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10.xml" ContentType="application/vnd.openxmlformats-officedocument.spreadsheetml.comments+xml"/>
  <Override PartName="/xl/comments5.xml" ContentType="application/vnd.openxmlformats-officedocument.spreadsheetml.comments+xml"/>
  <Override PartName="/xl/comments4.xml" ContentType="application/vnd.openxmlformats-officedocument.spreadsheetml.comment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comments1.xml" ContentType="application/vnd.openxmlformats-officedocument.spreadsheetml.comments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vmlDrawing6.vml" ContentType="application/vnd.openxmlformats-officedocument.vmlDrawing"/>
  <Override PartName="/xl/drawings/vmlDrawing5.vml" ContentType="application/vnd.openxmlformats-officedocument.vmlDrawing"/>
  <Override PartName="/xl/drawings/vmlDrawing4.vml" ContentType="application/vnd.openxmlformats-officedocument.vmlDrawing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vmlDrawing2.vml" ContentType="application/vnd.openxmlformats-officedocument.vmlDrawing"/>
  <Override PartName="/xl/drawings/vmlDrawing1.vml" ContentType="application/vnd.openxmlformats-officedocument.vmlDrawing"/>
  <Override PartName="/xl/drawings/drawing3.xml" ContentType="application/vnd.openxmlformats-officedocument.drawing+xml"/>
  <Override PartName="/xl/drawings/drawing1.xml" ContentType="application/vnd.openxmlformats-officedocument.drawing+xml"/>
  <Override PartName="/xl/drawings/vmlDrawing3.vml" ContentType="application/vnd.openxmlformats-officedocument.vmlDrawing"/>
  <Override PartName="/xl/drawings/drawing2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okémon GO Dex" sheetId="1" state="visible" r:id="rId2"/>
    <sheet name="Raid Boss CP Table" sheetId="2" state="visible" r:id="rId3"/>
    <sheet name="Raid Breakpoint Calculator" sheetId="3" state="visible" r:id="rId4"/>
    <sheet name="Reverse Search" sheetId="4" state="visible" r:id="rId5"/>
    <sheet name="0.0.1 Pokémon Dex Data" sheetId="5" state="hidden" r:id="rId6"/>
    <sheet name="0.0.2 Pokémon Learnset (Core)" sheetId="6" state="hidden" r:id="rId7"/>
    <sheet name="0.1.1 Pokémon GO Moves" sheetId="7" state="hidden" r:id="rId8"/>
    <sheet name="0.1.2 Attack Dex (GO)" sheetId="8" state="hidden" r:id="rId9"/>
    <sheet name="0.2.1 Move Compare" sheetId="9" state="hidden" r:id="rId10"/>
    <sheet name="0.3.0 GO Calculation Values" sheetId="10" state="hidden" r:id="rId11"/>
    <sheet name="0.3.1 Type Table" sheetId="11" state="hidden" r:id="rId12"/>
    <sheet name="1.1 Display Calculations" sheetId="12" state="hidden" r:id="rId13"/>
    <sheet name="1.2 Damage Calculations" sheetId="13" state="hidden" r:id="rId14"/>
    <sheet name="1.3 Movepool Calculator" sheetId="14" state="hidden" r:id="rId15"/>
    <sheet name="2.0.0 Raid Boss CP Helper" sheetId="15" state="hidden" r:id="rId16"/>
    <sheet name="3.0.0 Reverse Search Helper" sheetId="16" state="hidden" r:id="rId17"/>
  </sheets>
  <definedNames>
    <definedName function="false" hidden="true" localSheetId="4" name="_xlnm._FilterDatabase" vbProcedure="false">'0.0.1 Pokémon Dex Data'!$A$2:$AM$952</definedName>
    <definedName function="false" hidden="true" localSheetId="5" name="_xlnm._FilterDatabase" vbProcedure="false">'0.0.2 Pokémon Learnset (Core)'!$A$1:$FK$487</definedName>
    <definedName function="false" hidden="true" localSheetId="6" name="_xlnm._FilterDatabase" vbProcedure="false">'0.1.1 Pokémon GO Moves'!$A$2:$R$815</definedName>
    <definedName function="false" hidden="true" localSheetId="7" name="_xlnm._FilterDatabase" vbProcedure="false">'0.1.2 Attack Dex (GO)'!$A$1:$H$19951</definedName>
    <definedName function="false" hidden="true" localSheetId="8" name="_xlnm._FilterDatabase" vbProcedure="false">'0.2.1 Move Compare'!$A$1:$F$1000</definedName>
    <definedName function="false" hidden="false" name="BaseStats" vbProcedure="false">'0.0.1 Pokémon Dex Data'!$K:$P</definedName>
    <definedName function="false" hidden="false" name="FullDex" vbProcedure="false">'0.0.1 Pokémon Dex Data'!$A$1:$AH$952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1" authorId="0">
      <text>
        <r>
          <rPr>
            <sz val="10"/>
            <color rgb="FF000000"/>
            <rFont val="Arial"/>
            <family val="0"/>
            <charset val="1"/>
          </rPr>
          <t xml:space="preserve">CP formula change</t>
        </r>
      </text>
    </comment>
    <comment ref="C56" authorId="0">
      <text>
        <r>
          <rPr>
            <sz val="10"/>
            <color rgb="FF000000"/>
            <rFont val="Arial"/>
            <family val="0"/>
            <charset val="1"/>
          </rPr>
          <t xml:space="preserve">The current and legacy moves a Pokémon can (could) learn in GO.</t>
        </r>
      </text>
    </comment>
    <comment ref="C67" authorId="0">
      <text>
        <r>
          <rPr>
            <sz val="10"/>
            <color rgb="FF000000"/>
            <rFont val="Arial"/>
            <family val="0"/>
            <charset val="1"/>
          </rPr>
          <t xml:space="preserve">Calculated by using fast attacks until the special bar's filled then using a special attack.The total damage done divided by the time it took.</t>
        </r>
      </text>
    </comment>
    <comment ref="C77" authorId="0">
      <text>
        <r>
          <rPr>
            <sz val="10"/>
            <color rgb="FF000000"/>
            <rFont val="Arial"/>
            <family val="0"/>
            <charset val="1"/>
          </rPr>
          <t xml:space="preserve">Pokémon could never learn these in GO yet, but it has them available in the core games.
Pokémon might learn these moves with a movepool reshuffle.</t>
        </r>
      </text>
    </comment>
    <comment ref="C83" authorId="0">
      <text>
        <r>
          <rPr>
            <sz val="10"/>
            <color rgb="FF000000"/>
            <rFont val="Arial"/>
            <family val="0"/>
            <charset val="1"/>
          </rPr>
          <t xml:space="preserve">Moves aren't in GO at all yet.
If/Once they're programmed they become accessible.</t>
        </r>
      </text>
    </comment>
    <comment ref="E68" authorId="0">
      <text>
        <r>
          <rPr>
            <sz val="10"/>
            <color rgb="FF000000"/>
            <rFont val="Arial"/>
            <family val="0"/>
            <charset val="1"/>
          </rPr>
          <t xml:space="preserve">Calculated by using fast attacks until the special bar's filled then using a special attack.The total damage done divided by the time it took.</t>
        </r>
      </text>
    </comment>
    <comment ref="G3" authorId="0">
      <text>
        <r>
          <rPr>
            <sz val="10"/>
            <color rgb="FF000000"/>
            <rFont val="Arial"/>
            <family val="0"/>
            <charset val="1"/>
          </rPr>
          <t xml:space="preserve">Images courtesy of Pokémon Database</t>
        </r>
      </text>
    </comment>
    <comment ref="G15" authorId="0">
      <text>
        <r>
          <rPr>
            <sz val="10"/>
            <color rgb="FF000000"/>
            <rFont val="Arial"/>
            <family val="0"/>
            <charset val="1"/>
          </rPr>
          <t xml:space="preserve">Images courtesy of Showdown</t>
        </r>
      </text>
    </comment>
    <comment ref="L61" authorId="0">
      <text>
        <r>
          <rPr>
            <sz val="10"/>
            <color rgb="FF000000"/>
            <rFont val="Arial"/>
            <family val="0"/>
            <charset val="1"/>
          </rPr>
          <t xml:space="preserve">Take with grain of salt.
Compares the damage output of the slowest attack to how much the shorter specials could do + fast attacks in same timespan</t>
        </r>
      </text>
    </comment>
    <comment ref="M1" authorId="0">
      <text>
        <r>
          <rPr>
            <sz val="10"/>
            <color rgb="FF000000"/>
            <rFont val="Arial"/>
            <family val="0"/>
            <charset val="1"/>
          </rPr>
          <t xml:space="preserve">Known Issues:
• Nidoran (both sexes), Mime Jr. and Arceus' shiny sprites aren't showing correctly.
• Some core game movepools might not be complete, need better database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26" authorId="0">
      <text>
        <r>
          <rPr>
            <sz val="10"/>
            <color rgb="FF000000"/>
            <rFont val="Arial"/>
            <family val="0"/>
            <charset val="1"/>
          </rPr>
          <t xml:space="preserve">Only fully-evolved Pokémon (for size restrictions)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H2" authorId="0">
      <text>
        <r>
          <rPr>
            <sz val="10"/>
            <color rgb="FF000000"/>
            <rFont val="Arial"/>
            <family val="0"/>
            <charset val="1"/>
          </rPr>
          <t xml:space="preserve">0 if no Forme
1 if a permanent forme (eg. Giratina-Origin)
2 if a mid-battle transformation (eg. Mega evolutions)</t>
        </r>
      </text>
    </comment>
    <comment ref="H405" authorId="0">
      <text>
        <r>
          <rPr>
            <sz val="10"/>
            <color rgb="FF000000"/>
            <rFont val="Arial"/>
            <family val="0"/>
            <charset val="1"/>
          </rPr>
          <t xml:space="preserve">Would've been (2) by game's standards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F2" authorId="0">
      <text>
        <r>
          <rPr>
            <sz val="10"/>
            <color rgb="FF000000"/>
            <rFont val="Arial"/>
            <family val="0"/>
            <charset val="1"/>
          </rPr>
          <t xml:space="preserve">Source:
https://www.reddit.com/r/TheSilphRoad/comments/81en81/raid_boss_cpm/dv2mjd7/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K27" authorId="0">
      <text>
        <r>
          <rPr>
            <sz val="10"/>
            <color rgb="FF000000"/>
            <rFont val="Arial"/>
            <family val="0"/>
            <charset val="1"/>
          </rPr>
          <t xml:space="preserve">778 refers to Eternal Flower Floette, which is single stage</t>
        </r>
      </text>
    </comment>
    <comment ref="U23" authorId="0">
      <text>
        <r>
          <rPr>
            <sz val="10"/>
            <color rgb="FF000000"/>
            <rFont val="Arial"/>
            <family val="0"/>
            <charset val="1"/>
          </rPr>
          <t xml:space="preserve">This list is based on the image search list, and not the main list. Adjust where needed if changing Pokémon names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0" authorId="0">
      <text>
        <r>
          <rPr>
            <sz val="10"/>
            <color rgb="FF000000"/>
            <rFont val="Arial"/>
            <family val="0"/>
            <charset val="1"/>
          </rPr>
          <t xml:space="preserve">5 Fast moves max based on the current maximum (Porygon)</t>
        </r>
      </text>
    </comment>
    <comment ref="G10" authorId="0">
      <text>
        <r>
          <rPr>
            <sz val="10"/>
            <color rgb="FF000000"/>
            <rFont val="Arial"/>
            <family val="0"/>
            <charset val="1"/>
          </rPr>
          <t xml:space="preserve">11 Charge moves based on the current maximum (Mew)</t>
        </r>
      </text>
    </comment>
  </commentList>
</comments>
</file>

<file path=xl/sharedStrings.xml><?xml version="1.0" encoding="utf-8"?>
<sst xmlns="http://schemas.openxmlformats.org/spreadsheetml/2006/main" count="37120" uniqueCount="2908">
  <si>
    <t xml:space="preserve">Last Edit: 10/15/2018</t>
  </si>
  <si>
    <t xml:space="preserve">PokéDex GO</t>
  </si>
  <si>
    <t xml:space="preserve">v1.1 - UW</t>
  </si>
  <si>
    <t xml:space="preserve">Core Games' Information and Data</t>
  </si>
  <si>
    <t xml:space="preserve">Pokémon</t>
  </si>
  <si>
    <t xml:space="preserve">Form</t>
  </si>
  <si>
    <t xml:space="preserve">Artwork</t>
  </si>
  <si>
    <t xml:space="preserve">Regular</t>
  </si>
  <si>
    <t xml:space="preserve">Classification</t>
  </si>
  <si>
    <t xml:space="preserve">Dex N°</t>
  </si>
  <si>
    <t xml:space="preserve">Native Region</t>
  </si>
  <si>
    <t xml:space="preserve">HP </t>
  </si>
  <si>
    <t xml:space="preserve">Attack </t>
  </si>
  <si>
    <t xml:space="preserve">Defense </t>
  </si>
  <si>
    <t xml:space="preserve">Normal Sprite</t>
  </si>
  <si>
    <t xml:space="preserve">Shiny Sprite</t>
  </si>
  <si>
    <t xml:space="preserve">Special Attack </t>
  </si>
  <si>
    <t xml:space="preserve">Special Defense </t>
  </si>
  <si>
    <t xml:space="preserve">Speed </t>
  </si>
  <si>
    <t xml:space="preserve">BST</t>
  </si>
  <si>
    <t xml:space="preserve">Pokémon GO Information</t>
  </si>
  <si>
    <t xml:space="preserve">Buddy Distance</t>
  </si>
  <si>
    <t xml:space="preserve">Shiny?</t>
  </si>
  <si>
    <t xml:space="preserve">Egg</t>
  </si>
  <si>
    <t xml:space="preserve">Family</t>
  </si>
  <si>
    <t xml:space="preserve">Evolution Chain</t>
  </si>
  <si>
    <t xml:space="preserve">Boosted Weather</t>
  </si>
  <si>
    <t xml:space="preserve">Stats and CP</t>
  </si>
  <si>
    <t xml:space="preserve">Stats have been nerfed!</t>
  </si>
  <si>
    <t xml:space="preserve">Keep</t>
  </si>
  <si>
    <t xml:space="preserve">Base Attack</t>
  </si>
  <si>
    <t xml:space="preserve">Base Defense</t>
  </si>
  <si>
    <t xml:space="preserve">Base Stamina</t>
  </si>
  <si>
    <t xml:space="preserve">Current level </t>
  </si>
  <si>
    <t xml:space="preserve">Cost Candy </t>
  </si>
  <si>
    <t xml:space="preserve">Target level </t>
  </si>
  <si>
    <t xml:space="preserve">Cost Stardust </t>
  </si>
  <si>
    <t xml:space="preserve">IV</t>
  </si>
  <si>
    <t xml:space="preserve">Stamina </t>
  </si>
  <si>
    <t xml:space="preserve">Current CP</t>
  </si>
  <si>
    <t xml:space="preserve">Targeted CP</t>
  </si>
  <si>
    <t xml:space="preserve">Max CP (20)</t>
  </si>
  <si>
    <t xml:space="preserve">Max CP (30)</t>
  </si>
  <si>
    <t xml:space="preserve">CP as Raid Boss</t>
  </si>
  <si>
    <t xml:space="preserve">Raid</t>
  </si>
  <si>
    <t xml:space="preserve">T5 Boss</t>
  </si>
  <si>
    <t xml:space="preserve">Max CP (25)</t>
  </si>
  <si>
    <t xml:space="preserve">Max CP (40)</t>
  </si>
  <si>
    <t xml:space="preserve">Moveset
</t>
  </si>
  <si>
    <t xml:space="preserve">Available Moves</t>
  </si>
  <si>
    <t xml:space="preserve">Move</t>
  </si>
  <si>
    <t xml:space="preserve">Type</t>
  </si>
  <si>
    <t xml:space="preserve">DPS</t>
  </si>
  <si>
    <t xml:space="preserve">EPS</t>
  </si>
  <si>
    <t xml:space="preserve">FAST</t>
  </si>
  <si>
    <t xml:space="preserve">Against</t>
  </si>
  <si>
    <t xml:space="preserve">Neutral target</t>
  </si>
  <si>
    <t xml:space="preserve">Legacy</t>
  </si>
  <si>
    <t xml:space="preserve">-</t>
  </si>
  <si>
    <t xml:space="preserve">Target</t>
  </si>
  <si>
    <t xml:space="preserve">N/A</t>
  </si>
  <si>
    <t xml:space="preserve">DPS w/ Weave</t>
  </si>
  <si>
    <t xml:space="preserve">DPE</t>
  </si>
  <si>
    <t xml:space="preserve">CHARGE</t>
  </si>
  <si>
    <t xml:space="preserve">More</t>
  </si>
  <si>
    <t xml:space="preserve">L1</t>
  </si>
  <si>
    <t xml:space="preserve">DPS Calculation</t>
  </si>
  <si>
    <t xml:space="preserve">Global DPS</t>
  </si>
  <si>
    <t xml:space="preserve">Perc.</t>
  </si>
  <si>
    <t xml:space="preserve">Quick</t>
  </si>
  <si>
    <t xml:space="preserve">Charge</t>
  </si>
  <si>
    <t xml:space="preserve">TDPS</t>
  </si>
  <si>
    <t xml:space="preserve">Rel. %</t>
  </si>
  <si>
    <t xml:space="preserve">Accessible Moves</t>
  </si>
  <si>
    <t xml:space="preserve">Fast </t>
  </si>
  <si>
    <t xml:space="preserve">Charge </t>
  </si>
  <si>
    <t xml:space="preserve">Potential Moves</t>
  </si>
  <si>
    <t xml:space="preserve">⬆ Hide Rows when done</t>
  </si>
  <si>
    <t xml:space="preserve">⬇ Table Size information ⬇
</t>
  </si>
  <si>
    <t xml:space="preserve">Selection</t>
  </si>
  <si>
    <t xml:space="preserve">Deoxys</t>
  </si>
  <si>
    <t xml:space="preserve">Sorting</t>
  </si>
  <si>
    <t xml:space="preserve">CP table by minimum IV% [default]</t>
  </si>
  <si>
    <t xml:space="preserve">For Min IV%</t>
  </si>
  <si>
    <t xml:space="preserve">For minimum IV% of 100%, there's one combination.</t>
  </si>
  <si>
    <t xml:space="preserve">For minimum IV% of 82.2%, there's a total of 135 combinations.</t>
  </si>
  <si>
    <t xml:space="preserve">For Min IV value</t>
  </si>
  <si>
    <t xml:space="preserve">For a minimum IV of 15, there's one combination.</t>
  </si>
  <si>
    <t xml:space="preserve">For minimum IV% of 97.8%, there's a total of 4 combinations.</t>
  </si>
  <si>
    <t xml:space="preserve">For minimum IV% of 80%, there's a total of 160 combinations.</t>
  </si>
  <si>
    <t xml:space="preserve">For a minimum IV of 14, there's 8 combinations.</t>
  </si>
  <si>
    <t xml:space="preserve">Keep nerf 
(if applicable)</t>
  </si>
  <si>
    <t xml:space="preserve">Yes</t>
  </si>
  <si>
    <t xml:space="preserve">Multiplier (Nerf)</t>
  </si>
  <si>
    <t xml:space="preserve">Min IV%</t>
  </si>
  <si>
    <t xml:space="preserve">Default: 91%</t>
  </si>
  <si>
    <t xml:space="preserve">For minimum IV% of 95.6%, there's a total of 10 combinations.</t>
  </si>
  <si>
    <t xml:space="preserve">For minimum IV% of 77.8%, there's a total of 181 combinations.</t>
  </si>
  <si>
    <t xml:space="preserve">For a minimum IV of 13, there's 27 combinations [default].</t>
  </si>
  <si>
    <t xml:space="preserve">Min IV value</t>
  </si>
  <si>
    <t xml:space="preserve">Default: 13</t>
  </si>
  <si>
    <t xml:space="preserve">For minimum IV% of 93.3%, there's a total of 20 combinations.</t>
  </si>
  <si>
    <t xml:space="preserve">For minimum IV% of 75.6%, there's a total of 196 combinations.</t>
  </si>
  <si>
    <t xml:space="preserve">For a minimum IV of 12, there's 64 combinations.</t>
  </si>
  <si>
    <t xml:space="preserve">For minimum IV% of 91.1%, there's a total of 35 combinations [default].</t>
  </si>
  <si>
    <t xml:space="preserve">For minimum IV% of 73.3%, there's a total of 206 combinations.</t>
  </si>
  <si>
    <t xml:space="preserve">For a minimum IV of 11, there's 125 combinations.</t>
  </si>
  <si>
    <t xml:space="preserve">Standard (lv. 20) [default]</t>
  </si>
  <si>
    <t xml:space="preserve">Sort by total % first; then CP [default]</t>
  </si>
  <si>
    <t xml:space="preserve">For minimum IV% of 88.9%, there's a total of 56 combinations.</t>
  </si>
  <si>
    <t xml:space="preserve">For minimum IV% of 71.1%, there's a total of 212 combinations.</t>
  </si>
  <si>
    <t xml:space="preserve">For a minimum IV of 10, there's 216 combinations.</t>
  </si>
  <si>
    <t xml:space="preserve">For minimum IV% of 86.7%, there's a total of 81 combinations.</t>
  </si>
  <si>
    <t xml:space="preserve">For minimum IV% of 68.9%, there's a total of 215 combinations.</t>
  </si>
  <si>
    <t xml:space="preserve">For minimum IV% of 84.4%, there's a total of 108 combinations.</t>
  </si>
  <si>
    <t xml:space="preserve">For minimum IV% of 66.7%, there's a total of 216 combinations.</t>
  </si>
  <si>
    <t xml:space="preserve">IV %</t>
  </si>
  <si>
    <t xml:space="preserve">Attack IV</t>
  </si>
  <si>
    <t xml:space="preserve">Defense IV</t>
  </si>
  <si>
    <t xml:space="preserve">Stamina IV</t>
  </si>
  <si>
    <t xml:space="preserve">CP (25)</t>
  </si>
  <si>
    <t xml:space="preserve">Attacking Pokémon</t>
  </si>
  <si>
    <t xml:space="preserve">Defending Pokémon</t>
  </si>
  <si>
    <t xml:space="preserve">Min. level</t>
  </si>
  <si>
    <t xml:space="preserve"> Default: 20</t>
  </si>
  <si>
    <t xml:space="preserve">Min. IV</t>
  </si>
  <si>
    <t xml:space="preserve">Pokémon </t>
  </si>
  <si>
    <t xml:space="preserve">Machamp</t>
  </si>
  <si>
    <t xml:space="preserve">Tyranitar</t>
  </si>
  <si>
    <t xml:space="preserve">Keep nerf</t>
  </si>
  <si>
    <t xml:space="preserve">Raid tier</t>
  </si>
  <si>
    <t xml:space="preserve">T4 Boss</t>
  </si>
  <si>
    <t xml:space="preserve">Base Attack </t>
  </si>
  <si>
    <t xml:space="preserve">Base Defense </t>
  </si>
  <si>
    <t xml:space="preserve">Base Stamina </t>
  </si>
  <si>
    <t xml:space="preserve">Legal moves only?</t>
  </si>
  <si>
    <t xml:space="preserve">Weather</t>
  </si>
  <si>
    <t xml:space="preserve">Cloudy</t>
  </si>
  <si>
    <t xml:space="preserve">Counter</t>
  </si>
  <si>
    <t xml:space="preserve">Power</t>
  </si>
  <si>
    <t xml:space="preserve">Time</t>
  </si>
  <si>
    <t xml:space="preserve">Charge move?</t>
  </si>
  <si>
    <t xml:space="preserve">STAB</t>
  </si>
  <si>
    <t xml:space="preserve">Legal move</t>
  </si>
  <si>
    <t xml:space="preserve">Normal</t>
  </si>
  <si>
    <t xml:space="preserve">Fighting</t>
  </si>
  <si>
    <t xml:space="preserve">Flying</t>
  </si>
  <si>
    <t xml:space="preserve">Poison</t>
  </si>
  <si>
    <t xml:space="preserve">Ground</t>
  </si>
  <si>
    <t xml:space="preserve">Rock</t>
  </si>
  <si>
    <t xml:space="preserve">Bug</t>
  </si>
  <si>
    <t xml:space="preserve">Ghost</t>
  </si>
  <si>
    <t xml:space="preserve">Steel</t>
  </si>
  <si>
    <t xml:space="preserve">Fire</t>
  </si>
  <si>
    <t xml:space="preserve">Water</t>
  </si>
  <si>
    <t xml:space="preserve">Grass</t>
  </si>
  <si>
    <t xml:space="preserve">Electric</t>
  </si>
  <si>
    <t xml:space="preserve">Psychic</t>
  </si>
  <si>
    <t xml:space="preserve">Ice</t>
  </si>
  <si>
    <t xml:space="preserve">Dragon</t>
  </si>
  <si>
    <t xml:space="preserve">Dark</t>
  </si>
  <si>
    <t xml:space="preserve">Fairy</t>
  </si>
  <si>
    <t xml:space="preserve">Empty</t>
  </si>
  <si>
    <t xml:space="preserve">Criterium 1</t>
  </si>
  <si>
    <t xml:space="preserve">Pokémon Forms</t>
  </si>
  <si>
    <t xml:space="preserve">Search for</t>
  </si>
  <si>
    <t xml:space="preserve">Base forms only [default]</t>
  </si>
  <si>
    <t xml:space="preserve">Disable</t>
  </si>
  <si>
    <t xml:space="preserve">Criterium 2</t>
  </si>
  <si>
    <t xml:space="preserve">Typing</t>
  </si>
  <si>
    <t xml:space="preserve">Stats</t>
  </si>
  <si>
    <t xml:space="preserve">Criterium 3</t>
  </si>
  <si>
    <t xml:space="preserve">Enable</t>
  </si>
  <si>
    <t xml:space="preserve">Type 1: </t>
  </si>
  <si>
    <t xml:space="preserve">≥</t>
  </si>
  <si>
    <t xml:space="preserve">Type 2: </t>
  </si>
  <si>
    <t xml:space="preserve">Resists:</t>
  </si>
  <si>
    <t xml:space="preserve">Criterium 4</t>
  </si>
  <si>
    <t xml:space="preserve">Moves</t>
  </si>
  <si>
    <t xml:space="preserve">FAST MOVE</t>
  </si>
  <si>
    <t xml:space="preserve">CHARGE MOVE</t>
  </si>
  <si>
    <t xml:space="preserve">can</t>
  </si>
  <si>
    <t xml:space="preserve">learn the move</t>
  </si>
  <si>
    <t xml:space="preserve">Mud-Slap</t>
  </si>
  <si>
    <t xml:space="preserve">Drill Run</t>
  </si>
  <si>
    <t xml:space="preserve">Meaning</t>
  </si>
  <si>
    <t xml:space="preserve">"can</t>
  </si>
  <si>
    <t xml:space="preserve">learn" means searching in the Pokémon's active GO moveset.</t>
  </si>
  <si>
    <t xml:space="preserve">"could</t>
  </si>
  <si>
    <t xml:space="preserve">learn" means searching in the Pokémon's active and legacy GO moveset.</t>
  </si>
  <si>
    <t xml:space="preserve">"might be able to</t>
  </si>
  <si>
    <t xml:space="preserve">learn" means searching in the Pokémon's core games moveset but isn't part of its GO moveset.</t>
  </si>
  <si>
    <t xml:space="preserve">N°s</t>
  </si>
  <si>
    <t xml:space="preserve">Name</t>
  </si>
  <si>
    <t xml:space="preserve">Extra Info</t>
  </si>
  <si>
    <t xml:space="preserve">Base Stats (Core)</t>
  </si>
  <si>
    <t xml:space="preserve">Types</t>
  </si>
  <si>
    <t xml:space="preserve">Pokémon GO Stats</t>
  </si>
  <si>
    <t xml:space="preserve">Pokémon GO Data</t>
  </si>
  <si>
    <t xml:space="preserve">Images</t>
  </si>
  <si>
    <t xml:space="preserve">Dex #</t>
  </si>
  <si>
    <t xml:space="preserve">Identifier</t>
  </si>
  <si>
    <t xml:space="preserve">Forme</t>
  </si>
  <si>
    <t xml:space="preserve">Shorthand</t>
  </si>
  <si>
    <t xml:space="preserve">Forme active</t>
  </si>
  <si>
    <t xml:space="preserve">Stage</t>
  </si>
  <si>
    <t xml:space="preserve">Final Stage</t>
  </si>
  <si>
    <t xml:space="preserve">HP</t>
  </si>
  <si>
    <t xml:space="preserve">Attack</t>
  </si>
  <si>
    <t xml:space="preserve">Defense</t>
  </si>
  <si>
    <t xml:space="preserve">Sp. Atk</t>
  </si>
  <si>
    <t xml:space="preserve">Sp. Def</t>
  </si>
  <si>
    <t xml:space="preserve">Speed</t>
  </si>
  <si>
    <t xml:space="preserve">Type2</t>
  </si>
  <si>
    <t xml:space="preserve">Nerf Multiplier</t>
  </si>
  <si>
    <t xml:space="preserve">Base Attack (GO)</t>
  </si>
  <si>
    <t xml:space="preserve">Base Defense (GO)</t>
  </si>
  <si>
    <t xml:space="preserve">Coded</t>
  </si>
  <si>
    <t xml:space="preserve">Pre-evolution</t>
  </si>
  <si>
    <t xml:space="preserve">Buddy</t>
  </si>
  <si>
    <t xml:space="preserve">Shiny</t>
  </si>
  <si>
    <t xml:space="preserve">Egg Rarity</t>
  </si>
  <si>
    <t xml:space="preserve">Evolution Candy</t>
  </si>
  <si>
    <t xml:space="preserve">Evolution Item</t>
  </si>
  <si>
    <t xml:space="preserve">Art</t>
  </si>
  <si>
    <t xml:space="preserve">Big Sprite</t>
  </si>
  <si>
    <t xml:space="preserve">Small Sprite</t>
  </si>
  <si>
    <t xml:space="preserve">Bulbasaur</t>
  </si>
  <si>
    <t xml:space="preserve">1: Kanto</t>
  </si>
  <si>
    <t xml:space="preserve">Starter</t>
  </si>
  <si>
    <t xml:space="preserve">bulbasaur</t>
  </si>
  <si>
    <t xml:space="preserve">Ivysaur</t>
  </si>
  <si>
    <t xml:space="preserve">ivysaur</t>
  </si>
  <si>
    <t xml:space="preserve">Venusaur</t>
  </si>
  <si>
    <t xml:space="preserve">venusaur</t>
  </si>
  <si>
    <t xml:space="preserve">Mega Venusaur</t>
  </si>
  <si>
    <t xml:space="preserve">Venusaur-Mega</t>
  </si>
  <si>
    <t xml:space="preserve">1: Kanto (G6)</t>
  </si>
  <si>
    <t xml:space="preserve">venusaur-mega</t>
  </si>
  <si>
    <t xml:space="preserve">Charmander</t>
  </si>
  <si>
    <t xml:space="preserve">charmander</t>
  </si>
  <si>
    <t xml:space="preserve">Charmeleon</t>
  </si>
  <si>
    <t xml:space="preserve">charmeleon</t>
  </si>
  <si>
    <t xml:space="preserve">Charizard</t>
  </si>
  <si>
    <t xml:space="preserve">charizard</t>
  </si>
  <si>
    <t xml:space="preserve">Mega Charizard X</t>
  </si>
  <si>
    <t xml:space="preserve">Charizard-Mega-X</t>
  </si>
  <si>
    <t xml:space="preserve">charizard-mega-x</t>
  </si>
  <si>
    <t xml:space="preserve">charizard-megax</t>
  </si>
  <si>
    <t xml:space="preserve">Mega Charizard Y</t>
  </si>
  <si>
    <t xml:space="preserve">Charizard-Mega-Y</t>
  </si>
  <si>
    <t xml:space="preserve">charizard-mega-y</t>
  </si>
  <si>
    <t xml:space="preserve">charizard-megay</t>
  </si>
  <si>
    <t xml:space="preserve">Squirtle</t>
  </si>
  <si>
    <t xml:space="preserve">squirtle</t>
  </si>
  <si>
    <t xml:space="preserve">Wartortle</t>
  </si>
  <si>
    <t xml:space="preserve">wartortle</t>
  </si>
  <si>
    <t xml:space="preserve">Blastoise</t>
  </si>
  <si>
    <t xml:space="preserve">blastoise</t>
  </si>
  <si>
    <t xml:space="preserve">Mega Blastoise</t>
  </si>
  <si>
    <t xml:space="preserve">Blastoise-Mega</t>
  </si>
  <si>
    <t xml:space="preserve">blastoise-mega</t>
  </si>
  <si>
    <t xml:space="preserve">Caterpie</t>
  </si>
  <si>
    <t xml:space="preserve">caterpie</t>
  </si>
  <si>
    <t xml:space="preserve">Metapod</t>
  </si>
  <si>
    <t xml:space="preserve">metapod</t>
  </si>
  <si>
    <t xml:space="preserve">Butterfree</t>
  </si>
  <si>
    <t xml:space="preserve">butterfree</t>
  </si>
  <si>
    <t xml:space="preserve">Weedle</t>
  </si>
  <si>
    <t xml:space="preserve">weedle</t>
  </si>
  <si>
    <t xml:space="preserve">Kakuna</t>
  </si>
  <si>
    <t xml:space="preserve">kakuna</t>
  </si>
  <si>
    <t xml:space="preserve">Beedrill</t>
  </si>
  <si>
    <t xml:space="preserve">beedrill</t>
  </si>
  <si>
    <t xml:space="preserve">Mega Beedrill</t>
  </si>
  <si>
    <t xml:space="preserve">Beedrill-Mega</t>
  </si>
  <si>
    <t xml:space="preserve">beedrill-mega</t>
  </si>
  <si>
    <t xml:space="preserve">Pidgey</t>
  </si>
  <si>
    <t xml:space="preserve">pidgey</t>
  </si>
  <si>
    <t xml:space="preserve">Pidgeotto</t>
  </si>
  <si>
    <t xml:space="preserve">pidgeotto</t>
  </si>
  <si>
    <t xml:space="preserve">Pidgeot</t>
  </si>
  <si>
    <t xml:space="preserve">pidgeot</t>
  </si>
  <si>
    <t xml:space="preserve">Mega Pidgeot</t>
  </si>
  <si>
    <t xml:space="preserve">Pidgeot-Mega</t>
  </si>
  <si>
    <t xml:space="preserve">pidgeot-mega</t>
  </si>
  <si>
    <t xml:space="preserve">Rattata</t>
  </si>
  <si>
    <t xml:space="preserve">rattata</t>
  </si>
  <si>
    <t xml:space="preserve">Alolan Form</t>
  </si>
  <si>
    <t xml:space="preserve">Rattata-Alolan</t>
  </si>
  <si>
    <t xml:space="preserve">7: Alola</t>
  </si>
  <si>
    <t xml:space="preserve">rattata-alolan</t>
  </si>
  <si>
    <t xml:space="preserve">rattata-alola</t>
  </si>
  <si>
    <t xml:space="preserve">Raticate</t>
  </si>
  <si>
    <t xml:space="preserve">raticate</t>
  </si>
  <si>
    <t xml:space="preserve">Raticate-Alolan</t>
  </si>
  <si>
    <t xml:space="preserve">raticate-alolan</t>
  </si>
  <si>
    <t xml:space="preserve">raticate-alola</t>
  </si>
  <si>
    <t xml:space="preserve">Spearow</t>
  </si>
  <si>
    <t xml:space="preserve">spearow</t>
  </si>
  <si>
    <t xml:space="preserve">Fearow</t>
  </si>
  <si>
    <t xml:space="preserve">fearow</t>
  </si>
  <si>
    <t xml:space="preserve">Ekans</t>
  </si>
  <si>
    <t xml:space="preserve">ekans</t>
  </si>
  <si>
    <t xml:space="preserve">Arbok</t>
  </si>
  <si>
    <t xml:space="preserve">arbok</t>
  </si>
  <si>
    <t xml:space="preserve">Pikachu</t>
  </si>
  <si>
    <t xml:space="preserve">Pichu</t>
  </si>
  <si>
    <t xml:space="preserve">pikachu</t>
  </si>
  <si>
    <t xml:space="preserve">Raichu</t>
  </si>
  <si>
    <t xml:space="preserve">raichu</t>
  </si>
  <si>
    <t xml:space="preserve">Raichu-Alolan</t>
  </si>
  <si>
    <t xml:space="preserve">raichu-alolan</t>
  </si>
  <si>
    <t xml:space="preserve">raichu-alola</t>
  </si>
  <si>
    <t xml:space="preserve">Sandshrew</t>
  </si>
  <si>
    <t xml:space="preserve">sandshrew</t>
  </si>
  <si>
    <t xml:space="preserve">Sandshrew-Alolan</t>
  </si>
  <si>
    <t xml:space="preserve">sandshrew-alolan</t>
  </si>
  <si>
    <t xml:space="preserve">sandshrew-alola</t>
  </si>
  <si>
    <t xml:space="preserve">Sandslash</t>
  </si>
  <si>
    <t xml:space="preserve">sandslash</t>
  </si>
  <si>
    <t xml:space="preserve">Sandslash-Alolan</t>
  </si>
  <si>
    <t xml:space="preserve">sandslash-alolan</t>
  </si>
  <si>
    <t xml:space="preserve">sandslash-alola</t>
  </si>
  <si>
    <t xml:space="preserve">Nidoran♀</t>
  </si>
  <si>
    <t xml:space="preserve">nidoran-f</t>
  </si>
  <si>
    <t xml:space="preserve">Nidorina</t>
  </si>
  <si>
    <t xml:space="preserve">nidorina</t>
  </si>
  <si>
    <t xml:space="preserve">Nidoqueen</t>
  </si>
  <si>
    <t xml:space="preserve">nidoqueen</t>
  </si>
  <si>
    <t xml:space="preserve">Nidoran♂</t>
  </si>
  <si>
    <t xml:space="preserve">nidoran-m</t>
  </si>
  <si>
    <t xml:space="preserve">Nidorino</t>
  </si>
  <si>
    <t xml:space="preserve">nidorino</t>
  </si>
  <si>
    <t xml:space="preserve">Nidoking</t>
  </si>
  <si>
    <t xml:space="preserve">nidoking</t>
  </si>
  <si>
    <t xml:space="preserve">Clefairy</t>
  </si>
  <si>
    <t xml:space="preserve">Cleffa</t>
  </si>
  <si>
    <t xml:space="preserve">clefairy</t>
  </si>
  <si>
    <t xml:space="preserve">Clefable</t>
  </si>
  <si>
    <t xml:space="preserve">clefable</t>
  </si>
  <si>
    <t xml:space="preserve">Vulpix</t>
  </si>
  <si>
    <t xml:space="preserve">vulpix</t>
  </si>
  <si>
    <t xml:space="preserve">Vulpix-Alolan</t>
  </si>
  <si>
    <t xml:space="preserve">vulpix-alolan</t>
  </si>
  <si>
    <t xml:space="preserve">vulpix-alola</t>
  </si>
  <si>
    <t xml:space="preserve">Ninetales</t>
  </si>
  <si>
    <t xml:space="preserve">ninetales</t>
  </si>
  <si>
    <t xml:space="preserve">Ninetales-Alolan</t>
  </si>
  <si>
    <t xml:space="preserve">ninetales-alolan</t>
  </si>
  <si>
    <t xml:space="preserve">ninetales-alola</t>
  </si>
  <si>
    <t xml:space="preserve">Jigglypuff</t>
  </si>
  <si>
    <t xml:space="preserve">Igglybuff</t>
  </si>
  <si>
    <t xml:space="preserve">jigglypuff</t>
  </si>
  <si>
    <t xml:space="preserve">Wigglytuff</t>
  </si>
  <si>
    <t xml:space="preserve">wigglytuff</t>
  </si>
  <si>
    <t xml:space="preserve">Zubat</t>
  </si>
  <si>
    <t xml:space="preserve">zubat</t>
  </si>
  <si>
    <t xml:space="preserve">Golbat</t>
  </si>
  <si>
    <t xml:space="preserve">golbat</t>
  </si>
  <si>
    <t xml:space="preserve">Oddish</t>
  </si>
  <si>
    <t xml:space="preserve">oddish</t>
  </si>
  <si>
    <t xml:space="preserve">Gloom</t>
  </si>
  <si>
    <t xml:space="preserve">gloom</t>
  </si>
  <si>
    <t xml:space="preserve">Vileplume</t>
  </si>
  <si>
    <t xml:space="preserve">vileplume</t>
  </si>
  <si>
    <t xml:space="preserve">Paras</t>
  </si>
  <si>
    <t xml:space="preserve">paras</t>
  </si>
  <si>
    <t xml:space="preserve">Parasect</t>
  </si>
  <si>
    <t xml:space="preserve">parasect</t>
  </si>
  <si>
    <t xml:space="preserve">Venonat</t>
  </si>
  <si>
    <t xml:space="preserve">venonat</t>
  </si>
  <si>
    <t xml:space="preserve">Venomoth</t>
  </si>
  <si>
    <t xml:space="preserve">venomoth</t>
  </si>
  <si>
    <t xml:space="preserve">Diglett</t>
  </si>
  <si>
    <t xml:space="preserve">diglett</t>
  </si>
  <si>
    <t xml:space="preserve">Diglett-Alolan</t>
  </si>
  <si>
    <t xml:space="preserve">diglett-alolan</t>
  </si>
  <si>
    <t xml:space="preserve">diglett-alola</t>
  </si>
  <si>
    <t xml:space="preserve">Dugtrio</t>
  </si>
  <si>
    <t xml:space="preserve">dugtrio</t>
  </si>
  <si>
    <t xml:space="preserve">Dugtrio-Alolan</t>
  </si>
  <si>
    <t xml:space="preserve">dugtrio-alolan</t>
  </si>
  <si>
    <t xml:space="preserve">dugtrio-alola</t>
  </si>
  <si>
    <t xml:space="preserve">Meowth</t>
  </si>
  <si>
    <t xml:space="preserve">meowth</t>
  </si>
  <si>
    <t xml:space="preserve">Meowth-Alolan</t>
  </si>
  <si>
    <t xml:space="preserve">meowth-alolan</t>
  </si>
  <si>
    <t xml:space="preserve">meowth-alola</t>
  </si>
  <si>
    <t xml:space="preserve">Persian</t>
  </si>
  <si>
    <t xml:space="preserve">persian</t>
  </si>
  <si>
    <t xml:space="preserve">Persian-Alolan</t>
  </si>
  <si>
    <t xml:space="preserve">persian-alolan</t>
  </si>
  <si>
    <t xml:space="preserve">persian-alola</t>
  </si>
  <si>
    <t xml:space="preserve">Psyduck</t>
  </si>
  <si>
    <t xml:space="preserve">psyduck</t>
  </si>
  <si>
    <t xml:space="preserve">Golduck</t>
  </si>
  <si>
    <t xml:space="preserve">golduck</t>
  </si>
  <si>
    <t xml:space="preserve">Mankey</t>
  </si>
  <si>
    <t xml:space="preserve">mankey</t>
  </si>
  <si>
    <t xml:space="preserve">Primeape</t>
  </si>
  <si>
    <t xml:space="preserve">primeape</t>
  </si>
  <si>
    <t xml:space="preserve">Growlithe</t>
  </si>
  <si>
    <t xml:space="preserve">growlithe</t>
  </si>
  <si>
    <t xml:space="preserve">Arcanine</t>
  </si>
  <si>
    <t xml:space="preserve">arcanine</t>
  </si>
  <si>
    <t xml:space="preserve">Poliwag</t>
  </si>
  <si>
    <t xml:space="preserve">poliwag</t>
  </si>
  <si>
    <t xml:space="preserve">Poliwhirl</t>
  </si>
  <si>
    <t xml:space="preserve">poliwhirl</t>
  </si>
  <si>
    <t xml:space="preserve">Poliwrath</t>
  </si>
  <si>
    <t xml:space="preserve">poliwrath</t>
  </si>
  <si>
    <t xml:space="preserve">Abra</t>
  </si>
  <si>
    <t xml:space="preserve">abra</t>
  </si>
  <si>
    <t xml:space="preserve">Kadabra</t>
  </si>
  <si>
    <t xml:space="preserve">kadabra</t>
  </si>
  <si>
    <t xml:space="preserve">Alakazam</t>
  </si>
  <si>
    <t xml:space="preserve">alakazam</t>
  </si>
  <si>
    <t xml:space="preserve">Mega Alakazam</t>
  </si>
  <si>
    <t xml:space="preserve">Alakazam-Mega</t>
  </si>
  <si>
    <t xml:space="preserve">alakazam-mega</t>
  </si>
  <si>
    <t xml:space="preserve">Machop</t>
  </si>
  <si>
    <t xml:space="preserve">machop</t>
  </si>
  <si>
    <t xml:space="preserve">Machoke</t>
  </si>
  <si>
    <t xml:space="preserve">machoke</t>
  </si>
  <si>
    <t xml:space="preserve">machamp</t>
  </si>
  <si>
    <t xml:space="preserve">Bellsprout</t>
  </si>
  <si>
    <t xml:space="preserve">bellsprout</t>
  </si>
  <si>
    <t xml:space="preserve">Weepinbell</t>
  </si>
  <si>
    <t xml:space="preserve">weepinbell</t>
  </si>
  <si>
    <t xml:space="preserve">Victreebel</t>
  </si>
  <si>
    <t xml:space="preserve">victreebel</t>
  </si>
  <si>
    <t xml:space="preserve">Tentacool</t>
  </si>
  <si>
    <t xml:space="preserve">tentacool</t>
  </si>
  <si>
    <t xml:space="preserve">Tentacruel</t>
  </si>
  <si>
    <t xml:space="preserve">tentacruel</t>
  </si>
  <si>
    <t xml:space="preserve">Geodude</t>
  </si>
  <si>
    <t xml:space="preserve">geodude</t>
  </si>
  <si>
    <t xml:space="preserve">Geodude-Alolan</t>
  </si>
  <si>
    <t xml:space="preserve">geodude-alolan</t>
  </si>
  <si>
    <t xml:space="preserve">geodude-alola</t>
  </si>
  <si>
    <t xml:space="preserve">Graveler</t>
  </si>
  <si>
    <t xml:space="preserve">graveler</t>
  </si>
  <si>
    <t xml:space="preserve">Graveler-Alolan</t>
  </si>
  <si>
    <t xml:space="preserve">graveler-alolan</t>
  </si>
  <si>
    <t xml:space="preserve">graveler-alola</t>
  </si>
  <si>
    <t xml:space="preserve">Golem</t>
  </si>
  <si>
    <t xml:space="preserve">golem</t>
  </si>
  <si>
    <t xml:space="preserve">Golem-Alolan</t>
  </si>
  <si>
    <t xml:space="preserve">golem-alolan</t>
  </si>
  <si>
    <t xml:space="preserve">golem-alola</t>
  </si>
  <si>
    <t xml:space="preserve">Ponyta</t>
  </si>
  <si>
    <t xml:space="preserve">ponyta</t>
  </si>
  <si>
    <t xml:space="preserve">Rapidash</t>
  </si>
  <si>
    <t xml:space="preserve">rapidash</t>
  </si>
  <si>
    <t xml:space="preserve">Slowpoke</t>
  </si>
  <si>
    <t xml:space="preserve">slowpoke</t>
  </si>
  <si>
    <t xml:space="preserve">Slowbro</t>
  </si>
  <si>
    <t xml:space="preserve">slowbro</t>
  </si>
  <si>
    <t xml:space="preserve">Mega Slowbro</t>
  </si>
  <si>
    <t xml:space="preserve">Slowbro-Mega</t>
  </si>
  <si>
    <t xml:space="preserve">slowbro-mega</t>
  </si>
  <si>
    <t xml:space="preserve">Magnemite</t>
  </si>
  <si>
    <t xml:space="preserve">magnemite</t>
  </si>
  <si>
    <t xml:space="preserve">Magneton</t>
  </si>
  <si>
    <t xml:space="preserve">magneton</t>
  </si>
  <si>
    <t xml:space="preserve">Farfetch'd</t>
  </si>
  <si>
    <t xml:space="preserve">farfetchd</t>
  </si>
  <si>
    <t xml:space="preserve">Doduo</t>
  </si>
  <si>
    <t xml:space="preserve">doduo</t>
  </si>
  <si>
    <t xml:space="preserve">Dodrio</t>
  </si>
  <si>
    <t xml:space="preserve">dodrio</t>
  </si>
  <si>
    <t xml:space="preserve">Seel</t>
  </si>
  <si>
    <t xml:space="preserve">seel</t>
  </si>
  <si>
    <t xml:space="preserve">Dewgong</t>
  </si>
  <si>
    <t xml:space="preserve">dewgong</t>
  </si>
  <si>
    <t xml:space="preserve">Grimer</t>
  </si>
  <si>
    <t xml:space="preserve">grimer</t>
  </si>
  <si>
    <t xml:space="preserve">Grimer-Alolan</t>
  </si>
  <si>
    <t xml:space="preserve">grimer-alolan</t>
  </si>
  <si>
    <t xml:space="preserve">grimer-alola</t>
  </si>
  <si>
    <t xml:space="preserve">Muk</t>
  </si>
  <si>
    <t xml:space="preserve">muk</t>
  </si>
  <si>
    <t xml:space="preserve">Muk-Alolan</t>
  </si>
  <si>
    <t xml:space="preserve">muk-alolan</t>
  </si>
  <si>
    <t xml:space="preserve">muk-alola</t>
  </si>
  <si>
    <t xml:space="preserve">Shellder</t>
  </si>
  <si>
    <t xml:space="preserve">shellder</t>
  </si>
  <si>
    <t xml:space="preserve">Cloyster</t>
  </si>
  <si>
    <t xml:space="preserve">cloyster</t>
  </si>
  <si>
    <t xml:space="preserve">Gastly</t>
  </si>
  <si>
    <t xml:space="preserve">gastly</t>
  </si>
  <si>
    <t xml:space="preserve">Haunter</t>
  </si>
  <si>
    <t xml:space="preserve">haunter</t>
  </si>
  <si>
    <t xml:space="preserve">Gengar</t>
  </si>
  <si>
    <t xml:space="preserve">gengar</t>
  </si>
  <si>
    <t xml:space="preserve">Mega Gengar</t>
  </si>
  <si>
    <t xml:space="preserve">Gengar-Mega</t>
  </si>
  <si>
    <t xml:space="preserve">gengar-mega</t>
  </si>
  <si>
    <t xml:space="preserve">Onix</t>
  </si>
  <si>
    <t xml:space="preserve">onix</t>
  </si>
  <si>
    <t xml:space="preserve">Drowzee</t>
  </si>
  <si>
    <t xml:space="preserve">drowzee</t>
  </si>
  <si>
    <t xml:space="preserve">Hypno</t>
  </si>
  <si>
    <t xml:space="preserve">hypno</t>
  </si>
  <si>
    <t xml:space="preserve">Krabby</t>
  </si>
  <si>
    <t xml:space="preserve">krabby</t>
  </si>
  <si>
    <t xml:space="preserve">Kingler</t>
  </si>
  <si>
    <t xml:space="preserve">kingler</t>
  </si>
  <si>
    <t xml:space="preserve">Voltorb</t>
  </si>
  <si>
    <t xml:space="preserve">voltorb</t>
  </si>
  <si>
    <t xml:space="preserve">Electrode</t>
  </si>
  <si>
    <t xml:space="preserve">electrode</t>
  </si>
  <si>
    <t xml:space="preserve">Exeggcute</t>
  </si>
  <si>
    <t xml:space="preserve">exeggcute</t>
  </si>
  <si>
    <t xml:space="preserve">Exeggutor</t>
  </si>
  <si>
    <t xml:space="preserve">exeggutor</t>
  </si>
  <si>
    <t xml:space="preserve">Exeggutor-Alolan</t>
  </si>
  <si>
    <t xml:space="preserve">exeggutor-alolan</t>
  </si>
  <si>
    <t xml:space="preserve">exeggutor-alola</t>
  </si>
  <si>
    <t xml:space="preserve">Cubone</t>
  </si>
  <si>
    <t xml:space="preserve">cubone</t>
  </si>
  <si>
    <t xml:space="preserve">Marowak</t>
  </si>
  <si>
    <t xml:space="preserve">marowak</t>
  </si>
  <si>
    <t xml:space="preserve">Marowak-Alolan</t>
  </si>
  <si>
    <t xml:space="preserve">marowak-alolan</t>
  </si>
  <si>
    <t xml:space="preserve">marowak-alola</t>
  </si>
  <si>
    <t xml:space="preserve">Hitmonlee</t>
  </si>
  <si>
    <t xml:space="preserve">Tyrogue</t>
  </si>
  <si>
    <t xml:space="preserve">tyr_att</t>
  </si>
  <si>
    <t xml:space="preserve">hitmonlee</t>
  </si>
  <si>
    <t xml:space="preserve">Hitmonchan</t>
  </si>
  <si>
    <t xml:space="preserve">tyr_def</t>
  </si>
  <si>
    <t xml:space="preserve">hitmonchan</t>
  </si>
  <si>
    <t xml:space="preserve">Lickitung</t>
  </si>
  <si>
    <t xml:space="preserve">lickitung</t>
  </si>
  <si>
    <t xml:space="preserve">Koffing</t>
  </si>
  <si>
    <t xml:space="preserve">koffing</t>
  </si>
  <si>
    <t xml:space="preserve">Weezing</t>
  </si>
  <si>
    <t xml:space="preserve">weezing</t>
  </si>
  <si>
    <t xml:space="preserve">Rhyhorn</t>
  </si>
  <si>
    <t xml:space="preserve">rhyhorn</t>
  </si>
  <si>
    <t xml:space="preserve">Rhydon</t>
  </si>
  <si>
    <t xml:space="preserve">rhydon</t>
  </si>
  <si>
    <t xml:space="preserve">Chansey</t>
  </si>
  <si>
    <t xml:space="preserve">Happiny</t>
  </si>
  <si>
    <t xml:space="preserve">chansey</t>
  </si>
  <si>
    <t xml:space="preserve">Tangela</t>
  </si>
  <si>
    <t xml:space="preserve">tangela</t>
  </si>
  <si>
    <t xml:space="preserve">Kangaskhan</t>
  </si>
  <si>
    <t xml:space="preserve">kangaskhan</t>
  </si>
  <si>
    <t xml:space="preserve">Mega Kangaskhan</t>
  </si>
  <si>
    <t xml:space="preserve">Kangaskhan-Mega</t>
  </si>
  <si>
    <t xml:space="preserve">kangaskhan-mega</t>
  </si>
  <si>
    <t xml:space="preserve">Horsea</t>
  </si>
  <si>
    <t xml:space="preserve">horsea</t>
  </si>
  <si>
    <t xml:space="preserve">Seadra</t>
  </si>
  <si>
    <t xml:space="preserve">seadra</t>
  </si>
  <si>
    <t xml:space="preserve">Goldeen</t>
  </si>
  <si>
    <t xml:space="preserve">goldeen</t>
  </si>
  <si>
    <t xml:space="preserve">Seaking</t>
  </si>
  <si>
    <t xml:space="preserve">seaking</t>
  </si>
  <si>
    <t xml:space="preserve">Staryu</t>
  </si>
  <si>
    <t xml:space="preserve">staryu</t>
  </si>
  <si>
    <t xml:space="preserve">Starmie</t>
  </si>
  <si>
    <t xml:space="preserve">starmie</t>
  </si>
  <si>
    <t xml:space="preserve">Mr. Mime</t>
  </si>
  <si>
    <t xml:space="preserve">Mime Jr.</t>
  </si>
  <si>
    <t xml:space="preserve">mr-mime</t>
  </si>
  <si>
    <t xml:space="preserve">Scyther</t>
  </si>
  <si>
    <t xml:space="preserve">scyther</t>
  </si>
  <si>
    <t xml:space="preserve">Jynx</t>
  </si>
  <si>
    <t xml:space="preserve">Smoochum</t>
  </si>
  <si>
    <t xml:space="preserve">jynx</t>
  </si>
  <si>
    <t xml:space="preserve">Electabuzz</t>
  </si>
  <si>
    <t xml:space="preserve">Elekid</t>
  </si>
  <si>
    <t xml:space="preserve">electabuzz</t>
  </si>
  <si>
    <t xml:space="preserve">Magmar</t>
  </si>
  <si>
    <t xml:space="preserve">Magby</t>
  </si>
  <si>
    <t xml:space="preserve">magmar</t>
  </si>
  <si>
    <t xml:space="preserve">Pinsir</t>
  </si>
  <si>
    <t xml:space="preserve">pinsir</t>
  </si>
  <si>
    <t xml:space="preserve">Mega Pinsir</t>
  </si>
  <si>
    <t xml:space="preserve">Pinsir-Mega</t>
  </si>
  <si>
    <t xml:space="preserve">pinsir-mega</t>
  </si>
  <si>
    <t xml:space="preserve">Tauros</t>
  </si>
  <si>
    <t xml:space="preserve">tauros</t>
  </si>
  <si>
    <t xml:space="preserve">Magikarp</t>
  </si>
  <si>
    <t xml:space="preserve">magikarp</t>
  </si>
  <si>
    <t xml:space="preserve">Gyarados</t>
  </si>
  <si>
    <t xml:space="preserve">gyarados</t>
  </si>
  <si>
    <t xml:space="preserve">Mega Gyarados</t>
  </si>
  <si>
    <t xml:space="preserve">Gyarados-Mega</t>
  </si>
  <si>
    <t xml:space="preserve">gyarados-mega</t>
  </si>
  <si>
    <t xml:space="preserve">Lapras</t>
  </si>
  <si>
    <t xml:space="preserve">lapras</t>
  </si>
  <si>
    <t xml:space="preserve">Ditto</t>
  </si>
  <si>
    <t xml:space="preserve">ditto</t>
  </si>
  <si>
    <t xml:space="preserve">Eevee</t>
  </si>
  <si>
    <t xml:space="preserve">eevee</t>
  </si>
  <si>
    <t xml:space="preserve">Vaporeon</t>
  </si>
  <si>
    <t xml:space="preserve">vaporeon</t>
  </si>
  <si>
    <t xml:space="preserve">Jolteon</t>
  </si>
  <si>
    <t xml:space="preserve">jolteon</t>
  </si>
  <si>
    <t xml:space="preserve">Flareon</t>
  </si>
  <si>
    <t xml:space="preserve">flareon</t>
  </si>
  <si>
    <t xml:space="preserve">Porygon</t>
  </si>
  <si>
    <t xml:space="preserve">porygon</t>
  </si>
  <si>
    <t xml:space="preserve">Omanyte</t>
  </si>
  <si>
    <t xml:space="preserve">omanyte</t>
  </si>
  <si>
    <t xml:space="preserve">Omastar</t>
  </si>
  <si>
    <t xml:space="preserve">omastar</t>
  </si>
  <si>
    <t xml:space="preserve">Kabuto</t>
  </si>
  <si>
    <t xml:space="preserve">kabuto</t>
  </si>
  <si>
    <t xml:space="preserve">Kabutops</t>
  </si>
  <si>
    <t xml:space="preserve">kabutops</t>
  </si>
  <si>
    <t xml:space="preserve">Aerodactyl</t>
  </si>
  <si>
    <t xml:space="preserve">aerodactyl</t>
  </si>
  <si>
    <t xml:space="preserve">Mega Aerodacyl</t>
  </si>
  <si>
    <t xml:space="preserve">Aerodactyl-Mega</t>
  </si>
  <si>
    <t xml:space="preserve">aerodactyl-mega</t>
  </si>
  <si>
    <t xml:space="preserve">Snorlax</t>
  </si>
  <si>
    <t xml:space="preserve">Munchlax</t>
  </si>
  <si>
    <t xml:space="preserve">snorlax</t>
  </si>
  <si>
    <t xml:space="preserve">Articuno</t>
  </si>
  <si>
    <t xml:space="preserve">Legendary (lesser)</t>
  </si>
  <si>
    <t xml:space="preserve">articuno</t>
  </si>
  <si>
    <t xml:space="preserve">Zapdos</t>
  </si>
  <si>
    <t xml:space="preserve">zapdos</t>
  </si>
  <si>
    <t xml:space="preserve">Moltres</t>
  </si>
  <si>
    <t xml:space="preserve">moltres</t>
  </si>
  <si>
    <t xml:space="preserve">Dratini</t>
  </si>
  <si>
    <t xml:space="preserve">Pseudo-Legendary</t>
  </si>
  <si>
    <t xml:space="preserve">dratini</t>
  </si>
  <si>
    <t xml:space="preserve">Dragonair</t>
  </si>
  <si>
    <t xml:space="preserve">dragonair</t>
  </si>
  <si>
    <t xml:space="preserve">Dragonite</t>
  </si>
  <si>
    <t xml:space="preserve">dragonite</t>
  </si>
  <si>
    <t xml:space="preserve">Mewtwo</t>
  </si>
  <si>
    <t xml:space="preserve">Legendary (high)</t>
  </si>
  <si>
    <t xml:space="preserve">mewtwo</t>
  </si>
  <si>
    <t xml:space="preserve">Mega Mewtwo X</t>
  </si>
  <si>
    <t xml:space="preserve">Mewtwo-Mega-X</t>
  </si>
  <si>
    <t xml:space="preserve">mewtwo-mega-x</t>
  </si>
  <si>
    <t xml:space="preserve">mewtwo-megax</t>
  </si>
  <si>
    <t xml:space="preserve">Mega Mewtwo Y</t>
  </si>
  <si>
    <t xml:space="preserve">Mewtwo-Mega-Y</t>
  </si>
  <si>
    <t xml:space="preserve">mewtwo-mega-y</t>
  </si>
  <si>
    <t xml:space="preserve">mewtwo-megay</t>
  </si>
  <si>
    <t xml:space="preserve">Mew</t>
  </si>
  <si>
    <t xml:space="preserve">Mythical</t>
  </si>
  <si>
    <t xml:space="preserve">mew</t>
  </si>
  <si>
    <t xml:space="preserve">Chikorita</t>
  </si>
  <si>
    <t xml:space="preserve">2: Johto</t>
  </si>
  <si>
    <t xml:space="preserve">chikorita</t>
  </si>
  <si>
    <t xml:space="preserve">Bayleef</t>
  </si>
  <si>
    <t xml:space="preserve">bayleef</t>
  </si>
  <si>
    <t xml:space="preserve">Meganium</t>
  </si>
  <si>
    <t xml:space="preserve">meganium</t>
  </si>
  <si>
    <t xml:space="preserve">Cyndaquil</t>
  </si>
  <si>
    <t xml:space="preserve">cyndaquil</t>
  </si>
  <si>
    <t xml:space="preserve">Quilava</t>
  </si>
  <si>
    <t xml:space="preserve">quilava</t>
  </si>
  <si>
    <t xml:space="preserve">Typhlosion</t>
  </si>
  <si>
    <t xml:space="preserve">typhlosion</t>
  </si>
  <si>
    <t xml:space="preserve">Totodile</t>
  </si>
  <si>
    <t xml:space="preserve">totodile</t>
  </si>
  <si>
    <t xml:space="preserve">Croconaw</t>
  </si>
  <si>
    <t xml:space="preserve">croconaw</t>
  </si>
  <si>
    <t xml:space="preserve">Feraligatr</t>
  </si>
  <si>
    <t xml:space="preserve">feraligatr</t>
  </si>
  <si>
    <t xml:space="preserve">Sentret</t>
  </si>
  <si>
    <t xml:space="preserve">sentret</t>
  </si>
  <si>
    <t xml:space="preserve">Furret</t>
  </si>
  <si>
    <t xml:space="preserve">furret</t>
  </si>
  <si>
    <t xml:space="preserve">Hoothoot</t>
  </si>
  <si>
    <t xml:space="preserve">hoothoot</t>
  </si>
  <si>
    <t xml:space="preserve">Noctowl</t>
  </si>
  <si>
    <t xml:space="preserve">noctowl</t>
  </si>
  <si>
    <t xml:space="preserve">Ledyba</t>
  </si>
  <si>
    <t xml:space="preserve">ledyba</t>
  </si>
  <si>
    <t xml:space="preserve">Ledian</t>
  </si>
  <si>
    <t xml:space="preserve">ledian</t>
  </si>
  <si>
    <t xml:space="preserve">Spinarak</t>
  </si>
  <si>
    <t xml:space="preserve">spinarak</t>
  </si>
  <si>
    <t xml:space="preserve">Ariados</t>
  </si>
  <si>
    <t xml:space="preserve">ariados</t>
  </si>
  <si>
    <t xml:space="preserve">Crobat</t>
  </si>
  <si>
    <t xml:space="preserve">crobat</t>
  </si>
  <si>
    <t xml:space="preserve">Chinchou</t>
  </si>
  <si>
    <t xml:space="preserve">chinchou</t>
  </si>
  <si>
    <t xml:space="preserve">Lanturn</t>
  </si>
  <si>
    <t xml:space="preserve">lanturn</t>
  </si>
  <si>
    <t xml:space="preserve">Baby</t>
  </si>
  <si>
    <t xml:space="preserve">pichu</t>
  </si>
  <si>
    <t xml:space="preserve">cleffa</t>
  </si>
  <si>
    <t xml:space="preserve">igglybuff</t>
  </si>
  <si>
    <t xml:space="preserve">Togepi</t>
  </si>
  <si>
    <t xml:space="preserve">togepi</t>
  </si>
  <si>
    <t xml:space="preserve">Togetic</t>
  </si>
  <si>
    <t xml:space="preserve">togetic</t>
  </si>
  <si>
    <t xml:space="preserve">Natu</t>
  </si>
  <si>
    <t xml:space="preserve">natu</t>
  </si>
  <si>
    <t xml:space="preserve">Xatu</t>
  </si>
  <si>
    <t xml:space="preserve">xatu</t>
  </si>
  <si>
    <t xml:space="preserve">Mareep</t>
  </si>
  <si>
    <t xml:space="preserve">mareep</t>
  </si>
  <si>
    <t xml:space="preserve">Flaaffy</t>
  </si>
  <si>
    <t xml:space="preserve">flaaffy</t>
  </si>
  <si>
    <t xml:space="preserve">Ampharos</t>
  </si>
  <si>
    <t xml:space="preserve">ampharos</t>
  </si>
  <si>
    <t xml:space="preserve">Mega Ampharos</t>
  </si>
  <si>
    <t xml:space="preserve">Ampharos-Mega</t>
  </si>
  <si>
    <t xml:space="preserve">2: Johto (G6)</t>
  </si>
  <si>
    <t xml:space="preserve">ampharos-mega</t>
  </si>
  <si>
    <t xml:space="preserve">Bellossom</t>
  </si>
  <si>
    <t xml:space="preserve">sunstone</t>
  </si>
  <si>
    <t xml:space="preserve">bellossom</t>
  </si>
  <si>
    <t xml:space="preserve">Marill</t>
  </si>
  <si>
    <t xml:space="preserve">Azurill</t>
  </si>
  <si>
    <t xml:space="preserve">marill</t>
  </si>
  <si>
    <t xml:space="preserve">Azumarill</t>
  </si>
  <si>
    <t xml:space="preserve">azumarill</t>
  </si>
  <si>
    <t xml:space="preserve">Sudowoodo</t>
  </si>
  <si>
    <t xml:space="preserve">Bonsly</t>
  </si>
  <si>
    <t xml:space="preserve">sudowoodo</t>
  </si>
  <si>
    <t xml:space="preserve">Politoed</t>
  </si>
  <si>
    <t xml:space="preserve">kingsrock</t>
  </si>
  <si>
    <t xml:space="preserve">politoed</t>
  </si>
  <si>
    <t xml:space="preserve">Hoppip</t>
  </si>
  <si>
    <t xml:space="preserve">hoppip</t>
  </si>
  <si>
    <t xml:space="preserve">Skiploom</t>
  </si>
  <si>
    <t xml:space="preserve">skiploom</t>
  </si>
  <si>
    <t xml:space="preserve">Jumpluff</t>
  </si>
  <si>
    <t xml:space="preserve">jumpluff</t>
  </si>
  <si>
    <t xml:space="preserve">Aipom</t>
  </si>
  <si>
    <t xml:space="preserve">aipom</t>
  </si>
  <si>
    <t xml:space="preserve">Sunkern</t>
  </si>
  <si>
    <t xml:space="preserve">sunkern</t>
  </si>
  <si>
    <t xml:space="preserve">Sunflora</t>
  </si>
  <si>
    <t xml:space="preserve">sunflora</t>
  </si>
  <si>
    <t xml:space="preserve">Yanma</t>
  </si>
  <si>
    <t xml:space="preserve">yanma</t>
  </si>
  <si>
    <t xml:space="preserve">Wooper</t>
  </si>
  <si>
    <t xml:space="preserve">wooper</t>
  </si>
  <si>
    <t xml:space="preserve">Quagsire</t>
  </si>
  <si>
    <t xml:space="preserve">quagsire</t>
  </si>
  <si>
    <t xml:space="preserve">Espeon</t>
  </si>
  <si>
    <t xml:space="preserve">day10k</t>
  </si>
  <si>
    <t xml:space="preserve">espeon</t>
  </si>
  <si>
    <t xml:space="preserve">Umbreon</t>
  </si>
  <si>
    <t xml:space="preserve">night10k</t>
  </si>
  <si>
    <t xml:space="preserve">umbreon</t>
  </si>
  <si>
    <t xml:space="preserve">Murkrow</t>
  </si>
  <si>
    <t xml:space="preserve">murkrow</t>
  </si>
  <si>
    <t xml:space="preserve">Slowking</t>
  </si>
  <si>
    <t xml:space="preserve">slowking</t>
  </si>
  <si>
    <t xml:space="preserve">Misdreavus</t>
  </si>
  <si>
    <t xml:space="preserve">misdreavus</t>
  </si>
  <si>
    <t xml:space="preserve">Unown</t>
  </si>
  <si>
    <t xml:space="preserve">unown</t>
  </si>
  <si>
    <t xml:space="preserve">Wobbuffet</t>
  </si>
  <si>
    <t xml:space="preserve">Wynaut</t>
  </si>
  <si>
    <t xml:space="preserve">wobbuffet</t>
  </si>
  <si>
    <t xml:space="preserve">Girafarig</t>
  </si>
  <si>
    <t xml:space="preserve">girafarig</t>
  </si>
  <si>
    <t xml:space="preserve">Pineco</t>
  </si>
  <si>
    <t xml:space="preserve">pineco</t>
  </si>
  <si>
    <t xml:space="preserve">Forretress</t>
  </si>
  <si>
    <t xml:space="preserve">forretress</t>
  </si>
  <si>
    <t xml:space="preserve">Dunsparce</t>
  </si>
  <si>
    <t xml:space="preserve">dunsparce</t>
  </si>
  <si>
    <t xml:space="preserve">Gligar</t>
  </si>
  <si>
    <t xml:space="preserve">gligar</t>
  </si>
  <si>
    <t xml:space="preserve">Steelix</t>
  </si>
  <si>
    <t xml:space="preserve">metalcoat</t>
  </si>
  <si>
    <t xml:space="preserve">steelix</t>
  </si>
  <si>
    <t xml:space="preserve">Mega Steelix</t>
  </si>
  <si>
    <t xml:space="preserve">Steelix-Mega</t>
  </si>
  <si>
    <t xml:space="preserve">steelix-mega</t>
  </si>
  <si>
    <t xml:space="preserve">Snubbull</t>
  </si>
  <si>
    <t xml:space="preserve">snubbull</t>
  </si>
  <si>
    <t xml:space="preserve">Granbull</t>
  </si>
  <si>
    <t xml:space="preserve">granbull</t>
  </si>
  <si>
    <t xml:space="preserve">Qwilfish</t>
  </si>
  <si>
    <t xml:space="preserve">qwilfish</t>
  </si>
  <si>
    <t xml:space="preserve">Scizor</t>
  </si>
  <si>
    <t xml:space="preserve">scizor</t>
  </si>
  <si>
    <t xml:space="preserve">Mega Scizor</t>
  </si>
  <si>
    <t xml:space="preserve">Scizor-Mega</t>
  </si>
  <si>
    <t xml:space="preserve">scizor-mega</t>
  </si>
  <si>
    <t xml:space="preserve">Shuckle</t>
  </si>
  <si>
    <t xml:space="preserve">shuckle</t>
  </si>
  <si>
    <t xml:space="preserve">Heracross</t>
  </si>
  <si>
    <t xml:space="preserve">heracross</t>
  </si>
  <si>
    <t xml:space="preserve">Mega Heracross</t>
  </si>
  <si>
    <t xml:space="preserve">Heracross-Mega</t>
  </si>
  <si>
    <t xml:space="preserve">heracross-mega</t>
  </si>
  <si>
    <t xml:space="preserve">Sneasel</t>
  </si>
  <si>
    <t xml:space="preserve">sneasel</t>
  </si>
  <si>
    <t xml:space="preserve">Teddiursa</t>
  </si>
  <si>
    <t xml:space="preserve">teddiursa</t>
  </si>
  <si>
    <t xml:space="preserve">Ursaring</t>
  </si>
  <si>
    <t xml:space="preserve">ursaring</t>
  </si>
  <si>
    <t xml:space="preserve">Slugma</t>
  </si>
  <si>
    <t xml:space="preserve">slugma</t>
  </si>
  <si>
    <t xml:space="preserve">Magcargo</t>
  </si>
  <si>
    <t xml:space="preserve">magcargo</t>
  </si>
  <si>
    <t xml:space="preserve">Swinub</t>
  </si>
  <si>
    <t xml:space="preserve">swinub</t>
  </si>
  <si>
    <t xml:space="preserve">Piloswine</t>
  </si>
  <si>
    <t xml:space="preserve">piloswine</t>
  </si>
  <si>
    <t xml:space="preserve">Corsola</t>
  </si>
  <si>
    <t xml:space="preserve">corsola</t>
  </si>
  <si>
    <t xml:space="preserve">Remoraid</t>
  </si>
  <si>
    <t xml:space="preserve">remoraid</t>
  </si>
  <si>
    <t xml:space="preserve">Octillery</t>
  </si>
  <si>
    <t xml:space="preserve">octillery</t>
  </si>
  <si>
    <t xml:space="preserve">Delibird</t>
  </si>
  <si>
    <t xml:space="preserve">delibird</t>
  </si>
  <si>
    <t xml:space="preserve">Mantine</t>
  </si>
  <si>
    <t xml:space="preserve">Mantyke</t>
  </si>
  <si>
    <t xml:space="preserve">mantine</t>
  </si>
  <si>
    <t xml:space="preserve">Skarmory</t>
  </si>
  <si>
    <t xml:space="preserve">skarmory</t>
  </si>
  <si>
    <t xml:space="preserve">Houndour</t>
  </si>
  <si>
    <t xml:space="preserve">houndour</t>
  </si>
  <si>
    <t xml:space="preserve">Houndoom</t>
  </si>
  <si>
    <t xml:space="preserve">houndoom</t>
  </si>
  <si>
    <t xml:space="preserve">Mega Houndoom</t>
  </si>
  <si>
    <t xml:space="preserve">Houndoom-Mega</t>
  </si>
  <si>
    <t xml:space="preserve">houndoom-mega</t>
  </si>
  <si>
    <t xml:space="preserve">Kingdra</t>
  </si>
  <si>
    <t xml:space="preserve">dragonscale</t>
  </si>
  <si>
    <t xml:space="preserve">kingdra</t>
  </si>
  <si>
    <t xml:space="preserve">Phanpy</t>
  </si>
  <si>
    <t xml:space="preserve">phanpy</t>
  </si>
  <si>
    <t xml:space="preserve">Donphan</t>
  </si>
  <si>
    <t xml:space="preserve">donphan</t>
  </si>
  <si>
    <t xml:space="preserve">Porygon2</t>
  </si>
  <si>
    <t xml:space="preserve">upgrade</t>
  </si>
  <si>
    <t xml:space="preserve">porygon2</t>
  </si>
  <si>
    <t xml:space="preserve">Stantler</t>
  </si>
  <si>
    <t xml:space="preserve">stantler</t>
  </si>
  <si>
    <t xml:space="preserve">Smeargle</t>
  </si>
  <si>
    <t xml:space="preserve">smeargle</t>
  </si>
  <si>
    <t xml:space="preserve">tyrogue</t>
  </si>
  <si>
    <t xml:space="preserve">Hitmontop</t>
  </si>
  <si>
    <t xml:space="preserve">tyr_hp</t>
  </si>
  <si>
    <t xml:space="preserve">hitmontop</t>
  </si>
  <si>
    <t xml:space="preserve">smoochum</t>
  </si>
  <si>
    <t xml:space="preserve">elekid</t>
  </si>
  <si>
    <t xml:space="preserve">magby</t>
  </si>
  <si>
    <t xml:space="preserve">Miltank</t>
  </si>
  <si>
    <t xml:space="preserve">miltank</t>
  </si>
  <si>
    <t xml:space="preserve">Blissey</t>
  </si>
  <si>
    <t xml:space="preserve">blissey</t>
  </si>
  <si>
    <t xml:space="preserve">Raikou</t>
  </si>
  <si>
    <t xml:space="preserve">raikou</t>
  </si>
  <si>
    <t xml:space="preserve">Entei</t>
  </si>
  <si>
    <t xml:space="preserve">entei</t>
  </si>
  <si>
    <t xml:space="preserve">Suicune</t>
  </si>
  <si>
    <t xml:space="preserve">suicune</t>
  </si>
  <si>
    <t xml:space="preserve">Larvitar</t>
  </si>
  <si>
    <t xml:space="preserve">larvitar</t>
  </si>
  <si>
    <t xml:space="preserve">Pupitar</t>
  </si>
  <si>
    <t xml:space="preserve">pupitar</t>
  </si>
  <si>
    <t xml:space="preserve">tyranitar</t>
  </si>
  <si>
    <t xml:space="preserve">Mega Tyranitar</t>
  </si>
  <si>
    <t xml:space="preserve">Tyranitar-Mega</t>
  </si>
  <si>
    <t xml:space="preserve">tyranitar-mega</t>
  </si>
  <si>
    <t xml:space="preserve">Lugia</t>
  </si>
  <si>
    <t xml:space="preserve">lugia</t>
  </si>
  <si>
    <t xml:space="preserve">Ho-Oh</t>
  </si>
  <si>
    <t xml:space="preserve">ho-oh</t>
  </si>
  <si>
    <t xml:space="preserve">hooh</t>
  </si>
  <si>
    <t xml:space="preserve">Celebi</t>
  </si>
  <si>
    <t xml:space="preserve">celebi</t>
  </si>
  <si>
    <t xml:space="preserve">Treecko</t>
  </si>
  <si>
    <t xml:space="preserve">3: Hoenn</t>
  </si>
  <si>
    <t xml:space="preserve">treecko</t>
  </si>
  <si>
    <t xml:space="preserve">Grovyle</t>
  </si>
  <si>
    <t xml:space="preserve">grovyle</t>
  </si>
  <si>
    <t xml:space="preserve">Sceptile</t>
  </si>
  <si>
    <t xml:space="preserve">sceptile</t>
  </si>
  <si>
    <t xml:space="preserve">Mega Sceptile</t>
  </si>
  <si>
    <t xml:space="preserve">Sceptile-Mega</t>
  </si>
  <si>
    <t xml:space="preserve">3: Hoenn (G6)</t>
  </si>
  <si>
    <t xml:space="preserve">sceptile-mega</t>
  </si>
  <si>
    <t xml:space="preserve">Torchic</t>
  </si>
  <si>
    <t xml:space="preserve">torchic</t>
  </si>
  <si>
    <t xml:space="preserve">Combusken</t>
  </si>
  <si>
    <t xml:space="preserve">combusken</t>
  </si>
  <si>
    <t xml:space="preserve">Blaziken</t>
  </si>
  <si>
    <t xml:space="preserve">blaziken</t>
  </si>
  <si>
    <t xml:space="preserve">Mega Blaziken</t>
  </si>
  <si>
    <t xml:space="preserve">Blaziken-Mega</t>
  </si>
  <si>
    <t xml:space="preserve">blaziken-mega</t>
  </si>
  <si>
    <t xml:space="preserve">Mudkip</t>
  </si>
  <si>
    <t xml:space="preserve">mudkip</t>
  </si>
  <si>
    <t xml:space="preserve">Marshtomp</t>
  </si>
  <si>
    <t xml:space="preserve">marshtomp</t>
  </si>
  <si>
    <t xml:space="preserve">Swampert</t>
  </si>
  <si>
    <t xml:space="preserve">swampert</t>
  </si>
  <si>
    <t xml:space="preserve">Mega Swampert</t>
  </si>
  <si>
    <t xml:space="preserve">Swampert-Mega</t>
  </si>
  <si>
    <t xml:space="preserve">swampert-mega</t>
  </si>
  <si>
    <t xml:space="preserve">Poochyena</t>
  </si>
  <si>
    <t xml:space="preserve">poochyena</t>
  </si>
  <si>
    <t xml:space="preserve">Mightyena</t>
  </si>
  <si>
    <t xml:space="preserve">mightyena</t>
  </si>
  <si>
    <t xml:space="preserve">Zigzagoon</t>
  </si>
  <si>
    <t xml:space="preserve">zigzagoon</t>
  </si>
  <si>
    <t xml:space="preserve">Linoone</t>
  </si>
  <si>
    <t xml:space="preserve">linoone</t>
  </si>
  <si>
    <t xml:space="preserve">Wurmple</t>
  </si>
  <si>
    <t xml:space="preserve">wurmple</t>
  </si>
  <si>
    <t xml:space="preserve">Silcoon</t>
  </si>
  <si>
    <t xml:space="preserve">silcoon</t>
  </si>
  <si>
    <t xml:space="preserve">Beautifly</t>
  </si>
  <si>
    <t xml:space="preserve">beautifly</t>
  </si>
  <si>
    <t xml:space="preserve">Cascoon</t>
  </si>
  <si>
    <t xml:space="preserve">cascoon</t>
  </si>
  <si>
    <t xml:space="preserve">Dustox</t>
  </si>
  <si>
    <t xml:space="preserve">dustox</t>
  </si>
  <si>
    <t xml:space="preserve">Lotad</t>
  </si>
  <si>
    <t xml:space="preserve">lotad</t>
  </si>
  <si>
    <t xml:space="preserve">Lombre</t>
  </si>
  <si>
    <t xml:space="preserve">lombre</t>
  </si>
  <si>
    <t xml:space="preserve">Ludicolo</t>
  </si>
  <si>
    <t xml:space="preserve">ludicolo</t>
  </si>
  <si>
    <t xml:space="preserve">Seedot</t>
  </si>
  <si>
    <t xml:space="preserve">seedot</t>
  </si>
  <si>
    <t xml:space="preserve">Nuzleaf</t>
  </si>
  <si>
    <t xml:space="preserve">nuzleaf</t>
  </si>
  <si>
    <t xml:space="preserve">Shiftry</t>
  </si>
  <si>
    <t xml:space="preserve">shiftry</t>
  </si>
  <si>
    <t xml:space="preserve">Taillow</t>
  </si>
  <si>
    <t xml:space="preserve">taillow</t>
  </si>
  <si>
    <t xml:space="preserve">Swellow</t>
  </si>
  <si>
    <t xml:space="preserve">swellow</t>
  </si>
  <si>
    <t xml:space="preserve">Wingull</t>
  </si>
  <si>
    <t xml:space="preserve">wingull</t>
  </si>
  <si>
    <t xml:space="preserve">Pelipper</t>
  </si>
  <si>
    <t xml:space="preserve">pelipper</t>
  </si>
  <si>
    <t xml:space="preserve">Ralts</t>
  </si>
  <si>
    <t xml:space="preserve">ralts</t>
  </si>
  <si>
    <t xml:space="preserve">Kirlia</t>
  </si>
  <si>
    <t xml:space="preserve">kirlia</t>
  </si>
  <si>
    <t xml:space="preserve">Gardevoir</t>
  </si>
  <si>
    <t xml:space="preserve">gardevoir</t>
  </si>
  <si>
    <t xml:space="preserve">Mega Gardevoir</t>
  </si>
  <si>
    <t xml:space="preserve">Gardevoir-Mega</t>
  </si>
  <si>
    <t xml:space="preserve">gardevoir-mega</t>
  </si>
  <si>
    <t xml:space="preserve">Surskit</t>
  </si>
  <si>
    <t xml:space="preserve">surskit</t>
  </si>
  <si>
    <t xml:space="preserve">Masquerain</t>
  </si>
  <si>
    <t xml:space="preserve">masquerain</t>
  </si>
  <si>
    <t xml:space="preserve">Shroomish</t>
  </si>
  <si>
    <t xml:space="preserve">shroomish</t>
  </si>
  <si>
    <t xml:space="preserve">Breloom</t>
  </si>
  <si>
    <t xml:space="preserve">breloom</t>
  </si>
  <si>
    <t xml:space="preserve">Slakoth</t>
  </si>
  <si>
    <t xml:space="preserve">slakoth</t>
  </si>
  <si>
    <t xml:space="preserve">Vigoroth</t>
  </si>
  <si>
    <t xml:space="preserve">vigoroth</t>
  </si>
  <si>
    <t xml:space="preserve">Slaking</t>
  </si>
  <si>
    <t xml:space="preserve">slaking</t>
  </si>
  <si>
    <t xml:space="preserve">Nincada</t>
  </si>
  <si>
    <t xml:space="preserve">nincada</t>
  </si>
  <si>
    <t xml:space="preserve">Ninjask</t>
  </si>
  <si>
    <t xml:space="preserve">ninjask</t>
  </si>
  <si>
    <t xml:space="preserve">Shedinja</t>
  </si>
  <si>
    <t xml:space="preserve">shedinja</t>
  </si>
  <si>
    <t xml:space="preserve">Whismur</t>
  </si>
  <si>
    <t xml:space="preserve">whismur</t>
  </si>
  <si>
    <t xml:space="preserve">Loudred</t>
  </si>
  <si>
    <t xml:space="preserve">loudred</t>
  </si>
  <si>
    <t xml:space="preserve">Exploud</t>
  </si>
  <si>
    <t xml:space="preserve">exploud</t>
  </si>
  <si>
    <t xml:space="preserve">Makuhita</t>
  </si>
  <si>
    <t xml:space="preserve">makuhita</t>
  </si>
  <si>
    <t xml:space="preserve">Hariyama</t>
  </si>
  <si>
    <t xml:space="preserve">hariyama</t>
  </si>
  <si>
    <t xml:space="preserve">azurill</t>
  </si>
  <si>
    <t xml:space="preserve">Nosepass</t>
  </si>
  <si>
    <t xml:space="preserve">nosepass</t>
  </si>
  <si>
    <t xml:space="preserve">Skitty</t>
  </si>
  <si>
    <t xml:space="preserve">skitty</t>
  </si>
  <si>
    <t xml:space="preserve">Delcatty</t>
  </si>
  <si>
    <t xml:space="preserve">delcatty</t>
  </si>
  <si>
    <t xml:space="preserve">Sableye</t>
  </si>
  <si>
    <t xml:space="preserve">sableye</t>
  </si>
  <si>
    <t xml:space="preserve">Mega Sableye</t>
  </si>
  <si>
    <t xml:space="preserve">Sableye-Mega</t>
  </si>
  <si>
    <t xml:space="preserve">sableye-mega</t>
  </si>
  <si>
    <t xml:space="preserve">Mawile</t>
  </si>
  <si>
    <t xml:space="preserve">mawile</t>
  </si>
  <si>
    <t xml:space="preserve">Mega Mawile</t>
  </si>
  <si>
    <t xml:space="preserve">Mawile-Mega</t>
  </si>
  <si>
    <t xml:space="preserve">mawile-mega</t>
  </si>
  <si>
    <t xml:space="preserve">Aron</t>
  </si>
  <si>
    <t xml:space="preserve">aron</t>
  </si>
  <si>
    <t xml:space="preserve">Lairon</t>
  </si>
  <si>
    <t xml:space="preserve">lairon</t>
  </si>
  <si>
    <t xml:space="preserve">Aggron</t>
  </si>
  <si>
    <t xml:space="preserve">aggron</t>
  </si>
  <si>
    <t xml:space="preserve">Mega Aggron</t>
  </si>
  <si>
    <t xml:space="preserve">Aggron-Mega</t>
  </si>
  <si>
    <t xml:space="preserve">aggron-mega</t>
  </si>
  <si>
    <t xml:space="preserve">Meditite</t>
  </si>
  <si>
    <t xml:space="preserve">meditite</t>
  </si>
  <si>
    <t xml:space="preserve">Medicham</t>
  </si>
  <si>
    <t xml:space="preserve">medicham</t>
  </si>
  <si>
    <t xml:space="preserve">Mega Medicham</t>
  </si>
  <si>
    <t xml:space="preserve">Medicham-Mega</t>
  </si>
  <si>
    <t xml:space="preserve">medicham-mega</t>
  </si>
  <si>
    <t xml:space="preserve">Electrike</t>
  </si>
  <si>
    <t xml:space="preserve">electrike</t>
  </si>
  <si>
    <t xml:space="preserve">Manectric</t>
  </si>
  <si>
    <t xml:space="preserve">manectric</t>
  </si>
  <si>
    <t xml:space="preserve">Mega Manectric</t>
  </si>
  <si>
    <t xml:space="preserve">Manectric-Mega</t>
  </si>
  <si>
    <t xml:space="preserve">manectric-mega</t>
  </si>
  <si>
    <t xml:space="preserve">Plusle</t>
  </si>
  <si>
    <t xml:space="preserve">plusle</t>
  </si>
  <si>
    <t xml:space="preserve">Minun</t>
  </si>
  <si>
    <t xml:space="preserve">minun</t>
  </si>
  <si>
    <t xml:space="preserve">Volbeat</t>
  </si>
  <si>
    <t xml:space="preserve">volbeat</t>
  </si>
  <si>
    <t xml:space="preserve">Illumise</t>
  </si>
  <si>
    <t xml:space="preserve">illumise</t>
  </si>
  <si>
    <t xml:space="preserve">Roselia</t>
  </si>
  <si>
    <t xml:space="preserve">Budew</t>
  </si>
  <si>
    <t xml:space="preserve">roselia</t>
  </si>
  <si>
    <t xml:space="preserve">Gulpin</t>
  </si>
  <si>
    <t xml:space="preserve">gulpin</t>
  </si>
  <si>
    <t xml:space="preserve">Swalot</t>
  </si>
  <si>
    <t xml:space="preserve">swalot</t>
  </si>
  <si>
    <t xml:space="preserve">Carvanha</t>
  </si>
  <si>
    <t xml:space="preserve">carvanha</t>
  </si>
  <si>
    <t xml:space="preserve">Sharpedo</t>
  </si>
  <si>
    <t xml:space="preserve">sharpedo</t>
  </si>
  <si>
    <t xml:space="preserve">Mega Sharpedo</t>
  </si>
  <si>
    <t xml:space="preserve">Sharpedo-Mega</t>
  </si>
  <si>
    <t xml:space="preserve">sharpedo-mega</t>
  </si>
  <si>
    <t xml:space="preserve">Wailmer</t>
  </si>
  <si>
    <t xml:space="preserve">wailmer</t>
  </si>
  <si>
    <t xml:space="preserve">Wailord</t>
  </si>
  <si>
    <t xml:space="preserve">wailord</t>
  </si>
  <si>
    <t xml:space="preserve">Numel</t>
  </si>
  <si>
    <t xml:space="preserve">numel</t>
  </si>
  <si>
    <t xml:space="preserve">Camerupt</t>
  </si>
  <si>
    <t xml:space="preserve">camerupt</t>
  </si>
  <si>
    <t xml:space="preserve">Mega Camerupt</t>
  </si>
  <si>
    <t xml:space="preserve">Camerupt-Mega</t>
  </si>
  <si>
    <t xml:space="preserve">camerupt-mega</t>
  </si>
  <si>
    <t xml:space="preserve">Torkoal</t>
  </si>
  <si>
    <t xml:space="preserve">torkoal</t>
  </si>
  <si>
    <t xml:space="preserve">Spoink</t>
  </si>
  <si>
    <t xml:space="preserve">spoink</t>
  </si>
  <si>
    <t xml:space="preserve">Grumpig</t>
  </si>
  <si>
    <t xml:space="preserve">grumpig</t>
  </si>
  <si>
    <t xml:space="preserve">Spinda</t>
  </si>
  <si>
    <t xml:space="preserve">spinda</t>
  </si>
  <si>
    <t xml:space="preserve">Trapinch</t>
  </si>
  <si>
    <t xml:space="preserve">trapinch</t>
  </si>
  <si>
    <t xml:space="preserve">Vibrava</t>
  </si>
  <si>
    <t xml:space="preserve">vibrava</t>
  </si>
  <si>
    <t xml:space="preserve">Flygon</t>
  </si>
  <si>
    <t xml:space="preserve">flygon</t>
  </si>
  <si>
    <t xml:space="preserve">Cacnea</t>
  </si>
  <si>
    <t xml:space="preserve">cacnea</t>
  </si>
  <si>
    <t xml:space="preserve">Cacturne</t>
  </si>
  <si>
    <t xml:space="preserve">cacturne</t>
  </si>
  <si>
    <t xml:space="preserve">Swablu</t>
  </si>
  <si>
    <t xml:space="preserve">swablu</t>
  </si>
  <si>
    <t xml:space="preserve">Altaria</t>
  </si>
  <si>
    <t xml:space="preserve">altaria</t>
  </si>
  <si>
    <t xml:space="preserve">Mega Altaria</t>
  </si>
  <si>
    <t xml:space="preserve">Altaria-Mega</t>
  </si>
  <si>
    <t xml:space="preserve">altaria-mega</t>
  </si>
  <si>
    <t xml:space="preserve">Zangoose</t>
  </si>
  <si>
    <t xml:space="preserve">zangoose</t>
  </si>
  <si>
    <t xml:space="preserve">Seviper</t>
  </si>
  <si>
    <t xml:space="preserve">seviper</t>
  </si>
  <si>
    <t xml:space="preserve">Lunatone</t>
  </si>
  <si>
    <t xml:space="preserve">lunatone</t>
  </si>
  <si>
    <t xml:space="preserve">Solrock</t>
  </si>
  <si>
    <t xml:space="preserve">solrock</t>
  </si>
  <si>
    <t xml:space="preserve">Barboach</t>
  </si>
  <si>
    <t xml:space="preserve">barboach</t>
  </si>
  <si>
    <t xml:space="preserve">Whiscash</t>
  </si>
  <si>
    <t xml:space="preserve">whiscash</t>
  </si>
  <si>
    <t xml:space="preserve">Corphish</t>
  </si>
  <si>
    <t xml:space="preserve">corphish</t>
  </si>
  <si>
    <t xml:space="preserve">Crawdaunt</t>
  </si>
  <si>
    <t xml:space="preserve">crawdaunt</t>
  </si>
  <si>
    <t xml:space="preserve">Baltoy</t>
  </si>
  <si>
    <t xml:space="preserve">baltoy</t>
  </si>
  <si>
    <t xml:space="preserve">Claydol</t>
  </si>
  <si>
    <t xml:space="preserve">claydol</t>
  </si>
  <si>
    <t xml:space="preserve">Lileep</t>
  </si>
  <si>
    <t xml:space="preserve">lileep</t>
  </si>
  <si>
    <t xml:space="preserve">Cradily</t>
  </si>
  <si>
    <t xml:space="preserve">cradily</t>
  </si>
  <si>
    <t xml:space="preserve">Anorith</t>
  </si>
  <si>
    <t xml:space="preserve">anorith</t>
  </si>
  <si>
    <t xml:space="preserve">Armaldo</t>
  </si>
  <si>
    <t xml:space="preserve">armaldo</t>
  </si>
  <si>
    <t xml:space="preserve">Feebas</t>
  </si>
  <si>
    <t xml:space="preserve">feebas</t>
  </si>
  <si>
    <t xml:space="preserve">Milotic</t>
  </si>
  <si>
    <t xml:space="preserve">20k_buddy</t>
  </si>
  <si>
    <t xml:space="preserve">milotic</t>
  </si>
  <si>
    <t xml:space="preserve">Castform</t>
  </si>
  <si>
    <t xml:space="preserve">castform</t>
  </si>
  <si>
    <t xml:space="preserve">Sunny Form</t>
  </si>
  <si>
    <t xml:space="preserve">Castform-Sunny</t>
  </si>
  <si>
    <t xml:space="preserve">castform-sunny</t>
  </si>
  <si>
    <t xml:space="preserve">Rainy Form</t>
  </si>
  <si>
    <t xml:space="preserve">Castform-Rainy</t>
  </si>
  <si>
    <t xml:space="preserve">castform-rainy</t>
  </si>
  <si>
    <t xml:space="preserve">Snowy Form</t>
  </si>
  <si>
    <t xml:space="preserve">Castform-Snowy</t>
  </si>
  <si>
    <t xml:space="preserve">castform-snowy</t>
  </si>
  <si>
    <t xml:space="preserve">Kecleon</t>
  </si>
  <si>
    <t xml:space="preserve">kecleon</t>
  </si>
  <si>
    <t xml:space="preserve">Shuppet</t>
  </si>
  <si>
    <t xml:space="preserve">shuppet</t>
  </si>
  <si>
    <t xml:space="preserve">Banette</t>
  </si>
  <si>
    <t xml:space="preserve">banette</t>
  </si>
  <si>
    <t xml:space="preserve">Mega Banette</t>
  </si>
  <si>
    <t xml:space="preserve">Banette-Mega</t>
  </si>
  <si>
    <t xml:space="preserve">banette-mega</t>
  </si>
  <si>
    <t xml:space="preserve">Duskull</t>
  </si>
  <si>
    <t xml:space="preserve">duskull</t>
  </si>
  <si>
    <t xml:space="preserve">Dusclops</t>
  </si>
  <si>
    <t xml:space="preserve">dusclops</t>
  </si>
  <si>
    <t xml:space="preserve">Tropius</t>
  </si>
  <si>
    <t xml:space="preserve">tropius</t>
  </si>
  <si>
    <t xml:space="preserve">Chimecho</t>
  </si>
  <si>
    <t xml:space="preserve">Chingling</t>
  </si>
  <si>
    <t xml:space="preserve">chimecho</t>
  </si>
  <si>
    <t xml:space="preserve">Absol</t>
  </si>
  <si>
    <t xml:space="preserve">absol</t>
  </si>
  <si>
    <t xml:space="preserve">Mega Absol</t>
  </si>
  <si>
    <t xml:space="preserve">Absol-Mega</t>
  </si>
  <si>
    <t xml:space="preserve">absol-mega</t>
  </si>
  <si>
    <t xml:space="preserve">wynaut</t>
  </si>
  <si>
    <t xml:space="preserve">Snorunt</t>
  </si>
  <si>
    <t xml:space="preserve">snorunt</t>
  </si>
  <si>
    <t xml:space="preserve">Glalie</t>
  </si>
  <si>
    <t xml:space="preserve">glalie</t>
  </si>
  <si>
    <t xml:space="preserve">Mega Glalie</t>
  </si>
  <si>
    <t xml:space="preserve">Glalie-Mega</t>
  </si>
  <si>
    <t xml:space="preserve">glalie-mega</t>
  </si>
  <si>
    <t xml:space="preserve">Spheal</t>
  </si>
  <si>
    <t xml:space="preserve">spheal</t>
  </si>
  <si>
    <t xml:space="preserve">Sealeo</t>
  </si>
  <si>
    <t xml:space="preserve">sealeo</t>
  </si>
  <si>
    <t xml:space="preserve">Walrein</t>
  </si>
  <si>
    <t xml:space="preserve">walrein</t>
  </si>
  <si>
    <t xml:space="preserve">Clamperl</t>
  </si>
  <si>
    <t xml:space="preserve">clamperl</t>
  </si>
  <si>
    <t xml:space="preserve">Huntail</t>
  </si>
  <si>
    <t xml:space="preserve">huntail</t>
  </si>
  <si>
    <t xml:space="preserve">Gorebyss</t>
  </si>
  <si>
    <t xml:space="preserve">gorebyss</t>
  </si>
  <si>
    <t xml:space="preserve">Relicanth</t>
  </si>
  <si>
    <t xml:space="preserve">relicanth</t>
  </si>
  <si>
    <t xml:space="preserve">Luvdisc</t>
  </si>
  <si>
    <t xml:space="preserve">luvdisc</t>
  </si>
  <si>
    <t xml:space="preserve">Bagon</t>
  </si>
  <si>
    <t xml:space="preserve">bagon</t>
  </si>
  <si>
    <t xml:space="preserve">Shelgon</t>
  </si>
  <si>
    <t xml:space="preserve">shelgon</t>
  </si>
  <si>
    <t xml:space="preserve">Salamence</t>
  </si>
  <si>
    <t xml:space="preserve">salamence</t>
  </si>
  <si>
    <t xml:space="preserve">Mega Salamence</t>
  </si>
  <si>
    <t xml:space="preserve">Salamence-Mega</t>
  </si>
  <si>
    <t xml:space="preserve">salamence-mega</t>
  </si>
  <si>
    <t xml:space="preserve">Beldum</t>
  </si>
  <si>
    <t xml:space="preserve">beldum</t>
  </si>
  <si>
    <t xml:space="preserve">Metang</t>
  </si>
  <si>
    <t xml:space="preserve">metang</t>
  </si>
  <si>
    <t xml:space="preserve">Metagross</t>
  </si>
  <si>
    <t xml:space="preserve">metagross</t>
  </si>
  <si>
    <t xml:space="preserve">Mega Metagross</t>
  </si>
  <si>
    <t xml:space="preserve">Metagross-Mega</t>
  </si>
  <si>
    <t xml:space="preserve">metagross-mega</t>
  </si>
  <si>
    <t xml:space="preserve">Regirock</t>
  </si>
  <si>
    <t xml:space="preserve">regirock</t>
  </si>
  <si>
    <t xml:space="preserve">Regice</t>
  </si>
  <si>
    <t xml:space="preserve">regice</t>
  </si>
  <si>
    <t xml:space="preserve">Registeel</t>
  </si>
  <si>
    <t xml:space="preserve">registeel</t>
  </si>
  <si>
    <t xml:space="preserve">Latias</t>
  </si>
  <si>
    <t xml:space="preserve">Legendary (mid)</t>
  </si>
  <si>
    <t xml:space="preserve">latias</t>
  </si>
  <si>
    <t xml:space="preserve">Mega Latias</t>
  </si>
  <si>
    <t xml:space="preserve">Latias-Mega</t>
  </si>
  <si>
    <t xml:space="preserve">latias-mega</t>
  </si>
  <si>
    <t xml:space="preserve">Latios</t>
  </si>
  <si>
    <t xml:space="preserve">latios</t>
  </si>
  <si>
    <t xml:space="preserve">Mega Latios</t>
  </si>
  <si>
    <t xml:space="preserve">Latios-Mega</t>
  </si>
  <si>
    <t xml:space="preserve">latios-mega</t>
  </si>
  <si>
    <t xml:space="preserve">Kyogre</t>
  </si>
  <si>
    <t xml:space="preserve">kyogre</t>
  </si>
  <si>
    <t xml:space="preserve">Primal Kyogre</t>
  </si>
  <si>
    <t xml:space="preserve">Kyogre-Primal</t>
  </si>
  <si>
    <t xml:space="preserve">kyogre-primal</t>
  </si>
  <si>
    <t xml:space="preserve">Groudon</t>
  </si>
  <si>
    <t xml:space="preserve">groudon</t>
  </si>
  <si>
    <t xml:space="preserve">Primal Groudon</t>
  </si>
  <si>
    <t xml:space="preserve">Groudon-Primal</t>
  </si>
  <si>
    <t xml:space="preserve">groudon-primal</t>
  </si>
  <si>
    <t xml:space="preserve">Rayquaza</t>
  </si>
  <si>
    <t xml:space="preserve">rayquaza</t>
  </si>
  <si>
    <t xml:space="preserve">Mega Rayquaza</t>
  </si>
  <si>
    <t xml:space="preserve">Rayquaza-Mega</t>
  </si>
  <si>
    <t xml:space="preserve">rayquaza-mega</t>
  </si>
  <si>
    <t xml:space="preserve">Jirachi</t>
  </si>
  <si>
    <t xml:space="preserve">jirachi</t>
  </si>
  <si>
    <t xml:space="preserve">deoxys-normal</t>
  </si>
  <si>
    <t xml:space="preserve">deoxys</t>
  </si>
  <si>
    <t xml:space="preserve">Attack Forme</t>
  </si>
  <si>
    <t xml:space="preserve">Deoxys-Attack</t>
  </si>
  <si>
    <t xml:space="preserve">deoxys-attack</t>
  </si>
  <si>
    <t xml:space="preserve">Defense Forme</t>
  </si>
  <si>
    <t xml:space="preserve">Deoxys-Defense</t>
  </si>
  <si>
    <t xml:space="preserve">deoxys-defense</t>
  </si>
  <si>
    <t xml:space="preserve">Speed Forme</t>
  </si>
  <si>
    <t xml:space="preserve">Deoxys-Speed</t>
  </si>
  <si>
    <t xml:space="preserve">deoxys-speed</t>
  </si>
  <si>
    <t xml:space="preserve">Turtwig</t>
  </si>
  <si>
    <t xml:space="preserve">4: Sinnoh</t>
  </si>
  <si>
    <t xml:space="preserve">turtwig</t>
  </si>
  <si>
    <t xml:space="preserve">Grotle</t>
  </si>
  <si>
    <t xml:space="preserve">grotle</t>
  </si>
  <si>
    <t xml:space="preserve">Torterra</t>
  </si>
  <si>
    <t xml:space="preserve">torterra</t>
  </si>
  <si>
    <t xml:space="preserve">Chimchar</t>
  </si>
  <si>
    <t xml:space="preserve">chimchar</t>
  </si>
  <si>
    <t xml:space="preserve">Monferno</t>
  </si>
  <si>
    <t xml:space="preserve">monferno</t>
  </si>
  <si>
    <t xml:space="preserve">Infernape</t>
  </si>
  <si>
    <t xml:space="preserve">infernape</t>
  </si>
  <si>
    <t xml:space="preserve">Piplup</t>
  </si>
  <si>
    <t xml:space="preserve">piplup</t>
  </si>
  <si>
    <t xml:space="preserve">Prinplup</t>
  </si>
  <si>
    <t xml:space="preserve">prinplup</t>
  </si>
  <si>
    <t xml:space="preserve">Empoleon</t>
  </si>
  <si>
    <t xml:space="preserve">empoleon</t>
  </si>
  <si>
    <t xml:space="preserve">Starly</t>
  </si>
  <si>
    <t xml:space="preserve">starly</t>
  </si>
  <si>
    <t xml:space="preserve">Staravia</t>
  </si>
  <si>
    <t xml:space="preserve">staravia</t>
  </si>
  <si>
    <t xml:space="preserve">Staraptor</t>
  </si>
  <si>
    <t xml:space="preserve">staraptor</t>
  </si>
  <si>
    <t xml:space="preserve">Bidoof</t>
  </si>
  <si>
    <t xml:space="preserve">bidoof</t>
  </si>
  <si>
    <t xml:space="preserve">Bibarel</t>
  </si>
  <si>
    <t xml:space="preserve">bibarel</t>
  </si>
  <si>
    <t xml:space="preserve">Kricketot</t>
  </si>
  <si>
    <t xml:space="preserve">kricketot</t>
  </si>
  <si>
    <t xml:space="preserve">Kricketune</t>
  </si>
  <si>
    <t xml:space="preserve">kricketune</t>
  </si>
  <si>
    <t xml:space="preserve">Shinx</t>
  </si>
  <si>
    <t xml:space="preserve">shinx</t>
  </si>
  <si>
    <t xml:space="preserve">Luxio</t>
  </si>
  <si>
    <t xml:space="preserve">luxio</t>
  </si>
  <si>
    <t xml:space="preserve">Luxray</t>
  </si>
  <si>
    <t xml:space="preserve">luxray</t>
  </si>
  <si>
    <t xml:space="preserve">budew</t>
  </si>
  <si>
    <t xml:space="preserve">Roserade</t>
  </si>
  <si>
    <t xml:space="preserve">roserade</t>
  </si>
  <si>
    <t xml:space="preserve">Cranidos</t>
  </si>
  <si>
    <t xml:space="preserve">cranidos</t>
  </si>
  <si>
    <t xml:space="preserve">Rampardos</t>
  </si>
  <si>
    <t xml:space="preserve">rampardos</t>
  </si>
  <si>
    <t xml:space="preserve">Shieldon</t>
  </si>
  <si>
    <t xml:space="preserve">shieldon</t>
  </si>
  <si>
    <t xml:space="preserve">Bastiodon</t>
  </si>
  <si>
    <t xml:space="preserve">bastiodon</t>
  </si>
  <si>
    <t xml:space="preserve">Burmy</t>
  </si>
  <si>
    <t xml:space="preserve">burmy</t>
  </si>
  <si>
    <t xml:space="preserve">Wormadam</t>
  </si>
  <si>
    <t xml:space="preserve">Plant Cloak</t>
  </si>
  <si>
    <t xml:space="preserve">Wormadam-Plant</t>
  </si>
  <si>
    <t xml:space="preserve">wormadam-plant</t>
  </si>
  <si>
    <t xml:space="preserve">wormadam</t>
  </si>
  <si>
    <t xml:space="preserve">Sandy Cloak</t>
  </si>
  <si>
    <t xml:space="preserve">Wormadam-Sandy</t>
  </si>
  <si>
    <t xml:space="preserve">wormadam-sandy</t>
  </si>
  <si>
    <t xml:space="preserve">Trash Cloak</t>
  </si>
  <si>
    <t xml:space="preserve">Wormadam-Trash</t>
  </si>
  <si>
    <t xml:space="preserve">wormadam-trash</t>
  </si>
  <si>
    <t xml:space="preserve">Mothim</t>
  </si>
  <si>
    <t xml:space="preserve">mothim</t>
  </si>
  <si>
    <t xml:space="preserve">Combee</t>
  </si>
  <si>
    <t xml:space="preserve">combee</t>
  </si>
  <si>
    <t xml:space="preserve">Vespiquen</t>
  </si>
  <si>
    <t xml:space="preserve">vespiquen</t>
  </si>
  <si>
    <t xml:space="preserve">Pachirisu</t>
  </si>
  <si>
    <t xml:space="preserve">pachirisu</t>
  </si>
  <si>
    <t xml:space="preserve">Buizel</t>
  </si>
  <si>
    <t xml:space="preserve">buizel</t>
  </si>
  <si>
    <t xml:space="preserve">Floatzel</t>
  </si>
  <si>
    <t xml:space="preserve">floatzel</t>
  </si>
  <si>
    <t xml:space="preserve">Cherubi</t>
  </si>
  <si>
    <t xml:space="preserve">cherubi</t>
  </si>
  <si>
    <t xml:space="preserve">Cherrim</t>
  </si>
  <si>
    <t xml:space="preserve">cherrim</t>
  </si>
  <si>
    <t xml:space="preserve">Shellos</t>
  </si>
  <si>
    <t xml:space="preserve">shellos</t>
  </si>
  <si>
    <t xml:space="preserve">Gastrodon</t>
  </si>
  <si>
    <t xml:space="preserve">gastrodon</t>
  </si>
  <si>
    <t xml:space="preserve">Ambipom</t>
  </si>
  <si>
    <t xml:space="preserve">ambipom</t>
  </si>
  <si>
    <t xml:space="preserve">Drifloon</t>
  </si>
  <si>
    <t xml:space="preserve">drifloon</t>
  </si>
  <si>
    <t xml:space="preserve">Drifblim</t>
  </si>
  <si>
    <t xml:space="preserve">drifblim</t>
  </si>
  <si>
    <t xml:space="preserve">Buneary</t>
  </si>
  <si>
    <t xml:space="preserve">buneary</t>
  </si>
  <si>
    <t xml:space="preserve">Lopunny</t>
  </si>
  <si>
    <t xml:space="preserve">lopunny</t>
  </si>
  <si>
    <t xml:space="preserve">Mega Lopunny</t>
  </si>
  <si>
    <t xml:space="preserve">Lopunny-Mega</t>
  </si>
  <si>
    <t xml:space="preserve">4: Sinnoh (G6)</t>
  </si>
  <si>
    <t xml:space="preserve">lopunny-mega</t>
  </si>
  <si>
    <t xml:space="preserve">Mismagius</t>
  </si>
  <si>
    <t xml:space="preserve">mismagius</t>
  </si>
  <si>
    <t xml:space="preserve">Honchkrow</t>
  </si>
  <si>
    <t xml:space="preserve">honchkrow</t>
  </si>
  <si>
    <t xml:space="preserve">Glameow</t>
  </si>
  <si>
    <t xml:space="preserve">glameow</t>
  </si>
  <si>
    <t xml:space="preserve">Purugly</t>
  </si>
  <si>
    <t xml:space="preserve">purugly</t>
  </si>
  <si>
    <t xml:space="preserve">chingling</t>
  </si>
  <si>
    <t xml:space="preserve">Stunky</t>
  </si>
  <si>
    <t xml:space="preserve">stunky</t>
  </si>
  <si>
    <t xml:space="preserve">Skuntank</t>
  </si>
  <si>
    <t xml:space="preserve">skuntank</t>
  </si>
  <si>
    <t xml:space="preserve">Bronzor</t>
  </si>
  <si>
    <t xml:space="preserve">bronzor</t>
  </si>
  <si>
    <t xml:space="preserve">Bronzong</t>
  </si>
  <si>
    <t xml:space="preserve">bronzong</t>
  </si>
  <si>
    <t xml:space="preserve">bonsly</t>
  </si>
  <si>
    <t xml:space="preserve">mime-jr</t>
  </si>
  <si>
    <t xml:space="preserve">mimejr</t>
  </si>
  <si>
    <t xml:space="preserve">happiny</t>
  </si>
  <si>
    <t xml:space="preserve">Chatot</t>
  </si>
  <si>
    <t xml:space="preserve">chatot</t>
  </si>
  <si>
    <t xml:space="preserve">Spiritomb</t>
  </si>
  <si>
    <t xml:space="preserve">spiritomb</t>
  </si>
  <si>
    <t xml:space="preserve">Gible</t>
  </si>
  <si>
    <t xml:space="preserve">gible</t>
  </si>
  <si>
    <t xml:space="preserve">Gabite</t>
  </si>
  <si>
    <t xml:space="preserve">gabite</t>
  </si>
  <si>
    <t xml:space="preserve">Garchomp</t>
  </si>
  <si>
    <t xml:space="preserve">garchomp</t>
  </si>
  <si>
    <t xml:space="preserve">Mega Garchomp</t>
  </si>
  <si>
    <t xml:space="preserve">Garchomp-Mega</t>
  </si>
  <si>
    <t xml:space="preserve">garchomp-mega</t>
  </si>
  <si>
    <t xml:space="preserve">munchlax</t>
  </si>
  <si>
    <t xml:space="preserve">Riolu</t>
  </si>
  <si>
    <t xml:space="preserve">riolu</t>
  </si>
  <si>
    <t xml:space="preserve">Lucario</t>
  </si>
  <si>
    <t xml:space="preserve">lucario</t>
  </si>
  <si>
    <t xml:space="preserve">Mega Lucario</t>
  </si>
  <si>
    <t xml:space="preserve">Lucario-Mega</t>
  </si>
  <si>
    <t xml:space="preserve">lucario-mega</t>
  </si>
  <si>
    <t xml:space="preserve">Hippopotas</t>
  </si>
  <si>
    <t xml:space="preserve">hippopotas</t>
  </si>
  <si>
    <t xml:space="preserve">Hippowdon</t>
  </si>
  <si>
    <t xml:space="preserve">hippowdon</t>
  </si>
  <si>
    <t xml:space="preserve">Skorupi</t>
  </si>
  <si>
    <t xml:space="preserve">skorupi</t>
  </si>
  <si>
    <t xml:space="preserve">Drapion</t>
  </si>
  <si>
    <t xml:space="preserve">drapion</t>
  </si>
  <si>
    <t xml:space="preserve">Croagunk</t>
  </si>
  <si>
    <t xml:space="preserve">croagunk</t>
  </si>
  <si>
    <t xml:space="preserve">Toxicroak</t>
  </si>
  <si>
    <t xml:space="preserve">toxicroak</t>
  </si>
  <si>
    <t xml:space="preserve">Carnivine</t>
  </si>
  <si>
    <t xml:space="preserve">carnivine</t>
  </si>
  <si>
    <t xml:space="preserve">Finneon</t>
  </si>
  <si>
    <t xml:space="preserve">finneon</t>
  </si>
  <si>
    <t xml:space="preserve">Lumineon</t>
  </si>
  <si>
    <t xml:space="preserve">lumineon</t>
  </si>
  <si>
    <t xml:space="preserve">mantyke</t>
  </si>
  <si>
    <t xml:space="preserve">Snover</t>
  </si>
  <si>
    <t xml:space="preserve">snover</t>
  </si>
  <si>
    <t xml:space="preserve">Abomasnow</t>
  </si>
  <si>
    <t xml:space="preserve">abomasnow</t>
  </si>
  <si>
    <t xml:space="preserve">Mega Abomasnow</t>
  </si>
  <si>
    <t xml:space="preserve">Abomasnow-Mega</t>
  </si>
  <si>
    <t xml:space="preserve">abomasnow-mega</t>
  </si>
  <si>
    <t xml:space="preserve">Weavile</t>
  </si>
  <si>
    <t xml:space="preserve">weavile</t>
  </si>
  <si>
    <t xml:space="preserve">Magnezone</t>
  </si>
  <si>
    <t xml:space="preserve">magnezone</t>
  </si>
  <si>
    <t xml:space="preserve">Lickilicky</t>
  </si>
  <si>
    <t xml:space="preserve">lickilicky</t>
  </si>
  <si>
    <t xml:space="preserve">Rhyperior</t>
  </si>
  <si>
    <t xml:space="preserve">rhyperior</t>
  </si>
  <si>
    <t xml:space="preserve">Tangrowth</t>
  </si>
  <si>
    <t xml:space="preserve">tangrowth</t>
  </si>
  <si>
    <t xml:space="preserve">Electivire</t>
  </si>
  <si>
    <t xml:space="preserve">electivire</t>
  </si>
  <si>
    <t xml:space="preserve">Magmortar</t>
  </si>
  <si>
    <t xml:space="preserve">magmortar</t>
  </si>
  <si>
    <t xml:space="preserve">Togekiss</t>
  </si>
  <si>
    <t xml:space="preserve">togekiss</t>
  </si>
  <si>
    <t xml:space="preserve">Yanmega</t>
  </si>
  <si>
    <t xml:space="preserve">yanmega</t>
  </si>
  <si>
    <t xml:space="preserve">Leafeon</t>
  </si>
  <si>
    <t xml:space="preserve">leafeon</t>
  </si>
  <si>
    <t xml:space="preserve">Glaceon</t>
  </si>
  <si>
    <t xml:space="preserve">glaceon</t>
  </si>
  <si>
    <t xml:space="preserve">Gliscor</t>
  </si>
  <si>
    <t xml:space="preserve">gliscor</t>
  </si>
  <si>
    <t xml:space="preserve">Mamoswine</t>
  </si>
  <si>
    <t xml:space="preserve">mamoswine</t>
  </si>
  <si>
    <t xml:space="preserve">Porygon-Z</t>
  </si>
  <si>
    <t xml:space="preserve">porygon-z</t>
  </si>
  <si>
    <t xml:space="preserve">Gallade</t>
  </si>
  <si>
    <t xml:space="preserve">gallade</t>
  </si>
  <si>
    <t xml:space="preserve">Mega Gallade</t>
  </si>
  <si>
    <t xml:space="preserve">Gallade-Mega</t>
  </si>
  <si>
    <t xml:space="preserve">gallade-mega</t>
  </si>
  <si>
    <t xml:space="preserve">Probopass</t>
  </si>
  <si>
    <t xml:space="preserve">probopass</t>
  </si>
  <si>
    <t xml:space="preserve">Dusknoir</t>
  </si>
  <si>
    <t xml:space="preserve">dusknoir</t>
  </si>
  <si>
    <t xml:space="preserve">Froslass</t>
  </si>
  <si>
    <t xml:space="preserve">froslass</t>
  </si>
  <si>
    <t xml:space="preserve">Rotom</t>
  </si>
  <si>
    <t xml:space="preserve">rotom-normal</t>
  </si>
  <si>
    <t xml:space="preserve">rotom</t>
  </si>
  <si>
    <t xml:space="preserve">Heat Rotom</t>
  </si>
  <si>
    <t xml:space="preserve">Rotom-Heat</t>
  </si>
  <si>
    <t xml:space="preserve">rotom-heat</t>
  </si>
  <si>
    <t xml:space="preserve">Wash Rotom</t>
  </si>
  <si>
    <t xml:space="preserve">Rotom-Wash</t>
  </si>
  <si>
    <t xml:space="preserve">rotom-wash</t>
  </si>
  <si>
    <t xml:space="preserve">Frost Rotom</t>
  </si>
  <si>
    <t xml:space="preserve">Rotom-Frost</t>
  </si>
  <si>
    <t xml:space="preserve">rotom-frost</t>
  </si>
  <si>
    <t xml:space="preserve">Fan Rotom</t>
  </si>
  <si>
    <t xml:space="preserve">Rotom-Fan</t>
  </si>
  <si>
    <t xml:space="preserve">rotom-fan</t>
  </si>
  <si>
    <t xml:space="preserve">Mow Rotom</t>
  </si>
  <si>
    <t xml:space="preserve">Rotom-Mow</t>
  </si>
  <si>
    <t xml:space="preserve">rotom-mow</t>
  </si>
  <si>
    <t xml:space="preserve">Uxie</t>
  </si>
  <si>
    <t xml:space="preserve">uxie</t>
  </si>
  <si>
    <t xml:space="preserve">Mesprit</t>
  </si>
  <si>
    <t xml:space="preserve">mesprit</t>
  </si>
  <si>
    <t xml:space="preserve">Azelf</t>
  </si>
  <si>
    <t xml:space="preserve">azelf</t>
  </si>
  <si>
    <t xml:space="preserve">Dialga</t>
  </si>
  <si>
    <t xml:space="preserve">dialga</t>
  </si>
  <si>
    <t xml:space="preserve">Palkia</t>
  </si>
  <si>
    <t xml:space="preserve">palkia</t>
  </si>
  <si>
    <t xml:space="preserve">Heatran</t>
  </si>
  <si>
    <t xml:space="preserve">heatran</t>
  </si>
  <si>
    <t xml:space="preserve">Regigigas</t>
  </si>
  <si>
    <t xml:space="preserve">regigigas</t>
  </si>
  <si>
    <t xml:space="preserve">Giratina</t>
  </si>
  <si>
    <t xml:space="preserve">Altered Forme</t>
  </si>
  <si>
    <t xml:space="preserve">giratina-altered</t>
  </si>
  <si>
    <t xml:space="preserve">giratina</t>
  </si>
  <si>
    <t xml:space="preserve">Origin Forme</t>
  </si>
  <si>
    <t xml:space="preserve">Giratina-Origin</t>
  </si>
  <si>
    <t xml:space="preserve">giratina-origin</t>
  </si>
  <si>
    <t xml:space="preserve">Cresselia</t>
  </si>
  <si>
    <t xml:space="preserve">cresselia</t>
  </si>
  <si>
    <t xml:space="preserve">Phione</t>
  </si>
  <si>
    <t xml:space="preserve">phione</t>
  </si>
  <si>
    <t xml:space="preserve">Manaphy</t>
  </si>
  <si>
    <t xml:space="preserve">manaphy</t>
  </si>
  <si>
    <t xml:space="preserve">Darkrai</t>
  </si>
  <si>
    <t xml:space="preserve">darkrai</t>
  </si>
  <si>
    <t xml:space="preserve">Shaymin</t>
  </si>
  <si>
    <t xml:space="preserve">Land Forme</t>
  </si>
  <si>
    <t xml:space="preserve">shaymin-land</t>
  </si>
  <si>
    <t xml:space="preserve">shaymin</t>
  </si>
  <si>
    <t xml:space="preserve">Sky Forme</t>
  </si>
  <si>
    <t xml:space="preserve">Shaymin-Sky</t>
  </si>
  <si>
    <t xml:space="preserve">shaymin-sky</t>
  </si>
  <si>
    <t xml:space="preserve">Arceus</t>
  </si>
  <si>
    <t xml:space="preserve">Arceus-Normal</t>
  </si>
  <si>
    <t xml:space="preserve">arceus</t>
  </si>
  <si>
    <t xml:space="preserve">Arceus-Fighting</t>
  </si>
  <si>
    <t xml:space="preserve">arceus-fighting</t>
  </si>
  <si>
    <t xml:space="preserve">Arceus-Flying</t>
  </si>
  <si>
    <t xml:space="preserve">arceus-flying</t>
  </si>
  <si>
    <t xml:space="preserve">Arceus-Poison</t>
  </si>
  <si>
    <t xml:space="preserve">arceus-poison</t>
  </si>
  <si>
    <t xml:space="preserve">Arceus-Ground</t>
  </si>
  <si>
    <t xml:space="preserve">arceus-ground</t>
  </si>
  <si>
    <t xml:space="preserve">Arceus-Rock</t>
  </si>
  <si>
    <t xml:space="preserve">arceus-rock</t>
  </si>
  <si>
    <t xml:space="preserve">Arceus-Bug</t>
  </si>
  <si>
    <t xml:space="preserve">arceus-bug</t>
  </si>
  <si>
    <t xml:space="preserve">Arceus-Ghost</t>
  </si>
  <si>
    <t xml:space="preserve">arceus-ghost</t>
  </si>
  <si>
    <t xml:space="preserve">Arceus-Steel</t>
  </si>
  <si>
    <t xml:space="preserve">arceus-steel</t>
  </si>
  <si>
    <t xml:space="preserve">Arceus-Fire</t>
  </si>
  <si>
    <t xml:space="preserve">arceus-fire</t>
  </si>
  <si>
    <t xml:space="preserve">Arceus-Water</t>
  </si>
  <si>
    <t xml:space="preserve">arceus-water</t>
  </si>
  <si>
    <t xml:space="preserve">Arceus-Grass</t>
  </si>
  <si>
    <t xml:space="preserve">arceus-grass</t>
  </si>
  <si>
    <t xml:space="preserve">Arceus-Electric</t>
  </si>
  <si>
    <t xml:space="preserve">arceus-electric</t>
  </si>
  <si>
    <t xml:space="preserve">Arceus-Psychic</t>
  </si>
  <si>
    <t xml:space="preserve">arceus-psychic</t>
  </si>
  <si>
    <t xml:space="preserve">Arceus-Ice</t>
  </si>
  <si>
    <t xml:space="preserve">arceus-ice</t>
  </si>
  <si>
    <t xml:space="preserve">Arceus-Dragon</t>
  </si>
  <si>
    <t xml:space="preserve">arceus-dragon</t>
  </si>
  <si>
    <t xml:space="preserve">Arceus-Dark</t>
  </si>
  <si>
    <t xml:space="preserve">arceus-dark</t>
  </si>
  <si>
    <t xml:space="preserve">Arceus-Fairy</t>
  </si>
  <si>
    <t xml:space="preserve">arceus-fairy</t>
  </si>
  <si>
    <t xml:space="preserve">Victini</t>
  </si>
  <si>
    <t xml:space="preserve">5: Unova</t>
  </si>
  <si>
    <t xml:space="preserve">victini</t>
  </si>
  <si>
    <t xml:space="preserve">Snivy</t>
  </si>
  <si>
    <t xml:space="preserve">snivy</t>
  </si>
  <si>
    <t xml:space="preserve">Servine</t>
  </si>
  <si>
    <t xml:space="preserve">servine</t>
  </si>
  <si>
    <t xml:space="preserve">Serperior</t>
  </si>
  <si>
    <t xml:space="preserve">serperior</t>
  </si>
  <si>
    <t xml:space="preserve">Tepig</t>
  </si>
  <si>
    <t xml:space="preserve">tepig</t>
  </si>
  <si>
    <t xml:space="preserve">Pignite</t>
  </si>
  <si>
    <t xml:space="preserve">pignite</t>
  </si>
  <si>
    <t xml:space="preserve">Emboar</t>
  </si>
  <si>
    <t xml:space="preserve">emboar</t>
  </si>
  <si>
    <t xml:space="preserve">Oshawott</t>
  </si>
  <si>
    <t xml:space="preserve">oshawott</t>
  </si>
  <si>
    <t xml:space="preserve">Dewott</t>
  </si>
  <si>
    <t xml:space="preserve">dewott</t>
  </si>
  <si>
    <t xml:space="preserve">Samurott</t>
  </si>
  <si>
    <t xml:space="preserve">samurott</t>
  </si>
  <si>
    <t xml:space="preserve">Patrat</t>
  </si>
  <si>
    <t xml:space="preserve">patrat</t>
  </si>
  <si>
    <t xml:space="preserve">Watchog</t>
  </si>
  <si>
    <t xml:space="preserve">watchog</t>
  </si>
  <si>
    <t xml:space="preserve">Lillipup</t>
  </si>
  <si>
    <t xml:space="preserve">lillipup</t>
  </si>
  <si>
    <t xml:space="preserve">Herdier</t>
  </si>
  <si>
    <t xml:space="preserve">herdier</t>
  </si>
  <si>
    <t xml:space="preserve">Stoutland</t>
  </si>
  <si>
    <t xml:space="preserve">stoutland</t>
  </si>
  <si>
    <t xml:space="preserve">Purrloin</t>
  </si>
  <si>
    <t xml:space="preserve">purrloin</t>
  </si>
  <si>
    <t xml:space="preserve">Liepard</t>
  </si>
  <si>
    <t xml:space="preserve">liepard</t>
  </si>
  <si>
    <t xml:space="preserve">Pansage</t>
  </si>
  <si>
    <t xml:space="preserve">pansage</t>
  </si>
  <si>
    <t xml:space="preserve">Simisage</t>
  </si>
  <si>
    <t xml:space="preserve">simisage</t>
  </si>
  <si>
    <t xml:space="preserve">Pansear</t>
  </si>
  <si>
    <t xml:space="preserve">pansear</t>
  </si>
  <si>
    <t xml:space="preserve">Simisear</t>
  </si>
  <si>
    <t xml:space="preserve">simisear</t>
  </si>
  <si>
    <t xml:space="preserve">Panpour</t>
  </si>
  <si>
    <t xml:space="preserve">panpour</t>
  </si>
  <si>
    <t xml:space="preserve">Simipour</t>
  </si>
  <si>
    <t xml:space="preserve">simipour</t>
  </si>
  <si>
    <t xml:space="preserve">Munna</t>
  </si>
  <si>
    <t xml:space="preserve">munna</t>
  </si>
  <si>
    <t xml:space="preserve">Musharna</t>
  </si>
  <si>
    <t xml:space="preserve">musharna</t>
  </si>
  <si>
    <t xml:space="preserve">Pidove</t>
  </si>
  <si>
    <t xml:space="preserve">pidove</t>
  </si>
  <si>
    <t xml:space="preserve">Tranquill</t>
  </si>
  <si>
    <t xml:space="preserve">tranquill</t>
  </si>
  <si>
    <t xml:space="preserve">Unfezant</t>
  </si>
  <si>
    <t xml:space="preserve">unfezant</t>
  </si>
  <si>
    <t xml:space="preserve">Blitzle</t>
  </si>
  <si>
    <t xml:space="preserve">blitzle</t>
  </si>
  <si>
    <t xml:space="preserve">Zebstrika</t>
  </si>
  <si>
    <t xml:space="preserve">zebstrika</t>
  </si>
  <si>
    <t xml:space="preserve">Roggenrola</t>
  </si>
  <si>
    <t xml:space="preserve">roggenrola</t>
  </si>
  <si>
    <t xml:space="preserve">Boldore</t>
  </si>
  <si>
    <t xml:space="preserve">boldore</t>
  </si>
  <si>
    <t xml:space="preserve">Gigalith</t>
  </si>
  <si>
    <t xml:space="preserve">gigalith</t>
  </si>
  <si>
    <t xml:space="preserve">Woobat</t>
  </si>
  <si>
    <t xml:space="preserve">woobat</t>
  </si>
  <si>
    <t xml:space="preserve">Swoobat</t>
  </si>
  <si>
    <t xml:space="preserve">swoobat</t>
  </si>
  <si>
    <t xml:space="preserve">Drilbur</t>
  </si>
  <si>
    <t xml:space="preserve">drilbur</t>
  </si>
  <si>
    <t xml:space="preserve">Excadrill</t>
  </si>
  <si>
    <t xml:space="preserve">excadrill</t>
  </si>
  <si>
    <t xml:space="preserve">Audino</t>
  </si>
  <si>
    <t xml:space="preserve">audino</t>
  </si>
  <si>
    <t xml:space="preserve">Mega Audino</t>
  </si>
  <si>
    <t xml:space="preserve">Audino-Mega</t>
  </si>
  <si>
    <t xml:space="preserve">5: Unova (G6)</t>
  </si>
  <si>
    <t xml:space="preserve">audino-mega</t>
  </si>
  <si>
    <t xml:space="preserve">Timburr</t>
  </si>
  <si>
    <t xml:space="preserve">timburr</t>
  </si>
  <si>
    <t xml:space="preserve">Gurdurr</t>
  </si>
  <si>
    <t xml:space="preserve">gurdurr</t>
  </si>
  <si>
    <t xml:space="preserve">Conkeldurr</t>
  </si>
  <si>
    <t xml:space="preserve">conkeldurr</t>
  </si>
  <si>
    <t xml:space="preserve">Tympole</t>
  </si>
  <si>
    <t xml:space="preserve">tympole</t>
  </si>
  <si>
    <t xml:space="preserve">Palpitoad</t>
  </si>
  <si>
    <t xml:space="preserve">palpitoad</t>
  </si>
  <si>
    <t xml:space="preserve">Seismitoad</t>
  </si>
  <si>
    <t xml:space="preserve">seismitoad</t>
  </si>
  <si>
    <t xml:space="preserve">Throh</t>
  </si>
  <si>
    <t xml:space="preserve">throh</t>
  </si>
  <si>
    <t xml:space="preserve">Sawk</t>
  </si>
  <si>
    <t xml:space="preserve">sawk</t>
  </si>
  <si>
    <t xml:space="preserve">Sewaddle</t>
  </si>
  <si>
    <t xml:space="preserve">sewaddle</t>
  </si>
  <si>
    <t xml:space="preserve">Swadloon</t>
  </si>
  <si>
    <t xml:space="preserve">swadloon</t>
  </si>
  <si>
    <t xml:space="preserve">Leavanny</t>
  </si>
  <si>
    <t xml:space="preserve">leavanny</t>
  </si>
  <si>
    <t xml:space="preserve">Venipede</t>
  </si>
  <si>
    <t xml:space="preserve">venipede</t>
  </si>
  <si>
    <t xml:space="preserve">Whirlipede</t>
  </si>
  <si>
    <t xml:space="preserve">whirlipede</t>
  </si>
  <si>
    <t xml:space="preserve">Scolipede</t>
  </si>
  <si>
    <t xml:space="preserve">scolipede</t>
  </si>
  <si>
    <t xml:space="preserve">Cottonee</t>
  </si>
  <si>
    <t xml:space="preserve">cottonee</t>
  </si>
  <si>
    <t xml:space="preserve">Whimsicott</t>
  </si>
  <si>
    <t xml:space="preserve">whimsicott</t>
  </si>
  <si>
    <t xml:space="preserve">Petilil</t>
  </si>
  <si>
    <t xml:space="preserve">petilil</t>
  </si>
  <si>
    <t xml:space="preserve">Lilligant</t>
  </si>
  <si>
    <t xml:space="preserve">lilligant</t>
  </si>
  <si>
    <t xml:space="preserve">Basculin</t>
  </si>
  <si>
    <t xml:space="preserve">basculin</t>
  </si>
  <si>
    <t xml:space="preserve">Sandile</t>
  </si>
  <si>
    <t xml:space="preserve">sandile</t>
  </si>
  <si>
    <t xml:space="preserve">Krokorok</t>
  </si>
  <si>
    <t xml:space="preserve">krokorok</t>
  </si>
  <si>
    <t xml:space="preserve">Krookodile</t>
  </si>
  <si>
    <t xml:space="preserve">krookodile</t>
  </si>
  <si>
    <t xml:space="preserve">Darumaka</t>
  </si>
  <si>
    <t xml:space="preserve">darumaka</t>
  </si>
  <si>
    <t xml:space="preserve">Darmanitan</t>
  </si>
  <si>
    <t xml:space="preserve">Standard Mode</t>
  </si>
  <si>
    <t xml:space="preserve">darmanitan-standard</t>
  </si>
  <si>
    <t xml:space="preserve">darmanitan</t>
  </si>
  <si>
    <t xml:space="preserve">Zen Mode</t>
  </si>
  <si>
    <t xml:space="preserve">Darmanitan-Zen</t>
  </si>
  <si>
    <t xml:space="preserve">darmanitan-zen</t>
  </si>
  <si>
    <t xml:space="preserve">Maractus</t>
  </si>
  <si>
    <t xml:space="preserve">maractus</t>
  </si>
  <si>
    <t xml:space="preserve">Dwebble</t>
  </si>
  <si>
    <t xml:space="preserve">dwebble</t>
  </si>
  <si>
    <t xml:space="preserve">Crustle</t>
  </si>
  <si>
    <t xml:space="preserve">crustle</t>
  </si>
  <si>
    <t xml:space="preserve">Scraggy</t>
  </si>
  <si>
    <t xml:space="preserve">scraggy</t>
  </si>
  <si>
    <t xml:space="preserve">Scrafty</t>
  </si>
  <si>
    <t xml:space="preserve">scrafty</t>
  </si>
  <si>
    <t xml:space="preserve">Sigilyph</t>
  </si>
  <si>
    <t xml:space="preserve">sigilyph</t>
  </si>
  <si>
    <t xml:space="preserve">Yamask</t>
  </si>
  <si>
    <t xml:space="preserve">yamask</t>
  </si>
  <si>
    <t xml:space="preserve">Cofagrigus</t>
  </si>
  <si>
    <t xml:space="preserve">cofagrigus</t>
  </si>
  <si>
    <t xml:space="preserve">Tirtouga</t>
  </si>
  <si>
    <t xml:space="preserve">tirtouga</t>
  </si>
  <si>
    <t xml:space="preserve">Carracosta</t>
  </si>
  <si>
    <t xml:space="preserve">carracosta</t>
  </si>
  <si>
    <t xml:space="preserve">Archen</t>
  </si>
  <si>
    <t xml:space="preserve">archen</t>
  </si>
  <si>
    <t xml:space="preserve">Archeops</t>
  </si>
  <si>
    <t xml:space="preserve">archeops</t>
  </si>
  <si>
    <t xml:space="preserve">Trubbish</t>
  </si>
  <si>
    <t xml:space="preserve">trubbish</t>
  </si>
  <si>
    <t xml:space="preserve">Garbodor</t>
  </si>
  <si>
    <t xml:space="preserve">garbodor</t>
  </si>
  <si>
    <t xml:space="preserve">Zorua</t>
  </si>
  <si>
    <t xml:space="preserve">zorua</t>
  </si>
  <si>
    <t xml:space="preserve">Zoroark</t>
  </si>
  <si>
    <t xml:space="preserve">zoroark</t>
  </si>
  <si>
    <t xml:space="preserve">Minccino</t>
  </si>
  <si>
    <t xml:space="preserve">minccino</t>
  </si>
  <si>
    <t xml:space="preserve">Cinccino</t>
  </si>
  <si>
    <t xml:space="preserve">cinccino</t>
  </si>
  <si>
    <t xml:space="preserve">Gothita</t>
  </si>
  <si>
    <t xml:space="preserve">gothita</t>
  </si>
  <si>
    <t xml:space="preserve">Gothorita</t>
  </si>
  <si>
    <t xml:space="preserve">gothorita</t>
  </si>
  <si>
    <t xml:space="preserve">Gothitelle</t>
  </si>
  <si>
    <t xml:space="preserve">gothitelle</t>
  </si>
  <si>
    <t xml:space="preserve">Solosis</t>
  </si>
  <si>
    <t xml:space="preserve">solosis</t>
  </si>
  <si>
    <t xml:space="preserve">Duosion</t>
  </si>
  <si>
    <t xml:space="preserve">duosion</t>
  </si>
  <si>
    <t xml:space="preserve">Reuniclus</t>
  </si>
  <si>
    <t xml:space="preserve">reuniclus</t>
  </si>
  <si>
    <t xml:space="preserve">Ducklett</t>
  </si>
  <si>
    <t xml:space="preserve">ducklett</t>
  </si>
  <si>
    <t xml:space="preserve">Swanna</t>
  </si>
  <si>
    <t xml:space="preserve">swanna</t>
  </si>
  <si>
    <t xml:space="preserve">Vanillite</t>
  </si>
  <si>
    <t xml:space="preserve">vanillite</t>
  </si>
  <si>
    <t xml:space="preserve">Vanillish</t>
  </si>
  <si>
    <t xml:space="preserve">vanillish</t>
  </si>
  <si>
    <t xml:space="preserve">Vanilluxe</t>
  </si>
  <si>
    <t xml:space="preserve">vanilluxe</t>
  </si>
  <si>
    <t xml:space="preserve">Deerling</t>
  </si>
  <si>
    <t xml:space="preserve">deerling</t>
  </si>
  <si>
    <t xml:space="preserve">Sawsbuck</t>
  </si>
  <si>
    <t xml:space="preserve">sawsbuck</t>
  </si>
  <si>
    <t xml:space="preserve">Emolga</t>
  </si>
  <si>
    <t xml:space="preserve">emolga</t>
  </si>
  <si>
    <t xml:space="preserve">Karrablast</t>
  </si>
  <si>
    <t xml:space="preserve">karrablast</t>
  </si>
  <si>
    <t xml:space="preserve">Escavalier</t>
  </si>
  <si>
    <t xml:space="preserve">escavalier</t>
  </si>
  <si>
    <t xml:space="preserve">Foongus</t>
  </si>
  <si>
    <t xml:space="preserve">foongus</t>
  </si>
  <si>
    <t xml:space="preserve">Amoonguss</t>
  </si>
  <si>
    <t xml:space="preserve">amoonguss</t>
  </si>
  <si>
    <t xml:space="preserve">Frillish</t>
  </si>
  <si>
    <t xml:space="preserve">frillish</t>
  </si>
  <si>
    <t xml:space="preserve">Jellicent</t>
  </si>
  <si>
    <t xml:space="preserve">jellicent</t>
  </si>
  <si>
    <t xml:space="preserve">Alomomola</t>
  </si>
  <si>
    <t xml:space="preserve">alomomola</t>
  </si>
  <si>
    <t xml:space="preserve">Joltik</t>
  </si>
  <si>
    <t xml:space="preserve">joltik</t>
  </si>
  <si>
    <t xml:space="preserve">Galvantula</t>
  </si>
  <si>
    <t xml:space="preserve">galvantula</t>
  </si>
  <si>
    <t xml:space="preserve">Ferroseed</t>
  </si>
  <si>
    <t xml:space="preserve">ferroseed</t>
  </si>
  <si>
    <t xml:space="preserve">Ferrothorn</t>
  </si>
  <si>
    <t xml:space="preserve">ferrothorn</t>
  </si>
  <si>
    <t xml:space="preserve">Klink</t>
  </si>
  <si>
    <t xml:space="preserve">klink</t>
  </si>
  <si>
    <t xml:space="preserve">Klang</t>
  </si>
  <si>
    <t xml:space="preserve">klang</t>
  </si>
  <si>
    <t xml:space="preserve">Klinklang</t>
  </si>
  <si>
    <t xml:space="preserve">klinklang</t>
  </si>
  <si>
    <t xml:space="preserve">Tynamo</t>
  </si>
  <si>
    <t xml:space="preserve">tynamo</t>
  </si>
  <si>
    <t xml:space="preserve">Eelektrik</t>
  </si>
  <si>
    <t xml:space="preserve">eelektrik</t>
  </si>
  <si>
    <t xml:space="preserve">Eelektross</t>
  </si>
  <si>
    <t xml:space="preserve">eelektross</t>
  </si>
  <si>
    <t xml:space="preserve">Elgyem</t>
  </si>
  <si>
    <t xml:space="preserve">elgyem</t>
  </si>
  <si>
    <t xml:space="preserve">Beheeyem</t>
  </si>
  <si>
    <t xml:space="preserve">beheeyem</t>
  </si>
  <si>
    <t xml:space="preserve">Litwick</t>
  </si>
  <si>
    <t xml:space="preserve">litwick</t>
  </si>
  <si>
    <t xml:space="preserve">Lampent</t>
  </si>
  <si>
    <t xml:space="preserve">lampent</t>
  </si>
  <si>
    <t xml:space="preserve">Chandelure</t>
  </si>
  <si>
    <t xml:space="preserve">chandelure</t>
  </si>
  <si>
    <t xml:space="preserve">Axew</t>
  </si>
  <si>
    <t xml:space="preserve">axew</t>
  </si>
  <si>
    <t xml:space="preserve">Fraxure</t>
  </si>
  <si>
    <t xml:space="preserve">fraxure</t>
  </si>
  <si>
    <t xml:space="preserve">Haxorus</t>
  </si>
  <si>
    <t xml:space="preserve">haxorus</t>
  </si>
  <si>
    <t xml:space="preserve">Cubchoo</t>
  </si>
  <si>
    <t xml:space="preserve">cubchoo</t>
  </si>
  <si>
    <t xml:space="preserve">Beartic</t>
  </si>
  <si>
    <t xml:space="preserve">beartic</t>
  </si>
  <si>
    <t xml:space="preserve">Cryogonal</t>
  </si>
  <si>
    <t xml:space="preserve">cryogonal</t>
  </si>
  <si>
    <t xml:space="preserve">Shelmet</t>
  </si>
  <si>
    <t xml:space="preserve">shelmet</t>
  </si>
  <si>
    <t xml:space="preserve">Accelgor</t>
  </si>
  <si>
    <t xml:space="preserve">accelgor</t>
  </si>
  <si>
    <t xml:space="preserve">Stunfisk</t>
  </si>
  <si>
    <t xml:space="preserve">stunfisk</t>
  </si>
  <si>
    <t xml:space="preserve">Mienfoo</t>
  </si>
  <si>
    <t xml:space="preserve">mienfoo</t>
  </si>
  <si>
    <t xml:space="preserve">Mienshao</t>
  </si>
  <si>
    <t xml:space="preserve">mienshao</t>
  </si>
  <si>
    <t xml:space="preserve">Druddigon</t>
  </si>
  <si>
    <t xml:space="preserve">druddigon</t>
  </si>
  <si>
    <t xml:space="preserve">Golett</t>
  </si>
  <si>
    <t xml:space="preserve">golett</t>
  </si>
  <si>
    <t xml:space="preserve">Golurk</t>
  </si>
  <si>
    <t xml:space="preserve">golurk</t>
  </si>
  <si>
    <t xml:space="preserve">Pawniard</t>
  </si>
  <si>
    <t xml:space="preserve">pawniard</t>
  </si>
  <si>
    <t xml:space="preserve">Bisharp</t>
  </si>
  <si>
    <t xml:space="preserve">bisharp</t>
  </si>
  <si>
    <t xml:space="preserve">Bouffalant</t>
  </si>
  <si>
    <t xml:space="preserve">bouffalant</t>
  </si>
  <si>
    <t xml:space="preserve">Rufflet</t>
  </si>
  <si>
    <t xml:space="preserve">rufflet</t>
  </si>
  <si>
    <t xml:space="preserve">Braviary</t>
  </si>
  <si>
    <t xml:space="preserve">braviary</t>
  </si>
  <si>
    <t xml:space="preserve">Vullaby</t>
  </si>
  <si>
    <t xml:space="preserve">vullaby</t>
  </si>
  <si>
    <t xml:space="preserve">Mandibuzz</t>
  </si>
  <si>
    <t xml:space="preserve">mandibuzz</t>
  </si>
  <si>
    <t xml:space="preserve">Heatmor</t>
  </si>
  <si>
    <t xml:space="preserve">heatmor</t>
  </si>
  <si>
    <t xml:space="preserve">Durant</t>
  </si>
  <si>
    <t xml:space="preserve">durant</t>
  </si>
  <si>
    <t xml:space="preserve">Deino</t>
  </si>
  <si>
    <t xml:space="preserve">deino</t>
  </si>
  <si>
    <t xml:space="preserve">Zweilous</t>
  </si>
  <si>
    <t xml:space="preserve">zweilous</t>
  </si>
  <si>
    <t xml:space="preserve">Hydreigon</t>
  </si>
  <si>
    <t xml:space="preserve">hydreigon</t>
  </si>
  <si>
    <t xml:space="preserve">Larvesta</t>
  </si>
  <si>
    <t xml:space="preserve">larvesta</t>
  </si>
  <si>
    <t xml:space="preserve">Volcarona</t>
  </si>
  <si>
    <t xml:space="preserve">volcarona</t>
  </si>
  <si>
    <t xml:space="preserve">Cobalion</t>
  </si>
  <si>
    <t xml:space="preserve">cobalion</t>
  </si>
  <si>
    <t xml:space="preserve">Terrakion</t>
  </si>
  <si>
    <t xml:space="preserve">terrakion</t>
  </si>
  <si>
    <t xml:space="preserve">Virizion</t>
  </si>
  <si>
    <t xml:space="preserve">virizion</t>
  </si>
  <si>
    <t xml:space="preserve">Tornadus</t>
  </si>
  <si>
    <t xml:space="preserve">Incarnate</t>
  </si>
  <si>
    <t xml:space="preserve">tornadus</t>
  </si>
  <si>
    <t xml:space="preserve">Therian</t>
  </si>
  <si>
    <t xml:space="preserve">Tornadus-Therian</t>
  </si>
  <si>
    <t xml:space="preserve">tornadus-therian</t>
  </si>
  <si>
    <t xml:space="preserve">Thundurus</t>
  </si>
  <si>
    <t xml:space="preserve">thundurus</t>
  </si>
  <si>
    <t xml:space="preserve">Thundurus-Therian</t>
  </si>
  <si>
    <t xml:space="preserve">thundurus-therian</t>
  </si>
  <si>
    <t xml:space="preserve">Reshiram</t>
  </si>
  <si>
    <t xml:space="preserve">reshiram</t>
  </si>
  <si>
    <t xml:space="preserve">Zekrom</t>
  </si>
  <si>
    <t xml:space="preserve">zekrom</t>
  </si>
  <si>
    <t xml:space="preserve">Landorus</t>
  </si>
  <si>
    <t xml:space="preserve">landorus</t>
  </si>
  <si>
    <t xml:space="preserve">Landorus-Therian</t>
  </si>
  <si>
    <t xml:space="preserve">landorus-therian</t>
  </si>
  <si>
    <t xml:space="preserve">Kyurem</t>
  </si>
  <si>
    <t xml:space="preserve">kyurem</t>
  </si>
  <si>
    <t xml:space="preserve">Black Kyurem</t>
  </si>
  <si>
    <t xml:space="preserve">Kyurem-Black</t>
  </si>
  <si>
    <t xml:space="preserve">kyurem-black</t>
  </si>
  <si>
    <t xml:space="preserve">White Kyurem</t>
  </si>
  <si>
    <t xml:space="preserve">Kyurem-White</t>
  </si>
  <si>
    <t xml:space="preserve">kyurem-white</t>
  </si>
  <si>
    <t xml:space="preserve">Keldeo</t>
  </si>
  <si>
    <t xml:space="preserve">keldeo</t>
  </si>
  <si>
    <t xml:space="preserve">Meloetta</t>
  </si>
  <si>
    <t xml:space="preserve">Aria Forme</t>
  </si>
  <si>
    <t xml:space="preserve">meloetta-aria</t>
  </si>
  <si>
    <t xml:space="preserve">meloetta</t>
  </si>
  <si>
    <t xml:space="preserve">Pirouette Forme</t>
  </si>
  <si>
    <t xml:space="preserve">Meloetta-Pirouette</t>
  </si>
  <si>
    <t xml:space="preserve">meloetta-pirouette</t>
  </si>
  <si>
    <t xml:space="preserve">Genesect</t>
  </si>
  <si>
    <t xml:space="preserve">genesect</t>
  </si>
  <si>
    <t xml:space="preserve">Chespin</t>
  </si>
  <si>
    <t xml:space="preserve">6: Kalos</t>
  </si>
  <si>
    <t xml:space="preserve">chespin</t>
  </si>
  <si>
    <t xml:space="preserve">Quilladin</t>
  </si>
  <si>
    <t xml:space="preserve">quilladin</t>
  </si>
  <si>
    <t xml:space="preserve">Chesnaught</t>
  </si>
  <si>
    <t xml:space="preserve">chesnaught</t>
  </si>
  <si>
    <t xml:space="preserve">Fennekin</t>
  </si>
  <si>
    <t xml:space="preserve">fennekin</t>
  </si>
  <si>
    <t xml:space="preserve">Braixen</t>
  </si>
  <si>
    <t xml:space="preserve">braixen</t>
  </si>
  <si>
    <t xml:space="preserve">Delphox</t>
  </si>
  <si>
    <t xml:space="preserve">delphox</t>
  </si>
  <si>
    <t xml:space="preserve">Froakie</t>
  </si>
  <si>
    <t xml:space="preserve">froakie</t>
  </si>
  <si>
    <t xml:space="preserve">Frogadier</t>
  </si>
  <si>
    <t xml:space="preserve">frogadier</t>
  </si>
  <si>
    <t xml:space="preserve">Greninja</t>
  </si>
  <si>
    <t xml:space="preserve">greninja</t>
  </si>
  <si>
    <t xml:space="preserve">Ash-Greninja</t>
  </si>
  <si>
    <t xml:space="preserve">Greninja-Ash</t>
  </si>
  <si>
    <t xml:space="preserve">greninja-ash</t>
  </si>
  <si>
    <t xml:space="preserve">Bunnelby</t>
  </si>
  <si>
    <t xml:space="preserve">bunnelby</t>
  </si>
  <si>
    <t xml:space="preserve">Diggersby</t>
  </si>
  <si>
    <t xml:space="preserve">diggersby</t>
  </si>
  <si>
    <t xml:space="preserve">Fletchling</t>
  </si>
  <si>
    <t xml:space="preserve">fletchling</t>
  </si>
  <si>
    <t xml:space="preserve">Fletchinder</t>
  </si>
  <si>
    <t xml:space="preserve">fletchinder</t>
  </si>
  <si>
    <t xml:space="preserve">Talonflame</t>
  </si>
  <si>
    <t xml:space="preserve">talonflame</t>
  </si>
  <si>
    <t xml:space="preserve">Scatterbug</t>
  </si>
  <si>
    <t xml:space="preserve">scatterbug</t>
  </si>
  <si>
    <t xml:space="preserve">Spewpa</t>
  </si>
  <si>
    <t xml:space="preserve">spewpa</t>
  </si>
  <si>
    <t xml:space="preserve">Vivillon</t>
  </si>
  <si>
    <t xml:space="preserve">vivillon</t>
  </si>
  <si>
    <t xml:space="preserve">Litleo</t>
  </si>
  <si>
    <t xml:space="preserve">litleo</t>
  </si>
  <si>
    <t xml:space="preserve">Pyroar</t>
  </si>
  <si>
    <t xml:space="preserve">pyroar</t>
  </si>
  <si>
    <t xml:space="preserve">Flabébé</t>
  </si>
  <si>
    <t xml:space="preserve">flabebe</t>
  </si>
  <si>
    <t xml:space="preserve">Floette</t>
  </si>
  <si>
    <t xml:space="preserve">floette</t>
  </si>
  <si>
    <t xml:space="preserve">Eternal Flower</t>
  </si>
  <si>
    <t xml:space="preserve">Floette-Eternal</t>
  </si>
  <si>
    <t xml:space="preserve">floette-eternal</t>
  </si>
  <si>
    <t xml:space="preserve">Florges</t>
  </si>
  <si>
    <t xml:space="preserve">florges</t>
  </si>
  <si>
    <t xml:space="preserve">Skiddo</t>
  </si>
  <si>
    <t xml:space="preserve">skiddo</t>
  </si>
  <si>
    <t xml:space="preserve">Gogoat</t>
  </si>
  <si>
    <t xml:space="preserve">gogoat</t>
  </si>
  <si>
    <t xml:space="preserve">Pancham</t>
  </si>
  <si>
    <t xml:space="preserve">pancham</t>
  </si>
  <si>
    <t xml:space="preserve">Pangoro</t>
  </si>
  <si>
    <t xml:space="preserve">pangoro</t>
  </si>
  <si>
    <t xml:space="preserve">Furfrou</t>
  </si>
  <si>
    <t xml:space="preserve">furfrou</t>
  </si>
  <si>
    <t xml:space="preserve">Espurr</t>
  </si>
  <si>
    <t xml:space="preserve">espurr</t>
  </si>
  <si>
    <t xml:space="preserve">Meowstic</t>
  </si>
  <si>
    <t xml:space="preserve">meowstic-male</t>
  </si>
  <si>
    <t xml:space="preserve">meowstic</t>
  </si>
  <si>
    <t xml:space="preserve">Honedge</t>
  </si>
  <si>
    <t xml:space="preserve">honedge</t>
  </si>
  <si>
    <t xml:space="preserve">Doublade</t>
  </si>
  <si>
    <t xml:space="preserve">doublade</t>
  </si>
  <si>
    <t xml:space="preserve">Aegislash</t>
  </si>
  <si>
    <t xml:space="preserve">Shield Forme</t>
  </si>
  <si>
    <t xml:space="preserve">aegislash-shield</t>
  </si>
  <si>
    <t xml:space="preserve">aegislash</t>
  </si>
  <si>
    <t xml:space="preserve">Blade Forme</t>
  </si>
  <si>
    <t xml:space="preserve">Aegislash-Blade</t>
  </si>
  <si>
    <t xml:space="preserve">aegislash-blade</t>
  </si>
  <si>
    <t xml:space="preserve">Spritzee</t>
  </si>
  <si>
    <t xml:space="preserve">spritzee</t>
  </si>
  <si>
    <t xml:space="preserve">Aromatisse</t>
  </si>
  <si>
    <t xml:space="preserve">aromatisse</t>
  </si>
  <si>
    <t xml:space="preserve">Swirlix</t>
  </si>
  <si>
    <t xml:space="preserve">swirlix</t>
  </si>
  <si>
    <t xml:space="preserve">Slurpuff</t>
  </si>
  <si>
    <t xml:space="preserve">slurpuff</t>
  </si>
  <si>
    <t xml:space="preserve">Inkay</t>
  </si>
  <si>
    <t xml:space="preserve">inkay</t>
  </si>
  <si>
    <t xml:space="preserve">Malamar</t>
  </si>
  <si>
    <t xml:space="preserve">malamar</t>
  </si>
  <si>
    <t xml:space="preserve">Binacle</t>
  </si>
  <si>
    <t xml:space="preserve">binacle</t>
  </si>
  <si>
    <t xml:space="preserve">Barbaracle</t>
  </si>
  <si>
    <t xml:space="preserve">barbaracle</t>
  </si>
  <si>
    <t xml:space="preserve">Skrelp</t>
  </si>
  <si>
    <t xml:space="preserve">skrelp</t>
  </si>
  <si>
    <t xml:space="preserve">Dragalge</t>
  </si>
  <si>
    <t xml:space="preserve">dragalge</t>
  </si>
  <si>
    <t xml:space="preserve">Clauncher</t>
  </si>
  <si>
    <t xml:space="preserve">clauncher</t>
  </si>
  <si>
    <t xml:space="preserve">Clawitzer</t>
  </si>
  <si>
    <t xml:space="preserve">clawitzer</t>
  </si>
  <si>
    <t xml:space="preserve">Helioptile</t>
  </si>
  <si>
    <t xml:space="preserve">helioptile</t>
  </si>
  <si>
    <t xml:space="preserve">Heliolisk</t>
  </si>
  <si>
    <t xml:space="preserve">heliolisk</t>
  </si>
  <si>
    <t xml:space="preserve">Tyrunt</t>
  </si>
  <si>
    <t xml:space="preserve">tyrunt</t>
  </si>
  <si>
    <t xml:space="preserve">Tyrantrum</t>
  </si>
  <si>
    <t xml:space="preserve">tyrantrum</t>
  </si>
  <si>
    <t xml:space="preserve">Amaura</t>
  </si>
  <si>
    <t xml:space="preserve">amaura</t>
  </si>
  <si>
    <t xml:space="preserve">Aurorus</t>
  </si>
  <si>
    <t xml:space="preserve">aurorus</t>
  </si>
  <si>
    <t xml:space="preserve">Sylveon</t>
  </si>
  <si>
    <t xml:space="preserve">sylveon</t>
  </si>
  <si>
    <t xml:space="preserve">Hawlucha</t>
  </si>
  <si>
    <t xml:space="preserve">hawlucha</t>
  </si>
  <si>
    <t xml:space="preserve">Dedenne</t>
  </si>
  <si>
    <t xml:space="preserve">dedenne</t>
  </si>
  <si>
    <t xml:space="preserve">Carbink</t>
  </si>
  <si>
    <t xml:space="preserve">carbink</t>
  </si>
  <si>
    <t xml:space="preserve">Goomy</t>
  </si>
  <si>
    <t xml:space="preserve">goomy</t>
  </si>
  <si>
    <t xml:space="preserve">Sliggoo</t>
  </si>
  <si>
    <t xml:space="preserve">sliggoo</t>
  </si>
  <si>
    <t xml:space="preserve">Goodra</t>
  </si>
  <si>
    <t xml:space="preserve">goodra</t>
  </si>
  <si>
    <t xml:space="preserve">Klefki</t>
  </si>
  <si>
    <t xml:space="preserve">klefki</t>
  </si>
  <si>
    <t xml:space="preserve">Phantump</t>
  </si>
  <si>
    <t xml:space="preserve">phantump</t>
  </si>
  <si>
    <t xml:space="preserve">Trevenant</t>
  </si>
  <si>
    <t xml:space="preserve">trevenant</t>
  </si>
  <si>
    <t xml:space="preserve">Pumpkaboo</t>
  </si>
  <si>
    <t xml:space="preserve">Average Size</t>
  </si>
  <si>
    <t xml:space="preserve">Pumpkaboo-Average</t>
  </si>
  <si>
    <t xml:space="preserve">pumpkaboo</t>
  </si>
  <si>
    <t xml:space="preserve">Small Size</t>
  </si>
  <si>
    <t xml:space="preserve">Pumpkaboo-Small</t>
  </si>
  <si>
    <t xml:space="preserve">pumpkaboo-small</t>
  </si>
  <si>
    <t xml:space="preserve">Large Size</t>
  </si>
  <si>
    <t xml:space="preserve">Pumpkaboo-Large</t>
  </si>
  <si>
    <t xml:space="preserve">pumpkaboo-large</t>
  </si>
  <si>
    <t xml:space="preserve">Super Size</t>
  </si>
  <si>
    <t xml:space="preserve">Pumpkaboo-Super</t>
  </si>
  <si>
    <t xml:space="preserve">pumpkaboo-super</t>
  </si>
  <si>
    <t xml:space="preserve">Gourgeist</t>
  </si>
  <si>
    <t xml:space="preserve">Gourgeist-Average</t>
  </si>
  <si>
    <t xml:space="preserve">gourgeist</t>
  </si>
  <si>
    <t xml:space="preserve">Gourgeist-Small</t>
  </si>
  <si>
    <t xml:space="preserve">gourgeist-small</t>
  </si>
  <si>
    <t xml:space="preserve">Gourgeist-Large</t>
  </si>
  <si>
    <t xml:space="preserve">gourgeist-large</t>
  </si>
  <si>
    <t xml:space="preserve">Gourgeist-Super</t>
  </si>
  <si>
    <t xml:space="preserve">gourgeist-super</t>
  </si>
  <si>
    <t xml:space="preserve">Bergmite</t>
  </si>
  <si>
    <t xml:space="preserve">bergmite</t>
  </si>
  <si>
    <t xml:space="preserve">Avalugg</t>
  </si>
  <si>
    <t xml:space="preserve">avalugg</t>
  </si>
  <si>
    <t xml:space="preserve">Noibat</t>
  </si>
  <si>
    <t xml:space="preserve">noibat</t>
  </si>
  <si>
    <t xml:space="preserve">Noivern</t>
  </si>
  <si>
    <t xml:space="preserve">noivern</t>
  </si>
  <si>
    <t xml:space="preserve">Xerneas</t>
  </si>
  <si>
    <t xml:space="preserve">xerneas</t>
  </si>
  <si>
    <t xml:space="preserve">Yveltal</t>
  </si>
  <si>
    <t xml:space="preserve">yveltal</t>
  </si>
  <si>
    <t xml:space="preserve">Zygarde</t>
  </si>
  <si>
    <t xml:space="preserve">50% Forme</t>
  </si>
  <si>
    <t xml:space="preserve">zygarde</t>
  </si>
  <si>
    <t xml:space="preserve">10% Forme</t>
  </si>
  <si>
    <t xml:space="preserve">Zygarde-10</t>
  </si>
  <si>
    <t xml:space="preserve">zygarde-10</t>
  </si>
  <si>
    <t xml:space="preserve">zygarde-10-percent</t>
  </si>
  <si>
    <t xml:space="preserve">Complete Forme</t>
  </si>
  <si>
    <t xml:space="preserve">Zygarde-Complete</t>
  </si>
  <si>
    <t xml:space="preserve">zygarde-complete</t>
  </si>
  <si>
    <t xml:space="preserve">Diancie</t>
  </si>
  <si>
    <t xml:space="preserve">diancie</t>
  </si>
  <si>
    <t xml:space="preserve">Mega Diancie</t>
  </si>
  <si>
    <t xml:space="preserve">Diancie-Mega</t>
  </si>
  <si>
    <t xml:space="preserve">diancie-mega</t>
  </si>
  <si>
    <t xml:space="preserve">Hoopa</t>
  </si>
  <si>
    <t xml:space="preserve">Confined</t>
  </si>
  <si>
    <t xml:space="preserve">hoopa-confined</t>
  </si>
  <si>
    <t xml:space="preserve">hoopa</t>
  </si>
  <si>
    <t xml:space="preserve">Unbound</t>
  </si>
  <si>
    <t xml:space="preserve">Hoopa-Unbound</t>
  </si>
  <si>
    <t xml:space="preserve">hoopa-unbound</t>
  </si>
  <si>
    <t xml:space="preserve">Volcanion</t>
  </si>
  <si>
    <t xml:space="preserve">volcanion</t>
  </si>
  <si>
    <t xml:space="preserve">Rowlet</t>
  </si>
  <si>
    <t xml:space="preserve">rowlet</t>
  </si>
  <si>
    <t xml:space="preserve">Dartrix</t>
  </si>
  <si>
    <t xml:space="preserve">dartrix</t>
  </si>
  <si>
    <t xml:space="preserve">Decidueye</t>
  </si>
  <si>
    <t xml:space="preserve">decidueye</t>
  </si>
  <si>
    <t xml:space="preserve">Litten</t>
  </si>
  <si>
    <t xml:space="preserve">litten</t>
  </si>
  <si>
    <t xml:space="preserve">Torracat</t>
  </si>
  <si>
    <t xml:space="preserve">torracat</t>
  </si>
  <si>
    <t xml:space="preserve">Incineroar</t>
  </si>
  <si>
    <t xml:space="preserve">incineroar</t>
  </si>
  <si>
    <t xml:space="preserve">Popplio</t>
  </si>
  <si>
    <t xml:space="preserve">popplio</t>
  </si>
  <si>
    <t xml:space="preserve">Brionne</t>
  </si>
  <si>
    <t xml:space="preserve">brionne</t>
  </si>
  <si>
    <t xml:space="preserve">Primarina</t>
  </si>
  <si>
    <t xml:space="preserve">primarina</t>
  </si>
  <si>
    <t xml:space="preserve">Pikipek</t>
  </si>
  <si>
    <t xml:space="preserve">pikipek</t>
  </si>
  <si>
    <t xml:space="preserve">Trumbeak</t>
  </si>
  <si>
    <t xml:space="preserve">trumbeak</t>
  </si>
  <si>
    <t xml:space="preserve">Toucannon</t>
  </si>
  <si>
    <t xml:space="preserve">toucannon</t>
  </si>
  <si>
    <t xml:space="preserve">Yungoos</t>
  </si>
  <si>
    <t xml:space="preserve">yungoos</t>
  </si>
  <si>
    <t xml:space="preserve">Gumshoos</t>
  </si>
  <si>
    <t xml:space="preserve">gumshoos</t>
  </si>
  <si>
    <t xml:space="preserve">Grubbin</t>
  </si>
  <si>
    <t xml:space="preserve">grubbin</t>
  </si>
  <si>
    <t xml:space="preserve">Charjabug</t>
  </si>
  <si>
    <t xml:space="preserve">charjabug</t>
  </si>
  <si>
    <t xml:space="preserve">Vikavolt</t>
  </si>
  <si>
    <t xml:space="preserve">vikavolt</t>
  </si>
  <si>
    <t xml:space="preserve">Crabrawler</t>
  </si>
  <si>
    <t xml:space="preserve">crabrawler</t>
  </si>
  <si>
    <t xml:space="preserve">Crabominable</t>
  </si>
  <si>
    <t xml:space="preserve">crabominable</t>
  </si>
  <si>
    <t xml:space="preserve">Oricorio</t>
  </si>
  <si>
    <t xml:space="preserve">oricorio</t>
  </si>
  <si>
    <t xml:space="preserve">Cutiefly</t>
  </si>
  <si>
    <t xml:space="preserve">cutiefly</t>
  </si>
  <si>
    <t xml:space="preserve">Ribombee</t>
  </si>
  <si>
    <t xml:space="preserve">ribombee</t>
  </si>
  <si>
    <t xml:space="preserve">Rockruff</t>
  </si>
  <si>
    <t xml:space="preserve">rockruff</t>
  </si>
  <si>
    <t xml:space="preserve">Lycanroc</t>
  </si>
  <si>
    <t xml:space="preserve">Midday Form</t>
  </si>
  <si>
    <t xml:space="preserve">Lycanroc-Midday</t>
  </si>
  <si>
    <t xml:space="preserve">lycanroc-midday</t>
  </si>
  <si>
    <t xml:space="preserve">lycanroc</t>
  </si>
  <si>
    <t xml:space="preserve">Midnight Form</t>
  </si>
  <si>
    <t xml:space="preserve">Lycanroc-Midnight</t>
  </si>
  <si>
    <t xml:space="preserve">lycanroc-midnight</t>
  </si>
  <si>
    <t xml:space="preserve">Dusk Form</t>
  </si>
  <si>
    <t xml:space="preserve">Lycanroc-Dusk</t>
  </si>
  <si>
    <t xml:space="preserve">lycanroc-dusk</t>
  </si>
  <si>
    <t xml:space="preserve">Wishiwashi</t>
  </si>
  <si>
    <t xml:space="preserve">Solo Form</t>
  </si>
  <si>
    <t xml:space="preserve">wishiwashi-solo</t>
  </si>
  <si>
    <t xml:space="preserve">wishiwashi</t>
  </si>
  <si>
    <t xml:space="preserve">School Form</t>
  </si>
  <si>
    <t xml:space="preserve">Wishiwashi-School</t>
  </si>
  <si>
    <t xml:space="preserve">wishiwashi-school</t>
  </si>
  <si>
    <t xml:space="preserve">Mareanie</t>
  </si>
  <si>
    <t xml:space="preserve">mareanie</t>
  </si>
  <si>
    <t xml:space="preserve">Toxapex</t>
  </si>
  <si>
    <t xml:space="preserve">toxapex</t>
  </si>
  <si>
    <t xml:space="preserve">Mudbray</t>
  </si>
  <si>
    <t xml:space="preserve">mudbray</t>
  </si>
  <si>
    <t xml:space="preserve">Mudsdale</t>
  </si>
  <si>
    <t xml:space="preserve">mudsdale</t>
  </si>
  <si>
    <t xml:space="preserve">Dewpider</t>
  </si>
  <si>
    <t xml:space="preserve">dewpider</t>
  </si>
  <si>
    <t xml:space="preserve">Araquanid</t>
  </si>
  <si>
    <t xml:space="preserve">araquanid</t>
  </si>
  <si>
    <t xml:space="preserve">Fomantis</t>
  </si>
  <si>
    <t xml:space="preserve">fomantis</t>
  </si>
  <si>
    <t xml:space="preserve">Lurantis</t>
  </si>
  <si>
    <t xml:space="preserve">lurantis</t>
  </si>
  <si>
    <t xml:space="preserve">Morelull</t>
  </si>
  <si>
    <t xml:space="preserve">morelull</t>
  </si>
  <si>
    <t xml:space="preserve">Shiinotic</t>
  </si>
  <si>
    <t xml:space="preserve">shiinotic</t>
  </si>
  <si>
    <t xml:space="preserve">Salandit</t>
  </si>
  <si>
    <t xml:space="preserve">salandit</t>
  </si>
  <si>
    <t xml:space="preserve">Salazzle</t>
  </si>
  <si>
    <t xml:space="preserve">salazzle</t>
  </si>
  <si>
    <t xml:space="preserve">Stufful</t>
  </si>
  <si>
    <t xml:space="preserve">stufful</t>
  </si>
  <si>
    <t xml:space="preserve">Bewear</t>
  </si>
  <si>
    <t xml:space="preserve">bewear</t>
  </si>
  <si>
    <t xml:space="preserve">Bounsweet</t>
  </si>
  <si>
    <t xml:space="preserve">bounsweet</t>
  </si>
  <si>
    <t xml:space="preserve">Steenee</t>
  </si>
  <si>
    <t xml:space="preserve">steenee</t>
  </si>
  <si>
    <t xml:space="preserve">Tsareena</t>
  </si>
  <si>
    <t xml:space="preserve">tsareena</t>
  </si>
  <si>
    <t xml:space="preserve">Comfey</t>
  </si>
  <si>
    <t xml:space="preserve">comfey</t>
  </si>
  <si>
    <t xml:space="preserve">Oranguru</t>
  </si>
  <si>
    <t xml:space="preserve">oranguru</t>
  </si>
  <si>
    <t xml:space="preserve">Passimian</t>
  </si>
  <si>
    <t xml:space="preserve">passimian</t>
  </si>
  <si>
    <t xml:space="preserve">Wimpod</t>
  </si>
  <si>
    <t xml:space="preserve">wimpod</t>
  </si>
  <si>
    <t xml:space="preserve">Golisopod</t>
  </si>
  <si>
    <t xml:space="preserve">golisopod</t>
  </si>
  <si>
    <t xml:space="preserve">Sandygast</t>
  </si>
  <si>
    <t xml:space="preserve">sandygast</t>
  </si>
  <si>
    <t xml:space="preserve">Palossand</t>
  </si>
  <si>
    <t xml:space="preserve">palossand</t>
  </si>
  <si>
    <t xml:space="preserve">Pyukumuku</t>
  </si>
  <si>
    <t xml:space="preserve">pyukumuku</t>
  </si>
  <si>
    <t xml:space="preserve">Type: Null</t>
  </si>
  <si>
    <t xml:space="preserve">type-null</t>
  </si>
  <si>
    <t xml:space="preserve">typenull</t>
  </si>
  <si>
    <t xml:space="preserve">Silvally</t>
  </si>
  <si>
    <t xml:space="preserve">Silvally-Normal</t>
  </si>
  <si>
    <t xml:space="preserve">silvally</t>
  </si>
  <si>
    <t xml:space="preserve">Silvally-Fighting</t>
  </si>
  <si>
    <t xml:space="preserve">silvally-fighting</t>
  </si>
  <si>
    <t xml:space="preserve">Silvally-Flying</t>
  </si>
  <si>
    <t xml:space="preserve">silvally-flying</t>
  </si>
  <si>
    <t xml:space="preserve">Silvally-Poison</t>
  </si>
  <si>
    <t xml:space="preserve">silvally-poison</t>
  </si>
  <si>
    <t xml:space="preserve">Silvally-Ground</t>
  </si>
  <si>
    <t xml:space="preserve">silvally-ground</t>
  </si>
  <si>
    <t xml:space="preserve">Silvally-Rock</t>
  </si>
  <si>
    <t xml:space="preserve">silvally-rock</t>
  </si>
  <si>
    <t xml:space="preserve">Silvally-Bug</t>
  </si>
  <si>
    <t xml:space="preserve">silvally-bug</t>
  </si>
  <si>
    <t xml:space="preserve">Silvally-Ghost</t>
  </si>
  <si>
    <t xml:space="preserve">silvally-ghost</t>
  </si>
  <si>
    <t xml:space="preserve">Silvally-Steel</t>
  </si>
  <si>
    <t xml:space="preserve">silvally-steel</t>
  </si>
  <si>
    <t xml:space="preserve">Silvally-Fire</t>
  </si>
  <si>
    <t xml:space="preserve">silvally-fire</t>
  </si>
  <si>
    <t xml:space="preserve">Silvally-Water</t>
  </si>
  <si>
    <t xml:space="preserve">silvally-water</t>
  </si>
  <si>
    <t xml:space="preserve">Silvally-Grass</t>
  </si>
  <si>
    <t xml:space="preserve">silvally-grass</t>
  </si>
  <si>
    <t xml:space="preserve">Silvally-Electric</t>
  </si>
  <si>
    <t xml:space="preserve">silvally-electric</t>
  </si>
  <si>
    <t xml:space="preserve">Silvally-Psychic</t>
  </si>
  <si>
    <t xml:space="preserve">silvally-psychic</t>
  </si>
  <si>
    <t xml:space="preserve">Silvally-Ice</t>
  </si>
  <si>
    <t xml:space="preserve">silvally-ice</t>
  </si>
  <si>
    <t xml:space="preserve">Silvally-Dragon</t>
  </si>
  <si>
    <t xml:space="preserve">silvally-dragon</t>
  </si>
  <si>
    <t xml:space="preserve">Silvally-Dark</t>
  </si>
  <si>
    <t xml:space="preserve">silvally-dark</t>
  </si>
  <si>
    <t xml:space="preserve">Silvally-Fairy</t>
  </si>
  <si>
    <t xml:space="preserve">silvally-fairy</t>
  </si>
  <si>
    <t xml:space="preserve">Minior</t>
  </si>
  <si>
    <t xml:space="preserve">Meteor Form</t>
  </si>
  <si>
    <t xml:space="preserve">minior-meteor</t>
  </si>
  <si>
    <t xml:space="preserve">Core Form</t>
  </si>
  <si>
    <t xml:space="preserve">Minior-Core</t>
  </si>
  <si>
    <t xml:space="preserve">minior-core</t>
  </si>
  <si>
    <t xml:space="preserve">Komala</t>
  </si>
  <si>
    <t xml:space="preserve">komala</t>
  </si>
  <si>
    <t xml:space="preserve">Turtonator</t>
  </si>
  <si>
    <t xml:space="preserve">turtonator</t>
  </si>
  <si>
    <t xml:space="preserve">Togedemaru</t>
  </si>
  <si>
    <t xml:space="preserve">togedemaru</t>
  </si>
  <si>
    <t xml:space="preserve">Mimikyu</t>
  </si>
  <si>
    <t xml:space="preserve">mimikyu</t>
  </si>
  <si>
    <t xml:space="preserve">Bruxish</t>
  </si>
  <si>
    <t xml:space="preserve">bruxish</t>
  </si>
  <si>
    <t xml:space="preserve">Drampa</t>
  </si>
  <si>
    <t xml:space="preserve">drampa</t>
  </si>
  <si>
    <t xml:space="preserve">Dhelmise</t>
  </si>
  <si>
    <t xml:space="preserve">dhelmise</t>
  </si>
  <si>
    <t xml:space="preserve">Jangmo-o</t>
  </si>
  <si>
    <t xml:space="preserve">jangmo-o</t>
  </si>
  <si>
    <t xml:space="preserve">jangmoo</t>
  </si>
  <si>
    <t xml:space="preserve">Hakamo-o</t>
  </si>
  <si>
    <t xml:space="preserve">hakamo-o</t>
  </si>
  <si>
    <t xml:space="preserve">hakamoo</t>
  </si>
  <si>
    <t xml:space="preserve">Kommo-o</t>
  </si>
  <si>
    <t xml:space="preserve">kommo-o</t>
  </si>
  <si>
    <t xml:space="preserve">kommoo</t>
  </si>
  <si>
    <t xml:space="preserve">Tapu Koko</t>
  </si>
  <si>
    <t xml:space="preserve">tapu-koko</t>
  </si>
  <si>
    <t xml:space="preserve">tapukoko</t>
  </si>
  <si>
    <t xml:space="preserve">Tapu Lele</t>
  </si>
  <si>
    <t xml:space="preserve">tapu-lele</t>
  </si>
  <si>
    <t xml:space="preserve">tapulele</t>
  </si>
  <si>
    <t xml:space="preserve">Tapu Bulu</t>
  </si>
  <si>
    <t xml:space="preserve">tapu-bulu</t>
  </si>
  <si>
    <t xml:space="preserve">tapubulu</t>
  </si>
  <si>
    <t xml:space="preserve">Tapu Fini</t>
  </si>
  <si>
    <t xml:space="preserve">tapu-fini</t>
  </si>
  <si>
    <t xml:space="preserve">tapufini</t>
  </si>
  <si>
    <t xml:space="preserve">Cosmog</t>
  </si>
  <si>
    <t xml:space="preserve">cosmog</t>
  </si>
  <si>
    <t xml:space="preserve">Cosmoem</t>
  </si>
  <si>
    <t xml:space="preserve">cosmoem</t>
  </si>
  <si>
    <t xml:space="preserve">Solgaleo</t>
  </si>
  <si>
    <t xml:space="preserve">solgaleo</t>
  </si>
  <si>
    <t xml:space="preserve">Lunala</t>
  </si>
  <si>
    <t xml:space="preserve">lunala</t>
  </si>
  <si>
    <t xml:space="preserve">Nihilego</t>
  </si>
  <si>
    <t xml:space="preserve">Ultra Beast</t>
  </si>
  <si>
    <t xml:space="preserve">nihilego</t>
  </si>
  <si>
    <t xml:space="preserve">Buzzwole</t>
  </si>
  <si>
    <t xml:space="preserve">buzzwole</t>
  </si>
  <si>
    <t xml:space="preserve">Pheromosa</t>
  </si>
  <si>
    <t xml:space="preserve">pheromosa</t>
  </si>
  <si>
    <t xml:space="preserve">Xurkitree</t>
  </si>
  <si>
    <t xml:space="preserve">xurkitree</t>
  </si>
  <si>
    <t xml:space="preserve">Celesteela</t>
  </si>
  <si>
    <t xml:space="preserve">celesteela</t>
  </si>
  <si>
    <t xml:space="preserve">Kartana</t>
  </si>
  <si>
    <t xml:space="preserve">kartana</t>
  </si>
  <si>
    <t xml:space="preserve">Guzzlord</t>
  </si>
  <si>
    <t xml:space="preserve">guzzlord</t>
  </si>
  <si>
    <t xml:space="preserve">Necrozma</t>
  </si>
  <si>
    <t xml:space="preserve">necrozma</t>
  </si>
  <si>
    <t xml:space="preserve">Dusk Mane Necrozma</t>
  </si>
  <si>
    <t xml:space="preserve">Necrozma-Dusk-Mane</t>
  </si>
  <si>
    <t xml:space="preserve">necrozma-dusk-mane</t>
  </si>
  <si>
    <t xml:space="preserve">necrozma-duskmane</t>
  </si>
  <si>
    <t xml:space="preserve">Dawn Wings Necrozma</t>
  </si>
  <si>
    <t xml:space="preserve">Necrozma-Dawn-Wings</t>
  </si>
  <si>
    <t xml:space="preserve">necrozma-dawn-wings</t>
  </si>
  <si>
    <t xml:space="preserve">necrozma-dawnwings</t>
  </si>
  <si>
    <t xml:space="preserve">Ultra Necrozma</t>
  </si>
  <si>
    <t xml:space="preserve">Necrozma-Ultra</t>
  </si>
  <si>
    <t xml:space="preserve">necrozma-ultra</t>
  </si>
  <si>
    <t xml:space="preserve">Magearna</t>
  </si>
  <si>
    <t xml:space="preserve">magearna</t>
  </si>
  <si>
    <t xml:space="preserve">Marshadow</t>
  </si>
  <si>
    <t xml:space="preserve">marshadow</t>
  </si>
  <si>
    <t xml:space="preserve">Poipole</t>
  </si>
  <si>
    <t xml:space="preserve">poipole</t>
  </si>
  <si>
    <t xml:space="preserve">Naganadel</t>
  </si>
  <si>
    <t xml:space="preserve">naganadel</t>
  </si>
  <si>
    <t xml:space="preserve">Stakataka</t>
  </si>
  <si>
    <t xml:space="preserve">stakataka</t>
  </si>
  <si>
    <t xml:space="preserve">Blacephalon</t>
  </si>
  <si>
    <t xml:space="preserve">blacephalon</t>
  </si>
  <si>
    <t xml:space="preserve">Zeraora</t>
  </si>
  <si>
    <t xml:space="preserve">zeraora</t>
  </si>
  <si>
    <t xml:space="preserve">Catalog</t>
  </si>
  <si>
    <t xml:space="preserve">Move Count</t>
  </si>
  <si>
    <t xml:space="preserve">Bide</t>
  </si>
  <si>
    <t xml:space="preserve">Bind</t>
  </si>
  <si>
    <t xml:space="preserve">Body Slam</t>
  </si>
  <si>
    <t xml:space="preserve">Bulldoze</t>
  </si>
  <si>
    <t xml:space="preserve">Bullet Seed</t>
  </si>
  <si>
    <t xml:space="preserve">Cut</t>
  </si>
  <si>
    <t xml:space="preserve">Double-Edge</t>
  </si>
  <si>
    <t xml:space="preserve">Earthquake</t>
  </si>
  <si>
    <t xml:space="preserve">Echoed Voice</t>
  </si>
  <si>
    <t xml:space="preserve">Energy Ball</t>
  </si>
  <si>
    <t xml:space="preserve">Facade</t>
  </si>
  <si>
    <t xml:space="preserve">Frenzy Plant</t>
  </si>
  <si>
    <t xml:space="preserve">Fury Cutter</t>
  </si>
  <si>
    <t xml:space="preserve">Giga Drain</t>
  </si>
  <si>
    <t xml:space="preserve">Giga Impact</t>
  </si>
  <si>
    <t xml:space="preserve">Grass Knot</t>
  </si>
  <si>
    <t xml:space="preserve">Grass Pledge</t>
  </si>
  <si>
    <t xml:space="preserve">Headbutt</t>
  </si>
  <si>
    <t xml:space="preserve">Hidden Power</t>
  </si>
  <si>
    <t xml:space="preserve">Hyper Beam</t>
  </si>
  <si>
    <t xml:space="preserve">Knock Off</t>
  </si>
  <si>
    <t xml:space="preserve">Mega Drain</t>
  </si>
  <si>
    <t xml:space="preserve">Outrage</t>
  </si>
  <si>
    <t xml:space="preserve">Petal Blizzard</t>
  </si>
  <si>
    <t xml:space="preserve">Petal Dance</t>
  </si>
  <si>
    <t xml:space="preserve">Rage</t>
  </si>
  <si>
    <t xml:space="preserve">Razor Leaf</t>
  </si>
  <si>
    <t xml:space="preserve">Rest</t>
  </si>
  <si>
    <t xml:space="preserve">Rock Climb</t>
  </si>
  <si>
    <t xml:space="preserve">Rock Smash</t>
  </si>
  <si>
    <t xml:space="preserve">Round</t>
  </si>
  <si>
    <t xml:space="preserve">Secret Power</t>
  </si>
  <si>
    <t xml:space="preserve">Seed Bomb</t>
  </si>
  <si>
    <t xml:space="preserve">Sludge Bomb</t>
  </si>
  <si>
    <t xml:space="preserve">Snore</t>
  </si>
  <si>
    <t xml:space="preserve">Solar Beam</t>
  </si>
  <si>
    <t xml:space="preserve">Stomping Tantrum</t>
  </si>
  <si>
    <t xml:space="preserve">Strength</t>
  </si>
  <si>
    <t xml:space="preserve">Tackle</t>
  </si>
  <si>
    <t xml:space="preserve">Take Down</t>
  </si>
  <si>
    <t xml:space="preserve">Venoshock</t>
  </si>
  <si>
    <t xml:space="preserve">Vine Whip</t>
  </si>
  <si>
    <t xml:space="preserve">Aerial Ace</t>
  </si>
  <si>
    <t xml:space="preserve">Air Cutter</t>
  </si>
  <si>
    <t xml:space="preserve">Air Slash</t>
  </si>
  <si>
    <t xml:space="preserve">Blast Burn</t>
  </si>
  <si>
    <t xml:space="preserve">Brick Break</t>
  </si>
  <si>
    <t xml:space="preserve">Brutal Swing</t>
  </si>
  <si>
    <t xml:space="preserve">Dig</t>
  </si>
  <si>
    <t xml:space="preserve">Dragon Breath</t>
  </si>
  <si>
    <t xml:space="preserve">Dragon Claw</t>
  </si>
  <si>
    <t xml:space="preserve">Dragon Pulse</t>
  </si>
  <si>
    <t xml:space="preserve">Dragon Rage</t>
  </si>
  <si>
    <t xml:space="preserve">Dragon Tail</t>
  </si>
  <si>
    <t xml:space="preserve">Dynamic Punch</t>
  </si>
  <si>
    <t xml:space="preserve">Ember</t>
  </si>
  <si>
    <t xml:space="preserve">Fire Blast</t>
  </si>
  <si>
    <t xml:space="preserve">Fire Fang</t>
  </si>
  <si>
    <t xml:space="preserve">Fire Pledge</t>
  </si>
  <si>
    <t xml:space="preserve">Fire Punch</t>
  </si>
  <si>
    <t xml:space="preserve">Fire Spin</t>
  </si>
  <si>
    <t xml:space="preserve">Flame Burst</t>
  </si>
  <si>
    <t xml:space="preserve">Flame Charge</t>
  </si>
  <si>
    <t xml:space="preserve">Flamethrower</t>
  </si>
  <si>
    <t xml:space="preserve">Flare Blitz</t>
  </si>
  <si>
    <t xml:space="preserve">Fly</t>
  </si>
  <si>
    <t xml:space="preserve">Focus Blast</t>
  </si>
  <si>
    <t xml:space="preserve">Focus Punch</t>
  </si>
  <si>
    <t xml:space="preserve">Heat Wave</t>
  </si>
  <si>
    <t xml:space="preserve">Incinerate</t>
  </si>
  <si>
    <t xml:space="preserve">Inferno</t>
  </si>
  <si>
    <t xml:space="preserve">Iron Tail</t>
  </si>
  <si>
    <t xml:space="preserve">Mega Kick</t>
  </si>
  <si>
    <t xml:space="preserve">Mega Punch</t>
  </si>
  <si>
    <t xml:space="preserve">Metal Claw</t>
  </si>
  <si>
    <t xml:space="preserve">Ominous Wind</t>
  </si>
  <si>
    <t xml:space="preserve">Overheat</t>
  </si>
  <si>
    <t xml:space="preserve">Power-Up Punch</t>
  </si>
  <si>
    <t xml:space="preserve">Rock Slide</t>
  </si>
  <si>
    <t xml:space="preserve">Rock Tomb</t>
  </si>
  <si>
    <t xml:space="preserve">Scratch</t>
  </si>
  <si>
    <t xml:space="preserve">Seismic Toss</t>
  </si>
  <si>
    <t xml:space="preserve">Shadow Claw</t>
  </si>
  <si>
    <t xml:space="preserve">Skull Bash</t>
  </si>
  <si>
    <t xml:space="preserve">Sky Drop</t>
  </si>
  <si>
    <t xml:space="preserve">Slash</t>
  </si>
  <si>
    <t xml:space="preserve">Steel Wing</t>
  </si>
  <si>
    <t xml:space="preserve">Submission</t>
  </si>
  <si>
    <t xml:space="preserve">Swift</t>
  </si>
  <si>
    <t xml:space="preserve">Thunder Punch</t>
  </si>
  <si>
    <t xml:space="preserve">Twister</t>
  </si>
  <si>
    <t xml:space="preserve">Wing Attack</t>
  </si>
  <si>
    <t xml:space="preserve">Aqua Tail</t>
  </si>
  <si>
    <t xml:space="preserve">Avalanche</t>
  </si>
  <si>
    <t xml:space="preserve">Bite</t>
  </si>
  <si>
    <t xml:space="preserve">Blizzard</t>
  </si>
  <si>
    <t xml:space="preserve">Brine</t>
  </si>
  <si>
    <t xml:space="preserve">Bubble</t>
  </si>
  <si>
    <t xml:space="preserve">Bubble Beam</t>
  </si>
  <si>
    <t xml:space="preserve">Dark Pulse</t>
  </si>
  <si>
    <t xml:space="preserve">Dive</t>
  </si>
  <si>
    <t xml:space="preserve">Flash Cannon</t>
  </si>
  <si>
    <t xml:space="preserve">Gyro Ball</t>
  </si>
  <si>
    <t xml:space="preserve">Hydro Cannon</t>
  </si>
  <si>
    <t xml:space="preserve">Hydro Pump</t>
  </si>
  <si>
    <t xml:space="preserve">Ice Beam</t>
  </si>
  <si>
    <t xml:space="preserve">Ice Punch</t>
  </si>
  <si>
    <t xml:space="preserve">Icy Wind</t>
  </si>
  <si>
    <t xml:space="preserve">Liquidation</t>
  </si>
  <si>
    <t xml:space="preserve">Rapid Spin</t>
  </si>
  <si>
    <t xml:space="preserve">Rollout</t>
  </si>
  <si>
    <t xml:space="preserve">Scald</t>
  </si>
  <si>
    <t xml:space="preserve">Signal Beam</t>
  </si>
  <si>
    <t xml:space="preserve">Smack Down</t>
  </si>
  <si>
    <t xml:space="preserve">Surf</t>
  </si>
  <si>
    <t xml:space="preserve">Waterfall</t>
  </si>
  <si>
    <t xml:space="preserve">Water Gun</t>
  </si>
  <si>
    <t xml:space="preserve">Water Pledge</t>
  </si>
  <si>
    <t xml:space="preserve">Water Pulse</t>
  </si>
  <si>
    <t xml:space="preserve">Whirlpool</t>
  </si>
  <si>
    <t xml:space="preserve">Zen Headbutt</t>
  </si>
  <si>
    <t xml:space="preserve">Acrobatics</t>
  </si>
  <si>
    <t xml:space="preserve">Bug Bite</t>
  </si>
  <si>
    <t xml:space="preserve">Bug Buzz</t>
  </si>
  <si>
    <t xml:space="preserve">Confusion</t>
  </si>
  <si>
    <t xml:space="preserve">Dream Eater</t>
  </si>
  <si>
    <t xml:space="preserve">Electroweb</t>
  </si>
  <si>
    <t xml:space="preserve">Gust</t>
  </si>
  <si>
    <t xml:space="preserve">Infestation</t>
  </si>
  <si>
    <t xml:space="preserve">Psybeam</t>
  </si>
  <si>
    <t xml:space="preserve">Psywave</t>
  </si>
  <si>
    <t xml:space="preserve">Razor Wind</t>
  </si>
  <si>
    <t xml:space="preserve">Shadow Ball</t>
  </si>
  <si>
    <t xml:space="preserve">Silver Wind</t>
  </si>
  <si>
    <t xml:space="preserve">Struggle Bug</t>
  </si>
  <si>
    <t xml:space="preserve">Thief</t>
  </si>
  <si>
    <t xml:space="preserve">U-turn</t>
  </si>
  <si>
    <t xml:space="preserve">Assurance</t>
  </si>
  <si>
    <t xml:space="preserve">Endeavor</t>
  </si>
  <si>
    <t xml:space="preserve">False Swipe</t>
  </si>
  <si>
    <t xml:space="preserve">Fell Stinger</t>
  </si>
  <si>
    <t xml:space="preserve">Fury Attack</t>
  </si>
  <si>
    <t xml:space="preserve">Payback</t>
  </si>
  <si>
    <t xml:space="preserve">Pin Missile</t>
  </si>
  <si>
    <t xml:space="preserve">Poison Jab</t>
  </si>
  <si>
    <t xml:space="preserve">Pursuit</t>
  </si>
  <si>
    <t xml:space="preserve">Throat Chop</t>
  </si>
  <si>
    <t xml:space="preserve">Twineedle</t>
  </si>
  <si>
    <t xml:space="preserve">X-Scissor</t>
  </si>
  <si>
    <t xml:space="preserve">Hurricane</t>
  </si>
  <si>
    <t xml:space="preserve">Pluck</t>
  </si>
  <si>
    <t xml:space="preserve">Quick Attack</t>
  </si>
  <si>
    <t xml:space="preserve">Sky Attack</t>
  </si>
  <si>
    <t xml:space="preserve">Uproar</t>
  </si>
  <si>
    <t xml:space="preserve">Charge Beam</t>
  </si>
  <si>
    <t xml:space="preserve">Covet</t>
  </si>
  <si>
    <t xml:space="preserve">Crunch</t>
  </si>
  <si>
    <t xml:space="preserve">Hyper Fang</t>
  </si>
  <si>
    <t xml:space="preserve">Last Resort</t>
  </si>
  <si>
    <t xml:space="preserve">Retaliate</t>
  </si>
  <si>
    <t xml:space="preserve">Shock Wave</t>
  </si>
  <si>
    <t xml:space="preserve">Sludge Wave</t>
  </si>
  <si>
    <t xml:space="preserve">Snarl</t>
  </si>
  <si>
    <t xml:space="preserve">Sucker Punch</t>
  </si>
  <si>
    <t xml:space="preserve">Super Fang</t>
  </si>
  <si>
    <t xml:space="preserve">Thunder</t>
  </si>
  <si>
    <t xml:space="preserve">Thunderbolt</t>
  </si>
  <si>
    <t xml:space="preserve">Wild Charge</t>
  </si>
  <si>
    <t xml:space="preserve">raticatealola</t>
  </si>
  <si>
    <t xml:space="preserve">Drill Peck</t>
  </si>
  <si>
    <t xml:space="preserve">Peck</t>
  </si>
  <si>
    <t xml:space="preserve">Acid</t>
  </si>
  <si>
    <t xml:space="preserve">Acid Spray</t>
  </si>
  <si>
    <t xml:space="preserve">Belch</t>
  </si>
  <si>
    <t xml:space="preserve">Gunk Shot</t>
  </si>
  <si>
    <t xml:space="preserve">Ice Fang</t>
  </si>
  <si>
    <t xml:space="preserve">Mud Bomb</t>
  </si>
  <si>
    <t xml:space="preserve">Poison Sting</t>
  </si>
  <si>
    <t xml:space="preserve">Thunder Fang</t>
  </si>
  <si>
    <t xml:space="preserve">Wrap</t>
  </si>
  <si>
    <t xml:space="preserve">Pay Day</t>
  </si>
  <si>
    <t xml:space="preserve">Thunder Shock</t>
  </si>
  <si>
    <t xml:space="preserve">Volt Switch</t>
  </si>
  <si>
    <t xml:space="preserve">Zap Cannon</t>
  </si>
  <si>
    <t xml:space="preserve">raichualola</t>
  </si>
  <si>
    <t xml:space="preserve">Psyshock</t>
  </si>
  <si>
    <t xml:space="preserve">Crush Claw</t>
  </si>
  <si>
    <t xml:space="preserve">Earth Power</t>
  </si>
  <si>
    <t xml:space="preserve">Fury Swipes</t>
  </si>
  <si>
    <t xml:space="preserve">Sand Tomb</t>
  </si>
  <si>
    <t xml:space="preserve">Stone Edge</t>
  </si>
  <si>
    <t xml:space="preserve">sandslashalola</t>
  </si>
  <si>
    <t xml:space="preserve">Frost Breath</t>
  </si>
  <si>
    <t xml:space="preserve">Ice Ball</t>
  </si>
  <si>
    <t xml:space="preserve">Icicle Crash</t>
  </si>
  <si>
    <t xml:space="preserve">Icicle Spear</t>
  </si>
  <si>
    <t xml:space="preserve">Iron Head</t>
  </si>
  <si>
    <t xml:space="preserve">Leech Life</t>
  </si>
  <si>
    <t xml:space="preserve">Metal Burst</t>
  </si>
  <si>
    <t xml:space="preserve">Chip Away</t>
  </si>
  <si>
    <t xml:space="preserve">Double Kick</t>
  </si>
  <si>
    <t xml:space="preserve">Superpower</t>
  </si>
  <si>
    <t xml:space="preserve">Horn Attack</t>
  </si>
  <si>
    <t xml:space="preserve">Megahorn</t>
  </si>
  <si>
    <t xml:space="preserve">Smart Strike</t>
  </si>
  <si>
    <t xml:space="preserve">Thrash</t>
  </si>
  <si>
    <t xml:space="preserve">Bounce</t>
  </si>
  <si>
    <t xml:space="preserve">Dazzling Gleam</t>
  </si>
  <si>
    <t xml:space="preserve">Disarming Voice</t>
  </si>
  <si>
    <t xml:space="preserve">Double Slap</t>
  </si>
  <si>
    <t xml:space="preserve">Drain Punch</t>
  </si>
  <si>
    <t xml:space="preserve">Hyper Voice</t>
  </si>
  <si>
    <t xml:space="preserve">Tri Attack</t>
  </si>
  <si>
    <t xml:space="preserve">Foul Play</t>
  </si>
  <si>
    <t xml:space="preserve">ninetalesalola</t>
  </si>
  <si>
    <t xml:space="preserve">Ice Shard</t>
  </si>
  <si>
    <t xml:space="preserve">Play Rough</t>
  </si>
  <si>
    <t xml:space="preserve">Absorb</t>
  </si>
  <si>
    <t xml:space="preserve">Astonish</t>
  </si>
  <si>
    <t xml:space="preserve">Poison Fang</t>
  </si>
  <si>
    <t xml:space="preserve">Cross Poison</t>
  </si>
  <si>
    <t xml:space="preserve">Night Slash</t>
  </si>
  <si>
    <t xml:space="preserve">dugtrioalola</t>
  </si>
  <si>
    <t xml:space="preserve">Fake Out</t>
  </si>
  <si>
    <t xml:space="preserve">Feint</t>
  </si>
  <si>
    <t xml:space="preserve">Feint Attack</t>
  </si>
  <si>
    <t xml:space="preserve">Power Gem</t>
  </si>
  <si>
    <t xml:space="preserve">persianalola</t>
  </si>
  <si>
    <t xml:space="preserve">Aqua Jet</t>
  </si>
  <si>
    <t xml:space="preserve">Low Kick</t>
  </si>
  <si>
    <t xml:space="preserve">Low Sweep</t>
  </si>
  <si>
    <t xml:space="preserve">Close Combat</t>
  </si>
  <si>
    <t xml:space="preserve">Cross Chop</t>
  </si>
  <si>
    <t xml:space="preserve">Dual Chop</t>
  </si>
  <si>
    <t xml:space="preserve">Final Gambit</t>
  </si>
  <si>
    <t xml:space="preserve">Karate Chop</t>
  </si>
  <si>
    <t xml:space="preserve">Vacuum Wave</t>
  </si>
  <si>
    <t xml:space="preserve">Extreme Speed</t>
  </si>
  <si>
    <t xml:space="preserve">Flame Wheel</t>
  </si>
  <si>
    <t xml:space="preserve">Circle Throw</t>
  </si>
  <si>
    <t xml:space="preserve">Future Sight</t>
  </si>
  <si>
    <t xml:space="preserve">Psycho Cut</t>
  </si>
  <si>
    <t xml:space="preserve">Bullet Punch</t>
  </si>
  <si>
    <t xml:space="preserve">Revenge</t>
  </si>
  <si>
    <t xml:space="preserve">Vital Throw</t>
  </si>
  <si>
    <t xml:space="preserve">Wake-Up Slap</t>
  </si>
  <si>
    <t xml:space="preserve">Leaf Blade</t>
  </si>
  <si>
    <t xml:space="preserve">Leaf Storm</t>
  </si>
  <si>
    <t xml:space="preserve">Leaf Tornado</t>
  </si>
  <si>
    <t xml:space="preserve">Constrict</t>
  </si>
  <si>
    <t xml:space="preserve">Hex</t>
  </si>
  <si>
    <t xml:space="preserve">Ancient Power</t>
  </si>
  <si>
    <t xml:space="preserve">Explosion</t>
  </si>
  <si>
    <t xml:space="preserve">Heavy Slam</t>
  </si>
  <si>
    <t xml:space="preserve">Rock Blast</t>
  </si>
  <si>
    <t xml:space="preserve">Rock Throw</t>
  </si>
  <si>
    <t xml:space="preserve">Self-Destruct</t>
  </si>
  <si>
    <t xml:space="preserve">Steamroller</t>
  </si>
  <si>
    <t xml:space="preserve">golemalola</t>
  </si>
  <si>
    <t xml:space="preserve">Discharge</t>
  </si>
  <si>
    <t xml:space="preserve">Spark</t>
  </si>
  <si>
    <t xml:space="preserve">Stomp</t>
  </si>
  <si>
    <t xml:space="preserve">Yawn</t>
  </si>
  <si>
    <t xml:space="preserve">Magnet Bomb</t>
  </si>
  <si>
    <t xml:space="preserve">Mirror Shot</t>
  </si>
  <si>
    <t xml:space="preserve">Sonicboom</t>
  </si>
  <si>
    <t xml:space="preserve">farfetch'd</t>
  </si>
  <si>
    <t xml:space="preserve">Brave Bird</t>
  </si>
  <si>
    <t xml:space="preserve">First Impression</t>
  </si>
  <si>
    <t xml:space="preserve">Double Hit</t>
  </si>
  <si>
    <t xml:space="preserve">Jump Kick</t>
  </si>
  <si>
    <t xml:space="preserve">Aurora Beam</t>
  </si>
  <si>
    <t xml:space="preserve">Pound</t>
  </si>
  <si>
    <t xml:space="preserve">Sludge</t>
  </si>
  <si>
    <t xml:space="preserve">mukalola</t>
  </si>
  <si>
    <t xml:space="preserve">Clamp</t>
  </si>
  <si>
    <t xml:space="preserve">Razor Shell</t>
  </si>
  <si>
    <t xml:space="preserve">Spike Cannon</t>
  </si>
  <si>
    <t xml:space="preserve">Lick</t>
  </si>
  <si>
    <t xml:space="preserve">Night Shade</t>
  </si>
  <si>
    <t xml:space="preserve">Shadow Punch</t>
  </si>
  <si>
    <t xml:space="preserve">Slam</t>
  </si>
  <si>
    <t xml:space="preserve">Synchronoise</t>
  </si>
  <si>
    <t xml:space="preserve">Crabhammer</t>
  </si>
  <si>
    <t xml:space="preserve">Mud Shot</t>
  </si>
  <si>
    <t xml:space="preserve">Vice Grip</t>
  </si>
  <si>
    <t xml:space="preserve">Mirror Coat</t>
  </si>
  <si>
    <t xml:space="preserve">Barrage</t>
  </si>
  <si>
    <t xml:space="preserve">Egg Bomb</t>
  </si>
  <si>
    <t xml:space="preserve">Wood Hammer</t>
  </si>
  <si>
    <t xml:space="preserve">exeggutoralola</t>
  </si>
  <si>
    <t xml:space="preserve">Draco Meteor</t>
  </si>
  <si>
    <t xml:space="preserve">Dragon Hammer</t>
  </si>
  <si>
    <t xml:space="preserve">Bone Club</t>
  </si>
  <si>
    <t xml:space="preserve">Bonemerang</t>
  </si>
  <si>
    <t xml:space="preserve">Bone Rush</t>
  </si>
  <si>
    <t xml:space="preserve">marowakalola</t>
  </si>
  <si>
    <t xml:space="preserve">Shadow Bone</t>
  </si>
  <si>
    <t xml:space="preserve">Blaze Kick</t>
  </si>
  <si>
    <t xml:space="preserve">High Jump Kick</t>
  </si>
  <si>
    <t xml:space="preserve">Mach Punch</t>
  </si>
  <si>
    <t xml:space="preserve">Rolling Kick</t>
  </si>
  <si>
    <t xml:space="preserve">Comet Punch</t>
  </si>
  <si>
    <t xml:space="preserve">Sky Uppercut</t>
  </si>
  <si>
    <t xml:space="preserve">Hammer Arm</t>
  </si>
  <si>
    <t xml:space="preserve">Muddy Water</t>
  </si>
  <si>
    <t xml:space="preserve">Power Whip</t>
  </si>
  <si>
    <t xml:space="preserve">Smelling Salts</t>
  </si>
  <si>
    <t xml:space="preserve">Clear Smog</t>
  </si>
  <si>
    <t xml:space="preserve">Smog</t>
  </si>
  <si>
    <t xml:space="preserve">Present</t>
  </si>
  <si>
    <t xml:space="preserve">Dizzy Punch</t>
  </si>
  <si>
    <t xml:space="preserve">mr. mime</t>
  </si>
  <si>
    <t xml:space="preserve">Magical Leaf</t>
  </si>
  <si>
    <t xml:space="preserve">Draining Kiss</t>
  </si>
  <si>
    <t xml:space="preserve">Heart Stamp</t>
  </si>
  <si>
    <t xml:space="preserve">Powder Snow</t>
  </si>
  <si>
    <t xml:space="preserve">Lava Plume</t>
  </si>
  <si>
    <t xml:space="preserve">Storm Throw</t>
  </si>
  <si>
    <t xml:space="preserve">Freeze-Dry</t>
  </si>
  <si>
    <t xml:space="preserve">Transform</t>
  </si>
  <si>
    <t xml:space="preserve">High Horsepower</t>
  </si>
  <si>
    <t xml:space="preserve">Extrasensory</t>
  </si>
  <si>
    <t xml:space="preserve">Burn Up</t>
  </si>
  <si>
    <t xml:space="preserve">Dragon Rush</t>
  </si>
  <si>
    <t xml:space="preserve">Aura Sphere</t>
  </si>
  <si>
    <t xml:space="preserve">Psystrike</t>
  </si>
  <si>
    <t xml:space="preserve">Eruption</t>
  </si>
  <si>
    <t xml:space="preserve">Moonblast</t>
  </si>
  <si>
    <t xml:space="preserve">Shadow Sneak</t>
  </si>
  <si>
    <t xml:space="preserve">Fairy Wind</t>
  </si>
  <si>
    <t xml:space="preserve">Stored Power</t>
  </si>
  <si>
    <t xml:space="preserve">Head Smash</t>
  </si>
  <si>
    <t xml:space="preserve">Splash</t>
  </si>
  <si>
    <t xml:space="preserve">Tail Slap</t>
  </si>
  <si>
    <t xml:space="preserve">Psychic Fangs</t>
  </si>
  <si>
    <t xml:space="preserve">Poison Tail</t>
  </si>
  <si>
    <t xml:space="preserve">Arm Thrust</t>
  </si>
  <si>
    <t xml:space="preserve">Octazooka</t>
  </si>
  <si>
    <t xml:space="preserve">Triple Kick</t>
  </si>
  <si>
    <t xml:space="preserve">Weather Ball</t>
  </si>
  <si>
    <t xml:space="preserve">Sacred Fire</t>
  </si>
  <si>
    <t xml:space="preserve">Aeroblast</t>
  </si>
  <si>
    <t xml:space="preserve">Psycho Boost</t>
  </si>
  <si>
    <t xml:space="preserve">Hold Back</t>
  </si>
  <si>
    <t xml:space="preserve">Force Palm</t>
  </si>
  <si>
    <t xml:space="preserve">Phantom Force</t>
  </si>
  <si>
    <t xml:space="preserve">Boomburst</t>
  </si>
  <si>
    <t xml:space="preserve">Nuzzle</t>
  </si>
  <si>
    <t xml:space="preserve">Lunge</t>
  </si>
  <si>
    <t xml:space="preserve">Water Spout</t>
  </si>
  <si>
    <t xml:space="preserve">Needle Arm</t>
  </si>
  <si>
    <t xml:space="preserve">Meteor Mash</t>
  </si>
  <si>
    <t xml:space="preserve">Mist Ball</t>
  </si>
  <si>
    <t xml:space="preserve">Luster Purge</t>
  </si>
  <si>
    <t xml:space="preserve">Origin Pulse</t>
  </si>
  <si>
    <t xml:space="preserve">Precipice Blades</t>
  </si>
  <si>
    <t xml:space="preserve">Dragon Ascent</t>
  </si>
  <si>
    <t xml:space="preserve">V-create</t>
  </si>
  <si>
    <t xml:space="preserve">Doom Desire</t>
  </si>
  <si>
    <t xml:space="preserve">wormadamsandy</t>
  </si>
  <si>
    <t xml:space="preserve">wormadamtrash</t>
  </si>
  <si>
    <t xml:space="preserve">Attack Order</t>
  </si>
  <si>
    <t xml:space="preserve">Mystical Fire</t>
  </si>
  <si>
    <t xml:space="preserve">Chatter</t>
  </si>
  <si>
    <t xml:space="preserve">Rock Wrecker</t>
  </si>
  <si>
    <t xml:space="preserve">Rotomheat</t>
  </si>
  <si>
    <t xml:space="preserve">Rotomwash</t>
  </si>
  <si>
    <t xml:space="preserve">Rotomfrost</t>
  </si>
  <si>
    <t xml:space="preserve">Rotomfan</t>
  </si>
  <si>
    <t xml:space="preserve">Rotommow</t>
  </si>
  <si>
    <t xml:space="preserve">Roar of Time</t>
  </si>
  <si>
    <t xml:space="preserve">Spacial Rend</t>
  </si>
  <si>
    <t xml:space="preserve">Magma Storm</t>
  </si>
  <si>
    <t xml:space="preserve">Shadow Force</t>
  </si>
  <si>
    <t xml:space="preserve">Seed Flare</t>
  </si>
  <si>
    <t xml:space="preserve">Judgment</t>
  </si>
  <si>
    <t xml:space="preserve">Blue Flare</t>
  </si>
  <si>
    <t xml:space="preserve">Bolt Strike</t>
  </si>
  <si>
    <t xml:space="preserve">Fusion Bolt</t>
  </si>
  <si>
    <t xml:space="preserve">Fusion Flare</t>
  </si>
  <si>
    <t xml:space="preserve">Glaciate</t>
  </si>
  <si>
    <t xml:space="preserve">Searing Shot</t>
  </si>
  <si>
    <t xml:space="preserve">Power Trip</t>
  </si>
  <si>
    <t xml:space="preserve">Night Daze</t>
  </si>
  <si>
    <t xml:space="preserve">Horn Leech</t>
  </si>
  <si>
    <t xml:space="preserve">Gear Grind</t>
  </si>
  <si>
    <t xml:space="preserve">Water Shuriken</t>
  </si>
  <si>
    <t xml:space="preserve">Head Charge</t>
  </si>
  <si>
    <t xml:space="preserve">Fire Lash</t>
  </si>
  <si>
    <t xml:space="preserve">Fiery Dance</t>
  </si>
  <si>
    <t xml:space="preserve">Sacred Sword</t>
  </si>
  <si>
    <t xml:space="preserve">kyuremblack</t>
  </si>
  <si>
    <t xml:space="preserve">Freeze Shock</t>
  </si>
  <si>
    <t xml:space="preserve">kyuremwhite</t>
  </si>
  <si>
    <t xml:space="preserve">Ice Burn</t>
  </si>
  <si>
    <t xml:space="preserve">Secret Sword</t>
  </si>
  <si>
    <t xml:space="preserve">Relic Song</t>
  </si>
  <si>
    <t xml:space="preserve">Techno Blast</t>
  </si>
  <si>
    <t xml:space="preserve">floetteeternal</t>
  </si>
  <si>
    <t xml:space="preserve">Light of Ruin</t>
  </si>
  <si>
    <t xml:space="preserve">Parabolic Charge</t>
  </si>
  <si>
    <t xml:space="preserve">Flying Press</t>
  </si>
  <si>
    <t xml:space="preserve">Oblivion Wing</t>
  </si>
  <si>
    <t xml:space="preserve">Core Enforcer</t>
  </si>
  <si>
    <t xml:space="preserve">Thousand Arrows</t>
  </si>
  <si>
    <t xml:space="preserve">Thousand Waves</t>
  </si>
  <si>
    <t xml:space="preserve">Diamond Storm</t>
  </si>
  <si>
    <t xml:space="preserve">Hyperspace Fury</t>
  </si>
  <si>
    <t xml:space="preserve">Hyperspace Hole</t>
  </si>
  <si>
    <t xml:space="preserve">Steam Eruption</t>
  </si>
  <si>
    <t xml:space="preserve">Leafage</t>
  </si>
  <si>
    <t xml:space="preserve">Spirit Shackle</t>
  </si>
  <si>
    <t xml:space="preserve">Darkest Lariat</t>
  </si>
  <si>
    <t xml:space="preserve">Sparkling Aria</t>
  </si>
  <si>
    <t xml:space="preserve">Beak Blast</t>
  </si>
  <si>
    <t xml:space="preserve">Ice Hammer</t>
  </si>
  <si>
    <t xml:space="preserve">Revelation Dance</t>
  </si>
  <si>
    <t xml:space="preserve">Pollen Puff</t>
  </si>
  <si>
    <t xml:space="preserve">Accelerock</t>
  </si>
  <si>
    <t xml:space="preserve">lycanrocmidnight</t>
  </si>
  <si>
    <t xml:space="preserve">lycanrocdusk</t>
  </si>
  <si>
    <t xml:space="preserve">Solar Blade</t>
  </si>
  <si>
    <t xml:space="preserve">Trop Kick</t>
  </si>
  <si>
    <t xml:space="preserve">Multi-Attack</t>
  </si>
  <si>
    <t xml:space="preserve">minior</t>
  </si>
  <si>
    <t xml:space="preserve">Shell Trap</t>
  </si>
  <si>
    <t xml:space="preserve">Zing Zap</t>
  </si>
  <si>
    <t xml:space="preserve">Anchor Shot</t>
  </si>
  <si>
    <t xml:space="preserve">Clanging Scales</t>
  </si>
  <si>
    <t xml:space="preserve">tapu koko</t>
  </si>
  <si>
    <t xml:space="preserve">Nature's Madness</t>
  </si>
  <si>
    <t xml:space="preserve">tapu lele</t>
  </si>
  <si>
    <t xml:space="preserve">tapu bulu</t>
  </si>
  <si>
    <t xml:space="preserve">tapu fini</t>
  </si>
  <si>
    <t xml:space="preserve">Sunsteel Strike</t>
  </si>
  <si>
    <t xml:space="preserve">Moongeist Beam</t>
  </si>
  <si>
    <t xml:space="preserve">Photon Geyser</t>
  </si>
  <si>
    <t xml:space="preserve">Prismatic Laser</t>
  </si>
  <si>
    <t xml:space="preserve">necrozmadawnwings</t>
  </si>
  <si>
    <t xml:space="preserve">necrozmaduskmane</t>
  </si>
  <si>
    <t xml:space="preserve">Fleur Cannon</t>
  </si>
  <si>
    <t xml:space="preserve">Spectral Thief</t>
  </si>
  <si>
    <t xml:space="preserve">Mind Blown</t>
  </si>
  <si>
    <t xml:space="preserve">Plasma Fists</t>
  </si>
  <si>
    <t xml:space="preserve">Dex Data</t>
  </si>
  <si>
    <t xml:space="preserve">Fast Moves (Active)</t>
  </si>
  <si>
    <t xml:space="preserve">Charge Moves (Active)</t>
  </si>
  <si>
    <t xml:space="preserve">Fast Moves (Legacy)</t>
  </si>
  <si>
    <t xml:space="preserve">Charge Moves (Legacy)</t>
  </si>
  <si>
    <t xml:space="preserve">ID</t>
  </si>
  <si>
    <t xml:space="preserve">Move_F1</t>
  </si>
  <si>
    <t xml:space="preserve">Move_F2</t>
  </si>
  <si>
    <t xml:space="preserve">Move_C1</t>
  </si>
  <si>
    <t xml:space="preserve">Move_C2</t>
  </si>
  <si>
    <t xml:space="preserve">Move_C3</t>
  </si>
  <si>
    <t xml:space="preserve">Move_C4</t>
  </si>
  <si>
    <t xml:space="preserve">Move_C5</t>
  </si>
  <si>
    <t xml:space="preserve">Move_C6</t>
  </si>
  <si>
    <t xml:space="preserve">Move_C7</t>
  </si>
  <si>
    <t xml:space="preserve">Move_C8</t>
  </si>
  <si>
    <t xml:space="preserve">Leg_F1</t>
  </si>
  <si>
    <t xml:space="preserve">Leg_F2</t>
  </si>
  <si>
    <t xml:space="preserve">Leg_F3</t>
  </si>
  <si>
    <t xml:space="preserve">Leg_C1</t>
  </si>
  <si>
    <t xml:space="preserve">Leg_C2</t>
  </si>
  <si>
    <t xml:space="preserve">Leg_C3</t>
  </si>
  <si>
    <t xml:space="preserve">Struggle</t>
  </si>
  <si>
    <t xml:space="preserve">Element</t>
  </si>
  <si>
    <t xml:space="preserve">Energy</t>
  </si>
  <si>
    <t xml:space="preserve">EPS/DPE</t>
  </si>
  <si>
    <t xml:space="preserve">Time (ms)</t>
  </si>
  <si>
    <t xml:space="preserve">Fast</t>
  </si>
  <si>
    <t xml:space="preserve">Core Moves</t>
  </si>
  <si>
    <t xml:space="preserve">Translated in GO</t>
  </si>
  <si>
    <t xml:space="preserve">Existing Moves</t>
  </si>
  <si>
    <t xml:space="preserve">Land's Wrath</t>
  </si>
  <si>
    <t xml:space="preserve">#N/B</t>
  </si>
  <si>
    <t xml:space="preserve">Level</t>
  </si>
  <si>
    <t xml:space="preserve">CP Multiplier</t>
  </si>
  <si>
    <t xml:space="preserve">Stardust Cost</t>
  </si>
  <si>
    <t xml:space="preserve">Candy Cost</t>
  </si>
  <si>
    <t xml:space="preserve">Nerf List</t>
  </si>
  <si>
    <t xml:space="preserve">T1 Boss</t>
  </si>
  <si>
    <t xml:space="preserve">T2 Boss</t>
  </si>
  <si>
    <t xml:space="preserve">T3 Boss</t>
  </si>
  <si>
    <t xml:space="preserve">Partly Cloudy</t>
  </si>
  <si>
    <t xml:space="preserve">Windy</t>
  </si>
  <si>
    <t xml:space="preserve">Sunny / Clear</t>
  </si>
  <si>
    <t xml:space="preserve">Rainy</t>
  </si>
  <si>
    <t xml:space="preserve">Fog</t>
  </si>
  <si>
    <t xml:space="preserve">Snow</t>
  </si>
  <si>
    <t xml:space="preserve">Pokémon has forme</t>
  </si>
  <si>
    <t xml:space="preserve">Catalog Number</t>
  </si>
  <si>
    <t xml:space="preserve">Type 1</t>
  </si>
  <si>
    <t xml:space="preserve">Type 2</t>
  </si>
  <si>
    <t xml:space="preserve">Resist3x</t>
  </si>
  <si>
    <t xml:space="preserve">Stage3</t>
  </si>
  <si>
    <t xml:space="preserve">Resist2x</t>
  </si>
  <si>
    <t xml:space="preserve">Stage2</t>
  </si>
  <si>
    <t xml:space="preserve">Resist</t>
  </si>
  <si>
    <t xml:space="preserve">Stage1</t>
  </si>
  <si>
    <t xml:space="preserve">Weak</t>
  </si>
  <si>
    <t xml:space="preserve">Weak2x</t>
  </si>
  <si>
    <t xml:space="preserve">Is pumpkin</t>
  </si>
  <si>
    <t xml:space="preserve">Pretty_R3x</t>
  </si>
  <si>
    <t xml:space="preserve">Alolan form?</t>
  </si>
  <si>
    <t xml:space="preserve">Pretty_R2x</t>
  </si>
  <si>
    <t xml:space="preserve">Is released</t>
  </si>
  <si>
    <t xml:space="preserve">Pretty_R</t>
  </si>
  <si>
    <t xml:space="preserve">Pretty_W</t>
  </si>
  <si>
    <t xml:space="preserve">Pretty_W2x</t>
  </si>
  <si>
    <t xml:space="preserve">Resistances</t>
  </si>
  <si>
    <t xml:space="preserve">Weaknesses</t>
  </si>
  <si>
    <t xml:space="preserve">https://support.pokemongo.nianticlabs.com/hc/article_attachments/115026470848/weather_sunny.png</t>
  </si>
  <si>
    <t xml:space="preserve">https://support.pokemongo.nianticlabs.com/hc/article_attachments/115026428187/weather_clear.png</t>
  </si>
  <si>
    <t xml:space="preserve">Reverse</t>
  </si>
  <si>
    <t xml:space="preserve">Split evolutions</t>
  </si>
  <si>
    <t xml:space="preserve">https://support.pokemongo.nianticlabs.com/hc/article_attachments/115026427847/weather_partlycloudy_day.png</t>
  </si>
  <si>
    <t xml:space="preserve">https://vignette.wikia.nocookie.net/pokemongo/images/f/fe/Weather_Icon_Partly_Cloudy_Night.png/revision/latest?cb=20171206224425</t>
  </si>
  <si>
    <t xml:space="preserve">Evo</t>
  </si>
  <si>
    <t xml:space="preserve">Multiple Evo</t>
  </si>
  <si>
    <t xml:space="preserve">Alolan</t>
  </si>
  <si>
    <t xml:space="preserve">https://support.pokemongo.nianticlabs.com/hc/article_attachments/115026428007/weather_cloudy.png</t>
  </si>
  <si>
    <t xml:space="preserve">Ex.Stage1</t>
  </si>
  <si>
    <t xml:space="preserve">https://support.pokemongo.nianticlabs.com/hc/article_attachments/115026427867/weather_rain.png</t>
  </si>
  <si>
    <t xml:space="preserve">Ex.Stage2</t>
  </si>
  <si>
    <t xml:space="preserve">https://support.pokemongo.nianticlabs.com/hc/article_attachments/115026427887/weather_windy.png</t>
  </si>
  <si>
    <t xml:space="preserve">Ex.Stage3</t>
  </si>
  <si>
    <t xml:space="preserve">https://support.pokemongo.nianticlabs.com/hc/article_attachments/115026427907/weather_snow.png</t>
  </si>
  <si>
    <t xml:space="preserve">https://support.pokemongo.nianticlabs.com/hc/article_attachments/115026427927/weather_fog.png</t>
  </si>
  <si>
    <t xml:space="preserve">Mega</t>
  </si>
  <si>
    <t xml:space="preserve">Nerf?</t>
  </si>
  <si>
    <t xml:space="preserve">Form1</t>
  </si>
  <si>
    <t xml:space="preserve">Form2</t>
  </si>
  <si>
    <t xml:space="preserve">Multiple</t>
  </si>
  <si>
    <t xml:space="preserve">Stamina</t>
  </si>
  <si>
    <t xml:space="preserve">Effective</t>
  </si>
  <si>
    <t xml:space="preserve">Max</t>
  </si>
  <si>
    <t xml:space="preserve">Current</t>
  </si>
  <si>
    <t xml:space="preserve">CP (20)</t>
  </si>
  <si>
    <t xml:space="preserve">CP (30)</t>
  </si>
  <si>
    <t xml:space="preserve">CP (40)</t>
  </si>
  <si>
    <t xml:space="preserve">Pokémon Types</t>
  </si>
  <si>
    <t xml:space="preserve">Target Types</t>
  </si>
  <si>
    <t xml:space="preserve">STAB Modifier</t>
  </si>
  <si>
    <t xml:space="preserve">Empty Mod</t>
  </si>
  <si>
    <t xml:space="preserve">Is available</t>
  </si>
  <si>
    <t xml:space="preserve">Fast attacks</t>
  </si>
  <si>
    <t xml:space="preserve">Charged attack</t>
  </si>
  <si>
    <t xml:space="preserve">Match-Up 1</t>
  </si>
  <si>
    <t xml:space="preserve">Match-Up 2</t>
  </si>
  <si>
    <t xml:space="preserve">Power w/ weave</t>
  </si>
  <si>
    <t xml:space="preserve">Legacy Fast?</t>
  </si>
  <si>
    <t xml:space="preserve">Legacy Charge</t>
  </si>
  <si>
    <t xml:space="preserve">F_S</t>
  </si>
  <si>
    <t xml:space="preserve">F_MU</t>
  </si>
  <si>
    <t xml:space="preserve">F_P</t>
  </si>
  <si>
    <t xml:space="preserve">F_E</t>
  </si>
  <si>
    <t xml:space="preserve">F_T</t>
  </si>
  <si>
    <t xml:space="preserve">C_S</t>
  </si>
  <si>
    <t xml:space="preserve">C_MU</t>
  </si>
  <si>
    <t xml:space="preserve">C_P</t>
  </si>
  <si>
    <t xml:space="preserve">C_E</t>
  </si>
  <si>
    <t xml:space="preserve">C_T</t>
  </si>
  <si>
    <t xml:space="preserve">TDPS_No_MU</t>
  </si>
  <si>
    <t xml:space="preserve">TDPS_MU</t>
  </si>
  <si>
    <t xml:space="preserve">Ranking</t>
  </si>
  <si>
    <t xml:space="preserve">Is final</t>
  </si>
  <si>
    <t xml:space="preserve">Acc_F_S</t>
  </si>
  <si>
    <t xml:space="preserve">Type1</t>
  </si>
  <si>
    <t xml:space="preserve">Cell call (core tab)</t>
  </si>
  <si>
    <t xml:space="preserve">Acc_F_NS</t>
  </si>
  <si>
    <t xml:space="preserve">Cell call (go tab)</t>
  </si>
  <si>
    <t xml:space="preserve">Acc_C_S</t>
  </si>
  <si>
    <t xml:space="preserve">Acc_C_NS</t>
  </si>
  <si>
    <t xml:space="preserve">Pot_S</t>
  </si>
  <si>
    <t xml:space="preserve">Pot_NS</t>
  </si>
  <si>
    <t xml:space="preserve">Clean</t>
  </si>
  <si>
    <t xml:space="preserve">Fast=1, Charge=0</t>
  </si>
  <si>
    <t xml:space="preserve">Learnable Moves</t>
  </si>
  <si>
    <t xml:space="preserve">Unreleased Moves</t>
  </si>
  <si>
    <t xml:space="preserve">Filter</t>
  </si>
  <si>
    <t xml:space="preserve">Min IV</t>
  </si>
  <si>
    <t xml:space="preserve">Min Sum</t>
  </si>
  <si>
    <t xml:space="preserve">CPM</t>
  </si>
  <si>
    <t xml:space="preserve">Final Evo</t>
  </si>
  <si>
    <t xml:space="preserve">CHECK_Form</t>
  </si>
  <si>
    <t xml:space="preserve">CHECK_Type1</t>
  </si>
  <si>
    <t xml:space="preserve">CHECK_Type2</t>
  </si>
  <si>
    <t xml:space="preserve">Matchup1</t>
  </si>
  <si>
    <t xml:space="preserve">Matchup2</t>
  </si>
  <si>
    <t xml:space="preserve">CHECK_Resist</t>
  </si>
  <si>
    <t xml:space="preserve">CHECK_Attack</t>
  </si>
  <si>
    <t xml:space="preserve">CHECK_Defense</t>
  </si>
  <si>
    <t xml:space="preserve">CHECK_Stamina</t>
  </si>
  <si>
    <t xml:space="preserve">CHECK_Fast</t>
  </si>
  <si>
    <t xml:space="preserve">CHECK_Charge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</si>
</sst>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#,\K"/>
    <numFmt numFmtId="166" formatCode="DD\/MM\/YY"/>
    <numFmt numFmtId="167" formatCode="#,##0"/>
    <numFmt numFmtId="168" formatCode="0.00"/>
    <numFmt numFmtId="169" formatCode="0"/>
    <numFmt numFmtId="170" formatCode="0%"/>
    <numFmt numFmtId="171" formatCode="0.0"/>
    <numFmt numFmtId="172" formatCode="_&quot;\+0%\;0%\;General"/>
    <numFmt numFmtId="173" formatCode="0.0%"/>
    <numFmt numFmtId="174" formatCode="D/M/YY"/>
    <numFmt numFmtId="175" formatCode="0.000"/>
    <numFmt numFmtId="176" formatCode="0.00%"/>
  </numFmts>
  <fonts count="5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Roboto"/>
      <family val="0"/>
      <charset val="1"/>
    </font>
    <font>
      <b val="true"/>
      <sz val="10"/>
      <name val="Roboto"/>
      <family val="0"/>
      <charset val="1"/>
    </font>
    <font>
      <b val="true"/>
      <sz val="11"/>
      <color rgb="FFFFFFFF"/>
      <name val="Roboto"/>
      <family val="0"/>
      <charset val="1"/>
    </font>
    <font>
      <sz val="11"/>
      <name val="Roboto"/>
      <family val="0"/>
      <charset val="1"/>
    </font>
    <font>
      <b val="true"/>
      <sz val="12"/>
      <name val="Roboto"/>
      <family val="0"/>
      <charset val="1"/>
    </font>
    <font>
      <sz val="9"/>
      <name val="Roboto"/>
      <family val="0"/>
      <charset val="1"/>
    </font>
    <font>
      <sz val="11"/>
      <name val="Cambria"/>
      <family val="0"/>
      <charset val="1"/>
    </font>
    <font>
      <b val="true"/>
      <sz val="11"/>
      <color rgb="FF666666"/>
      <name val="Roboto"/>
      <family val="0"/>
      <charset val="1"/>
    </font>
    <font>
      <b val="true"/>
      <sz val="11"/>
      <name val="Cambria"/>
      <family val="0"/>
      <charset val="1"/>
    </font>
    <font>
      <b val="true"/>
      <sz val="11"/>
      <name val="Roboto"/>
      <family val="0"/>
      <charset val="1"/>
    </font>
    <font>
      <b val="true"/>
      <sz val="10"/>
      <name val="Cambria"/>
      <family val="0"/>
      <charset val="1"/>
    </font>
    <font>
      <sz val="9"/>
      <name val="Cambria"/>
      <family val="0"/>
      <charset val="1"/>
    </font>
    <font>
      <b val="true"/>
      <sz val="14"/>
      <name val="Roboto"/>
      <family val="0"/>
      <charset val="1"/>
    </font>
    <font>
      <b val="true"/>
      <sz val="18"/>
      <name val="Roboto"/>
      <family val="0"/>
      <charset val="1"/>
    </font>
    <font>
      <b val="true"/>
      <sz val="13"/>
      <name val="Roboto"/>
      <family val="0"/>
      <charset val="1"/>
    </font>
    <font>
      <sz val="10"/>
      <name val="Roboto"/>
      <family val="0"/>
      <charset val="1"/>
    </font>
    <font>
      <b val="true"/>
      <sz val="12"/>
      <color rgb="FF434343"/>
      <name val="Roboto"/>
      <family val="0"/>
      <charset val="1"/>
    </font>
    <font>
      <sz val="14"/>
      <name val="Roboto"/>
      <family val="0"/>
      <charset val="1"/>
    </font>
    <font>
      <b val="true"/>
      <sz val="9"/>
      <name val="Roboto"/>
      <family val="0"/>
      <charset val="1"/>
    </font>
    <font>
      <b val="true"/>
      <sz val="12"/>
      <color rgb="FFFFFFFF"/>
      <name val="Roboto"/>
      <family val="0"/>
      <charset val="1"/>
    </font>
    <font>
      <b val="true"/>
      <sz val="20"/>
      <name val="Roboto"/>
      <family val="0"/>
      <charset val="1"/>
    </font>
    <font>
      <b val="true"/>
      <sz val="20"/>
      <color rgb="FF434343"/>
      <name val="Roboto"/>
      <family val="0"/>
      <charset val="1"/>
    </font>
    <font>
      <b val="true"/>
      <sz val="11"/>
      <color rgb="FF434343"/>
      <name val="Roboto"/>
      <family val="0"/>
      <charset val="1"/>
    </font>
    <font>
      <b val="true"/>
      <sz val="12"/>
      <color rgb="FFF3F3F3"/>
      <name val="Roboto"/>
      <family val="0"/>
      <charset val="1"/>
    </font>
    <font>
      <sz val="12"/>
      <name val="Roboto Slab"/>
      <family val="0"/>
      <charset val="1"/>
    </font>
    <font>
      <b val="true"/>
      <sz val="9"/>
      <color rgb="FFFFFFFF"/>
      <name val="Roboto"/>
      <family val="0"/>
      <charset val="1"/>
    </font>
    <font>
      <b val="true"/>
      <sz val="8"/>
      <color rgb="FFFFFFFF"/>
      <name val="Roboto"/>
      <family val="0"/>
      <charset val="1"/>
    </font>
    <font>
      <b val="true"/>
      <sz val="10"/>
      <color rgb="FFFFFFFF"/>
      <name val="Roboto"/>
      <family val="0"/>
      <charset val="1"/>
    </font>
    <font>
      <sz val="11"/>
      <name val="Roboto Slab"/>
      <family val="0"/>
      <charset val="1"/>
    </font>
    <font>
      <i val="true"/>
      <sz val="11"/>
      <name val="Roboto"/>
      <family val="0"/>
      <charset val="1"/>
    </font>
    <font>
      <b val="true"/>
      <sz val="24"/>
      <name val="Roboto Slab"/>
      <family val="0"/>
      <charset val="1"/>
    </font>
    <font>
      <b val="true"/>
      <sz val="12"/>
      <name val="Roboto Slab"/>
      <family val="0"/>
      <charset val="1"/>
    </font>
    <font>
      <b val="true"/>
      <sz val="14"/>
      <name val="Roboto Slab"/>
      <family val="0"/>
      <charset val="1"/>
    </font>
    <font>
      <b val="true"/>
      <sz val="11"/>
      <name val="Roboto Slab"/>
      <family val="0"/>
      <charset val="1"/>
    </font>
    <font>
      <b val="true"/>
      <sz val="16"/>
      <name val="Roboto Slab"/>
      <family val="0"/>
      <charset val="1"/>
    </font>
    <font>
      <sz val="12"/>
      <name val="Roboto"/>
      <family val="0"/>
      <charset val="1"/>
    </font>
    <font>
      <b val="true"/>
      <sz val="11"/>
      <color rgb="FFD9D9D9"/>
      <name val="Roboto"/>
      <family val="0"/>
      <charset val="1"/>
    </font>
    <font>
      <sz val="10"/>
      <name val="Arial"/>
      <family val="0"/>
      <charset val="1"/>
    </font>
    <font>
      <b val="true"/>
      <sz val="10"/>
      <color rgb="FFFFFFFF"/>
      <name val="Roboto Slab"/>
      <family val="0"/>
      <charset val="1"/>
    </font>
    <font>
      <sz val="10"/>
      <name val="Cambria"/>
      <family val="0"/>
      <charset val="1"/>
    </font>
    <font>
      <sz val="14"/>
      <name val="Roboto Slab"/>
      <family val="0"/>
      <charset val="1"/>
    </font>
    <font>
      <b val="true"/>
      <sz val="11"/>
      <color rgb="FFCC0000"/>
      <name val="Roboto"/>
      <family val="0"/>
      <charset val="1"/>
    </font>
    <font>
      <b val="true"/>
      <sz val="24"/>
      <color rgb="FF073763"/>
      <name val="Roboto Slab"/>
      <family val="0"/>
      <charset val="1"/>
    </font>
    <font>
      <b val="true"/>
      <sz val="10"/>
      <name val="Arial"/>
      <family val="0"/>
      <charset val="1"/>
    </font>
    <font>
      <b val="true"/>
      <sz val="11"/>
      <name val="Arial"/>
      <family val="0"/>
      <charset val="1"/>
    </font>
    <font>
      <sz val="11"/>
      <name val="Arial"/>
      <family val="0"/>
      <charset val="1"/>
    </font>
    <font>
      <b val="true"/>
      <sz val="11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u val="single"/>
      <sz val="10"/>
      <color rgb="FF0000FF"/>
      <name val="Arial"/>
      <family val="0"/>
      <charset val="1"/>
    </font>
  </fonts>
  <fills count="37">
    <fill>
      <patternFill patternType="none"/>
    </fill>
    <fill>
      <patternFill patternType="gray125"/>
    </fill>
    <fill>
      <patternFill patternType="solid">
        <fgColor rgb="FFEFEFEF"/>
        <bgColor rgb="FFF3F3F3"/>
      </patternFill>
    </fill>
    <fill>
      <patternFill patternType="solid">
        <fgColor rgb="FFCCCCCC"/>
        <bgColor rgb="FFD9D9D9"/>
      </patternFill>
    </fill>
    <fill>
      <patternFill patternType="solid">
        <fgColor rgb="FFDD7E6B"/>
        <bgColor rgb="FFE06666"/>
      </patternFill>
    </fill>
    <fill>
      <patternFill patternType="solid">
        <fgColor rgb="FFFFF799"/>
        <bgColor rgb="FFFFF2CC"/>
      </patternFill>
    </fill>
    <fill>
      <patternFill patternType="solid">
        <fgColor rgb="FFF1C232"/>
        <bgColor rgb="FFFFD966"/>
      </patternFill>
    </fill>
    <fill>
      <patternFill patternType="solid">
        <fgColor rgb="FFFFFFFF"/>
        <bgColor rgb="FFF3F3F3"/>
      </patternFill>
    </fill>
    <fill>
      <patternFill patternType="solid">
        <fgColor rgb="FFBF9000"/>
        <bgColor rgb="FFE69551"/>
      </patternFill>
    </fill>
    <fill>
      <patternFill patternType="solid">
        <fgColor rgb="FF78C850"/>
        <bgColor rgb="FF6AA84F"/>
      </patternFill>
    </fill>
    <fill>
      <patternFill patternType="solid">
        <fgColor rgb="FFEAD1DC"/>
        <bgColor rgb="FFEADDE3"/>
      </patternFill>
    </fill>
    <fill>
      <patternFill patternType="solid">
        <fgColor rgb="FFCC4125"/>
        <bgColor rgb="FFB45F06"/>
      </patternFill>
    </fill>
    <fill>
      <patternFill patternType="solid">
        <fgColor rgb="FFFFEC68"/>
        <bgColor rgb="FFFFD966"/>
      </patternFill>
    </fill>
    <fill>
      <patternFill patternType="solid">
        <fgColor rgb="FFCC0000"/>
        <bgColor rgb="FFFF0000"/>
      </patternFill>
    </fill>
    <fill>
      <patternFill patternType="solid">
        <fgColor rgb="FFE06666"/>
        <bgColor rgb="FFDD7E6B"/>
      </patternFill>
    </fill>
    <fill>
      <patternFill patternType="solid">
        <fgColor rgb="FFB6D7A8"/>
        <bgColor rgb="FFCCCCCC"/>
      </patternFill>
    </fill>
    <fill>
      <patternFill patternType="solid">
        <fgColor rgb="FF6FA8DC"/>
        <bgColor rgb="FF6D9EEB"/>
      </patternFill>
    </fill>
    <fill>
      <patternFill patternType="solid">
        <fgColor rgb="FFFFF2CC"/>
        <bgColor rgb="FFFCE5CD"/>
      </patternFill>
    </fill>
    <fill>
      <patternFill patternType="solid">
        <fgColor rgb="FFB7B7B7"/>
        <bgColor rgb="FFC7B299"/>
      </patternFill>
    </fill>
    <fill>
      <patternFill patternType="solid">
        <fgColor rgb="FF9FC5E8"/>
        <bgColor rgb="FFB7B7B7"/>
      </patternFill>
    </fill>
    <fill>
      <patternFill patternType="solid">
        <fgColor rgb="FF6D9EEB"/>
        <bgColor rgb="FF6FA8DC"/>
      </patternFill>
    </fill>
    <fill>
      <patternFill patternType="solid">
        <fgColor rgb="FFC27BA0"/>
        <bgColor rgb="FFDD7E6B"/>
      </patternFill>
    </fill>
    <fill>
      <patternFill patternType="solid">
        <fgColor rgb="FF646661"/>
        <bgColor rgb="FF666666"/>
      </patternFill>
    </fill>
    <fill>
      <patternFill patternType="solid">
        <fgColor rgb="FF999999"/>
        <bgColor rgb="FFB7B7B7"/>
      </patternFill>
    </fill>
    <fill>
      <patternFill patternType="solid">
        <fgColor rgb="FFE69551"/>
        <bgColor rgb="FFDD7E6B"/>
      </patternFill>
    </fill>
    <fill>
      <patternFill patternType="solid">
        <fgColor rgb="FF990000"/>
        <bgColor rgb="FFCC0000"/>
      </patternFill>
    </fill>
    <fill>
      <patternFill patternType="solid">
        <fgColor rgb="FFFFD966"/>
        <bgColor rgb="FFFFEC68"/>
      </patternFill>
    </fill>
    <fill>
      <patternFill patternType="solid">
        <fgColor rgb="FFFCE5CD"/>
        <bgColor rgb="FFFFF2CC"/>
      </patternFill>
    </fill>
    <fill>
      <patternFill patternType="solid">
        <fgColor rgb="FFD9D9D9"/>
        <bgColor rgb="FFEADDE3"/>
      </patternFill>
    </fill>
    <fill>
      <patternFill patternType="solid">
        <fgColor rgb="FFF3F3F3"/>
        <bgColor rgb="FFEFEFEF"/>
      </patternFill>
    </fill>
    <fill>
      <patternFill patternType="solid">
        <fgColor rgb="FFE6B8AF"/>
        <bgColor rgb="FFD5A6BD"/>
      </patternFill>
    </fill>
    <fill>
      <patternFill patternType="solid">
        <fgColor rgb="FFD9EAD3"/>
        <bgColor rgb="FFD9D9D9"/>
      </patternFill>
    </fill>
    <fill>
      <patternFill patternType="solid">
        <fgColor rgb="FF6AA84F"/>
        <bgColor rgb="FF78C850"/>
      </patternFill>
    </fill>
    <fill>
      <patternFill patternType="solid">
        <fgColor rgb="FFB73471"/>
        <bgColor rgb="FFCC4125"/>
      </patternFill>
    </fill>
    <fill>
      <patternFill patternType="solid">
        <fgColor rgb="FFEADDE3"/>
        <bgColor rgb="FFEAD1DC"/>
      </patternFill>
    </fill>
    <fill>
      <patternFill patternType="solid">
        <fgColor rgb="FFD5A6BD"/>
        <bgColor rgb="FFC7B299"/>
      </patternFill>
    </fill>
    <fill>
      <patternFill patternType="solid">
        <fgColor rgb="FFCFE2F3"/>
        <bgColor rgb="FFD9D9D9"/>
      </patternFill>
    </fill>
  </fills>
  <borders count="8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ck"/>
      <right/>
      <top/>
      <bottom/>
      <diagonal/>
    </border>
    <border diagonalUp="false" diagonalDown="false">
      <left/>
      <right style="thick"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ck"/>
      <right/>
      <top/>
      <bottom style="thick"/>
      <diagonal/>
    </border>
    <border diagonalUp="false" diagonalDown="false">
      <left/>
      <right/>
      <top/>
      <bottom style="thick"/>
      <diagonal/>
    </border>
    <border diagonalUp="false" diagonalDown="false">
      <left/>
      <right style="thick"/>
      <top/>
      <bottom style="thick"/>
      <diagonal/>
    </border>
    <border diagonalUp="false" diagonalDown="false">
      <left style="thick"/>
      <right/>
      <top style="thick"/>
      <bottom/>
      <diagonal/>
    </border>
    <border diagonalUp="false" diagonalDown="false">
      <left/>
      <right/>
      <top style="thick"/>
      <bottom/>
      <diagonal/>
    </border>
    <border diagonalUp="false" diagonalDown="false">
      <left/>
      <right style="thick"/>
      <top style="thick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medium"/>
      <top/>
      <bottom style="thick"/>
      <diagonal/>
    </border>
    <border diagonalUp="false" diagonalDown="false">
      <left/>
      <right style="thin"/>
      <top/>
      <bottom style="thick"/>
      <diagonal/>
    </border>
    <border diagonalUp="false" diagonalDown="false">
      <left style="thin"/>
      <right/>
      <top/>
      <bottom/>
      <diagonal/>
    </border>
    <border diagonalUp="false" diagonalDown="false">
      <left/>
      <right style="dotted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 style="medium">
        <color rgb="FF646661"/>
      </left>
      <right style="medium">
        <color rgb="FF646661"/>
      </right>
      <top style="medium">
        <color rgb="FF646661"/>
      </top>
      <bottom style="medium">
        <color rgb="FF646661"/>
      </bottom>
      <diagonal/>
    </border>
    <border diagonalUp="false" diagonalDown="false">
      <left style="thin">
        <color rgb="FF3F4344"/>
      </left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 style="thin">
        <color rgb="FF3F4344"/>
      </left>
      <right style="thin">
        <color rgb="FF3F4344"/>
      </right>
      <top style="thin">
        <color rgb="FF3F4344"/>
      </top>
      <bottom/>
      <diagonal/>
    </border>
    <border diagonalUp="false" diagonalDown="false">
      <left style="hair">
        <color rgb="FF646661"/>
      </left>
      <right/>
      <top/>
      <bottom/>
      <diagonal/>
    </border>
    <border diagonalUp="false" diagonalDown="false">
      <left style="medium">
        <color rgb="FF646661"/>
      </left>
      <right style="medium">
        <color rgb="FF646661"/>
      </right>
      <top style="medium">
        <color rgb="FF646661"/>
      </top>
      <bottom style="thin">
        <color rgb="FF646661"/>
      </bottom>
      <diagonal/>
    </border>
    <border diagonalUp="false" diagonalDown="false">
      <left style="medium">
        <color rgb="FF646661"/>
      </left>
      <right/>
      <top/>
      <bottom/>
      <diagonal/>
    </border>
    <border diagonalUp="false" diagonalDown="false">
      <left/>
      <right style="medium">
        <color rgb="FF646661"/>
      </right>
      <top/>
      <bottom/>
      <diagonal/>
    </border>
    <border diagonalUp="false" diagonalDown="false">
      <left style="medium">
        <color rgb="FF646661"/>
      </left>
      <right style="thin">
        <color rgb="FF646661"/>
      </right>
      <top style="thin">
        <color rgb="FF646661"/>
      </top>
      <bottom style="thin">
        <color rgb="FF646661"/>
      </bottom>
      <diagonal/>
    </border>
    <border diagonalUp="false" diagonalDown="false">
      <left style="thin">
        <color rgb="FF646661"/>
      </left>
      <right style="medium">
        <color rgb="FF646661"/>
      </right>
      <top style="thin">
        <color rgb="FF646661"/>
      </top>
      <bottom style="thin">
        <color rgb="FF646661"/>
      </bottom>
      <diagonal/>
    </border>
    <border diagonalUp="false" diagonalDown="false">
      <left style="medium">
        <color rgb="FF646661"/>
      </left>
      <right style="medium">
        <color rgb="FF646661"/>
      </right>
      <top/>
      <bottom/>
      <diagonal/>
    </border>
    <border diagonalUp="false" diagonalDown="false">
      <left style="medium">
        <color rgb="FF646661"/>
      </left>
      <right style="thin">
        <color rgb="FF646661"/>
      </right>
      <top style="thin">
        <color rgb="FF646661"/>
      </top>
      <bottom style="medium">
        <color rgb="FF646661"/>
      </bottom>
      <diagonal/>
    </border>
    <border diagonalUp="false" diagonalDown="false">
      <left style="thin">
        <color rgb="FF646661"/>
      </left>
      <right style="medium">
        <color rgb="FF646661"/>
      </right>
      <top style="thin">
        <color rgb="FF646661"/>
      </top>
      <bottom style="medium">
        <color rgb="FF646661"/>
      </bottom>
      <diagonal/>
    </border>
    <border diagonalUp="false" diagonalDown="false">
      <left/>
      <right/>
      <top style="thick">
        <color rgb="FF646661"/>
      </top>
      <bottom/>
      <diagonal/>
    </border>
    <border diagonalUp="false" diagonalDown="false">
      <left style="thick">
        <color rgb="FF3F4344"/>
      </left>
      <right/>
      <top style="thick">
        <color rgb="FF3F4344"/>
      </top>
      <bottom style="thin">
        <color rgb="FF3F4344"/>
      </bottom>
      <diagonal/>
    </border>
    <border diagonalUp="false" diagonalDown="false">
      <left style="medium">
        <color rgb="FF3F4344"/>
      </left>
      <right style="thick">
        <color rgb="FF3F4344"/>
      </right>
      <top style="thick">
        <color rgb="FF3F4344"/>
      </top>
      <bottom style="medium">
        <color rgb="FF3F4344"/>
      </bottom>
      <diagonal/>
    </border>
    <border diagonalUp="false" diagonalDown="false">
      <left style="thick">
        <color rgb="FF3F4344"/>
      </left>
      <right/>
      <top/>
      <bottom/>
      <diagonal/>
    </border>
    <border diagonalUp="false" diagonalDown="false">
      <left/>
      <right style="thick">
        <color rgb="FF3F4344"/>
      </right>
      <top/>
      <bottom/>
      <diagonal/>
    </border>
    <border diagonalUp="false" diagonalDown="false">
      <left/>
      <right/>
      <top/>
      <bottom style="medium">
        <color rgb="FF3F4344"/>
      </bottom>
      <diagonal/>
    </border>
    <border diagonalUp="false" diagonalDown="false">
      <left style="thick">
        <color rgb="FF3F4344"/>
      </left>
      <right/>
      <top style="medium">
        <color rgb="FF3F4344"/>
      </top>
      <bottom/>
      <diagonal/>
    </border>
    <border diagonalUp="false" diagonalDown="false">
      <left/>
      <right/>
      <top style="medium">
        <color rgb="FF3F4344"/>
      </top>
      <bottom/>
      <diagonal/>
    </border>
    <border diagonalUp="false" diagonalDown="false">
      <left/>
      <right style="thin">
        <color rgb="FF3F4344"/>
      </right>
      <top style="medium">
        <color rgb="FF3F4344"/>
      </top>
      <bottom/>
      <diagonal/>
    </border>
    <border diagonalUp="false" diagonalDown="false">
      <left style="thin">
        <color rgb="FF3F4344"/>
      </left>
      <right/>
      <top style="medium">
        <color rgb="FF3F4344"/>
      </top>
      <bottom/>
      <diagonal/>
    </border>
    <border diagonalUp="false" diagonalDown="false">
      <left/>
      <right style="thick">
        <color rgb="FF3F4344"/>
      </right>
      <top style="medium">
        <color rgb="FF3F4344"/>
      </top>
      <bottom/>
      <diagonal/>
    </border>
    <border diagonalUp="false" diagonalDown="false">
      <left style="thin">
        <color rgb="FF3F4344"/>
      </left>
      <right/>
      <top style="thin">
        <color rgb="FF3F4344"/>
      </top>
      <bottom style="thin">
        <color rgb="FF3F4344"/>
      </bottom>
      <diagonal/>
    </border>
    <border diagonalUp="false" diagonalDown="false">
      <left style="thick">
        <color rgb="FF3F4344"/>
      </left>
      <right/>
      <top style="thin">
        <color rgb="FF3F4344"/>
      </top>
      <bottom style="thin">
        <color rgb="FF3F4344"/>
      </bottom>
      <diagonal/>
    </border>
    <border diagonalUp="false" diagonalDown="false">
      <left style="medium">
        <color rgb="FF3F4344"/>
      </left>
      <right style="medium">
        <color rgb="FF3F4344"/>
      </right>
      <top style="medium">
        <color rgb="FF3F4344"/>
      </top>
      <bottom style="medium">
        <color rgb="FF3F4344"/>
      </bottom>
      <diagonal/>
    </border>
    <border diagonalUp="false" diagonalDown="false">
      <left style="medium">
        <color rgb="FF3F4344"/>
      </left>
      <right/>
      <top style="medium">
        <color rgb="FF3F4344"/>
      </top>
      <bottom style="medium">
        <color rgb="FF3F4344"/>
      </bottom>
      <diagonal/>
    </border>
    <border diagonalUp="false" diagonalDown="false">
      <left/>
      <right style="thick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/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/>
      <right style="thin">
        <color rgb="FF3F4344"/>
      </right>
      <top/>
      <bottom/>
      <diagonal/>
    </border>
    <border diagonalUp="false" diagonalDown="false">
      <left style="thin">
        <color rgb="FF3F4344"/>
      </left>
      <right/>
      <top/>
      <bottom/>
      <diagonal/>
    </border>
    <border diagonalUp="false" diagonalDown="false">
      <left style="thick">
        <color rgb="FF3F4344"/>
      </left>
      <right style="thin">
        <color rgb="FF3F4344"/>
      </right>
      <top style="thin">
        <color rgb="FF3F4344"/>
      </top>
      <bottom style="thin">
        <color rgb="FF3F4344"/>
      </bottom>
      <diagonal/>
    </border>
    <border diagonalUp="false" diagonalDown="false">
      <left style="thick">
        <color rgb="FF3F4344"/>
      </left>
      <right/>
      <top/>
      <bottom style="medium">
        <color rgb="FF3F4344"/>
      </bottom>
      <diagonal/>
    </border>
    <border diagonalUp="false" diagonalDown="false">
      <left/>
      <right style="thin">
        <color rgb="FF3F4344"/>
      </right>
      <top/>
      <bottom style="medium">
        <color rgb="FF3F4344"/>
      </bottom>
      <diagonal/>
    </border>
    <border diagonalUp="false" diagonalDown="false">
      <left style="thin">
        <color rgb="FF3F4344"/>
      </left>
      <right/>
      <top/>
      <bottom style="medium">
        <color rgb="FF3F4344"/>
      </bottom>
      <diagonal/>
    </border>
    <border diagonalUp="false" diagonalDown="false">
      <left/>
      <right style="thick">
        <color rgb="FF3F4344"/>
      </right>
      <top/>
      <bottom style="medium">
        <color rgb="FF3F4344"/>
      </bottom>
      <diagonal/>
    </border>
    <border diagonalUp="false" diagonalDown="false">
      <left style="medium">
        <color rgb="FF3F4344"/>
      </left>
      <right style="thick">
        <color rgb="FF3F4344"/>
      </right>
      <top style="medium">
        <color rgb="FF3F4344"/>
      </top>
      <bottom style="medium">
        <color rgb="FF3F4344"/>
      </bottom>
      <diagonal/>
    </border>
    <border diagonalUp="false" diagonalDown="false">
      <left style="thin">
        <color rgb="FF3F4344"/>
      </left>
      <right style="thin">
        <color rgb="FF3F4344"/>
      </right>
      <top/>
      <bottom/>
      <diagonal/>
    </border>
    <border diagonalUp="false" diagonalDown="false">
      <left style="thin">
        <color rgb="FF3F4344"/>
      </left>
      <right/>
      <top style="thin">
        <color rgb="FF3F4344"/>
      </top>
      <bottom/>
      <diagonal/>
    </border>
    <border diagonalUp="false" diagonalDown="false">
      <left/>
      <right style="thin">
        <color rgb="FF3F4344"/>
      </right>
      <top style="thin">
        <color rgb="FF3F4344"/>
      </top>
      <bottom/>
      <diagonal/>
    </border>
    <border diagonalUp="false" diagonalDown="false">
      <left style="thin">
        <color rgb="FF3F4344"/>
      </left>
      <right/>
      <top/>
      <bottom style="thin">
        <color rgb="FF3F4344"/>
      </bottom>
      <diagonal/>
    </border>
    <border diagonalUp="false" diagonalDown="false">
      <left/>
      <right style="thin">
        <color rgb="FF3F4344"/>
      </right>
      <top/>
      <bottom style="thin">
        <color rgb="FF3F4344"/>
      </bottom>
      <diagonal/>
    </border>
    <border diagonalUp="false" diagonalDown="false">
      <left style="thick">
        <color rgb="FF3F4344"/>
      </left>
      <right/>
      <top/>
      <bottom style="thick">
        <color rgb="FF3F4344"/>
      </bottom>
      <diagonal/>
    </border>
    <border diagonalUp="false" diagonalDown="false">
      <left/>
      <right/>
      <top/>
      <bottom style="thick">
        <color rgb="FF3F4344"/>
      </bottom>
      <diagonal/>
    </border>
    <border diagonalUp="false" diagonalDown="false">
      <left/>
      <right style="thick">
        <color rgb="FF3F4344"/>
      </right>
      <top/>
      <bottom style="thick">
        <color rgb="FF3F4344"/>
      </bottom>
      <diagonal/>
    </border>
    <border diagonalUp="false" diagonalDown="false">
      <left style="thick">
        <color rgb="FF3F4344"/>
      </left>
      <right/>
      <top style="thick">
        <color rgb="FF3F4344"/>
      </top>
      <bottom/>
      <diagonal/>
    </border>
    <border diagonalUp="false" diagonalDown="false">
      <left/>
      <right/>
      <top style="thick">
        <color rgb="FF3F4344"/>
      </top>
      <bottom/>
      <diagonal/>
    </border>
    <border diagonalUp="false" diagonalDown="false">
      <left/>
      <right style="thick">
        <color rgb="FF3F4344"/>
      </right>
      <top style="thick">
        <color rgb="FF3F4344"/>
      </top>
      <bottom/>
      <diagonal/>
    </border>
    <border diagonalUp="false" diagonalDown="false">
      <left/>
      <right/>
      <top style="thin">
        <color rgb="FF3F4344"/>
      </top>
      <bottom/>
      <diagonal/>
    </border>
    <border diagonalUp="false" diagonalDown="false">
      <left/>
      <right/>
      <top/>
      <bottom style="thin">
        <color rgb="FF3F4344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9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" fillId="4" borderId="2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5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7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6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9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15" fillId="10" borderId="6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4" fillId="11" borderId="6" xfId="0" applyFont="true" applyBorder="true" applyAlignment="true" applyProtection="false">
      <alignment horizontal="right" vertical="top" textRotation="0" wrapText="false" indent="0" shrinkToFit="false"/>
      <protection locked="true" hidden="false"/>
    </xf>
    <xf numFmtId="164" fontId="7" fillId="5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1" borderId="0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12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7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8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13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7" fillId="7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3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13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7" fillId="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1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center" vertical="top" textRotation="0" wrapText="true" indent="0" shrinkToFit="false"/>
      <protection locked="true" hidden="false"/>
    </xf>
    <xf numFmtId="164" fontId="7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1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22" fillId="1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12" borderId="2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12" borderId="2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1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4" borderId="2" xfId="0" applyFont="true" applyBorder="true" applyAlignment="true" applyProtection="false">
      <alignment horizontal="general" vertical="center" textRotation="90" wrapText="false" indent="0" shrinkToFit="false"/>
      <protection locked="true" hidden="false"/>
    </xf>
    <xf numFmtId="164" fontId="7" fillId="5" borderId="1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5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14" borderId="22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4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2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5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24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6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1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4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4" borderId="2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1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0" xfId="0" applyFont="tru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8" fillId="16" borderId="8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6" borderId="2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8" fillId="14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4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5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5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6" borderId="1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20" fillId="16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4" fillId="19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5" fillId="1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9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0" fillId="19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0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7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6" fillId="14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15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16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20" fillId="19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11" borderId="0" xfId="0" applyFont="true" applyBorder="true" applyAlignment="true" applyProtection="false">
      <alignment horizontal="general" vertical="center" textRotation="90" wrapText="true" indent="0" shrinkToFit="false"/>
      <protection locked="true" hidden="false"/>
    </xf>
    <xf numFmtId="164" fontId="7" fillId="12" borderId="1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12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12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1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8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9" fillId="23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4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8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7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3" fillId="7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0" fillId="2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1" fillId="2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17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7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32" fillId="1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32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7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5" fillId="7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28" fillId="1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8" borderId="6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3" fillId="12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12" borderId="1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2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1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25" borderId="16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26" borderId="27" xfId="0" applyFont="true" applyBorder="true" applyAlignment="true" applyProtection="false">
      <alignment horizontal="general" vertical="bottom" textRotation="90" wrapText="true" indent="0" shrinkToFit="false"/>
      <protection locked="true" hidden="false"/>
    </xf>
    <xf numFmtId="164" fontId="7" fillId="2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18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3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2" fillId="18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7" fillId="7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3" fillId="2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" borderId="2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7" borderId="1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7" borderId="2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5" fillId="28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73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6" fillId="23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29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3" borderId="3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3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3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3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7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3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29" borderId="3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29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3" fillId="3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29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8" fillId="7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8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9" fillId="29" borderId="37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29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29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0" fillId="29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9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3" fillId="29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29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9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" fillId="0" borderId="4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0" borderId="4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2" fillId="0" borderId="4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22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11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0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5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22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3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6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22" borderId="5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7" borderId="6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1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6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6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5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19" fillId="31" borderId="6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9" fillId="26" borderId="33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32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31" borderId="6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31" borderId="6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5" borderId="6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5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21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1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7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33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10" borderId="3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9" fillId="34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6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4" fillId="7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9" fillId="1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10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4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35" borderId="6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5" fillId="34" borderId="7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7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4" borderId="6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34" borderId="6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4" borderId="7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" fillId="34" borderId="7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10" borderId="7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7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0" borderId="7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34" fillId="36" borderId="4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6" fillId="16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4" fillId="36" borderId="4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34" fillId="36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7" fillId="3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3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48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7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36" borderId="7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36" borderId="76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7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1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4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8" fontId="4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9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1" fillId="17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1" fillId="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1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41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5" fontId="41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5" fontId="41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1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2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2" fillId="0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1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4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5" fontId="41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9" fillId="0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9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41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6" fontId="49" fillId="0" borderId="2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9" fillId="0" borderId="2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2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6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7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8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7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6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0" borderId="6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6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6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6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7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8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7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0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8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6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6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14">
    <dxf>
      <font>
        <color rgb="FFFFF799"/>
      </font>
      <fill>
        <patternFill>
          <bgColor rgb="FFFFF799"/>
        </patternFill>
      </fill>
    </dxf>
    <dxf>
      <fill>
        <patternFill>
          <bgColor rgb="FFFFF799"/>
        </patternFill>
      </fill>
    </dxf>
    <dxf>
      <fill>
        <patternFill>
          <bgColor rgb="FFFFEC68"/>
        </patternFill>
      </fill>
    </dxf>
    <dxf>
      <font>
        <b val="1"/>
        <color rgb="FFFFFFFF"/>
      </font>
      <fill>
        <patternFill>
          <bgColor rgb="FFFFFFFF"/>
        </patternFill>
      </fill>
    </dxf>
    <dxf>
      <fill>
        <patternFill>
          <bgColor rgb="FF6AA84F"/>
        </patternFill>
      </fill>
    </dxf>
    <dxf>
      <font>
        <color rgb="FFFF0000"/>
      </font>
      <fill>
        <patternFill>
          <bgColor rgb="FFFFFFFF"/>
        </patternFill>
      </fill>
    </dxf>
    <dxf>
      <font>
        <color rgb="FFB45F06"/>
      </font>
      <fill>
        <patternFill>
          <bgColor rgb="FFFFFFFF"/>
        </patternFill>
      </fill>
    </dxf>
    <dxf>
      <font>
        <color rgb="FFBF9000"/>
      </font>
      <fill>
        <patternFill>
          <bgColor rgb="FFFFFFFF"/>
        </patternFill>
      </fill>
    </dxf>
    <dxf>
      <font>
        <color rgb="FF38761D"/>
      </font>
      <fill>
        <patternFill>
          <bgColor rgb="FFFFFFFF"/>
        </patternFill>
      </fill>
    </dxf>
    <dxf>
      <font>
        <color rgb="FF9900FF"/>
      </font>
      <fill>
        <patternFill>
          <bgColor rgb="FFFFFFFF"/>
        </patternFill>
      </fill>
    </dxf>
    <dxf>
      <font>
        <color rgb="FFB45F06"/>
      </font>
      <fill>
        <patternFill>
          <bgColor rgb="FFFFFFFF"/>
        </patternFill>
      </fill>
    </dxf>
    <dxf>
      <font>
        <color rgb="FF6AA84F"/>
      </font>
      <fill>
        <patternFill>
          <bgColor rgb="FFFFFFFF"/>
        </patternFill>
      </fill>
    </dxf>
    <dxf>
      <font>
        <color rgb="FFFFEC68"/>
      </font>
      <fill>
        <patternFill>
          <bgColor rgb="FFFFEC68"/>
        </patternFill>
      </fill>
    </dxf>
    <dxf>
      <fill>
        <patternFill>
          <bgColor rgb="FFC7B299"/>
        </patternFill>
      </fill>
    </dxf>
  </dxfs>
  <colors>
    <indexedColors>
      <rgbColor rgb="FF000000"/>
      <rgbColor rgb="FFFFFFFF"/>
      <rgbColor rgb="FFFF0000"/>
      <rgbColor rgb="FFF3F3F3"/>
      <rgbColor rgb="FF0000FF"/>
      <rgbColor rgb="FFFFEC68"/>
      <rgbColor rgb="FFFF00FF"/>
      <rgbColor rgb="FFD9D9D9"/>
      <rgbColor rgb="FF990000"/>
      <rgbColor rgb="FF38761D"/>
      <rgbColor rgb="FF000080"/>
      <rgbColor rgb="FFBF9000"/>
      <rgbColor rgb="FF9900FF"/>
      <rgbColor rgb="FFC7B299"/>
      <rgbColor rgb="FFB7B7B7"/>
      <rgbColor rgb="FF646661"/>
      <rgbColor rgb="FF6D9EEB"/>
      <rgbColor rgb="FFB73471"/>
      <rgbColor rgb="FFFFF2CC"/>
      <rgbColor rgb="FFCFE2F3"/>
      <rgbColor rgb="FF660066"/>
      <rgbColor rgb="FFDD7E6B"/>
      <rgbColor rgb="FF0066CC"/>
      <rgbColor rgb="FFCCCCCC"/>
      <rgbColor rgb="FF000080"/>
      <rgbColor rgb="FFFF00FF"/>
      <rgbColor rgb="FFFCE5CD"/>
      <rgbColor rgb="FFEADDE3"/>
      <rgbColor rgb="FF800080"/>
      <rgbColor rgb="FFCC0000"/>
      <rgbColor rgb="FFEAD1DC"/>
      <rgbColor rgb="FF0000FF"/>
      <rgbColor rgb="FFB6D7A8"/>
      <rgbColor rgb="FFEFEFEF"/>
      <rgbColor rgb="FFD9EAD3"/>
      <rgbColor rgb="FFFFF799"/>
      <rgbColor rgb="FF9FC5E8"/>
      <rgbColor rgb="FFE6B8AF"/>
      <rgbColor rgb="FFD5A6BD"/>
      <rgbColor rgb="FFFFD966"/>
      <rgbColor rgb="FFC27BA0"/>
      <rgbColor rgb="FF6FA8DC"/>
      <rgbColor rgb="FF78C850"/>
      <rgbColor rgb="FFF1C232"/>
      <rgbColor rgb="FFE69551"/>
      <rgbColor rgb="FFE06666"/>
      <rgbColor rgb="FF666666"/>
      <rgbColor rgb="FF999999"/>
      <rgbColor rgb="FF073763"/>
      <rgbColor rgb="FF6AA84F"/>
      <rgbColor rgb="FF003300"/>
      <rgbColor rgb="FF434343"/>
      <rgbColor rgb="FFCC4125"/>
      <rgbColor rgb="FFB45F06"/>
      <rgbColor rgb="FF333399"/>
      <rgbColor rgb="FF3F4344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4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hyperlink" Target="https://support.pokemongo.nianticlabs.com/hc/article_attachments/115026470848/weather_sunny.png" TargetMode="External"/><Relationship Id="rId3" Type="http://schemas.openxmlformats.org/officeDocument/2006/relationships/hyperlink" Target="https://support.pokemongo.nianticlabs.com/hc/article_attachments/115026428187/weather_clear.png" TargetMode="External"/><Relationship Id="rId4" Type="http://schemas.openxmlformats.org/officeDocument/2006/relationships/hyperlink" Target="https://support.pokemongo.nianticlabs.com/hc/article_attachments/115026427847/weather_partlycloudy_day.png" TargetMode="External"/><Relationship Id="rId5" Type="http://schemas.openxmlformats.org/officeDocument/2006/relationships/hyperlink" Target="https://vignette.wikia.nocookie.net/pokemongo/images/f/fe/Weather_Icon_Partly_Cloudy_Night.png/revision/latest?cb=20171206224425" TargetMode="External"/><Relationship Id="rId6" Type="http://schemas.openxmlformats.org/officeDocument/2006/relationships/hyperlink" Target="https://support.pokemongo.nianticlabs.com/hc/article_attachments/115026428007/weather_cloudy.png" TargetMode="External"/><Relationship Id="rId7" Type="http://schemas.openxmlformats.org/officeDocument/2006/relationships/hyperlink" Target="https://support.pokemongo.nianticlabs.com/hc/article_attachments/115026428007/weather_cloudy.png" TargetMode="External"/><Relationship Id="rId8" Type="http://schemas.openxmlformats.org/officeDocument/2006/relationships/hyperlink" Target="https://support.pokemongo.nianticlabs.com/hc/article_attachments/115026427867/weather_rain.png" TargetMode="External"/><Relationship Id="rId9" Type="http://schemas.openxmlformats.org/officeDocument/2006/relationships/hyperlink" Target="https://support.pokemongo.nianticlabs.com/hc/article_attachments/115026427867/weather_rain.png" TargetMode="External"/><Relationship Id="rId10" Type="http://schemas.openxmlformats.org/officeDocument/2006/relationships/hyperlink" Target="https://support.pokemongo.nianticlabs.com/hc/article_attachments/115026427887/weather_windy.png" TargetMode="External"/><Relationship Id="rId11" Type="http://schemas.openxmlformats.org/officeDocument/2006/relationships/hyperlink" Target="https://support.pokemongo.nianticlabs.com/hc/article_attachments/115026427887/weather_windy.png" TargetMode="External"/><Relationship Id="rId12" Type="http://schemas.openxmlformats.org/officeDocument/2006/relationships/hyperlink" Target="https://support.pokemongo.nianticlabs.com/hc/article_attachments/115026427907/weather_snow.png" TargetMode="External"/><Relationship Id="rId13" Type="http://schemas.openxmlformats.org/officeDocument/2006/relationships/hyperlink" Target="https://support.pokemongo.nianticlabs.com/hc/article_attachments/115026427907/weather_snow.png" TargetMode="External"/><Relationship Id="rId14" Type="http://schemas.openxmlformats.org/officeDocument/2006/relationships/hyperlink" Target="https://support.pokemongo.nianticlabs.com/hc/article_attachments/115026427927/weather_fog.png" TargetMode="External"/><Relationship Id="rId15" Type="http://schemas.openxmlformats.org/officeDocument/2006/relationships/hyperlink" Target="https://support.pokemongo.nianticlabs.com/hc/article_attachments/115026427927/weather_fog.png" TargetMode="External"/><Relationship Id="rId16" Type="http://schemas.openxmlformats.org/officeDocument/2006/relationships/vmlDrawing" Target="../drawings/vmlDrawing5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6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86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2" min="1" style="0" width="3.71"/>
    <col collapsed="false" customWidth="true" hidden="false" outlineLevel="0" max="14" min="3" style="0" width="8.71"/>
    <col collapsed="false" customWidth="true" hidden="false" outlineLevel="0" max="15" min="15" style="0" width="3.71"/>
    <col collapsed="false" customWidth="true" hidden="false" outlineLevel="0" max="1025" min="16" style="0" width="14.43"/>
  </cols>
  <sheetData>
    <row r="1" customFormat="false" ht="15.75" hidden="false" customHeight="false" outlineLevel="0" collapsed="false">
      <c r="A1" s="1"/>
      <c r="B1" s="2"/>
      <c r="C1" s="3" t="s">
        <v>0</v>
      </c>
      <c r="D1" s="3"/>
      <c r="E1" s="3"/>
      <c r="F1" s="3"/>
      <c r="G1" s="3"/>
      <c r="H1" s="4" t="s">
        <v>1</v>
      </c>
      <c r="I1" s="4"/>
      <c r="J1" s="3"/>
      <c r="K1" s="3"/>
      <c r="L1" s="3"/>
      <c r="M1" s="5" t="s">
        <v>2</v>
      </c>
      <c r="N1" s="5"/>
      <c r="O1" s="6"/>
    </row>
    <row r="2" customFormat="false" ht="15.75" hidden="false" customHeight="false" outlineLevel="0" collapsed="false">
      <c r="A2" s="7" t="s">
        <v>3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10"/>
    </row>
    <row r="3" customFormat="false" ht="18.75" hidden="false" customHeight="true" outlineLevel="0" collapsed="false">
      <c r="A3" s="7"/>
      <c r="B3" s="8"/>
      <c r="C3" s="11" t="s">
        <v>4</v>
      </c>
      <c r="D3" s="11"/>
      <c r="E3" s="12" t="s">
        <v>5</v>
      </c>
      <c r="F3" s="12"/>
      <c r="G3" s="11" t="s">
        <v>6</v>
      </c>
      <c r="H3" s="11"/>
      <c r="I3" s="11"/>
      <c r="J3" s="11"/>
      <c r="K3" s="11"/>
      <c r="L3" s="11"/>
      <c r="M3" s="11"/>
      <c r="N3" s="11"/>
      <c r="O3" s="10"/>
    </row>
    <row r="4" customFormat="false" ht="18.75" hidden="false" customHeight="true" outlineLevel="0" collapsed="false">
      <c r="A4" s="7"/>
      <c r="B4" s="8"/>
      <c r="C4" s="13"/>
      <c r="D4" s="13"/>
      <c r="E4" s="14" t="s">
        <v>7</v>
      </c>
      <c r="F4" s="14"/>
      <c r="G4" s="15" t="e">
        <f aca="false" t="array" ref="G4:G4">image("https://img.pokemondb.net/artwork/"&amp;INDEX('0.0.1 Pokémon Dex Data'!$AF$3:$AF86,MATCH('1.1 Display Calculations'!$D$3,'0.0.1 Pokémon Dex Data'!$B$3:$B86,0))&amp;".jpg",1)</f>
        <v>#N/A</v>
      </c>
      <c r="H4" s="15"/>
      <c r="I4" s="15"/>
      <c r="J4" s="15"/>
      <c r="K4" s="15"/>
      <c r="L4" s="15"/>
      <c r="M4" s="15"/>
      <c r="N4" s="15"/>
      <c r="O4" s="10"/>
    </row>
    <row r="5" customFormat="false" ht="15.75" hidden="false" customHeight="false" outlineLevel="0" collapsed="false">
      <c r="A5" s="7"/>
      <c r="B5" s="8"/>
      <c r="C5" s="16"/>
      <c r="D5" s="16"/>
      <c r="E5" s="16"/>
      <c r="F5" s="16"/>
      <c r="G5" s="15"/>
      <c r="H5" s="15"/>
      <c r="I5" s="15"/>
      <c r="J5" s="15"/>
      <c r="K5" s="15"/>
      <c r="L5" s="15"/>
      <c r="M5" s="15"/>
      <c r="N5" s="15"/>
      <c r="O5" s="10"/>
    </row>
    <row r="6" customFormat="false" ht="18.75" hidden="false" customHeight="true" outlineLevel="0" collapsed="false">
      <c r="A6" s="7"/>
      <c r="B6" s="8"/>
      <c r="C6" s="17" t="e">
        <f aca="false">UPPER('1.1 Display Calculations'!D5)</f>
        <v>#N/A</v>
      </c>
      <c r="D6" s="17"/>
      <c r="E6" s="18" t="e">
        <f aca="false" t="array" ref="E6:E6">INDEX('0.3.1 Type Table'!$U$2:$U$20,MATCH('1.1 Display Calculations'!D5,'0.3.1 Type Table'!$A$2:$A$20,0))</f>
        <v>#N/A</v>
      </c>
      <c r="F6" s="9"/>
      <c r="G6" s="15"/>
      <c r="H6" s="15"/>
      <c r="I6" s="15"/>
      <c r="J6" s="15"/>
      <c r="K6" s="15"/>
      <c r="L6" s="15"/>
      <c r="M6" s="15"/>
      <c r="N6" s="15"/>
      <c r="O6" s="10"/>
    </row>
    <row r="7" customFormat="false" ht="18.75" hidden="false" customHeight="true" outlineLevel="0" collapsed="false">
      <c r="A7" s="7"/>
      <c r="B7" s="8"/>
      <c r="C7" s="19" t="e">
        <f aca="false">IF(ISBLANK('1.1 Display Calculations'!D6),"",UPPER('1.1 Display Calculations'!D6))</f>
        <v>#N/A</v>
      </c>
      <c r="D7" s="19"/>
      <c r="E7" s="20" t="e">
        <f aca="false" t="array" ref="E7:E7">IF(ISBLANK('1.1 Display Calculations'!D6),"",INDEX('0.3.1 Type Table'!$U$2:$U$20,MATCH('1.1 Display Calculations'!D6,'0.3.1 Type Table'!$A$2:$A$20,0)))</f>
        <v>#N/A</v>
      </c>
      <c r="F7" s="9"/>
      <c r="G7" s="15"/>
      <c r="H7" s="15"/>
      <c r="I7" s="15"/>
      <c r="J7" s="15"/>
      <c r="K7" s="15"/>
      <c r="L7" s="15"/>
      <c r="M7" s="15"/>
      <c r="N7" s="15"/>
      <c r="O7" s="10"/>
    </row>
    <row r="8" customFormat="false" ht="15.75" hidden="false" customHeight="false" outlineLevel="0" collapsed="false">
      <c r="A8" s="7"/>
      <c r="B8" s="8"/>
      <c r="C8" s="21" t="s">
        <v>8</v>
      </c>
      <c r="D8" s="21"/>
      <c r="E8" s="21"/>
      <c r="F8" s="9"/>
      <c r="G8" s="15"/>
      <c r="H8" s="15"/>
      <c r="I8" s="15"/>
      <c r="J8" s="15"/>
      <c r="K8" s="15"/>
      <c r="L8" s="15"/>
      <c r="M8" s="15"/>
      <c r="N8" s="15"/>
      <c r="O8" s="10"/>
    </row>
    <row r="9" customFormat="false" ht="15.75" hidden="false" customHeight="false" outlineLevel="0" collapsed="false">
      <c r="A9" s="7"/>
      <c r="B9" s="8"/>
      <c r="C9" s="22" t="e">
        <f aca="false" t="array" ref="C9:C9">INDEX('0.0.1 Pokémon Dex Data'!G3:G1500,MATCH('1.1 Display Calculations'!D3,'0.0.1 Pokémon Dex Data'!B3:B1500,0))</f>
        <v>#N/A</v>
      </c>
      <c r="D9" s="22"/>
      <c r="E9" s="22"/>
      <c r="F9" s="9"/>
      <c r="G9" s="15"/>
      <c r="H9" s="15"/>
      <c r="I9" s="15"/>
      <c r="J9" s="15"/>
      <c r="K9" s="15"/>
      <c r="L9" s="15"/>
      <c r="M9" s="15"/>
      <c r="N9" s="15"/>
      <c r="O9" s="10"/>
    </row>
    <row r="10" customFormat="false" ht="15.75" hidden="false" customHeight="false" outlineLevel="0" collapsed="false">
      <c r="A10" s="7"/>
      <c r="B10" s="8"/>
      <c r="C10" s="23" t="s">
        <v>9</v>
      </c>
      <c r="D10" s="23" t="s">
        <v>10</v>
      </c>
      <c r="E10" s="23"/>
      <c r="F10" s="9"/>
      <c r="G10" s="15"/>
      <c r="H10" s="15"/>
      <c r="I10" s="15"/>
      <c r="J10" s="15"/>
      <c r="K10" s="15"/>
      <c r="L10" s="15"/>
      <c r="M10" s="15"/>
      <c r="N10" s="15"/>
      <c r="O10" s="10"/>
    </row>
    <row r="11" customFormat="false" ht="15.75" hidden="false" customHeight="false" outlineLevel="0" collapsed="false">
      <c r="A11" s="7"/>
      <c r="B11" s="8"/>
      <c r="C11" s="22" t="e">
        <f aca="false" t="array" ref="C11:C11">INDEX('0.0.1 Pokémon Dex Data'!A3:A1500,MATCH('1.1 Display Calculations'!D3,'0.0.1 Pokémon Dex Data'!B3:B1500,0))</f>
        <v>#N/A</v>
      </c>
      <c r="D11" s="22" t="e">
        <f aca="false" t="array" ref="D11:D11">INDEX('0.0.1 Pokémon Dex Data'!F3:F1500,MATCH('1.1 Display Calculations'!D3,'0.0.1 Pokémon Dex Data'!B3:B1500,0))</f>
        <v>#N/A</v>
      </c>
      <c r="E11" s="22"/>
      <c r="F11" s="9"/>
      <c r="G11" s="15"/>
      <c r="H11" s="15"/>
      <c r="I11" s="15"/>
      <c r="J11" s="15"/>
      <c r="K11" s="15"/>
      <c r="L11" s="15"/>
      <c r="M11" s="15"/>
      <c r="N11" s="15"/>
      <c r="O11" s="10"/>
    </row>
    <row r="12" customFormat="false" ht="15.75" hidden="false" customHeight="false" outlineLevel="0" collapsed="false">
      <c r="A12" s="7"/>
      <c r="B12" s="8"/>
      <c r="C12" s="9"/>
      <c r="D12" s="9"/>
      <c r="E12" s="9"/>
      <c r="F12" s="9"/>
      <c r="G12" s="15"/>
      <c r="H12" s="15"/>
      <c r="I12" s="15"/>
      <c r="J12" s="15"/>
      <c r="K12" s="15"/>
      <c r="L12" s="15"/>
      <c r="M12" s="15"/>
      <c r="N12" s="15"/>
      <c r="O12" s="10"/>
    </row>
    <row r="13" customFormat="false" ht="15.75" hidden="false" customHeight="false" outlineLevel="0" collapsed="false">
      <c r="A13" s="7"/>
      <c r="B13" s="8"/>
      <c r="C13" s="24" t="s">
        <v>11</v>
      </c>
      <c r="D13" s="24"/>
      <c r="E13" s="22" t="e">
        <f aca="false" t="array" ref="E13:E13">INDEX('0.0.1 Pokémon Dex Data'!$K$3:$K86,MATCH('1.1 Display Calculations'!$D$3,'0.0.1 Pokémon Dex Data'!$B$3:$B86,0))</f>
        <v>#N/A</v>
      </c>
      <c r="F13" s="9"/>
      <c r="G13" s="15"/>
      <c r="H13" s="15"/>
      <c r="I13" s="15"/>
      <c r="J13" s="15"/>
      <c r="K13" s="15"/>
      <c r="L13" s="15"/>
      <c r="M13" s="15"/>
      <c r="N13" s="15"/>
      <c r="O13" s="10"/>
    </row>
    <row r="14" customFormat="false" ht="15.75" hidden="false" customHeight="false" outlineLevel="0" collapsed="false">
      <c r="A14" s="7"/>
      <c r="B14" s="8"/>
      <c r="C14" s="24" t="s">
        <v>12</v>
      </c>
      <c r="D14" s="24"/>
      <c r="E14" s="22" t="e">
        <f aca="false" t="array" ref="E14:E14">INDEX('0.0.1 Pokémon Dex Data'!$L$3:$L86,MATCH('1.1 Display Calculations'!$D$3,'0.0.1 Pokémon Dex Data'!$B$3:$B86,0))</f>
        <v>#N/A</v>
      </c>
      <c r="F14" s="9"/>
      <c r="G14" s="25"/>
      <c r="H14" s="26"/>
      <c r="I14" s="26"/>
      <c r="J14" s="26"/>
      <c r="K14" s="26"/>
      <c r="L14" s="26"/>
      <c r="M14" s="26"/>
      <c r="N14" s="27"/>
      <c r="O14" s="10"/>
    </row>
    <row r="15" customFormat="false" ht="15.75" hidden="false" customHeight="false" outlineLevel="0" collapsed="false">
      <c r="A15" s="7"/>
      <c r="B15" s="8"/>
      <c r="C15" s="24" t="s">
        <v>13</v>
      </c>
      <c r="D15" s="24"/>
      <c r="E15" s="22" t="e">
        <f aca="false" t="array" ref="E15:E15">INDEX('0.0.1 Pokémon Dex Data'!$M$3:$M86,MATCH('1.1 Display Calculations'!$D$3,'0.0.1 Pokémon Dex Data'!$B$3:$B86,0))</f>
        <v>#N/A</v>
      </c>
      <c r="F15" s="9"/>
      <c r="G15" s="28" t="s">
        <v>14</v>
      </c>
      <c r="H15" s="28"/>
      <c r="I15" s="28"/>
      <c r="J15" s="28"/>
      <c r="K15" s="28" t="s">
        <v>15</v>
      </c>
      <c r="L15" s="28"/>
      <c r="M15" s="28"/>
      <c r="N15" s="28"/>
      <c r="O15" s="10"/>
    </row>
    <row r="16" customFormat="false" ht="15.75" hidden="false" customHeight="false" outlineLevel="0" collapsed="false">
      <c r="A16" s="7"/>
      <c r="B16" s="8"/>
      <c r="C16" s="24" t="s">
        <v>16</v>
      </c>
      <c r="D16" s="24"/>
      <c r="E16" s="22" t="e">
        <f aca="false" t="array" ref="E16:E16">INDEX('0.0.1 Pokémon Dex Data'!$N$3:$N86,MATCH('1.1 Display Calculations'!$D$3,'0.0.1 Pokémon Dex Data'!$B$3:$B86,0))</f>
        <v>#N/A</v>
      </c>
      <c r="F16" s="9"/>
      <c r="G16" s="29" t="e">
        <f aca="false" t="array" ref="G16:G16">image("https://play.pokemonshowdown.com/sprites/xyani/"&amp;INDEX('0.0.1 Pokémon Dex Data'!$AG$3:$AG86,MATCH('1.1 Display Calculations'!$D$3,'0.0.1 Pokémon Dex Data'!$B$3:$B86,0))&amp;".gif",1)</f>
        <v>#N/A</v>
      </c>
      <c r="H16" s="29"/>
      <c r="I16" s="29"/>
      <c r="J16" s="29"/>
      <c r="K16" s="29" t="e">
        <f aca="false" t="array" ref="K16:K16">image("https://play.pokemonshowdown.com/sprites/xyani-shiny/"&amp;INDEX('0.0.1 Pokémon Dex Data'!$AG$3:$AG86,MATCH('1.1 Display Calculations'!$D$3,'0.0.1 Pokémon Dex Data'!$B$3:$B86,0))&amp;".gif",1)</f>
        <v>#N/A</v>
      </c>
      <c r="L16" s="29"/>
      <c r="M16" s="29"/>
      <c r="N16" s="29"/>
      <c r="O16" s="10"/>
    </row>
    <row r="17" customFormat="false" ht="15.75" hidden="false" customHeight="false" outlineLevel="0" collapsed="false">
      <c r="A17" s="7"/>
      <c r="B17" s="8"/>
      <c r="C17" s="24" t="s">
        <v>17</v>
      </c>
      <c r="D17" s="24"/>
      <c r="E17" s="22" t="e">
        <f aca="false" t="array" ref="E17:E17">INDEX('0.0.1 Pokémon Dex Data'!$O$3:$O86,MATCH('1.1 Display Calculations'!$D$3,'0.0.1 Pokémon Dex Data'!$B$3:$B86,0))</f>
        <v>#N/A</v>
      </c>
      <c r="F17" s="9"/>
      <c r="G17" s="29"/>
      <c r="H17" s="29"/>
      <c r="I17" s="29"/>
      <c r="J17" s="29"/>
      <c r="K17" s="29"/>
      <c r="L17" s="29"/>
      <c r="M17" s="29"/>
      <c r="N17" s="29"/>
      <c r="O17" s="10"/>
    </row>
    <row r="18" customFormat="false" ht="15.75" hidden="false" customHeight="false" outlineLevel="0" collapsed="false">
      <c r="A18" s="7"/>
      <c r="B18" s="8"/>
      <c r="C18" s="24" t="s">
        <v>18</v>
      </c>
      <c r="D18" s="24"/>
      <c r="E18" s="22" t="e">
        <f aca="false" t="array" ref="E18:E18">INDEX('0.0.1 Pokémon Dex Data'!$P$3:$P86,MATCH('1.1 Display Calculations'!$D$3,'0.0.1 Pokémon Dex Data'!$B$3:$B86,0))</f>
        <v>#N/A</v>
      </c>
      <c r="F18" s="9"/>
      <c r="G18" s="29"/>
      <c r="H18" s="29"/>
      <c r="I18" s="29"/>
      <c r="J18" s="29"/>
      <c r="K18" s="29"/>
      <c r="L18" s="29"/>
      <c r="M18" s="29"/>
      <c r="N18" s="29"/>
      <c r="O18" s="10"/>
    </row>
    <row r="19" customFormat="false" ht="15.75" hidden="false" customHeight="false" outlineLevel="0" collapsed="false">
      <c r="A19" s="7"/>
      <c r="B19" s="8"/>
      <c r="C19" s="9"/>
      <c r="D19" s="30" t="s">
        <v>19</v>
      </c>
      <c r="E19" s="31" t="e">
        <f aca="false">SUM(E13:E18)</f>
        <v>#N/A</v>
      </c>
      <c r="F19" s="9"/>
      <c r="G19" s="29"/>
      <c r="H19" s="29"/>
      <c r="I19" s="29"/>
      <c r="J19" s="29"/>
      <c r="K19" s="29"/>
      <c r="L19" s="29"/>
      <c r="M19" s="29"/>
      <c r="N19" s="29"/>
      <c r="O19" s="10"/>
    </row>
    <row r="20" customFormat="false" ht="15.75" hidden="false" customHeight="false" outlineLevel="0" collapsed="false">
      <c r="A20" s="7"/>
      <c r="B20" s="8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10"/>
    </row>
    <row r="21" customFormat="false" ht="15.75" hidden="false" customHeight="false" outlineLevel="0" collapsed="false">
      <c r="A21" s="7"/>
      <c r="B21" s="8"/>
      <c r="C21" s="32" t="str">
        <f aca="false">"Resistances ("&amp;'1.1 Display Calculations'!J18&amp;") "</f>
        <v>Resistances (0)</v>
      </c>
      <c r="D21" s="32"/>
      <c r="E21" s="33" t="e">
        <f aca="false">LEFT('1.1 Display Calculations'!K18,LEN('1.1 Display Calculations'!K18)-2)</f>
        <v>#N/A</v>
      </c>
      <c r="F21" s="33"/>
      <c r="G21" s="33"/>
      <c r="H21" s="33"/>
      <c r="I21" s="33"/>
      <c r="J21" s="33"/>
      <c r="K21" s="33"/>
      <c r="L21" s="33"/>
      <c r="M21" s="33"/>
      <c r="N21" s="33"/>
      <c r="O21" s="10"/>
    </row>
    <row r="22" customFormat="false" ht="15.75" hidden="false" customHeight="false" outlineLevel="0" collapsed="false">
      <c r="A22" s="7"/>
      <c r="B22" s="8"/>
      <c r="C22" s="34" t="str">
        <f aca="false">"Weaknesses ("&amp;'1.1 Display Calculations'!J19&amp;") "</f>
        <v>Weaknesses (0)</v>
      </c>
      <c r="D22" s="34"/>
      <c r="E22" s="33" t="e">
        <f aca="false">LEFT('1.1 Display Calculations'!K19,LEN('1.1 Display Calculations'!K19)-2)</f>
        <v>#N/A</v>
      </c>
      <c r="F22" s="33"/>
      <c r="G22" s="33"/>
      <c r="H22" s="33"/>
      <c r="I22" s="33"/>
      <c r="J22" s="33"/>
      <c r="K22" s="33"/>
      <c r="L22" s="33"/>
      <c r="M22" s="33"/>
      <c r="N22" s="33"/>
      <c r="O22" s="10"/>
    </row>
    <row r="23" customFormat="false" ht="15.75" hidden="false" customHeight="false" outlineLevel="0" collapsed="false">
      <c r="A23" s="7"/>
      <c r="B23" s="35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7"/>
    </row>
    <row r="24" customFormat="false" ht="15.75" hidden="false" customHeight="false" outlineLevel="0" collapsed="false">
      <c r="A24" s="38" t="s">
        <v>20</v>
      </c>
      <c r="B24" s="39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1"/>
    </row>
    <row r="25" customFormat="false" ht="15.75" hidden="false" customHeight="true" outlineLevel="0" collapsed="false">
      <c r="A25" s="38"/>
      <c r="B25" s="42"/>
      <c r="C25" s="43" t="s">
        <v>21</v>
      </c>
      <c r="D25" s="43"/>
      <c r="E25" s="44" t="e">
        <f aca="false" t="array" ref="E25:E25">IF(INDEX('0.0.1 Pokémon Dex Data'!$W$3:$W86,MATCH('1.1 Display Calculations'!D3,'0.0.1 Pokémon Dex Data'!$B$3:$B86,0))=1,INDEX('0.0.1 Pokémon Dex Data'!$Z$3:$Z86,MATCH('1.1 Display Calculations'!D3,'0.0.1 Pokémon Dex Data'!$B$3:$B86,0))*1000,"N/A")</f>
        <v>#N/A</v>
      </c>
      <c r="F25" s="45"/>
      <c r="G25" s="46" t="s">
        <v>22</v>
      </c>
      <c r="H25" s="47" t="str">
        <f aca="false" t="array" ref="H25:H25">IF(NOT(ISBLANK(INDEX('0.0.1 Pokémon Dex Data'!$AA$3:$AA86,MATCH('1.1 Display Calculations'!D3,'0.0.1 Pokémon Dex Data'!$B$3:$B86,0)))),"YES","")</f>
        <v>YES</v>
      </c>
      <c r="I25" s="48"/>
      <c r="J25" s="49" t="s">
        <v>23</v>
      </c>
      <c r="K25" s="50" t="str">
        <f aca="false" t="array" ref="K25:K25">IF(ISNUMBER(INDEX('0.0.1 Pokémon Dex Data'!$AB$3:$AB86,MATCH('1.1 Display Calculations'!D3,'0.0.1 Pokémon Dex Data'!$B$3:$B86,0))),INDEX('0.0.1 Pokémon Dex Data'!$AB$3:$AB86,MATCH('1.1 Display Calculations'!D3,'0.0.1 Pokémon Dex Data'!$B$3:$B86,0))*1000,"N/A")</f>
        <v>N/A</v>
      </c>
      <c r="L25" s="48"/>
      <c r="M25" s="51" t="s">
        <v>24</v>
      </c>
      <c r="N25" s="51"/>
      <c r="O25" s="52"/>
    </row>
    <row r="26" customFormat="false" ht="15.75" hidden="false" customHeight="false" outlineLevel="0" collapsed="false">
      <c r="A26" s="38"/>
      <c r="B26" s="42"/>
      <c r="C26" s="43"/>
      <c r="D26" s="43"/>
      <c r="E26" s="44"/>
      <c r="F26" s="48"/>
      <c r="G26" s="46"/>
      <c r="H26" s="53" t="str">
        <f aca="false" t="array" ref="H26:H26">IF(NOT(ISBLANK(INDEX('0.0.1 Pokémon Dex Data'!$AA$3:$AA86,MATCH('1.1 Display Calculations'!D3,'0.0.1 Pokémon Dex Data'!$B$3:$B86,0)))),"as of","NO")</f>
        <v>as of</v>
      </c>
      <c r="I26" s="48"/>
      <c r="J26" s="49"/>
      <c r="K26" s="50"/>
      <c r="L26" s="54"/>
      <c r="M26" s="55" t="e">
        <f aca="false" t="array" ref="M26:M26">UPPER(INDEX('0.0.1 Pokémon Dex Data'!$Y$3:$Y86,MATCH('1.1 Display Calculations'!D3,'0.0.1 Pokémon Dex Data'!$B$3:$B86,0)))</f>
        <v>#N/A</v>
      </c>
      <c r="N26" s="55"/>
      <c r="O26" s="52"/>
    </row>
    <row r="27" customFormat="false" ht="15.75" hidden="false" customHeight="false" outlineLevel="0" collapsed="false">
      <c r="A27" s="38"/>
      <c r="B27" s="42"/>
      <c r="C27" s="43"/>
      <c r="D27" s="43"/>
      <c r="E27" s="44"/>
      <c r="F27" s="56"/>
      <c r="G27" s="46"/>
      <c r="H27" s="57" t="e">
        <f aca="false" t="array" ref="H27:H27">IF(NOT(ISBLANK(INDEX('0.0.1 Pokémon Dex Data'!$AA$3:$AA86,MATCH('1.1 Display Calculations'!D3,'0.0.1 Pokémon Dex Data'!$B$3:$B86,0)))),INDEX('0.0.1 Pokémon Dex Data'!$AA$3:$AA86,MATCH('1.1 Display Calculations'!D3,'0.0.1 Pokémon Dex Data'!$B$3:$B86,0)),"")</f>
        <v>#N/A</v>
      </c>
      <c r="I27" s="48"/>
      <c r="J27" s="49"/>
      <c r="K27" s="58" t="e">
        <f aca="false" t="array" ref="K27:K27">INDEX('0.0.1 Pokémon Dex Data'!$AC$3:$AC86,MATCH('1.1 Display Calculations'!D3,'0.0.1 Pokémon Dex Data'!$B$3:$B86,0))</f>
        <v>#N/A</v>
      </c>
      <c r="L27" s="48"/>
      <c r="M27" s="55"/>
      <c r="N27" s="55"/>
      <c r="O27" s="52"/>
    </row>
    <row r="28" customFormat="false" ht="15.75" hidden="false" customHeight="false" outlineLevel="0" collapsed="false">
      <c r="A28" s="38"/>
      <c r="B28" s="42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52"/>
    </row>
    <row r="29" customFormat="false" ht="15.75" hidden="false" customHeight="false" outlineLevel="0" collapsed="false">
      <c r="A29" s="38"/>
      <c r="B29" s="42"/>
      <c r="C29" s="51" t="s">
        <v>25</v>
      </c>
      <c r="D29" s="51"/>
      <c r="E29" s="51"/>
      <c r="F29" s="51"/>
      <c r="G29" s="51"/>
      <c r="H29" s="48"/>
      <c r="I29" s="48"/>
      <c r="J29" s="48"/>
      <c r="K29" s="51" t="s">
        <v>26</v>
      </c>
      <c r="L29" s="51"/>
      <c r="M29" s="51"/>
      <c r="N29" s="51"/>
      <c r="O29" s="52"/>
    </row>
    <row r="30" customFormat="false" ht="15.75" hidden="false" customHeight="false" outlineLevel="0" collapsed="false">
      <c r="A30" s="38"/>
      <c r="B30" s="42"/>
      <c r="C30" s="59" t="e">
        <f aca="false">'1.1 Display Calculations'!I36</f>
        <v>#N/A</v>
      </c>
      <c r="D30" s="59" t="e">
        <f aca="false">'1.1 Display Calculations'!J36</f>
        <v>#N/A</v>
      </c>
      <c r="E30" s="59" t="e">
        <f aca="false">'1.1 Display Calculations'!K36</f>
        <v>#N/A</v>
      </c>
      <c r="F30" s="59" t="e">
        <f aca="false">'1.1 Display Calculations'!L36</f>
        <v>#N/A</v>
      </c>
      <c r="G30" s="59" t="e">
        <f aca="false">'1.1 Display Calculations'!M36</f>
        <v>#N/A</v>
      </c>
      <c r="H30" s="48"/>
      <c r="I30" s="48"/>
      <c r="J30" s="48"/>
      <c r="K30" s="60" t="e">
        <f aca="false" t="array" ref="K30:K30">image(INDEX('1.1 Display Calculations'!$F$22:$F$28,MATCH('1.1 Display Calculations'!C25,'1.1 Display Calculations'!$E$22:$E$28,0)),1)</f>
        <v>#N/A</v>
      </c>
      <c r="L30" s="61" t="e">
        <f aca="false">UPPER('1.1 Display Calculations'!C25)</f>
        <v>#N/A</v>
      </c>
      <c r="M30" s="61"/>
      <c r="N30" s="60" t="e">
        <f aca="false" t="array" ref="N30:N30">image(INDEX('1.1 Display Calculations'!$G$22:$G$28,MATCH('1.1 Display Calculations'!C25,'1.1 Display Calculations'!$E$22:$E$28,0)),1)</f>
        <v>#N/A</v>
      </c>
      <c r="O30" s="52"/>
    </row>
    <row r="31" customFormat="false" ht="22.5" hidden="false" customHeight="true" outlineLevel="0" collapsed="false">
      <c r="A31" s="38"/>
      <c r="B31" s="42"/>
      <c r="C31" s="62" t="e">
        <f aca="false">'1.1 Display Calculations'!I37</f>
        <v>#N/A</v>
      </c>
      <c r="D31" s="62" t="e">
        <f aca="false">'1.1 Display Calculations'!J37</f>
        <v>#N/A</v>
      </c>
      <c r="E31" s="62" t="e">
        <f aca="false">'1.1 Display Calculations'!K37</f>
        <v>#N/A</v>
      </c>
      <c r="F31" s="62" t="e">
        <f aca="false">'1.1 Display Calculations'!L37</f>
        <v>#N/A</v>
      </c>
      <c r="G31" s="62" t="e">
        <f aca="false">'1.1 Display Calculations'!M37</f>
        <v>#N/A</v>
      </c>
      <c r="H31" s="48"/>
      <c r="I31" s="48"/>
      <c r="J31" s="48"/>
      <c r="K31" s="60"/>
      <c r="L31" s="60"/>
      <c r="M31" s="61"/>
      <c r="N31" s="60"/>
      <c r="O31" s="52"/>
    </row>
    <row r="32" customFormat="false" ht="23.25" hidden="false" customHeight="true" outlineLevel="0" collapsed="false">
      <c r="A32" s="38"/>
      <c r="B32" s="42"/>
      <c r="C32" s="63" t="e">
        <f aca="false">'1.1 Display Calculations'!I38</f>
        <v>#N/A</v>
      </c>
      <c r="D32" s="63" t="e">
        <f aca="false">'1.1 Display Calculations'!J38</f>
        <v>#N/A</v>
      </c>
      <c r="E32" s="63" t="e">
        <f aca="false">'1.1 Display Calculations'!K38</f>
        <v>#N/A</v>
      </c>
      <c r="F32" s="63" t="e">
        <f aca="false">'1.1 Display Calculations'!L38</f>
        <v>#N/A</v>
      </c>
      <c r="G32" s="63" t="e">
        <f aca="false">'1.1 Display Calculations'!M38</f>
        <v>#N/A</v>
      </c>
      <c r="H32" s="48"/>
      <c r="I32" s="48"/>
      <c r="J32" s="48"/>
      <c r="K32" s="64" t="e">
        <f aca="false" t="array" ref="K32:K32">IF(ISBLANK('1.1 Display Calculations'!C26),"",image(INDEX('1.1 Display Calculations'!$F$22:$F$28,MATCH('1.1 Display Calculations'!C26,'1.1 Display Calculations'!$E$22:$E$28,0)),1))</f>
        <v>#N/A</v>
      </c>
      <c r="L32" s="65" t="e">
        <f aca="false">UPPER('1.1 Display Calculations'!C26)</f>
        <v>#N/A</v>
      </c>
      <c r="M32" s="65"/>
      <c r="N32" s="64" t="e">
        <f aca="false" t="array" ref="N32:N32">IF(ISBLANK('1.1 Display Calculations'!C26),"",image(INDEX('1.1 Display Calculations'!$G$22:$G$28,MATCH('1.1 Display Calculations'!C26,'1.1 Display Calculations'!$E$22:$E$28,0)),1))</f>
        <v>#N/A</v>
      </c>
      <c r="O32" s="52"/>
    </row>
    <row r="33" customFormat="false" ht="23.25" hidden="false" customHeight="true" outlineLevel="0" collapsed="false">
      <c r="A33" s="38"/>
      <c r="B33" s="66"/>
      <c r="C33" s="67" t="e">
        <f aca="false">IF('1.1 Display Calculations'!Q34,"Branches:","")</f>
        <v>#N/A</v>
      </c>
      <c r="D33" s="68" t="e">
        <f aca="false">IF('1.1 Display Calculations'!Q34,'1.1 Display Calculations'!Q35&amp;" → "&amp;(LEFT('1.1 Display Calculations'!R40,LEN('1.1 Display Calculations'!R40)-2)),"")</f>
        <v>#N/A</v>
      </c>
      <c r="E33" s="68"/>
      <c r="F33" s="69"/>
      <c r="G33" s="69"/>
      <c r="H33" s="70"/>
      <c r="I33" s="70"/>
      <c r="J33" s="70"/>
      <c r="K33" s="64"/>
      <c r="L33" s="64"/>
      <c r="M33" s="65"/>
      <c r="N33" s="64"/>
      <c r="O33" s="71"/>
    </row>
    <row r="34" customFormat="false" ht="23.25" hidden="false" customHeight="true" outlineLevel="0" collapsed="false">
      <c r="A34" s="38"/>
      <c r="B34" s="42"/>
      <c r="C34" s="72"/>
      <c r="D34" s="72"/>
      <c r="E34" s="72"/>
      <c r="F34" s="72"/>
      <c r="G34" s="72"/>
      <c r="H34" s="72"/>
      <c r="I34" s="72"/>
      <c r="J34" s="72"/>
      <c r="K34" s="72"/>
      <c r="L34" s="72"/>
      <c r="M34" s="72"/>
      <c r="N34" s="72"/>
      <c r="O34" s="52"/>
    </row>
    <row r="35" customFormat="false" ht="23.25" hidden="false" customHeight="true" outlineLevel="0" collapsed="false">
      <c r="A35" s="73" t="s">
        <v>27</v>
      </c>
      <c r="B35" s="74"/>
      <c r="C35" s="75"/>
      <c r="D35" s="75"/>
      <c r="E35" s="75"/>
      <c r="F35" s="75"/>
      <c r="G35" s="76"/>
      <c r="H35" s="75"/>
      <c r="I35" s="75"/>
      <c r="J35" s="75"/>
      <c r="K35" s="75"/>
      <c r="L35" s="75"/>
      <c r="M35" s="75"/>
      <c r="N35" s="75"/>
      <c r="O35" s="77"/>
    </row>
    <row r="36" customFormat="false" ht="15.75" hidden="false" customHeight="false" outlineLevel="0" collapsed="false">
      <c r="A36" s="73"/>
      <c r="B36" s="8"/>
      <c r="C36" s="78" t="s">
        <v>28</v>
      </c>
      <c r="D36" s="78"/>
      <c r="E36" s="78"/>
      <c r="F36" s="79" t="s">
        <v>29</v>
      </c>
      <c r="G36" s="9"/>
      <c r="H36" s="9"/>
      <c r="I36" s="9"/>
      <c r="J36" s="9"/>
      <c r="K36" s="9"/>
      <c r="L36" s="9"/>
      <c r="M36" s="9"/>
      <c r="N36" s="9"/>
      <c r="O36" s="10"/>
    </row>
    <row r="37" customFormat="false" ht="23.25" hidden="false" customHeight="true" outlineLevel="0" collapsed="false">
      <c r="A37" s="73"/>
      <c r="B37" s="8"/>
      <c r="C37" s="80" t="s">
        <v>30</v>
      </c>
      <c r="D37" s="80"/>
      <c r="E37" s="81" t="e">
        <f aca="false">'1.1 Display Calculations'!D32</f>
        <v>#N/A</v>
      </c>
      <c r="F37" s="81"/>
      <c r="G37" s="82" t="s">
        <v>31</v>
      </c>
      <c r="H37" s="82"/>
      <c r="I37" s="83" t="e">
        <f aca="false">'1.1 Display Calculations'!D33</f>
        <v>#N/A</v>
      </c>
      <c r="J37" s="83"/>
      <c r="K37" s="84" t="s">
        <v>32</v>
      </c>
      <c r="L37" s="84"/>
      <c r="M37" s="85" t="e">
        <f aca="false">'1.1 Display Calculations'!D34</f>
        <v>#N/A</v>
      </c>
      <c r="N37" s="85"/>
      <c r="O37" s="10"/>
    </row>
    <row r="38" customFormat="false" ht="23.25" hidden="false" customHeight="true" outlineLevel="0" collapsed="false">
      <c r="A38" s="73"/>
      <c r="B38" s="8"/>
      <c r="C38" s="80"/>
      <c r="D38" s="80"/>
      <c r="E38" s="81"/>
      <c r="F38" s="81"/>
      <c r="G38" s="82"/>
      <c r="H38" s="82"/>
      <c r="I38" s="83"/>
      <c r="J38" s="83"/>
      <c r="K38" s="84"/>
      <c r="L38" s="84"/>
      <c r="M38" s="85"/>
      <c r="N38" s="85"/>
      <c r="O38" s="10"/>
    </row>
    <row r="39" customFormat="false" ht="23.25" hidden="false" customHeight="true" outlineLevel="0" collapsed="false">
      <c r="A39" s="73"/>
      <c r="B39" s="8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10"/>
    </row>
    <row r="40" customFormat="false" ht="15.75" hidden="false" customHeight="false" outlineLevel="0" collapsed="false">
      <c r="A40" s="73"/>
      <c r="B40" s="8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10"/>
    </row>
    <row r="41" customFormat="false" ht="15.75" hidden="false" customHeight="false" outlineLevel="0" collapsed="false">
      <c r="A41" s="73"/>
      <c r="B41" s="8"/>
      <c r="C41" s="86" t="s">
        <v>33</v>
      </c>
      <c r="D41" s="86"/>
      <c r="E41" s="87" t="n">
        <v>20</v>
      </c>
      <c r="F41" s="9"/>
      <c r="G41" s="86" t="s">
        <v>34</v>
      </c>
      <c r="H41" s="86"/>
      <c r="I41" s="88" t="n">
        <f aca="false">IF(E42&lt;E41,"N/A",'1.1 Display Calculations'!G36)</f>
        <v>248</v>
      </c>
      <c r="J41" s="88"/>
      <c r="K41" s="9"/>
      <c r="L41" s="9"/>
      <c r="M41" s="9"/>
      <c r="N41" s="9"/>
      <c r="O41" s="10"/>
    </row>
    <row r="42" customFormat="false" ht="15.75" hidden="false" customHeight="false" outlineLevel="0" collapsed="false">
      <c r="A42" s="73"/>
      <c r="B42" s="8"/>
      <c r="C42" s="86" t="s">
        <v>35</v>
      </c>
      <c r="D42" s="86"/>
      <c r="E42" s="87" t="n">
        <v>40</v>
      </c>
      <c r="F42" s="9"/>
      <c r="G42" s="86" t="s">
        <v>36</v>
      </c>
      <c r="H42" s="86"/>
      <c r="I42" s="89" t="n">
        <f aca="false">IF(E42&lt;E41,"N/A",'1.1 Display Calculations'!G37)</f>
        <v>225000</v>
      </c>
      <c r="J42" s="89"/>
      <c r="K42" s="9"/>
      <c r="L42" s="9"/>
      <c r="M42" s="9"/>
      <c r="N42" s="9"/>
      <c r="O42" s="10"/>
    </row>
    <row r="43" customFormat="false" ht="15.75" hidden="false" customHeight="false" outlineLevel="0" collapsed="false">
      <c r="A43" s="73"/>
      <c r="B43" s="8"/>
      <c r="C43" s="90"/>
      <c r="D43" s="91"/>
      <c r="E43" s="92" t="s">
        <v>37</v>
      </c>
      <c r="F43" s="13" t="n">
        <v>15</v>
      </c>
      <c r="G43" s="93"/>
      <c r="H43" s="93"/>
      <c r="I43" s="92" t="s">
        <v>37</v>
      </c>
      <c r="J43" s="13" t="n">
        <v>15</v>
      </c>
      <c r="K43" s="94"/>
      <c r="L43" s="95"/>
      <c r="M43" s="92" t="s">
        <v>37</v>
      </c>
      <c r="N43" s="13" t="n">
        <v>15</v>
      </c>
      <c r="O43" s="10"/>
    </row>
    <row r="44" customFormat="false" ht="26.25" hidden="false" customHeight="true" outlineLevel="0" collapsed="false">
      <c r="A44" s="73"/>
      <c r="B44" s="8"/>
      <c r="C44" s="96" t="s">
        <v>12</v>
      </c>
      <c r="D44" s="96"/>
      <c r="E44" s="97" t="e">
        <f aca="false">'1.1 Display Calculations'!F32&amp;" / "&amp;'1.1 Display Calculations'!G32</f>
        <v>#N/A</v>
      </c>
      <c r="F44" s="97"/>
      <c r="G44" s="98" t="s">
        <v>13</v>
      </c>
      <c r="H44" s="98"/>
      <c r="I44" s="99" t="e">
        <f aca="false">'1.1 Display Calculations'!F33&amp;" / "&amp;'1.1 Display Calculations'!G33</f>
        <v>#N/A</v>
      </c>
      <c r="J44" s="99"/>
      <c r="K44" s="100" t="s">
        <v>38</v>
      </c>
      <c r="L44" s="100"/>
      <c r="M44" s="101" t="e">
        <f aca="false">'1.1 Display Calculations'!F34&amp;" / "&amp;'1.1 Display Calculations'!G34</f>
        <v>#N/A</v>
      </c>
      <c r="N44" s="101"/>
      <c r="O44" s="10"/>
    </row>
    <row r="45" customFormat="false" ht="15.75" hidden="false" customHeight="false" outlineLevel="0" collapsed="false">
      <c r="A45" s="73"/>
      <c r="B45" s="8"/>
      <c r="C45" s="102" t="s">
        <v>39</v>
      </c>
      <c r="D45" s="102"/>
      <c r="E45" s="102"/>
      <c r="F45" s="102"/>
      <c r="G45" s="102"/>
      <c r="H45" s="102"/>
      <c r="I45" s="102" t="s">
        <v>40</v>
      </c>
      <c r="J45" s="102"/>
      <c r="K45" s="102"/>
      <c r="L45" s="102"/>
      <c r="M45" s="102"/>
      <c r="N45" s="102"/>
      <c r="O45" s="10"/>
    </row>
    <row r="46" customFormat="false" ht="15.75" hidden="false" customHeight="false" outlineLevel="0" collapsed="false">
      <c r="A46" s="73"/>
      <c r="B46" s="8"/>
      <c r="C46" s="102"/>
      <c r="D46" s="102"/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"/>
    </row>
    <row r="47" customFormat="false" ht="15.75" hidden="false" customHeight="false" outlineLevel="0" collapsed="false">
      <c r="A47" s="73"/>
      <c r="B47" s="8"/>
      <c r="C47" s="103" t="e">
        <f aca="false">'1.1 Display Calculations'!E36&amp;" / "&amp;'1.1 Display Calculations'!F36</f>
        <v>#N/A</v>
      </c>
      <c r="D47" s="103"/>
      <c r="E47" s="103"/>
      <c r="F47" s="103"/>
      <c r="G47" s="103"/>
      <c r="H47" s="103"/>
      <c r="I47" s="103" t="e">
        <f aca="false">'1.1 Display Calculations'!E37&amp;" / "&amp;'1.1 Display Calculations'!F37</f>
        <v>#N/A</v>
      </c>
      <c r="J47" s="103"/>
      <c r="K47" s="103"/>
      <c r="L47" s="103"/>
      <c r="M47" s="103"/>
      <c r="N47" s="103"/>
      <c r="O47" s="10"/>
    </row>
    <row r="48" customFormat="false" ht="15.75" hidden="false" customHeight="false" outlineLevel="0" collapsed="false">
      <c r="A48" s="73"/>
      <c r="B48" s="8"/>
      <c r="C48" s="103"/>
      <c r="D48" s="103"/>
      <c r="E48" s="103"/>
      <c r="F48" s="103"/>
      <c r="G48" s="103"/>
      <c r="H48" s="103"/>
      <c r="I48" s="103"/>
      <c r="J48" s="103"/>
      <c r="K48" s="103"/>
      <c r="L48" s="103"/>
      <c r="M48" s="103"/>
      <c r="N48" s="103"/>
      <c r="O48" s="10"/>
    </row>
    <row r="49" customFormat="false" ht="15.75" hidden="false" customHeight="false" outlineLevel="0" collapsed="false">
      <c r="A49" s="73"/>
      <c r="B49" s="8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10"/>
    </row>
    <row r="50" customFormat="false" ht="18.75" hidden="false" customHeight="true" outlineLevel="0" collapsed="false">
      <c r="A50" s="73"/>
      <c r="B50" s="8"/>
      <c r="C50" s="104" t="s">
        <v>41</v>
      </c>
      <c r="D50" s="104"/>
      <c r="E50" s="104"/>
      <c r="F50" s="104"/>
      <c r="G50" s="104" t="s">
        <v>42</v>
      </c>
      <c r="H50" s="104"/>
      <c r="I50" s="104"/>
      <c r="J50" s="104"/>
      <c r="K50" s="104" t="s">
        <v>43</v>
      </c>
      <c r="L50" s="104"/>
      <c r="M50" s="104"/>
      <c r="N50" s="105"/>
      <c r="O50" s="10"/>
    </row>
    <row r="51" customFormat="false" ht="18.75" hidden="false" customHeight="true" outlineLevel="0" collapsed="false">
      <c r="A51" s="73"/>
      <c r="B51" s="8"/>
      <c r="C51" s="106" t="e">
        <f aca="false">'1.1 Display Calculations'!F38</f>
        <v>#N/A</v>
      </c>
      <c r="D51" s="106"/>
      <c r="E51" s="106"/>
      <c r="F51" s="106"/>
      <c r="G51" s="106" t="e">
        <f aca="false">'1.1 Display Calculations'!F40</f>
        <v>#N/A</v>
      </c>
      <c r="H51" s="106"/>
      <c r="I51" s="106"/>
      <c r="J51" s="106"/>
      <c r="K51" s="107" t="s">
        <v>44</v>
      </c>
      <c r="L51" s="108" t="s">
        <v>45</v>
      </c>
      <c r="M51" s="108"/>
      <c r="N51" s="109"/>
      <c r="O51" s="10"/>
    </row>
    <row r="52" customFormat="false" ht="18.75" hidden="false" customHeight="true" outlineLevel="0" collapsed="false">
      <c r="A52" s="73"/>
      <c r="B52" s="8"/>
      <c r="C52" s="104" t="s">
        <v>46</v>
      </c>
      <c r="D52" s="104"/>
      <c r="E52" s="104"/>
      <c r="F52" s="104"/>
      <c r="G52" s="104" t="s">
        <v>47</v>
      </c>
      <c r="H52" s="104"/>
      <c r="I52" s="104"/>
      <c r="J52" s="104"/>
      <c r="K52" s="110" t="e">
        <f aca="false">'1.1 Display Calculations'!C43</f>
        <v>#N/A</v>
      </c>
      <c r="L52" s="111" t="e">
        <f aca="false">'1.1 Display Calculations'!D43</f>
        <v>#N/A</v>
      </c>
      <c r="M52" s="112" t="n">
        <f aca="false">'1.1 Display Calculations'!E43</f>
        <v>12500</v>
      </c>
      <c r="N52" s="113"/>
      <c r="O52" s="10"/>
    </row>
    <row r="53" customFormat="false" ht="18.75" hidden="false" customHeight="true" outlineLevel="0" collapsed="false">
      <c r="A53" s="73"/>
      <c r="B53" s="8"/>
      <c r="C53" s="106" t="e">
        <f aca="false">'1.1 Display Calculations'!F39</f>
        <v>#N/A</v>
      </c>
      <c r="D53" s="106"/>
      <c r="E53" s="106"/>
      <c r="F53" s="106"/>
      <c r="G53" s="106" t="e">
        <f aca="false">'1.1 Display Calculations'!F41</f>
        <v>#N/A</v>
      </c>
      <c r="H53" s="106"/>
      <c r="I53" s="106"/>
      <c r="J53" s="106"/>
      <c r="K53" s="114" t="e">
        <f aca="false">'1.1 Display Calculations'!F43</f>
        <v>#N/A</v>
      </c>
      <c r="L53" s="114"/>
      <c r="M53" s="114"/>
      <c r="N53" s="113"/>
      <c r="O53" s="10"/>
    </row>
    <row r="54" customFormat="false" ht="15.75" hidden="false" customHeight="false" outlineLevel="0" collapsed="false">
      <c r="A54" s="73"/>
      <c r="B54" s="35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7"/>
    </row>
    <row r="55" customFormat="false" ht="15.75" hidden="false" customHeight="true" outlineLevel="0" collapsed="false">
      <c r="A55" s="115" t="s">
        <v>48</v>
      </c>
      <c r="B55" s="39"/>
      <c r="C55" s="40"/>
      <c r="D55" s="40"/>
      <c r="E55" s="116"/>
      <c r="F55" s="117"/>
      <c r="G55" s="116"/>
      <c r="H55" s="40"/>
      <c r="I55" s="40"/>
      <c r="J55" s="40"/>
      <c r="K55" s="40"/>
      <c r="L55" s="117"/>
      <c r="M55" s="117"/>
      <c r="N55" s="117"/>
      <c r="O55" s="118"/>
    </row>
    <row r="56" customFormat="false" ht="15.75" hidden="false" customHeight="false" outlineLevel="0" collapsed="false">
      <c r="A56" s="115"/>
      <c r="B56" s="42"/>
      <c r="C56" s="119" t="s">
        <v>49</v>
      </c>
      <c r="D56" s="119"/>
      <c r="E56" s="48"/>
      <c r="F56" s="48"/>
      <c r="G56" s="48"/>
      <c r="H56" s="120" t="s">
        <v>50</v>
      </c>
      <c r="I56" s="120"/>
      <c r="J56" s="120"/>
      <c r="K56" s="45" t="s">
        <v>51</v>
      </c>
      <c r="L56" s="120" t="s">
        <v>52</v>
      </c>
      <c r="M56" s="120"/>
      <c r="N56" s="45" t="s">
        <v>53</v>
      </c>
      <c r="O56" s="52"/>
    </row>
    <row r="57" customFormat="false" ht="18.75" hidden="false" customHeight="true" outlineLevel="0" collapsed="false">
      <c r="A57" s="115"/>
      <c r="B57" s="42"/>
      <c r="C57" s="48"/>
      <c r="D57" s="48"/>
      <c r="E57" s="48"/>
      <c r="F57" s="121" t="s">
        <v>54</v>
      </c>
      <c r="G57" s="121"/>
      <c r="H57" s="60" t="e">
        <f aca="false">'1.2 Damage Calculations'!C10</f>
        <v>#VALUE!</v>
      </c>
      <c r="I57" s="60"/>
      <c r="J57" s="60"/>
      <c r="K57" s="60" t="e">
        <f aca="false" t="array" ref="K57:K57">IF(ISBLANK('1.2 Damage Calculations'!D10),,INDEX('0.3.1 Type Table'!$U$2:$U$120,MATCH('1.2 Damage Calculations'!D10,'0.3.1 Type Table'!$A$2:$A$20,0)))</f>
        <v>#VALUE!</v>
      </c>
      <c r="L57" s="122" t="e">
        <f aca="false">IF(ISBLANK(K57),,'1.2 Damage Calculations'!K24)</f>
        <v>#N/A</v>
      </c>
      <c r="M57" s="122"/>
      <c r="N57" s="123" t="e">
        <f aca="false" t="array" ref="N57:N57">IF(ISBLANK(K57),,"+"&amp;ROUND(INDEX('0.1.2 Attack Dex (GO)'!$G$2:$G86,MATCH(H57,'0.1.2 Attack Dex (GO)'!$A$2:$A86,0)),1))</f>
        <v>#VALUE!</v>
      </c>
      <c r="O57" s="52"/>
    </row>
    <row r="58" customFormat="false" ht="18.75" hidden="false" customHeight="true" outlineLevel="0" collapsed="false">
      <c r="A58" s="115"/>
      <c r="B58" s="42"/>
      <c r="C58" s="124" t="s">
        <v>55</v>
      </c>
      <c r="D58" s="124"/>
      <c r="E58" s="48"/>
      <c r="F58" s="56"/>
      <c r="G58" s="48"/>
      <c r="H58" s="64" t="n">
        <f aca="false">'1.2 Damage Calculations'!C11</f>
        <v>0</v>
      </c>
      <c r="I58" s="64"/>
      <c r="J58" s="64"/>
      <c r="K58" s="125" t="e">
        <f aca="false" t="array" ref="K58:K58">IF(ISBLANK('1.2 Damage Calculations'!D11),,INDEX('0.3.1 Type Table'!$U$2:$U$120,MATCH('1.2 Damage Calculations'!D11,'0.3.1 Type Table'!$A$2:$A$20,0)))</f>
        <v>#N/A</v>
      </c>
      <c r="L58" s="126" t="n">
        <f aca="false">IF(ISBLANK(K58),,'1.2 Damage Calculations'!K25)</f>
        <v>0</v>
      </c>
      <c r="M58" s="126"/>
      <c r="N58" s="127" t="e">
        <f aca="false" t="array" ref="N58:N58">IF(ISBLANK(K58),,"+"&amp;ROUND(INDEX('0.1.2 Attack Dex (GO)'!$G$2:$G86,MATCH(H58,'0.1.2 Attack Dex (GO)'!$A$2:$A86,0)),1))</f>
        <v>#N/A</v>
      </c>
      <c r="O58" s="52"/>
    </row>
    <row r="59" customFormat="false" ht="18.75" hidden="false" customHeight="true" outlineLevel="0" collapsed="false">
      <c r="A59" s="115"/>
      <c r="B59" s="42"/>
      <c r="C59" s="22" t="s">
        <v>56</v>
      </c>
      <c r="D59" s="22"/>
      <c r="E59" s="48"/>
      <c r="F59" s="128" t="s">
        <v>57</v>
      </c>
      <c r="G59" s="129" t="s">
        <v>58</v>
      </c>
      <c r="H59" s="130" t="str">
        <f aca="false" t="array" ref="H59:H59">IF(ISNA(INDEX('1.2 Damage Calculations'!M$9:M$12,MATCH($G$59,'1.2 Damage Calculations'!$L$9:$L$12,0))),"-",INDEX('1.2 Damage Calculations'!M$9:M$12,MATCH($G$59,'1.2 Damage Calculations'!$L$9:$L$12,0)))</f>
        <v>-</v>
      </c>
      <c r="I59" s="130"/>
      <c r="J59" s="130"/>
      <c r="K59" s="130" t="str">
        <f aca="false" t="array" ref="K59:K59">IF(ISNA(INDEX('1.2 Damage Calculations'!N$9:N$12,MATCH($G$59,'1.2 Damage Calculations'!$L$9:$L$12,0))),"-",INDEX('1.2 Damage Calculations'!N$9:N$12,MATCH($G$59,'1.2 Damage Calculations'!$L$9:$L$12,0)))</f>
        <v>-</v>
      </c>
      <c r="L59" s="131" t="str">
        <f aca="false" t="array" ref="L59:L59">IF(ISNA(INDEX('1.2 Damage Calculations'!O$9:O$12,MATCH($G$59,'1.2 Damage Calculations'!$L$9:$L$12,0))),"-",INDEX('1.2 Damage Calculations'!O$9:O$12,MATCH($G$59,'1.2 Damage Calculations'!$L$9:$L$12,0)))</f>
        <v>-</v>
      </c>
      <c r="M59" s="131"/>
      <c r="N59" s="132" t="str">
        <f aca="false" t="array" ref="N59:N59">IF(ISNA(INDEX('1.2 Damage Calculations'!P$9:P$12,MATCH($G$59,'1.2 Damage Calculations'!$L$9:$L$12,0))),"-",INDEX('1.2 Damage Calculations'!P$9:P$12,MATCH($G$59,'1.2 Damage Calculations'!$L$9:$L$12,0)))</f>
        <v>-</v>
      </c>
      <c r="O59" s="52"/>
    </row>
    <row r="60" customFormat="false" ht="7.5" hidden="false" customHeight="true" outlineLevel="0" collapsed="false">
      <c r="A60" s="115"/>
      <c r="B60" s="42"/>
      <c r="C60" s="133" t="s">
        <v>59</v>
      </c>
      <c r="D60" s="133"/>
      <c r="E60" s="48"/>
      <c r="F60" s="54"/>
      <c r="G60" s="54"/>
      <c r="H60" s="48"/>
      <c r="I60" s="48"/>
      <c r="J60" s="48"/>
      <c r="K60" s="48"/>
      <c r="L60" s="45"/>
      <c r="M60" s="45"/>
      <c r="N60" s="45"/>
      <c r="O60" s="52"/>
    </row>
    <row r="61" customFormat="false" ht="18.75" hidden="false" customHeight="true" outlineLevel="0" collapsed="false">
      <c r="A61" s="115"/>
      <c r="B61" s="42"/>
      <c r="C61" s="134" t="s">
        <v>60</v>
      </c>
      <c r="D61" s="134"/>
      <c r="E61" s="48"/>
      <c r="F61" s="54"/>
      <c r="G61" s="54"/>
      <c r="H61" s="120" t="s">
        <v>50</v>
      </c>
      <c r="I61" s="120"/>
      <c r="J61" s="120"/>
      <c r="K61" s="45" t="s">
        <v>51</v>
      </c>
      <c r="L61" s="120" t="s">
        <v>61</v>
      </c>
      <c r="M61" s="120"/>
      <c r="N61" s="45" t="s">
        <v>62</v>
      </c>
      <c r="O61" s="52"/>
    </row>
    <row r="62" customFormat="false" ht="18.75" hidden="false" customHeight="true" outlineLevel="0" collapsed="false">
      <c r="A62" s="115"/>
      <c r="B62" s="42"/>
      <c r="C62" s="48"/>
      <c r="D62" s="48"/>
      <c r="E62" s="48"/>
      <c r="F62" s="121" t="s">
        <v>63</v>
      </c>
      <c r="G62" s="121"/>
      <c r="H62" s="60" t="e">
        <f aca="false">'1.2 Damage Calculations'!H10</f>
        <v>#VALUE!</v>
      </c>
      <c r="I62" s="60"/>
      <c r="J62" s="60"/>
      <c r="K62" s="60" t="e">
        <f aca="false" t="array" ref="K62:K62">IF(ISBLANK('1.2 Damage Calculations'!I10),,INDEX('0.3.1 Type Table'!$U$2:$U$120,MATCH('1.2 Damage Calculations'!I10,'0.3.1 Type Table'!$A$2:$A$20,0)))</f>
        <v>#VALUE!</v>
      </c>
      <c r="L62" s="122" t="e">
        <f aca="false">IF(ISBLANK(K62),,'1.2 Damage Calculations'!X24)</f>
        <v>#N/A</v>
      </c>
      <c r="M62" s="122"/>
      <c r="N62" s="135" t="e">
        <f aca="false">IF(ISBLANK(K62),,(100/('1.2 Damage Calculations'!T24))*('1.2 Damage Calculations'!S24*'1.2 Damage Calculations'!P24*'1.2 Damage Calculations'!Q24*'1.2 Damage Calculations'!R24))</f>
        <v>#N/A</v>
      </c>
      <c r="O62" s="52"/>
    </row>
    <row r="63" customFormat="false" ht="18.75" hidden="false" customHeight="true" outlineLevel="0" collapsed="false">
      <c r="A63" s="115"/>
      <c r="B63" s="42"/>
      <c r="C63" s="48"/>
      <c r="D63" s="54"/>
      <c r="E63" s="48"/>
      <c r="F63" s="56"/>
      <c r="G63" s="56"/>
      <c r="H63" s="60" t="n">
        <f aca="false">'1.2 Damage Calculations'!H11</f>
        <v>0</v>
      </c>
      <c r="I63" s="60"/>
      <c r="J63" s="60"/>
      <c r="K63" s="60" t="e">
        <f aca="false" t="array" ref="K63:K63">IF(ISBLANK('1.2 Damage Calculations'!I11),,INDEX('0.3.1 Type Table'!$U$2:$U$120,MATCH('1.2 Damage Calculations'!I11,'0.3.1 Type Table'!$A$2:$A$20,0)))</f>
        <v>#N/A</v>
      </c>
      <c r="L63" s="122" t="n">
        <f aca="false">IF(ISBLANK(K63),,'1.2 Damage Calculations'!X25)</f>
        <v>0</v>
      </c>
      <c r="M63" s="122"/>
      <c r="N63" s="135" t="e">
        <f aca="false">IF(ISBLANK(K63),,(100/('1.2 Damage Calculations'!T25))*('1.2 Damage Calculations'!S25*'1.2 Damage Calculations'!P25*'1.2 Damage Calculations'!Q25*'1.2 Damage Calculations'!R25))</f>
        <v>#DIV/0!</v>
      </c>
      <c r="O63" s="52"/>
    </row>
    <row r="64" customFormat="false" ht="18.75" hidden="false" customHeight="true" outlineLevel="0" collapsed="false">
      <c r="A64" s="115"/>
      <c r="B64" s="42"/>
      <c r="C64" s="48"/>
      <c r="D64" s="54"/>
      <c r="E64" s="48"/>
      <c r="F64" s="56"/>
      <c r="G64" s="56"/>
      <c r="H64" s="60" t="n">
        <f aca="false">'1.2 Damage Calculations'!H12</f>
        <v>0</v>
      </c>
      <c r="I64" s="60"/>
      <c r="J64" s="60"/>
      <c r="K64" s="60" t="e">
        <f aca="false" t="array" ref="K64:K64">IF(ISBLANK('1.2 Damage Calculations'!I12),,INDEX('0.3.1 Type Table'!$U$2:$U$120,MATCH('1.2 Damage Calculations'!I12,'0.3.1 Type Table'!$A$2:$A$20,0)))</f>
        <v>#N/A</v>
      </c>
      <c r="L64" s="122" t="n">
        <f aca="false">IF(ISBLANK(K64),,'1.2 Damage Calculations'!X26)</f>
        <v>0</v>
      </c>
      <c r="M64" s="122"/>
      <c r="N64" s="135" t="e">
        <f aca="false">IF(ISBLANK(K64),,(100/('1.2 Damage Calculations'!T26))*('1.2 Damage Calculations'!S26*'1.2 Damage Calculations'!P26*'1.2 Damage Calculations'!Q26*'1.2 Damage Calculations'!R26))</f>
        <v>#DIV/0!</v>
      </c>
      <c r="O64" s="52"/>
    </row>
    <row r="65" customFormat="false" ht="18.75" hidden="false" customHeight="true" outlineLevel="0" collapsed="false">
      <c r="A65" s="115"/>
      <c r="B65" s="42"/>
      <c r="C65" s="48"/>
      <c r="D65" s="48"/>
      <c r="E65" s="48"/>
      <c r="F65" s="128" t="s">
        <v>64</v>
      </c>
      <c r="G65" s="129" t="s">
        <v>65</v>
      </c>
      <c r="H65" s="130" t="n">
        <f aca="false">IF(ISNA(INDEX('1.2 Damage Calculations'!$S$9:$S$17,MATCH($G$65,'1.2 Damage Calculations'!$R$9:$R$17,0))),"-",INDEX('1.2 Damage Calculations'!$S$9:$S$17,MATCH($G$65,'1.2 Damage Calculations'!$R$9:$R$17,0)))</f>
        <v>0</v>
      </c>
      <c r="I65" s="130"/>
      <c r="J65" s="130"/>
      <c r="K65" s="130" t="str">
        <f aca="false" t="array" ref="K65:K65">IF(ISNA(INDEX('1.2 Damage Calculations'!$T$9:$T$17,MATCH($G$65,'1.2 Damage Calculations'!$R$9:$R$17,0))),"-",INDEX('1.2 Damage Calculations'!$T$9:$T$17,MATCH($G$65,'1.2 Damage Calculations'!$R$9:$R$17,0)))</f>
        <v>-</v>
      </c>
      <c r="L65" s="131" t="str">
        <f aca="false" t="array" ref="L65:L65">IF(ISNA(INDEX('1.2 Damage Calculations'!$U$9:$U$17,MATCH($G$65,'1.2 Damage Calculations'!$R$9:$R$17,0))),"-",INDEX('1.2 Damage Calculations'!$U$9:$U$17,MATCH($G$65,'1.2 Damage Calculations'!$R$9:$R$17,0)))</f>
        <v>-</v>
      </c>
      <c r="M65" s="131"/>
      <c r="N65" s="132" t="str">
        <f aca="false" t="array" ref="N65:N65">IF(ISNA(INDEX('1.2 Damage Calculations'!$V$9:$V$17,MATCH($G$65,'1.2 Damage Calculations'!$R$9:$R$17,0))),"-",INDEX('1.2 Damage Calculations'!$V$9:$V$17,MATCH($G$65,'1.2 Damage Calculations'!$R$9:$R$17,0)))</f>
        <v>-</v>
      </c>
      <c r="O65" s="52"/>
    </row>
    <row r="66" customFormat="false" ht="15.75" hidden="false" customHeight="false" outlineLevel="0" collapsed="false">
      <c r="A66" s="115"/>
      <c r="B66" s="42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52"/>
    </row>
    <row r="67" customFormat="false" ht="15.75" hidden="false" customHeight="false" outlineLevel="0" collapsed="false">
      <c r="A67" s="115"/>
      <c r="B67" s="42"/>
      <c r="C67" s="119" t="s">
        <v>66</v>
      </c>
      <c r="D67" s="119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52"/>
    </row>
    <row r="68" customFormat="false" ht="15.75" hidden="false" customHeight="false" outlineLevel="0" collapsed="false">
      <c r="A68" s="115"/>
      <c r="B68" s="42"/>
      <c r="C68" s="48"/>
      <c r="D68" s="48"/>
      <c r="E68" s="136" t="s">
        <v>67</v>
      </c>
      <c r="F68" s="137" t="s">
        <v>68</v>
      </c>
      <c r="G68" s="137" t="s">
        <v>69</v>
      </c>
      <c r="H68" s="137"/>
      <c r="I68" s="137"/>
      <c r="J68" s="138" t="s">
        <v>70</v>
      </c>
      <c r="K68" s="138"/>
      <c r="L68" s="138"/>
      <c r="M68" s="139" t="s">
        <v>71</v>
      </c>
      <c r="N68" s="137" t="s">
        <v>72</v>
      </c>
      <c r="O68" s="52"/>
    </row>
    <row r="69" customFormat="false" ht="18.75" hidden="false" customHeight="true" outlineLevel="0" collapsed="false">
      <c r="A69" s="115"/>
      <c r="B69" s="42"/>
      <c r="C69" s="48"/>
      <c r="D69" s="48"/>
      <c r="E69" s="140" t="str">
        <f aca="false">'1.2 Damage Calculations'!Z41</f>
        <v/>
      </c>
      <c r="F69" s="141" t="n">
        <f aca="false">IF(ISNA('1.2 Damage Calculations'!R41),,INDEX('1.2 Damage Calculations'!$W$41:$W$95,MATCH(E69,'1.2 Damage Calculations'!$R$41:$R$95,0)))</f>
        <v>0</v>
      </c>
      <c r="G69" s="142" t="str">
        <f aca="false" t="array" ref="G69:G69">IF(ISNA('1.2 Damage Calculations'!R41),"N/A",INDEX('1.2 Damage Calculations'!$S$41:$S$95,MATCH(E69,'1.2 Damage Calculations'!$R$41:$R$95,0)))</f>
        <v>N/A</v>
      </c>
      <c r="H69" s="142"/>
      <c r="I69" s="142"/>
      <c r="J69" s="142" t="str">
        <f aca="false" t="array" ref="J69:J69">IF(ISNA('1.2 Damage Calculations'!R41),"N/A",INDEX('1.2 Damage Calculations'!$T$41:$T$95,MATCH(E69,'1.2 Damage Calculations'!$R$41:$R$95,0)))</f>
        <v>N/A</v>
      </c>
      <c r="K69" s="142"/>
      <c r="L69" s="142"/>
      <c r="M69" s="143" t="n">
        <f aca="false">IF(ISNA('1.2 Damage Calculations'!R41),,INDEX('1.2 Damage Calculations'!$V$41:$V$95,MATCH(E69,'1.2 Damage Calculations'!$R$41:$R$95,0)))</f>
        <v>0</v>
      </c>
      <c r="N69" s="144" t="n">
        <f aca="false">IF(ISNA('1.2 Damage Calculations'!R41),,INDEX('1.2 Damage Calculations'!$Y$41:$Y$95,MATCH(E69,'1.2 Damage Calculations'!$R$41:$R$95,0))-1)</f>
        <v>0</v>
      </c>
      <c r="O69" s="52"/>
    </row>
    <row r="70" customFormat="false" ht="18.75" hidden="false" customHeight="true" outlineLevel="0" collapsed="false">
      <c r="A70" s="115"/>
      <c r="B70" s="42"/>
      <c r="C70" s="48"/>
      <c r="D70" s="48"/>
      <c r="E70" s="145" t="str">
        <f aca="false">'1.2 Damage Calculations'!Z42</f>
        <v/>
      </c>
      <c r="F70" s="141" t="e">
        <f aca="false" t="array" ref="F70:F70">IF(ISBLANK('1.2 Damage Calculations'!R42),,INDEX('1.2 Damage Calculations'!$W$41:$W$95,MATCH(E70,'1.2 Damage Calculations'!$R$41:$R$95,0)))</f>
        <v>#N/A</v>
      </c>
      <c r="G70" s="142" t="e">
        <f aca="false" t="array" ref="G70:G70">IF(ISBLANK('1.2 Damage Calculations'!R42),,INDEX('1.2 Damage Calculations'!$S$41:$S$95,MATCH(E70,'1.2 Damage Calculations'!$R$41:$R$95,0)))</f>
        <v>#N/A</v>
      </c>
      <c r="H70" s="142"/>
      <c r="I70" s="142"/>
      <c r="J70" s="142" t="e">
        <f aca="false" t="array" ref="J70:J70">IF(ISBLANK('1.2 Damage Calculations'!R42),,INDEX('1.2 Damage Calculations'!$T$41:$T$95,MATCH(E70,'1.2 Damage Calculations'!$R$41:$R$95,0)))</f>
        <v>#N/A</v>
      </c>
      <c r="K70" s="142"/>
      <c r="L70" s="142"/>
      <c r="M70" s="143" t="e">
        <f aca="false" t="array" ref="M70:M70">IF(ISBLANK('1.2 Damage Calculations'!R42),,INDEX('1.2 Damage Calculations'!$V$41:$V$95,MATCH(E70,'1.2 Damage Calculations'!$R$41:$R$95,0)))</f>
        <v>#N/A</v>
      </c>
      <c r="N70" s="144" t="e">
        <f aca="false" t="array" ref="N70:N70">IF(ISBLANK('1.2 Damage Calculations'!R42),,INDEX('1.2 Damage Calculations'!$Y$41:$Y$95,MATCH(E70,'1.2 Damage Calculations'!$R$41:$R$95,0))-1)</f>
        <v>#N/A</v>
      </c>
      <c r="O70" s="52"/>
    </row>
    <row r="71" customFormat="false" ht="18.75" hidden="false" customHeight="true" outlineLevel="0" collapsed="false">
      <c r="A71" s="115"/>
      <c r="B71" s="42"/>
      <c r="C71" s="48"/>
      <c r="D71" s="48"/>
      <c r="E71" s="145" t="str">
        <f aca="false">'1.2 Damage Calculations'!Z43</f>
        <v/>
      </c>
      <c r="F71" s="141" t="e">
        <f aca="false" t="array" ref="F71:F71">IF(ISBLANK('1.2 Damage Calculations'!R43),,INDEX('1.2 Damage Calculations'!$W$41:$W$95,MATCH(E71,'1.2 Damage Calculations'!$R$41:$R$95,0)))</f>
        <v>#N/A</v>
      </c>
      <c r="G71" s="142" t="e">
        <f aca="false" t="array" ref="G71:G71">IF(ISBLANK('1.2 Damage Calculations'!R43),,INDEX('1.2 Damage Calculations'!$S$41:$S$95,MATCH(E71,'1.2 Damage Calculations'!$R$41:$R$95,0)))</f>
        <v>#N/A</v>
      </c>
      <c r="H71" s="142"/>
      <c r="I71" s="142"/>
      <c r="J71" s="142" t="e">
        <f aca="false" t="array" ref="J71:J71">IF(ISBLANK('1.2 Damage Calculations'!R43),,INDEX('1.2 Damage Calculations'!$T$41:$T$95,MATCH(E71,'1.2 Damage Calculations'!$R$41:$R$95,0)))</f>
        <v>#N/A</v>
      </c>
      <c r="K71" s="142"/>
      <c r="L71" s="142"/>
      <c r="M71" s="143" t="e">
        <f aca="false" t="array" ref="M71:M71">IF(ISBLANK('1.2 Damage Calculations'!R43),,INDEX('1.2 Damage Calculations'!$V$41:$V$95,MATCH(E71,'1.2 Damage Calculations'!$R$41:$R$95,0)))</f>
        <v>#N/A</v>
      </c>
      <c r="N71" s="144" t="e">
        <f aca="false" t="array" ref="N71:N71">IF(ISBLANK('1.2 Damage Calculations'!R43),,INDEX('1.2 Damage Calculations'!$Y$41:$Y$95,MATCH(E71,'1.2 Damage Calculations'!$R$41:$R$95,0))-1)</f>
        <v>#N/A</v>
      </c>
      <c r="O71" s="52"/>
    </row>
    <row r="72" customFormat="false" ht="18.75" hidden="false" customHeight="true" outlineLevel="0" collapsed="false">
      <c r="A72" s="115"/>
      <c r="B72" s="42"/>
      <c r="C72" s="48"/>
      <c r="D72" s="48"/>
      <c r="E72" s="145" t="str">
        <f aca="false">'1.2 Damage Calculations'!Z44</f>
        <v/>
      </c>
      <c r="F72" s="141" t="e">
        <f aca="false" t="array" ref="F72:F72">IF(ISBLANK('1.2 Damage Calculations'!R44),,INDEX('1.2 Damage Calculations'!$W$41:$W$95,MATCH(E72,'1.2 Damage Calculations'!$R$41:$R$95,0)))</f>
        <v>#N/A</v>
      </c>
      <c r="G72" s="142" t="e">
        <f aca="false" t="array" ref="G72:G72">IF(ISBLANK('1.2 Damage Calculations'!R44),,INDEX('1.2 Damage Calculations'!$S$41:$S$95,MATCH(E72,'1.2 Damage Calculations'!$R$41:$R$95,0)))</f>
        <v>#N/A</v>
      </c>
      <c r="H72" s="142"/>
      <c r="I72" s="142"/>
      <c r="J72" s="142" t="e">
        <f aca="false" t="array" ref="J72:J72">IF(ISBLANK('1.2 Damage Calculations'!R44),,INDEX('1.2 Damage Calculations'!$T$41:$T$95,MATCH(E72,'1.2 Damage Calculations'!$R$41:$R$95,0)))</f>
        <v>#N/A</v>
      </c>
      <c r="K72" s="142"/>
      <c r="L72" s="142"/>
      <c r="M72" s="143" t="e">
        <f aca="false" t="array" ref="M72:M72">IF(ISBLANK('1.2 Damage Calculations'!R44),,INDEX('1.2 Damage Calculations'!$V$41:$V$95,MATCH(E72,'1.2 Damage Calculations'!$R$41:$R$95,0)))</f>
        <v>#N/A</v>
      </c>
      <c r="N72" s="144" t="e">
        <f aca="false" t="array" ref="N72:N72">IF(ISBLANK('1.2 Damage Calculations'!R44),,INDEX('1.2 Damage Calculations'!$Y$41:$Y$95,MATCH(E72,'1.2 Damage Calculations'!$R$41:$R$95,0))-1)</f>
        <v>#N/A</v>
      </c>
      <c r="O72" s="52"/>
    </row>
    <row r="73" customFormat="false" ht="18.75" hidden="false" customHeight="true" outlineLevel="0" collapsed="false">
      <c r="A73" s="115"/>
      <c r="B73" s="42"/>
      <c r="C73" s="48"/>
      <c r="D73" s="48"/>
      <c r="E73" s="145" t="str">
        <f aca="false">'1.2 Damage Calculations'!Z45</f>
        <v/>
      </c>
      <c r="F73" s="141" t="e">
        <f aca="false" t="array" ref="F73:F73">IF(ISBLANK('1.2 Damage Calculations'!R45),,INDEX('1.2 Damage Calculations'!$W$41:$W$95,MATCH(E73,'1.2 Damage Calculations'!$R$41:$R$95,0)))</f>
        <v>#N/A</v>
      </c>
      <c r="G73" s="142" t="e">
        <f aca="false" t="array" ref="G73:G73">IF(ISBLANK('1.2 Damage Calculations'!R45),,INDEX('1.2 Damage Calculations'!$S$41:$S$95,MATCH(E73,'1.2 Damage Calculations'!$R$41:$R$95,0)))</f>
        <v>#N/A</v>
      </c>
      <c r="H73" s="142"/>
      <c r="I73" s="142"/>
      <c r="J73" s="142" t="e">
        <f aca="false" t="array" ref="J73:J73">IF(ISBLANK('1.2 Damage Calculations'!R45),,INDEX('1.2 Damage Calculations'!$T$41:$T$95,MATCH(E73,'1.2 Damage Calculations'!$R$41:$R$95,0)))</f>
        <v>#N/A</v>
      </c>
      <c r="K73" s="142"/>
      <c r="L73" s="142"/>
      <c r="M73" s="143" t="e">
        <f aca="false" t="array" ref="M73:M73">IF(ISBLANK('1.2 Damage Calculations'!R45),,INDEX('1.2 Damage Calculations'!$V$41:$V$95,MATCH(E73,'1.2 Damage Calculations'!$R$41:$R$95,0)))</f>
        <v>#N/A</v>
      </c>
      <c r="N73" s="144" t="e">
        <f aca="false" t="array" ref="N73:N73">IF(ISBLANK('1.2 Damage Calculations'!R45),,INDEX('1.2 Damage Calculations'!$Y$41:$Y$95,MATCH(E73,'1.2 Damage Calculations'!$R$41:$R$95,0))-1)</f>
        <v>#N/A</v>
      </c>
      <c r="O73" s="52"/>
    </row>
    <row r="74" customFormat="false" ht="18.75" hidden="false" customHeight="true" outlineLevel="0" collapsed="false">
      <c r="A74" s="115"/>
      <c r="B74" s="42"/>
      <c r="C74" s="48"/>
      <c r="D74" s="48"/>
      <c r="E74" s="146" t="str">
        <f aca="false">'1.2 Damage Calculations'!Z46</f>
        <v/>
      </c>
      <c r="F74" s="141" t="e">
        <f aca="false" t="array" ref="F74:F74">IF(ISBLANK('1.2 Damage Calculations'!R46),,INDEX('1.2 Damage Calculations'!$W$41:$W$95,MATCH(E74,'1.2 Damage Calculations'!$R$41:$R$95,0)))</f>
        <v>#N/A</v>
      </c>
      <c r="G74" s="142" t="e">
        <f aca="false" t="array" ref="G74:G74">IF(ISBLANK('1.2 Damage Calculations'!R46),,INDEX('1.2 Damage Calculations'!$S$41:$S$95,MATCH(E74,'1.2 Damage Calculations'!$R$41:$R$95,0)))</f>
        <v>#N/A</v>
      </c>
      <c r="H74" s="142"/>
      <c r="I74" s="142"/>
      <c r="J74" s="147" t="e">
        <f aca="false" t="array" ref="J74:J74">IF(ISBLANK('1.2 Damage Calculations'!R46),,INDEX('1.2 Damage Calculations'!$T$41:$T$95,MATCH(E74,'1.2 Damage Calculations'!$R$41:$R$95,0)))</f>
        <v>#N/A</v>
      </c>
      <c r="K74" s="147"/>
      <c r="L74" s="147"/>
      <c r="M74" s="148" t="e">
        <f aca="false" t="array" ref="M74:M74">IF(ISBLANK('1.2 Damage Calculations'!R46),,INDEX('1.2 Damage Calculations'!$V$41:$V$95,MATCH(E74,'1.2 Damage Calculations'!$R$41:$R$95,0)))</f>
        <v>#N/A</v>
      </c>
      <c r="N74" s="149" t="e">
        <f aca="false" t="array" ref="N74:N74">IF(ISBLANK('1.2 Damage Calculations'!R46),,INDEX('1.2 Damage Calculations'!$Y$41:$Y$95,MATCH(E74,'1.2 Damage Calculations'!$R$41:$R$95,0))-1)</f>
        <v>#N/A</v>
      </c>
      <c r="O74" s="52"/>
    </row>
    <row r="75" customFormat="false" ht="18.75" hidden="false" customHeight="true" outlineLevel="0" collapsed="false">
      <c r="A75" s="115"/>
      <c r="B75" s="42"/>
      <c r="C75" s="48"/>
      <c r="D75" s="48"/>
      <c r="E75" s="150" t="n">
        <v>1</v>
      </c>
      <c r="F75" s="151" t="e">
        <f aca="false" t="array" ref="F75:F75">IF(ISBLANK('1.2 Damage Calculations'!R47),"-",INDEX('1.2 Damage Calculations'!$W$41:$W$97,MATCH(E75,'1.2 Damage Calculations'!$R$41:$R$97,0)))</f>
        <v>#N/A</v>
      </c>
      <c r="G75" s="147" t="e">
        <f aca="false" t="array" ref="G75:G75">IF(ISBLANK('1.2 Damage Calculations'!R47),"-",INDEX('1.2 Damage Calculations'!$S$41:$S$97,MATCH(E75,'1.2 Damage Calculations'!$R$41:$R$97,0)))</f>
        <v>#N/A</v>
      </c>
      <c r="H75" s="147"/>
      <c r="I75" s="147"/>
      <c r="J75" s="147" t="e">
        <f aca="false" t="array" ref="J75:J75">IF(ISBLANK('1.2 Damage Calculations'!R47),"-",INDEX('1.2 Damage Calculations'!$T$41:$T$97,MATCH(E75,'1.2 Damage Calculations'!$R$41:$R$97,0)))</f>
        <v>#N/A</v>
      </c>
      <c r="K75" s="147"/>
      <c r="L75" s="147"/>
      <c r="M75" s="152" t="e">
        <f aca="false" t="array" ref="M75:M75">IF(ISBLANK('1.2 Damage Calculations'!R47),"-",INDEX('1.2 Damage Calculations'!$V$41:$V$97,MATCH(E75,'1.2 Damage Calculations'!$R$41:$R$97,0)))</f>
        <v>#N/A</v>
      </c>
      <c r="N75" s="149" t="e">
        <f aca="false" t="array" ref="N75:N75">IF(ISBLANK('1.2 Damage Calculations'!R47),"-",IF(E75="-","-",INDEX('1.2 Damage Calculations'!$Y$41:$Y$97,MATCH(E75,'1.2 Damage Calculations'!$R$41:$R$97,0))-1))</f>
        <v>#N/A</v>
      </c>
      <c r="O75" s="52"/>
    </row>
    <row r="76" customFormat="false" ht="7.5" hidden="false" customHeight="true" outlineLevel="0" collapsed="false">
      <c r="A76" s="115"/>
      <c r="B76" s="42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52"/>
    </row>
    <row r="77" customFormat="false" ht="15.75" hidden="false" customHeight="false" outlineLevel="0" collapsed="false">
      <c r="A77" s="115"/>
      <c r="B77" s="42"/>
      <c r="C77" s="119" t="s">
        <v>73</v>
      </c>
      <c r="D77" s="119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52"/>
    </row>
    <row r="78" customFormat="false" ht="15.75" hidden="false" customHeight="false" outlineLevel="0" collapsed="false">
      <c r="A78" s="115"/>
      <c r="B78" s="42"/>
      <c r="C78" s="153" t="s">
        <v>74</v>
      </c>
      <c r="D78" s="154" t="str">
        <f aca="false">IF(ISNA('1.3 Movepool Calculator'!I1),,LEFT('1.3 Movepool Calculator'!I1,LEN('1.3 Movepool Calculator'!I1)-2))</f>
        <v>#N</v>
      </c>
      <c r="E78" s="154"/>
      <c r="F78" s="154"/>
      <c r="G78" s="154"/>
      <c r="H78" s="154"/>
      <c r="I78" s="154"/>
      <c r="J78" s="154"/>
      <c r="K78" s="154"/>
      <c r="L78" s="154"/>
      <c r="M78" s="154"/>
      <c r="N78" s="154"/>
      <c r="O78" s="52"/>
    </row>
    <row r="79" customFormat="false" ht="15.75" hidden="false" customHeight="false" outlineLevel="0" collapsed="false">
      <c r="A79" s="115"/>
      <c r="B79" s="42"/>
      <c r="C79" s="153"/>
      <c r="D79" s="155" t="n">
        <f aca="false">IF('1.3 Movepool Calculator'!E1=0,"Pokémon is not fully evolved",IF(ISNA('1.3 Movepool Calculator'!I2),,LEFT('1.3 Movepool Calculator'!I2,LEN('1.3 Movepool Calculator'!I2)-2)))</f>
        <v>0</v>
      </c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O79" s="52"/>
    </row>
    <row r="80" customFormat="false" ht="15.75" hidden="false" customHeight="false" outlineLevel="0" collapsed="false">
      <c r="A80" s="115"/>
      <c r="B80" s="42"/>
      <c r="C80" s="153" t="s">
        <v>75</v>
      </c>
      <c r="D80" s="154" t="str">
        <f aca="false">IF(ISNA('1.3 Movepool Calculator'!I3),,LEFT('1.3 Movepool Calculator'!I3,LEN('1.3 Movepool Calculator'!I3)-2))</f>
        <v>#N</v>
      </c>
      <c r="E80" s="154"/>
      <c r="F80" s="154"/>
      <c r="G80" s="154"/>
      <c r="H80" s="154"/>
      <c r="I80" s="154"/>
      <c r="J80" s="154"/>
      <c r="K80" s="154"/>
      <c r="L80" s="154"/>
      <c r="M80" s="154"/>
      <c r="N80" s="154"/>
      <c r="O80" s="52"/>
    </row>
    <row r="81" customFormat="false" ht="15.75" hidden="false" customHeight="false" outlineLevel="0" collapsed="false">
      <c r="A81" s="115"/>
      <c r="B81" s="42"/>
      <c r="C81" s="153"/>
      <c r="D81" s="155" t="str">
        <f aca="false">IF(ISNA('1.3 Movepool Calculator'!I4),,LEFT('1.3 Movepool Calculator'!I4,LEN('1.3 Movepool Calculator'!I4)-2))</f>
        <v>#N</v>
      </c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O81" s="52"/>
    </row>
    <row r="82" customFormat="false" ht="15.75" hidden="false" customHeight="false" outlineLevel="0" collapsed="false">
      <c r="A82" s="115"/>
      <c r="B82" s="42"/>
      <c r="C82" s="54"/>
      <c r="D82" s="48"/>
      <c r="E82" s="48"/>
      <c r="F82" s="54"/>
      <c r="G82" s="54"/>
      <c r="H82" s="54"/>
      <c r="I82" s="54"/>
      <c r="J82" s="54"/>
      <c r="K82" s="54"/>
      <c r="L82" s="54"/>
      <c r="M82" s="54"/>
      <c r="N82" s="54"/>
      <c r="O82" s="52"/>
    </row>
    <row r="83" customFormat="false" ht="15.75" hidden="false" customHeight="false" outlineLevel="0" collapsed="false">
      <c r="A83" s="115"/>
      <c r="B83" s="42"/>
      <c r="C83" s="119" t="s">
        <v>76</v>
      </c>
      <c r="D83" s="119"/>
      <c r="E83" s="48"/>
      <c r="F83" s="48"/>
      <c r="G83" s="156"/>
      <c r="H83" s="156"/>
      <c r="I83" s="156"/>
      <c r="J83" s="156"/>
      <c r="K83" s="156"/>
      <c r="L83" s="156"/>
      <c r="M83" s="156"/>
      <c r="N83" s="156"/>
      <c r="O83" s="52"/>
    </row>
    <row r="84" customFormat="false" ht="15.75" hidden="false" customHeight="false" outlineLevel="0" collapsed="false">
      <c r="A84" s="115"/>
      <c r="B84" s="42"/>
      <c r="C84" s="157" t="str">
        <f aca="false">IF(ISNA('1.3 Movepool Calculator'!I5),,LEFT('1.3 Movepool Calculator'!I5,LEN('1.3 Movepool Calculator'!I5)-2))</f>
        <v>#N</v>
      </c>
      <c r="D84" s="157"/>
      <c r="E84" s="157"/>
      <c r="F84" s="157"/>
      <c r="G84" s="157"/>
      <c r="H84" s="157"/>
      <c r="I84" s="157"/>
      <c r="J84" s="157"/>
      <c r="K84" s="157"/>
      <c r="L84" s="157"/>
      <c r="M84" s="157"/>
      <c r="N84" s="157"/>
      <c r="O84" s="52"/>
    </row>
    <row r="85" customFormat="false" ht="15.75" hidden="false" customHeight="false" outlineLevel="0" collapsed="false">
      <c r="A85" s="115"/>
      <c r="B85" s="42"/>
      <c r="C85" s="158" t="n">
        <f aca="false">IF('1.3 Movepool Calculator'!E1=0,"Pokémon is not fully evolved",IF(ISNA('1.3 Movepool Calculator'!I6),,LEFT('1.3 Movepool Calculator'!I6,LEN('1.3 Movepool Calculator'!I6)-2)))</f>
        <v>0</v>
      </c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52"/>
    </row>
    <row r="86" customFormat="false" ht="15.75" hidden="false" customHeight="false" outlineLevel="0" collapsed="false">
      <c r="A86" s="115"/>
      <c r="B86" s="159"/>
      <c r="C86" s="160"/>
      <c r="D86" s="160"/>
      <c r="E86" s="160"/>
      <c r="F86" s="160"/>
      <c r="G86" s="160"/>
      <c r="H86" s="160"/>
      <c r="I86" s="160"/>
      <c r="J86" s="160"/>
      <c r="K86" s="160"/>
      <c r="L86" s="160"/>
      <c r="M86" s="160"/>
      <c r="N86" s="160"/>
      <c r="O86" s="161"/>
    </row>
  </sheetData>
  <mergeCells count="135">
    <mergeCell ref="C1:E1"/>
    <mergeCell ref="H1:I1"/>
    <mergeCell ref="M1:N1"/>
    <mergeCell ref="A2:A23"/>
    <mergeCell ref="C3:D3"/>
    <mergeCell ref="E3:F3"/>
    <mergeCell ref="G3:N3"/>
    <mergeCell ref="C4:D4"/>
    <mergeCell ref="E4:F4"/>
    <mergeCell ref="G4:N13"/>
    <mergeCell ref="C6:D6"/>
    <mergeCell ref="C7:D7"/>
    <mergeCell ref="C8:E8"/>
    <mergeCell ref="C9:E9"/>
    <mergeCell ref="D10:E10"/>
    <mergeCell ref="D11:E11"/>
    <mergeCell ref="C13:D13"/>
    <mergeCell ref="C14:D14"/>
    <mergeCell ref="C15:D15"/>
    <mergeCell ref="G15:J15"/>
    <mergeCell ref="K15:N15"/>
    <mergeCell ref="C16:D16"/>
    <mergeCell ref="G16:J19"/>
    <mergeCell ref="K16:N19"/>
    <mergeCell ref="C17:D17"/>
    <mergeCell ref="C18:D18"/>
    <mergeCell ref="C21:D21"/>
    <mergeCell ref="E21:N21"/>
    <mergeCell ref="C22:D22"/>
    <mergeCell ref="E22:N22"/>
    <mergeCell ref="A24:A34"/>
    <mergeCell ref="C25:D27"/>
    <mergeCell ref="E25:E27"/>
    <mergeCell ref="G25:G27"/>
    <mergeCell ref="J25:J27"/>
    <mergeCell ref="K25:K26"/>
    <mergeCell ref="M25:N25"/>
    <mergeCell ref="M26:N27"/>
    <mergeCell ref="C29:G29"/>
    <mergeCell ref="K29:N29"/>
    <mergeCell ref="K30:K31"/>
    <mergeCell ref="L30:M31"/>
    <mergeCell ref="N30:N31"/>
    <mergeCell ref="K32:K33"/>
    <mergeCell ref="L32:M33"/>
    <mergeCell ref="N32:N33"/>
    <mergeCell ref="A35:A54"/>
    <mergeCell ref="C36:E36"/>
    <mergeCell ref="C37:D38"/>
    <mergeCell ref="E37:F38"/>
    <mergeCell ref="G37:H38"/>
    <mergeCell ref="I37:J38"/>
    <mergeCell ref="K37:L38"/>
    <mergeCell ref="M37:N38"/>
    <mergeCell ref="C41:D41"/>
    <mergeCell ref="G41:H41"/>
    <mergeCell ref="I41:J41"/>
    <mergeCell ref="C42:D42"/>
    <mergeCell ref="G42:H42"/>
    <mergeCell ref="I42:J42"/>
    <mergeCell ref="C44:D44"/>
    <mergeCell ref="E44:F44"/>
    <mergeCell ref="G44:H44"/>
    <mergeCell ref="I44:J44"/>
    <mergeCell ref="K44:L44"/>
    <mergeCell ref="M44:N44"/>
    <mergeCell ref="C45:H46"/>
    <mergeCell ref="I45:N46"/>
    <mergeCell ref="C47:H48"/>
    <mergeCell ref="I47:N48"/>
    <mergeCell ref="C50:F50"/>
    <mergeCell ref="G50:J50"/>
    <mergeCell ref="K50:M50"/>
    <mergeCell ref="C51:F51"/>
    <mergeCell ref="G51:J51"/>
    <mergeCell ref="L51:M51"/>
    <mergeCell ref="C52:F52"/>
    <mergeCell ref="G52:J52"/>
    <mergeCell ref="C53:F53"/>
    <mergeCell ref="G53:J53"/>
    <mergeCell ref="K53:M53"/>
    <mergeCell ref="A55:A86"/>
    <mergeCell ref="C56:D56"/>
    <mergeCell ref="H56:J56"/>
    <mergeCell ref="L56:M56"/>
    <mergeCell ref="F57:G57"/>
    <mergeCell ref="H57:J57"/>
    <mergeCell ref="L57:M57"/>
    <mergeCell ref="C58:D58"/>
    <mergeCell ref="H58:J58"/>
    <mergeCell ref="L58:M58"/>
    <mergeCell ref="C59:D59"/>
    <mergeCell ref="H59:J59"/>
    <mergeCell ref="L59:M59"/>
    <mergeCell ref="C60:D60"/>
    <mergeCell ref="C61:D61"/>
    <mergeCell ref="H61:J61"/>
    <mergeCell ref="L61:M61"/>
    <mergeCell ref="F62:G62"/>
    <mergeCell ref="H62:J62"/>
    <mergeCell ref="L62:M62"/>
    <mergeCell ref="H63:J63"/>
    <mergeCell ref="L63:M63"/>
    <mergeCell ref="H64:J64"/>
    <mergeCell ref="L64:M64"/>
    <mergeCell ref="H65:J65"/>
    <mergeCell ref="L65:M65"/>
    <mergeCell ref="C67:D67"/>
    <mergeCell ref="G68:I68"/>
    <mergeCell ref="J68:L68"/>
    <mergeCell ref="G69:I69"/>
    <mergeCell ref="J69:L69"/>
    <mergeCell ref="G70:I70"/>
    <mergeCell ref="J70:L70"/>
    <mergeCell ref="G71:I71"/>
    <mergeCell ref="J71:L71"/>
    <mergeCell ref="G72:I72"/>
    <mergeCell ref="J72:L72"/>
    <mergeCell ref="G73:I73"/>
    <mergeCell ref="J73:L73"/>
    <mergeCell ref="G74:I74"/>
    <mergeCell ref="J74:L74"/>
    <mergeCell ref="G75:I75"/>
    <mergeCell ref="J75:L75"/>
    <mergeCell ref="C77:D77"/>
    <mergeCell ref="C78:C79"/>
    <mergeCell ref="D78:N78"/>
    <mergeCell ref="D79:N79"/>
    <mergeCell ref="C80:C81"/>
    <mergeCell ref="D80:N80"/>
    <mergeCell ref="D81:N81"/>
    <mergeCell ref="C83:D83"/>
    <mergeCell ref="G83:N83"/>
    <mergeCell ref="C84:N84"/>
    <mergeCell ref="C85:N85"/>
  </mergeCells>
  <conditionalFormatting sqref="E3:F4">
    <cfRule type="expression" priority="2" aboveAverage="0" equalAverage="0" bottom="0" percent="0" rank="0" text="" dxfId="0">
      <formula>INDIRECT("'1.1 Display Calculations'!D2")=0</formula>
    </cfRule>
  </conditionalFormatting>
  <conditionalFormatting sqref="C7:E7">
    <cfRule type="expression" priority="3" aboveAverage="0" equalAverage="0" bottom="0" percent="0" rank="0" text="" dxfId="1">
      <formula>LEN(TRIM(C7))=0</formula>
    </cfRule>
  </conditionalFormatting>
  <conditionalFormatting sqref="K32:N33">
    <cfRule type="expression" priority="4" aboveAverage="0" equalAverage="0" bottom="0" percent="0" rank="0" text="" dxfId="2">
      <formula>LEN(TRIM(K32))=0</formula>
    </cfRule>
  </conditionalFormatting>
  <conditionalFormatting sqref="H26">
    <cfRule type="cellIs" priority="5" operator="equal" aboveAverage="0" equalAverage="0" bottom="0" percent="0" rank="0" text="" dxfId="3">
      <formula>"NO"</formula>
    </cfRule>
  </conditionalFormatting>
  <conditionalFormatting sqref="H25:H27">
    <cfRule type="expression" priority="6" aboveAverage="0" equalAverage="0" bottom="0" percent="0" rank="0" text="" dxfId="4">
      <formula>LEN(TRIM(H25))&gt;0</formula>
    </cfRule>
  </conditionalFormatting>
  <conditionalFormatting sqref="E25:E27">
    <cfRule type="cellIs" priority="7" operator="equal" aboveAverage="0" equalAverage="0" bottom="0" percent="0" rank="0" text="" dxfId="5">
      <formula>20000</formula>
    </cfRule>
  </conditionalFormatting>
  <conditionalFormatting sqref="E25:E27">
    <cfRule type="cellIs" priority="8" operator="equal" aboveAverage="0" equalAverage="0" bottom="0" percent="0" rank="0" text="" dxfId="6">
      <formula>5000</formula>
    </cfRule>
  </conditionalFormatting>
  <conditionalFormatting sqref="E25:E27">
    <cfRule type="cellIs" priority="9" operator="equal" aboveAverage="0" equalAverage="0" bottom="0" percent="0" rank="0" text="" dxfId="7">
      <formula>3000</formula>
    </cfRule>
  </conditionalFormatting>
  <conditionalFormatting sqref="E25:E27">
    <cfRule type="cellIs" priority="10" operator="equal" aboveAverage="0" equalAverage="0" bottom="0" percent="0" rank="0" text="" dxfId="8">
      <formula>1000</formula>
    </cfRule>
  </conditionalFormatting>
  <conditionalFormatting sqref="K25:K26">
    <cfRule type="cellIs" priority="11" operator="equal" aboveAverage="0" equalAverage="0" bottom="0" percent="0" rank="0" text="" dxfId="9">
      <formula>10000</formula>
    </cfRule>
  </conditionalFormatting>
  <conditionalFormatting sqref="K25:K26">
    <cfRule type="cellIs" priority="12" operator="equal" aboveAverage="0" equalAverage="0" bottom="0" percent="0" rank="0" text="" dxfId="10">
      <formula>5000</formula>
    </cfRule>
  </conditionalFormatting>
  <conditionalFormatting sqref="K25:K26">
    <cfRule type="cellIs" priority="13" operator="equal" aboveAverage="0" equalAverage="0" bottom="0" percent="0" rank="0" text="" dxfId="11">
      <formula>2000</formula>
    </cfRule>
  </conditionalFormatting>
  <conditionalFormatting sqref="C36:F36">
    <cfRule type="expression" priority="14" aboveAverage="0" equalAverage="0" bottom="0" percent="0" rank="0" text="" dxfId="0">
      <formula>INDIRECT("'1.1 Display Calculations'!D31")=1</formula>
    </cfRule>
  </conditionalFormatting>
  <conditionalFormatting sqref="H59:N59 H65:N65">
    <cfRule type="containsText" priority="15" operator="containsText" aboveAverage="0" equalAverage="0" bottom="0" percent="0" rank="0" text="-" dxfId="12"/>
  </conditionalFormatting>
  <conditionalFormatting sqref="G69:L75">
    <cfRule type="beginsWith" priority="16" operator="beginsWith" aboveAverage="0" equalAverage="0" bottom="0" percent="0" rank="0" text="(L)" dxfId="13"/>
  </conditionalFormatting>
  <conditionalFormatting sqref="N69:N75">
    <cfRule type="expression" priority="17" aboveAverage="0" equalAverage="0" bottom="0" percent="0" rank="0" text="" dxfId="12">
      <formula>INDIRECT("'Pokémon GO Dex'!C59")="Neutral target"</formula>
    </cfRule>
  </conditionalFormatting>
  <conditionalFormatting sqref="N69:N75">
    <cfRule type="colorScale" priority="18">
      <colorScale>
        <cfvo type="formula" val="-0.64"/>
        <cfvo type="formula" val="0"/>
        <cfvo type="formula" val="0.96"/>
        <color rgb="FFCC0000"/>
        <color rgb="FFEAD1DC"/>
        <color rgb="FF6AA84F"/>
      </colorScale>
    </cfRule>
  </conditionalFormatting>
  <conditionalFormatting sqref="F75:N75">
    <cfRule type="cellIs" priority="19" operator="equal" aboveAverage="0" equalAverage="0" bottom="0" percent="0" rank="0" text="" dxfId="12">
      <formula>"-"</formula>
    </cfRule>
  </conditionalFormatting>
  <conditionalFormatting sqref="C60:D61">
    <cfRule type="expression" priority="20" aboveAverage="0" equalAverage="0" bottom="0" percent="0" rank="0" text="" dxfId="12">
      <formula>INDIRECT("'Pokémon GO Dex'!C59")="Neutral target"</formula>
    </cfRule>
  </conditionalFormatting>
  <dataValidations count="11">
    <dataValidation allowBlank="true" operator="between" showDropDown="false" showErrorMessage="true" showInputMessage="false" sqref="F43 J43 N43" type="list">
      <formula1>"0,1,2,3,4,5,6,7,8,9,10,11,12,13,14,15"</formula1>
      <formula2>0</formula2>
    </dataValidation>
    <dataValidation allowBlank="true" operator="between" showDropDown="false" showErrorMessage="true" showInputMessage="false" sqref="C59" type="list">
      <formula1>"Neutral target,Type,Pokémon"</formula1>
      <formula2>0</formula2>
    </dataValidation>
    <dataValidation allowBlank="true" operator="between" showDropDown="false" showErrorMessage="true" showInputMessage="false" sqref="C61" type="list">
      <formula1>'1.2 Damage Calculations'!$A$1:$A$999</formula1>
      <formula2>0</formula2>
    </dataValidation>
    <dataValidation allowBlank="true" operator="between" showDropDown="false" showErrorMessage="true" showInputMessage="false" sqref="E41:E42" type="list">
      <formula1>'0.3.0 GO Calculation Values'!$A$2:$A$80</formula1>
      <formula2>0</formula2>
    </dataValidation>
    <dataValidation allowBlank="true" operator="between" showDropDown="false" showErrorMessage="true" showInputMessage="false" sqref="E4" type="list">
      <formula1>'1.1 Display Calculations'!$G$2:$G$19</formula1>
      <formula2>0</formula2>
    </dataValidation>
    <dataValidation allowBlank="true" operator="between" showDropDown="false" showErrorMessage="true" showInputMessage="false" sqref="G65" type="list">
      <formula1>'1.2 Damage Calculations'!$R$9:$R$17</formula1>
      <formula2>0</formula2>
    </dataValidation>
    <dataValidation allowBlank="true" operator="between" showDropDown="false" showErrorMessage="true" showInputMessage="false" sqref="E75" type="list">
      <formula1>'1.2 Damage Calculations'!$AA$41:$AB$96</formula1>
      <formula2>0</formula2>
    </dataValidation>
    <dataValidation allowBlank="true" operator="between" showDropDown="false" showErrorMessage="true" showInputMessage="false" sqref="C4" type="list">
      <formula1>'1.1 Display Calculations'!$A$2:$A$1000</formula1>
      <formula2>0</formula2>
    </dataValidation>
    <dataValidation allowBlank="true" operator="between" showDropDown="false" showErrorMessage="true" showInputMessage="false" sqref="L51" type="list">
      <formula1>'0.3.0 GO Calculation Values'!$F$2:$F$6</formula1>
      <formula2>0</formula2>
    </dataValidation>
    <dataValidation allowBlank="true" operator="between" showDropDown="false" showErrorMessage="true" showInputMessage="false" sqref="F36" type="list">
      <formula1>"Keep,Undo"</formula1>
      <formula2>0</formula2>
    </dataValidation>
    <dataValidation allowBlank="true" operator="between" showDropDown="false" showErrorMessage="true" showInputMessage="false" sqref="G59" type="list">
      <formula1>'1.2 Damage Calculations'!$L$9:$L$12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3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0.29"/>
    <col collapsed="false" customWidth="true" hidden="false" outlineLevel="0" max="6" min="2" style="0" width="14.43"/>
    <col collapsed="false" customWidth="true" hidden="false" outlineLevel="0" max="8" min="7" style="0" width="18"/>
    <col collapsed="false" customWidth="true" hidden="false" outlineLevel="0" max="13" min="9" style="0" width="14.43"/>
    <col collapsed="false" customWidth="true" hidden="false" outlineLevel="0" max="14" min="14" style="0" width="6.01"/>
    <col collapsed="false" customWidth="true" hidden="false" outlineLevel="0" max="1025" min="15" style="0" width="14.43"/>
  </cols>
  <sheetData>
    <row r="1" customFormat="false" ht="15.75" hidden="false" customHeight="true" outlineLevel="0" collapsed="false">
      <c r="A1" s="162" t="s">
        <v>77</v>
      </c>
      <c r="B1" s="163"/>
      <c r="C1" s="163"/>
      <c r="D1" s="164"/>
      <c r="E1" s="163"/>
      <c r="F1" s="165"/>
      <c r="G1" s="165"/>
      <c r="H1" s="166"/>
      <c r="I1" s="165"/>
      <c r="J1" s="165"/>
      <c r="K1" s="165"/>
      <c r="L1" s="165"/>
      <c r="M1" s="165"/>
      <c r="N1" s="167" t="s">
        <v>78</v>
      </c>
      <c r="O1" s="168"/>
      <c r="P1" s="168"/>
      <c r="Q1" s="168"/>
      <c r="R1" s="168"/>
      <c r="S1" s="168"/>
      <c r="T1" s="168"/>
      <c r="U1" s="168"/>
      <c r="V1" s="168"/>
      <c r="W1" s="168"/>
      <c r="X1" s="169"/>
      <c r="Y1" s="168"/>
      <c r="Z1" s="168"/>
      <c r="AA1" s="168"/>
      <c r="AB1" s="168"/>
      <c r="AC1" s="168"/>
    </row>
    <row r="2" customFormat="false" ht="15.75" hidden="false" customHeight="false" outlineLevel="0" collapsed="false">
      <c r="A2" s="162"/>
      <c r="B2" s="170" t="s">
        <v>79</v>
      </c>
      <c r="C2" s="171" t="s">
        <v>4</v>
      </c>
      <c r="D2" s="22" t="s">
        <v>80</v>
      </c>
      <c r="E2" s="22"/>
      <c r="F2" s="165"/>
      <c r="G2" s="165"/>
      <c r="H2" s="166"/>
      <c r="I2" s="172" t="s">
        <v>81</v>
      </c>
      <c r="J2" s="173" t="s">
        <v>82</v>
      </c>
      <c r="K2" s="173"/>
      <c r="L2" s="173"/>
      <c r="M2" s="165"/>
      <c r="N2" s="167"/>
      <c r="O2" s="170" t="s">
        <v>83</v>
      </c>
      <c r="P2" s="174" t="s">
        <v>84</v>
      </c>
      <c r="Q2" s="174"/>
      <c r="R2" s="174"/>
      <c r="S2" s="174"/>
      <c r="T2" s="168"/>
      <c r="U2" s="175" t="s">
        <v>85</v>
      </c>
      <c r="V2" s="175"/>
      <c r="W2" s="175"/>
      <c r="X2" s="175"/>
      <c r="Y2" s="176" t="s">
        <v>86</v>
      </c>
      <c r="Z2" s="174" t="s">
        <v>87</v>
      </c>
      <c r="AA2" s="174"/>
      <c r="AB2" s="174"/>
      <c r="AC2" s="168"/>
    </row>
    <row r="3" customFormat="false" ht="15.75" hidden="false" customHeight="false" outlineLevel="0" collapsed="false">
      <c r="A3" s="162"/>
      <c r="B3" s="163"/>
      <c r="C3" s="165"/>
      <c r="D3" s="165"/>
      <c r="E3" s="163"/>
      <c r="F3" s="165"/>
      <c r="G3" s="165"/>
      <c r="H3" s="166"/>
      <c r="I3" s="165"/>
      <c r="J3" s="165"/>
      <c r="K3" s="165"/>
      <c r="L3" s="165"/>
      <c r="M3" s="165"/>
      <c r="N3" s="167"/>
      <c r="O3" s="168"/>
      <c r="P3" s="174" t="s">
        <v>88</v>
      </c>
      <c r="Q3" s="174"/>
      <c r="R3" s="174"/>
      <c r="S3" s="174"/>
      <c r="T3" s="168"/>
      <c r="U3" s="175" t="s">
        <v>89</v>
      </c>
      <c r="V3" s="175"/>
      <c r="W3" s="175"/>
      <c r="X3" s="175"/>
      <c r="Y3" s="177"/>
      <c r="Z3" s="178" t="s">
        <v>90</v>
      </c>
      <c r="AA3" s="178"/>
      <c r="AB3" s="178"/>
      <c r="AC3" s="168"/>
    </row>
    <row r="4" customFormat="false" ht="15.75" hidden="false" customHeight="true" outlineLevel="0" collapsed="false">
      <c r="A4" s="162"/>
      <c r="B4" s="163"/>
      <c r="C4" s="179" t="s">
        <v>91</v>
      </c>
      <c r="D4" s="13" t="s">
        <v>92</v>
      </c>
      <c r="E4" s="163"/>
      <c r="F4" s="180" t="s">
        <v>93</v>
      </c>
      <c r="G4" s="181" t="e">
        <f aca="false" t="array" ref="G4:G4">IF(D4="No",1,INDEX('0.0.1 Pokémon Dex Data'!$S$3:$S254,MATCH(D2,'0.0.1 Pokémon Dex Data'!$E$3:$E254,0)))</f>
        <v>#N/A</v>
      </c>
      <c r="H4" s="166"/>
      <c r="I4" s="165"/>
      <c r="J4" s="182" t="s">
        <v>94</v>
      </c>
      <c r="K4" s="183" t="n">
        <v>0.911</v>
      </c>
      <c r="L4" s="184" t="s">
        <v>95</v>
      </c>
      <c r="M4" s="165"/>
      <c r="N4" s="167"/>
      <c r="O4" s="168"/>
      <c r="P4" s="174" t="s">
        <v>96</v>
      </c>
      <c r="Q4" s="174"/>
      <c r="R4" s="174"/>
      <c r="S4" s="174"/>
      <c r="T4" s="168"/>
      <c r="U4" s="175" t="s">
        <v>97</v>
      </c>
      <c r="V4" s="175"/>
      <c r="W4" s="175"/>
      <c r="X4" s="175"/>
      <c r="Y4" s="177"/>
      <c r="Z4" s="185" t="s">
        <v>98</v>
      </c>
      <c r="AA4" s="185"/>
      <c r="AB4" s="185"/>
      <c r="AC4" s="185"/>
    </row>
    <row r="5" customFormat="false" ht="15.75" hidden="false" customHeight="false" outlineLevel="0" collapsed="false">
      <c r="A5" s="162"/>
      <c r="B5" s="163"/>
      <c r="C5" s="179"/>
      <c r="D5" s="13"/>
      <c r="E5" s="165"/>
      <c r="F5" s="186" t="s">
        <v>30</v>
      </c>
      <c r="G5" s="187" t="e">
        <f aca="false" t="array" ref="G5:G5">ROUND(INDEX('0.0.1 Pokémon Dex Data'!$T$3:$T254,MATCH(D2,'0.0.1 Pokémon Dex Data'!$E$3:$E254,0))*G4,0)</f>
        <v>#N/A</v>
      </c>
      <c r="H5" s="166"/>
      <c r="I5" s="165"/>
      <c r="J5" s="182" t="s">
        <v>99</v>
      </c>
      <c r="K5" s="22" t="n">
        <v>13</v>
      </c>
      <c r="L5" s="184" t="s">
        <v>100</v>
      </c>
      <c r="M5" s="165"/>
      <c r="N5" s="167"/>
      <c r="O5" s="168"/>
      <c r="P5" s="174" t="s">
        <v>101</v>
      </c>
      <c r="Q5" s="174"/>
      <c r="R5" s="174"/>
      <c r="S5" s="174"/>
      <c r="T5" s="168"/>
      <c r="U5" s="175" t="s">
        <v>102</v>
      </c>
      <c r="V5" s="175"/>
      <c r="W5" s="175"/>
      <c r="X5" s="175"/>
      <c r="Y5" s="177"/>
      <c r="Z5" s="178" t="s">
        <v>103</v>
      </c>
      <c r="AA5" s="178"/>
      <c r="AB5" s="178"/>
      <c r="AC5" s="168"/>
    </row>
    <row r="6" customFormat="false" ht="15.75" hidden="false" customHeight="false" outlineLevel="0" collapsed="false">
      <c r="A6" s="162"/>
      <c r="B6" s="163"/>
      <c r="C6" s="163"/>
      <c r="D6" s="163"/>
      <c r="E6" s="165"/>
      <c r="F6" s="186" t="s">
        <v>31</v>
      </c>
      <c r="G6" s="187" t="e">
        <f aca="false" t="array" ref="G6:G6">ROUND(INDEX('0.0.1 Pokémon Dex Data'!$U$3:$U254,MATCH(D2,'0.0.1 Pokémon Dex Data'!$E$3:$E254,0))*G4,0)</f>
        <v>#N/A</v>
      </c>
      <c r="H6" s="166"/>
      <c r="I6" s="165"/>
      <c r="J6" s="165"/>
      <c r="K6" s="165"/>
      <c r="L6" s="165"/>
      <c r="M6" s="165"/>
      <c r="N6" s="167"/>
      <c r="O6" s="168"/>
      <c r="P6" s="185" t="s">
        <v>104</v>
      </c>
      <c r="Q6" s="185"/>
      <c r="R6" s="185"/>
      <c r="S6" s="185"/>
      <c r="T6" s="185"/>
      <c r="U6" s="175" t="s">
        <v>105</v>
      </c>
      <c r="V6" s="175"/>
      <c r="W6" s="175"/>
      <c r="X6" s="175"/>
      <c r="Y6" s="177"/>
      <c r="Z6" s="178" t="s">
        <v>106</v>
      </c>
      <c r="AA6" s="178"/>
      <c r="AB6" s="178"/>
      <c r="AC6" s="168"/>
    </row>
    <row r="7" customFormat="false" ht="15.75" hidden="false" customHeight="false" outlineLevel="0" collapsed="false">
      <c r="A7" s="162"/>
      <c r="B7" s="165"/>
      <c r="C7" s="173" t="s">
        <v>107</v>
      </c>
      <c r="D7" s="173"/>
      <c r="E7" s="165"/>
      <c r="F7" s="188" t="s">
        <v>32</v>
      </c>
      <c r="G7" s="189" t="e">
        <f aca="false" t="array" ref="G7:G7">ROUND(INDEX('0.0.1 Pokémon Dex Data'!$V$3:$V254,MATCH(D2,'0.0.1 Pokémon Dex Data'!$E$3:$E254,0))*G4,0)</f>
        <v>#N/A</v>
      </c>
      <c r="H7" s="166"/>
      <c r="I7" s="165"/>
      <c r="J7" s="173" t="s">
        <v>108</v>
      </c>
      <c r="K7" s="173"/>
      <c r="L7" s="173"/>
      <c r="M7" s="165"/>
      <c r="N7" s="167"/>
      <c r="O7" s="168"/>
      <c r="P7" s="174" t="s">
        <v>109</v>
      </c>
      <c r="Q7" s="174"/>
      <c r="R7" s="174"/>
      <c r="S7" s="174"/>
      <c r="T7" s="168"/>
      <c r="U7" s="175" t="s">
        <v>110</v>
      </c>
      <c r="V7" s="175"/>
      <c r="W7" s="175"/>
      <c r="X7" s="175"/>
      <c r="Y7" s="177"/>
      <c r="Z7" s="178" t="s">
        <v>111</v>
      </c>
      <c r="AA7" s="178"/>
      <c r="AB7" s="178"/>
      <c r="AC7" s="168"/>
    </row>
    <row r="8" customFormat="false" ht="15.75" hidden="false" customHeight="false" outlineLevel="0" collapsed="false">
      <c r="A8" s="162"/>
      <c r="B8" s="165"/>
      <c r="C8" s="165"/>
      <c r="D8" s="165"/>
      <c r="E8" s="165"/>
      <c r="F8" s="165"/>
      <c r="G8" s="165"/>
      <c r="H8" s="166"/>
      <c r="I8" s="165"/>
      <c r="J8" s="165"/>
      <c r="K8" s="165"/>
      <c r="L8" s="165"/>
      <c r="M8" s="165"/>
      <c r="N8" s="167"/>
      <c r="O8" s="168"/>
      <c r="P8" s="174" t="s">
        <v>112</v>
      </c>
      <c r="Q8" s="174"/>
      <c r="R8" s="174"/>
      <c r="S8" s="174"/>
      <c r="T8" s="168"/>
      <c r="U8" s="175" t="s">
        <v>113</v>
      </c>
      <c r="V8" s="175"/>
      <c r="W8" s="175"/>
      <c r="X8" s="175"/>
      <c r="Y8" s="177"/>
      <c r="Z8" s="168"/>
      <c r="AA8" s="168"/>
      <c r="AB8" s="168"/>
      <c r="AC8" s="168"/>
    </row>
    <row r="9" customFormat="false" ht="15.75" hidden="false" customHeight="false" outlineLevel="0" collapsed="false">
      <c r="A9" s="162"/>
      <c r="B9" s="190"/>
      <c r="C9" s="190"/>
      <c r="D9" s="190"/>
      <c r="E9" s="190"/>
      <c r="F9" s="190"/>
      <c r="G9" s="190"/>
      <c r="H9" s="191"/>
      <c r="I9" s="190"/>
      <c r="J9" s="190"/>
      <c r="K9" s="190"/>
      <c r="L9" s="190"/>
      <c r="M9" s="190"/>
      <c r="N9" s="167"/>
      <c r="O9" s="192"/>
      <c r="P9" s="193" t="s">
        <v>114</v>
      </c>
      <c r="Q9" s="193"/>
      <c r="R9" s="193"/>
      <c r="S9" s="193"/>
      <c r="T9" s="192"/>
      <c r="U9" s="194" t="s">
        <v>115</v>
      </c>
      <c r="V9" s="194"/>
      <c r="W9" s="194"/>
      <c r="X9" s="194"/>
      <c r="Y9" s="193"/>
      <c r="Z9" s="193"/>
      <c r="AA9" s="192"/>
      <c r="AB9" s="192"/>
      <c r="AC9" s="192"/>
    </row>
    <row r="10" customFormat="false" ht="18" hidden="false" customHeight="true" outlineLevel="0" collapsed="false">
      <c r="A10" s="195"/>
      <c r="B10" s="195"/>
      <c r="C10" s="195"/>
      <c r="D10" s="195"/>
      <c r="E10" s="195"/>
      <c r="F10" s="195"/>
      <c r="G10" s="195"/>
      <c r="H10" s="195"/>
      <c r="I10" s="195"/>
      <c r="J10" s="195"/>
      <c r="K10" s="195"/>
      <c r="L10" s="195"/>
      <c r="M10" s="195"/>
      <c r="N10" s="195"/>
      <c r="O10" s="195"/>
      <c r="P10" s="195"/>
      <c r="Q10" s="195"/>
      <c r="R10" s="195"/>
      <c r="S10" s="195"/>
      <c r="T10" s="195"/>
      <c r="U10" s="195"/>
      <c r="V10" s="195"/>
      <c r="W10" s="195"/>
      <c r="X10" s="195"/>
      <c r="Y10" s="195"/>
      <c r="Z10" s="195"/>
      <c r="AA10" s="195"/>
      <c r="AB10" s="195"/>
      <c r="AC10" s="195"/>
    </row>
    <row r="11" customFormat="false" ht="18" hidden="false" customHeight="true" outlineLevel="0" collapsed="false">
      <c r="A11" s="195"/>
      <c r="B11" s="195"/>
      <c r="C11" s="195"/>
      <c r="D11" s="195"/>
      <c r="E11" s="195"/>
      <c r="F11" s="195"/>
      <c r="G11" s="195"/>
      <c r="H11" s="195"/>
      <c r="K11" s="195"/>
      <c r="L11" s="195"/>
      <c r="M11" s="195"/>
      <c r="N11" s="195"/>
      <c r="O11" s="195"/>
      <c r="P11" s="195"/>
      <c r="Q11" s="195"/>
      <c r="R11" s="195"/>
      <c r="S11" s="195"/>
      <c r="T11" s="195"/>
      <c r="U11" s="195"/>
      <c r="V11" s="195"/>
      <c r="W11" s="195"/>
      <c r="X11" s="195"/>
      <c r="Y11" s="195"/>
      <c r="Z11" s="195"/>
      <c r="AA11" s="195"/>
      <c r="AB11" s="195"/>
      <c r="AC11" s="195"/>
    </row>
    <row r="12" customFormat="false" ht="18" hidden="false" customHeight="true" outlineLevel="0" collapsed="false">
      <c r="A12" s="195"/>
      <c r="B12" s="195"/>
      <c r="C12" s="196" t="e">
        <f aca="false" t="array" ref="C12:C12">image("https://img.pokemondb.net/artwork/"&amp;INDEX('0.0.1 Pokémon Dex Data'!$AF$3:$AF254,MATCH(D2,'0.0.1 Pokémon Dex Data'!$E$3:$E254,0))&amp;".jpg",3)</f>
        <v>#N/A</v>
      </c>
      <c r="D12" s="196"/>
      <c r="E12" s="196"/>
      <c r="F12" s="196"/>
      <c r="G12" s="196"/>
      <c r="H12" s="195"/>
      <c r="K12" s="195"/>
      <c r="L12" s="195"/>
      <c r="M12" s="195"/>
      <c r="N12" s="195"/>
      <c r="O12" s="195"/>
      <c r="P12" s="195"/>
      <c r="Q12" s="195"/>
      <c r="R12" s="195"/>
      <c r="S12" s="195"/>
      <c r="T12" s="195"/>
      <c r="U12" s="195"/>
      <c r="V12" s="195"/>
      <c r="W12" s="195"/>
      <c r="X12" s="195"/>
      <c r="Y12" s="195"/>
      <c r="Z12" s="195"/>
      <c r="AA12" s="195"/>
      <c r="AB12" s="195"/>
      <c r="AC12" s="195"/>
    </row>
    <row r="13" customFormat="false" ht="18" hidden="false" customHeight="true" outlineLevel="0" collapsed="false">
      <c r="A13" s="195"/>
      <c r="B13" s="195"/>
      <c r="C13" s="196"/>
      <c r="D13" s="196"/>
      <c r="E13" s="196"/>
      <c r="F13" s="196"/>
      <c r="G13" s="196"/>
      <c r="H13" s="195"/>
      <c r="K13" s="195"/>
      <c r="L13" s="195"/>
      <c r="M13" s="195"/>
      <c r="N13" s="195"/>
      <c r="O13" s="195"/>
      <c r="P13" s="195"/>
      <c r="Q13" s="195"/>
      <c r="R13" s="195"/>
      <c r="S13" s="195"/>
      <c r="T13" s="195"/>
      <c r="U13" s="195"/>
      <c r="V13" s="195"/>
      <c r="W13" s="195"/>
      <c r="X13" s="195"/>
      <c r="Y13" s="195"/>
      <c r="Z13" s="195"/>
      <c r="AA13" s="195"/>
      <c r="AB13" s="195"/>
      <c r="AC13" s="195"/>
    </row>
    <row r="14" customFormat="false" ht="18" hidden="false" customHeight="true" outlineLevel="0" collapsed="false">
      <c r="A14" s="195"/>
      <c r="B14" s="195"/>
      <c r="C14" s="196"/>
      <c r="D14" s="196"/>
      <c r="E14" s="196"/>
      <c r="F14" s="196"/>
      <c r="G14" s="196"/>
      <c r="H14" s="195"/>
      <c r="K14" s="195"/>
      <c r="L14" s="195"/>
      <c r="M14" s="195"/>
      <c r="N14" s="195"/>
      <c r="O14" s="195"/>
      <c r="P14" s="195"/>
      <c r="Q14" s="195"/>
      <c r="R14" s="195"/>
      <c r="S14" s="195"/>
      <c r="T14" s="195"/>
      <c r="U14" s="195"/>
      <c r="V14" s="195"/>
      <c r="W14" s="195"/>
      <c r="X14" s="195"/>
      <c r="Y14" s="195"/>
      <c r="Z14" s="195"/>
      <c r="AA14" s="195"/>
      <c r="AB14" s="195"/>
      <c r="AC14" s="195"/>
    </row>
    <row r="15" customFormat="false" ht="18" hidden="false" customHeight="true" outlineLevel="0" collapsed="false">
      <c r="A15" s="195"/>
      <c r="B15" s="195"/>
      <c r="C15" s="196"/>
      <c r="D15" s="196"/>
      <c r="E15" s="196"/>
      <c r="F15" s="196"/>
      <c r="G15" s="196"/>
      <c r="H15" s="195"/>
      <c r="K15" s="195"/>
      <c r="L15" s="195"/>
      <c r="M15" s="195"/>
      <c r="N15" s="195"/>
      <c r="O15" s="195"/>
      <c r="P15" s="195"/>
      <c r="Q15" s="195"/>
      <c r="R15" s="195"/>
      <c r="S15" s="195"/>
      <c r="T15" s="195"/>
      <c r="U15" s="195"/>
      <c r="V15" s="195"/>
      <c r="W15" s="195"/>
      <c r="X15" s="195"/>
      <c r="Y15" s="195"/>
      <c r="Z15" s="195"/>
      <c r="AA15" s="195"/>
      <c r="AB15" s="195"/>
      <c r="AC15" s="195"/>
    </row>
    <row r="16" customFormat="false" ht="18" hidden="false" customHeight="true" outlineLevel="0" collapsed="false">
      <c r="A16" s="195"/>
      <c r="B16" s="195"/>
      <c r="C16" s="196"/>
      <c r="D16" s="196"/>
      <c r="E16" s="196"/>
      <c r="F16" s="196"/>
      <c r="G16" s="196"/>
      <c r="H16" s="195"/>
      <c r="K16" s="195"/>
      <c r="L16" s="195"/>
      <c r="M16" s="195"/>
      <c r="N16" s="195"/>
      <c r="O16" s="195"/>
      <c r="P16" s="195"/>
      <c r="Q16" s="195"/>
      <c r="R16" s="195"/>
      <c r="S16" s="195"/>
      <c r="T16" s="195"/>
      <c r="U16" s="195"/>
      <c r="V16" s="195"/>
      <c r="W16" s="195"/>
      <c r="X16" s="195"/>
      <c r="Y16" s="195"/>
      <c r="Z16" s="195"/>
      <c r="AA16" s="195"/>
      <c r="AB16" s="195"/>
      <c r="AC16" s="195"/>
    </row>
    <row r="17" customFormat="false" ht="18" hidden="false" customHeight="true" outlineLevel="0" collapsed="false">
      <c r="A17" s="195"/>
      <c r="B17" s="195"/>
      <c r="C17" s="196"/>
      <c r="D17" s="196"/>
      <c r="E17" s="196"/>
      <c r="F17" s="196"/>
      <c r="G17" s="196"/>
      <c r="H17" s="195"/>
      <c r="K17" s="195"/>
      <c r="L17" s="195"/>
      <c r="M17" s="195"/>
      <c r="N17" s="195"/>
      <c r="O17" s="195"/>
      <c r="P17" s="195"/>
      <c r="Q17" s="195"/>
      <c r="R17" s="195"/>
      <c r="S17" s="195"/>
      <c r="T17" s="195"/>
      <c r="U17" s="195"/>
      <c r="V17" s="195"/>
      <c r="W17" s="195"/>
      <c r="X17" s="195"/>
      <c r="Y17" s="195"/>
      <c r="Z17" s="195"/>
      <c r="AA17" s="195"/>
      <c r="AB17" s="195"/>
      <c r="AC17" s="195"/>
    </row>
    <row r="18" customFormat="false" ht="18" hidden="false" customHeight="true" outlineLevel="0" collapsed="false">
      <c r="A18" s="195"/>
      <c r="B18" s="195"/>
      <c r="C18" s="196"/>
      <c r="D18" s="196"/>
      <c r="E18" s="196"/>
      <c r="F18" s="196"/>
      <c r="G18" s="196"/>
      <c r="H18" s="195"/>
      <c r="K18" s="195"/>
      <c r="L18" s="195"/>
      <c r="M18" s="195"/>
      <c r="N18" s="195"/>
      <c r="O18" s="195"/>
      <c r="P18" s="195"/>
      <c r="Q18" s="195"/>
      <c r="R18" s="195"/>
      <c r="S18" s="195"/>
      <c r="T18" s="195"/>
      <c r="U18" s="195"/>
      <c r="V18" s="195"/>
      <c r="W18" s="195"/>
      <c r="X18" s="195"/>
      <c r="Y18" s="195"/>
      <c r="Z18" s="195"/>
      <c r="AA18" s="195"/>
      <c r="AB18" s="195"/>
      <c r="AC18" s="195"/>
    </row>
    <row r="19" customFormat="false" ht="18" hidden="false" customHeight="true" outlineLevel="0" collapsed="false">
      <c r="A19" s="195"/>
      <c r="B19" s="195"/>
      <c r="C19" s="196"/>
      <c r="D19" s="196"/>
      <c r="E19" s="196"/>
      <c r="F19" s="196"/>
      <c r="G19" s="196"/>
      <c r="H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</row>
    <row r="20" customFormat="false" ht="18" hidden="false" customHeight="true" outlineLevel="0" collapsed="false">
      <c r="A20" s="195"/>
      <c r="B20" s="195"/>
      <c r="C20" s="196"/>
      <c r="D20" s="196"/>
      <c r="E20" s="196"/>
      <c r="F20" s="196"/>
      <c r="G20" s="196"/>
      <c r="H20" s="195"/>
      <c r="K20" s="195"/>
      <c r="L20" s="195"/>
      <c r="M20" s="195"/>
      <c r="N20" s="195"/>
      <c r="O20" s="195"/>
      <c r="P20" s="195"/>
      <c r="Q20" s="195"/>
      <c r="R20" s="195"/>
      <c r="S20" s="195"/>
      <c r="T20" s="195"/>
      <c r="U20" s="195"/>
      <c r="V20" s="195"/>
      <c r="W20" s="195"/>
      <c r="X20" s="195"/>
      <c r="Y20" s="195"/>
      <c r="Z20" s="195"/>
      <c r="AA20" s="195"/>
      <c r="AB20" s="195"/>
      <c r="AC20" s="195"/>
    </row>
    <row r="21" customFormat="false" ht="18" hidden="false" customHeight="true" outlineLevel="0" collapsed="false">
      <c r="A21" s="195"/>
      <c r="B21" s="195"/>
      <c r="C21" s="196"/>
      <c r="D21" s="196"/>
      <c r="E21" s="196"/>
      <c r="F21" s="196"/>
      <c r="G21" s="196"/>
      <c r="H21" s="195"/>
      <c r="K21" s="195"/>
      <c r="L21" s="195"/>
      <c r="M21" s="195"/>
      <c r="N21" s="195"/>
      <c r="O21" s="195"/>
      <c r="P21" s="195"/>
      <c r="Q21" s="195"/>
      <c r="R21" s="195"/>
      <c r="S21" s="195"/>
      <c r="T21" s="195"/>
      <c r="U21" s="195"/>
      <c r="V21" s="195"/>
      <c r="W21" s="195"/>
      <c r="X21" s="195"/>
      <c r="Y21" s="195"/>
      <c r="Z21" s="195"/>
      <c r="AA21" s="195"/>
      <c r="AB21" s="195"/>
      <c r="AC21" s="195"/>
    </row>
    <row r="22" customFormat="false" ht="18" hidden="false" customHeight="true" outlineLevel="0" collapsed="false">
      <c r="A22" s="195"/>
      <c r="B22" s="195"/>
      <c r="C22" s="196"/>
      <c r="D22" s="196"/>
      <c r="E22" s="196"/>
      <c r="F22" s="196"/>
      <c r="G22" s="196"/>
      <c r="H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/>
      <c r="U22" s="195"/>
      <c r="V22" s="195"/>
      <c r="W22" s="195"/>
      <c r="X22" s="195"/>
      <c r="Y22" s="195"/>
      <c r="Z22" s="195"/>
      <c r="AA22" s="195"/>
      <c r="AB22" s="195"/>
      <c r="AC22" s="195"/>
    </row>
    <row r="23" customFormat="false" ht="18" hidden="false" customHeight="true" outlineLevel="0" collapsed="false">
      <c r="A23" s="195"/>
      <c r="B23" s="195"/>
      <c r="C23" s="196"/>
      <c r="D23" s="196"/>
      <c r="E23" s="196"/>
      <c r="F23" s="196"/>
      <c r="G23" s="196"/>
      <c r="H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/>
      <c r="X23" s="195"/>
      <c r="Y23" s="195"/>
      <c r="Z23" s="195"/>
      <c r="AA23" s="195"/>
      <c r="AB23" s="195"/>
      <c r="AC23" s="195"/>
    </row>
    <row r="24" customFormat="false" ht="18" hidden="false" customHeight="true" outlineLevel="0" collapsed="false">
      <c r="A24" s="195"/>
      <c r="B24" s="195"/>
      <c r="C24" s="196"/>
      <c r="D24" s="196"/>
      <c r="E24" s="196"/>
      <c r="F24" s="196"/>
      <c r="G24" s="196"/>
      <c r="H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/>
      <c r="Y24" s="195"/>
      <c r="Z24" s="195"/>
      <c r="AA24" s="195"/>
      <c r="AB24" s="195"/>
      <c r="AC24" s="195"/>
    </row>
    <row r="25" customFormat="false" ht="18" hidden="false" customHeight="true" outlineLevel="0" collapsed="false">
      <c r="A25" s="195"/>
      <c r="B25" s="195"/>
      <c r="C25" s="196"/>
      <c r="D25" s="196"/>
      <c r="E25" s="196"/>
      <c r="F25" s="196"/>
      <c r="G25" s="196"/>
      <c r="H25" s="195"/>
      <c r="K25" s="195"/>
      <c r="L25" s="195"/>
      <c r="M25" s="195"/>
      <c r="N25" s="195"/>
      <c r="O25" s="195"/>
      <c r="P25" s="195"/>
      <c r="Q25" s="195"/>
      <c r="R25" s="195"/>
      <c r="S25" s="195"/>
      <c r="T25" s="195"/>
      <c r="U25" s="195"/>
      <c r="V25" s="195"/>
      <c r="W25" s="195"/>
      <c r="X25" s="195"/>
      <c r="Y25" s="195"/>
      <c r="Z25" s="195"/>
      <c r="AA25" s="195"/>
      <c r="AB25" s="195"/>
      <c r="AC25" s="195"/>
    </row>
    <row r="26" customFormat="false" ht="18" hidden="false" customHeight="true" outlineLevel="0" collapsed="false">
      <c r="A26" s="195"/>
      <c r="B26" s="195"/>
      <c r="C26" s="196"/>
      <c r="D26" s="196"/>
      <c r="E26" s="196"/>
      <c r="F26" s="196"/>
      <c r="G26" s="196"/>
      <c r="H26" s="195"/>
      <c r="K26" s="195"/>
      <c r="L26" s="195"/>
      <c r="M26" s="195"/>
      <c r="N26" s="195"/>
      <c r="O26" s="195"/>
      <c r="P26" s="195"/>
      <c r="Q26" s="195"/>
      <c r="R26" s="195"/>
      <c r="S26" s="195"/>
      <c r="T26" s="195"/>
      <c r="U26" s="195"/>
      <c r="V26" s="195"/>
      <c r="W26" s="195"/>
      <c r="X26" s="195"/>
      <c r="Y26" s="195"/>
      <c r="Z26" s="195"/>
      <c r="AA26" s="195"/>
      <c r="AB26" s="195"/>
      <c r="AC26" s="195"/>
    </row>
    <row r="27" customFormat="false" ht="18" hidden="false" customHeight="true" outlineLevel="0" collapsed="false">
      <c r="A27" s="195"/>
      <c r="B27" s="195"/>
      <c r="C27" s="195"/>
      <c r="D27" s="195"/>
      <c r="E27" s="195"/>
      <c r="F27" s="195"/>
      <c r="G27" s="195"/>
      <c r="H27" s="195"/>
      <c r="K27" s="195"/>
      <c r="L27" s="195"/>
      <c r="M27" s="195"/>
      <c r="N27" s="195"/>
      <c r="O27" s="195"/>
      <c r="P27" s="195"/>
      <c r="Q27" s="195"/>
      <c r="R27" s="195"/>
      <c r="S27" s="195"/>
      <c r="T27" s="195"/>
      <c r="U27" s="195"/>
      <c r="V27" s="195"/>
      <c r="W27" s="195"/>
      <c r="X27" s="195"/>
      <c r="Y27" s="195"/>
      <c r="Z27" s="195"/>
      <c r="AA27" s="195"/>
      <c r="AB27" s="195"/>
      <c r="AC27" s="195"/>
    </row>
    <row r="28" customFormat="false" ht="18" hidden="false" customHeight="true" outlineLevel="0" collapsed="false">
      <c r="A28" s="195"/>
      <c r="B28" s="195"/>
      <c r="C28" s="197" t="e">
        <f aca="false" t="array" ref="C28:C28">"#"&amp;INDEX('0.0.1 Pokémon Dex Data'!A3:A254,MATCH(D2,'0.0.1 Pokémon Dex Data'!E3:E254,0))&amp;" - "&amp;D2</f>
        <v>#N/A</v>
      </c>
      <c r="D28" s="197"/>
      <c r="E28" s="197"/>
      <c r="F28" s="197"/>
      <c r="G28" s="197"/>
      <c r="H28" s="195"/>
      <c r="K28" s="195"/>
      <c r="L28" s="195"/>
      <c r="M28" s="195"/>
      <c r="N28" s="195"/>
      <c r="O28" s="195"/>
      <c r="P28" s="195"/>
      <c r="Q28" s="195"/>
      <c r="R28" s="195"/>
      <c r="S28" s="195"/>
      <c r="T28" s="195"/>
      <c r="U28" s="195"/>
      <c r="V28" s="195"/>
      <c r="W28" s="195"/>
      <c r="X28" s="195"/>
      <c r="Y28" s="195"/>
      <c r="Z28" s="195"/>
      <c r="AA28" s="195"/>
      <c r="AB28" s="195"/>
      <c r="AC28" s="195"/>
    </row>
    <row r="29" customFormat="false" ht="18" hidden="false" customHeight="true" outlineLevel="0" collapsed="false">
      <c r="A29" s="195"/>
      <c r="B29" s="195"/>
      <c r="C29" s="197"/>
      <c r="D29" s="197"/>
      <c r="E29" s="197"/>
      <c r="F29" s="197"/>
      <c r="G29" s="197"/>
      <c r="H29" s="195"/>
      <c r="K29" s="195"/>
      <c r="L29" s="195"/>
      <c r="M29" s="195"/>
      <c r="N29" s="195"/>
      <c r="O29" s="195"/>
      <c r="P29" s="195"/>
      <c r="Q29" s="195"/>
      <c r="R29" s="195"/>
      <c r="S29" s="195"/>
      <c r="T29" s="195"/>
      <c r="U29" s="195"/>
      <c r="V29" s="195"/>
      <c r="W29" s="195"/>
      <c r="X29" s="195"/>
      <c r="Y29" s="195"/>
      <c r="Z29" s="195"/>
      <c r="AA29" s="195"/>
      <c r="AB29" s="195"/>
      <c r="AC29" s="195"/>
    </row>
    <row r="30" customFormat="false" ht="18" hidden="false" customHeight="true" outlineLevel="0" collapsed="false">
      <c r="A30" s="195"/>
      <c r="B30" s="195"/>
      <c r="C30" s="195"/>
      <c r="D30" s="195"/>
      <c r="E30" s="195"/>
      <c r="F30" s="195"/>
      <c r="G30" s="195"/>
      <c r="H30" s="195"/>
      <c r="K30" s="195"/>
      <c r="L30" s="195"/>
      <c r="M30" s="195"/>
      <c r="N30" s="195"/>
      <c r="O30" s="195"/>
      <c r="P30" s="195"/>
      <c r="Q30" s="195"/>
      <c r="R30" s="195"/>
      <c r="S30" s="195"/>
      <c r="T30" s="195"/>
      <c r="U30" s="195"/>
      <c r="V30" s="195"/>
      <c r="W30" s="195"/>
      <c r="X30" s="195"/>
      <c r="Y30" s="195"/>
      <c r="Z30" s="195"/>
      <c r="AA30" s="195"/>
      <c r="AB30" s="195"/>
      <c r="AC30" s="195"/>
    </row>
    <row r="31" customFormat="false" ht="18" hidden="false" customHeight="true" outlineLevel="0" collapsed="false">
      <c r="A31" s="195"/>
      <c r="B31" s="195"/>
      <c r="C31" s="198" t="s">
        <v>116</v>
      </c>
      <c r="D31" s="199" t="s">
        <v>117</v>
      </c>
      <c r="E31" s="199" t="s">
        <v>118</v>
      </c>
      <c r="F31" s="199" t="s">
        <v>119</v>
      </c>
      <c r="G31" s="199" t="str">
        <f aca="false">IF(C7="Weather-boosted (lv. 25)","CP (25)","CP (20)")</f>
        <v>CP (20)</v>
      </c>
      <c r="H31" s="200" t="s">
        <v>120</v>
      </c>
      <c r="K31" s="195"/>
      <c r="L31" s="195"/>
      <c r="M31" s="195"/>
      <c r="N31" s="195"/>
      <c r="O31" s="195"/>
      <c r="P31" s="195"/>
      <c r="Q31" s="195"/>
      <c r="R31" s="195"/>
      <c r="S31" s="195"/>
      <c r="T31" s="195"/>
      <c r="U31" s="195"/>
      <c r="V31" s="195"/>
      <c r="W31" s="195"/>
      <c r="X31" s="195"/>
      <c r="Y31" s="195"/>
      <c r="Z31" s="195"/>
      <c r="AA31" s="195"/>
      <c r="AB31" s="195"/>
      <c r="AC31" s="195"/>
    </row>
    <row r="32" customFormat="false" ht="18" hidden="false" customHeight="true" outlineLevel="0" collapsed="false">
      <c r="A32" s="195"/>
      <c r="B32" s="195"/>
      <c r="C32" s="201" t="e">
        <f aca="false">IF(ISBLANK(D32),,SUM(D32:F32)/45)</f>
        <v>#NAME?</v>
      </c>
      <c r="D32" s="202" t="e">
        <f aca="false" t="array" ref="D32:G1031">IF(J7="Sort by CP",sort('2.0.0 Raid Boss CP Helper'!M1:P254,'2.0.0 Raid Boss CP Helper'!P:P,0),sort('2.0.0 Raid Boss CP Helper'!M1:P254,'2.0.0 Raid Boss CP Helper'!L:L,0,'2.0.0 Raid Boss CP Helper'!P:P,0))</f>
        <v>#NAME?</v>
      </c>
      <c r="E32" s="202" t="e">
        <v>#NAME?</v>
      </c>
      <c r="F32" s="202" t="e">
        <v>#NAME?</v>
      </c>
      <c r="G32" s="202" t="e">
        <v>#NAME?</v>
      </c>
      <c r="H32" s="202" t="n">
        <f aca="false">IF(OR(ISBLANK(D32),NOT($C$7="Standard and boosted")),,ROUNDDOWN(('2.0.0 Raid Boss CP Helper'!$D$5+D32)*('2.0.0 Raid Boss CP Helper'!$D$6+E32)^0.5*('2.0.0 Raid Boss CP Helper'!$D$7+F32)^0.5*0.667934^2/10,0))</f>
        <v>0</v>
      </c>
      <c r="K32" s="195"/>
      <c r="L32" s="195"/>
      <c r="M32" s="195"/>
      <c r="N32" s="195"/>
      <c r="O32" s="195"/>
      <c r="P32" s="195"/>
      <c r="Q32" s="195"/>
      <c r="R32" s="195"/>
      <c r="S32" s="195"/>
      <c r="T32" s="195"/>
      <c r="U32" s="195"/>
      <c r="V32" s="195"/>
      <c r="W32" s="195"/>
      <c r="X32" s="195"/>
      <c r="Y32" s="195"/>
      <c r="Z32" s="195"/>
      <c r="AA32" s="195"/>
      <c r="AB32" s="195"/>
      <c r="AC32" s="195"/>
    </row>
    <row r="33" customFormat="false" ht="18" hidden="false" customHeight="true" outlineLevel="0" collapsed="false">
      <c r="A33" s="195"/>
      <c r="B33" s="195"/>
      <c r="C33" s="203" t="e">
        <f aca="false">IF(ISBLANK(D33),,SUM(D33:F33)/45)</f>
        <v>#NAME?</v>
      </c>
      <c r="D33" s="202" t="e">
        <v>#NAME?</v>
      </c>
      <c r="E33" s="202" t="e">
        <v>#NAME?</v>
      </c>
      <c r="F33" s="202" t="e">
        <v>#NAME?</v>
      </c>
      <c r="G33" s="202" t="e">
        <v>#NAME?</v>
      </c>
      <c r="H33" s="202" t="n">
        <f aca="false">IF(OR(ISBLANK(D33),NOT($C$7="Standard and boosted")),,ROUNDDOWN(('2.0.0 Raid Boss CP Helper'!$D$5+D33)*('2.0.0 Raid Boss CP Helper'!$D$6+E33)^0.5*('2.0.0 Raid Boss CP Helper'!$D$7+F33)^0.5*0.667934^2/10,0))</f>
        <v>0</v>
      </c>
      <c r="K33" s="195"/>
      <c r="L33" s="195"/>
      <c r="M33" s="195"/>
      <c r="N33" s="195"/>
      <c r="O33" s="195"/>
      <c r="P33" s="195"/>
      <c r="Q33" s="195"/>
      <c r="R33" s="195"/>
      <c r="S33" s="195"/>
      <c r="T33" s="195"/>
      <c r="U33" s="195"/>
      <c r="V33" s="195"/>
      <c r="W33" s="195"/>
      <c r="X33" s="195"/>
      <c r="Y33" s="195"/>
      <c r="Z33" s="195"/>
      <c r="AA33" s="195"/>
      <c r="AB33" s="195"/>
      <c r="AC33" s="195"/>
    </row>
    <row r="34" customFormat="false" ht="18" hidden="false" customHeight="true" outlineLevel="0" collapsed="false">
      <c r="A34" s="195"/>
      <c r="B34" s="195"/>
      <c r="C34" s="203" t="e">
        <f aca="false">IF(ISBLANK(D34),,SUM(D34:F34)/45)</f>
        <v>#NAME?</v>
      </c>
      <c r="D34" s="202" t="e">
        <v>#NAME?</v>
      </c>
      <c r="E34" s="202" t="e">
        <v>#NAME?</v>
      </c>
      <c r="F34" s="202" t="e">
        <v>#NAME?</v>
      </c>
      <c r="G34" s="202" t="e">
        <v>#NAME?</v>
      </c>
      <c r="H34" s="202" t="n">
        <f aca="false">IF(OR(ISBLANK(D34),NOT($C$7="Standard and boosted")),,ROUNDDOWN(('2.0.0 Raid Boss CP Helper'!$D$5+D34)*('2.0.0 Raid Boss CP Helper'!$D$6+E34)^0.5*('2.0.0 Raid Boss CP Helper'!$D$7+F34)^0.5*0.667934^2/10,0))</f>
        <v>0</v>
      </c>
      <c r="K34" s="195"/>
      <c r="L34" s="195"/>
      <c r="M34" s="195"/>
      <c r="N34" s="195"/>
      <c r="O34" s="195"/>
      <c r="P34" s="195"/>
      <c r="Q34" s="195"/>
      <c r="R34" s="195"/>
      <c r="S34" s="195"/>
      <c r="T34" s="195"/>
      <c r="U34" s="195"/>
      <c r="V34" s="195"/>
      <c r="W34" s="195"/>
      <c r="X34" s="195"/>
      <c r="Y34" s="195"/>
      <c r="Z34" s="195"/>
      <c r="AA34" s="195"/>
      <c r="AB34" s="195"/>
      <c r="AC34" s="195"/>
    </row>
    <row r="35" customFormat="false" ht="18" hidden="false" customHeight="true" outlineLevel="0" collapsed="false">
      <c r="A35" s="195"/>
      <c r="B35" s="195"/>
      <c r="C35" s="203" t="e">
        <f aca="false">IF(ISBLANK(D35),,SUM(D35:F35)/45)</f>
        <v>#NAME?</v>
      </c>
      <c r="D35" s="202" t="e">
        <v>#NAME?</v>
      </c>
      <c r="E35" s="202" t="e">
        <v>#NAME?</v>
      </c>
      <c r="F35" s="202" t="e">
        <v>#NAME?</v>
      </c>
      <c r="G35" s="202" t="e">
        <v>#NAME?</v>
      </c>
      <c r="H35" s="202" t="n">
        <f aca="false">IF(OR(ISBLANK(D35),NOT($C$7="Standard and boosted")),,ROUNDDOWN(('2.0.0 Raid Boss CP Helper'!$D$5+D35)*('2.0.0 Raid Boss CP Helper'!$D$6+E35)^0.5*('2.0.0 Raid Boss CP Helper'!$D$7+F35)^0.5*0.667934^2/10,0))</f>
        <v>0</v>
      </c>
      <c r="K35" s="195"/>
      <c r="L35" s="195"/>
      <c r="M35" s="195"/>
      <c r="N35" s="195"/>
      <c r="O35" s="195"/>
      <c r="P35" s="195"/>
      <c r="Q35" s="195"/>
      <c r="R35" s="195"/>
      <c r="S35" s="195"/>
      <c r="T35" s="195"/>
      <c r="U35" s="195"/>
      <c r="V35" s="195"/>
      <c r="W35" s="195"/>
      <c r="X35" s="195"/>
      <c r="Y35" s="195"/>
      <c r="Z35" s="195"/>
      <c r="AA35" s="195"/>
      <c r="AB35" s="195"/>
      <c r="AC35" s="195"/>
    </row>
    <row r="36" customFormat="false" ht="18" hidden="false" customHeight="true" outlineLevel="0" collapsed="false">
      <c r="A36" s="195"/>
      <c r="B36" s="195"/>
      <c r="C36" s="203" t="e">
        <f aca="false">IF(ISBLANK(D36),,SUM(D36:F36)/45)</f>
        <v>#NAME?</v>
      </c>
      <c r="D36" s="202" t="e">
        <v>#NAME?</v>
      </c>
      <c r="E36" s="202" t="e">
        <v>#NAME?</v>
      </c>
      <c r="F36" s="202" t="e">
        <v>#NAME?</v>
      </c>
      <c r="G36" s="202" t="e">
        <v>#NAME?</v>
      </c>
      <c r="H36" s="202" t="n">
        <f aca="false">IF(OR(ISBLANK(D36),NOT($C$7="Standard and boosted")),,ROUNDDOWN(('2.0.0 Raid Boss CP Helper'!$D$5+D36)*('2.0.0 Raid Boss CP Helper'!$D$6+E36)^0.5*('2.0.0 Raid Boss CP Helper'!$D$7+F36)^0.5*0.667934^2/10,0))</f>
        <v>0</v>
      </c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</row>
    <row r="37" customFormat="false" ht="18" hidden="false" customHeight="true" outlineLevel="0" collapsed="false">
      <c r="A37" s="195"/>
      <c r="B37" s="195"/>
      <c r="C37" s="203" t="e">
        <f aca="false">IF(ISBLANK(D37),,SUM(D37:F37)/45)</f>
        <v>#NAME?</v>
      </c>
      <c r="D37" s="202" t="e">
        <v>#NAME?</v>
      </c>
      <c r="E37" s="202" t="e">
        <v>#NAME?</v>
      </c>
      <c r="F37" s="202" t="e">
        <v>#NAME?</v>
      </c>
      <c r="G37" s="202" t="e">
        <v>#NAME?</v>
      </c>
      <c r="H37" s="202" t="n">
        <f aca="false">IF(OR(ISBLANK(D37),NOT($C$7="Standard and boosted")),,ROUNDDOWN(('2.0.0 Raid Boss CP Helper'!$D$5+D37)*('2.0.0 Raid Boss CP Helper'!$D$6+E37)^0.5*('2.0.0 Raid Boss CP Helper'!$D$7+F37)^0.5*0.667934^2/10,0))</f>
        <v>0</v>
      </c>
      <c r="K37" s="195"/>
      <c r="L37" s="195"/>
      <c r="M37" s="195"/>
      <c r="N37" s="195"/>
      <c r="O37" s="195"/>
      <c r="P37" s="195"/>
      <c r="Q37" s="195"/>
      <c r="R37" s="195"/>
      <c r="S37" s="195"/>
      <c r="T37" s="195"/>
      <c r="U37" s="195"/>
      <c r="V37" s="195"/>
      <c r="W37" s="195"/>
      <c r="X37" s="195"/>
      <c r="Y37" s="195"/>
      <c r="Z37" s="195"/>
      <c r="AA37" s="195"/>
      <c r="AB37" s="195"/>
      <c r="AC37" s="195"/>
    </row>
    <row r="38" customFormat="false" ht="18" hidden="false" customHeight="true" outlineLevel="0" collapsed="false">
      <c r="A38" s="195"/>
      <c r="B38" s="195"/>
      <c r="C38" s="203" t="e">
        <f aca="false">IF(ISBLANK(D38),,SUM(D38:F38)/45)</f>
        <v>#NAME?</v>
      </c>
      <c r="D38" s="202" t="e">
        <v>#NAME?</v>
      </c>
      <c r="E38" s="202" t="e">
        <v>#NAME?</v>
      </c>
      <c r="F38" s="202" t="e">
        <v>#NAME?</v>
      </c>
      <c r="G38" s="202" t="e">
        <v>#NAME?</v>
      </c>
      <c r="H38" s="202" t="n">
        <f aca="false">IF(OR(ISBLANK(D38),NOT($C$7="Standard and boosted")),,ROUNDDOWN(('2.0.0 Raid Boss CP Helper'!$D$5+D38)*('2.0.0 Raid Boss CP Helper'!$D$6+E38)^0.5*('2.0.0 Raid Boss CP Helper'!$D$7+F38)^0.5*0.667934^2/10,0))</f>
        <v>0</v>
      </c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</row>
    <row r="39" customFormat="false" ht="18" hidden="false" customHeight="true" outlineLevel="0" collapsed="false">
      <c r="A39" s="195"/>
      <c r="B39" s="195"/>
      <c r="C39" s="203" t="e">
        <f aca="false">IF(ISBLANK(D39),,SUM(D39:F39)/45)</f>
        <v>#NAME?</v>
      </c>
      <c r="D39" s="202" t="e">
        <v>#NAME?</v>
      </c>
      <c r="E39" s="202" t="e">
        <v>#NAME?</v>
      </c>
      <c r="F39" s="202" t="e">
        <v>#NAME?</v>
      </c>
      <c r="G39" s="202" t="e">
        <v>#NAME?</v>
      </c>
      <c r="H39" s="202" t="n">
        <f aca="false">IF(OR(ISBLANK(D39),NOT($C$7="Standard and boosted")),,ROUNDDOWN(('2.0.0 Raid Boss CP Helper'!$D$5+D39)*('2.0.0 Raid Boss CP Helper'!$D$6+E39)^0.5*('2.0.0 Raid Boss CP Helper'!$D$7+F39)^0.5*0.667934^2/10,0))</f>
        <v>0</v>
      </c>
      <c r="K39" s="195"/>
      <c r="L39" s="195"/>
      <c r="M39" s="195"/>
      <c r="N39" s="195"/>
      <c r="O39" s="195"/>
      <c r="P39" s="195"/>
      <c r="Q39" s="195"/>
      <c r="R39" s="195"/>
      <c r="S39" s="195"/>
      <c r="T39" s="195"/>
      <c r="U39" s="195"/>
      <c r="V39" s="195"/>
      <c r="W39" s="195"/>
      <c r="X39" s="195"/>
      <c r="Y39" s="195"/>
      <c r="Z39" s="195"/>
      <c r="AA39" s="195"/>
      <c r="AB39" s="195"/>
      <c r="AC39" s="195"/>
    </row>
    <row r="40" customFormat="false" ht="18" hidden="false" customHeight="true" outlineLevel="0" collapsed="false">
      <c r="A40" s="195"/>
      <c r="B40" s="195"/>
      <c r="C40" s="203" t="e">
        <f aca="false">IF(ISBLANK(D40),,SUM(D40:F40)/45)</f>
        <v>#NAME?</v>
      </c>
      <c r="D40" s="202" t="e">
        <v>#NAME?</v>
      </c>
      <c r="E40" s="202" t="e">
        <v>#NAME?</v>
      </c>
      <c r="F40" s="202" t="e">
        <v>#NAME?</v>
      </c>
      <c r="G40" s="202" t="e">
        <v>#NAME?</v>
      </c>
      <c r="H40" s="202" t="n">
        <f aca="false">IF(OR(ISBLANK(D40),NOT($C$7="Standard and boosted")),,ROUNDDOWN(('2.0.0 Raid Boss CP Helper'!$D$5+D40)*('2.0.0 Raid Boss CP Helper'!$D$6+E40)^0.5*('2.0.0 Raid Boss CP Helper'!$D$7+F40)^0.5*0.667934^2/10,0))</f>
        <v>0</v>
      </c>
      <c r="K40" s="195"/>
      <c r="L40" s="195"/>
      <c r="M40" s="195"/>
      <c r="N40" s="195"/>
      <c r="O40" s="195"/>
      <c r="P40" s="195"/>
      <c r="Q40" s="195"/>
      <c r="R40" s="195"/>
      <c r="S40" s="195"/>
      <c r="T40" s="195"/>
      <c r="U40" s="195"/>
      <c r="V40" s="195"/>
      <c r="W40" s="195"/>
      <c r="X40" s="195"/>
      <c r="Y40" s="195"/>
      <c r="Z40" s="195"/>
      <c r="AA40" s="195"/>
      <c r="AB40" s="195"/>
      <c r="AC40" s="195"/>
    </row>
    <row r="41" customFormat="false" ht="18" hidden="false" customHeight="true" outlineLevel="0" collapsed="false">
      <c r="A41" s="195"/>
      <c r="B41" s="195"/>
      <c r="C41" s="203" t="e">
        <f aca="false">IF(ISBLANK(D41),,SUM(D41:F41)/45)</f>
        <v>#NAME?</v>
      </c>
      <c r="D41" s="202" t="e">
        <v>#NAME?</v>
      </c>
      <c r="E41" s="202" t="e">
        <v>#NAME?</v>
      </c>
      <c r="F41" s="202" t="e">
        <v>#NAME?</v>
      </c>
      <c r="G41" s="202" t="e">
        <v>#NAME?</v>
      </c>
      <c r="H41" s="202" t="n">
        <f aca="false">IF(OR(ISBLANK(D41),NOT($C$7="Standard and boosted")),,ROUNDDOWN(('2.0.0 Raid Boss CP Helper'!$D$5+D41)*('2.0.0 Raid Boss CP Helper'!$D$6+E41)^0.5*('2.0.0 Raid Boss CP Helper'!$D$7+F41)^0.5*0.667934^2/10,0))</f>
        <v>0</v>
      </c>
      <c r="K41" s="195"/>
      <c r="L41" s="195"/>
      <c r="M41" s="195"/>
      <c r="N41" s="195"/>
      <c r="O41" s="195"/>
      <c r="P41" s="195"/>
      <c r="Q41" s="195"/>
      <c r="R41" s="195"/>
      <c r="S41" s="195"/>
      <c r="T41" s="195"/>
      <c r="U41" s="195"/>
      <c r="V41" s="195"/>
      <c r="W41" s="195"/>
      <c r="X41" s="195"/>
      <c r="Y41" s="195"/>
      <c r="Z41" s="195"/>
      <c r="AA41" s="195"/>
      <c r="AB41" s="195"/>
      <c r="AC41" s="195"/>
    </row>
    <row r="42" customFormat="false" ht="18" hidden="false" customHeight="true" outlineLevel="0" collapsed="false">
      <c r="A42" s="195"/>
      <c r="B42" s="195"/>
      <c r="C42" s="203" t="e">
        <f aca="false">IF(ISBLANK(D42),,SUM(D42:F42)/45)</f>
        <v>#NAME?</v>
      </c>
      <c r="D42" s="202" t="e">
        <v>#NAME?</v>
      </c>
      <c r="E42" s="202" t="e">
        <v>#NAME?</v>
      </c>
      <c r="F42" s="202" t="e">
        <v>#NAME?</v>
      </c>
      <c r="G42" s="202" t="e">
        <v>#NAME?</v>
      </c>
      <c r="H42" s="202" t="n">
        <f aca="false">IF(OR(ISBLANK(D42),NOT($C$7="Standard and boosted")),,ROUNDDOWN(('2.0.0 Raid Boss CP Helper'!$D$5+D42)*('2.0.0 Raid Boss CP Helper'!$D$6+E42)^0.5*('2.0.0 Raid Boss CP Helper'!$D$7+F42)^0.5*0.667934^2/10,0))</f>
        <v>0</v>
      </c>
      <c r="K42" s="195"/>
      <c r="L42" s="195"/>
      <c r="M42" s="195"/>
      <c r="N42" s="195"/>
      <c r="O42" s="195"/>
      <c r="P42" s="195"/>
      <c r="Q42" s="195"/>
      <c r="R42" s="195"/>
      <c r="S42" s="195"/>
      <c r="T42" s="195"/>
      <c r="U42" s="195"/>
      <c r="V42" s="195"/>
      <c r="W42" s="195"/>
      <c r="X42" s="195"/>
      <c r="Y42" s="195"/>
      <c r="Z42" s="195"/>
      <c r="AA42" s="195"/>
      <c r="AB42" s="195"/>
      <c r="AC42" s="195"/>
    </row>
    <row r="43" customFormat="false" ht="18" hidden="false" customHeight="true" outlineLevel="0" collapsed="false">
      <c r="A43" s="195"/>
      <c r="B43" s="195"/>
      <c r="C43" s="203" t="e">
        <f aca="false">IF(ISBLANK(D43),,SUM(D43:F43)/45)</f>
        <v>#NAME?</v>
      </c>
      <c r="D43" s="202" t="e">
        <v>#NAME?</v>
      </c>
      <c r="E43" s="202" t="e">
        <v>#NAME?</v>
      </c>
      <c r="F43" s="202" t="e">
        <v>#NAME?</v>
      </c>
      <c r="G43" s="202" t="e">
        <v>#NAME?</v>
      </c>
      <c r="H43" s="202" t="n">
        <f aca="false">IF(OR(ISBLANK(D43),NOT($C$7="Standard and boosted")),,ROUNDDOWN(('2.0.0 Raid Boss CP Helper'!$D$5+D43)*('2.0.0 Raid Boss CP Helper'!$D$6+E43)^0.5*('2.0.0 Raid Boss CP Helper'!$D$7+F43)^0.5*0.667934^2/10,0))</f>
        <v>0</v>
      </c>
      <c r="K43" s="195"/>
      <c r="L43" s="195"/>
      <c r="M43" s="195"/>
      <c r="N43" s="195"/>
      <c r="O43" s="195"/>
      <c r="P43" s="195"/>
      <c r="Q43" s="195"/>
      <c r="R43" s="195"/>
      <c r="S43" s="195"/>
      <c r="T43" s="195"/>
      <c r="U43" s="195"/>
      <c r="V43" s="195"/>
      <c r="W43" s="195"/>
      <c r="X43" s="195"/>
      <c r="Y43" s="195"/>
      <c r="Z43" s="195"/>
      <c r="AA43" s="195"/>
      <c r="AB43" s="195"/>
      <c r="AC43" s="195"/>
    </row>
    <row r="44" customFormat="false" ht="18" hidden="false" customHeight="true" outlineLevel="0" collapsed="false">
      <c r="A44" s="195"/>
      <c r="B44" s="195"/>
      <c r="C44" s="203" t="e">
        <f aca="false">IF(ISBLANK(D44),,SUM(D44:F44)/45)</f>
        <v>#NAME?</v>
      </c>
      <c r="D44" s="202" t="e">
        <v>#NAME?</v>
      </c>
      <c r="E44" s="202" t="e">
        <v>#NAME?</v>
      </c>
      <c r="F44" s="202" t="e">
        <v>#NAME?</v>
      </c>
      <c r="G44" s="202" t="e">
        <v>#NAME?</v>
      </c>
      <c r="H44" s="202" t="n">
        <f aca="false">IF(OR(ISBLANK(D44),NOT($C$7="Standard and boosted")),,ROUNDDOWN(('2.0.0 Raid Boss CP Helper'!$D$5+D44)*('2.0.0 Raid Boss CP Helper'!$D$6+E44)^0.5*('2.0.0 Raid Boss CP Helper'!$D$7+F44)^0.5*0.667934^2/10,0))</f>
        <v>0</v>
      </c>
      <c r="K44" s="195"/>
      <c r="L44" s="195"/>
      <c r="M44" s="195"/>
      <c r="N44" s="195"/>
      <c r="O44" s="195"/>
      <c r="P44" s="195"/>
      <c r="Q44" s="195"/>
      <c r="R44" s="195"/>
      <c r="S44" s="195"/>
      <c r="T44" s="195"/>
      <c r="U44" s="195"/>
      <c r="V44" s="195"/>
      <c r="W44" s="195"/>
      <c r="X44" s="195"/>
      <c r="Y44" s="195"/>
      <c r="Z44" s="195"/>
      <c r="AA44" s="195"/>
      <c r="AB44" s="195"/>
      <c r="AC44" s="195"/>
    </row>
    <row r="45" customFormat="false" ht="18" hidden="false" customHeight="true" outlineLevel="0" collapsed="false">
      <c r="A45" s="195"/>
      <c r="B45" s="195"/>
      <c r="C45" s="203" t="e">
        <f aca="false">IF(ISBLANK(D45),,SUM(D45:F45)/45)</f>
        <v>#NAME?</v>
      </c>
      <c r="D45" s="202" t="e">
        <v>#NAME?</v>
      </c>
      <c r="E45" s="202" t="e">
        <v>#NAME?</v>
      </c>
      <c r="F45" s="202" t="e">
        <v>#NAME?</v>
      </c>
      <c r="G45" s="202" t="e">
        <v>#NAME?</v>
      </c>
      <c r="H45" s="202" t="n">
        <f aca="false">IF(OR(ISBLANK(D45),NOT($C$7="Standard and boosted")),,ROUNDDOWN(('2.0.0 Raid Boss CP Helper'!$D$5+D45)*('2.0.0 Raid Boss CP Helper'!$D$6+E45)^0.5*('2.0.0 Raid Boss CP Helper'!$D$7+F45)^0.5*0.667934^2/10,0))</f>
        <v>0</v>
      </c>
      <c r="K45" s="195"/>
      <c r="L45" s="195"/>
      <c r="M45" s="195"/>
      <c r="N45" s="195"/>
      <c r="O45" s="195"/>
      <c r="P45" s="195"/>
      <c r="Q45" s="195"/>
      <c r="R45" s="195"/>
      <c r="S45" s="195"/>
      <c r="T45" s="195"/>
      <c r="U45" s="195"/>
      <c r="V45" s="195"/>
      <c r="W45" s="195"/>
      <c r="X45" s="195"/>
      <c r="Y45" s="195"/>
      <c r="Z45" s="195"/>
      <c r="AA45" s="195"/>
      <c r="AB45" s="195"/>
      <c r="AC45" s="195"/>
    </row>
    <row r="46" customFormat="false" ht="18" hidden="false" customHeight="true" outlineLevel="0" collapsed="false">
      <c r="A46" s="195"/>
      <c r="B46" s="195"/>
      <c r="C46" s="203" t="e">
        <f aca="false">IF(ISBLANK(D46),,SUM(D46:F46)/45)</f>
        <v>#NAME?</v>
      </c>
      <c r="D46" s="202" t="e">
        <v>#NAME?</v>
      </c>
      <c r="E46" s="202" t="e">
        <v>#NAME?</v>
      </c>
      <c r="F46" s="202" t="e">
        <v>#NAME?</v>
      </c>
      <c r="G46" s="202" t="e">
        <v>#NAME?</v>
      </c>
      <c r="H46" s="202" t="n">
        <f aca="false">IF(OR(ISBLANK(D46),NOT($C$7="Standard and boosted")),,ROUNDDOWN(('2.0.0 Raid Boss CP Helper'!$D$5+D46)*('2.0.0 Raid Boss CP Helper'!$D$6+E46)^0.5*('2.0.0 Raid Boss CP Helper'!$D$7+F46)^0.5*0.667934^2/10,0))</f>
        <v>0</v>
      </c>
      <c r="K46" s="195"/>
      <c r="L46" s="195"/>
      <c r="M46" s="195"/>
      <c r="N46" s="195"/>
      <c r="O46" s="195"/>
      <c r="P46" s="195"/>
      <c r="Q46" s="195"/>
      <c r="R46" s="195"/>
      <c r="S46" s="195"/>
      <c r="T46" s="195"/>
      <c r="U46" s="195"/>
      <c r="V46" s="195"/>
      <c r="W46" s="195"/>
      <c r="X46" s="195"/>
      <c r="Y46" s="195"/>
      <c r="Z46" s="195"/>
      <c r="AA46" s="195"/>
      <c r="AB46" s="195"/>
      <c r="AC46" s="195"/>
    </row>
    <row r="47" customFormat="false" ht="18" hidden="false" customHeight="true" outlineLevel="0" collapsed="false">
      <c r="A47" s="195"/>
      <c r="B47" s="195"/>
      <c r="C47" s="203" t="e">
        <f aca="false">IF(ISBLANK(D47),,SUM(D47:F47)/45)</f>
        <v>#NAME?</v>
      </c>
      <c r="D47" s="202" t="e">
        <v>#NAME?</v>
      </c>
      <c r="E47" s="202" t="e">
        <v>#NAME?</v>
      </c>
      <c r="F47" s="202" t="e">
        <v>#NAME?</v>
      </c>
      <c r="G47" s="202" t="e">
        <v>#NAME?</v>
      </c>
      <c r="H47" s="202" t="n">
        <f aca="false">IF(OR(ISBLANK(D47),NOT($C$7="Standard and boosted")),,ROUNDDOWN(('2.0.0 Raid Boss CP Helper'!$D$5+D47)*('2.0.0 Raid Boss CP Helper'!$D$6+E47)^0.5*('2.0.0 Raid Boss CP Helper'!$D$7+F47)^0.5*0.667934^2/10,0))</f>
        <v>0</v>
      </c>
      <c r="K47" s="195"/>
      <c r="L47" s="195"/>
      <c r="M47" s="195"/>
      <c r="N47" s="195"/>
      <c r="O47" s="195"/>
      <c r="P47" s="195"/>
      <c r="Q47" s="195"/>
      <c r="R47" s="195"/>
      <c r="S47" s="195"/>
      <c r="T47" s="195"/>
      <c r="U47" s="195"/>
      <c r="V47" s="195"/>
      <c r="W47" s="195"/>
      <c r="X47" s="195"/>
      <c r="Y47" s="195"/>
      <c r="Z47" s="195"/>
      <c r="AA47" s="195"/>
      <c r="AB47" s="195"/>
      <c r="AC47" s="195"/>
    </row>
    <row r="48" customFormat="false" ht="18" hidden="false" customHeight="true" outlineLevel="0" collapsed="false">
      <c r="A48" s="195"/>
      <c r="B48" s="195"/>
      <c r="C48" s="203" t="e">
        <f aca="false">IF(ISBLANK(D48),,SUM(D48:F48)/45)</f>
        <v>#NAME?</v>
      </c>
      <c r="D48" s="202" t="e">
        <v>#NAME?</v>
      </c>
      <c r="E48" s="202" t="e">
        <v>#NAME?</v>
      </c>
      <c r="F48" s="202" t="e">
        <v>#NAME?</v>
      </c>
      <c r="G48" s="202" t="e">
        <v>#NAME?</v>
      </c>
      <c r="H48" s="202" t="n">
        <f aca="false">IF(OR(ISBLANK(D48),NOT($C$7="Standard and boosted")),,ROUNDDOWN(('2.0.0 Raid Boss CP Helper'!$D$5+D48)*('2.0.0 Raid Boss CP Helper'!$D$6+E48)^0.5*('2.0.0 Raid Boss CP Helper'!$D$7+F48)^0.5*0.667934^2/10,0))</f>
        <v>0</v>
      </c>
      <c r="K48" s="195"/>
      <c r="L48" s="195"/>
      <c r="M48" s="195"/>
      <c r="N48" s="195"/>
      <c r="O48" s="195"/>
      <c r="P48" s="195"/>
      <c r="Q48" s="195"/>
      <c r="R48" s="195"/>
      <c r="S48" s="195"/>
      <c r="T48" s="195"/>
      <c r="U48" s="195"/>
      <c r="V48" s="195"/>
      <c r="W48" s="195"/>
      <c r="X48" s="195"/>
      <c r="Y48" s="195"/>
      <c r="Z48" s="195"/>
      <c r="AA48" s="195"/>
      <c r="AB48" s="195"/>
      <c r="AC48" s="195"/>
    </row>
    <row r="49" customFormat="false" ht="18" hidden="false" customHeight="true" outlineLevel="0" collapsed="false">
      <c r="A49" s="195"/>
      <c r="B49" s="195"/>
      <c r="C49" s="203" t="e">
        <f aca="false">IF(ISBLANK(D49),,SUM(D49:F49)/45)</f>
        <v>#NAME?</v>
      </c>
      <c r="D49" s="202" t="e">
        <v>#NAME?</v>
      </c>
      <c r="E49" s="202" t="e">
        <v>#NAME?</v>
      </c>
      <c r="F49" s="202" t="e">
        <v>#NAME?</v>
      </c>
      <c r="G49" s="202" t="e">
        <v>#NAME?</v>
      </c>
      <c r="H49" s="202" t="n">
        <f aca="false">IF(OR(ISBLANK(D49),NOT($C$7="Standard and boosted")),,ROUNDDOWN(('2.0.0 Raid Boss CP Helper'!$D$5+D49)*('2.0.0 Raid Boss CP Helper'!$D$6+E49)^0.5*('2.0.0 Raid Boss CP Helper'!$D$7+F49)^0.5*0.667934^2/10,0))</f>
        <v>0</v>
      </c>
      <c r="K49" s="195"/>
      <c r="L49" s="195"/>
      <c r="M49" s="195"/>
      <c r="N49" s="195"/>
      <c r="O49" s="195"/>
      <c r="P49" s="195"/>
      <c r="Q49" s="195"/>
      <c r="R49" s="195"/>
      <c r="S49" s="195"/>
      <c r="T49" s="195"/>
      <c r="U49" s="195"/>
      <c r="V49" s="195"/>
      <c r="W49" s="195"/>
      <c r="X49" s="195"/>
      <c r="Y49" s="195"/>
      <c r="Z49" s="195"/>
      <c r="AA49" s="195"/>
      <c r="AB49" s="195"/>
      <c r="AC49" s="195"/>
    </row>
    <row r="50" customFormat="false" ht="18" hidden="false" customHeight="true" outlineLevel="0" collapsed="false">
      <c r="A50" s="195"/>
      <c r="B50" s="195"/>
      <c r="C50" s="203" t="e">
        <f aca="false">IF(ISBLANK(D50),,SUM(D50:F50)/45)</f>
        <v>#NAME?</v>
      </c>
      <c r="D50" s="202" t="e">
        <v>#NAME?</v>
      </c>
      <c r="E50" s="202" t="e">
        <v>#NAME?</v>
      </c>
      <c r="F50" s="202" t="e">
        <v>#NAME?</v>
      </c>
      <c r="G50" s="202" t="e">
        <v>#NAME?</v>
      </c>
      <c r="H50" s="202" t="n">
        <f aca="false">IF(OR(ISBLANK(D50),NOT($C$7="Standard and boosted")),,ROUNDDOWN(('2.0.0 Raid Boss CP Helper'!$D$5+D50)*('2.0.0 Raid Boss CP Helper'!$D$6+E50)^0.5*('2.0.0 Raid Boss CP Helper'!$D$7+F50)^0.5*0.667934^2/10,0))</f>
        <v>0</v>
      </c>
      <c r="K50" s="195"/>
      <c r="L50" s="195"/>
      <c r="M50" s="195"/>
      <c r="N50" s="195"/>
      <c r="O50" s="195"/>
      <c r="P50" s="195"/>
      <c r="Q50" s="195"/>
      <c r="R50" s="195"/>
      <c r="S50" s="195"/>
      <c r="T50" s="195"/>
      <c r="U50" s="195"/>
      <c r="V50" s="195"/>
      <c r="W50" s="195"/>
      <c r="X50" s="195"/>
      <c r="Y50" s="195"/>
      <c r="Z50" s="195"/>
      <c r="AA50" s="195"/>
      <c r="AB50" s="195"/>
      <c r="AC50" s="195"/>
    </row>
    <row r="51" customFormat="false" ht="18" hidden="false" customHeight="true" outlineLevel="0" collapsed="false">
      <c r="A51" s="195"/>
      <c r="B51" s="195"/>
      <c r="C51" s="203" t="e">
        <f aca="false">IF(ISBLANK(D51),,SUM(D51:F51)/45)</f>
        <v>#NAME?</v>
      </c>
      <c r="D51" s="202" t="e">
        <v>#NAME?</v>
      </c>
      <c r="E51" s="202" t="e">
        <v>#NAME?</v>
      </c>
      <c r="F51" s="202" t="e">
        <v>#NAME?</v>
      </c>
      <c r="G51" s="202" t="e">
        <v>#NAME?</v>
      </c>
      <c r="H51" s="202" t="n">
        <f aca="false">IF(OR(ISBLANK(D51),NOT($C$7="Standard and boosted")),,ROUNDDOWN(('2.0.0 Raid Boss CP Helper'!$D$5+D51)*('2.0.0 Raid Boss CP Helper'!$D$6+E51)^0.5*('2.0.0 Raid Boss CP Helper'!$D$7+F51)^0.5*0.667934^2/10,0))</f>
        <v>0</v>
      </c>
      <c r="K51" s="195"/>
      <c r="L51" s="195"/>
      <c r="M51" s="195"/>
      <c r="N51" s="195"/>
      <c r="O51" s="195"/>
      <c r="P51" s="195"/>
      <c r="Q51" s="195"/>
      <c r="R51" s="195"/>
      <c r="S51" s="195"/>
      <c r="T51" s="195"/>
      <c r="U51" s="195"/>
      <c r="V51" s="195"/>
      <c r="W51" s="195"/>
      <c r="X51" s="195"/>
      <c r="Y51" s="195"/>
      <c r="Z51" s="195"/>
      <c r="AA51" s="195"/>
      <c r="AB51" s="195"/>
      <c r="AC51" s="195"/>
    </row>
    <row r="52" customFormat="false" ht="18" hidden="false" customHeight="true" outlineLevel="0" collapsed="false">
      <c r="A52" s="195"/>
      <c r="B52" s="195"/>
      <c r="C52" s="203" t="e">
        <f aca="false">IF(ISBLANK(D52),,SUM(D52:F52)/45)</f>
        <v>#NAME?</v>
      </c>
      <c r="D52" s="202" t="e">
        <v>#NAME?</v>
      </c>
      <c r="E52" s="202" t="e">
        <v>#NAME?</v>
      </c>
      <c r="F52" s="202" t="e">
        <v>#NAME?</v>
      </c>
      <c r="G52" s="202" t="e">
        <v>#NAME?</v>
      </c>
      <c r="H52" s="202" t="n">
        <f aca="false">IF(OR(ISBLANK(D52),NOT($C$7="Standard and boosted")),,ROUNDDOWN(('2.0.0 Raid Boss CP Helper'!$D$5+D52)*('2.0.0 Raid Boss CP Helper'!$D$6+E52)^0.5*('2.0.0 Raid Boss CP Helper'!$D$7+F52)^0.5*0.667934^2/10,0))</f>
        <v>0</v>
      </c>
      <c r="K52" s="195"/>
      <c r="L52" s="195"/>
      <c r="M52" s="195"/>
      <c r="N52" s="195"/>
      <c r="O52" s="195"/>
      <c r="P52" s="195"/>
      <c r="Q52" s="195"/>
      <c r="R52" s="195"/>
      <c r="S52" s="195"/>
      <c r="T52" s="195"/>
      <c r="U52" s="195"/>
      <c r="V52" s="195"/>
      <c r="W52" s="195"/>
      <c r="X52" s="195"/>
      <c r="Y52" s="195"/>
      <c r="Z52" s="195"/>
      <c r="AA52" s="195"/>
      <c r="AB52" s="195"/>
      <c r="AC52" s="195"/>
    </row>
    <row r="53" customFormat="false" ht="18" hidden="false" customHeight="true" outlineLevel="0" collapsed="false">
      <c r="A53" s="195"/>
      <c r="B53" s="195"/>
      <c r="C53" s="203" t="e">
        <f aca="false">IF(ISBLANK(D53),,SUM(D53:F53)/45)</f>
        <v>#NAME?</v>
      </c>
      <c r="D53" s="202" t="e">
        <v>#NAME?</v>
      </c>
      <c r="E53" s="202" t="e">
        <v>#NAME?</v>
      </c>
      <c r="F53" s="202" t="e">
        <v>#NAME?</v>
      </c>
      <c r="G53" s="202" t="e">
        <v>#NAME?</v>
      </c>
      <c r="H53" s="202" t="n">
        <f aca="false">IF(OR(ISBLANK(D53),NOT($C$7="Standard and boosted")),,ROUNDDOWN(('2.0.0 Raid Boss CP Helper'!$D$5+D53)*('2.0.0 Raid Boss CP Helper'!$D$6+E53)^0.5*('2.0.0 Raid Boss CP Helper'!$D$7+F53)^0.5*0.667934^2/10,0))</f>
        <v>0</v>
      </c>
      <c r="K53" s="195"/>
      <c r="L53" s="195"/>
      <c r="M53" s="195"/>
      <c r="N53" s="195"/>
      <c r="O53" s="195"/>
      <c r="P53" s="195"/>
      <c r="Q53" s="195"/>
      <c r="R53" s="195"/>
      <c r="S53" s="195"/>
      <c r="T53" s="195"/>
      <c r="U53" s="195"/>
      <c r="V53" s="195"/>
      <c r="W53" s="195"/>
      <c r="X53" s="195"/>
      <c r="Y53" s="195"/>
      <c r="Z53" s="195"/>
      <c r="AA53" s="195"/>
      <c r="AB53" s="195"/>
      <c r="AC53" s="195"/>
    </row>
    <row r="54" customFormat="false" ht="18" hidden="false" customHeight="true" outlineLevel="0" collapsed="false">
      <c r="A54" s="195"/>
      <c r="B54" s="195"/>
      <c r="C54" s="203" t="e">
        <f aca="false">IF(ISBLANK(D54),,SUM(D54:F54)/45)</f>
        <v>#NAME?</v>
      </c>
      <c r="D54" s="202" t="e">
        <v>#NAME?</v>
      </c>
      <c r="E54" s="202" t="e">
        <v>#NAME?</v>
      </c>
      <c r="F54" s="202" t="e">
        <v>#NAME?</v>
      </c>
      <c r="G54" s="202" t="e">
        <v>#NAME?</v>
      </c>
      <c r="H54" s="202" t="n">
        <f aca="false">IF(OR(ISBLANK(D54),NOT($C$7="Standard and boosted")),,ROUNDDOWN(('2.0.0 Raid Boss CP Helper'!$D$5+D54)*('2.0.0 Raid Boss CP Helper'!$D$6+E54)^0.5*('2.0.0 Raid Boss CP Helper'!$D$7+F54)^0.5*0.667934^2/10,0))</f>
        <v>0</v>
      </c>
      <c r="K54" s="195"/>
      <c r="L54" s="195"/>
      <c r="M54" s="195"/>
      <c r="N54" s="195"/>
      <c r="O54" s="195"/>
      <c r="P54" s="195"/>
      <c r="Q54" s="195"/>
      <c r="R54" s="195"/>
      <c r="S54" s="195"/>
      <c r="T54" s="195"/>
      <c r="U54" s="195"/>
      <c r="V54" s="195"/>
      <c r="W54" s="195"/>
      <c r="X54" s="195"/>
      <c r="Y54" s="195"/>
      <c r="Z54" s="195"/>
      <c r="AA54" s="195"/>
      <c r="AB54" s="195"/>
      <c r="AC54" s="195"/>
    </row>
    <row r="55" customFormat="false" ht="18" hidden="false" customHeight="true" outlineLevel="0" collapsed="false">
      <c r="A55" s="195"/>
      <c r="B55" s="195"/>
      <c r="C55" s="203" t="e">
        <f aca="false">IF(ISBLANK(D55),,SUM(D55:F55)/45)</f>
        <v>#NAME?</v>
      </c>
      <c r="D55" s="202" t="e">
        <v>#NAME?</v>
      </c>
      <c r="E55" s="202" t="e">
        <v>#NAME?</v>
      </c>
      <c r="F55" s="202" t="e">
        <v>#NAME?</v>
      </c>
      <c r="G55" s="202" t="e">
        <v>#NAME?</v>
      </c>
      <c r="H55" s="202" t="n">
        <f aca="false">IF(OR(ISBLANK(D55),NOT($C$7="Standard and boosted")),,ROUNDDOWN(('2.0.0 Raid Boss CP Helper'!$D$5+D55)*('2.0.0 Raid Boss CP Helper'!$D$6+E55)^0.5*('2.0.0 Raid Boss CP Helper'!$D$7+F55)^0.5*0.667934^2/10,0))</f>
        <v>0</v>
      </c>
      <c r="K55" s="195"/>
      <c r="L55" s="195"/>
      <c r="M55" s="195"/>
      <c r="N55" s="195"/>
      <c r="O55" s="195"/>
      <c r="P55" s="195"/>
      <c r="Q55" s="195"/>
      <c r="R55" s="195"/>
      <c r="S55" s="195"/>
      <c r="T55" s="195"/>
      <c r="U55" s="195"/>
      <c r="V55" s="195"/>
      <c r="W55" s="195"/>
      <c r="X55" s="195"/>
      <c r="Y55" s="195"/>
      <c r="Z55" s="195"/>
      <c r="AA55" s="195"/>
      <c r="AB55" s="195"/>
      <c r="AC55" s="195"/>
    </row>
    <row r="56" customFormat="false" ht="18" hidden="false" customHeight="true" outlineLevel="0" collapsed="false">
      <c r="A56" s="195"/>
      <c r="B56" s="195"/>
      <c r="C56" s="203" t="e">
        <f aca="false">IF(ISBLANK(D56),,SUM(D56:F56)/45)</f>
        <v>#NAME?</v>
      </c>
      <c r="D56" s="202" t="e">
        <v>#NAME?</v>
      </c>
      <c r="E56" s="202" t="e">
        <v>#NAME?</v>
      </c>
      <c r="F56" s="202" t="e">
        <v>#NAME?</v>
      </c>
      <c r="G56" s="202" t="e">
        <v>#NAME?</v>
      </c>
      <c r="H56" s="202" t="n">
        <f aca="false">IF(OR(ISBLANK(D56),NOT($C$7="Standard and boosted")),,ROUNDDOWN(('2.0.0 Raid Boss CP Helper'!$D$5+D56)*('2.0.0 Raid Boss CP Helper'!$D$6+E56)^0.5*('2.0.0 Raid Boss CP Helper'!$D$7+F56)^0.5*0.667934^2/10,0))</f>
        <v>0</v>
      </c>
      <c r="K56" s="195"/>
      <c r="L56" s="195"/>
      <c r="M56" s="195"/>
      <c r="N56" s="195"/>
      <c r="O56" s="195"/>
      <c r="P56" s="195"/>
      <c r="Q56" s="195"/>
      <c r="R56" s="195"/>
      <c r="S56" s="195"/>
      <c r="T56" s="195"/>
      <c r="U56" s="195"/>
      <c r="V56" s="195"/>
      <c r="W56" s="195"/>
      <c r="X56" s="195"/>
      <c r="Y56" s="195"/>
      <c r="Z56" s="195"/>
      <c r="AA56" s="195"/>
      <c r="AB56" s="195"/>
      <c r="AC56" s="195"/>
    </row>
    <row r="57" customFormat="false" ht="18" hidden="false" customHeight="true" outlineLevel="0" collapsed="false">
      <c r="A57" s="195"/>
      <c r="B57" s="195"/>
      <c r="C57" s="203" t="e">
        <f aca="false">IF(ISBLANK(D57),,SUM(D57:F57)/45)</f>
        <v>#NAME?</v>
      </c>
      <c r="D57" s="202" t="e">
        <v>#NAME?</v>
      </c>
      <c r="E57" s="202" t="e">
        <v>#NAME?</v>
      </c>
      <c r="F57" s="202" t="e">
        <v>#NAME?</v>
      </c>
      <c r="G57" s="202" t="e">
        <v>#NAME?</v>
      </c>
      <c r="H57" s="202" t="n">
        <f aca="false">IF(OR(ISBLANK(D57),NOT($C$7="Standard and boosted")),,ROUNDDOWN(('2.0.0 Raid Boss CP Helper'!$D$5+D57)*('2.0.0 Raid Boss CP Helper'!$D$6+E57)^0.5*('2.0.0 Raid Boss CP Helper'!$D$7+F57)^0.5*0.667934^2/10,0))</f>
        <v>0</v>
      </c>
      <c r="K57" s="195"/>
      <c r="L57" s="195"/>
      <c r="M57" s="195"/>
      <c r="N57" s="195"/>
      <c r="O57" s="195"/>
      <c r="P57" s="195"/>
      <c r="Q57" s="195"/>
      <c r="R57" s="195"/>
      <c r="S57" s="195"/>
      <c r="T57" s="195"/>
      <c r="U57" s="195"/>
      <c r="V57" s="195"/>
      <c r="W57" s="195"/>
      <c r="X57" s="195"/>
      <c r="Y57" s="195"/>
      <c r="Z57" s="195"/>
      <c r="AA57" s="195"/>
      <c r="AB57" s="195"/>
      <c r="AC57" s="195"/>
    </row>
    <row r="58" customFormat="false" ht="18" hidden="false" customHeight="true" outlineLevel="0" collapsed="false">
      <c r="A58" s="195"/>
      <c r="B58" s="195"/>
      <c r="C58" s="203" t="e">
        <f aca="false">IF(ISBLANK(D58),,SUM(D58:F58)/45)</f>
        <v>#NAME?</v>
      </c>
      <c r="D58" s="202" t="e">
        <v>#NAME?</v>
      </c>
      <c r="E58" s="202" t="e">
        <v>#NAME?</v>
      </c>
      <c r="F58" s="202" t="e">
        <v>#NAME?</v>
      </c>
      <c r="G58" s="202" t="e">
        <v>#NAME?</v>
      </c>
      <c r="H58" s="202" t="n">
        <f aca="false">IF(OR(ISBLANK(D58),NOT($C$7="Standard and boosted")),,ROUNDDOWN(('2.0.0 Raid Boss CP Helper'!$D$5+D58)*('2.0.0 Raid Boss CP Helper'!$D$6+E58)^0.5*('2.0.0 Raid Boss CP Helper'!$D$7+F58)^0.5*0.667934^2/10,0))</f>
        <v>0</v>
      </c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</row>
    <row r="59" customFormat="false" ht="18" hidden="false" customHeight="true" outlineLevel="0" collapsed="false">
      <c r="A59" s="195"/>
      <c r="B59" s="195"/>
      <c r="C59" s="203" t="e">
        <f aca="false">IF(ISBLANK(D59),,SUM(D59:F59)/45)</f>
        <v>#NAME?</v>
      </c>
      <c r="D59" s="202" t="e">
        <v>#NAME?</v>
      </c>
      <c r="E59" s="202" t="e">
        <v>#NAME?</v>
      </c>
      <c r="F59" s="202" t="e">
        <v>#NAME?</v>
      </c>
      <c r="G59" s="202" t="e">
        <v>#NAME?</v>
      </c>
      <c r="H59" s="202" t="n">
        <f aca="false">IF(OR(ISBLANK(D59),NOT($C$7="Standard and boosted")),,ROUNDDOWN(('2.0.0 Raid Boss CP Helper'!$D$5+D59)*('2.0.0 Raid Boss CP Helper'!$D$6+E59)^0.5*('2.0.0 Raid Boss CP Helper'!$D$7+F59)^0.5*0.667934^2/10,0))</f>
        <v>0</v>
      </c>
      <c r="K59" s="195"/>
      <c r="L59" s="195"/>
      <c r="M59" s="195"/>
      <c r="N59" s="195"/>
      <c r="O59" s="195"/>
      <c r="P59" s="195"/>
      <c r="Q59" s="195"/>
      <c r="R59" s="195"/>
      <c r="S59" s="195"/>
      <c r="T59" s="195"/>
      <c r="U59" s="195"/>
      <c r="V59" s="195"/>
      <c r="W59" s="195"/>
      <c r="X59" s="195"/>
      <c r="Y59" s="195"/>
      <c r="Z59" s="195"/>
      <c r="AA59" s="195"/>
      <c r="AB59" s="195"/>
      <c r="AC59" s="195"/>
    </row>
    <row r="60" customFormat="false" ht="18" hidden="false" customHeight="true" outlineLevel="0" collapsed="false">
      <c r="A60" s="195"/>
      <c r="B60" s="195"/>
      <c r="C60" s="203" t="e">
        <f aca="false">IF(ISBLANK(D60),,SUM(D60:F60)/45)</f>
        <v>#NAME?</v>
      </c>
      <c r="D60" s="202" t="e">
        <v>#NAME?</v>
      </c>
      <c r="E60" s="202" t="e">
        <v>#NAME?</v>
      </c>
      <c r="F60" s="202" t="e">
        <v>#NAME?</v>
      </c>
      <c r="G60" s="202" t="e">
        <v>#NAME?</v>
      </c>
      <c r="H60" s="202" t="n">
        <f aca="false">IF(OR(ISBLANK(D60),NOT($C$7="Standard and boosted")),,ROUNDDOWN(('2.0.0 Raid Boss CP Helper'!$D$5+D60)*('2.0.0 Raid Boss CP Helper'!$D$6+E60)^0.5*('2.0.0 Raid Boss CP Helper'!$D$7+F60)^0.5*0.667934^2/10,0))</f>
        <v>0</v>
      </c>
      <c r="K60" s="195"/>
      <c r="L60" s="195"/>
      <c r="M60" s="195"/>
      <c r="N60" s="195"/>
      <c r="O60" s="195"/>
      <c r="P60" s="195"/>
      <c r="Q60" s="195"/>
      <c r="R60" s="195"/>
      <c r="S60" s="195"/>
      <c r="T60" s="195"/>
      <c r="U60" s="195"/>
      <c r="V60" s="195"/>
      <c r="W60" s="195"/>
      <c r="X60" s="195"/>
      <c r="Y60" s="195"/>
      <c r="Z60" s="195"/>
      <c r="AA60" s="195"/>
      <c r="AB60" s="195"/>
      <c r="AC60" s="195"/>
    </row>
    <row r="61" customFormat="false" ht="18" hidden="false" customHeight="true" outlineLevel="0" collapsed="false">
      <c r="A61" s="195"/>
      <c r="B61" s="195"/>
      <c r="C61" s="203" t="e">
        <f aca="false">IF(ISBLANK(D61),,SUM(D61:F61)/45)</f>
        <v>#NAME?</v>
      </c>
      <c r="D61" s="202" t="e">
        <v>#NAME?</v>
      </c>
      <c r="E61" s="202" t="e">
        <v>#NAME?</v>
      </c>
      <c r="F61" s="202" t="e">
        <v>#NAME?</v>
      </c>
      <c r="G61" s="202" t="e">
        <v>#NAME?</v>
      </c>
      <c r="H61" s="202" t="n">
        <f aca="false">IF(OR(ISBLANK(D61),NOT($C$7="Standard and boosted")),,ROUNDDOWN(('2.0.0 Raid Boss CP Helper'!$D$5+D61)*('2.0.0 Raid Boss CP Helper'!$D$6+E61)^0.5*('2.0.0 Raid Boss CP Helper'!$D$7+F61)^0.5*0.667934^2/10,0))</f>
        <v>0</v>
      </c>
      <c r="K61" s="195"/>
      <c r="L61" s="195"/>
      <c r="M61" s="195"/>
      <c r="N61" s="195"/>
      <c r="O61" s="195"/>
      <c r="P61" s="195"/>
      <c r="Q61" s="195"/>
      <c r="R61" s="195"/>
      <c r="S61" s="195"/>
      <c r="T61" s="195"/>
      <c r="U61" s="195"/>
      <c r="V61" s="195"/>
      <c r="W61" s="195"/>
      <c r="X61" s="195"/>
      <c r="Y61" s="195"/>
      <c r="Z61" s="195"/>
      <c r="AA61" s="195"/>
      <c r="AB61" s="195"/>
      <c r="AC61" s="195"/>
    </row>
    <row r="62" customFormat="false" ht="18" hidden="false" customHeight="true" outlineLevel="0" collapsed="false">
      <c r="A62" s="195"/>
      <c r="B62" s="195"/>
      <c r="C62" s="203" t="e">
        <f aca="false">IF(ISBLANK(D62),,SUM(D62:F62)/45)</f>
        <v>#NAME?</v>
      </c>
      <c r="D62" s="202" t="e">
        <v>#NAME?</v>
      </c>
      <c r="E62" s="202" t="e">
        <v>#NAME?</v>
      </c>
      <c r="F62" s="202" t="e">
        <v>#NAME?</v>
      </c>
      <c r="G62" s="202" t="e">
        <v>#NAME?</v>
      </c>
      <c r="H62" s="202" t="n">
        <f aca="false">IF(OR(ISBLANK(D62),NOT($C$7="Standard and boosted")),,ROUNDDOWN(('2.0.0 Raid Boss CP Helper'!$D$5+D62)*('2.0.0 Raid Boss CP Helper'!$D$6+E62)^0.5*('2.0.0 Raid Boss CP Helper'!$D$7+F62)^0.5*0.667934^2/10,0))</f>
        <v>0</v>
      </c>
      <c r="K62" s="195"/>
      <c r="L62" s="195"/>
      <c r="M62" s="195"/>
      <c r="N62" s="195"/>
      <c r="O62" s="195"/>
      <c r="P62" s="195"/>
      <c r="Q62" s="195"/>
      <c r="R62" s="195"/>
      <c r="S62" s="195"/>
      <c r="T62" s="195"/>
      <c r="U62" s="195"/>
      <c r="V62" s="195"/>
      <c r="W62" s="195"/>
      <c r="X62" s="195"/>
      <c r="Y62" s="195"/>
      <c r="Z62" s="195"/>
      <c r="AA62" s="195"/>
      <c r="AB62" s="195"/>
      <c r="AC62" s="195"/>
    </row>
    <row r="63" customFormat="false" ht="18" hidden="false" customHeight="true" outlineLevel="0" collapsed="false">
      <c r="A63" s="195"/>
      <c r="B63" s="195"/>
      <c r="C63" s="203" t="e">
        <f aca="false">IF(ISBLANK(D63),,SUM(D63:F63)/45)</f>
        <v>#NAME?</v>
      </c>
      <c r="D63" s="202" t="e">
        <v>#NAME?</v>
      </c>
      <c r="E63" s="202" t="e">
        <v>#NAME?</v>
      </c>
      <c r="F63" s="202" t="e">
        <v>#NAME?</v>
      </c>
      <c r="G63" s="202" t="e">
        <v>#NAME?</v>
      </c>
      <c r="H63" s="202" t="n">
        <f aca="false">IF(OR(ISBLANK(D63),NOT($C$7="Standard and boosted")),,ROUNDDOWN(('2.0.0 Raid Boss CP Helper'!$D$5+D63)*('2.0.0 Raid Boss CP Helper'!$D$6+E63)^0.5*('2.0.0 Raid Boss CP Helper'!$D$7+F63)^0.5*0.667934^2/10,0))</f>
        <v>0</v>
      </c>
      <c r="K63" s="195"/>
      <c r="L63" s="195"/>
      <c r="M63" s="195"/>
      <c r="N63" s="195"/>
      <c r="O63" s="195"/>
      <c r="P63" s="195"/>
      <c r="Q63" s="195"/>
      <c r="R63" s="195"/>
      <c r="S63" s="195"/>
      <c r="T63" s="195"/>
      <c r="U63" s="195"/>
      <c r="V63" s="195"/>
      <c r="W63" s="195"/>
      <c r="X63" s="195"/>
      <c r="Y63" s="195"/>
      <c r="Z63" s="195"/>
      <c r="AA63" s="195"/>
      <c r="AB63" s="195"/>
      <c r="AC63" s="195"/>
    </row>
    <row r="64" customFormat="false" ht="18" hidden="false" customHeight="true" outlineLevel="0" collapsed="false">
      <c r="A64" s="195"/>
      <c r="B64" s="195"/>
      <c r="C64" s="203" t="e">
        <f aca="false">IF(ISBLANK(D64),,SUM(D64:F64)/45)</f>
        <v>#NAME?</v>
      </c>
      <c r="D64" s="202" t="e">
        <v>#NAME?</v>
      </c>
      <c r="E64" s="202" t="e">
        <v>#NAME?</v>
      </c>
      <c r="F64" s="202" t="e">
        <v>#NAME?</v>
      </c>
      <c r="G64" s="202" t="e">
        <v>#NAME?</v>
      </c>
      <c r="H64" s="202" t="n">
        <f aca="false">IF(OR(ISBLANK(D64),NOT($C$7="Standard and boosted")),,ROUNDDOWN(('2.0.0 Raid Boss CP Helper'!$D$5+D64)*('2.0.0 Raid Boss CP Helper'!$D$6+E64)^0.5*('2.0.0 Raid Boss CP Helper'!$D$7+F64)^0.5*0.667934^2/10,0))</f>
        <v>0</v>
      </c>
      <c r="K64" s="195"/>
      <c r="L64" s="195"/>
      <c r="M64" s="195"/>
      <c r="N64" s="195"/>
      <c r="O64" s="195"/>
      <c r="P64" s="195"/>
      <c r="Q64" s="195"/>
      <c r="R64" s="195"/>
      <c r="S64" s="195"/>
      <c r="T64" s="195"/>
      <c r="U64" s="195"/>
      <c r="V64" s="195"/>
      <c r="W64" s="195"/>
      <c r="X64" s="195"/>
      <c r="Y64" s="195"/>
      <c r="Z64" s="195"/>
      <c r="AA64" s="195"/>
      <c r="AB64" s="195"/>
      <c r="AC64" s="195"/>
    </row>
    <row r="65" customFormat="false" ht="18" hidden="false" customHeight="true" outlineLevel="0" collapsed="false">
      <c r="A65" s="195"/>
      <c r="B65" s="195"/>
      <c r="C65" s="203" t="e">
        <f aca="false">IF(ISBLANK(D65),,SUM(D65:F65)/45)</f>
        <v>#NAME?</v>
      </c>
      <c r="D65" s="202" t="e">
        <v>#NAME?</v>
      </c>
      <c r="E65" s="202" t="e">
        <v>#NAME?</v>
      </c>
      <c r="F65" s="202" t="e">
        <v>#NAME?</v>
      </c>
      <c r="G65" s="202" t="e">
        <v>#NAME?</v>
      </c>
      <c r="H65" s="202" t="n">
        <f aca="false">IF(OR(ISBLANK(D65),NOT($C$7="Standard and boosted")),,ROUNDDOWN(('2.0.0 Raid Boss CP Helper'!$D$5+D65)*('2.0.0 Raid Boss CP Helper'!$D$6+E65)^0.5*('2.0.0 Raid Boss CP Helper'!$D$7+F65)^0.5*0.667934^2/10,0))</f>
        <v>0</v>
      </c>
      <c r="K65" s="195"/>
      <c r="L65" s="195"/>
      <c r="M65" s="195"/>
      <c r="N65" s="195"/>
      <c r="O65" s="195"/>
      <c r="P65" s="195"/>
      <c r="Q65" s="195"/>
      <c r="R65" s="195"/>
      <c r="S65" s="195"/>
      <c r="T65" s="195"/>
      <c r="U65" s="195"/>
      <c r="V65" s="195"/>
      <c r="W65" s="195"/>
      <c r="X65" s="195"/>
      <c r="Y65" s="195"/>
      <c r="Z65" s="195"/>
      <c r="AA65" s="195"/>
      <c r="AB65" s="195"/>
      <c r="AC65" s="195"/>
    </row>
    <row r="66" customFormat="false" ht="18" hidden="false" customHeight="true" outlineLevel="0" collapsed="false">
      <c r="A66" s="195"/>
      <c r="B66" s="195"/>
      <c r="C66" s="203" t="e">
        <f aca="false">IF(ISBLANK(D66),,SUM(D66:F66)/45)</f>
        <v>#NAME?</v>
      </c>
      <c r="D66" s="202" t="e">
        <v>#NAME?</v>
      </c>
      <c r="E66" s="202" t="e">
        <v>#NAME?</v>
      </c>
      <c r="F66" s="202" t="e">
        <v>#NAME?</v>
      </c>
      <c r="G66" s="202" t="e">
        <v>#NAME?</v>
      </c>
      <c r="H66" s="202" t="n">
        <f aca="false">IF(OR(ISBLANK(D66),NOT($C$7="Standard and boosted")),,ROUNDDOWN(('2.0.0 Raid Boss CP Helper'!$D$5+D66)*('2.0.0 Raid Boss CP Helper'!$D$6+E66)^0.5*('2.0.0 Raid Boss CP Helper'!$D$7+F66)^0.5*0.667934^2/10,0))</f>
        <v>0</v>
      </c>
      <c r="K66" s="195"/>
      <c r="L66" s="195"/>
      <c r="M66" s="195"/>
      <c r="N66" s="195"/>
      <c r="O66" s="195"/>
      <c r="P66" s="195"/>
      <c r="Q66" s="195"/>
      <c r="R66" s="195"/>
      <c r="S66" s="195"/>
      <c r="T66" s="195"/>
      <c r="U66" s="195"/>
      <c r="V66" s="195"/>
      <c r="W66" s="195"/>
      <c r="X66" s="195"/>
      <c r="Y66" s="195"/>
      <c r="Z66" s="195"/>
      <c r="AA66" s="195"/>
      <c r="AB66" s="195"/>
      <c r="AC66" s="195"/>
    </row>
    <row r="67" customFormat="false" ht="18" hidden="false" customHeight="true" outlineLevel="0" collapsed="false">
      <c r="A67" s="195"/>
      <c r="B67" s="195"/>
      <c r="C67" s="204" t="e">
        <f aca="false">IF(ISBLANK(D67),,SUM(D67:F67)/45)</f>
        <v>#NAME?</v>
      </c>
      <c r="D67" s="205" t="e">
        <v>#NAME?</v>
      </c>
      <c r="E67" s="205" t="e">
        <v>#NAME?</v>
      </c>
      <c r="F67" s="205" t="e">
        <v>#NAME?</v>
      </c>
      <c r="G67" s="205" t="e">
        <v>#NAME?</v>
      </c>
      <c r="H67" s="205" t="n">
        <f aca="false">IF(OR(ISBLANK(D67),NOT($C$7="Standard and boosted")),,ROUNDDOWN(('2.0.0 Raid Boss CP Helper'!$D$5+D67)*('2.0.0 Raid Boss CP Helper'!$D$6+E67)^0.5*('2.0.0 Raid Boss CP Helper'!$D$7+F67)^0.5*0.667934^2/10,0))</f>
        <v>0</v>
      </c>
      <c r="K67" s="195"/>
      <c r="L67" s="195"/>
      <c r="M67" s="195"/>
      <c r="N67" s="195"/>
      <c r="O67" s="195"/>
      <c r="P67" s="195"/>
      <c r="Q67" s="195"/>
      <c r="R67" s="195"/>
      <c r="S67" s="195"/>
      <c r="T67" s="195"/>
      <c r="U67" s="195"/>
      <c r="V67" s="195"/>
      <c r="W67" s="195"/>
      <c r="X67" s="195"/>
      <c r="Y67" s="195"/>
      <c r="Z67" s="195"/>
      <c r="AA67" s="195"/>
      <c r="AB67" s="195"/>
      <c r="AC67" s="195"/>
    </row>
    <row r="68" customFormat="false" ht="18" hidden="false" customHeight="true" outlineLevel="0" collapsed="false">
      <c r="A68" s="195"/>
      <c r="B68" s="195"/>
      <c r="C68" s="204" t="e">
        <f aca="false">IF(ISBLANK(D68),,SUM(D68:F68)/45)</f>
        <v>#NAME?</v>
      </c>
      <c r="D68" s="205" t="e">
        <v>#NAME?</v>
      </c>
      <c r="E68" s="205" t="e">
        <v>#NAME?</v>
      </c>
      <c r="F68" s="205" t="e">
        <v>#NAME?</v>
      </c>
      <c r="G68" s="205" t="e">
        <v>#NAME?</v>
      </c>
      <c r="H68" s="205" t="n">
        <f aca="false">IF(OR(ISBLANK(D68),NOT($C$7="Standard and boosted")),,ROUNDDOWN(('2.0.0 Raid Boss CP Helper'!$D$5+D68)*('2.0.0 Raid Boss CP Helper'!$D$6+E68)^0.5*('2.0.0 Raid Boss CP Helper'!$D$7+F68)^0.5*0.667934^2/10,0))</f>
        <v>0</v>
      </c>
      <c r="K68" s="195"/>
      <c r="L68" s="195"/>
      <c r="M68" s="195"/>
      <c r="N68" s="195"/>
      <c r="O68" s="195"/>
      <c r="P68" s="195"/>
      <c r="Q68" s="195"/>
      <c r="R68" s="195"/>
      <c r="S68" s="195"/>
      <c r="T68" s="195"/>
      <c r="U68" s="195"/>
      <c r="V68" s="195"/>
      <c r="W68" s="195"/>
      <c r="X68" s="195"/>
      <c r="Y68" s="195"/>
      <c r="Z68" s="195"/>
      <c r="AA68" s="195"/>
      <c r="AB68" s="195"/>
      <c r="AC68" s="195"/>
    </row>
    <row r="69" customFormat="false" ht="18" hidden="false" customHeight="true" outlineLevel="0" collapsed="false">
      <c r="A69" s="195"/>
      <c r="B69" s="195"/>
      <c r="C69" s="204" t="e">
        <f aca="false">IF(ISBLANK(D69),,SUM(D69:F69)/45)</f>
        <v>#NAME?</v>
      </c>
      <c r="D69" s="205" t="e">
        <v>#NAME?</v>
      </c>
      <c r="E69" s="205" t="e">
        <v>#NAME?</v>
      </c>
      <c r="F69" s="205" t="e">
        <v>#NAME?</v>
      </c>
      <c r="G69" s="205" t="e">
        <v>#NAME?</v>
      </c>
      <c r="H69" s="205" t="n">
        <f aca="false">IF(OR(ISBLANK(D69),NOT($C$7="Standard and boosted")),,ROUNDDOWN(('2.0.0 Raid Boss CP Helper'!$D$5+D69)*('2.0.0 Raid Boss CP Helper'!$D$6+E69)^0.5*('2.0.0 Raid Boss CP Helper'!$D$7+F69)^0.5*0.667934^2/10,0))</f>
        <v>0</v>
      </c>
      <c r="K69" s="195"/>
      <c r="L69" s="195"/>
      <c r="M69" s="195"/>
      <c r="N69" s="195"/>
      <c r="O69" s="195"/>
      <c r="P69" s="195"/>
      <c r="Q69" s="195"/>
      <c r="R69" s="195"/>
      <c r="S69" s="195"/>
      <c r="T69" s="195"/>
      <c r="U69" s="195"/>
      <c r="V69" s="195"/>
      <c r="W69" s="195"/>
      <c r="X69" s="195"/>
      <c r="Y69" s="195"/>
      <c r="Z69" s="195"/>
      <c r="AA69" s="195"/>
      <c r="AB69" s="195"/>
      <c r="AC69" s="195"/>
    </row>
    <row r="70" customFormat="false" ht="18" hidden="false" customHeight="true" outlineLevel="0" collapsed="false">
      <c r="A70" s="195"/>
      <c r="B70" s="195"/>
      <c r="C70" s="204" t="e">
        <f aca="false">IF(ISBLANK(D70),,SUM(D70:F70)/45)</f>
        <v>#NAME?</v>
      </c>
      <c r="D70" s="205" t="e">
        <v>#NAME?</v>
      </c>
      <c r="E70" s="205" t="e">
        <v>#NAME?</v>
      </c>
      <c r="F70" s="205" t="e">
        <v>#NAME?</v>
      </c>
      <c r="G70" s="205" t="e">
        <v>#NAME?</v>
      </c>
      <c r="H70" s="205" t="n">
        <f aca="false">IF(OR(ISBLANK(D70),NOT($C$7="Standard and boosted")),,ROUNDDOWN(('2.0.0 Raid Boss CP Helper'!$D$5+D70)*('2.0.0 Raid Boss CP Helper'!$D$6+E70)^0.5*('2.0.0 Raid Boss CP Helper'!$D$7+F70)^0.5*0.667934^2/10,0))</f>
        <v>0</v>
      </c>
      <c r="K70" s="195"/>
      <c r="L70" s="195"/>
      <c r="M70" s="195"/>
      <c r="N70" s="195"/>
      <c r="O70" s="195"/>
      <c r="P70" s="195"/>
      <c r="Q70" s="195"/>
      <c r="R70" s="195"/>
      <c r="S70" s="195"/>
      <c r="T70" s="195"/>
      <c r="U70" s="195"/>
      <c r="V70" s="195"/>
      <c r="W70" s="195"/>
      <c r="X70" s="195"/>
      <c r="Y70" s="195"/>
      <c r="Z70" s="195"/>
      <c r="AA70" s="195"/>
      <c r="AB70" s="195"/>
      <c r="AC70" s="195"/>
    </row>
    <row r="71" customFormat="false" ht="18" hidden="false" customHeight="true" outlineLevel="0" collapsed="false">
      <c r="A71" s="195"/>
      <c r="B71" s="195"/>
      <c r="C71" s="204" t="e">
        <f aca="false">IF(ISBLANK(D71),,SUM(D71:F71)/45)</f>
        <v>#NAME?</v>
      </c>
      <c r="D71" s="205" t="e">
        <v>#NAME?</v>
      </c>
      <c r="E71" s="205" t="e">
        <v>#NAME?</v>
      </c>
      <c r="F71" s="205" t="e">
        <v>#NAME?</v>
      </c>
      <c r="G71" s="205" t="e">
        <v>#NAME?</v>
      </c>
      <c r="H71" s="205" t="n">
        <f aca="false">IF(OR(ISBLANK(D71),NOT($C$7="Standard and boosted")),,ROUNDDOWN(('2.0.0 Raid Boss CP Helper'!$D$5+D71)*('2.0.0 Raid Boss CP Helper'!$D$6+E71)^0.5*('2.0.0 Raid Boss CP Helper'!$D$7+F71)^0.5*0.667934^2/10,0))</f>
        <v>0</v>
      </c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</row>
    <row r="72" customFormat="false" ht="18" hidden="false" customHeight="true" outlineLevel="0" collapsed="false">
      <c r="A72" s="195"/>
      <c r="B72" s="195"/>
      <c r="C72" s="204" t="e">
        <f aca="false">IF(ISBLANK(D72),,SUM(D72:F72)/45)</f>
        <v>#NAME?</v>
      </c>
      <c r="D72" s="205" t="e">
        <v>#NAME?</v>
      </c>
      <c r="E72" s="205" t="e">
        <v>#NAME?</v>
      </c>
      <c r="F72" s="205" t="e">
        <v>#NAME?</v>
      </c>
      <c r="G72" s="205" t="e">
        <v>#NAME?</v>
      </c>
      <c r="H72" s="205" t="n">
        <f aca="false">IF(OR(ISBLANK(D72),NOT($C$7="Standard and boosted")),,ROUNDDOWN(('2.0.0 Raid Boss CP Helper'!$D$5+D72)*('2.0.0 Raid Boss CP Helper'!$D$6+E72)^0.5*('2.0.0 Raid Boss CP Helper'!$D$7+F72)^0.5*0.667934^2/10,0))</f>
        <v>0</v>
      </c>
      <c r="K72" s="195"/>
      <c r="L72" s="195"/>
      <c r="M72" s="195"/>
      <c r="N72" s="195"/>
      <c r="O72" s="195"/>
      <c r="P72" s="195"/>
      <c r="Q72" s="195"/>
      <c r="R72" s="195"/>
      <c r="S72" s="195"/>
      <c r="T72" s="195"/>
      <c r="U72" s="195"/>
      <c r="V72" s="195"/>
      <c r="W72" s="195"/>
      <c r="X72" s="195"/>
      <c r="Y72" s="195"/>
      <c r="Z72" s="195"/>
      <c r="AA72" s="195"/>
      <c r="AB72" s="195"/>
      <c r="AC72" s="195"/>
    </row>
    <row r="73" customFormat="false" ht="18" hidden="false" customHeight="true" outlineLevel="0" collapsed="false">
      <c r="A73" s="195"/>
      <c r="B73" s="195"/>
      <c r="C73" s="204" t="e">
        <f aca="false">IF(ISBLANK(D73),,SUM(D73:F73)/45)</f>
        <v>#NAME?</v>
      </c>
      <c r="D73" s="205" t="e">
        <v>#NAME?</v>
      </c>
      <c r="E73" s="205" t="e">
        <v>#NAME?</v>
      </c>
      <c r="F73" s="205" t="e">
        <v>#NAME?</v>
      </c>
      <c r="G73" s="205" t="e">
        <v>#NAME?</v>
      </c>
      <c r="H73" s="205" t="n">
        <f aca="false">IF(OR(ISBLANK(D73),NOT($C$7="Standard and boosted")),,ROUNDDOWN(('2.0.0 Raid Boss CP Helper'!$D$5+D73)*('2.0.0 Raid Boss CP Helper'!$D$6+E73)^0.5*('2.0.0 Raid Boss CP Helper'!$D$7+F73)^0.5*0.667934^2/10,0))</f>
        <v>0</v>
      </c>
      <c r="K73" s="195"/>
      <c r="L73" s="195"/>
      <c r="M73" s="195"/>
      <c r="N73" s="195"/>
      <c r="O73" s="195"/>
      <c r="P73" s="195"/>
      <c r="Q73" s="195"/>
      <c r="R73" s="195"/>
      <c r="S73" s="195"/>
      <c r="T73" s="195"/>
      <c r="U73" s="195"/>
      <c r="V73" s="195"/>
      <c r="W73" s="195"/>
      <c r="X73" s="195"/>
      <c r="Y73" s="195"/>
      <c r="Z73" s="195"/>
      <c r="AA73" s="195"/>
      <c r="AB73" s="195"/>
      <c r="AC73" s="195"/>
    </row>
    <row r="74" customFormat="false" ht="18" hidden="false" customHeight="true" outlineLevel="0" collapsed="false">
      <c r="A74" s="195"/>
      <c r="B74" s="195"/>
      <c r="C74" s="204" t="e">
        <f aca="false">IF(ISBLANK(D74),,SUM(D74:F74)/45)</f>
        <v>#NAME?</v>
      </c>
      <c r="D74" s="205" t="e">
        <v>#NAME?</v>
      </c>
      <c r="E74" s="205" t="e">
        <v>#NAME?</v>
      </c>
      <c r="F74" s="205" t="e">
        <v>#NAME?</v>
      </c>
      <c r="G74" s="205" t="e">
        <v>#NAME?</v>
      </c>
      <c r="H74" s="205" t="n">
        <f aca="false">IF(OR(ISBLANK(D74),NOT($C$7="Standard and boosted")),,ROUNDDOWN(('2.0.0 Raid Boss CP Helper'!$D$5+D74)*('2.0.0 Raid Boss CP Helper'!$D$6+E74)^0.5*('2.0.0 Raid Boss CP Helper'!$D$7+F74)^0.5*0.667934^2/10,0))</f>
        <v>0</v>
      </c>
      <c r="K74" s="195"/>
      <c r="L74" s="195"/>
      <c r="M74" s="195"/>
      <c r="N74" s="195"/>
      <c r="O74" s="195"/>
      <c r="P74" s="195"/>
      <c r="Q74" s="195"/>
      <c r="R74" s="195"/>
      <c r="S74" s="195"/>
      <c r="T74" s="195"/>
      <c r="U74" s="195"/>
      <c r="V74" s="195"/>
      <c r="W74" s="195"/>
      <c r="X74" s="195"/>
      <c r="Y74" s="195"/>
      <c r="Z74" s="195"/>
      <c r="AA74" s="195"/>
      <c r="AB74" s="195"/>
      <c r="AC74" s="195"/>
    </row>
    <row r="75" customFormat="false" ht="18" hidden="false" customHeight="true" outlineLevel="0" collapsed="false">
      <c r="A75" s="195"/>
      <c r="B75" s="195"/>
      <c r="C75" s="204" t="e">
        <f aca="false">IF(ISBLANK(D75),,SUM(D75:F75)/45)</f>
        <v>#NAME?</v>
      </c>
      <c r="D75" s="205" t="e">
        <v>#NAME?</v>
      </c>
      <c r="E75" s="205" t="e">
        <v>#NAME?</v>
      </c>
      <c r="F75" s="205" t="e">
        <v>#NAME?</v>
      </c>
      <c r="G75" s="205" t="e">
        <v>#NAME?</v>
      </c>
      <c r="H75" s="205" t="n">
        <f aca="false">IF(OR(ISBLANK(D75),NOT($C$7="Standard and boosted")),,ROUNDDOWN(('2.0.0 Raid Boss CP Helper'!$D$5+D75)*('2.0.0 Raid Boss CP Helper'!$D$6+E75)^0.5*('2.0.0 Raid Boss CP Helper'!$D$7+F75)^0.5*0.667934^2/10,0))</f>
        <v>0</v>
      </c>
      <c r="K75" s="195"/>
      <c r="L75" s="195"/>
      <c r="M75" s="195"/>
      <c r="N75" s="195"/>
      <c r="O75" s="195"/>
      <c r="P75" s="195"/>
      <c r="Q75" s="195"/>
      <c r="R75" s="195"/>
      <c r="S75" s="195"/>
      <c r="T75" s="195"/>
      <c r="U75" s="195"/>
      <c r="V75" s="195"/>
      <c r="W75" s="195"/>
      <c r="X75" s="195"/>
      <c r="Y75" s="195"/>
      <c r="Z75" s="195"/>
      <c r="AA75" s="195"/>
      <c r="AB75" s="195"/>
      <c r="AC75" s="195"/>
    </row>
    <row r="76" customFormat="false" ht="18" hidden="false" customHeight="true" outlineLevel="0" collapsed="false">
      <c r="A76" s="195"/>
      <c r="B76" s="195"/>
      <c r="C76" s="204" t="e">
        <f aca="false">IF(ISBLANK(D76),,SUM(D76:F76)/45)</f>
        <v>#NAME?</v>
      </c>
      <c r="D76" s="205" t="e">
        <v>#NAME?</v>
      </c>
      <c r="E76" s="205" t="e">
        <v>#NAME?</v>
      </c>
      <c r="F76" s="205" t="e">
        <v>#NAME?</v>
      </c>
      <c r="G76" s="205" t="e">
        <v>#NAME?</v>
      </c>
      <c r="H76" s="205" t="n">
        <f aca="false">IF(OR(ISBLANK(D76),NOT($C$7="Standard and boosted")),,ROUNDDOWN(('2.0.0 Raid Boss CP Helper'!$D$5+D76)*('2.0.0 Raid Boss CP Helper'!$D$6+E76)^0.5*('2.0.0 Raid Boss CP Helper'!$D$7+F76)^0.5*0.667934^2/10,0))</f>
        <v>0</v>
      </c>
      <c r="K76" s="195"/>
      <c r="L76" s="195"/>
      <c r="M76" s="195"/>
      <c r="N76" s="195"/>
      <c r="O76" s="195"/>
      <c r="P76" s="195"/>
      <c r="Q76" s="195"/>
      <c r="R76" s="195"/>
      <c r="S76" s="195"/>
      <c r="T76" s="195"/>
      <c r="U76" s="195"/>
      <c r="V76" s="195"/>
      <c r="W76" s="195"/>
      <c r="X76" s="195"/>
      <c r="Y76" s="195"/>
      <c r="Z76" s="195"/>
      <c r="AA76" s="195"/>
      <c r="AB76" s="195"/>
      <c r="AC76" s="195"/>
    </row>
    <row r="77" customFormat="false" ht="18" hidden="false" customHeight="true" outlineLevel="0" collapsed="false">
      <c r="A77" s="195"/>
      <c r="B77" s="195"/>
      <c r="C77" s="204" t="e">
        <f aca="false">IF(ISBLANK(D77),,SUM(D77:F77)/45)</f>
        <v>#NAME?</v>
      </c>
      <c r="D77" s="205" t="e">
        <v>#NAME?</v>
      </c>
      <c r="E77" s="205" t="e">
        <v>#NAME?</v>
      </c>
      <c r="F77" s="205" t="e">
        <v>#NAME?</v>
      </c>
      <c r="G77" s="205" t="e">
        <v>#NAME?</v>
      </c>
      <c r="H77" s="205" t="n">
        <f aca="false">IF(OR(ISBLANK(D77),NOT($C$7="Standard and boosted")),,ROUNDDOWN(('2.0.0 Raid Boss CP Helper'!$D$5+D77)*('2.0.0 Raid Boss CP Helper'!$D$6+E77)^0.5*('2.0.0 Raid Boss CP Helper'!$D$7+F77)^0.5*0.667934^2/10,0))</f>
        <v>0</v>
      </c>
      <c r="K77" s="195"/>
      <c r="L77" s="195"/>
      <c r="M77" s="195"/>
      <c r="N77" s="195"/>
      <c r="O77" s="195"/>
      <c r="P77" s="195"/>
      <c r="Q77" s="195"/>
      <c r="R77" s="195"/>
      <c r="S77" s="195"/>
      <c r="T77" s="195"/>
      <c r="U77" s="195"/>
      <c r="V77" s="195"/>
      <c r="W77" s="195"/>
      <c r="X77" s="195"/>
      <c r="Y77" s="195"/>
      <c r="Z77" s="195"/>
      <c r="AA77" s="195"/>
      <c r="AB77" s="195"/>
      <c r="AC77" s="195"/>
    </row>
    <row r="78" customFormat="false" ht="18" hidden="false" customHeight="true" outlineLevel="0" collapsed="false">
      <c r="A78" s="195"/>
      <c r="B78" s="195"/>
      <c r="C78" s="204" t="e">
        <f aca="false">IF(ISBLANK(D78),,SUM(D78:F78)/45)</f>
        <v>#NAME?</v>
      </c>
      <c r="D78" s="205" t="e">
        <v>#NAME?</v>
      </c>
      <c r="E78" s="205" t="e">
        <v>#NAME?</v>
      </c>
      <c r="F78" s="205" t="e">
        <v>#NAME?</v>
      </c>
      <c r="G78" s="205" t="e">
        <v>#NAME?</v>
      </c>
      <c r="H78" s="205" t="n">
        <f aca="false">IF(OR(ISBLANK(D78),NOT($C$7="Standard and boosted")),,ROUNDDOWN(('2.0.0 Raid Boss CP Helper'!$D$5+D78)*('2.0.0 Raid Boss CP Helper'!$D$6+E78)^0.5*('2.0.0 Raid Boss CP Helper'!$D$7+F78)^0.5*0.667934^2/10,0))</f>
        <v>0</v>
      </c>
      <c r="K78" s="195"/>
      <c r="L78" s="195"/>
      <c r="M78" s="195"/>
      <c r="N78" s="195"/>
      <c r="O78" s="195"/>
      <c r="P78" s="195"/>
      <c r="Q78" s="195"/>
      <c r="R78" s="195"/>
      <c r="S78" s="195"/>
      <c r="T78" s="195"/>
      <c r="U78" s="195"/>
      <c r="V78" s="195"/>
      <c r="W78" s="195"/>
      <c r="X78" s="195"/>
      <c r="Y78" s="195"/>
      <c r="Z78" s="195"/>
      <c r="AA78" s="195"/>
      <c r="AB78" s="195"/>
      <c r="AC78" s="195"/>
    </row>
    <row r="79" customFormat="false" ht="18" hidden="false" customHeight="true" outlineLevel="0" collapsed="false">
      <c r="A79" s="195"/>
      <c r="B79" s="195"/>
      <c r="C79" s="204" t="e">
        <f aca="false">IF(ISBLANK(D79),,SUM(D79:F79)/45)</f>
        <v>#NAME?</v>
      </c>
      <c r="D79" s="205" t="e">
        <v>#NAME?</v>
      </c>
      <c r="E79" s="205" t="e">
        <v>#NAME?</v>
      </c>
      <c r="F79" s="205" t="e">
        <v>#NAME?</v>
      </c>
      <c r="G79" s="205" t="e">
        <v>#NAME?</v>
      </c>
      <c r="H79" s="205" t="n">
        <f aca="false">IF(OR(ISBLANK(D79),NOT($C$7="Standard and boosted")),,ROUNDDOWN(('2.0.0 Raid Boss CP Helper'!$D$5+D79)*('2.0.0 Raid Boss CP Helper'!$D$6+E79)^0.5*('2.0.0 Raid Boss CP Helper'!$D$7+F79)^0.5*0.667934^2/10,0))</f>
        <v>0</v>
      </c>
      <c r="K79" s="195"/>
      <c r="L79" s="195"/>
      <c r="M79" s="195"/>
      <c r="N79" s="195"/>
      <c r="O79" s="195"/>
      <c r="P79" s="195"/>
      <c r="Q79" s="195"/>
      <c r="R79" s="195"/>
      <c r="S79" s="195"/>
      <c r="T79" s="195"/>
      <c r="U79" s="195"/>
      <c r="V79" s="195"/>
      <c r="W79" s="195"/>
      <c r="X79" s="195"/>
      <c r="Y79" s="195"/>
      <c r="Z79" s="195"/>
      <c r="AA79" s="195"/>
      <c r="AB79" s="195"/>
      <c r="AC79" s="195"/>
    </row>
    <row r="80" customFormat="false" ht="18" hidden="false" customHeight="true" outlineLevel="0" collapsed="false">
      <c r="A80" s="195"/>
      <c r="B80" s="195"/>
      <c r="C80" s="204" t="e">
        <f aca="false">IF(ISBLANK(D80),,SUM(D80:F80)/45)</f>
        <v>#NAME?</v>
      </c>
      <c r="D80" s="205" t="e">
        <v>#NAME?</v>
      </c>
      <c r="E80" s="205" t="e">
        <v>#NAME?</v>
      </c>
      <c r="F80" s="205" t="e">
        <v>#NAME?</v>
      </c>
      <c r="G80" s="205" t="e">
        <v>#NAME?</v>
      </c>
      <c r="H80" s="205" t="n">
        <f aca="false">IF(OR(ISBLANK(D80),NOT($C$7="Standard and boosted")),,ROUNDDOWN(('2.0.0 Raid Boss CP Helper'!$D$5+D80)*('2.0.0 Raid Boss CP Helper'!$D$6+E80)^0.5*('2.0.0 Raid Boss CP Helper'!$D$7+F80)^0.5*0.667934^2/10,0))</f>
        <v>0</v>
      </c>
      <c r="K80" s="195"/>
      <c r="L80" s="195"/>
      <c r="M80" s="195"/>
      <c r="N80" s="195"/>
      <c r="O80" s="195"/>
      <c r="P80" s="195"/>
      <c r="Q80" s="195"/>
      <c r="R80" s="195"/>
      <c r="S80" s="195"/>
      <c r="T80" s="195"/>
      <c r="U80" s="195"/>
      <c r="V80" s="195"/>
      <c r="W80" s="195"/>
      <c r="X80" s="195"/>
      <c r="Y80" s="195"/>
      <c r="Z80" s="195"/>
      <c r="AA80" s="195"/>
      <c r="AB80" s="195"/>
      <c r="AC80" s="195"/>
    </row>
    <row r="81" customFormat="false" ht="18" hidden="false" customHeight="true" outlineLevel="0" collapsed="false">
      <c r="A81" s="195"/>
      <c r="B81" s="195"/>
      <c r="C81" s="204" t="e">
        <f aca="false">IF(ISBLANK(D81),,SUM(D81:F81)/45)</f>
        <v>#NAME?</v>
      </c>
      <c r="D81" s="205" t="e">
        <v>#NAME?</v>
      </c>
      <c r="E81" s="205" t="e">
        <v>#NAME?</v>
      </c>
      <c r="F81" s="205" t="e">
        <v>#NAME?</v>
      </c>
      <c r="G81" s="205" t="e">
        <v>#NAME?</v>
      </c>
      <c r="H81" s="205" t="n">
        <f aca="false">IF(OR(ISBLANK(D81),NOT($C$7="Standard and boosted")),,ROUNDDOWN(('2.0.0 Raid Boss CP Helper'!$D$5+D81)*('2.0.0 Raid Boss CP Helper'!$D$6+E81)^0.5*('2.0.0 Raid Boss CP Helper'!$D$7+F81)^0.5*0.667934^2/10,0))</f>
        <v>0</v>
      </c>
      <c r="K81" s="195"/>
      <c r="L81" s="195"/>
      <c r="M81" s="195"/>
      <c r="N81" s="195"/>
      <c r="O81" s="195"/>
      <c r="P81" s="195"/>
      <c r="Q81" s="195"/>
      <c r="R81" s="195"/>
      <c r="S81" s="195"/>
      <c r="T81" s="195"/>
      <c r="U81" s="195"/>
      <c r="V81" s="195"/>
      <c r="W81" s="195"/>
      <c r="X81" s="195"/>
      <c r="Y81" s="195"/>
      <c r="Z81" s="195"/>
      <c r="AA81" s="195"/>
      <c r="AB81" s="195"/>
      <c r="AC81" s="195"/>
    </row>
    <row r="82" customFormat="false" ht="18" hidden="false" customHeight="true" outlineLevel="0" collapsed="false">
      <c r="A82" s="195"/>
      <c r="B82" s="195"/>
      <c r="C82" s="204" t="e">
        <f aca="false">IF(ISBLANK(D82),,SUM(D82:F82)/45)</f>
        <v>#NAME?</v>
      </c>
      <c r="D82" s="205" t="e">
        <v>#NAME?</v>
      </c>
      <c r="E82" s="205" t="e">
        <v>#NAME?</v>
      </c>
      <c r="F82" s="205" t="e">
        <v>#NAME?</v>
      </c>
      <c r="G82" s="205" t="e">
        <v>#NAME?</v>
      </c>
      <c r="H82" s="205" t="n">
        <f aca="false">IF(OR(ISBLANK(D82),NOT($C$7="Standard and boosted")),,ROUNDDOWN(('2.0.0 Raid Boss CP Helper'!$D$5+D82)*('2.0.0 Raid Boss CP Helper'!$D$6+E82)^0.5*('2.0.0 Raid Boss CP Helper'!$D$7+F82)^0.5*0.667934^2/10,0))</f>
        <v>0</v>
      </c>
      <c r="K82" s="195"/>
      <c r="L82" s="195"/>
      <c r="M82" s="195"/>
      <c r="N82" s="195"/>
      <c r="O82" s="195"/>
      <c r="P82" s="195"/>
      <c r="Q82" s="195"/>
      <c r="R82" s="195"/>
      <c r="S82" s="195"/>
      <c r="T82" s="195"/>
      <c r="U82" s="195"/>
      <c r="V82" s="195"/>
      <c r="W82" s="195"/>
      <c r="X82" s="195"/>
      <c r="Y82" s="195"/>
      <c r="Z82" s="195"/>
      <c r="AA82" s="195"/>
      <c r="AB82" s="195"/>
      <c r="AC82" s="195"/>
    </row>
    <row r="83" customFormat="false" ht="18" hidden="false" customHeight="true" outlineLevel="0" collapsed="false">
      <c r="A83" s="195"/>
      <c r="B83" s="195"/>
      <c r="C83" s="204" t="e">
        <f aca="false">IF(ISBLANK(D83),,SUM(D83:F83)/45)</f>
        <v>#NAME?</v>
      </c>
      <c r="D83" s="205" t="e">
        <v>#NAME?</v>
      </c>
      <c r="E83" s="205" t="e">
        <v>#NAME?</v>
      </c>
      <c r="F83" s="205" t="e">
        <v>#NAME?</v>
      </c>
      <c r="G83" s="205" t="e">
        <v>#NAME?</v>
      </c>
      <c r="H83" s="205" t="n">
        <f aca="false">IF(OR(ISBLANK(D83),NOT($C$7="Standard and boosted")),,ROUNDDOWN(('2.0.0 Raid Boss CP Helper'!$D$5+D83)*('2.0.0 Raid Boss CP Helper'!$D$6+E83)^0.5*('2.0.0 Raid Boss CP Helper'!$D$7+F83)^0.5*0.667934^2/10,0))</f>
        <v>0</v>
      </c>
      <c r="K83" s="195"/>
      <c r="L83" s="195"/>
      <c r="M83" s="195"/>
      <c r="N83" s="195"/>
      <c r="O83" s="195"/>
      <c r="P83" s="195"/>
      <c r="Q83" s="195"/>
      <c r="R83" s="195"/>
      <c r="S83" s="195"/>
      <c r="T83" s="195"/>
      <c r="U83" s="195"/>
      <c r="V83" s="195"/>
      <c r="W83" s="195"/>
      <c r="X83" s="195"/>
      <c r="Y83" s="195"/>
      <c r="Z83" s="195"/>
      <c r="AA83" s="195"/>
      <c r="AB83" s="195"/>
      <c r="AC83" s="195"/>
    </row>
    <row r="84" customFormat="false" ht="18" hidden="false" customHeight="true" outlineLevel="0" collapsed="false">
      <c r="A84" s="195"/>
      <c r="B84" s="195"/>
      <c r="C84" s="204" t="e">
        <f aca="false">IF(ISBLANK(D84),,SUM(D84:F84)/45)</f>
        <v>#NAME?</v>
      </c>
      <c r="D84" s="205" t="e">
        <v>#NAME?</v>
      </c>
      <c r="E84" s="205" t="e">
        <v>#NAME?</v>
      </c>
      <c r="F84" s="205" t="e">
        <v>#NAME?</v>
      </c>
      <c r="G84" s="205" t="e">
        <v>#NAME?</v>
      </c>
      <c r="H84" s="205" t="n">
        <f aca="false">IF(OR(ISBLANK(D84),NOT($C$7="Standard and boosted")),,ROUNDDOWN(('2.0.0 Raid Boss CP Helper'!$D$5+D84)*('2.0.0 Raid Boss CP Helper'!$D$6+E84)^0.5*('2.0.0 Raid Boss CP Helper'!$D$7+F84)^0.5*0.667934^2/10,0))</f>
        <v>0</v>
      </c>
      <c r="K84" s="195"/>
      <c r="L84" s="195"/>
      <c r="M84" s="195"/>
      <c r="N84" s="195"/>
      <c r="O84" s="195"/>
      <c r="P84" s="195"/>
      <c r="Q84" s="195"/>
      <c r="R84" s="195"/>
      <c r="S84" s="195"/>
      <c r="T84" s="195"/>
      <c r="U84" s="195"/>
      <c r="V84" s="195"/>
      <c r="W84" s="195"/>
      <c r="X84" s="195"/>
      <c r="Y84" s="195"/>
      <c r="Z84" s="195"/>
      <c r="AA84" s="195"/>
      <c r="AB84" s="195"/>
      <c r="AC84" s="195"/>
    </row>
    <row r="85" customFormat="false" ht="18" hidden="false" customHeight="true" outlineLevel="0" collapsed="false">
      <c r="A85" s="195"/>
      <c r="B85" s="195"/>
      <c r="C85" s="204" t="e">
        <f aca="false">IF(ISBLANK(D85),,SUM(D85:F85)/45)</f>
        <v>#NAME?</v>
      </c>
      <c r="D85" s="205" t="e">
        <v>#NAME?</v>
      </c>
      <c r="E85" s="205" t="e">
        <v>#NAME?</v>
      </c>
      <c r="F85" s="205" t="e">
        <v>#NAME?</v>
      </c>
      <c r="G85" s="205" t="e">
        <v>#NAME?</v>
      </c>
      <c r="H85" s="205" t="n">
        <f aca="false">IF(OR(ISBLANK(D85),NOT($C$7="Standard and boosted")),,ROUNDDOWN(('2.0.0 Raid Boss CP Helper'!$D$5+D85)*('2.0.0 Raid Boss CP Helper'!$D$6+E85)^0.5*('2.0.0 Raid Boss CP Helper'!$D$7+F85)^0.5*0.667934^2/10,0))</f>
        <v>0</v>
      </c>
      <c r="K85" s="195"/>
      <c r="L85" s="195"/>
      <c r="M85" s="195"/>
      <c r="N85" s="195"/>
      <c r="O85" s="195"/>
      <c r="P85" s="195"/>
      <c r="Q85" s="195"/>
      <c r="R85" s="195"/>
      <c r="S85" s="195"/>
      <c r="T85" s="195"/>
      <c r="U85" s="195"/>
      <c r="V85" s="195"/>
      <c r="W85" s="195"/>
      <c r="X85" s="195"/>
      <c r="Y85" s="195"/>
      <c r="Z85" s="195"/>
      <c r="AA85" s="195"/>
      <c r="AB85" s="195"/>
      <c r="AC85" s="195"/>
    </row>
    <row r="86" customFormat="false" ht="18" hidden="false" customHeight="true" outlineLevel="0" collapsed="false">
      <c r="A86" s="195"/>
      <c r="B86" s="195"/>
      <c r="C86" s="204" t="e">
        <f aca="false">IF(ISBLANK(D86),,SUM(D86:F86)/45)</f>
        <v>#NAME?</v>
      </c>
      <c r="D86" s="205" t="e">
        <v>#NAME?</v>
      </c>
      <c r="E86" s="205" t="e">
        <v>#NAME?</v>
      </c>
      <c r="F86" s="205" t="e">
        <v>#NAME?</v>
      </c>
      <c r="G86" s="205" t="e">
        <v>#NAME?</v>
      </c>
      <c r="H86" s="205" t="n">
        <f aca="false">IF(OR(ISBLANK(D86),NOT($C$7="Standard and boosted")),,ROUNDDOWN(('2.0.0 Raid Boss CP Helper'!$D$5+D86)*('2.0.0 Raid Boss CP Helper'!$D$6+E86)^0.5*('2.0.0 Raid Boss CP Helper'!$D$7+F86)^0.5*0.667934^2/10,0))</f>
        <v>0</v>
      </c>
      <c r="K86" s="195"/>
      <c r="L86" s="195"/>
      <c r="M86" s="195"/>
      <c r="N86" s="195"/>
      <c r="O86" s="195"/>
      <c r="P86" s="195"/>
      <c r="Q86" s="195"/>
      <c r="R86" s="195"/>
      <c r="S86" s="195"/>
      <c r="T86" s="195"/>
      <c r="U86" s="195"/>
      <c r="V86" s="195"/>
      <c r="W86" s="195"/>
      <c r="X86" s="195"/>
      <c r="Y86" s="195"/>
      <c r="Z86" s="195"/>
      <c r="AA86" s="195"/>
      <c r="AB86" s="195"/>
      <c r="AC86" s="195"/>
    </row>
    <row r="87" customFormat="false" ht="18" hidden="false" customHeight="true" outlineLevel="0" collapsed="false">
      <c r="A87" s="195"/>
      <c r="B87" s="195"/>
      <c r="C87" s="204" t="e">
        <f aca="false">IF(ISBLANK(D87),,SUM(D87:F87)/45)</f>
        <v>#NAME?</v>
      </c>
      <c r="D87" s="205" t="e">
        <v>#NAME?</v>
      </c>
      <c r="E87" s="205" t="e">
        <v>#NAME?</v>
      </c>
      <c r="F87" s="205" t="e">
        <v>#NAME?</v>
      </c>
      <c r="G87" s="205" t="e">
        <v>#NAME?</v>
      </c>
      <c r="H87" s="205" t="n">
        <f aca="false">IF(OR(ISBLANK(D87),NOT($C$7="Standard and boosted")),,ROUNDDOWN(('2.0.0 Raid Boss CP Helper'!$D$5+D87)*('2.0.0 Raid Boss CP Helper'!$D$6+E87)^0.5*('2.0.0 Raid Boss CP Helper'!$D$7+F87)^0.5*0.667934^2/10,0))</f>
        <v>0</v>
      </c>
      <c r="K87" s="195"/>
      <c r="L87" s="195"/>
      <c r="M87" s="195"/>
      <c r="N87" s="195"/>
      <c r="O87" s="195"/>
      <c r="P87" s="195"/>
      <c r="Q87" s="195"/>
      <c r="R87" s="195"/>
      <c r="S87" s="195"/>
      <c r="T87" s="195"/>
      <c r="U87" s="195"/>
      <c r="V87" s="195"/>
      <c r="W87" s="195"/>
      <c r="X87" s="195"/>
      <c r="Y87" s="195"/>
      <c r="Z87" s="195"/>
      <c r="AA87" s="195"/>
      <c r="AB87" s="195"/>
      <c r="AC87" s="195"/>
    </row>
    <row r="88" customFormat="false" ht="18" hidden="false" customHeight="true" outlineLevel="0" collapsed="false">
      <c r="A88" s="195"/>
      <c r="B88" s="195"/>
      <c r="C88" s="204" t="e">
        <f aca="false">IF(ISBLANK(D88),,SUM(D88:F88)/45)</f>
        <v>#NAME?</v>
      </c>
      <c r="D88" s="205" t="e">
        <v>#NAME?</v>
      </c>
      <c r="E88" s="205" t="e">
        <v>#NAME?</v>
      </c>
      <c r="F88" s="205" t="e">
        <v>#NAME?</v>
      </c>
      <c r="G88" s="205" t="e">
        <v>#NAME?</v>
      </c>
      <c r="H88" s="205" t="n">
        <f aca="false">IF(OR(ISBLANK(D88),NOT($C$7="Standard and boosted")),,ROUNDDOWN(('2.0.0 Raid Boss CP Helper'!$D$5+D88)*('2.0.0 Raid Boss CP Helper'!$D$6+E88)^0.5*('2.0.0 Raid Boss CP Helper'!$D$7+F88)^0.5*0.667934^2/10,0))</f>
        <v>0</v>
      </c>
      <c r="K88" s="195"/>
      <c r="L88" s="195"/>
      <c r="M88" s="195"/>
      <c r="N88" s="195"/>
      <c r="O88" s="195"/>
      <c r="P88" s="195"/>
      <c r="Q88" s="195"/>
      <c r="R88" s="195"/>
      <c r="S88" s="195"/>
      <c r="T88" s="195"/>
      <c r="U88" s="195"/>
      <c r="V88" s="195"/>
      <c r="W88" s="195"/>
      <c r="X88" s="195"/>
      <c r="Y88" s="195"/>
      <c r="Z88" s="195"/>
      <c r="AA88" s="195"/>
      <c r="AB88" s="195"/>
      <c r="AC88" s="195"/>
    </row>
    <row r="89" customFormat="false" ht="18" hidden="false" customHeight="true" outlineLevel="0" collapsed="false">
      <c r="A89" s="195"/>
      <c r="B89" s="195"/>
      <c r="C89" s="204" t="e">
        <f aca="false">IF(ISBLANK(D89),,SUM(D89:F89)/45)</f>
        <v>#NAME?</v>
      </c>
      <c r="D89" s="205" t="e">
        <v>#NAME?</v>
      </c>
      <c r="E89" s="205" t="e">
        <v>#NAME?</v>
      </c>
      <c r="F89" s="205" t="e">
        <v>#NAME?</v>
      </c>
      <c r="G89" s="205" t="e">
        <v>#NAME?</v>
      </c>
      <c r="H89" s="205" t="n">
        <f aca="false">IF(OR(ISBLANK(D89),NOT($C$7="Standard and boosted")),,ROUNDDOWN(('2.0.0 Raid Boss CP Helper'!$D$5+D89)*('2.0.0 Raid Boss CP Helper'!$D$6+E89)^0.5*('2.0.0 Raid Boss CP Helper'!$D$7+F89)^0.5*0.667934^2/10,0))</f>
        <v>0</v>
      </c>
      <c r="K89" s="195"/>
      <c r="L89" s="195"/>
      <c r="M89" s="195"/>
      <c r="N89" s="195"/>
      <c r="O89" s="195"/>
      <c r="P89" s="195"/>
      <c r="Q89" s="195"/>
      <c r="R89" s="195"/>
      <c r="S89" s="195"/>
      <c r="T89" s="195"/>
      <c r="U89" s="195"/>
      <c r="V89" s="195"/>
      <c r="W89" s="195"/>
      <c r="X89" s="195"/>
      <c r="Y89" s="195"/>
      <c r="Z89" s="195"/>
      <c r="AA89" s="195"/>
      <c r="AB89" s="195"/>
      <c r="AC89" s="195"/>
    </row>
    <row r="90" customFormat="false" ht="18" hidden="false" customHeight="true" outlineLevel="0" collapsed="false">
      <c r="A90" s="195"/>
      <c r="B90" s="195"/>
      <c r="C90" s="204" t="e">
        <f aca="false">IF(ISBLANK(D90),,SUM(D90:F90)/45)</f>
        <v>#NAME?</v>
      </c>
      <c r="D90" s="205" t="e">
        <v>#NAME?</v>
      </c>
      <c r="E90" s="205" t="e">
        <v>#NAME?</v>
      </c>
      <c r="F90" s="205" t="e">
        <v>#NAME?</v>
      </c>
      <c r="G90" s="205" t="e">
        <v>#NAME?</v>
      </c>
      <c r="H90" s="205" t="n">
        <f aca="false">IF(OR(ISBLANK(D90),NOT($C$7="Standard and boosted")),,ROUNDDOWN(('2.0.0 Raid Boss CP Helper'!$D$5+D90)*('2.0.0 Raid Boss CP Helper'!$D$6+E90)^0.5*('2.0.0 Raid Boss CP Helper'!$D$7+F90)^0.5*0.667934^2/10,0))</f>
        <v>0</v>
      </c>
      <c r="K90" s="195"/>
      <c r="L90" s="195"/>
      <c r="M90" s="195"/>
      <c r="N90" s="195"/>
      <c r="O90" s="195"/>
      <c r="P90" s="195"/>
      <c r="Q90" s="195"/>
      <c r="R90" s="195"/>
      <c r="S90" s="195"/>
      <c r="T90" s="195"/>
      <c r="U90" s="195"/>
      <c r="V90" s="195"/>
      <c r="W90" s="195"/>
      <c r="X90" s="195"/>
      <c r="Y90" s="195"/>
      <c r="Z90" s="195"/>
      <c r="AA90" s="195"/>
      <c r="AB90" s="195"/>
      <c r="AC90" s="195"/>
    </row>
    <row r="91" customFormat="false" ht="18" hidden="false" customHeight="true" outlineLevel="0" collapsed="false">
      <c r="A91" s="195"/>
      <c r="B91" s="195"/>
      <c r="C91" s="204" t="e">
        <f aca="false">IF(ISBLANK(D91),,SUM(D91:F91)/45)</f>
        <v>#NAME?</v>
      </c>
      <c r="D91" s="205" t="e">
        <v>#NAME?</v>
      </c>
      <c r="E91" s="205" t="e">
        <v>#NAME?</v>
      </c>
      <c r="F91" s="205" t="e">
        <v>#NAME?</v>
      </c>
      <c r="G91" s="205" t="e">
        <v>#NAME?</v>
      </c>
      <c r="H91" s="205" t="n">
        <f aca="false">IF(OR(ISBLANK(D91),NOT($C$7="Standard and boosted")),,ROUNDDOWN(('2.0.0 Raid Boss CP Helper'!$D$5+D91)*('2.0.0 Raid Boss CP Helper'!$D$6+E91)^0.5*('2.0.0 Raid Boss CP Helper'!$D$7+F91)^0.5*0.667934^2/10,0))</f>
        <v>0</v>
      </c>
      <c r="K91" s="195"/>
      <c r="L91" s="195"/>
      <c r="M91" s="195"/>
      <c r="N91" s="195"/>
      <c r="O91" s="195"/>
      <c r="P91" s="195"/>
      <c r="Q91" s="195"/>
      <c r="R91" s="195"/>
      <c r="S91" s="195"/>
      <c r="T91" s="195"/>
      <c r="U91" s="195"/>
      <c r="V91" s="195"/>
      <c r="W91" s="195"/>
      <c r="X91" s="195"/>
      <c r="Y91" s="195"/>
      <c r="Z91" s="195"/>
      <c r="AA91" s="195"/>
      <c r="AB91" s="195"/>
      <c r="AC91" s="195"/>
    </row>
    <row r="92" customFormat="false" ht="18" hidden="false" customHeight="true" outlineLevel="0" collapsed="false">
      <c r="A92" s="195"/>
      <c r="B92" s="195"/>
      <c r="C92" s="204" t="e">
        <f aca="false">IF(ISBLANK(D92),,SUM(D92:F92)/45)</f>
        <v>#NAME?</v>
      </c>
      <c r="D92" s="205" t="e">
        <v>#NAME?</v>
      </c>
      <c r="E92" s="205" t="e">
        <v>#NAME?</v>
      </c>
      <c r="F92" s="205" t="e">
        <v>#NAME?</v>
      </c>
      <c r="G92" s="205" t="e">
        <v>#NAME?</v>
      </c>
      <c r="H92" s="205" t="n">
        <f aca="false">IF(OR(ISBLANK(D92),NOT($C$7="Standard and boosted")),,ROUNDDOWN(('2.0.0 Raid Boss CP Helper'!$D$5+D92)*('2.0.0 Raid Boss CP Helper'!$D$6+E92)^0.5*('2.0.0 Raid Boss CP Helper'!$D$7+F92)^0.5*0.667934^2/10,0))</f>
        <v>0</v>
      </c>
      <c r="K92" s="195"/>
      <c r="L92" s="195"/>
      <c r="M92" s="195"/>
      <c r="N92" s="195"/>
      <c r="O92" s="195"/>
      <c r="P92" s="195"/>
      <c r="Q92" s="195"/>
      <c r="R92" s="195"/>
      <c r="S92" s="195"/>
      <c r="T92" s="195"/>
      <c r="U92" s="195"/>
      <c r="V92" s="195"/>
      <c r="W92" s="195"/>
      <c r="X92" s="195"/>
      <c r="Y92" s="195"/>
      <c r="Z92" s="195"/>
      <c r="AA92" s="195"/>
      <c r="AB92" s="195"/>
      <c r="AC92" s="195"/>
    </row>
    <row r="93" customFormat="false" ht="18" hidden="false" customHeight="true" outlineLevel="0" collapsed="false">
      <c r="A93" s="195"/>
      <c r="B93" s="195"/>
      <c r="C93" s="204" t="e">
        <f aca="false">IF(ISBLANK(D93),,SUM(D93:F93)/45)</f>
        <v>#NAME?</v>
      </c>
      <c r="D93" s="205" t="e">
        <v>#NAME?</v>
      </c>
      <c r="E93" s="205" t="e">
        <v>#NAME?</v>
      </c>
      <c r="F93" s="205" t="e">
        <v>#NAME?</v>
      </c>
      <c r="G93" s="205" t="e">
        <v>#NAME?</v>
      </c>
      <c r="H93" s="205" t="n">
        <f aca="false">IF(OR(ISBLANK(D93),NOT($C$7="Standard and boosted")),,ROUNDDOWN(('2.0.0 Raid Boss CP Helper'!$D$5+D93)*('2.0.0 Raid Boss CP Helper'!$D$6+E93)^0.5*('2.0.0 Raid Boss CP Helper'!$D$7+F93)^0.5*0.667934^2/10,0))</f>
        <v>0</v>
      </c>
      <c r="K93" s="195"/>
      <c r="L93" s="195"/>
      <c r="M93" s="195"/>
      <c r="N93" s="195"/>
      <c r="O93" s="195"/>
      <c r="P93" s="195"/>
      <c r="Q93" s="195"/>
      <c r="R93" s="195"/>
      <c r="S93" s="195"/>
      <c r="T93" s="195"/>
      <c r="U93" s="195"/>
      <c r="V93" s="195"/>
      <c r="W93" s="195"/>
      <c r="X93" s="195"/>
      <c r="Y93" s="195"/>
      <c r="Z93" s="195"/>
      <c r="AA93" s="195"/>
      <c r="AB93" s="195"/>
      <c r="AC93" s="195"/>
    </row>
    <row r="94" customFormat="false" ht="18" hidden="false" customHeight="true" outlineLevel="0" collapsed="false">
      <c r="A94" s="195"/>
      <c r="B94" s="195"/>
      <c r="C94" s="204" t="e">
        <f aca="false">IF(ISBLANK(D94),,SUM(D94:F94)/45)</f>
        <v>#NAME?</v>
      </c>
      <c r="D94" s="205" t="e">
        <v>#NAME?</v>
      </c>
      <c r="E94" s="205" t="e">
        <v>#NAME?</v>
      </c>
      <c r="F94" s="205" t="e">
        <v>#NAME?</v>
      </c>
      <c r="G94" s="205" t="e">
        <v>#NAME?</v>
      </c>
      <c r="H94" s="205" t="n">
        <f aca="false">IF(OR(ISBLANK(D94),NOT($C$7="Standard and boosted")),,ROUNDDOWN(('2.0.0 Raid Boss CP Helper'!$D$5+D94)*('2.0.0 Raid Boss CP Helper'!$D$6+E94)^0.5*('2.0.0 Raid Boss CP Helper'!$D$7+F94)^0.5*0.667934^2/10,0))</f>
        <v>0</v>
      </c>
      <c r="K94" s="195"/>
      <c r="L94" s="195"/>
      <c r="M94" s="195"/>
      <c r="N94" s="195"/>
      <c r="O94" s="195"/>
      <c r="P94" s="195"/>
      <c r="Q94" s="195"/>
      <c r="R94" s="195"/>
      <c r="S94" s="195"/>
      <c r="T94" s="195"/>
      <c r="U94" s="195"/>
      <c r="V94" s="195"/>
      <c r="W94" s="195"/>
      <c r="X94" s="195"/>
      <c r="Y94" s="195"/>
      <c r="Z94" s="195"/>
      <c r="AA94" s="195"/>
      <c r="AB94" s="195"/>
      <c r="AC94" s="195"/>
    </row>
    <row r="95" customFormat="false" ht="18" hidden="false" customHeight="true" outlineLevel="0" collapsed="false">
      <c r="A95" s="195"/>
      <c r="B95" s="195"/>
      <c r="C95" s="204" t="e">
        <f aca="false">IF(ISBLANK(D95),,SUM(D95:F95)/45)</f>
        <v>#NAME?</v>
      </c>
      <c r="D95" s="205" t="e">
        <v>#NAME?</v>
      </c>
      <c r="E95" s="205" t="e">
        <v>#NAME?</v>
      </c>
      <c r="F95" s="205" t="e">
        <v>#NAME?</v>
      </c>
      <c r="G95" s="205" t="e">
        <v>#NAME?</v>
      </c>
      <c r="H95" s="205" t="n">
        <f aca="false">IF(OR(ISBLANK(D95),NOT($C$7="Standard and boosted")),,ROUNDDOWN(('2.0.0 Raid Boss CP Helper'!$D$5+D95)*('2.0.0 Raid Boss CP Helper'!$D$6+E95)^0.5*('2.0.0 Raid Boss CP Helper'!$D$7+F95)^0.5*0.667934^2/10,0))</f>
        <v>0</v>
      </c>
      <c r="K95" s="195"/>
      <c r="L95" s="195"/>
      <c r="M95" s="195"/>
      <c r="N95" s="195"/>
      <c r="O95" s="195"/>
      <c r="P95" s="195"/>
      <c r="Q95" s="195"/>
      <c r="R95" s="195"/>
      <c r="S95" s="195"/>
      <c r="T95" s="195"/>
      <c r="U95" s="195"/>
      <c r="V95" s="195"/>
      <c r="W95" s="195"/>
      <c r="X95" s="195"/>
      <c r="Y95" s="195"/>
      <c r="Z95" s="195"/>
      <c r="AA95" s="195"/>
      <c r="AB95" s="195"/>
      <c r="AC95" s="195"/>
    </row>
    <row r="96" customFormat="false" ht="18" hidden="false" customHeight="true" outlineLevel="0" collapsed="false">
      <c r="A96" s="195"/>
      <c r="B96" s="195"/>
      <c r="C96" s="204" t="e">
        <f aca="false">IF(ISBLANK(D96),,SUM(D96:F96)/45)</f>
        <v>#NAME?</v>
      </c>
      <c r="D96" s="205" t="e">
        <v>#NAME?</v>
      </c>
      <c r="E96" s="205" t="e">
        <v>#NAME?</v>
      </c>
      <c r="F96" s="205" t="e">
        <v>#NAME?</v>
      </c>
      <c r="G96" s="205" t="e">
        <v>#NAME?</v>
      </c>
      <c r="H96" s="205" t="n">
        <f aca="false">IF(OR(ISBLANK(D96),NOT($C$7="Standard and boosted")),,ROUNDDOWN(('2.0.0 Raid Boss CP Helper'!$D$5+D96)*('2.0.0 Raid Boss CP Helper'!$D$6+E96)^0.5*('2.0.0 Raid Boss CP Helper'!$D$7+F96)^0.5*0.667934^2/10,0))</f>
        <v>0</v>
      </c>
      <c r="K96" s="195"/>
      <c r="L96" s="195"/>
      <c r="M96" s="195"/>
      <c r="N96" s="195"/>
      <c r="O96" s="195"/>
      <c r="P96" s="195"/>
      <c r="Q96" s="195"/>
      <c r="R96" s="195"/>
      <c r="S96" s="195"/>
      <c r="T96" s="195"/>
      <c r="U96" s="195"/>
      <c r="V96" s="195"/>
      <c r="W96" s="195"/>
      <c r="X96" s="195"/>
      <c r="Y96" s="195"/>
      <c r="Z96" s="195"/>
      <c r="AA96" s="195"/>
      <c r="AB96" s="195"/>
      <c r="AC96" s="195"/>
    </row>
    <row r="97" customFormat="false" ht="18" hidden="false" customHeight="true" outlineLevel="0" collapsed="false">
      <c r="A97" s="195"/>
      <c r="B97" s="195"/>
      <c r="C97" s="204" t="e">
        <f aca="false">IF(ISBLANK(D97),,SUM(D97:F97)/45)</f>
        <v>#NAME?</v>
      </c>
      <c r="D97" s="205" t="e">
        <v>#NAME?</v>
      </c>
      <c r="E97" s="205" t="e">
        <v>#NAME?</v>
      </c>
      <c r="F97" s="205" t="e">
        <v>#NAME?</v>
      </c>
      <c r="G97" s="205" t="e">
        <v>#NAME?</v>
      </c>
      <c r="H97" s="205" t="n">
        <f aca="false">IF(OR(ISBLANK(D97),NOT($C$7="Standard and boosted")),,ROUNDDOWN(('2.0.0 Raid Boss CP Helper'!$D$5+D97)*('2.0.0 Raid Boss CP Helper'!$D$6+E97)^0.5*('2.0.0 Raid Boss CP Helper'!$D$7+F97)^0.5*0.667934^2/10,0))</f>
        <v>0</v>
      </c>
      <c r="K97" s="195"/>
      <c r="L97" s="195"/>
      <c r="M97" s="195"/>
      <c r="N97" s="195"/>
      <c r="O97" s="195"/>
      <c r="P97" s="195"/>
      <c r="Q97" s="195"/>
      <c r="R97" s="195"/>
      <c r="S97" s="195"/>
      <c r="T97" s="195"/>
      <c r="U97" s="195"/>
      <c r="V97" s="195"/>
      <c r="W97" s="195"/>
      <c r="X97" s="195"/>
      <c r="Y97" s="195"/>
      <c r="Z97" s="195"/>
      <c r="AA97" s="195"/>
      <c r="AB97" s="195"/>
      <c r="AC97" s="195"/>
    </row>
    <row r="98" customFormat="false" ht="18" hidden="false" customHeight="true" outlineLevel="0" collapsed="false">
      <c r="A98" s="195"/>
      <c r="B98" s="195"/>
      <c r="C98" s="204" t="e">
        <f aca="false">IF(ISBLANK(D98),,SUM(D98:F98)/45)</f>
        <v>#NAME?</v>
      </c>
      <c r="D98" s="205" t="e">
        <v>#NAME?</v>
      </c>
      <c r="E98" s="205" t="e">
        <v>#NAME?</v>
      </c>
      <c r="F98" s="205" t="e">
        <v>#NAME?</v>
      </c>
      <c r="G98" s="205" t="e">
        <v>#NAME?</v>
      </c>
      <c r="H98" s="205" t="n">
        <f aca="false">IF(OR(ISBLANK(D98),NOT($C$7="Standard and boosted")),,ROUNDDOWN(('2.0.0 Raid Boss CP Helper'!$D$5+D98)*('2.0.0 Raid Boss CP Helper'!$D$6+E98)^0.5*('2.0.0 Raid Boss CP Helper'!$D$7+F98)^0.5*0.667934^2/10,0))</f>
        <v>0</v>
      </c>
      <c r="K98" s="195"/>
      <c r="L98" s="195"/>
      <c r="M98" s="195"/>
      <c r="N98" s="195"/>
      <c r="O98" s="195"/>
      <c r="P98" s="195"/>
      <c r="Q98" s="195"/>
      <c r="R98" s="195"/>
      <c r="S98" s="195"/>
      <c r="T98" s="195"/>
      <c r="U98" s="195"/>
      <c r="V98" s="195"/>
      <c r="W98" s="195"/>
      <c r="X98" s="195"/>
      <c r="Y98" s="195"/>
      <c r="Z98" s="195"/>
      <c r="AA98" s="195"/>
      <c r="AB98" s="195"/>
      <c r="AC98" s="195"/>
    </row>
    <row r="99" customFormat="false" ht="18" hidden="false" customHeight="true" outlineLevel="0" collapsed="false">
      <c r="A99" s="195"/>
      <c r="B99" s="195"/>
      <c r="C99" s="204" t="e">
        <f aca="false">IF(ISBLANK(D99),,SUM(D99:F99)/45)</f>
        <v>#NAME?</v>
      </c>
      <c r="D99" s="205" t="e">
        <v>#NAME?</v>
      </c>
      <c r="E99" s="205" t="e">
        <v>#NAME?</v>
      </c>
      <c r="F99" s="205" t="e">
        <v>#NAME?</v>
      </c>
      <c r="G99" s="205" t="e">
        <v>#NAME?</v>
      </c>
      <c r="H99" s="205" t="n">
        <f aca="false">IF(OR(ISBLANK(D99),NOT($C$7="Standard and boosted")),,ROUNDDOWN(('2.0.0 Raid Boss CP Helper'!$D$5+D99)*('2.0.0 Raid Boss CP Helper'!$D$6+E99)^0.5*('2.0.0 Raid Boss CP Helper'!$D$7+F99)^0.5*0.667934^2/10,0))</f>
        <v>0</v>
      </c>
      <c r="K99" s="195"/>
      <c r="L99" s="195"/>
      <c r="M99" s="195"/>
      <c r="N99" s="195"/>
      <c r="O99" s="195"/>
      <c r="P99" s="195"/>
      <c r="Q99" s="195"/>
      <c r="R99" s="195"/>
      <c r="S99" s="195"/>
      <c r="T99" s="195"/>
      <c r="U99" s="195"/>
      <c r="V99" s="195"/>
      <c r="W99" s="195"/>
      <c r="X99" s="195"/>
      <c r="Y99" s="195"/>
      <c r="Z99" s="195"/>
      <c r="AA99" s="195"/>
      <c r="AB99" s="195"/>
      <c r="AC99" s="195"/>
    </row>
    <row r="100" customFormat="false" ht="18" hidden="false" customHeight="true" outlineLevel="0" collapsed="false">
      <c r="A100" s="195"/>
      <c r="B100" s="195"/>
      <c r="C100" s="204" t="e">
        <f aca="false">IF(ISBLANK(D100),,SUM(D100:F100)/45)</f>
        <v>#NAME?</v>
      </c>
      <c r="D100" s="205" t="e">
        <v>#NAME?</v>
      </c>
      <c r="E100" s="205" t="e">
        <v>#NAME?</v>
      </c>
      <c r="F100" s="205" t="e">
        <v>#NAME?</v>
      </c>
      <c r="G100" s="205" t="e">
        <v>#NAME?</v>
      </c>
      <c r="H100" s="205" t="n">
        <f aca="false">IF(OR(ISBLANK(D100),NOT($C$7="Standard and boosted")),,ROUNDDOWN(('2.0.0 Raid Boss CP Helper'!$D$5+D100)*('2.0.0 Raid Boss CP Helper'!$D$6+E100)^0.5*('2.0.0 Raid Boss CP Helper'!$D$7+F100)^0.5*0.667934^2/10,0))</f>
        <v>0</v>
      </c>
      <c r="K100" s="195"/>
      <c r="L100" s="195"/>
      <c r="M100" s="195"/>
      <c r="N100" s="195"/>
      <c r="O100" s="195"/>
      <c r="P100" s="195"/>
      <c r="Q100" s="195"/>
      <c r="R100" s="195"/>
      <c r="S100" s="195"/>
      <c r="T100" s="195"/>
      <c r="U100" s="195"/>
      <c r="V100" s="195"/>
      <c r="W100" s="195"/>
      <c r="X100" s="195"/>
      <c r="Y100" s="195"/>
      <c r="Z100" s="195"/>
      <c r="AA100" s="195"/>
      <c r="AB100" s="195"/>
      <c r="AC100" s="195"/>
    </row>
    <row r="101" customFormat="false" ht="18" hidden="false" customHeight="true" outlineLevel="0" collapsed="false">
      <c r="A101" s="195"/>
      <c r="B101" s="195"/>
      <c r="C101" s="204" t="e">
        <f aca="false">IF(ISBLANK(D101),,SUM(D101:F101)/45)</f>
        <v>#NAME?</v>
      </c>
      <c r="D101" s="205" t="e">
        <v>#NAME?</v>
      </c>
      <c r="E101" s="205" t="e">
        <v>#NAME?</v>
      </c>
      <c r="F101" s="205" t="e">
        <v>#NAME?</v>
      </c>
      <c r="G101" s="205" t="e">
        <v>#NAME?</v>
      </c>
      <c r="H101" s="205" t="n">
        <f aca="false">IF(OR(ISBLANK(D101),NOT($C$7="Standard and boosted")),,ROUNDDOWN(('2.0.0 Raid Boss CP Helper'!$D$5+D101)*('2.0.0 Raid Boss CP Helper'!$D$6+E101)^0.5*('2.0.0 Raid Boss CP Helper'!$D$7+F101)^0.5*0.667934^2/10,0))</f>
        <v>0</v>
      </c>
      <c r="K101" s="195"/>
      <c r="L101" s="195"/>
      <c r="M101" s="195"/>
      <c r="N101" s="195"/>
      <c r="O101" s="195"/>
      <c r="P101" s="195"/>
      <c r="Q101" s="195"/>
      <c r="R101" s="195"/>
      <c r="S101" s="195"/>
      <c r="T101" s="195"/>
      <c r="U101" s="195"/>
      <c r="V101" s="195"/>
      <c r="W101" s="195"/>
      <c r="X101" s="195"/>
      <c r="Y101" s="195"/>
      <c r="Z101" s="195"/>
      <c r="AA101" s="195"/>
      <c r="AB101" s="195"/>
      <c r="AC101" s="195"/>
    </row>
    <row r="102" customFormat="false" ht="18" hidden="false" customHeight="true" outlineLevel="0" collapsed="false">
      <c r="A102" s="195"/>
      <c r="B102" s="195"/>
      <c r="C102" s="204" t="e">
        <f aca="false">IF(ISBLANK(D102),,SUM(D102:F102)/45)</f>
        <v>#NAME?</v>
      </c>
      <c r="D102" s="205" t="e">
        <v>#NAME?</v>
      </c>
      <c r="E102" s="205" t="e">
        <v>#NAME?</v>
      </c>
      <c r="F102" s="205" t="e">
        <v>#NAME?</v>
      </c>
      <c r="G102" s="205" t="e">
        <v>#NAME?</v>
      </c>
      <c r="H102" s="205" t="n">
        <f aca="false">IF(OR(ISBLANK(D102),NOT($C$7="Standard and boosted")),,ROUNDDOWN(('2.0.0 Raid Boss CP Helper'!$D$5+D102)*('2.0.0 Raid Boss CP Helper'!$D$6+E102)^0.5*('2.0.0 Raid Boss CP Helper'!$D$7+F102)^0.5*0.667934^2/10,0))</f>
        <v>0</v>
      </c>
      <c r="K102" s="195"/>
      <c r="L102" s="195"/>
      <c r="M102" s="195"/>
      <c r="N102" s="195"/>
      <c r="O102" s="195"/>
      <c r="P102" s="195"/>
      <c r="Q102" s="195"/>
      <c r="R102" s="195"/>
      <c r="S102" s="195"/>
      <c r="T102" s="195"/>
      <c r="U102" s="195"/>
      <c r="V102" s="195"/>
      <c r="W102" s="195"/>
      <c r="X102" s="195"/>
      <c r="Y102" s="195"/>
      <c r="Z102" s="195"/>
      <c r="AA102" s="195"/>
      <c r="AB102" s="195"/>
      <c r="AC102" s="195"/>
    </row>
    <row r="103" customFormat="false" ht="18" hidden="false" customHeight="true" outlineLevel="0" collapsed="false">
      <c r="A103" s="195"/>
      <c r="B103" s="195"/>
      <c r="C103" s="204" t="e">
        <f aca="false">IF(ISBLANK(D103),,SUM(D103:F103)/45)</f>
        <v>#NAME?</v>
      </c>
      <c r="D103" s="205" t="e">
        <v>#NAME?</v>
      </c>
      <c r="E103" s="205" t="e">
        <v>#NAME?</v>
      </c>
      <c r="F103" s="205" t="e">
        <v>#NAME?</v>
      </c>
      <c r="G103" s="205" t="e">
        <v>#NAME?</v>
      </c>
      <c r="H103" s="205" t="n">
        <f aca="false">IF(OR(ISBLANK(D103),NOT($C$7="Standard and boosted")),,ROUNDDOWN(('2.0.0 Raid Boss CP Helper'!$D$5+D103)*('2.0.0 Raid Boss CP Helper'!$D$6+E103)^0.5*('2.0.0 Raid Boss CP Helper'!$D$7+F103)^0.5*0.667934^2/10,0))</f>
        <v>0</v>
      </c>
      <c r="K103" s="195"/>
      <c r="L103" s="195"/>
      <c r="M103" s="195"/>
      <c r="N103" s="195"/>
      <c r="O103" s="195"/>
      <c r="P103" s="195"/>
      <c r="Q103" s="195"/>
      <c r="R103" s="195"/>
      <c r="S103" s="195"/>
      <c r="T103" s="195"/>
      <c r="U103" s="195"/>
      <c r="V103" s="195"/>
      <c r="W103" s="195"/>
      <c r="X103" s="195"/>
      <c r="Y103" s="195"/>
      <c r="Z103" s="195"/>
      <c r="AA103" s="195"/>
      <c r="AB103" s="195"/>
      <c r="AC103" s="195"/>
    </row>
    <row r="104" customFormat="false" ht="18" hidden="false" customHeight="true" outlineLevel="0" collapsed="false">
      <c r="A104" s="195"/>
      <c r="B104" s="195"/>
      <c r="C104" s="204" t="e">
        <f aca="false">IF(ISBLANK(D104),,SUM(D104:F104)/45)</f>
        <v>#NAME?</v>
      </c>
      <c r="D104" s="205" t="e">
        <v>#NAME?</v>
      </c>
      <c r="E104" s="205" t="e">
        <v>#NAME?</v>
      </c>
      <c r="F104" s="205" t="e">
        <v>#NAME?</v>
      </c>
      <c r="G104" s="205" t="e">
        <v>#NAME?</v>
      </c>
      <c r="H104" s="205" t="n">
        <f aca="false">IF(OR(ISBLANK(D104),NOT($C$7="Standard and boosted")),,ROUNDDOWN(('2.0.0 Raid Boss CP Helper'!$D$5+D104)*('2.0.0 Raid Boss CP Helper'!$D$6+E104)^0.5*('2.0.0 Raid Boss CP Helper'!$D$7+F104)^0.5*0.667934^2/10,0))</f>
        <v>0</v>
      </c>
      <c r="K104" s="195"/>
      <c r="L104" s="195"/>
      <c r="M104" s="195"/>
      <c r="N104" s="195"/>
      <c r="O104" s="195"/>
      <c r="P104" s="195"/>
      <c r="Q104" s="195"/>
      <c r="R104" s="195"/>
      <c r="S104" s="195"/>
      <c r="T104" s="195"/>
      <c r="U104" s="195"/>
      <c r="V104" s="195"/>
      <c r="W104" s="195"/>
      <c r="X104" s="195"/>
      <c r="Y104" s="195"/>
      <c r="Z104" s="195"/>
      <c r="AA104" s="195"/>
      <c r="AB104" s="195"/>
      <c r="AC104" s="195"/>
    </row>
    <row r="105" customFormat="false" ht="18" hidden="false" customHeight="true" outlineLevel="0" collapsed="false">
      <c r="A105" s="195"/>
      <c r="B105" s="195"/>
      <c r="C105" s="204" t="e">
        <f aca="false">IF(ISBLANK(D105),,SUM(D105:F105)/45)</f>
        <v>#NAME?</v>
      </c>
      <c r="D105" s="205" t="e">
        <v>#NAME?</v>
      </c>
      <c r="E105" s="205" t="e">
        <v>#NAME?</v>
      </c>
      <c r="F105" s="205" t="e">
        <v>#NAME?</v>
      </c>
      <c r="G105" s="205" t="e">
        <v>#NAME?</v>
      </c>
      <c r="H105" s="205" t="n">
        <f aca="false">IF(OR(ISBLANK(D105),NOT($C$7="Standard and boosted")),,ROUNDDOWN(('2.0.0 Raid Boss CP Helper'!$D$5+D105)*('2.0.0 Raid Boss CP Helper'!$D$6+E105)^0.5*('2.0.0 Raid Boss CP Helper'!$D$7+F105)^0.5*0.667934^2/10,0))</f>
        <v>0</v>
      </c>
      <c r="K105" s="195"/>
      <c r="L105" s="195"/>
      <c r="M105" s="195"/>
      <c r="N105" s="195"/>
      <c r="O105" s="195"/>
      <c r="P105" s="195"/>
      <c r="Q105" s="195"/>
      <c r="R105" s="195"/>
      <c r="S105" s="195"/>
      <c r="T105" s="195"/>
      <c r="U105" s="195"/>
      <c r="V105" s="195"/>
      <c r="W105" s="195"/>
      <c r="X105" s="195"/>
      <c r="Y105" s="195"/>
      <c r="Z105" s="195"/>
      <c r="AA105" s="195"/>
      <c r="AB105" s="195"/>
      <c r="AC105" s="195"/>
    </row>
    <row r="106" customFormat="false" ht="18" hidden="false" customHeight="true" outlineLevel="0" collapsed="false">
      <c r="A106" s="195"/>
      <c r="B106" s="195"/>
      <c r="C106" s="204" t="e">
        <f aca="false">IF(ISBLANK(D106),,SUM(D106:F106)/45)</f>
        <v>#NAME?</v>
      </c>
      <c r="D106" s="205" t="e">
        <v>#NAME?</v>
      </c>
      <c r="E106" s="205" t="e">
        <v>#NAME?</v>
      </c>
      <c r="F106" s="205" t="e">
        <v>#NAME?</v>
      </c>
      <c r="G106" s="205" t="e">
        <v>#NAME?</v>
      </c>
      <c r="H106" s="205" t="n">
        <f aca="false">IF(OR(ISBLANK(D106),NOT($C$7="Standard and boosted")),,ROUNDDOWN(('2.0.0 Raid Boss CP Helper'!$D$5+D106)*('2.0.0 Raid Boss CP Helper'!$D$6+E106)^0.5*('2.0.0 Raid Boss CP Helper'!$D$7+F106)^0.5*0.667934^2/10,0))</f>
        <v>0</v>
      </c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95"/>
    </row>
    <row r="107" customFormat="false" ht="18" hidden="false" customHeight="true" outlineLevel="0" collapsed="false">
      <c r="A107" s="195"/>
      <c r="B107" s="195"/>
      <c r="C107" s="204" t="e">
        <f aca="false">IF(ISBLANK(D107),,SUM(D107:F107)/45)</f>
        <v>#NAME?</v>
      </c>
      <c r="D107" s="205" t="e">
        <v>#NAME?</v>
      </c>
      <c r="E107" s="205" t="e">
        <v>#NAME?</v>
      </c>
      <c r="F107" s="205" t="e">
        <v>#NAME?</v>
      </c>
      <c r="G107" s="205" t="e">
        <v>#NAME?</v>
      </c>
      <c r="H107" s="205" t="n">
        <f aca="false">IF(OR(ISBLANK(D107),NOT($C$7="Standard and boosted")),,ROUNDDOWN(('2.0.0 Raid Boss CP Helper'!$D$5+D107)*('2.0.0 Raid Boss CP Helper'!$D$6+E107)^0.5*('2.0.0 Raid Boss CP Helper'!$D$7+F107)^0.5*0.667934^2/10,0))</f>
        <v>0</v>
      </c>
      <c r="K107" s="195"/>
      <c r="L107" s="195"/>
      <c r="M107" s="195"/>
      <c r="N107" s="195"/>
      <c r="O107" s="195"/>
      <c r="P107" s="195"/>
      <c r="Q107" s="195"/>
      <c r="R107" s="195"/>
      <c r="S107" s="195"/>
      <c r="T107" s="195"/>
      <c r="U107" s="195"/>
      <c r="V107" s="195"/>
      <c r="W107" s="195"/>
      <c r="X107" s="195"/>
      <c r="Y107" s="195"/>
      <c r="Z107" s="195"/>
      <c r="AA107" s="195"/>
      <c r="AB107" s="195"/>
      <c r="AC107" s="195"/>
    </row>
    <row r="108" customFormat="false" ht="18" hidden="false" customHeight="true" outlineLevel="0" collapsed="false">
      <c r="A108" s="195"/>
      <c r="B108" s="195"/>
      <c r="C108" s="204" t="e">
        <f aca="false">IF(ISBLANK(D108),,SUM(D108:F108)/45)</f>
        <v>#NAME?</v>
      </c>
      <c r="D108" s="205" t="e">
        <v>#NAME?</v>
      </c>
      <c r="E108" s="205" t="e">
        <v>#NAME?</v>
      </c>
      <c r="F108" s="205" t="e">
        <v>#NAME?</v>
      </c>
      <c r="G108" s="205" t="e">
        <v>#NAME?</v>
      </c>
      <c r="H108" s="205" t="n">
        <f aca="false">IF(OR(ISBLANK(D108),NOT($C$7="Standard and boosted")),,ROUNDDOWN(('2.0.0 Raid Boss CP Helper'!$D$5+D108)*('2.0.0 Raid Boss CP Helper'!$D$6+E108)^0.5*('2.0.0 Raid Boss CP Helper'!$D$7+F108)^0.5*0.667934^2/10,0))</f>
        <v>0</v>
      </c>
      <c r="K108" s="195"/>
      <c r="L108" s="195"/>
      <c r="M108" s="195"/>
      <c r="N108" s="195"/>
      <c r="O108" s="195"/>
      <c r="P108" s="195"/>
      <c r="Q108" s="195"/>
      <c r="R108" s="195"/>
      <c r="S108" s="195"/>
      <c r="T108" s="195"/>
      <c r="U108" s="195"/>
      <c r="V108" s="195"/>
      <c r="W108" s="195"/>
      <c r="X108" s="195"/>
      <c r="Y108" s="195"/>
      <c r="Z108" s="195"/>
      <c r="AA108" s="195"/>
      <c r="AB108" s="195"/>
      <c r="AC108" s="195"/>
    </row>
    <row r="109" customFormat="false" ht="18" hidden="false" customHeight="true" outlineLevel="0" collapsed="false">
      <c r="A109" s="195"/>
      <c r="B109" s="195"/>
      <c r="C109" s="204" t="e">
        <f aca="false">IF(ISBLANK(D109),,SUM(D109:F109)/45)</f>
        <v>#NAME?</v>
      </c>
      <c r="D109" s="205" t="e">
        <v>#NAME?</v>
      </c>
      <c r="E109" s="205" t="e">
        <v>#NAME?</v>
      </c>
      <c r="F109" s="205" t="e">
        <v>#NAME?</v>
      </c>
      <c r="G109" s="205" t="e">
        <v>#NAME?</v>
      </c>
      <c r="H109" s="205" t="n">
        <f aca="false">IF(OR(ISBLANK(D109),NOT($C$7="Standard and boosted")),,ROUNDDOWN(('2.0.0 Raid Boss CP Helper'!$D$5+D109)*('2.0.0 Raid Boss CP Helper'!$D$6+E109)^0.5*('2.0.0 Raid Boss CP Helper'!$D$7+F109)^0.5*0.667934^2/10,0))</f>
        <v>0</v>
      </c>
      <c r="K109" s="195"/>
      <c r="L109" s="195"/>
      <c r="M109" s="195"/>
      <c r="N109" s="195"/>
      <c r="O109" s="195"/>
      <c r="P109" s="195"/>
      <c r="Q109" s="195"/>
      <c r="R109" s="195"/>
      <c r="S109" s="195"/>
      <c r="T109" s="195"/>
      <c r="U109" s="195"/>
      <c r="V109" s="195"/>
      <c r="W109" s="195"/>
      <c r="X109" s="195"/>
      <c r="Y109" s="195"/>
      <c r="Z109" s="195"/>
      <c r="AA109" s="195"/>
      <c r="AB109" s="195"/>
      <c r="AC109" s="195"/>
    </row>
    <row r="110" customFormat="false" ht="18" hidden="false" customHeight="true" outlineLevel="0" collapsed="false">
      <c r="A110" s="195"/>
      <c r="B110" s="195"/>
      <c r="C110" s="204" t="e">
        <f aca="false">IF(ISBLANK(D110),,SUM(D110:F110)/45)</f>
        <v>#NAME?</v>
      </c>
      <c r="D110" s="205" t="e">
        <v>#NAME?</v>
      </c>
      <c r="E110" s="205" t="e">
        <v>#NAME?</v>
      </c>
      <c r="F110" s="205" t="e">
        <v>#NAME?</v>
      </c>
      <c r="G110" s="205" t="e">
        <v>#NAME?</v>
      </c>
      <c r="H110" s="205" t="n">
        <f aca="false">IF(OR(ISBLANK(D110),NOT($C$7="Standard and boosted")),,ROUNDDOWN(('2.0.0 Raid Boss CP Helper'!$D$5+D110)*('2.0.0 Raid Boss CP Helper'!$D$6+E110)^0.5*('2.0.0 Raid Boss CP Helper'!$D$7+F110)^0.5*0.667934^2/10,0))</f>
        <v>0</v>
      </c>
      <c r="K110" s="195"/>
      <c r="L110" s="195"/>
      <c r="M110" s="195"/>
      <c r="N110" s="195"/>
      <c r="O110" s="195"/>
      <c r="P110" s="195"/>
      <c r="Q110" s="195"/>
      <c r="R110" s="195"/>
      <c r="S110" s="195"/>
      <c r="T110" s="195"/>
      <c r="U110" s="195"/>
      <c r="V110" s="195"/>
      <c r="W110" s="195"/>
      <c r="X110" s="195"/>
      <c r="Y110" s="195"/>
      <c r="Z110" s="195"/>
      <c r="AA110" s="195"/>
      <c r="AB110" s="195"/>
      <c r="AC110" s="195"/>
    </row>
    <row r="111" customFormat="false" ht="18" hidden="false" customHeight="true" outlineLevel="0" collapsed="false">
      <c r="A111" s="195"/>
      <c r="B111" s="195"/>
      <c r="C111" s="204" t="e">
        <f aca="false">IF(ISBLANK(D111),,SUM(D111:F111)/45)</f>
        <v>#NAME?</v>
      </c>
      <c r="D111" s="205" t="e">
        <v>#NAME?</v>
      </c>
      <c r="E111" s="205" t="e">
        <v>#NAME?</v>
      </c>
      <c r="F111" s="205" t="e">
        <v>#NAME?</v>
      </c>
      <c r="G111" s="205" t="e">
        <v>#NAME?</v>
      </c>
      <c r="H111" s="205" t="n">
        <f aca="false">IF(OR(ISBLANK(D111),NOT($C$7="Standard and boosted")),,ROUNDDOWN(('2.0.0 Raid Boss CP Helper'!$D$5+D111)*('2.0.0 Raid Boss CP Helper'!$D$6+E111)^0.5*('2.0.0 Raid Boss CP Helper'!$D$7+F111)^0.5*0.667934^2/10,0))</f>
        <v>0</v>
      </c>
      <c r="K111" s="195"/>
      <c r="L111" s="195"/>
      <c r="M111" s="195"/>
      <c r="N111" s="195"/>
      <c r="O111" s="195"/>
      <c r="P111" s="195"/>
      <c r="Q111" s="195"/>
      <c r="R111" s="195"/>
      <c r="S111" s="195"/>
      <c r="T111" s="195"/>
      <c r="U111" s="195"/>
      <c r="V111" s="195"/>
      <c r="W111" s="195"/>
      <c r="X111" s="195"/>
      <c r="Y111" s="195"/>
      <c r="Z111" s="195"/>
      <c r="AA111" s="195"/>
      <c r="AB111" s="195"/>
      <c r="AC111" s="195"/>
    </row>
    <row r="112" customFormat="false" ht="18" hidden="false" customHeight="true" outlineLevel="0" collapsed="false">
      <c r="A112" s="195"/>
      <c r="B112" s="195"/>
      <c r="C112" s="204" t="e">
        <f aca="false">IF(ISBLANK(D112),,SUM(D112:F112)/45)</f>
        <v>#NAME?</v>
      </c>
      <c r="D112" s="205" t="e">
        <v>#NAME?</v>
      </c>
      <c r="E112" s="205" t="e">
        <v>#NAME?</v>
      </c>
      <c r="F112" s="205" t="e">
        <v>#NAME?</v>
      </c>
      <c r="G112" s="205" t="e">
        <v>#NAME?</v>
      </c>
      <c r="H112" s="205" t="n">
        <f aca="false">IF(OR(ISBLANK(D112),NOT($C$7="Standard and boosted")),,ROUNDDOWN(('2.0.0 Raid Boss CP Helper'!$D$5+D112)*('2.0.0 Raid Boss CP Helper'!$D$6+E112)^0.5*('2.0.0 Raid Boss CP Helper'!$D$7+F112)^0.5*0.667934^2/10,0))</f>
        <v>0</v>
      </c>
      <c r="K112" s="195"/>
      <c r="L112" s="195"/>
      <c r="M112" s="195"/>
      <c r="N112" s="195"/>
      <c r="O112" s="195"/>
      <c r="P112" s="195"/>
      <c r="Q112" s="195"/>
      <c r="R112" s="195"/>
      <c r="S112" s="195"/>
      <c r="T112" s="195"/>
      <c r="U112" s="195"/>
      <c r="V112" s="195"/>
      <c r="W112" s="195"/>
      <c r="X112" s="195"/>
      <c r="Y112" s="195"/>
      <c r="Z112" s="195"/>
      <c r="AA112" s="195"/>
      <c r="AB112" s="195"/>
      <c r="AC112" s="195"/>
    </row>
    <row r="113" customFormat="false" ht="18" hidden="false" customHeight="true" outlineLevel="0" collapsed="false">
      <c r="A113" s="195"/>
      <c r="B113" s="195"/>
      <c r="C113" s="204" t="e">
        <f aca="false">IF(ISBLANK(D113),,SUM(D113:F113)/45)</f>
        <v>#NAME?</v>
      </c>
      <c r="D113" s="205" t="e">
        <v>#NAME?</v>
      </c>
      <c r="E113" s="205" t="e">
        <v>#NAME?</v>
      </c>
      <c r="F113" s="205" t="e">
        <v>#NAME?</v>
      </c>
      <c r="G113" s="205" t="e">
        <v>#NAME?</v>
      </c>
      <c r="H113" s="205" t="n">
        <f aca="false">IF(OR(ISBLANK(D113),NOT($C$7="Standard and boosted")),,ROUNDDOWN(('2.0.0 Raid Boss CP Helper'!$D$5+D113)*('2.0.0 Raid Boss CP Helper'!$D$6+E113)^0.5*('2.0.0 Raid Boss CP Helper'!$D$7+F113)^0.5*0.667934^2/10,0))</f>
        <v>0</v>
      </c>
      <c r="K113" s="195"/>
      <c r="L113" s="195"/>
      <c r="M113" s="195"/>
      <c r="N113" s="195"/>
      <c r="O113" s="195"/>
      <c r="P113" s="195"/>
      <c r="Q113" s="195"/>
      <c r="R113" s="195"/>
      <c r="S113" s="195"/>
      <c r="T113" s="195"/>
      <c r="U113" s="195"/>
      <c r="V113" s="195"/>
      <c r="W113" s="195"/>
      <c r="X113" s="195"/>
      <c r="Y113" s="195"/>
      <c r="Z113" s="195"/>
      <c r="AA113" s="195"/>
      <c r="AB113" s="195"/>
      <c r="AC113" s="195"/>
    </row>
    <row r="114" customFormat="false" ht="18" hidden="false" customHeight="true" outlineLevel="0" collapsed="false">
      <c r="A114" s="195"/>
      <c r="B114" s="195"/>
      <c r="C114" s="204" t="e">
        <f aca="false">IF(ISBLANK(D114),,SUM(D114:F114)/45)</f>
        <v>#NAME?</v>
      </c>
      <c r="D114" s="205" t="e">
        <v>#NAME?</v>
      </c>
      <c r="E114" s="205" t="e">
        <v>#NAME?</v>
      </c>
      <c r="F114" s="205" t="e">
        <v>#NAME?</v>
      </c>
      <c r="G114" s="205" t="e">
        <v>#NAME?</v>
      </c>
      <c r="H114" s="205" t="n">
        <f aca="false">IF(OR(ISBLANK(D114),NOT($C$7="Standard and boosted")),,ROUNDDOWN(('2.0.0 Raid Boss CP Helper'!$D$5+D114)*('2.0.0 Raid Boss CP Helper'!$D$6+E114)^0.5*('2.0.0 Raid Boss CP Helper'!$D$7+F114)^0.5*0.667934^2/10,0))</f>
        <v>0</v>
      </c>
      <c r="K114" s="195"/>
      <c r="L114" s="195"/>
      <c r="M114" s="195"/>
      <c r="N114" s="195"/>
      <c r="O114" s="195"/>
      <c r="P114" s="195"/>
      <c r="Q114" s="195"/>
      <c r="R114" s="195"/>
      <c r="S114" s="195"/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</row>
    <row r="115" customFormat="false" ht="18" hidden="false" customHeight="true" outlineLevel="0" collapsed="false">
      <c r="A115" s="195"/>
      <c r="B115" s="195"/>
      <c r="C115" s="204" t="e">
        <f aca="false">IF(ISBLANK(D115),,SUM(D115:F115)/45)</f>
        <v>#NAME?</v>
      </c>
      <c r="D115" s="205" t="e">
        <v>#NAME?</v>
      </c>
      <c r="E115" s="205" t="e">
        <v>#NAME?</v>
      </c>
      <c r="F115" s="205" t="e">
        <v>#NAME?</v>
      </c>
      <c r="G115" s="205" t="e">
        <v>#NAME?</v>
      </c>
      <c r="H115" s="205" t="n">
        <f aca="false">IF(OR(ISBLANK(D115),NOT($C$7="Standard and boosted")),,ROUNDDOWN(('2.0.0 Raid Boss CP Helper'!$D$5+D115)*('2.0.0 Raid Boss CP Helper'!$D$6+E115)^0.5*('2.0.0 Raid Boss CP Helper'!$D$7+F115)^0.5*0.667934^2/10,0))</f>
        <v>0</v>
      </c>
      <c r="K115" s="195"/>
      <c r="L115" s="195"/>
      <c r="M115" s="195"/>
      <c r="N115" s="195"/>
      <c r="O115" s="195"/>
      <c r="P115" s="195"/>
      <c r="Q115" s="195"/>
      <c r="R115" s="195"/>
      <c r="S115" s="195"/>
      <c r="T115" s="195"/>
      <c r="U115" s="195"/>
      <c r="V115" s="195"/>
      <c r="W115" s="195"/>
      <c r="X115" s="195"/>
      <c r="Y115" s="195"/>
      <c r="Z115" s="195"/>
      <c r="AA115" s="195"/>
      <c r="AB115" s="195"/>
      <c r="AC115" s="195"/>
    </row>
    <row r="116" customFormat="false" ht="18" hidden="false" customHeight="true" outlineLevel="0" collapsed="false">
      <c r="A116" s="195"/>
      <c r="B116" s="195"/>
      <c r="C116" s="204" t="e">
        <f aca="false">IF(ISBLANK(D116),,SUM(D116:F116)/45)</f>
        <v>#NAME?</v>
      </c>
      <c r="D116" s="205" t="e">
        <v>#NAME?</v>
      </c>
      <c r="E116" s="205" t="e">
        <v>#NAME?</v>
      </c>
      <c r="F116" s="205" t="e">
        <v>#NAME?</v>
      </c>
      <c r="G116" s="205" t="e">
        <v>#NAME?</v>
      </c>
      <c r="H116" s="205" t="n">
        <f aca="false">IF(OR(ISBLANK(D116),NOT($C$7="Standard and boosted")),,ROUNDDOWN(('2.0.0 Raid Boss CP Helper'!$D$5+D116)*('2.0.0 Raid Boss CP Helper'!$D$6+E116)^0.5*('2.0.0 Raid Boss CP Helper'!$D$7+F116)^0.5*0.667934^2/10,0))</f>
        <v>0</v>
      </c>
      <c r="K116" s="195"/>
      <c r="L116" s="195"/>
      <c r="M116" s="195"/>
      <c r="N116" s="195"/>
      <c r="O116" s="195"/>
      <c r="P116" s="195"/>
      <c r="Q116" s="195"/>
      <c r="R116" s="195"/>
      <c r="S116" s="195"/>
      <c r="T116" s="195"/>
      <c r="U116" s="195"/>
      <c r="V116" s="195"/>
      <c r="W116" s="195"/>
      <c r="X116" s="195"/>
      <c r="Y116" s="195"/>
      <c r="Z116" s="195"/>
      <c r="AA116" s="195"/>
      <c r="AB116" s="195"/>
      <c r="AC116" s="195"/>
    </row>
    <row r="117" customFormat="false" ht="18" hidden="false" customHeight="true" outlineLevel="0" collapsed="false">
      <c r="A117" s="195"/>
      <c r="B117" s="195"/>
      <c r="C117" s="204" t="e">
        <f aca="false">IF(ISBLANK(D117),,SUM(D117:F117)/45)</f>
        <v>#NAME?</v>
      </c>
      <c r="D117" s="205" t="e">
        <v>#NAME?</v>
      </c>
      <c r="E117" s="205" t="e">
        <v>#NAME?</v>
      </c>
      <c r="F117" s="205" t="e">
        <v>#NAME?</v>
      </c>
      <c r="G117" s="205" t="e">
        <v>#NAME?</v>
      </c>
      <c r="H117" s="205" t="n">
        <f aca="false">IF(OR(ISBLANK(D117),NOT($C$7="Standard and boosted")),,ROUNDDOWN(('2.0.0 Raid Boss CP Helper'!$D$5+D117)*('2.0.0 Raid Boss CP Helper'!$D$6+E117)^0.5*('2.0.0 Raid Boss CP Helper'!$D$7+F117)^0.5*0.667934^2/10,0))</f>
        <v>0</v>
      </c>
      <c r="K117" s="195"/>
      <c r="L117" s="195"/>
      <c r="M117" s="195"/>
      <c r="N117" s="195"/>
      <c r="O117" s="195"/>
      <c r="P117" s="195"/>
      <c r="Q117" s="195"/>
      <c r="R117" s="195"/>
      <c r="S117" s="195"/>
      <c r="T117" s="195"/>
      <c r="U117" s="195"/>
      <c r="V117" s="195"/>
      <c r="W117" s="195"/>
      <c r="X117" s="195"/>
      <c r="Y117" s="195"/>
      <c r="Z117" s="195"/>
      <c r="AA117" s="195"/>
      <c r="AB117" s="195"/>
      <c r="AC117" s="195"/>
    </row>
    <row r="118" customFormat="false" ht="18" hidden="false" customHeight="true" outlineLevel="0" collapsed="false">
      <c r="A118" s="195"/>
      <c r="B118" s="195"/>
      <c r="C118" s="204" t="e">
        <f aca="false">IF(ISBLANK(D118),,SUM(D118:F118)/45)</f>
        <v>#NAME?</v>
      </c>
      <c r="D118" s="205" t="e">
        <v>#NAME?</v>
      </c>
      <c r="E118" s="205" t="e">
        <v>#NAME?</v>
      </c>
      <c r="F118" s="205" t="e">
        <v>#NAME?</v>
      </c>
      <c r="G118" s="205" t="e">
        <v>#NAME?</v>
      </c>
      <c r="H118" s="205" t="n">
        <f aca="false">IF(OR(ISBLANK(D118),NOT($C$7="Standard and boosted")),,ROUNDDOWN(('2.0.0 Raid Boss CP Helper'!$D$5+D118)*('2.0.0 Raid Boss CP Helper'!$D$6+E118)^0.5*('2.0.0 Raid Boss CP Helper'!$D$7+F118)^0.5*0.667934^2/10,0))</f>
        <v>0</v>
      </c>
      <c r="K118" s="195"/>
      <c r="L118" s="195"/>
      <c r="M118" s="195"/>
      <c r="N118" s="195"/>
      <c r="O118" s="195"/>
      <c r="P118" s="195"/>
      <c r="Q118" s="195"/>
      <c r="R118" s="195"/>
      <c r="S118" s="195"/>
      <c r="T118" s="195"/>
      <c r="U118" s="195"/>
      <c r="V118" s="195"/>
      <c r="W118" s="195"/>
      <c r="X118" s="195"/>
      <c r="Y118" s="195"/>
      <c r="Z118" s="195"/>
      <c r="AA118" s="195"/>
      <c r="AB118" s="195"/>
      <c r="AC118" s="195"/>
    </row>
    <row r="119" customFormat="false" ht="18" hidden="false" customHeight="true" outlineLevel="0" collapsed="false">
      <c r="A119" s="195"/>
      <c r="B119" s="195"/>
      <c r="C119" s="204" t="e">
        <f aca="false">IF(ISBLANK(D119),,SUM(D119:F119)/45)</f>
        <v>#NAME?</v>
      </c>
      <c r="D119" s="205" t="e">
        <v>#NAME?</v>
      </c>
      <c r="E119" s="205" t="e">
        <v>#NAME?</v>
      </c>
      <c r="F119" s="205" t="e">
        <v>#NAME?</v>
      </c>
      <c r="G119" s="205" t="e">
        <v>#NAME?</v>
      </c>
      <c r="H119" s="205" t="n">
        <f aca="false">IF(OR(ISBLANK(D119),NOT($C$7="Standard and boosted")),,ROUNDDOWN(('2.0.0 Raid Boss CP Helper'!$D$5+D119)*('2.0.0 Raid Boss CP Helper'!$D$6+E119)^0.5*('2.0.0 Raid Boss CP Helper'!$D$7+F119)^0.5*0.667934^2/10,0))</f>
        <v>0</v>
      </c>
      <c r="K119" s="195"/>
      <c r="L119" s="195"/>
      <c r="M119" s="195"/>
      <c r="N119" s="195"/>
      <c r="O119" s="195"/>
      <c r="P119" s="195"/>
      <c r="Q119" s="195"/>
      <c r="R119" s="195"/>
      <c r="S119" s="195"/>
      <c r="T119" s="195"/>
      <c r="U119" s="195"/>
      <c r="V119" s="195"/>
      <c r="W119" s="195"/>
      <c r="X119" s="195"/>
      <c r="Y119" s="195"/>
      <c r="Z119" s="195"/>
      <c r="AA119" s="195"/>
      <c r="AB119" s="195"/>
      <c r="AC119" s="195"/>
    </row>
    <row r="120" customFormat="false" ht="18" hidden="false" customHeight="true" outlineLevel="0" collapsed="false">
      <c r="A120" s="195"/>
      <c r="B120" s="195"/>
      <c r="C120" s="204" t="e">
        <f aca="false">IF(ISBLANK(D120),,SUM(D120:F120)/45)</f>
        <v>#NAME?</v>
      </c>
      <c r="D120" s="205" t="e">
        <v>#NAME?</v>
      </c>
      <c r="E120" s="205" t="e">
        <v>#NAME?</v>
      </c>
      <c r="F120" s="205" t="e">
        <v>#NAME?</v>
      </c>
      <c r="G120" s="205" t="e">
        <v>#NAME?</v>
      </c>
      <c r="H120" s="205" t="n">
        <f aca="false">IF(OR(ISBLANK(D120),NOT($C$7="Standard and boosted")),,ROUNDDOWN(('2.0.0 Raid Boss CP Helper'!$D$5+D120)*('2.0.0 Raid Boss CP Helper'!$D$6+E120)^0.5*('2.0.0 Raid Boss CP Helper'!$D$7+F120)^0.5*0.667934^2/10,0))</f>
        <v>0</v>
      </c>
      <c r="K120" s="195"/>
      <c r="L120" s="195"/>
      <c r="M120" s="195"/>
      <c r="N120" s="195"/>
      <c r="O120" s="195"/>
      <c r="P120" s="195"/>
      <c r="Q120" s="195"/>
      <c r="R120" s="195"/>
      <c r="S120" s="195"/>
      <c r="T120" s="195"/>
      <c r="U120" s="195"/>
      <c r="V120" s="195"/>
      <c r="W120" s="195"/>
      <c r="X120" s="195"/>
      <c r="Y120" s="195"/>
      <c r="Z120" s="195"/>
      <c r="AA120" s="195"/>
      <c r="AB120" s="195"/>
      <c r="AC120" s="195"/>
    </row>
    <row r="121" customFormat="false" ht="18" hidden="false" customHeight="true" outlineLevel="0" collapsed="false">
      <c r="A121" s="195"/>
      <c r="B121" s="195"/>
      <c r="C121" s="204" t="e">
        <f aca="false">IF(ISBLANK(D121),,SUM(D121:F121)/45)</f>
        <v>#NAME?</v>
      </c>
      <c r="D121" s="205" t="e">
        <v>#NAME?</v>
      </c>
      <c r="E121" s="205" t="e">
        <v>#NAME?</v>
      </c>
      <c r="F121" s="205" t="e">
        <v>#NAME?</v>
      </c>
      <c r="G121" s="205" t="e">
        <v>#NAME?</v>
      </c>
      <c r="H121" s="205" t="n">
        <f aca="false">IF(OR(ISBLANK(D121),NOT($C$7="Standard and boosted")),,ROUNDDOWN(('2.0.0 Raid Boss CP Helper'!$D$5+D121)*('2.0.0 Raid Boss CP Helper'!$D$6+E121)^0.5*('2.0.0 Raid Boss CP Helper'!$D$7+F121)^0.5*0.667934^2/10,0))</f>
        <v>0</v>
      </c>
      <c r="K121" s="195"/>
      <c r="L121" s="195"/>
      <c r="M121" s="195"/>
      <c r="N121" s="195"/>
      <c r="O121" s="195"/>
      <c r="P121" s="195"/>
      <c r="Q121" s="195"/>
      <c r="R121" s="195"/>
      <c r="S121" s="195"/>
      <c r="T121" s="195"/>
      <c r="U121" s="195"/>
      <c r="V121" s="195"/>
      <c r="W121" s="195"/>
      <c r="X121" s="195"/>
      <c r="Y121" s="195"/>
      <c r="Z121" s="195"/>
      <c r="AA121" s="195"/>
      <c r="AB121" s="195"/>
      <c r="AC121" s="195"/>
    </row>
    <row r="122" customFormat="false" ht="18" hidden="false" customHeight="true" outlineLevel="0" collapsed="false">
      <c r="A122" s="195"/>
      <c r="B122" s="195"/>
      <c r="C122" s="204" t="e">
        <f aca="false">IF(ISBLANK(D122),,SUM(D122:F122)/45)</f>
        <v>#NAME?</v>
      </c>
      <c r="D122" s="205" t="e">
        <v>#NAME?</v>
      </c>
      <c r="E122" s="205" t="e">
        <v>#NAME?</v>
      </c>
      <c r="F122" s="205" t="e">
        <v>#NAME?</v>
      </c>
      <c r="G122" s="205" t="e">
        <v>#NAME?</v>
      </c>
      <c r="H122" s="205" t="n">
        <f aca="false">IF(OR(ISBLANK(D122),NOT($C$7="Standard and boosted")),,ROUNDDOWN(('2.0.0 Raid Boss CP Helper'!$D$5+D122)*('2.0.0 Raid Boss CP Helper'!$D$6+E122)^0.5*('2.0.0 Raid Boss CP Helper'!$D$7+F122)^0.5*0.667934^2/10,0))</f>
        <v>0</v>
      </c>
      <c r="K122" s="195"/>
      <c r="L122" s="195"/>
      <c r="M122" s="195"/>
      <c r="N122" s="195"/>
      <c r="O122" s="195"/>
      <c r="P122" s="195"/>
      <c r="Q122" s="195"/>
      <c r="R122" s="195"/>
      <c r="S122" s="195"/>
      <c r="T122" s="195"/>
      <c r="U122" s="195"/>
      <c r="V122" s="195"/>
      <c r="W122" s="195"/>
      <c r="X122" s="195"/>
      <c r="Y122" s="195"/>
      <c r="Z122" s="195"/>
      <c r="AA122" s="195"/>
      <c r="AB122" s="195"/>
      <c r="AC122" s="195"/>
    </row>
    <row r="123" customFormat="false" ht="18" hidden="false" customHeight="true" outlineLevel="0" collapsed="false">
      <c r="A123" s="195"/>
      <c r="B123" s="195"/>
      <c r="C123" s="204" t="e">
        <f aca="false">IF(ISBLANK(D123),,SUM(D123:F123)/45)</f>
        <v>#NAME?</v>
      </c>
      <c r="D123" s="205" t="e">
        <v>#NAME?</v>
      </c>
      <c r="E123" s="205" t="e">
        <v>#NAME?</v>
      </c>
      <c r="F123" s="205" t="e">
        <v>#NAME?</v>
      </c>
      <c r="G123" s="205" t="e">
        <v>#NAME?</v>
      </c>
      <c r="H123" s="205" t="n">
        <f aca="false">IF(OR(ISBLANK(D123),NOT($C$7="Standard and boosted")),,ROUNDDOWN(('2.0.0 Raid Boss CP Helper'!$D$5+D123)*('2.0.0 Raid Boss CP Helper'!$D$6+E123)^0.5*('2.0.0 Raid Boss CP Helper'!$D$7+F123)^0.5*0.667934^2/10,0))</f>
        <v>0</v>
      </c>
      <c r="K123" s="195"/>
      <c r="L123" s="195"/>
      <c r="M123" s="195"/>
      <c r="N123" s="195"/>
      <c r="O123" s="195"/>
      <c r="P123" s="195"/>
      <c r="Q123" s="195"/>
      <c r="R123" s="195"/>
      <c r="S123" s="195"/>
      <c r="T123" s="195"/>
      <c r="U123" s="195"/>
      <c r="V123" s="195"/>
      <c r="W123" s="195"/>
      <c r="X123" s="195"/>
      <c r="Y123" s="195"/>
      <c r="Z123" s="195"/>
      <c r="AA123" s="195"/>
      <c r="AB123" s="195"/>
      <c r="AC123" s="195"/>
    </row>
    <row r="124" customFormat="false" ht="18" hidden="false" customHeight="true" outlineLevel="0" collapsed="false">
      <c r="A124" s="195"/>
      <c r="B124" s="195"/>
      <c r="C124" s="204" t="e">
        <f aca="false">IF(ISBLANK(D124),,SUM(D124:F124)/45)</f>
        <v>#NAME?</v>
      </c>
      <c r="D124" s="205" t="e">
        <v>#NAME?</v>
      </c>
      <c r="E124" s="205" t="e">
        <v>#NAME?</v>
      </c>
      <c r="F124" s="205" t="e">
        <v>#NAME?</v>
      </c>
      <c r="G124" s="205" t="e">
        <v>#NAME?</v>
      </c>
      <c r="H124" s="205" t="n">
        <f aca="false">IF(OR(ISBLANK(D124),NOT($C$7="Standard and boosted")),,ROUNDDOWN(('2.0.0 Raid Boss CP Helper'!$D$5+D124)*('2.0.0 Raid Boss CP Helper'!$D$6+E124)^0.5*('2.0.0 Raid Boss CP Helper'!$D$7+F124)^0.5*0.667934^2/10,0))</f>
        <v>0</v>
      </c>
      <c r="K124" s="195"/>
      <c r="L124" s="195"/>
      <c r="M124" s="195"/>
      <c r="N124" s="195"/>
      <c r="O124" s="195"/>
      <c r="P124" s="195"/>
      <c r="Q124" s="195"/>
      <c r="R124" s="195"/>
      <c r="S124" s="195"/>
      <c r="T124" s="195"/>
      <c r="U124" s="195"/>
      <c r="V124" s="195"/>
      <c r="W124" s="195"/>
      <c r="X124" s="195"/>
      <c r="Y124" s="195"/>
      <c r="Z124" s="195"/>
      <c r="AA124" s="195"/>
      <c r="AB124" s="195"/>
      <c r="AC124" s="195"/>
    </row>
    <row r="125" customFormat="false" ht="18" hidden="false" customHeight="true" outlineLevel="0" collapsed="false">
      <c r="A125" s="195"/>
      <c r="B125" s="195"/>
      <c r="C125" s="204" t="e">
        <f aca="false">IF(ISBLANK(D125),,SUM(D125:F125)/45)</f>
        <v>#NAME?</v>
      </c>
      <c r="D125" s="205" t="e">
        <v>#NAME?</v>
      </c>
      <c r="E125" s="205" t="e">
        <v>#NAME?</v>
      </c>
      <c r="F125" s="205" t="e">
        <v>#NAME?</v>
      </c>
      <c r="G125" s="205" t="e">
        <v>#NAME?</v>
      </c>
      <c r="H125" s="205" t="n">
        <f aca="false">IF(OR(ISBLANK(D125),NOT($C$7="Standard and boosted")),,ROUNDDOWN(('2.0.0 Raid Boss CP Helper'!$D$5+D125)*('2.0.0 Raid Boss CP Helper'!$D$6+E125)^0.5*('2.0.0 Raid Boss CP Helper'!$D$7+F125)^0.5*0.667934^2/10,0))</f>
        <v>0</v>
      </c>
      <c r="K125" s="195"/>
      <c r="L125" s="195"/>
      <c r="M125" s="195"/>
      <c r="N125" s="195"/>
      <c r="O125" s="195"/>
      <c r="P125" s="195"/>
      <c r="Q125" s="195"/>
      <c r="R125" s="195"/>
      <c r="S125" s="195"/>
      <c r="T125" s="195"/>
      <c r="U125" s="195"/>
      <c r="V125" s="195"/>
      <c r="W125" s="195"/>
      <c r="X125" s="195"/>
      <c r="Y125" s="195"/>
      <c r="Z125" s="195"/>
      <c r="AA125" s="195"/>
      <c r="AB125" s="195"/>
      <c r="AC125" s="195"/>
    </row>
    <row r="126" customFormat="false" ht="18" hidden="false" customHeight="true" outlineLevel="0" collapsed="false">
      <c r="A126" s="195"/>
      <c r="B126" s="195"/>
      <c r="C126" s="204" t="e">
        <f aca="false">IF(ISBLANK(D126),,SUM(D126:F126)/45)</f>
        <v>#NAME?</v>
      </c>
      <c r="D126" s="205" t="e">
        <v>#NAME?</v>
      </c>
      <c r="E126" s="205" t="e">
        <v>#NAME?</v>
      </c>
      <c r="F126" s="205" t="e">
        <v>#NAME?</v>
      </c>
      <c r="G126" s="205" t="e">
        <v>#NAME?</v>
      </c>
      <c r="H126" s="205" t="n">
        <f aca="false">IF(OR(ISBLANK(D126),NOT($C$7="Standard and boosted")),,ROUNDDOWN(('2.0.0 Raid Boss CP Helper'!$D$5+D126)*('2.0.0 Raid Boss CP Helper'!$D$6+E126)^0.5*('2.0.0 Raid Boss CP Helper'!$D$7+F126)^0.5*0.667934^2/10,0))</f>
        <v>0</v>
      </c>
      <c r="K126" s="195"/>
      <c r="L126" s="195"/>
      <c r="M126" s="195"/>
      <c r="N126" s="195"/>
      <c r="O126" s="195"/>
      <c r="P126" s="195"/>
      <c r="Q126" s="195"/>
      <c r="R126" s="195"/>
      <c r="S126" s="195"/>
      <c r="T126" s="195"/>
      <c r="U126" s="195"/>
      <c r="V126" s="195"/>
      <c r="W126" s="195"/>
      <c r="X126" s="195"/>
      <c r="Y126" s="195"/>
      <c r="Z126" s="195"/>
      <c r="AA126" s="195"/>
      <c r="AB126" s="195"/>
      <c r="AC126" s="195"/>
    </row>
    <row r="127" customFormat="false" ht="18" hidden="false" customHeight="true" outlineLevel="0" collapsed="false">
      <c r="A127" s="195"/>
      <c r="B127" s="195"/>
      <c r="C127" s="204" t="e">
        <f aca="false">IF(ISBLANK(D127),,SUM(D127:F127)/45)</f>
        <v>#NAME?</v>
      </c>
      <c r="D127" s="205" t="e">
        <v>#NAME?</v>
      </c>
      <c r="E127" s="205" t="e">
        <v>#NAME?</v>
      </c>
      <c r="F127" s="205" t="e">
        <v>#NAME?</v>
      </c>
      <c r="G127" s="205" t="e">
        <v>#NAME?</v>
      </c>
      <c r="H127" s="205" t="n">
        <f aca="false">IF(OR(ISBLANK(D127),NOT($C$7="Standard and boosted")),,ROUNDDOWN(('2.0.0 Raid Boss CP Helper'!$D$5+D127)*('2.0.0 Raid Boss CP Helper'!$D$6+E127)^0.5*('2.0.0 Raid Boss CP Helper'!$D$7+F127)^0.5*0.667934^2/10,0))</f>
        <v>0</v>
      </c>
      <c r="K127" s="195"/>
      <c r="L127" s="195"/>
      <c r="M127" s="195"/>
      <c r="N127" s="195"/>
      <c r="O127" s="195"/>
      <c r="P127" s="195"/>
      <c r="Q127" s="195"/>
      <c r="R127" s="195"/>
      <c r="S127" s="195"/>
      <c r="T127" s="195"/>
      <c r="U127" s="195"/>
      <c r="V127" s="195"/>
      <c r="W127" s="195"/>
      <c r="X127" s="195"/>
      <c r="Y127" s="195"/>
      <c r="Z127" s="195"/>
      <c r="AA127" s="195"/>
      <c r="AB127" s="195"/>
      <c r="AC127" s="195"/>
    </row>
    <row r="128" customFormat="false" ht="18" hidden="false" customHeight="true" outlineLevel="0" collapsed="false">
      <c r="A128" s="195"/>
      <c r="B128" s="195"/>
      <c r="C128" s="204" t="e">
        <f aca="false">IF(ISBLANK(D128),,SUM(D128:F128)/45)</f>
        <v>#NAME?</v>
      </c>
      <c r="D128" s="205" t="e">
        <v>#NAME?</v>
      </c>
      <c r="E128" s="205" t="e">
        <v>#NAME?</v>
      </c>
      <c r="F128" s="205" t="e">
        <v>#NAME?</v>
      </c>
      <c r="G128" s="205" t="e">
        <v>#NAME?</v>
      </c>
      <c r="H128" s="205" t="n">
        <f aca="false">IF(OR(ISBLANK(D128),NOT($C$7="Standard and boosted")),,ROUNDDOWN(('2.0.0 Raid Boss CP Helper'!$D$5+D128)*('2.0.0 Raid Boss CP Helper'!$D$6+E128)^0.5*('2.0.0 Raid Boss CP Helper'!$D$7+F128)^0.5*0.667934^2/10,0))</f>
        <v>0</v>
      </c>
      <c r="K128" s="195"/>
      <c r="L128" s="195"/>
      <c r="M128" s="195"/>
      <c r="N128" s="195"/>
      <c r="O128" s="195"/>
      <c r="P128" s="195"/>
      <c r="Q128" s="195"/>
      <c r="R128" s="195"/>
      <c r="S128" s="195"/>
      <c r="T128" s="195"/>
      <c r="U128" s="195"/>
      <c r="V128" s="195"/>
      <c r="W128" s="195"/>
      <c r="X128" s="195"/>
      <c r="Y128" s="195"/>
      <c r="Z128" s="195"/>
      <c r="AA128" s="195"/>
      <c r="AB128" s="195"/>
      <c r="AC128" s="195"/>
    </row>
    <row r="129" customFormat="false" ht="18" hidden="false" customHeight="true" outlineLevel="0" collapsed="false">
      <c r="A129" s="195"/>
      <c r="B129" s="195"/>
      <c r="C129" s="204" t="e">
        <f aca="false">IF(ISBLANK(D129),,SUM(D129:F129)/45)</f>
        <v>#NAME?</v>
      </c>
      <c r="D129" s="205" t="e">
        <v>#NAME?</v>
      </c>
      <c r="E129" s="205" t="e">
        <v>#NAME?</v>
      </c>
      <c r="F129" s="205" t="e">
        <v>#NAME?</v>
      </c>
      <c r="G129" s="205" t="e">
        <v>#NAME?</v>
      </c>
      <c r="H129" s="205" t="n">
        <f aca="false">IF(OR(ISBLANK(D129),NOT($C$7="Standard and boosted")),,ROUNDDOWN(('2.0.0 Raid Boss CP Helper'!$D$5+D129)*('2.0.0 Raid Boss CP Helper'!$D$6+E129)^0.5*('2.0.0 Raid Boss CP Helper'!$D$7+F129)^0.5*0.667934^2/10,0))</f>
        <v>0</v>
      </c>
      <c r="K129" s="195"/>
      <c r="L129" s="195"/>
      <c r="M129" s="195"/>
      <c r="N129" s="195"/>
      <c r="O129" s="195"/>
      <c r="P129" s="195"/>
      <c r="Q129" s="195"/>
      <c r="R129" s="195"/>
      <c r="S129" s="195"/>
      <c r="T129" s="195"/>
      <c r="U129" s="195"/>
      <c r="V129" s="195"/>
      <c r="W129" s="195"/>
      <c r="X129" s="195"/>
      <c r="Y129" s="195"/>
      <c r="Z129" s="195"/>
      <c r="AA129" s="195"/>
      <c r="AB129" s="195"/>
      <c r="AC129" s="195"/>
    </row>
    <row r="130" customFormat="false" ht="18" hidden="false" customHeight="true" outlineLevel="0" collapsed="false">
      <c r="A130" s="195"/>
      <c r="B130" s="195"/>
      <c r="C130" s="204" t="e">
        <f aca="false">IF(ISBLANK(D130),,SUM(D130:F130)/45)</f>
        <v>#NAME?</v>
      </c>
      <c r="D130" s="205" t="e">
        <v>#NAME?</v>
      </c>
      <c r="E130" s="205" t="e">
        <v>#NAME?</v>
      </c>
      <c r="F130" s="205" t="e">
        <v>#NAME?</v>
      </c>
      <c r="G130" s="205" t="e">
        <v>#NAME?</v>
      </c>
      <c r="H130" s="205" t="n">
        <f aca="false">IF(OR(ISBLANK(D130),NOT($C$7="Standard and boosted")),,ROUNDDOWN(('2.0.0 Raid Boss CP Helper'!$D$5+D130)*('2.0.0 Raid Boss CP Helper'!$D$6+E130)^0.5*('2.0.0 Raid Boss CP Helper'!$D$7+F130)^0.5*0.667934^2/10,0))</f>
        <v>0</v>
      </c>
      <c r="K130" s="195"/>
      <c r="L130" s="195"/>
      <c r="M130" s="195"/>
      <c r="N130" s="195"/>
      <c r="O130" s="195"/>
      <c r="P130" s="195"/>
      <c r="Q130" s="195"/>
      <c r="R130" s="195"/>
      <c r="S130" s="195"/>
      <c r="T130" s="195"/>
      <c r="U130" s="195"/>
      <c r="V130" s="195"/>
      <c r="W130" s="195"/>
      <c r="X130" s="195"/>
      <c r="Y130" s="195"/>
      <c r="Z130" s="195"/>
      <c r="AA130" s="195"/>
      <c r="AB130" s="195"/>
      <c r="AC130" s="195"/>
    </row>
    <row r="131" customFormat="false" ht="18" hidden="false" customHeight="true" outlineLevel="0" collapsed="false">
      <c r="A131" s="195"/>
      <c r="B131" s="195"/>
      <c r="C131" s="204" t="e">
        <f aca="false">IF(ISBLANK(D131),,SUM(D131:F131)/45)</f>
        <v>#NAME?</v>
      </c>
      <c r="D131" s="205" t="e">
        <v>#NAME?</v>
      </c>
      <c r="E131" s="205" t="e">
        <v>#NAME?</v>
      </c>
      <c r="F131" s="205" t="e">
        <v>#NAME?</v>
      </c>
      <c r="G131" s="205" t="e">
        <v>#NAME?</v>
      </c>
      <c r="H131" s="205" t="n">
        <f aca="false">IF(OR(ISBLANK(D131),NOT($C$7="Standard and boosted")),,ROUNDDOWN(('2.0.0 Raid Boss CP Helper'!$D$5+D131)*('2.0.0 Raid Boss CP Helper'!$D$6+E131)^0.5*('2.0.0 Raid Boss CP Helper'!$D$7+F131)^0.5*0.667934^2/10,0))</f>
        <v>0</v>
      </c>
      <c r="K131" s="195"/>
      <c r="L131" s="195"/>
      <c r="M131" s="195"/>
      <c r="N131" s="195"/>
      <c r="O131" s="195"/>
      <c r="P131" s="195"/>
      <c r="Q131" s="195"/>
      <c r="R131" s="195"/>
      <c r="S131" s="195"/>
      <c r="T131" s="195"/>
      <c r="U131" s="195"/>
      <c r="V131" s="195"/>
      <c r="W131" s="195"/>
      <c r="X131" s="195"/>
      <c r="Y131" s="195"/>
      <c r="Z131" s="195"/>
      <c r="AA131" s="195"/>
      <c r="AB131" s="195"/>
      <c r="AC131" s="195"/>
    </row>
    <row r="132" customFormat="false" ht="18" hidden="false" customHeight="true" outlineLevel="0" collapsed="false">
      <c r="A132" s="195"/>
      <c r="B132" s="195"/>
      <c r="C132" s="204" t="e">
        <f aca="false">IF(ISBLANK(D132),,SUM(D132:F132)/45)</f>
        <v>#NAME?</v>
      </c>
      <c r="D132" s="205" t="e">
        <v>#NAME?</v>
      </c>
      <c r="E132" s="205" t="e">
        <v>#NAME?</v>
      </c>
      <c r="F132" s="205" t="e">
        <v>#NAME?</v>
      </c>
      <c r="G132" s="205" t="e">
        <v>#NAME?</v>
      </c>
      <c r="H132" s="205" t="n">
        <f aca="false">IF(OR(ISBLANK(D132),NOT($C$7="Standard and boosted")),,ROUNDDOWN(('2.0.0 Raid Boss CP Helper'!$D$5+D132)*('2.0.0 Raid Boss CP Helper'!$D$6+E132)^0.5*('2.0.0 Raid Boss CP Helper'!$D$7+F132)^0.5*0.667934^2/10,0))</f>
        <v>0</v>
      </c>
      <c r="K132" s="195"/>
      <c r="L132" s="195"/>
      <c r="M132" s="195"/>
      <c r="N132" s="195"/>
      <c r="O132" s="195"/>
      <c r="P132" s="195"/>
      <c r="Q132" s="195"/>
      <c r="R132" s="195"/>
      <c r="S132" s="195"/>
      <c r="T132" s="195"/>
      <c r="U132" s="195"/>
      <c r="V132" s="195"/>
      <c r="W132" s="195"/>
      <c r="X132" s="195"/>
      <c r="Y132" s="195"/>
      <c r="Z132" s="195"/>
      <c r="AA132" s="195"/>
      <c r="AB132" s="195"/>
      <c r="AC132" s="195"/>
    </row>
    <row r="133" customFormat="false" ht="18" hidden="false" customHeight="true" outlineLevel="0" collapsed="false">
      <c r="A133" s="195"/>
      <c r="B133" s="195"/>
      <c r="C133" s="204" t="e">
        <f aca="false">IF(ISBLANK(D133),,SUM(D133:F133)/45)</f>
        <v>#NAME?</v>
      </c>
      <c r="D133" s="205" t="e">
        <v>#NAME?</v>
      </c>
      <c r="E133" s="205" t="e">
        <v>#NAME?</v>
      </c>
      <c r="F133" s="205" t="e">
        <v>#NAME?</v>
      </c>
      <c r="G133" s="205" t="e">
        <v>#NAME?</v>
      </c>
      <c r="H133" s="205" t="n">
        <f aca="false">IF(OR(ISBLANK(D133),NOT($C$7="Standard and boosted")),,ROUNDDOWN(('2.0.0 Raid Boss CP Helper'!$D$5+D133)*('2.0.0 Raid Boss CP Helper'!$D$6+E133)^0.5*('2.0.0 Raid Boss CP Helper'!$D$7+F133)^0.5*0.667934^2/10,0))</f>
        <v>0</v>
      </c>
      <c r="K133" s="195"/>
      <c r="L133" s="195"/>
      <c r="M133" s="195"/>
      <c r="N133" s="195"/>
      <c r="O133" s="195"/>
      <c r="P133" s="195"/>
      <c r="Q133" s="195"/>
      <c r="R133" s="195"/>
      <c r="S133" s="195"/>
      <c r="T133" s="195"/>
      <c r="U133" s="195"/>
      <c r="V133" s="195"/>
      <c r="W133" s="195"/>
      <c r="X133" s="195"/>
      <c r="Y133" s="195"/>
      <c r="Z133" s="195"/>
      <c r="AA133" s="195"/>
      <c r="AB133" s="195"/>
      <c r="AC133" s="195"/>
    </row>
    <row r="134" customFormat="false" ht="18" hidden="false" customHeight="true" outlineLevel="0" collapsed="false">
      <c r="A134" s="195"/>
      <c r="B134" s="195"/>
      <c r="C134" s="204" t="e">
        <f aca="false">IF(ISBLANK(D134),,SUM(D134:F134)/45)</f>
        <v>#NAME?</v>
      </c>
      <c r="D134" s="205" t="e">
        <v>#NAME?</v>
      </c>
      <c r="E134" s="205" t="e">
        <v>#NAME?</v>
      </c>
      <c r="F134" s="205" t="e">
        <v>#NAME?</v>
      </c>
      <c r="G134" s="205" t="e">
        <v>#NAME?</v>
      </c>
      <c r="H134" s="205" t="n">
        <f aca="false">IF(OR(ISBLANK(D134),NOT($C$7="Standard and boosted")),,ROUNDDOWN(('2.0.0 Raid Boss CP Helper'!$D$5+D134)*('2.0.0 Raid Boss CP Helper'!$D$6+E134)^0.5*('2.0.0 Raid Boss CP Helper'!$D$7+F134)^0.5*0.667934^2/10,0))</f>
        <v>0</v>
      </c>
      <c r="K134" s="195"/>
      <c r="L134" s="195"/>
      <c r="M134" s="195"/>
      <c r="N134" s="195"/>
      <c r="O134" s="195"/>
      <c r="P134" s="195"/>
      <c r="Q134" s="195"/>
      <c r="R134" s="195"/>
      <c r="S134" s="195"/>
      <c r="T134" s="195"/>
      <c r="U134" s="195"/>
      <c r="V134" s="195"/>
      <c r="W134" s="195"/>
      <c r="X134" s="195"/>
      <c r="Y134" s="195"/>
      <c r="Z134" s="195"/>
      <c r="AA134" s="195"/>
      <c r="AB134" s="195"/>
      <c r="AC134" s="195"/>
    </row>
    <row r="135" customFormat="false" ht="18" hidden="false" customHeight="true" outlineLevel="0" collapsed="false">
      <c r="A135" s="195"/>
      <c r="B135" s="195"/>
      <c r="C135" s="204" t="e">
        <f aca="false">IF(ISBLANK(D135),,SUM(D135:F135)/45)</f>
        <v>#NAME?</v>
      </c>
      <c r="D135" s="205" t="e">
        <v>#NAME?</v>
      </c>
      <c r="E135" s="205" t="e">
        <v>#NAME?</v>
      </c>
      <c r="F135" s="205" t="e">
        <v>#NAME?</v>
      </c>
      <c r="G135" s="205" t="e">
        <v>#NAME?</v>
      </c>
      <c r="H135" s="205" t="n">
        <f aca="false">IF(OR(ISBLANK(D135),NOT($C$7="Standard and boosted")),,ROUNDDOWN(('2.0.0 Raid Boss CP Helper'!$D$5+D135)*('2.0.0 Raid Boss CP Helper'!$D$6+E135)^0.5*('2.0.0 Raid Boss CP Helper'!$D$7+F135)^0.5*0.667934^2/10,0))</f>
        <v>0</v>
      </c>
      <c r="K135" s="195"/>
      <c r="L135" s="195"/>
      <c r="M135" s="195"/>
      <c r="N135" s="195"/>
      <c r="O135" s="195"/>
      <c r="P135" s="195"/>
      <c r="Q135" s="195"/>
      <c r="R135" s="195"/>
      <c r="S135" s="195"/>
      <c r="T135" s="195"/>
      <c r="U135" s="195"/>
      <c r="V135" s="195"/>
      <c r="W135" s="195"/>
      <c r="X135" s="195"/>
      <c r="Y135" s="195"/>
      <c r="Z135" s="195"/>
      <c r="AA135" s="195"/>
      <c r="AB135" s="195"/>
      <c r="AC135" s="195"/>
    </row>
    <row r="136" customFormat="false" ht="18" hidden="false" customHeight="true" outlineLevel="0" collapsed="false">
      <c r="A136" s="195"/>
      <c r="B136" s="195"/>
      <c r="C136" s="204" t="e">
        <f aca="false">IF(ISBLANK(D136),,SUM(D136:F136)/45)</f>
        <v>#NAME?</v>
      </c>
      <c r="D136" s="205" t="e">
        <v>#NAME?</v>
      </c>
      <c r="E136" s="205" t="e">
        <v>#NAME?</v>
      </c>
      <c r="F136" s="205" t="e">
        <v>#NAME?</v>
      </c>
      <c r="G136" s="205" t="e">
        <v>#NAME?</v>
      </c>
      <c r="H136" s="205" t="n">
        <f aca="false">IF(OR(ISBLANK(D136),NOT($C$7="Standard and boosted")),,ROUNDDOWN(('2.0.0 Raid Boss CP Helper'!$D$5+D136)*('2.0.0 Raid Boss CP Helper'!$D$6+E136)^0.5*('2.0.0 Raid Boss CP Helper'!$D$7+F136)^0.5*0.667934^2/10,0))</f>
        <v>0</v>
      </c>
      <c r="K136" s="195"/>
      <c r="L136" s="195"/>
      <c r="M136" s="195"/>
      <c r="N136" s="195"/>
      <c r="O136" s="195"/>
      <c r="P136" s="195"/>
      <c r="Q136" s="195"/>
      <c r="R136" s="195"/>
      <c r="S136" s="195"/>
      <c r="T136" s="195"/>
      <c r="U136" s="195"/>
      <c r="V136" s="195"/>
      <c r="W136" s="195"/>
      <c r="X136" s="195"/>
      <c r="Y136" s="195"/>
      <c r="Z136" s="195"/>
      <c r="AA136" s="195"/>
      <c r="AB136" s="195"/>
      <c r="AC136" s="195"/>
    </row>
    <row r="137" customFormat="false" ht="18" hidden="false" customHeight="true" outlineLevel="0" collapsed="false">
      <c r="A137" s="195"/>
      <c r="B137" s="195"/>
      <c r="C137" s="204" t="e">
        <f aca="false">IF(ISBLANK(D137),,SUM(D137:F137)/45)</f>
        <v>#NAME?</v>
      </c>
      <c r="D137" s="205" t="e">
        <v>#NAME?</v>
      </c>
      <c r="E137" s="205" t="e">
        <v>#NAME?</v>
      </c>
      <c r="F137" s="205" t="e">
        <v>#NAME?</v>
      </c>
      <c r="G137" s="205" t="e">
        <v>#NAME?</v>
      </c>
      <c r="H137" s="205" t="n">
        <f aca="false">IF(OR(ISBLANK(D137),NOT($C$7="Standard and boosted")),,ROUNDDOWN(('2.0.0 Raid Boss CP Helper'!$D$5+D137)*('2.0.0 Raid Boss CP Helper'!$D$6+E137)^0.5*('2.0.0 Raid Boss CP Helper'!$D$7+F137)^0.5*0.667934^2/10,0))</f>
        <v>0</v>
      </c>
      <c r="K137" s="195"/>
      <c r="L137" s="195"/>
      <c r="M137" s="195"/>
      <c r="N137" s="195"/>
      <c r="O137" s="195"/>
      <c r="P137" s="195"/>
      <c r="Q137" s="195"/>
      <c r="R137" s="195"/>
      <c r="S137" s="195"/>
      <c r="T137" s="195"/>
      <c r="U137" s="195"/>
      <c r="V137" s="195"/>
      <c r="W137" s="195"/>
      <c r="X137" s="195"/>
      <c r="Y137" s="195"/>
      <c r="Z137" s="195"/>
      <c r="AA137" s="195"/>
      <c r="AB137" s="195"/>
      <c r="AC137" s="195"/>
    </row>
    <row r="138" customFormat="false" ht="18" hidden="false" customHeight="true" outlineLevel="0" collapsed="false">
      <c r="A138" s="195"/>
      <c r="B138" s="195"/>
      <c r="C138" s="204" t="e">
        <f aca="false">IF(ISBLANK(D138),,SUM(D138:F138)/45)</f>
        <v>#NAME?</v>
      </c>
      <c r="D138" s="205" t="e">
        <v>#NAME?</v>
      </c>
      <c r="E138" s="205" t="e">
        <v>#NAME?</v>
      </c>
      <c r="F138" s="205" t="e">
        <v>#NAME?</v>
      </c>
      <c r="G138" s="205" t="e">
        <v>#NAME?</v>
      </c>
      <c r="H138" s="205" t="n">
        <f aca="false">IF(OR(ISBLANK(D138),NOT($C$7="Standard and boosted")),,ROUNDDOWN(('2.0.0 Raid Boss CP Helper'!$D$5+D138)*('2.0.0 Raid Boss CP Helper'!$D$6+E138)^0.5*('2.0.0 Raid Boss CP Helper'!$D$7+F138)^0.5*0.667934^2/10,0))</f>
        <v>0</v>
      </c>
      <c r="K138" s="195"/>
      <c r="L138" s="195"/>
      <c r="M138" s="195"/>
      <c r="N138" s="195"/>
      <c r="O138" s="195"/>
      <c r="P138" s="195"/>
      <c r="Q138" s="195"/>
      <c r="R138" s="195"/>
      <c r="S138" s="195"/>
      <c r="T138" s="195"/>
      <c r="U138" s="195"/>
      <c r="V138" s="195"/>
      <c r="W138" s="195"/>
      <c r="X138" s="195"/>
      <c r="Y138" s="195"/>
      <c r="Z138" s="195"/>
      <c r="AA138" s="195"/>
      <c r="AB138" s="195"/>
      <c r="AC138" s="195"/>
    </row>
    <row r="139" customFormat="false" ht="18" hidden="false" customHeight="true" outlineLevel="0" collapsed="false">
      <c r="A139" s="195"/>
      <c r="B139" s="195"/>
      <c r="C139" s="204" t="e">
        <f aca="false">IF(ISBLANK(D139),,SUM(D139:F139)/45)</f>
        <v>#NAME?</v>
      </c>
      <c r="D139" s="205" t="e">
        <v>#NAME?</v>
      </c>
      <c r="E139" s="205" t="e">
        <v>#NAME?</v>
      </c>
      <c r="F139" s="205" t="e">
        <v>#NAME?</v>
      </c>
      <c r="G139" s="205" t="e">
        <v>#NAME?</v>
      </c>
      <c r="H139" s="205" t="n">
        <f aca="false">IF(OR(ISBLANK(D139),NOT($C$7="Standard and boosted")),,ROUNDDOWN(('2.0.0 Raid Boss CP Helper'!$D$5+D139)*('2.0.0 Raid Boss CP Helper'!$D$6+E139)^0.5*('2.0.0 Raid Boss CP Helper'!$D$7+F139)^0.5*0.667934^2/10,0))</f>
        <v>0</v>
      </c>
      <c r="K139" s="195"/>
      <c r="L139" s="195"/>
      <c r="M139" s="195"/>
      <c r="N139" s="195"/>
      <c r="O139" s="195"/>
      <c r="P139" s="195"/>
      <c r="Q139" s="195"/>
      <c r="R139" s="195"/>
      <c r="S139" s="195"/>
      <c r="T139" s="195"/>
      <c r="U139" s="195"/>
      <c r="V139" s="195"/>
      <c r="W139" s="195"/>
      <c r="X139" s="195"/>
      <c r="Y139" s="195"/>
      <c r="Z139" s="195"/>
      <c r="AA139" s="195"/>
      <c r="AB139" s="195"/>
      <c r="AC139" s="195"/>
    </row>
    <row r="140" customFormat="false" ht="18" hidden="false" customHeight="true" outlineLevel="0" collapsed="false">
      <c r="A140" s="195"/>
      <c r="B140" s="195"/>
      <c r="C140" s="204" t="e">
        <f aca="false">IF(ISBLANK(D140),,SUM(D140:F140)/45)</f>
        <v>#NAME?</v>
      </c>
      <c r="D140" s="205" t="e">
        <v>#NAME?</v>
      </c>
      <c r="E140" s="205" t="e">
        <v>#NAME?</v>
      </c>
      <c r="F140" s="205" t="e">
        <v>#NAME?</v>
      </c>
      <c r="G140" s="205" t="e">
        <v>#NAME?</v>
      </c>
      <c r="H140" s="205" t="n">
        <f aca="false">IF(OR(ISBLANK(D140),NOT($C$7="Standard and boosted")),,ROUNDDOWN(('2.0.0 Raid Boss CP Helper'!$D$5+D140)*('2.0.0 Raid Boss CP Helper'!$D$6+E140)^0.5*('2.0.0 Raid Boss CP Helper'!$D$7+F140)^0.5*0.667934^2/10,0))</f>
        <v>0</v>
      </c>
      <c r="K140" s="195"/>
      <c r="L140" s="195"/>
      <c r="M140" s="195"/>
      <c r="N140" s="195"/>
      <c r="O140" s="195"/>
      <c r="P140" s="195"/>
      <c r="Q140" s="195"/>
      <c r="R140" s="195"/>
      <c r="S140" s="195"/>
      <c r="T140" s="195"/>
      <c r="U140" s="195"/>
      <c r="V140" s="195"/>
      <c r="W140" s="195"/>
      <c r="X140" s="195"/>
      <c r="Y140" s="195"/>
      <c r="Z140" s="195"/>
      <c r="AA140" s="195"/>
      <c r="AB140" s="195"/>
      <c r="AC140" s="195"/>
    </row>
    <row r="141" customFormat="false" ht="18" hidden="false" customHeight="true" outlineLevel="0" collapsed="false">
      <c r="A141" s="195"/>
      <c r="B141" s="195"/>
      <c r="C141" s="204" t="e">
        <f aca="false">IF(ISBLANK(D141),,SUM(D141:F141)/45)</f>
        <v>#NAME?</v>
      </c>
      <c r="D141" s="205" t="e">
        <v>#NAME?</v>
      </c>
      <c r="E141" s="205" t="e">
        <v>#NAME?</v>
      </c>
      <c r="F141" s="205" t="e">
        <v>#NAME?</v>
      </c>
      <c r="G141" s="205" t="e">
        <v>#NAME?</v>
      </c>
      <c r="H141" s="205" t="n">
        <f aca="false">IF(OR(ISBLANK(D141),NOT($C$7="Standard and boosted")),,ROUNDDOWN(('2.0.0 Raid Boss CP Helper'!$D$5+D141)*('2.0.0 Raid Boss CP Helper'!$D$6+E141)^0.5*('2.0.0 Raid Boss CP Helper'!$D$7+F141)^0.5*0.667934^2/10,0))</f>
        <v>0</v>
      </c>
      <c r="K141" s="195"/>
      <c r="L141" s="195"/>
      <c r="M141" s="195"/>
      <c r="N141" s="195"/>
      <c r="O141" s="195"/>
      <c r="P141" s="195"/>
      <c r="Q141" s="195"/>
      <c r="R141" s="195"/>
      <c r="S141" s="195"/>
      <c r="T141" s="195"/>
      <c r="U141" s="195"/>
      <c r="V141" s="195"/>
      <c r="W141" s="195"/>
      <c r="X141" s="195"/>
      <c r="Y141" s="195"/>
      <c r="Z141" s="195"/>
      <c r="AA141" s="195"/>
      <c r="AB141" s="195"/>
      <c r="AC141" s="195"/>
    </row>
    <row r="142" customFormat="false" ht="18" hidden="false" customHeight="true" outlineLevel="0" collapsed="false">
      <c r="A142" s="195"/>
      <c r="B142" s="195"/>
      <c r="C142" s="204" t="e">
        <f aca="false">IF(ISBLANK(D142),,SUM(D142:F142)/45)</f>
        <v>#NAME?</v>
      </c>
      <c r="D142" s="205" t="e">
        <v>#NAME?</v>
      </c>
      <c r="E142" s="205" t="e">
        <v>#NAME?</v>
      </c>
      <c r="F142" s="205" t="e">
        <v>#NAME?</v>
      </c>
      <c r="G142" s="205" t="e">
        <v>#NAME?</v>
      </c>
      <c r="H142" s="205" t="n">
        <f aca="false">IF(OR(ISBLANK(D142),NOT($C$7="Standard and boosted")),,ROUNDDOWN(('2.0.0 Raid Boss CP Helper'!$D$5+D142)*('2.0.0 Raid Boss CP Helper'!$D$6+E142)^0.5*('2.0.0 Raid Boss CP Helper'!$D$7+F142)^0.5*0.667934^2/10,0))</f>
        <v>0</v>
      </c>
      <c r="K142" s="195"/>
      <c r="L142" s="195"/>
      <c r="M142" s="195"/>
      <c r="N142" s="195"/>
      <c r="O142" s="195"/>
      <c r="P142" s="195"/>
      <c r="Q142" s="195"/>
      <c r="R142" s="195"/>
      <c r="S142" s="195"/>
      <c r="T142" s="195"/>
      <c r="U142" s="195"/>
      <c r="V142" s="195"/>
      <c r="W142" s="195"/>
      <c r="X142" s="195"/>
      <c r="Y142" s="195"/>
      <c r="Z142" s="195"/>
      <c r="AA142" s="195"/>
      <c r="AB142" s="195"/>
      <c r="AC142" s="195"/>
    </row>
    <row r="143" customFormat="false" ht="18" hidden="false" customHeight="true" outlineLevel="0" collapsed="false">
      <c r="A143" s="195"/>
      <c r="B143" s="195"/>
      <c r="C143" s="204" t="e">
        <f aca="false">IF(ISBLANK(D143),,SUM(D143:F143)/45)</f>
        <v>#NAME?</v>
      </c>
      <c r="D143" s="205" t="e">
        <v>#NAME?</v>
      </c>
      <c r="E143" s="205" t="e">
        <v>#NAME?</v>
      </c>
      <c r="F143" s="205" t="e">
        <v>#NAME?</v>
      </c>
      <c r="G143" s="205" t="e">
        <v>#NAME?</v>
      </c>
      <c r="H143" s="205" t="n">
        <f aca="false">IF(OR(ISBLANK(D143),NOT($C$7="Standard and boosted")),,ROUNDDOWN(('2.0.0 Raid Boss CP Helper'!$D$5+D143)*('2.0.0 Raid Boss CP Helper'!$D$6+E143)^0.5*('2.0.0 Raid Boss CP Helper'!$D$7+F143)^0.5*0.667934^2/10,0))</f>
        <v>0</v>
      </c>
      <c r="K143" s="195"/>
      <c r="L143" s="195"/>
      <c r="M143" s="195"/>
      <c r="N143" s="195"/>
      <c r="O143" s="195"/>
      <c r="P143" s="195"/>
      <c r="Q143" s="195"/>
      <c r="R143" s="195"/>
      <c r="S143" s="195"/>
      <c r="T143" s="195"/>
      <c r="U143" s="195"/>
      <c r="V143" s="195"/>
      <c r="W143" s="195"/>
      <c r="X143" s="195"/>
      <c r="Y143" s="195"/>
      <c r="Z143" s="195"/>
      <c r="AA143" s="195"/>
      <c r="AB143" s="195"/>
      <c r="AC143" s="195"/>
    </row>
    <row r="144" customFormat="false" ht="18" hidden="false" customHeight="true" outlineLevel="0" collapsed="false">
      <c r="A144" s="195"/>
      <c r="B144" s="195"/>
      <c r="C144" s="204" t="e">
        <f aca="false">IF(ISBLANK(D144),,SUM(D144:F144)/45)</f>
        <v>#NAME?</v>
      </c>
      <c r="D144" s="205" t="e">
        <v>#NAME?</v>
      </c>
      <c r="E144" s="205" t="e">
        <v>#NAME?</v>
      </c>
      <c r="F144" s="205" t="e">
        <v>#NAME?</v>
      </c>
      <c r="G144" s="205" t="e">
        <v>#NAME?</v>
      </c>
      <c r="H144" s="205" t="n">
        <f aca="false">IF(OR(ISBLANK(D144),NOT($C$7="Standard and boosted")),,ROUNDDOWN(('2.0.0 Raid Boss CP Helper'!$D$5+D144)*('2.0.0 Raid Boss CP Helper'!$D$6+E144)^0.5*('2.0.0 Raid Boss CP Helper'!$D$7+F144)^0.5*0.667934^2/10,0))</f>
        <v>0</v>
      </c>
      <c r="K144" s="195"/>
      <c r="L144" s="195"/>
      <c r="M144" s="195"/>
      <c r="N144" s="195"/>
      <c r="O144" s="195"/>
      <c r="P144" s="195"/>
      <c r="Q144" s="195"/>
      <c r="R144" s="195"/>
      <c r="S144" s="195"/>
      <c r="T144" s="195"/>
      <c r="U144" s="195"/>
      <c r="V144" s="195"/>
      <c r="W144" s="195"/>
      <c r="X144" s="195"/>
      <c r="Y144" s="195"/>
      <c r="Z144" s="195"/>
      <c r="AA144" s="195"/>
      <c r="AB144" s="195"/>
      <c r="AC144" s="195"/>
    </row>
    <row r="145" customFormat="false" ht="18" hidden="false" customHeight="true" outlineLevel="0" collapsed="false">
      <c r="A145" s="195"/>
      <c r="B145" s="195"/>
      <c r="C145" s="204" t="e">
        <f aca="false">IF(ISBLANK(D145),,SUM(D145:F145)/45)</f>
        <v>#NAME?</v>
      </c>
      <c r="D145" s="205" t="e">
        <v>#NAME?</v>
      </c>
      <c r="E145" s="205" t="e">
        <v>#NAME?</v>
      </c>
      <c r="F145" s="205" t="e">
        <v>#NAME?</v>
      </c>
      <c r="G145" s="205" t="e">
        <v>#NAME?</v>
      </c>
      <c r="H145" s="205" t="n">
        <f aca="false">IF(OR(ISBLANK(D145),NOT($C$7="Standard and boosted")),,ROUNDDOWN(('2.0.0 Raid Boss CP Helper'!$D$5+D145)*('2.0.0 Raid Boss CP Helper'!$D$6+E145)^0.5*('2.0.0 Raid Boss CP Helper'!$D$7+F145)^0.5*0.667934^2/10,0))</f>
        <v>0</v>
      </c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95"/>
    </row>
    <row r="146" customFormat="false" ht="18" hidden="false" customHeight="true" outlineLevel="0" collapsed="false">
      <c r="A146" s="195"/>
      <c r="B146" s="195"/>
      <c r="C146" s="204" t="e">
        <f aca="false">IF(ISBLANK(D146),,SUM(D146:F146)/45)</f>
        <v>#NAME?</v>
      </c>
      <c r="D146" s="205" t="e">
        <v>#NAME?</v>
      </c>
      <c r="E146" s="205" t="e">
        <v>#NAME?</v>
      </c>
      <c r="F146" s="205" t="e">
        <v>#NAME?</v>
      </c>
      <c r="G146" s="205" t="e">
        <v>#NAME?</v>
      </c>
      <c r="H146" s="205" t="n">
        <f aca="false">IF(OR(ISBLANK(D146),NOT($C$7="Standard and boosted")),,ROUNDDOWN(('2.0.0 Raid Boss CP Helper'!$D$5+D146)*('2.0.0 Raid Boss CP Helper'!$D$6+E146)^0.5*('2.0.0 Raid Boss CP Helper'!$D$7+F146)^0.5*0.667934^2/10,0))</f>
        <v>0</v>
      </c>
      <c r="K146" s="195"/>
      <c r="L146" s="195"/>
      <c r="M146" s="195"/>
      <c r="N146" s="195"/>
      <c r="O146" s="195"/>
      <c r="P146" s="195"/>
      <c r="Q146" s="195"/>
      <c r="R146" s="195"/>
      <c r="S146" s="195"/>
      <c r="T146" s="195"/>
      <c r="U146" s="195"/>
      <c r="V146" s="195"/>
      <c r="W146" s="195"/>
      <c r="X146" s="195"/>
      <c r="Y146" s="195"/>
      <c r="Z146" s="195"/>
      <c r="AA146" s="195"/>
      <c r="AB146" s="195"/>
      <c r="AC146" s="195"/>
    </row>
    <row r="147" customFormat="false" ht="18" hidden="false" customHeight="true" outlineLevel="0" collapsed="false">
      <c r="A147" s="195"/>
      <c r="B147" s="195"/>
      <c r="C147" s="204" t="e">
        <f aca="false">IF(ISBLANK(D147),,SUM(D147:F147)/45)</f>
        <v>#NAME?</v>
      </c>
      <c r="D147" s="205" t="e">
        <v>#NAME?</v>
      </c>
      <c r="E147" s="205" t="e">
        <v>#NAME?</v>
      </c>
      <c r="F147" s="205" t="e">
        <v>#NAME?</v>
      </c>
      <c r="G147" s="205" t="e">
        <v>#NAME?</v>
      </c>
      <c r="H147" s="205" t="n">
        <f aca="false">IF(OR(ISBLANK(D147),NOT($C$7="Standard and boosted")),,ROUNDDOWN(('2.0.0 Raid Boss CP Helper'!$D$5+D147)*('2.0.0 Raid Boss CP Helper'!$D$6+E147)^0.5*('2.0.0 Raid Boss CP Helper'!$D$7+F147)^0.5*0.667934^2/10,0))</f>
        <v>0</v>
      </c>
      <c r="K147" s="195"/>
      <c r="L147" s="195"/>
      <c r="M147" s="195"/>
      <c r="N147" s="195"/>
      <c r="O147" s="195"/>
      <c r="P147" s="195"/>
      <c r="Q147" s="195"/>
      <c r="R147" s="195"/>
      <c r="S147" s="195"/>
      <c r="T147" s="195"/>
      <c r="U147" s="195"/>
      <c r="V147" s="195"/>
      <c r="W147" s="195"/>
      <c r="X147" s="195"/>
      <c r="Y147" s="195"/>
      <c r="Z147" s="195"/>
      <c r="AA147" s="195"/>
      <c r="AB147" s="195"/>
      <c r="AC147" s="195"/>
    </row>
    <row r="148" customFormat="false" ht="18" hidden="false" customHeight="true" outlineLevel="0" collapsed="false">
      <c r="A148" s="195"/>
      <c r="B148" s="195"/>
      <c r="C148" s="204" t="e">
        <f aca="false">IF(ISBLANK(D148),,SUM(D148:F148)/45)</f>
        <v>#NAME?</v>
      </c>
      <c r="D148" s="205" t="e">
        <v>#NAME?</v>
      </c>
      <c r="E148" s="205" t="e">
        <v>#NAME?</v>
      </c>
      <c r="F148" s="205" t="e">
        <v>#NAME?</v>
      </c>
      <c r="G148" s="205" t="e">
        <v>#NAME?</v>
      </c>
      <c r="H148" s="205" t="n">
        <f aca="false">IF(OR(ISBLANK(D148),NOT($C$7="Standard and boosted")),,ROUNDDOWN(('2.0.0 Raid Boss CP Helper'!$D$5+D148)*('2.0.0 Raid Boss CP Helper'!$D$6+E148)^0.5*('2.0.0 Raid Boss CP Helper'!$D$7+F148)^0.5*0.667934^2/10,0))</f>
        <v>0</v>
      </c>
      <c r="K148" s="195"/>
      <c r="L148" s="195"/>
      <c r="M148" s="195"/>
      <c r="N148" s="195"/>
      <c r="O148" s="195"/>
      <c r="P148" s="195"/>
      <c r="Q148" s="195"/>
      <c r="R148" s="195"/>
      <c r="S148" s="195"/>
      <c r="T148" s="195"/>
      <c r="U148" s="195"/>
      <c r="V148" s="195"/>
      <c r="W148" s="195"/>
      <c r="X148" s="195"/>
      <c r="Y148" s="195"/>
      <c r="Z148" s="195"/>
      <c r="AA148" s="195"/>
      <c r="AB148" s="195"/>
      <c r="AC148" s="195"/>
    </row>
    <row r="149" customFormat="false" ht="18" hidden="false" customHeight="true" outlineLevel="0" collapsed="false">
      <c r="A149" s="195"/>
      <c r="B149" s="195"/>
      <c r="C149" s="204" t="e">
        <f aca="false">IF(ISBLANK(D149),,SUM(D149:F149)/45)</f>
        <v>#NAME?</v>
      </c>
      <c r="D149" s="205" t="e">
        <v>#NAME?</v>
      </c>
      <c r="E149" s="205" t="e">
        <v>#NAME?</v>
      </c>
      <c r="F149" s="205" t="e">
        <v>#NAME?</v>
      </c>
      <c r="G149" s="205" t="e">
        <v>#NAME?</v>
      </c>
      <c r="H149" s="205" t="n">
        <f aca="false">IF(OR(ISBLANK(D149),NOT($C$7="Standard and boosted")),,ROUNDDOWN(('2.0.0 Raid Boss CP Helper'!$D$5+D149)*('2.0.0 Raid Boss CP Helper'!$D$6+E149)^0.5*('2.0.0 Raid Boss CP Helper'!$D$7+F149)^0.5*0.667934^2/10,0))</f>
        <v>0</v>
      </c>
      <c r="K149" s="195"/>
      <c r="L149" s="195"/>
      <c r="M149" s="195"/>
      <c r="N149" s="195"/>
      <c r="O149" s="195"/>
      <c r="P149" s="195"/>
      <c r="Q149" s="195"/>
      <c r="R149" s="195"/>
      <c r="S149" s="195"/>
      <c r="T149" s="195"/>
      <c r="U149" s="195"/>
      <c r="V149" s="195"/>
      <c r="W149" s="195"/>
      <c r="X149" s="195"/>
      <c r="Y149" s="195"/>
      <c r="Z149" s="195"/>
      <c r="AA149" s="195"/>
      <c r="AB149" s="195"/>
      <c r="AC149" s="195"/>
    </row>
    <row r="150" customFormat="false" ht="18" hidden="false" customHeight="true" outlineLevel="0" collapsed="false">
      <c r="A150" s="195"/>
      <c r="B150" s="195"/>
      <c r="C150" s="204" t="e">
        <f aca="false">IF(ISBLANK(D150),,SUM(D150:F150)/45)</f>
        <v>#NAME?</v>
      </c>
      <c r="D150" s="205" t="e">
        <v>#NAME?</v>
      </c>
      <c r="E150" s="205" t="e">
        <v>#NAME?</v>
      </c>
      <c r="F150" s="205" t="e">
        <v>#NAME?</v>
      </c>
      <c r="G150" s="205" t="e">
        <v>#NAME?</v>
      </c>
      <c r="H150" s="205" t="n">
        <f aca="false">IF(OR(ISBLANK(D150),NOT($C$7="Standard and boosted")),,ROUNDDOWN(('2.0.0 Raid Boss CP Helper'!$D$5+D150)*('2.0.0 Raid Boss CP Helper'!$D$6+E150)^0.5*('2.0.0 Raid Boss CP Helper'!$D$7+F150)^0.5*0.667934^2/10,0))</f>
        <v>0</v>
      </c>
      <c r="K150" s="195"/>
      <c r="L150" s="195"/>
      <c r="M150" s="195"/>
      <c r="N150" s="195"/>
      <c r="O150" s="195"/>
      <c r="P150" s="195"/>
      <c r="Q150" s="195"/>
      <c r="R150" s="195"/>
      <c r="S150" s="195"/>
      <c r="T150" s="195"/>
      <c r="U150" s="195"/>
      <c r="V150" s="195"/>
      <c r="W150" s="195"/>
      <c r="X150" s="195"/>
      <c r="Y150" s="195"/>
      <c r="Z150" s="195"/>
      <c r="AA150" s="195"/>
      <c r="AB150" s="195"/>
      <c r="AC150" s="195"/>
    </row>
    <row r="151" customFormat="false" ht="18" hidden="false" customHeight="true" outlineLevel="0" collapsed="false">
      <c r="A151" s="195"/>
      <c r="B151" s="195"/>
      <c r="C151" s="204" t="e">
        <f aca="false">IF(ISBLANK(D151),,SUM(D151:F151)/45)</f>
        <v>#NAME?</v>
      </c>
      <c r="D151" s="205" t="e">
        <v>#NAME?</v>
      </c>
      <c r="E151" s="205" t="e">
        <v>#NAME?</v>
      </c>
      <c r="F151" s="205" t="e">
        <v>#NAME?</v>
      </c>
      <c r="G151" s="205" t="e">
        <v>#NAME?</v>
      </c>
      <c r="H151" s="205" t="n">
        <f aca="false">IF(OR(ISBLANK(D151),NOT($C$7="Standard and boosted")),,ROUNDDOWN(('2.0.0 Raid Boss CP Helper'!$D$5+D151)*('2.0.0 Raid Boss CP Helper'!$D$6+E151)^0.5*('2.0.0 Raid Boss CP Helper'!$D$7+F151)^0.5*0.667934^2/10,0))</f>
        <v>0</v>
      </c>
      <c r="K151" s="195"/>
      <c r="L151" s="195"/>
      <c r="M151" s="195"/>
      <c r="N151" s="195"/>
      <c r="O151" s="195"/>
      <c r="P151" s="195"/>
      <c r="Q151" s="195"/>
      <c r="R151" s="195"/>
      <c r="S151" s="195"/>
      <c r="T151" s="195"/>
      <c r="U151" s="195"/>
      <c r="V151" s="195"/>
      <c r="W151" s="195"/>
      <c r="X151" s="195"/>
      <c r="Y151" s="195"/>
      <c r="Z151" s="195"/>
      <c r="AA151" s="195"/>
      <c r="AB151" s="195"/>
      <c r="AC151" s="195"/>
    </row>
    <row r="152" customFormat="false" ht="18" hidden="false" customHeight="true" outlineLevel="0" collapsed="false">
      <c r="A152" s="195"/>
      <c r="B152" s="195"/>
      <c r="C152" s="204" t="e">
        <f aca="false">IF(ISBLANK(D152),,SUM(D152:F152)/45)</f>
        <v>#NAME?</v>
      </c>
      <c r="D152" s="205" t="e">
        <v>#NAME?</v>
      </c>
      <c r="E152" s="205" t="e">
        <v>#NAME?</v>
      </c>
      <c r="F152" s="205" t="e">
        <v>#NAME?</v>
      </c>
      <c r="G152" s="205" t="e">
        <v>#NAME?</v>
      </c>
      <c r="H152" s="205" t="n">
        <f aca="false">IF(OR(ISBLANK(D152),NOT($C$7="Standard and boosted")),,ROUNDDOWN(('2.0.0 Raid Boss CP Helper'!$D$5+D152)*('2.0.0 Raid Boss CP Helper'!$D$6+E152)^0.5*('2.0.0 Raid Boss CP Helper'!$D$7+F152)^0.5*0.667934^2/10,0))</f>
        <v>0</v>
      </c>
      <c r="K152" s="195"/>
      <c r="L152" s="195"/>
      <c r="M152" s="195"/>
      <c r="N152" s="195"/>
      <c r="O152" s="195"/>
      <c r="P152" s="195"/>
      <c r="Q152" s="195"/>
      <c r="R152" s="195"/>
      <c r="S152" s="195"/>
      <c r="T152" s="195"/>
      <c r="U152" s="195"/>
      <c r="V152" s="195"/>
      <c r="W152" s="195"/>
      <c r="X152" s="195"/>
      <c r="Y152" s="195"/>
      <c r="Z152" s="195"/>
      <c r="AA152" s="195"/>
      <c r="AB152" s="195"/>
      <c r="AC152" s="195"/>
    </row>
    <row r="153" customFormat="false" ht="18" hidden="false" customHeight="true" outlineLevel="0" collapsed="false">
      <c r="A153" s="195"/>
      <c r="B153" s="195"/>
      <c r="C153" s="204" t="e">
        <f aca="false">IF(ISBLANK(D153),,SUM(D153:F153)/45)</f>
        <v>#NAME?</v>
      </c>
      <c r="D153" s="205" t="e">
        <v>#NAME?</v>
      </c>
      <c r="E153" s="205" t="e">
        <v>#NAME?</v>
      </c>
      <c r="F153" s="205" t="e">
        <v>#NAME?</v>
      </c>
      <c r="G153" s="205" t="e">
        <v>#NAME?</v>
      </c>
      <c r="H153" s="205" t="n">
        <f aca="false">IF(OR(ISBLANK(D153),NOT($C$7="Standard and boosted")),,ROUNDDOWN(('2.0.0 Raid Boss CP Helper'!$D$5+D153)*('2.0.0 Raid Boss CP Helper'!$D$6+E153)^0.5*('2.0.0 Raid Boss CP Helper'!$D$7+F153)^0.5*0.667934^2/10,0))</f>
        <v>0</v>
      </c>
      <c r="K153" s="195"/>
      <c r="L153" s="195"/>
      <c r="M153" s="195"/>
      <c r="N153" s="195"/>
      <c r="O153" s="195"/>
      <c r="P153" s="195"/>
      <c r="Q153" s="195"/>
      <c r="R153" s="195"/>
      <c r="S153" s="195"/>
      <c r="T153" s="195"/>
      <c r="U153" s="195"/>
      <c r="V153" s="195"/>
      <c r="W153" s="195"/>
      <c r="X153" s="195"/>
      <c r="Y153" s="195"/>
      <c r="Z153" s="195"/>
      <c r="AA153" s="195"/>
      <c r="AB153" s="195"/>
      <c r="AC153" s="195"/>
    </row>
    <row r="154" customFormat="false" ht="18" hidden="false" customHeight="true" outlineLevel="0" collapsed="false">
      <c r="A154" s="195"/>
      <c r="B154" s="195"/>
      <c r="C154" s="204" t="e">
        <f aca="false">IF(ISBLANK(D154),,SUM(D154:F154)/45)</f>
        <v>#NAME?</v>
      </c>
      <c r="D154" s="205" t="e">
        <v>#NAME?</v>
      </c>
      <c r="E154" s="205" t="e">
        <v>#NAME?</v>
      </c>
      <c r="F154" s="205" t="e">
        <v>#NAME?</v>
      </c>
      <c r="G154" s="205" t="e">
        <v>#NAME?</v>
      </c>
      <c r="H154" s="205" t="n">
        <f aca="false">IF(OR(ISBLANK(D154),NOT($C$7="Standard and boosted")),,ROUNDDOWN(('2.0.0 Raid Boss CP Helper'!$D$5+D154)*('2.0.0 Raid Boss CP Helper'!$D$6+E154)^0.5*('2.0.0 Raid Boss CP Helper'!$D$7+F154)^0.5*0.667934^2/10,0))</f>
        <v>0</v>
      </c>
      <c r="K154" s="195"/>
      <c r="L154" s="195"/>
      <c r="M154" s="195"/>
      <c r="N154" s="195"/>
      <c r="O154" s="195"/>
      <c r="P154" s="195"/>
      <c r="Q154" s="195"/>
      <c r="R154" s="195"/>
      <c r="S154" s="195"/>
      <c r="T154" s="195"/>
      <c r="U154" s="195"/>
      <c r="V154" s="195"/>
      <c r="W154" s="195"/>
      <c r="X154" s="195"/>
      <c r="Y154" s="195"/>
      <c r="Z154" s="195"/>
      <c r="AA154" s="195"/>
      <c r="AB154" s="195"/>
      <c r="AC154" s="195"/>
    </row>
    <row r="155" customFormat="false" ht="18" hidden="false" customHeight="true" outlineLevel="0" collapsed="false">
      <c r="A155" s="195"/>
      <c r="B155" s="195"/>
      <c r="C155" s="204" t="e">
        <f aca="false">IF(ISBLANK(D155),,SUM(D155:F155)/45)</f>
        <v>#NAME?</v>
      </c>
      <c r="D155" s="205" t="e">
        <v>#NAME?</v>
      </c>
      <c r="E155" s="205" t="e">
        <v>#NAME?</v>
      </c>
      <c r="F155" s="205" t="e">
        <v>#NAME?</v>
      </c>
      <c r="G155" s="205" t="e">
        <v>#NAME?</v>
      </c>
      <c r="H155" s="205" t="n">
        <f aca="false">IF(OR(ISBLANK(D155),NOT($C$7="Standard and boosted")),,ROUNDDOWN(('2.0.0 Raid Boss CP Helper'!$D$5+D155)*('2.0.0 Raid Boss CP Helper'!$D$6+E155)^0.5*('2.0.0 Raid Boss CP Helper'!$D$7+F155)^0.5*0.667934^2/10,0))</f>
        <v>0</v>
      </c>
      <c r="K155" s="195"/>
      <c r="L155" s="195"/>
      <c r="M155" s="195"/>
      <c r="N155" s="195"/>
      <c r="O155" s="195"/>
      <c r="P155" s="195"/>
      <c r="Q155" s="195"/>
      <c r="R155" s="195"/>
      <c r="S155" s="195"/>
      <c r="T155" s="195"/>
      <c r="U155" s="195"/>
      <c r="V155" s="195"/>
      <c r="W155" s="195"/>
      <c r="X155" s="195"/>
      <c r="Y155" s="195"/>
      <c r="Z155" s="195"/>
      <c r="AA155" s="195"/>
      <c r="AB155" s="195"/>
      <c r="AC155" s="195"/>
    </row>
    <row r="156" customFormat="false" ht="18" hidden="false" customHeight="true" outlineLevel="0" collapsed="false">
      <c r="A156" s="195"/>
      <c r="B156" s="195"/>
      <c r="C156" s="204" t="e">
        <f aca="false">IF(ISBLANK(D156),,SUM(D156:F156)/45)</f>
        <v>#NAME?</v>
      </c>
      <c r="D156" s="205" t="e">
        <v>#NAME?</v>
      </c>
      <c r="E156" s="205" t="e">
        <v>#NAME?</v>
      </c>
      <c r="F156" s="205" t="e">
        <v>#NAME?</v>
      </c>
      <c r="G156" s="205" t="e">
        <v>#NAME?</v>
      </c>
      <c r="H156" s="205" t="n">
        <f aca="false">IF(OR(ISBLANK(D156),NOT($C$7="Standard and boosted")),,ROUNDDOWN(('2.0.0 Raid Boss CP Helper'!$D$5+D156)*('2.0.0 Raid Boss CP Helper'!$D$6+E156)^0.5*('2.0.0 Raid Boss CP Helper'!$D$7+F156)^0.5*0.667934^2/10,0))</f>
        <v>0</v>
      </c>
      <c r="K156" s="195"/>
      <c r="L156" s="195"/>
      <c r="M156" s="195"/>
      <c r="N156" s="195"/>
      <c r="O156" s="195"/>
      <c r="P156" s="195"/>
      <c r="Q156" s="195"/>
      <c r="R156" s="195"/>
      <c r="S156" s="195"/>
      <c r="T156" s="195"/>
      <c r="U156" s="195"/>
      <c r="V156" s="195"/>
      <c r="W156" s="195"/>
      <c r="X156" s="195"/>
      <c r="Y156" s="195"/>
      <c r="Z156" s="195"/>
      <c r="AA156" s="195"/>
      <c r="AB156" s="195"/>
      <c r="AC156" s="195"/>
    </row>
    <row r="157" customFormat="false" ht="18" hidden="false" customHeight="true" outlineLevel="0" collapsed="false">
      <c r="A157" s="195"/>
      <c r="B157" s="195"/>
      <c r="C157" s="204" t="e">
        <f aca="false">IF(ISBLANK(D157),,SUM(D157:F157)/45)</f>
        <v>#NAME?</v>
      </c>
      <c r="D157" s="205" t="e">
        <v>#NAME?</v>
      </c>
      <c r="E157" s="205" t="e">
        <v>#NAME?</v>
      </c>
      <c r="F157" s="205" t="e">
        <v>#NAME?</v>
      </c>
      <c r="G157" s="205" t="e">
        <v>#NAME?</v>
      </c>
      <c r="H157" s="205" t="n">
        <f aca="false">IF(OR(ISBLANK(D157),NOT($C$7="Standard and boosted")),,ROUNDDOWN(('2.0.0 Raid Boss CP Helper'!$D$5+D157)*('2.0.0 Raid Boss CP Helper'!$D$6+E157)^0.5*('2.0.0 Raid Boss CP Helper'!$D$7+F157)^0.5*0.667934^2/10,0))</f>
        <v>0</v>
      </c>
      <c r="K157" s="195"/>
      <c r="L157" s="195"/>
      <c r="M157" s="195"/>
      <c r="N157" s="195"/>
      <c r="O157" s="195"/>
      <c r="P157" s="195"/>
      <c r="Q157" s="195"/>
      <c r="R157" s="195"/>
      <c r="S157" s="195"/>
      <c r="T157" s="195"/>
      <c r="U157" s="195"/>
      <c r="V157" s="195"/>
      <c r="W157" s="195"/>
      <c r="X157" s="195"/>
      <c r="Y157" s="195"/>
      <c r="Z157" s="195"/>
      <c r="AA157" s="195"/>
      <c r="AB157" s="195"/>
      <c r="AC157" s="195"/>
    </row>
    <row r="158" customFormat="false" ht="18" hidden="false" customHeight="true" outlineLevel="0" collapsed="false">
      <c r="A158" s="195"/>
      <c r="B158" s="195"/>
      <c r="C158" s="204" t="e">
        <f aca="false">IF(ISBLANK(D158),,SUM(D158:F158)/45)</f>
        <v>#NAME?</v>
      </c>
      <c r="D158" s="205" t="e">
        <v>#NAME?</v>
      </c>
      <c r="E158" s="205" t="e">
        <v>#NAME?</v>
      </c>
      <c r="F158" s="205" t="e">
        <v>#NAME?</v>
      </c>
      <c r="G158" s="205" t="e">
        <v>#NAME?</v>
      </c>
      <c r="H158" s="205" t="n">
        <f aca="false">IF(OR(ISBLANK(D158),NOT($C$7="Standard and boosted")),,ROUNDDOWN(('2.0.0 Raid Boss CP Helper'!$D$5+D158)*('2.0.0 Raid Boss CP Helper'!$D$6+E158)^0.5*('2.0.0 Raid Boss CP Helper'!$D$7+F158)^0.5*0.667934^2/10,0))</f>
        <v>0</v>
      </c>
      <c r="K158" s="195"/>
      <c r="L158" s="195"/>
      <c r="M158" s="195"/>
      <c r="N158" s="195"/>
      <c r="O158" s="195"/>
      <c r="P158" s="195"/>
      <c r="Q158" s="195"/>
      <c r="R158" s="195"/>
      <c r="S158" s="195"/>
      <c r="T158" s="195"/>
      <c r="U158" s="195"/>
      <c r="V158" s="195"/>
      <c r="W158" s="195"/>
      <c r="X158" s="195"/>
      <c r="Y158" s="195"/>
      <c r="Z158" s="195"/>
      <c r="AA158" s="195"/>
      <c r="AB158" s="195"/>
      <c r="AC158" s="195"/>
    </row>
    <row r="159" customFormat="false" ht="18" hidden="false" customHeight="true" outlineLevel="0" collapsed="false">
      <c r="A159" s="195"/>
      <c r="B159" s="195"/>
      <c r="C159" s="204" t="e">
        <f aca="false">IF(ISBLANK(D159),,SUM(D159:F159)/45)</f>
        <v>#NAME?</v>
      </c>
      <c r="D159" s="205" t="e">
        <v>#NAME?</v>
      </c>
      <c r="E159" s="205" t="e">
        <v>#NAME?</v>
      </c>
      <c r="F159" s="205" t="e">
        <v>#NAME?</v>
      </c>
      <c r="G159" s="205" t="e">
        <v>#NAME?</v>
      </c>
      <c r="H159" s="205" t="n">
        <f aca="false">IF(OR(ISBLANK(D159),NOT($C$7="Standard and boosted")),,ROUNDDOWN(('2.0.0 Raid Boss CP Helper'!$D$5+D159)*('2.0.0 Raid Boss CP Helper'!$D$6+E159)^0.5*('2.0.0 Raid Boss CP Helper'!$D$7+F159)^0.5*0.667934^2/10,0))</f>
        <v>0</v>
      </c>
      <c r="K159" s="195"/>
      <c r="L159" s="195"/>
      <c r="M159" s="195"/>
      <c r="N159" s="195"/>
      <c r="O159" s="195"/>
      <c r="P159" s="195"/>
      <c r="Q159" s="195"/>
      <c r="R159" s="195"/>
      <c r="S159" s="195"/>
      <c r="T159" s="195"/>
      <c r="U159" s="195"/>
      <c r="V159" s="195"/>
      <c r="W159" s="195"/>
      <c r="X159" s="195"/>
      <c r="Y159" s="195"/>
      <c r="Z159" s="195"/>
      <c r="AA159" s="195"/>
      <c r="AB159" s="195"/>
      <c r="AC159" s="195"/>
    </row>
    <row r="160" customFormat="false" ht="18" hidden="false" customHeight="true" outlineLevel="0" collapsed="false">
      <c r="A160" s="195"/>
      <c r="B160" s="195"/>
      <c r="C160" s="204" t="e">
        <f aca="false">IF(ISBLANK(D160),,SUM(D160:F160)/45)</f>
        <v>#NAME?</v>
      </c>
      <c r="D160" s="205" t="e">
        <v>#NAME?</v>
      </c>
      <c r="E160" s="205" t="e">
        <v>#NAME?</v>
      </c>
      <c r="F160" s="205" t="e">
        <v>#NAME?</v>
      </c>
      <c r="G160" s="205" t="e">
        <v>#NAME?</v>
      </c>
      <c r="H160" s="205" t="n">
        <f aca="false">IF(OR(ISBLANK(D160),NOT($C$7="Standard and boosted")),,ROUNDDOWN(('2.0.0 Raid Boss CP Helper'!$D$5+D160)*('2.0.0 Raid Boss CP Helper'!$D$6+E160)^0.5*('2.0.0 Raid Boss CP Helper'!$D$7+F160)^0.5*0.667934^2/10,0))</f>
        <v>0</v>
      </c>
      <c r="K160" s="195"/>
      <c r="L160" s="195"/>
      <c r="M160" s="195"/>
      <c r="N160" s="195"/>
      <c r="O160" s="195"/>
      <c r="P160" s="195"/>
      <c r="Q160" s="195"/>
      <c r="R160" s="195"/>
      <c r="S160" s="195"/>
      <c r="T160" s="195"/>
      <c r="U160" s="195"/>
      <c r="V160" s="195"/>
      <c r="W160" s="195"/>
      <c r="X160" s="195"/>
      <c r="Y160" s="195"/>
      <c r="Z160" s="195"/>
      <c r="AA160" s="195"/>
      <c r="AB160" s="195"/>
      <c r="AC160" s="195"/>
    </row>
    <row r="161" customFormat="false" ht="18" hidden="false" customHeight="true" outlineLevel="0" collapsed="false">
      <c r="A161" s="195"/>
      <c r="B161" s="195"/>
      <c r="C161" s="204" t="e">
        <f aca="false">IF(ISBLANK(D161),,SUM(D161:F161)/45)</f>
        <v>#NAME?</v>
      </c>
      <c r="D161" s="205" t="e">
        <v>#NAME?</v>
      </c>
      <c r="E161" s="205" t="e">
        <v>#NAME?</v>
      </c>
      <c r="F161" s="205" t="e">
        <v>#NAME?</v>
      </c>
      <c r="G161" s="205" t="e">
        <v>#NAME?</v>
      </c>
      <c r="H161" s="205" t="n">
        <f aca="false">IF(OR(ISBLANK(D161),NOT($C$7="Standard and boosted")),,ROUNDDOWN(('2.0.0 Raid Boss CP Helper'!$D$5+D161)*('2.0.0 Raid Boss CP Helper'!$D$6+E161)^0.5*('2.0.0 Raid Boss CP Helper'!$D$7+F161)^0.5*0.667934^2/10,0))</f>
        <v>0</v>
      </c>
      <c r="K161" s="195"/>
      <c r="L161" s="195"/>
      <c r="M161" s="195"/>
      <c r="N161" s="195"/>
      <c r="O161" s="195"/>
      <c r="P161" s="195"/>
      <c r="Q161" s="195"/>
      <c r="R161" s="195"/>
      <c r="S161" s="195"/>
      <c r="T161" s="195"/>
      <c r="U161" s="195"/>
      <c r="V161" s="195"/>
      <c r="W161" s="195"/>
      <c r="X161" s="195"/>
      <c r="Y161" s="195"/>
      <c r="Z161" s="195"/>
      <c r="AA161" s="195"/>
      <c r="AB161" s="195"/>
      <c r="AC161" s="195"/>
    </row>
    <row r="162" customFormat="false" ht="18" hidden="false" customHeight="true" outlineLevel="0" collapsed="false">
      <c r="A162" s="195"/>
      <c r="B162" s="195"/>
      <c r="C162" s="204" t="e">
        <f aca="false">IF(ISBLANK(D162),,SUM(D162:F162)/45)</f>
        <v>#NAME?</v>
      </c>
      <c r="D162" s="205" t="e">
        <v>#NAME?</v>
      </c>
      <c r="E162" s="205" t="e">
        <v>#NAME?</v>
      </c>
      <c r="F162" s="205" t="e">
        <v>#NAME?</v>
      </c>
      <c r="G162" s="205" t="e">
        <v>#NAME?</v>
      </c>
      <c r="H162" s="205" t="n">
        <f aca="false">IF(OR(ISBLANK(D162),NOT($C$7="Standard and boosted")),,ROUNDDOWN(('2.0.0 Raid Boss CP Helper'!$D$5+D162)*('2.0.0 Raid Boss CP Helper'!$D$6+E162)^0.5*('2.0.0 Raid Boss CP Helper'!$D$7+F162)^0.5*0.667934^2/10,0))</f>
        <v>0</v>
      </c>
      <c r="K162" s="195"/>
      <c r="L162" s="195"/>
      <c r="M162" s="195"/>
      <c r="N162" s="195"/>
      <c r="O162" s="195"/>
      <c r="P162" s="195"/>
      <c r="Q162" s="195"/>
      <c r="R162" s="195"/>
      <c r="S162" s="195"/>
      <c r="T162" s="195"/>
      <c r="U162" s="195"/>
      <c r="V162" s="195"/>
      <c r="W162" s="195"/>
      <c r="X162" s="195"/>
      <c r="Y162" s="195"/>
      <c r="Z162" s="195"/>
      <c r="AA162" s="195"/>
      <c r="AB162" s="195"/>
      <c r="AC162" s="195"/>
    </row>
    <row r="163" customFormat="false" ht="18" hidden="false" customHeight="true" outlineLevel="0" collapsed="false">
      <c r="A163" s="195"/>
      <c r="B163" s="195"/>
      <c r="C163" s="204" t="e">
        <f aca="false">IF(ISBLANK(D163),,SUM(D163:F163)/45)</f>
        <v>#NAME?</v>
      </c>
      <c r="D163" s="205" t="e">
        <v>#NAME?</v>
      </c>
      <c r="E163" s="205" t="e">
        <v>#NAME?</v>
      </c>
      <c r="F163" s="205" t="e">
        <v>#NAME?</v>
      </c>
      <c r="G163" s="205" t="e">
        <v>#NAME?</v>
      </c>
      <c r="H163" s="205" t="n">
        <f aca="false">IF(OR(ISBLANK(D163),NOT($C$7="Standard and boosted")),,ROUNDDOWN(('2.0.0 Raid Boss CP Helper'!$D$5+D163)*('2.0.0 Raid Boss CP Helper'!$D$6+E163)^0.5*('2.0.0 Raid Boss CP Helper'!$D$7+F163)^0.5*0.667934^2/10,0))</f>
        <v>0</v>
      </c>
      <c r="K163" s="195"/>
      <c r="L163" s="195"/>
      <c r="M163" s="195"/>
      <c r="N163" s="195"/>
      <c r="O163" s="195"/>
      <c r="P163" s="195"/>
      <c r="Q163" s="195"/>
      <c r="R163" s="195"/>
      <c r="S163" s="195"/>
      <c r="T163" s="195"/>
      <c r="U163" s="195"/>
      <c r="V163" s="195"/>
      <c r="W163" s="195"/>
      <c r="X163" s="195"/>
      <c r="Y163" s="195"/>
      <c r="Z163" s="195"/>
      <c r="AA163" s="195"/>
      <c r="AB163" s="195"/>
      <c r="AC163" s="195"/>
    </row>
    <row r="164" customFormat="false" ht="18" hidden="false" customHeight="true" outlineLevel="0" collapsed="false">
      <c r="A164" s="195"/>
      <c r="B164" s="195"/>
      <c r="C164" s="204" t="e">
        <f aca="false">IF(ISBLANK(D164),,SUM(D164:F164)/45)</f>
        <v>#NAME?</v>
      </c>
      <c r="D164" s="205" t="e">
        <v>#NAME?</v>
      </c>
      <c r="E164" s="205" t="e">
        <v>#NAME?</v>
      </c>
      <c r="F164" s="205" t="e">
        <v>#NAME?</v>
      </c>
      <c r="G164" s="205" t="e">
        <v>#NAME?</v>
      </c>
      <c r="H164" s="205" t="n">
        <f aca="false">IF(OR(ISBLANK(D164),NOT($C$7="Standard and boosted")),,ROUNDDOWN(('2.0.0 Raid Boss CP Helper'!$D$5+D164)*('2.0.0 Raid Boss CP Helper'!$D$6+E164)^0.5*('2.0.0 Raid Boss CP Helper'!$D$7+F164)^0.5*0.667934^2/10,0))</f>
        <v>0</v>
      </c>
      <c r="K164" s="195"/>
      <c r="L164" s="195"/>
      <c r="M164" s="195"/>
      <c r="N164" s="195"/>
      <c r="O164" s="195"/>
      <c r="P164" s="195"/>
      <c r="Q164" s="195"/>
      <c r="R164" s="195"/>
      <c r="S164" s="195"/>
      <c r="T164" s="195"/>
      <c r="U164" s="195"/>
      <c r="V164" s="195"/>
      <c r="W164" s="195"/>
      <c r="X164" s="195"/>
      <c r="Y164" s="195"/>
      <c r="Z164" s="195"/>
      <c r="AA164" s="195"/>
      <c r="AB164" s="195"/>
      <c r="AC164" s="195"/>
    </row>
    <row r="165" customFormat="false" ht="18" hidden="false" customHeight="true" outlineLevel="0" collapsed="false">
      <c r="A165" s="195"/>
      <c r="B165" s="195"/>
      <c r="C165" s="204" t="e">
        <f aca="false">IF(ISBLANK(D165),,SUM(D165:F165)/45)</f>
        <v>#NAME?</v>
      </c>
      <c r="D165" s="205" t="e">
        <v>#NAME?</v>
      </c>
      <c r="E165" s="205" t="e">
        <v>#NAME?</v>
      </c>
      <c r="F165" s="205" t="e">
        <v>#NAME?</v>
      </c>
      <c r="G165" s="205" t="e">
        <v>#NAME?</v>
      </c>
      <c r="H165" s="205" t="n">
        <f aca="false">IF(OR(ISBLANK(D165),NOT($C$7="Standard and boosted")),,ROUNDDOWN(('2.0.0 Raid Boss CP Helper'!$D$5+D165)*('2.0.0 Raid Boss CP Helper'!$D$6+E165)^0.5*('2.0.0 Raid Boss CP Helper'!$D$7+F165)^0.5*0.667934^2/10,0))</f>
        <v>0</v>
      </c>
      <c r="K165" s="195"/>
      <c r="L165" s="195"/>
      <c r="M165" s="195"/>
      <c r="N165" s="195"/>
      <c r="O165" s="195"/>
      <c r="P165" s="195"/>
      <c r="Q165" s="195"/>
      <c r="R165" s="195"/>
      <c r="S165" s="195"/>
      <c r="T165" s="195"/>
      <c r="U165" s="195"/>
      <c r="V165" s="195"/>
      <c r="W165" s="195"/>
      <c r="X165" s="195"/>
      <c r="Y165" s="195"/>
      <c r="Z165" s="195"/>
      <c r="AA165" s="195"/>
      <c r="AB165" s="195"/>
      <c r="AC165" s="195"/>
    </row>
    <row r="166" customFormat="false" ht="18" hidden="false" customHeight="true" outlineLevel="0" collapsed="false">
      <c r="A166" s="195"/>
      <c r="B166" s="195"/>
      <c r="C166" s="204" t="e">
        <f aca="false">IF(ISBLANK(D166),,SUM(D166:F166)/45)</f>
        <v>#NAME?</v>
      </c>
      <c r="D166" s="205" t="e">
        <v>#NAME?</v>
      </c>
      <c r="E166" s="205" t="e">
        <v>#NAME?</v>
      </c>
      <c r="F166" s="205" t="e">
        <v>#NAME?</v>
      </c>
      <c r="G166" s="205" t="e">
        <v>#NAME?</v>
      </c>
      <c r="H166" s="205" t="n">
        <f aca="false">IF(OR(ISBLANK(D166),NOT($C$7="Standard and boosted")),,ROUNDDOWN(('2.0.0 Raid Boss CP Helper'!$D$5+D166)*('2.0.0 Raid Boss CP Helper'!$D$6+E166)^0.5*('2.0.0 Raid Boss CP Helper'!$D$7+F166)^0.5*0.667934^2/10,0))</f>
        <v>0</v>
      </c>
      <c r="K166" s="195"/>
      <c r="L166" s="195"/>
      <c r="M166" s="195"/>
      <c r="N166" s="195"/>
      <c r="O166" s="195"/>
      <c r="P166" s="195"/>
      <c r="Q166" s="195"/>
      <c r="R166" s="195"/>
      <c r="S166" s="195"/>
      <c r="T166" s="195"/>
      <c r="U166" s="195"/>
      <c r="V166" s="195"/>
      <c r="W166" s="195"/>
      <c r="X166" s="195"/>
      <c r="Y166" s="195"/>
      <c r="Z166" s="195"/>
      <c r="AA166" s="195"/>
      <c r="AB166" s="195"/>
      <c r="AC166" s="195"/>
    </row>
    <row r="167" customFormat="false" ht="18" hidden="false" customHeight="true" outlineLevel="0" collapsed="false">
      <c r="A167" s="195"/>
      <c r="B167" s="195"/>
      <c r="C167" s="204" t="e">
        <f aca="false">IF(ISBLANK(D167),,SUM(D167:F167)/45)</f>
        <v>#NAME?</v>
      </c>
      <c r="D167" s="205" t="e">
        <v>#NAME?</v>
      </c>
      <c r="E167" s="205" t="e">
        <v>#NAME?</v>
      </c>
      <c r="F167" s="205" t="e">
        <v>#NAME?</v>
      </c>
      <c r="G167" s="205" t="e">
        <v>#NAME?</v>
      </c>
      <c r="H167" s="205" t="n">
        <f aca="false">IF(OR(ISBLANK(D167),NOT($C$7="Standard and boosted")),,ROUNDDOWN(('2.0.0 Raid Boss CP Helper'!$D$5+D167)*('2.0.0 Raid Boss CP Helper'!$D$6+E167)^0.5*('2.0.0 Raid Boss CP Helper'!$D$7+F167)^0.5*0.667934^2/10,0))</f>
        <v>0</v>
      </c>
      <c r="K167" s="195"/>
      <c r="L167" s="195"/>
      <c r="M167" s="195"/>
      <c r="N167" s="195"/>
      <c r="O167" s="195"/>
      <c r="P167" s="195"/>
      <c r="Q167" s="195"/>
      <c r="R167" s="195"/>
      <c r="S167" s="195"/>
      <c r="T167" s="195"/>
      <c r="U167" s="195"/>
      <c r="V167" s="195"/>
      <c r="W167" s="195"/>
      <c r="X167" s="195"/>
      <c r="Y167" s="195"/>
      <c r="Z167" s="195"/>
      <c r="AA167" s="195"/>
      <c r="AB167" s="195"/>
      <c r="AC167" s="195"/>
    </row>
    <row r="168" customFormat="false" ht="18" hidden="false" customHeight="true" outlineLevel="0" collapsed="false">
      <c r="A168" s="195"/>
      <c r="B168" s="195"/>
      <c r="C168" s="204" t="e">
        <f aca="false">IF(ISBLANK(D168),,SUM(D168:F168)/45)</f>
        <v>#NAME?</v>
      </c>
      <c r="D168" s="205" t="e">
        <v>#NAME?</v>
      </c>
      <c r="E168" s="205" t="e">
        <v>#NAME?</v>
      </c>
      <c r="F168" s="205" t="e">
        <v>#NAME?</v>
      </c>
      <c r="G168" s="205" t="e">
        <v>#NAME?</v>
      </c>
      <c r="H168" s="205" t="n">
        <f aca="false">IF(OR(ISBLANK(D168),NOT($C$7="Standard and boosted")),,ROUNDDOWN(('2.0.0 Raid Boss CP Helper'!$D$5+D168)*('2.0.0 Raid Boss CP Helper'!$D$6+E168)^0.5*('2.0.0 Raid Boss CP Helper'!$D$7+F168)^0.5*0.667934^2/10,0))</f>
        <v>0</v>
      </c>
      <c r="K168" s="195"/>
      <c r="L168" s="195"/>
      <c r="M168" s="195"/>
      <c r="N168" s="195"/>
      <c r="O168" s="195"/>
      <c r="P168" s="195"/>
      <c r="Q168" s="195"/>
      <c r="R168" s="195"/>
      <c r="S168" s="195"/>
      <c r="T168" s="195"/>
      <c r="U168" s="195"/>
      <c r="V168" s="195"/>
      <c r="W168" s="195"/>
      <c r="X168" s="195"/>
      <c r="Y168" s="195"/>
      <c r="Z168" s="195"/>
      <c r="AA168" s="195"/>
      <c r="AB168" s="195"/>
      <c r="AC168" s="195"/>
    </row>
    <row r="169" customFormat="false" ht="18" hidden="false" customHeight="true" outlineLevel="0" collapsed="false">
      <c r="A169" s="195"/>
      <c r="B169" s="195"/>
      <c r="C169" s="204" t="e">
        <f aca="false">IF(ISBLANK(D169),,SUM(D169:F169)/45)</f>
        <v>#NAME?</v>
      </c>
      <c r="D169" s="205" t="e">
        <v>#NAME?</v>
      </c>
      <c r="E169" s="205" t="e">
        <v>#NAME?</v>
      </c>
      <c r="F169" s="205" t="e">
        <v>#NAME?</v>
      </c>
      <c r="G169" s="205" t="e">
        <v>#NAME?</v>
      </c>
      <c r="H169" s="205" t="n">
        <f aca="false">IF(OR(ISBLANK(D169),NOT($C$7="Standard and boosted")),,ROUNDDOWN(('2.0.0 Raid Boss CP Helper'!$D$5+D169)*('2.0.0 Raid Boss CP Helper'!$D$6+E169)^0.5*('2.0.0 Raid Boss CP Helper'!$D$7+F169)^0.5*0.667934^2/10,0))</f>
        <v>0</v>
      </c>
      <c r="K169" s="195"/>
      <c r="L169" s="195"/>
      <c r="M169" s="195"/>
      <c r="N169" s="195"/>
      <c r="O169" s="195"/>
      <c r="P169" s="195"/>
      <c r="Q169" s="195"/>
      <c r="R169" s="195"/>
      <c r="S169" s="195"/>
      <c r="T169" s="195"/>
      <c r="U169" s="195"/>
      <c r="V169" s="195"/>
      <c r="W169" s="195"/>
      <c r="X169" s="195"/>
      <c r="Y169" s="195"/>
      <c r="Z169" s="195"/>
      <c r="AA169" s="195"/>
      <c r="AB169" s="195"/>
      <c r="AC169" s="195"/>
    </row>
    <row r="170" customFormat="false" ht="18" hidden="false" customHeight="true" outlineLevel="0" collapsed="false">
      <c r="A170" s="195"/>
      <c r="B170" s="195"/>
      <c r="C170" s="204" t="e">
        <f aca="false">IF(ISBLANK(D170),,SUM(D170:F170)/45)</f>
        <v>#NAME?</v>
      </c>
      <c r="D170" s="205" t="e">
        <v>#NAME?</v>
      </c>
      <c r="E170" s="205" t="e">
        <v>#NAME?</v>
      </c>
      <c r="F170" s="205" t="e">
        <v>#NAME?</v>
      </c>
      <c r="G170" s="205" t="e">
        <v>#NAME?</v>
      </c>
      <c r="H170" s="205" t="n">
        <f aca="false">IF(OR(ISBLANK(D170),NOT($C$7="Standard and boosted")),,ROUNDDOWN(('2.0.0 Raid Boss CP Helper'!$D$5+D170)*('2.0.0 Raid Boss CP Helper'!$D$6+E170)^0.5*('2.0.0 Raid Boss CP Helper'!$D$7+F170)^0.5*0.667934^2/10,0))</f>
        <v>0</v>
      </c>
      <c r="K170" s="195"/>
      <c r="L170" s="195"/>
      <c r="M170" s="195"/>
      <c r="N170" s="195"/>
      <c r="O170" s="195"/>
      <c r="P170" s="195"/>
      <c r="Q170" s="195"/>
      <c r="R170" s="195"/>
      <c r="S170" s="195"/>
      <c r="T170" s="195"/>
      <c r="U170" s="195"/>
      <c r="V170" s="195"/>
      <c r="W170" s="195"/>
      <c r="X170" s="195"/>
      <c r="Y170" s="195"/>
      <c r="Z170" s="195"/>
      <c r="AA170" s="195"/>
      <c r="AB170" s="195"/>
      <c r="AC170" s="195"/>
    </row>
    <row r="171" customFormat="false" ht="18" hidden="false" customHeight="true" outlineLevel="0" collapsed="false">
      <c r="A171" s="195"/>
      <c r="B171" s="195"/>
      <c r="C171" s="204" t="e">
        <f aca="false">IF(ISBLANK(D171),,SUM(D171:F171)/45)</f>
        <v>#NAME?</v>
      </c>
      <c r="D171" s="205" t="e">
        <v>#NAME?</v>
      </c>
      <c r="E171" s="205" t="e">
        <v>#NAME?</v>
      </c>
      <c r="F171" s="205" t="e">
        <v>#NAME?</v>
      </c>
      <c r="G171" s="205" t="e">
        <v>#NAME?</v>
      </c>
      <c r="H171" s="205" t="n">
        <f aca="false">IF(OR(ISBLANK(D171),NOT($C$7="Standard and boosted")),,ROUNDDOWN(('2.0.0 Raid Boss CP Helper'!$D$5+D171)*('2.0.0 Raid Boss CP Helper'!$D$6+E171)^0.5*('2.0.0 Raid Boss CP Helper'!$D$7+F171)^0.5*0.667934^2/10,0))</f>
        <v>0</v>
      </c>
      <c r="K171" s="195"/>
      <c r="L171" s="195"/>
      <c r="M171" s="195"/>
      <c r="N171" s="195"/>
      <c r="O171" s="195"/>
      <c r="P171" s="195"/>
      <c r="Q171" s="195"/>
      <c r="R171" s="195"/>
      <c r="S171" s="195"/>
      <c r="T171" s="195"/>
      <c r="U171" s="195"/>
      <c r="V171" s="195"/>
      <c r="W171" s="195"/>
      <c r="X171" s="195"/>
      <c r="Y171" s="195"/>
      <c r="Z171" s="195"/>
      <c r="AA171" s="195"/>
      <c r="AB171" s="195"/>
      <c r="AC171" s="195"/>
    </row>
    <row r="172" customFormat="false" ht="18" hidden="false" customHeight="true" outlineLevel="0" collapsed="false">
      <c r="A172" s="195"/>
      <c r="B172" s="195"/>
      <c r="C172" s="204" t="e">
        <f aca="false">IF(ISBLANK(D172),,SUM(D172:F172)/45)</f>
        <v>#NAME?</v>
      </c>
      <c r="D172" s="205" t="e">
        <v>#NAME?</v>
      </c>
      <c r="E172" s="205" t="e">
        <v>#NAME?</v>
      </c>
      <c r="F172" s="205" t="e">
        <v>#NAME?</v>
      </c>
      <c r="G172" s="205" t="e">
        <v>#NAME?</v>
      </c>
      <c r="H172" s="205" t="n">
        <f aca="false">IF(OR(ISBLANK(D172),NOT($C$7="Standard and boosted")),,ROUNDDOWN(('2.0.0 Raid Boss CP Helper'!$D$5+D172)*('2.0.0 Raid Boss CP Helper'!$D$6+E172)^0.5*('2.0.0 Raid Boss CP Helper'!$D$7+F172)^0.5*0.667934^2/10,0))</f>
        <v>0</v>
      </c>
      <c r="K172" s="195"/>
      <c r="L172" s="195"/>
      <c r="M172" s="195"/>
      <c r="N172" s="195"/>
      <c r="O172" s="195"/>
      <c r="P172" s="195"/>
      <c r="Q172" s="195"/>
      <c r="R172" s="195"/>
      <c r="S172" s="195"/>
      <c r="T172" s="195"/>
      <c r="U172" s="195"/>
      <c r="V172" s="195"/>
      <c r="W172" s="195"/>
      <c r="X172" s="195"/>
      <c r="Y172" s="195"/>
      <c r="Z172" s="195"/>
      <c r="AA172" s="195"/>
      <c r="AB172" s="195"/>
      <c r="AC172" s="195"/>
    </row>
    <row r="173" customFormat="false" ht="18" hidden="false" customHeight="true" outlineLevel="0" collapsed="false">
      <c r="A173" s="195"/>
      <c r="B173" s="195"/>
      <c r="C173" s="204" t="e">
        <f aca="false">IF(ISBLANK(D173),,SUM(D173:F173)/45)</f>
        <v>#NAME?</v>
      </c>
      <c r="D173" s="205" t="e">
        <v>#NAME?</v>
      </c>
      <c r="E173" s="205" t="e">
        <v>#NAME?</v>
      </c>
      <c r="F173" s="205" t="e">
        <v>#NAME?</v>
      </c>
      <c r="G173" s="205" t="e">
        <v>#NAME?</v>
      </c>
      <c r="H173" s="205" t="n">
        <f aca="false">IF(OR(ISBLANK(D173),NOT($C$7="Standard and boosted")),,ROUNDDOWN(('2.0.0 Raid Boss CP Helper'!$D$5+D173)*('2.0.0 Raid Boss CP Helper'!$D$6+E173)^0.5*('2.0.0 Raid Boss CP Helper'!$D$7+F173)^0.5*0.667934^2/10,0))</f>
        <v>0</v>
      </c>
      <c r="K173" s="195"/>
      <c r="L173" s="195"/>
      <c r="M173" s="195"/>
      <c r="N173" s="195"/>
      <c r="O173" s="195"/>
      <c r="P173" s="195"/>
      <c r="Q173" s="195"/>
      <c r="R173" s="195"/>
      <c r="S173" s="195"/>
      <c r="T173" s="195"/>
      <c r="U173" s="195"/>
      <c r="V173" s="195"/>
      <c r="W173" s="195"/>
      <c r="X173" s="195"/>
      <c r="Y173" s="195"/>
      <c r="Z173" s="195"/>
      <c r="AA173" s="195"/>
      <c r="AB173" s="195"/>
      <c r="AC173" s="195"/>
    </row>
    <row r="174" customFormat="false" ht="18" hidden="false" customHeight="true" outlineLevel="0" collapsed="false">
      <c r="A174" s="195"/>
      <c r="B174" s="195"/>
      <c r="C174" s="204" t="e">
        <f aca="false">IF(ISBLANK(D174),,SUM(D174:F174)/45)</f>
        <v>#NAME?</v>
      </c>
      <c r="D174" s="205" t="e">
        <v>#NAME?</v>
      </c>
      <c r="E174" s="205" t="e">
        <v>#NAME?</v>
      </c>
      <c r="F174" s="205" t="e">
        <v>#NAME?</v>
      </c>
      <c r="G174" s="205" t="e">
        <v>#NAME?</v>
      </c>
      <c r="H174" s="205" t="n">
        <f aca="false">IF(OR(ISBLANK(D174),NOT($C$7="Standard and boosted")),,ROUNDDOWN(('2.0.0 Raid Boss CP Helper'!$D$5+D174)*('2.0.0 Raid Boss CP Helper'!$D$6+E174)^0.5*('2.0.0 Raid Boss CP Helper'!$D$7+F174)^0.5*0.667934^2/10,0))</f>
        <v>0</v>
      </c>
      <c r="K174" s="195"/>
      <c r="L174" s="195"/>
      <c r="M174" s="195"/>
      <c r="N174" s="195"/>
      <c r="O174" s="195"/>
      <c r="P174" s="195"/>
      <c r="Q174" s="195"/>
      <c r="R174" s="195"/>
      <c r="S174" s="195"/>
      <c r="T174" s="195"/>
      <c r="U174" s="195"/>
      <c r="V174" s="195"/>
      <c r="W174" s="195"/>
      <c r="X174" s="195"/>
      <c r="Y174" s="195"/>
      <c r="Z174" s="195"/>
      <c r="AA174" s="195"/>
      <c r="AB174" s="195"/>
      <c r="AC174" s="195"/>
    </row>
    <row r="175" customFormat="false" ht="18" hidden="false" customHeight="true" outlineLevel="0" collapsed="false">
      <c r="A175" s="195"/>
      <c r="B175" s="195"/>
      <c r="C175" s="204" t="e">
        <f aca="false">IF(ISBLANK(D175),,SUM(D175:F175)/45)</f>
        <v>#NAME?</v>
      </c>
      <c r="D175" s="205" t="e">
        <v>#NAME?</v>
      </c>
      <c r="E175" s="205" t="e">
        <v>#NAME?</v>
      </c>
      <c r="F175" s="205" t="e">
        <v>#NAME?</v>
      </c>
      <c r="G175" s="205" t="e">
        <v>#NAME?</v>
      </c>
      <c r="H175" s="205" t="n">
        <f aca="false">IF(OR(ISBLANK(D175),NOT($C$7="Standard and boosted")),,ROUNDDOWN(('2.0.0 Raid Boss CP Helper'!$D$5+D175)*('2.0.0 Raid Boss CP Helper'!$D$6+E175)^0.5*('2.0.0 Raid Boss CP Helper'!$D$7+F175)^0.5*0.667934^2/10,0))</f>
        <v>0</v>
      </c>
      <c r="K175" s="195"/>
      <c r="L175" s="195"/>
      <c r="M175" s="195"/>
      <c r="N175" s="195"/>
      <c r="O175" s="195"/>
      <c r="P175" s="195"/>
      <c r="Q175" s="195"/>
      <c r="R175" s="195"/>
      <c r="S175" s="195"/>
      <c r="T175" s="195"/>
      <c r="U175" s="195"/>
      <c r="V175" s="195"/>
      <c r="W175" s="195"/>
      <c r="X175" s="195"/>
      <c r="Y175" s="195"/>
      <c r="Z175" s="195"/>
      <c r="AA175" s="195"/>
      <c r="AB175" s="195"/>
      <c r="AC175" s="195"/>
    </row>
    <row r="176" customFormat="false" ht="18" hidden="false" customHeight="true" outlineLevel="0" collapsed="false">
      <c r="A176" s="195"/>
      <c r="B176" s="195"/>
      <c r="C176" s="204" t="e">
        <f aca="false">IF(ISBLANK(D176),,SUM(D176:F176)/45)</f>
        <v>#NAME?</v>
      </c>
      <c r="D176" s="205" t="e">
        <v>#NAME?</v>
      </c>
      <c r="E176" s="205" t="e">
        <v>#NAME?</v>
      </c>
      <c r="F176" s="205" t="e">
        <v>#NAME?</v>
      </c>
      <c r="G176" s="205" t="e">
        <v>#NAME?</v>
      </c>
      <c r="H176" s="205" t="n">
        <f aca="false">IF(OR(ISBLANK(D176),NOT($C$7="Standard and boosted")),,ROUNDDOWN(('2.0.0 Raid Boss CP Helper'!$D$5+D176)*('2.0.0 Raid Boss CP Helper'!$D$6+E176)^0.5*('2.0.0 Raid Boss CP Helper'!$D$7+F176)^0.5*0.667934^2/10,0))</f>
        <v>0</v>
      </c>
      <c r="K176" s="195"/>
      <c r="L176" s="195"/>
      <c r="M176" s="195"/>
      <c r="N176" s="195"/>
      <c r="O176" s="195"/>
      <c r="P176" s="195"/>
      <c r="Q176" s="195"/>
      <c r="R176" s="195"/>
      <c r="S176" s="195"/>
      <c r="T176" s="195"/>
      <c r="U176" s="195"/>
      <c r="V176" s="195"/>
      <c r="W176" s="195"/>
      <c r="X176" s="195"/>
      <c r="Y176" s="195"/>
      <c r="Z176" s="195"/>
      <c r="AA176" s="195"/>
      <c r="AB176" s="195"/>
      <c r="AC176" s="195"/>
    </row>
    <row r="177" customFormat="false" ht="18" hidden="false" customHeight="true" outlineLevel="0" collapsed="false">
      <c r="A177" s="195"/>
      <c r="B177" s="195"/>
      <c r="C177" s="204" t="e">
        <f aca="false">IF(ISBLANK(D177),,SUM(D177:F177)/45)</f>
        <v>#NAME?</v>
      </c>
      <c r="D177" s="205" t="e">
        <v>#NAME?</v>
      </c>
      <c r="E177" s="205" t="e">
        <v>#NAME?</v>
      </c>
      <c r="F177" s="205" t="e">
        <v>#NAME?</v>
      </c>
      <c r="G177" s="205" t="e">
        <v>#NAME?</v>
      </c>
      <c r="H177" s="205" t="n">
        <f aca="false">IF(OR(ISBLANK(D177),NOT($C$7="Standard and boosted")),,ROUNDDOWN(('2.0.0 Raid Boss CP Helper'!$D$5+D177)*('2.0.0 Raid Boss CP Helper'!$D$6+E177)^0.5*('2.0.0 Raid Boss CP Helper'!$D$7+F177)^0.5*0.667934^2/10,0))</f>
        <v>0</v>
      </c>
      <c r="K177" s="195"/>
      <c r="L177" s="195"/>
      <c r="M177" s="195"/>
      <c r="N177" s="195"/>
      <c r="O177" s="195"/>
      <c r="P177" s="195"/>
      <c r="Q177" s="195"/>
      <c r="R177" s="195"/>
      <c r="S177" s="195"/>
      <c r="T177" s="195"/>
      <c r="U177" s="195"/>
      <c r="V177" s="195"/>
      <c r="W177" s="195"/>
      <c r="X177" s="195"/>
      <c r="Y177" s="195"/>
      <c r="Z177" s="195"/>
      <c r="AA177" s="195"/>
      <c r="AB177" s="195"/>
      <c r="AC177" s="195"/>
    </row>
    <row r="178" customFormat="false" ht="18" hidden="false" customHeight="true" outlineLevel="0" collapsed="false">
      <c r="A178" s="195"/>
      <c r="B178" s="195"/>
      <c r="C178" s="204" t="e">
        <f aca="false">IF(ISBLANK(D178),,SUM(D178:F178)/45)</f>
        <v>#NAME?</v>
      </c>
      <c r="D178" s="205" t="e">
        <v>#NAME?</v>
      </c>
      <c r="E178" s="205" t="e">
        <v>#NAME?</v>
      </c>
      <c r="F178" s="205" t="e">
        <v>#NAME?</v>
      </c>
      <c r="G178" s="205" t="e">
        <v>#NAME?</v>
      </c>
      <c r="H178" s="205" t="n">
        <f aca="false">IF(OR(ISBLANK(D178),NOT($C$7="Standard and boosted")),,ROUNDDOWN(('2.0.0 Raid Boss CP Helper'!$D$5+D178)*('2.0.0 Raid Boss CP Helper'!$D$6+E178)^0.5*('2.0.0 Raid Boss CP Helper'!$D$7+F178)^0.5*0.667934^2/10,0))</f>
        <v>0</v>
      </c>
      <c r="K178" s="195"/>
      <c r="L178" s="195"/>
      <c r="M178" s="195"/>
      <c r="N178" s="195"/>
      <c r="O178" s="195"/>
      <c r="P178" s="195"/>
      <c r="Q178" s="195"/>
      <c r="R178" s="195"/>
      <c r="S178" s="195"/>
      <c r="T178" s="195"/>
      <c r="U178" s="195"/>
      <c r="V178" s="195"/>
      <c r="W178" s="195"/>
      <c r="X178" s="195"/>
      <c r="Y178" s="195"/>
      <c r="Z178" s="195"/>
      <c r="AA178" s="195"/>
      <c r="AB178" s="195"/>
      <c r="AC178" s="195"/>
    </row>
    <row r="179" customFormat="false" ht="18" hidden="false" customHeight="true" outlineLevel="0" collapsed="false">
      <c r="A179" s="195"/>
      <c r="B179" s="195"/>
      <c r="C179" s="204" t="e">
        <f aca="false">IF(ISBLANK(D179),,SUM(D179:F179)/45)</f>
        <v>#NAME?</v>
      </c>
      <c r="D179" s="205" t="e">
        <v>#NAME?</v>
      </c>
      <c r="E179" s="205" t="e">
        <v>#NAME?</v>
      </c>
      <c r="F179" s="205" t="e">
        <v>#NAME?</v>
      </c>
      <c r="G179" s="205" t="e">
        <v>#NAME?</v>
      </c>
      <c r="H179" s="205" t="n">
        <f aca="false">IF(OR(ISBLANK(D179),NOT($C$7="Standard and boosted")),,ROUNDDOWN(('2.0.0 Raid Boss CP Helper'!$D$5+D179)*('2.0.0 Raid Boss CP Helper'!$D$6+E179)^0.5*('2.0.0 Raid Boss CP Helper'!$D$7+F179)^0.5*0.667934^2/10,0))</f>
        <v>0</v>
      </c>
      <c r="K179" s="195"/>
      <c r="L179" s="195"/>
      <c r="M179" s="195"/>
      <c r="N179" s="195"/>
      <c r="O179" s="195"/>
      <c r="P179" s="195"/>
      <c r="Q179" s="195"/>
      <c r="R179" s="195"/>
      <c r="S179" s="195"/>
      <c r="T179" s="195"/>
      <c r="U179" s="195"/>
      <c r="V179" s="195"/>
      <c r="W179" s="195"/>
      <c r="X179" s="195"/>
      <c r="Y179" s="195"/>
      <c r="Z179" s="195"/>
      <c r="AA179" s="195"/>
      <c r="AB179" s="195"/>
      <c r="AC179" s="195"/>
    </row>
    <row r="180" customFormat="false" ht="18" hidden="false" customHeight="true" outlineLevel="0" collapsed="false">
      <c r="A180" s="195"/>
      <c r="B180" s="195"/>
      <c r="C180" s="204" t="e">
        <f aca="false">IF(ISBLANK(D180),,SUM(D180:F180)/45)</f>
        <v>#NAME?</v>
      </c>
      <c r="D180" s="205" t="e">
        <v>#NAME?</v>
      </c>
      <c r="E180" s="205" t="e">
        <v>#NAME?</v>
      </c>
      <c r="F180" s="205" t="e">
        <v>#NAME?</v>
      </c>
      <c r="G180" s="205" t="e">
        <v>#NAME?</v>
      </c>
      <c r="H180" s="205" t="n">
        <f aca="false">IF(OR(ISBLANK(D180),NOT($C$7="Standard and boosted")),,ROUNDDOWN(('2.0.0 Raid Boss CP Helper'!$D$5+D180)*('2.0.0 Raid Boss CP Helper'!$D$6+E180)^0.5*('2.0.0 Raid Boss CP Helper'!$D$7+F180)^0.5*0.667934^2/10,0))</f>
        <v>0</v>
      </c>
      <c r="K180" s="195"/>
      <c r="L180" s="195"/>
      <c r="M180" s="195"/>
      <c r="N180" s="195"/>
      <c r="O180" s="195"/>
      <c r="P180" s="195"/>
      <c r="Q180" s="195"/>
      <c r="R180" s="195"/>
      <c r="S180" s="195"/>
      <c r="T180" s="195"/>
      <c r="U180" s="195"/>
      <c r="V180" s="195"/>
      <c r="W180" s="195"/>
      <c r="X180" s="195"/>
      <c r="Y180" s="195"/>
      <c r="Z180" s="195"/>
      <c r="AA180" s="195"/>
      <c r="AB180" s="195"/>
      <c r="AC180" s="195"/>
    </row>
    <row r="181" customFormat="false" ht="18" hidden="false" customHeight="true" outlineLevel="0" collapsed="false">
      <c r="A181" s="195"/>
      <c r="B181" s="195"/>
      <c r="C181" s="204" t="e">
        <f aca="false">IF(ISBLANK(D181),,SUM(D181:F181)/45)</f>
        <v>#NAME?</v>
      </c>
      <c r="D181" s="205" t="e">
        <v>#NAME?</v>
      </c>
      <c r="E181" s="205" t="e">
        <v>#NAME?</v>
      </c>
      <c r="F181" s="205" t="e">
        <v>#NAME?</v>
      </c>
      <c r="G181" s="205" t="e">
        <v>#NAME?</v>
      </c>
      <c r="H181" s="205" t="n">
        <f aca="false">IF(OR(ISBLANK(D181),NOT($C$7="Standard and boosted")),,ROUNDDOWN(('2.0.0 Raid Boss CP Helper'!$D$5+D181)*('2.0.0 Raid Boss CP Helper'!$D$6+E181)^0.5*('2.0.0 Raid Boss CP Helper'!$D$7+F181)^0.5*0.667934^2/10,0))</f>
        <v>0</v>
      </c>
      <c r="K181" s="195"/>
      <c r="L181" s="195"/>
      <c r="M181" s="195"/>
      <c r="N181" s="195"/>
      <c r="O181" s="195"/>
      <c r="P181" s="195"/>
      <c r="Q181" s="195"/>
      <c r="R181" s="195"/>
      <c r="S181" s="195"/>
      <c r="T181" s="195"/>
      <c r="U181" s="195"/>
      <c r="V181" s="195"/>
      <c r="W181" s="195"/>
      <c r="X181" s="195"/>
      <c r="Y181" s="195"/>
      <c r="Z181" s="195"/>
      <c r="AA181" s="195"/>
      <c r="AB181" s="195"/>
      <c r="AC181" s="195"/>
    </row>
    <row r="182" customFormat="false" ht="18" hidden="false" customHeight="true" outlineLevel="0" collapsed="false">
      <c r="A182" s="195"/>
      <c r="B182" s="195"/>
      <c r="C182" s="204" t="e">
        <f aca="false">IF(ISBLANK(D182),,SUM(D182:F182)/45)</f>
        <v>#NAME?</v>
      </c>
      <c r="D182" s="205" t="e">
        <v>#NAME?</v>
      </c>
      <c r="E182" s="205" t="e">
        <v>#NAME?</v>
      </c>
      <c r="F182" s="205" t="e">
        <v>#NAME?</v>
      </c>
      <c r="G182" s="205" t="e">
        <v>#NAME?</v>
      </c>
      <c r="H182" s="205" t="n">
        <f aca="false">IF(OR(ISBLANK(D182),NOT($C$7="Standard and boosted")),,ROUNDDOWN(('2.0.0 Raid Boss CP Helper'!$D$5+D182)*('2.0.0 Raid Boss CP Helper'!$D$6+E182)^0.5*('2.0.0 Raid Boss CP Helper'!$D$7+F182)^0.5*0.667934^2/10,0))</f>
        <v>0</v>
      </c>
      <c r="K182" s="195"/>
      <c r="L182" s="195"/>
      <c r="M182" s="195"/>
      <c r="N182" s="195"/>
      <c r="O182" s="195"/>
      <c r="P182" s="195"/>
      <c r="Q182" s="195"/>
      <c r="R182" s="195"/>
      <c r="S182" s="195"/>
      <c r="T182" s="195"/>
      <c r="U182" s="195"/>
      <c r="V182" s="195"/>
      <c r="W182" s="195"/>
      <c r="X182" s="195"/>
      <c r="Y182" s="195"/>
      <c r="Z182" s="195"/>
      <c r="AA182" s="195"/>
      <c r="AB182" s="195"/>
      <c r="AC182" s="195"/>
    </row>
    <row r="183" customFormat="false" ht="18" hidden="false" customHeight="true" outlineLevel="0" collapsed="false">
      <c r="A183" s="195"/>
      <c r="B183" s="195"/>
      <c r="C183" s="204" t="e">
        <f aca="false">IF(ISBLANK(D183),,SUM(D183:F183)/45)</f>
        <v>#NAME?</v>
      </c>
      <c r="D183" s="205" t="e">
        <v>#NAME?</v>
      </c>
      <c r="E183" s="205" t="e">
        <v>#NAME?</v>
      </c>
      <c r="F183" s="205" t="e">
        <v>#NAME?</v>
      </c>
      <c r="G183" s="205" t="e">
        <v>#NAME?</v>
      </c>
      <c r="H183" s="205" t="n">
        <f aca="false">IF(OR(ISBLANK(D183),NOT($C$7="Standard and boosted")),,ROUNDDOWN(('2.0.0 Raid Boss CP Helper'!$D$5+D183)*('2.0.0 Raid Boss CP Helper'!$D$6+E183)^0.5*('2.0.0 Raid Boss CP Helper'!$D$7+F183)^0.5*0.667934^2/10,0))</f>
        <v>0</v>
      </c>
      <c r="K183" s="195"/>
      <c r="L183" s="195"/>
      <c r="M183" s="195"/>
      <c r="N183" s="195"/>
      <c r="O183" s="195"/>
      <c r="P183" s="195"/>
      <c r="Q183" s="195"/>
      <c r="R183" s="195"/>
      <c r="S183" s="195"/>
      <c r="T183" s="195"/>
      <c r="U183" s="195"/>
      <c r="V183" s="195"/>
      <c r="W183" s="195"/>
      <c r="X183" s="195"/>
      <c r="Y183" s="195"/>
      <c r="Z183" s="195"/>
      <c r="AA183" s="195"/>
      <c r="AB183" s="195"/>
      <c r="AC183" s="195"/>
    </row>
    <row r="184" customFormat="false" ht="18" hidden="false" customHeight="true" outlineLevel="0" collapsed="false">
      <c r="A184" s="195"/>
      <c r="B184" s="195"/>
      <c r="C184" s="204" t="e">
        <f aca="false">IF(ISBLANK(D184),,SUM(D184:F184)/45)</f>
        <v>#NAME?</v>
      </c>
      <c r="D184" s="205" t="e">
        <v>#NAME?</v>
      </c>
      <c r="E184" s="205" t="e">
        <v>#NAME?</v>
      </c>
      <c r="F184" s="205" t="e">
        <v>#NAME?</v>
      </c>
      <c r="G184" s="205" t="e">
        <v>#NAME?</v>
      </c>
      <c r="H184" s="205" t="n">
        <f aca="false">IF(OR(ISBLANK(D184),NOT($C$7="Standard and boosted")),,ROUNDDOWN(('2.0.0 Raid Boss CP Helper'!$D$5+D184)*('2.0.0 Raid Boss CP Helper'!$D$6+E184)^0.5*('2.0.0 Raid Boss CP Helper'!$D$7+F184)^0.5*0.667934^2/10,0))</f>
        <v>0</v>
      </c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95"/>
    </row>
    <row r="185" customFormat="false" ht="18" hidden="false" customHeight="true" outlineLevel="0" collapsed="false">
      <c r="A185" s="195"/>
      <c r="B185" s="195"/>
      <c r="C185" s="204" t="e">
        <f aca="false">IF(ISBLANK(D185),,SUM(D185:F185)/45)</f>
        <v>#NAME?</v>
      </c>
      <c r="D185" s="205" t="e">
        <v>#NAME?</v>
      </c>
      <c r="E185" s="205" t="e">
        <v>#NAME?</v>
      </c>
      <c r="F185" s="205" t="e">
        <v>#NAME?</v>
      </c>
      <c r="G185" s="205" t="e">
        <v>#NAME?</v>
      </c>
      <c r="H185" s="205" t="n">
        <f aca="false">IF(OR(ISBLANK(D185),NOT($C$7="Standard and boosted")),,ROUNDDOWN(('2.0.0 Raid Boss CP Helper'!$D$5+D185)*('2.0.0 Raid Boss CP Helper'!$D$6+E185)^0.5*('2.0.0 Raid Boss CP Helper'!$D$7+F185)^0.5*0.667934^2/10,0))</f>
        <v>0</v>
      </c>
      <c r="K185" s="195"/>
      <c r="L185" s="195"/>
      <c r="M185" s="195"/>
      <c r="N185" s="195"/>
      <c r="O185" s="195"/>
      <c r="P185" s="195"/>
      <c r="Q185" s="195"/>
      <c r="R185" s="195"/>
      <c r="S185" s="195"/>
      <c r="T185" s="195"/>
      <c r="U185" s="195"/>
      <c r="V185" s="195"/>
      <c r="W185" s="195"/>
      <c r="X185" s="195"/>
      <c r="Y185" s="195"/>
      <c r="Z185" s="195"/>
      <c r="AA185" s="195"/>
      <c r="AB185" s="195"/>
      <c r="AC185" s="195"/>
    </row>
    <row r="186" customFormat="false" ht="18" hidden="false" customHeight="true" outlineLevel="0" collapsed="false">
      <c r="A186" s="195"/>
      <c r="B186" s="195"/>
      <c r="C186" s="204" t="e">
        <f aca="false">IF(ISBLANK(D186),,SUM(D186:F186)/45)</f>
        <v>#NAME?</v>
      </c>
      <c r="D186" s="205" t="e">
        <v>#NAME?</v>
      </c>
      <c r="E186" s="205" t="e">
        <v>#NAME?</v>
      </c>
      <c r="F186" s="205" t="e">
        <v>#NAME?</v>
      </c>
      <c r="G186" s="205" t="e">
        <v>#NAME?</v>
      </c>
      <c r="H186" s="205" t="n">
        <f aca="false">IF(OR(ISBLANK(D186),NOT($C$7="Standard and boosted")),,ROUNDDOWN(('2.0.0 Raid Boss CP Helper'!$D$5+D186)*('2.0.0 Raid Boss CP Helper'!$D$6+E186)^0.5*('2.0.0 Raid Boss CP Helper'!$D$7+F186)^0.5*0.667934^2/10,0))</f>
        <v>0</v>
      </c>
      <c r="K186" s="195"/>
      <c r="L186" s="195"/>
      <c r="M186" s="195"/>
      <c r="N186" s="195"/>
      <c r="O186" s="195"/>
      <c r="P186" s="195"/>
      <c r="Q186" s="195"/>
      <c r="R186" s="195"/>
      <c r="S186" s="195"/>
      <c r="T186" s="195"/>
      <c r="U186" s="195"/>
      <c r="V186" s="195"/>
      <c r="W186" s="195"/>
      <c r="X186" s="195"/>
      <c r="Y186" s="195"/>
      <c r="Z186" s="195"/>
      <c r="AA186" s="195"/>
      <c r="AB186" s="195"/>
      <c r="AC186" s="195"/>
    </row>
    <row r="187" customFormat="false" ht="18" hidden="false" customHeight="true" outlineLevel="0" collapsed="false">
      <c r="A187" s="195"/>
      <c r="B187" s="195"/>
      <c r="C187" s="204" t="e">
        <f aca="false">IF(ISBLANK(D187),,SUM(D187:F187)/45)</f>
        <v>#NAME?</v>
      </c>
      <c r="D187" s="205" t="e">
        <v>#NAME?</v>
      </c>
      <c r="E187" s="205" t="e">
        <v>#NAME?</v>
      </c>
      <c r="F187" s="205" t="e">
        <v>#NAME?</v>
      </c>
      <c r="G187" s="205" t="e">
        <v>#NAME?</v>
      </c>
      <c r="H187" s="205" t="n">
        <f aca="false">IF(OR(ISBLANK(D187),NOT($C$7="Standard and boosted")),,ROUNDDOWN(('2.0.0 Raid Boss CP Helper'!$D$5+D187)*('2.0.0 Raid Boss CP Helper'!$D$6+E187)^0.5*('2.0.0 Raid Boss CP Helper'!$D$7+F187)^0.5*0.667934^2/10,0))</f>
        <v>0</v>
      </c>
      <c r="K187" s="195"/>
      <c r="L187" s="195"/>
      <c r="M187" s="195"/>
      <c r="N187" s="195"/>
      <c r="O187" s="195"/>
      <c r="P187" s="195"/>
      <c r="Q187" s="195"/>
      <c r="R187" s="195"/>
      <c r="S187" s="195"/>
      <c r="T187" s="195"/>
      <c r="U187" s="195"/>
      <c r="V187" s="195"/>
      <c r="W187" s="195"/>
      <c r="X187" s="195"/>
      <c r="Y187" s="195"/>
      <c r="Z187" s="195"/>
      <c r="AA187" s="195"/>
      <c r="AB187" s="195"/>
      <c r="AC187" s="195"/>
    </row>
    <row r="188" customFormat="false" ht="18" hidden="false" customHeight="true" outlineLevel="0" collapsed="false">
      <c r="A188" s="195"/>
      <c r="B188" s="195"/>
      <c r="C188" s="204" t="e">
        <f aca="false">IF(ISBLANK(D188),,SUM(D188:F188)/45)</f>
        <v>#NAME?</v>
      </c>
      <c r="D188" s="205" t="e">
        <v>#NAME?</v>
      </c>
      <c r="E188" s="205" t="e">
        <v>#NAME?</v>
      </c>
      <c r="F188" s="205" t="e">
        <v>#NAME?</v>
      </c>
      <c r="G188" s="205" t="e">
        <v>#NAME?</v>
      </c>
      <c r="H188" s="205" t="n">
        <f aca="false">IF(OR(ISBLANK(D188),NOT($C$7="Standard and boosted")),,ROUNDDOWN(('2.0.0 Raid Boss CP Helper'!$D$5+D188)*('2.0.0 Raid Boss CP Helper'!$D$6+E188)^0.5*('2.0.0 Raid Boss CP Helper'!$D$7+F188)^0.5*0.667934^2/10,0))</f>
        <v>0</v>
      </c>
      <c r="K188" s="195"/>
      <c r="L188" s="195"/>
      <c r="M188" s="195"/>
      <c r="N188" s="195"/>
      <c r="O188" s="195"/>
      <c r="P188" s="195"/>
      <c r="Q188" s="195"/>
      <c r="R188" s="195"/>
      <c r="S188" s="195"/>
      <c r="T188" s="195"/>
      <c r="U188" s="195"/>
      <c r="V188" s="195"/>
      <c r="W188" s="195"/>
      <c r="X188" s="195"/>
      <c r="Y188" s="195"/>
      <c r="Z188" s="195"/>
      <c r="AA188" s="195"/>
      <c r="AB188" s="195"/>
      <c r="AC188" s="195"/>
    </row>
    <row r="189" customFormat="false" ht="18" hidden="false" customHeight="true" outlineLevel="0" collapsed="false">
      <c r="A189" s="195"/>
      <c r="B189" s="195"/>
      <c r="C189" s="204" t="e">
        <f aca="false">IF(ISBLANK(D189),,SUM(D189:F189)/45)</f>
        <v>#NAME?</v>
      </c>
      <c r="D189" s="205" t="e">
        <v>#NAME?</v>
      </c>
      <c r="E189" s="205" t="e">
        <v>#NAME?</v>
      </c>
      <c r="F189" s="205" t="e">
        <v>#NAME?</v>
      </c>
      <c r="G189" s="205" t="e">
        <v>#NAME?</v>
      </c>
      <c r="H189" s="205" t="n">
        <f aca="false">IF(OR(ISBLANK(D189),NOT($C$7="Standard and boosted")),,ROUNDDOWN(('2.0.0 Raid Boss CP Helper'!$D$5+D189)*('2.0.0 Raid Boss CP Helper'!$D$6+E189)^0.5*('2.0.0 Raid Boss CP Helper'!$D$7+F189)^0.5*0.667934^2/10,0))</f>
        <v>0</v>
      </c>
      <c r="K189" s="195"/>
      <c r="L189" s="195"/>
      <c r="M189" s="195"/>
      <c r="N189" s="195"/>
      <c r="O189" s="195"/>
      <c r="P189" s="195"/>
      <c r="Q189" s="195"/>
      <c r="R189" s="195"/>
      <c r="S189" s="195"/>
      <c r="T189" s="195"/>
      <c r="U189" s="195"/>
      <c r="V189" s="195"/>
      <c r="W189" s="195"/>
      <c r="X189" s="195"/>
      <c r="Y189" s="195"/>
      <c r="Z189" s="195"/>
      <c r="AA189" s="195"/>
      <c r="AB189" s="195"/>
      <c r="AC189" s="195"/>
    </row>
    <row r="190" customFormat="false" ht="18" hidden="false" customHeight="true" outlineLevel="0" collapsed="false">
      <c r="A190" s="195"/>
      <c r="B190" s="195"/>
      <c r="C190" s="204" t="e">
        <f aca="false">IF(ISBLANK(D190),,SUM(D190:F190)/45)</f>
        <v>#NAME?</v>
      </c>
      <c r="D190" s="205" t="e">
        <v>#NAME?</v>
      </c>
      <c r="E190" s="205" t="e">
        <v>#NAME?</v>
      </c>
      <c r="F190" s="205" t="e">
        <v>#NAME?</v>
      </c>
      <c r="G190" s="205" t="e">
        <v>#NAME?</v>
      </c>
      <c r="H190" s="205" t="n">
        <f aca="false">IF(OR(ISBLANK(D190),NOT($C$7="Standard and boosted")),,ROUNDDOWN(('2.0.0 Raid Boss CP Helper'!$D$5+D190)*('2.0.0 Raid Boss CP Helper'!$D$6+E190)^0.5*('2.0.0 Raid Boss CP Helper'!$D$7+F190)^0.5*0.667934^2/10,0))</f>
        <v>0</v>
      </c>
      <c r="K190" s="195"/>
      <c r="L190" s="195"/>
      <c r="M190" s="195"/>
      <c r="N190" s="195"/>
      <c r="O190" s="195"/>
      <c r="P190" s="195"/>
      <c r="Q190" s="195"/>
      <c r="R190" s="195"/>
      <c r="S190" s="195"/>
      <c r="T190" s="195"/>
      <c r="U190" s="195"/>
      <c r="V190" s="195"/>
      <c r="W190" s="195"/>
      <c r="X190" s="195"/>
      <c r="Y190" s="195"/>
      <c r="Z190" s="195"/>
      <c r="AA190" s="195"/>
      <c r="AB190" s="195"/>
      <c r="AC190" s="195"/>
    </row>
    <row r="191" customFormat="false" ht="18" hidden="false" customHeight="true" outlineLevel="0" collapsed="false">
      <c r="A191" s="195"/>
      <c r="B191" s="195"/>
      <c r="C191" s="204" t="e">
        <f aca="false">IF(ISBLANK(D191),,SUM(D191:F191)/45)</f>
        <v>#NAME?</v>
      </c>
      <c r="D191" s="205" t="e">
        <v>#NAME?</v>
      </c>
      <c r="E191" s="205" t="e">
        <v>#NAME?</v>
      </c>
      <c r="F191" s="205" t="e">
        <v>#NAME?</v>
      </c>
      <c r="G191" s="205" t="e">
        <v>#NAME?</v>
      </c>
      <c r="H191" s="205" t="n">
        <f aca="false">IF(OR(ISBLANK(D191),NOT($C$7="Standard and boosted")),,ROUNDDOWN(('2.0.0 Raid Boss CP Helper'!$D$5+D191)*('2.0.0 Raid Boss CP Helper'!$D$6+E191)^0.5*('2.0.0 Raid Boss CP Helper'!$D$7+F191)^0.5*0.667934^2/10,0))</f>
        <v>0</v>
      </c>
      <c r="K191" s="195"/>
      <c r="L191" s="195"/>
      <c r="M191" s="195"/>
      <c r="N191" s="195"/>
      <c r="O191" s="195"/>
      <c r="P191" s="195"/>
      <c r="Q191" s="195"/>
      <c r="R191" s="195"/>
      <c r="S191" s="195"/>
      <c r="T191" s="195"/>
      <c r="U191" s="195"/>
      <c r="V191" s="195"/>
      <c r="W191" s="195"/>
      <c r="X191" s="195"/>
      <c r="Y191" s="195"/>
      <c r="Z191" s="195"/>
      <c r="AA191" s="195"/>
      <c r="AB191" s="195"/>
      <c r="AC191" s="195"/>
    </row>
    <row r="192" customFormat="false" ht="18" hidden="false" customHeight="true" outlineLevel="0" collapsed="false">
      <c r="A192" s="195"/>
      <c r="B192" s="195"/>
      <c r="C192" s="204" t="e">
        <f aca="false">IF(ISBLANK(D192),,SUM(D192:F192)/45)</f>
        <v>#NAME?</v>
      </c>
      <c r="D192" s="205" t="e">
        <v>#NAME?</v>
      </c>
      <c r="E192" s="205" t="e">
        <v>#NAME?</v>
      </c>
      <c r="F192" s="205" t="e">
        <v>#NAME?</v>
      </c>
      <c r="G192" s="205" t="e">
        <v>#NAME?</v>
      </c>
      <c r="H192" s="205" t="n">
        <f aca="false">IF(OR(ISBLANK(D192),NOT($C$7="Standard and boosted")),,ROUNDDOWN(('2.0.0 Raid Boss CP Helper'!$D$5+D192)*('2.0.0 Raid Boss CP Helper'!$D$6+E192)^0.5*('2.0.0 Raid Boss CP Helper'!$D$7+F192)^0.5*0.667934^2/10,0))</f>
        <v>0</v>
      </c>
      <c r="K192" s="195"/>
      <c r="L192" s="195"/>
      <c r="M192" s="195"/>
      <c r="N192" s="195"/>
      <c r="O192" s="195"/>
      <c r="P192" s="195"/>
      <c r="Q192" s="195"/>
      <c r="R192" s="195"/>
      <c r="S192" s="195"/>
      <c r="T192" s="195"/>
      <c r="U192" s="195"/>
      <c r="V192" s="195"/>
      <c r="W192" s="195"/>
      <c r="X192" s="195"/>
      <c r="Y192" s="195"/>
      <c r="Z192" s="195"/>
      <c r="AA192" s="195"/>
      <c r="AB192" s="195"/>
      <c r="AC192" s="195"/>
    </row>
    <row r="193" customFormat="false" ht="18" hidden="false" customHeight="true" outlineLevel="0" collapsed="false">
      <c r="A193" s="195"/>
      <c r="B193" s="195"/>
      <c r="C193" s="204" t="e">
        <f aca="false">IF(ISBLANK(D193),,SUM(D193:F193)/45)</f>
        <v>#NAME?</v>
      </c>
      <c r="D193" s="205" t="e">
        <v>#NAME?</v>
      </c>
      <c r="E193" s="205" t="e">
        <v>#NAME?</v>
      </c>
      <c r="F193" s="205" t="e">
        <v>#NAME?</v>
      </c>
      <c r="G193" s="205" t="e">
        <v>#NAME?</v>
      </c>
      <c r="H193" s="205" t="n">
        <f aca="false">IF(OR(ISBLANK(D193),NOT($C$7="Standard and boosted")),,ROUNDDOWN(('2.0.0 Raid Boss CP Helper'!$D$5+D193)*('2.0.0 Raid Boss CP Helper'!$D$6+E193)^0.5*('2.0.0 Raid Boss CP Helper'!$D$7+F193)^0.5*0.667934^2/10,0))</f>
        <v>0</v>
      </c>
      <c r="K193" s="195"/>
      <c r="L193" s="195"/>
      <c r="M193" s="195"/>
      <c r="N193" s="195"/>
      <c r="O193" s="195"/>
      <c r="P193" s="195"/>
      <c r="Q193" s="195"/>
      <c r="R193" s="195"/>
      <c r="S193" s="195"/>
      <c r="T193" s="195"/>
      <c r="U193" s="195"/>
      <c r="V193" s="195"/>
      <c r="W193" s="195"/>
      <c r="X193" s="195"/>
      <c r="Y193" s="195"/>
      <c r="Z193" s="195"/>
      <c r="AA193" s="195"/>
      <c r="AB193" s="195"/>
      <c r="AC193" s="195"/>
    </row>
    <row r="194" customFormat="false" ht="18" hidden="false" customHeight="true" outlineLevel="0" collapsed="false">
      <c r="A194" s="195"/>
      <c r="B194" s="195"/>
      <c r="C194" s="204" t="e">
        <f aca="false">IF(ISBLANK(D194),,SUM(D194:F194)/45)</f>
        <v>#NAME?</v>
      </c>
      <c r="D194" s="205" t="e">
        <v>#NAME?</v>
      </c>
      <c r="E194" s="205" t="e">
        <v>#NAME?</v>
      </c>
      <c r="F194" s="205" t="e">
        <v>#NAME?</v>
      </c>
      <c r="G194" s="205" t="e">
        <v>#NAME?</v>
      </c>
      <c r="H194" s="205" t="n">
        <f aca="false">IF(OR(ISBLANK(D194),NOT($C$7="Standard and boosted")),,ROUNDDOWN(('2.0.0 Raid Boss CP Helper'!$D$5+D194)*('2.0.0 Raid Boss CP Helper'!$D$6+E194)^0.5*('2.0.0 Raid Boss CP Helper'!$D$7+F194)^0.5*0.667934^2/10,0))</f>
        <v>0</v>
      </c>
      <c r="K194" s="195"/>
      <c r="L194" s="195"/>
      <c r="M194" s="195"/>
      <c r="N194" s="195"/>
      <c r="O194" s="195"/>
      <c r="P194" s="195"/>
      <c r="Q194" s="195"/>
      <c r="R194" s="195"/>
      <c r="S194" s="195"/>
      <c r="T194" s="195"/>
      <c r="U194" s="195"/>
      <c r="V194" s="195"/>
      <c r="W194" s="195"/>
      <c r="X194" s="195"/>
      <c r="Y194" s="195"/>
      <c r="Z194" s="195"/>
      <c r="AA194" s="195"/>
      <c r="AB194" s="195"/>
      <c r="AC194" s="195"/>
    </row>
    <row r="195" customFormat="false" ht="18" hidden="false" customHeight="true" outlineLevel="0" collapsed="false">
      <c r="A195" s="195"/>
      <c r="B195" s="195"/>
      <c r="C195" s="204" t="e">
        <f aca="false">IF(ISBLANK(D195),,SUM(D195:F195)/45)</f>
        <v>#NAME?</v>
      </c>
      <c r="D195" s="205" t="e">
        <v>#NAME?</v>
      </c>
      <c r="E195" s="205" t="e">
        <v>#NAME?</v>
      </c>
      <c r="F195" s="205" t="e">
        <v>#NAME?</v>
      </c>
      <c r="G195" s="205" t="e">
        <v>#NAME?</v>
      </c>
      <c r="H195" s="205" t="n">
        <f aca="false">IF(OR(ISBLANK(D195),NOT($C$7="Standard and boosted")),,ROUNDDOWN(('2.0.0 Raid Boss CP Helper'!$D$5+D195)*('2.0.0 Raid Boss CP Helper'!$D$6+E195)^0.5*('2.0.0 Raid Boss CP Helper'!$D$7+F195)^0.5*0.667934^2/10,0))</f>
        <v>0</v>
      </c>
      <c r="K195" s="195"/>
      <c r="L195" s="195"/>
      <c r="M195" s="195"/>
      <c r="N195" s="195"/>
      <c r="O195" s="195"/>
      <c r="P195" s="195"/>
      <c r="Q195" s="195"/>
      <c r="R195" s="195"/>
      <c r="S195" s="195"/>
      <c r="T195" s="195"/>
      <c r="U195" s="195"/>
      <c r="V195" s="195"/>
      <c r="W195" s="195"/>
      <c r="X195" s="195"/>
      <c r="Y195" s="195"/>
      <c r="Z195" s="195"/>
      <c r="AA195" s="195"/>
      <c r="AB195" s="195"/>
      <c r="AC195" s="195"/>
    </row>
    <row r="196" customFormat="false" ht="18" hidden="false" customHeight="true" outlineLevel="0" collapsed="false">
      <c r="A196" s="195"/>
      <c r="B196" s="195"/>
      <c r="C196" s="204" t="e">
        <f aca="false">IF(ISBLANK(D196),,SUM(D196:F196)/45)</f>
        <v>#NAME?</v>
      </c>
      <c r="D196" s="205" t="e">
        <v>#NAME?</v>
      </c>
      <c r="E196" s="205" t="e">
        <v>#NAME?</v>
      </c>
      <c r="F196" s="205" t="e">
        <v>#NAME?</v>
      </c>
      <c r="G196" s="205" t="e">
        <v>#NAME?</v>
      </c>
      <c r="H196" s="205" t="n">
        <f aca="false">IF(OR(ISBLANK(D196),NOT($C$7="Standard and boosted")),,ROUNDDOWN(('2.0.0 Raid Boss CP Helper'!$D$5+D196)*('2.0.0 Raid Boss CP Helper'!$D$6+E196)^0.5*('2.0.0 Raid Boss CP Helper'!$D$7+F196)^0.5*0.667934^2/10,0))</f>
        <v>0</v>
      </c>
      <c r="K196" s="195"/>
      <c r="L196" s="195"/>
      <c r="M196" s="195"/>
      <c r="N196" s="195"/>
      <c r="O196" s="195"/>
      <c r="P196" s="195"/>
      <c r="Q196" s="195"/>
      <c r="R196" s="195"/>
      <c r="S196" s="195"/>
      <c r="T196" s="195"/>
      <c r="U196" s="195"/>
      <c r="V196" s="195"/>
      <c r="W196" s="195"/>
      <c r="X196" s="195"/>
      <c r="Y196" s="195"/>
      <c r="Z196" s="195"/>
      <c r="AA196" s="195"/>
      <c r="AB196" s="195"/>
      <c r="AC196" s="195"/>
    </row>
    <row r="197" customFormat="false" ht="18" hidden="false" customHeight="true" outlineLevel="0" collapsed="false">
      <c r="A197" s="195"/>
      <c r="B197" s="195"/>
      <c r="C197" s="204" t="e">
        <f aca="false">IF(ISBLANK(D197),,SUM(D197:F197)/45)</f>
        <v>#NAME?</v>
      </c>
      <c r="D197" s="205" t="e">
        <v>#NAME?</v>
      </c>
      <c r="E197" s="205" t="e">
        <v>#NAME?</v>
      </c>
      <c r="F197" s="205" t="e">
        <v>#NAME?</v>
      </c>
      <c r="G197" s="205" t="e">
        <v>#NAME?</v>
      </c>
      <c r="H197" s="205" t="n">
        <f aca="false">IF(OR(ISBLANK(D197),NOT($C$7="Standard and boosted")),,ROUNDDOWN(('2.0.0 Raid Boss CP Helper'!$D$5+D197)*('2.0.0 Raid Boss CP Helper'!$D$6+E197)^0.5*('2.0.0 Raid Boss CP Helper'!$D$7+F197)^0.5*0.667934^2/10,0))</f>
        <v>0</v>
      </c>
      <c r="K197" s="195"/>
      <c r="L197" s="195"/>
      <c r="M197" s="195"/>
      <c r="N197" s="195"/>
      <c r="O197" s="195"/>
      <c r="P197" s="195"/>
      <c r="Q197" s="195"/>
      <c r="R197" s="195"/>
      <c r="S197" s="195"/>
      <c r="T197" s="195"/>
      <c r="U197" s="195"/>
      <c r="V197" s="195"/>
      <c r="W197" s="195"/>
      <c r="X197" s="195"/>
      <c r="Y197" s="195"/>
      <c r="Z197" s="195"/>
      <c r="AA197" s="195"/>
      <c r="AB197" s="195"/>
      <c r="AC197" s="195"/>
    </row>
    <row r="198" customFormat="false" ht="18" hidden="false" customHeight="true" outlineLevel="0" collapsed="false">
      <c r="A198" s="195"/>
      <c r="B198" s="195"/>
      <c r="C198" s="204" t="e">
        <f aca="false">IF(ISBLANK(D198),,SUM(D198:F198)/45)</f>
        <v>#NAME?</v>
      </c>
      <c r="D198" s="205" t="e">
        <v>#NAME?</v>
      </c>
      <c r="E198" s="205" t="e">
        <v>#NAME?</v>
      </c>
      <c r="F198" s="205" t="e">
        <v>#NAME?</v>
      </c>
      <c r="G198" s="205" t="e">
        <v>#NAME?</v>
      </c>
      <c r="H198" s="205" t="n">
        <f aca="false">IF(OR(ISBLANK(D198),NOT($C$7="Standard and boosted")),,ROUNDDOWN(('2.0.0 Raid Boss CP Helper'!$D$5+D198)*('2.0.0 Raid Boss CP Helper'!$D$6+E198)^0.5*('2.0.0 Raid Boss CP Helper'!$D$7+F198)^0.5*0.667934^2/10,0))</f>
        <v>0</v>
      </c>
      <c r="K198" s="195"/>
      <c r="L198" s="195"/>
      <c r="M198" s="195"/>
      <c r="N198" s="195"/>
      <c r="O198" s="195"/>
      <c r="P198" s="195"/>
      <c r="Q198" s="195"/>
      <c r="R198" s="195"/>
      <c r="S198" s="195"/>
      <c r="T198" s="195"/>
      <c r="U198" s="195"/>
      <c r="V198" s="195"/>
      <c r="W198" s="195"/>
      <c r="X198" s="195"/>
      <c r="Y198" s="195"/>
      <c r="Z198" s="195"/>
      <c r="AA198" s="195"/>
      <c r="AB198" s="195"/>
      <c r="AC198" s="195"/>
    </row>
    <row r="199" customFormat="false" ht="18" hidden="false" customHeight="true" outlineLevel="0" collapsed="false">
      <c r="A199" s="195"/>
      <c r="B199" s="195"/>
      <c r="C199" s="204" t="e">
        <f aca="false">IF(ISBLANK(D199),,SUM(D199:F199)/45)</f>
        <v>#NAME?</v>
      </c>
      <c r="D199" s="205" t="e">
        <v>#NAME?</v>
      </c>
      <c r="E199" s="205" t="e">
        <v>#NAME?</v>
      </c>
      <c r="F199" s="205" t="e">
        <v>#NAME?</v>
      </c>
      <c r="G199" s="205" t="e">
        <v>#NAME?</v>
      </c>
      <c r="H199" s="205" t="n">
        <f aca="false">IF(OR(ISBLANK(D199),NOT($C$7="Standard and boosted")),,ROUNDDOWN(('2.0.0 Raid Boss CP Helper'!$D$5+D199)*('2.0.0 Raid Boss CP Helper'!$D$6+E199)^0.5*('2.0.0 Raid Boss CP Helper'!$D$7+F199)^0.5*0.667934^2/10,0))</f>
        <v>0</v>
      </c>
      <c r="K199" s="195"/>
      <c r="L199" s="195"/>
      <c r="M199" s="195"/>
      <c r="N199" s="195"/>
      <c r="O199" s="195"/>
      <c r="P199" s="195"/>
      <c r="Q199" s="195"/>
      <c r="R199" s="195"/>
      <c r="S199" s="195"/>
      <c r="T199" s="195"/>
      <c r="U199" s="195"/>
      <c r="V199" s="195"/>
      <c r="W199" s="195"/>
      <c r="X199" s="195"/>
      <c r="Y199" s="195"/>
      <c r="Z199" s="195"/>
      <c r="AA199" s="195"/>
      <c r="AB199" s="195"/>
      <c r="AC199" s="195"/>
    </row>
    <row r="200" customFormat="false" ht="18" hidden="false" customHeight="true" outlineLevel="0" collapsed="false">
      <c r="A200" s="195"/>
      <c r="B200" s="195"/>
      <c r="C200" s="204" t="e">
        <f aca="false">IF(ISBLANK(D200),,SUM(D200:F200)/45)</f>
        <v>#NAME?</v>
      </c>
      <c r="D200" s="205" t="e">
        <v>#NAME?</v>
      </c>
      <c r="E200" s="205" t="e">
        <v>#NAME?</v>
      </c>
      <c r="F200" s="205" t="e">
        <v>#NAME?</v>
      </c>
      <c r="G200" s="205" t="e">
        <v>#NAME?</v>
      </c>
      <c r="H200" s="205" t="n">
        <f aca="false">IF(OR(ISBLANK(D200),NOT($C$7="Standard and boosted")),,ROUNDDOWN(('2.0.0 Raid Boss CP Helper'!$D$5+D200)*('2.0.0 Raid Boss CP Helper'!$D$6+E200)^0.5*('2.0.0 Raid Boss CP Helper'!$D$7+F200)^0.5*0.667934^2/10,0))</f>
        <v>0</v>
      </c>
      <c r="K200" s="195"/>
      <c r="L200" s="195"/>
      <c r="M200" s="195"/>
      <c r="N200" s="195"/>
      <c r="O200" s="195"/>
      <c r="P200" s="195"/>
      <c r="Q200" s="195"/>
      <c r="R200" s="195"/>
      <c r="S200" s="195"/>
      <c r="T200" s="195"/>
      <c r="U200" s="195"/>
      <c r="V200" s="195"/>
      <c r="W200" s="195"/>
      <c r="X200" s="195"/>
      <c r="Y200" s="195"/>
      <c r="Z200" s="195"/>
      <c r="AA200" s="195"/>
      <c r="AB200" s="195"/>
      <c r="AC200" s="195"/>
    </row>
    <row r="201" customFormat="false" ht="18" hidden="false" customHeight="true" outlineLevel="0" collapsed="false">
      <c r="A201" s="195"/>
      <c r="B201" s="195"/>
      <c r="C201" s="204" t="e">
        <f aca="false">IF(ISBLANK(D201),,SUM(D201:F201)/45)</f>
        <v>#NAME?</v>
      </c>
      <c r="D201" s="205" t="e">
        <v>#NAME?</v>
      </c>
      <c r="E201" s="205" t="e">
        <v>#NAME?</v>
      </c>
      <c r="F201" s="205" t="e">
        <v>#NAME?</v>
      </c>
      <c r="G201" s="205" t="e">
        <v>#NAME?</v>
      </c>
      <c r="H201" s="205" t="n">
        <f aca="false">IF(OR(ISBLANK(D201),NOT($C$7="Standard and boosted")),,ROUNDDOWN(('2.0.0 Raid Boss CP Helper'!$D$5+D201)*('2.0.0 Raid Boss CP Helper'!$D$6+E201)^0.5*('2.0.0 Raid Boss CP Helper'!$D$7+F201)^0.5*0.667934^2/10,0))</f>
        <v>0</v>
      </c>
      <c r="K201" s="195"/>
      <c r="L201" s="195"/>
      <c r="M201" s="195"/>
      <c r="N201" s="195"/>
      <c r="O201" s="195"/>
      <c r="P201" s="195"/>
      <c r="Q201" s="195"/>
      <c r="R201" s="195"/>
      <c r="S201" s="195"/>
      <c r="T201" s="195"/>
      <c r="U201" s="195"/>
      <c r="V201" s="195"/>
      <c r="W201" s="195"/>
      <c r="X201" s="195"/>
      <c r="Y201" s="195"/>
      <c r="Z201" s="195"/>
      <c r="AA201" s="195"/>
      <c r="AB201" s="195"/>
      <c r="AC201" s="195"/>
    </row>
    <row r="202" customFormat="false" ht="18" hidden="false" customHeight="true" outlineLevel="0" collapsed="false">
      <c r="A202" s="195"/>
      <c r="B202" s="195"/>
      <c r="C202" s="204" t="e">
        <f aca="false">IF(ISBLANK(D202),,SUM(D202:F202)/45)</f>
        <v>#NAME?</v>
      </c>
      <c r="D202" s="205" t="e">
        <v>#NAME?</v>
      </c>
      <c r="E202" s="205" t="e">
        <v>#NAME?</v>
      </c>
      <c r="F202" s="205" t="e">
        <v>#NAME?</v>
      </c>
      <c r="G202" s="205" t="e">
        <v>#NAME?</v>
      </c>
      <c r="H202" s="205" t="n">
        <f aca="false">IF(OR(ISBLANK(D202),NOT($C$7="Standard and boosted")),,ROUNDDOWN(('2.0.0 Raid Boss CP Helper'!$D$5+D202)*('2.0.0 Raid Boss CP Helper'!$D$6+E202)^0.5*('2.0.0 Raid Boss CP Helper'!$D$7+F202)^0.5*0.667934^2/10,0))</f>
        <v>0</v>
      </c>
      <c r="K202" s="195"/>
      <c r="L202" s="195"/>
      <c r="M202" s="195"/>
      <c r="N202" s="195"/>
      <c r="O202" s="195"/>
      <c r="P202" s="195"/>
      <c r="Q202" s="195"/>
      <c r="R202" s="195"/>
      <c r="S202" s="195"/>
      <c r="T202" s="195"/>
      <c r="U202" s="195"/>
      <c r="V202" s="195"/>
      <c r="W202" s="195"/>
      <c r="X202" s="195"/>
      <c r="Y202" s="195"/>
      <c r="Z202" s="195"/>
      <c r="AA202" s="195"/>
      <c r="AB202" s="195"/>
      <c r="AC202" s="195"/>
    </row>
    <row r="203" customFormat="false" ht="18" hidden="false" customHeight="true" outlineLevel="0" collapsed="false">
      <c r="A203" s="195"/>
      <c r="B203" s="195"/>
      <c r="C203" s="204" t="e">
        <f aca="false">IF(ISBLANK(D203),,SUM(D203:F203)/45)</f>
        <v>#NAME?</v>
      </c>
      <c r="D203" s="205" t="e">
        <v>#NAME?</v>
      </c>
      <c r="E203" s="205" t="e">
        <v>#NAME?</v>
      </c>
      <c r="F203" s="205" t="e">
        <v>#NAME?</v>
      </c>
      <c r="G203" s="205" t="e">
        <v>#NAME?</v>
      </c>
      <c r="H203" s="205" t="n">
        <f aca="false">IF(OR(ISBLANK(D203),NOT($C$7="Standard and boosted")),,ROUNDDOWN(('2.0.0 Raid Boss CP Helper'!$D$5+D203)*('2.0.0 Raid Boss CP Helper'!$D$6+E203)^0.5*('2.0.0 Raid Boss CP Helper'!$D$7+F203)^0.5*0.667934^2/10,0))</f>
        <v>0</v>
      </c>
      <c r="K203" s="195"/>
      <c r="L203" s="195"/>
      <c r="M203" s="195"/>
      <c r="N203" s="195"/>
      <c r="O203" s="195"/>
      <c r="P203" s="195"/>
      <c r="Q203" s="195"/>
      <c r="R203" s="195"/>
      <c r="S203" s="195"/>
      <c r="T203" s="195"/>
      <c r="U203" s="195"/>
      <c r="V203" s="195"/>
      <c r="W203" s="195"/>
      <c r="X203" s="195"/>
      <c r="Y203" s="195"/>
      <c r="Z203" s="195"/>
      <c r="AA203" s="195"/>
      <c r="AB203" s="195"/>
      <c r="AC203" s="195"/>
    </row>
    <row r="204" customFormat="false" ht="18" hidden="false" customHeight="true" outlineLevel="0" collapsed="false">
      <c r="A204" s="195"/>
      <c r="B204" s="195"/>
      <c r="C204" s="204" t="e">
        <f aca="false">IF(ISBLANK(D204),,SUM(D204:F204)/45)</f>
        <v>#NAME?</v>
      </c>
      <c r="D204" s="205" t="e">
        <v>#NAME?</v>
      </c>
      <c r="E204" s="205" t="e">
        <v>#NAME?</v>
      </c>
      <c r="F204" s="205" t="e">
        <v>#NAME?</v>
      </c>
      <c r="G204" s="205" t="e">
        <v>#NAME?</v>
      </c>
      <c r="H204" s="205" t="n">
        <f aca="false">IF(OR(ISBLANK(D204),NOT($C$7="Standard and boosted")),,ROUNDDOWN(('2.0.0 Raid Boss CP Helper'!$D$5+D204)*('2.0.0 Raid Boss CP Helper'!$D$6+E204)^0.5*('2.0.0 Raid Boss CP Helper'!$D$7+F204)^0.5*0.667934^2/10,0))</f>
        <v>0</v>
      </c>
      <c r="K204" s="195"/>
      <c r="L204" s="195"/>
      <c r="M204" s="195"/>
      <c r="N204" s="195"/>
      <c r="O204" s="195"/>
      <c r="P204" s="195"/>
      <c r="Q204" s="195"/>
      <c r="R204" s="195"/>
      <c r="S204" s="195"/>
      <c r="T204" s="195"/>
      <c r="U204" s="195"/>
      <c r="V204" s="195"/>
      <c r="W204" s="195"/>
      <c r="X204" s="195"/>
      <c r="Y204" s="195"/>
      <c r="Z204" s="195"/>
      <c r="AA204" s="195"/>
      <c r="AB204" s="195"/>
      <c r="AC204" s="195"/>
    </row>
    <row r="205" customFormat="false" ht="18" hidden="false" customHeight="true" outlineLevel="0" collapsed="false">
      <c r="A205" s="195"/>
      <c r="B205" s="195"/>
      <c r="C205" s="204" t="e">
        <f aca="false">IF(ISBLANK(D205),,SUM(D205:F205)/45)</f>
        <v>#NAME?</v>
      </c>
      <c r="D205" s="205" t="e">
        <v>#NAME?</v>
      </c>
      <c r="E205" s="205" t="e">
        <v>#NAME?</v>
      </c>
      <c r="F205" s="205" t="e">
        <v>#NAME?</v>
      </c>
      <c r="G205" s="205" t="e">
        <v>#NAME?</v>
      </c>
      <c r="H205" s="205" t="n">
        <f aca="false">IF(OR(ISBLANK(D205),NOT($C$7="Standard and boosted")),,ROUNDDOWN(('2.0.0 Raid Boss CP Helper'!$D$5+D205)*('2.0.0 Raid Boss CP Helper'!$D$6+E205)^0.5*('2.0.0 Raid Boss CP Helper'!$D$7+F205)^0.5*0.667934^2/10,0))</f>
        <v>0</v>
      </c>
      <c r="K205" s="195"/>
      <c r="L205" s="195"/>
      <c r="M205" s="195"/>
      <c r="N205" s="195"/>
      <c r="O205" s="195"/>
      <c r="P205" s="195"/>
      <c r="Q205" s="195"/>
      <c r="R205" s="195"/>
      <c r="S205" s="195"/>
      <c r="T205" s="195"/>
      <c r="U205" s="195"/>
      <c r="V205" s="195"/>
      <c r="W205" s="195"/>
      <c r="X205" s="195"/>
      <c r="Y205" s="195"/>
      <c r="Z205" s="195"/>
      <c r="AA205" s="195"/>
      <c r="AB205" s="195"/>
      <c r="AC205" s="195"/>
    </row>
    <row r="206" customFormat="false" ht="18" hidden="false" customHeight="true" outlineLevel="0" collapsed="false">
      <c r="A206" s="195"/>
      <c r="B206" s="195"/>
      <c r="C206" s="204" t="e">
        <f aca="false">IF(ISBLANK(D206),,SUM(D206:F206)/45)</f>
        <v>#NAME?</v>
      </c>
      <c r="D206" s="205" t="e">
        <v>#NAME?</v>
      </c>
      <c r="E206" s="205" t="e">
        <v>#NAME?</v>
      </c>
      <c r="F206" s="205" t="e">
        <v>#NAME?</v>
      </c>
      <c r="G206" s="205" t="e">
        <v>#NAME?</v>
      </c>
      <c r="H206" s="205" t="n">
        <f aca="false">IF(OR(ISBLANK(D206),NOT($C$7="Standard and boosted")),,ROUNDDOWN(('2.0.0 Raid Boss CP Helper'!$D$5+D206)*('2.0.0 Raid Boss CP Helper'!$D$6+E206)^0.5*('2.0.0 Raid Boss CP Helper'!$D$7+F206)^0.5*0.667934^2/10,0))</f>
        <v>0</v>
      </c>
      <c r="K206" s="195"/>
      <c r="L206" s="195"/>
      <c r="M206" s="195"/>
      <c r="N206" s="195"/>
      <c r="O206" s="195"/>
      <c r="P206" s="195"/>
      <c r="Q206" s="195"/>
      <c r="R206" s="195"/>
      <c r="S206" s="195"/>
      <c r="T206" s="195"/>
      <c r="U206" s="195"/>
      <c r="V206" s="195"/>
      <c r="W206" s="195"/>
      <c r="X206" s="195"/>
      <c r="Y206" s="195"/>
      <c r="Z206" s="195"/>
      <c r="AA206" s="195"/>
      <c r="AB206" s="195"/>
      <c r="AC206" s="195"/>
    </row>
    <row r="207" customFormat="false" ht="18" hidden="false" customHeight="true" outlineLevel="0" collapsed="false">
      <c r="A207" s="195"/>
      <c r="B207" s="195"/>
      <c r="C207" s="204" t="e">
        <f aca="false">IF(ISBLANK(D207),,SUM(D207:F207)/45)</f>
        <v>#NAME?</v>
      </c>
      <c r="D207" s="205" t="e">
        <v>#NAME?</v>
      </c>
      <c r="E207" s="205" t="e">
        <v>#NAME?</v>
      </c>
      <c r="F207" s="205" t="e">
        <v>#NAME?</v>
      </c>
      <c r="G207" s="205" t="e">
        <v>#NAME?</v>
      </c>
      <c r="H207" s="205" t="n">
        <f aca="false">IF(OR(ISBLANK(D207),NOT($C$7="Standard and boosted")),,ROUNDDOWN(('2.0.0 Raid Boss CP Helper'!$D$5+D207)*('2.0.0 Raid Boss CP Helper'!$D$6+E207)^0.5*('2.0.0 Raid Boss CP Helper'!$D$7+F207)^0.5*0.667934^2/10,0))</f>
        <v>0</v>
      </c>
      <c r="K207" s="195"/>
      <c r="L207" s="195"/>
      <c r="M207" s="195"/>
      <c r="N207" s="195"/>
      <c r="O207" s="195"/>
      <c r="P207" s="195"/>
      <c r="Q207" s="195"/>
      <c r="R207" s="195"/>
      <c r="S207" s="195"/>
      <c r="T207" s="195"/>
      <c r="U207" s="195"/>
      <c r="V207" s="195"/>
      <c r="W207" s="195"/>
      <c r="X207" s="195"/>
      <c r="Y207" s="195"/>
      <c r="Z207" s="195"/>
      <c r="AA207" s="195"/>
      <c r="AB207" s="195"/>
      <c r="AC207" s="195"/>
    </row>
    <row r="208" customFormat="false" ht="18" hidden="false" customHeight="true" outlineLevel="0" collapsed="false">
      <c r="A208" s="195"/>
      <c r="B208" s="195"/>
      <c r="C208" s="204" t="e">
        <f aca="false">IF(ISBLANK(D208),,SUM(D208:F208)/45)</f>
        <v>#NAME?</v>
      </c>
      <c r="D208" s="205" t="e">
        <v>#NAME?</v>
      </c>
      <c r="E208" s="205" t="e">
        <v>#NAME?</v>
      </c>
      <c r="F208" s="205" t="e">
        <v>#NAME?</v>
      </c>
      <c r="G208" s="205" t="e">
        <v>#NAME?</v>
      </c>
      <c r="H208" s="205" t="n">
        <f aca="false">IF(OR(ISBLANK(D208),NOT($C$7="Standard and boosted")),,ROUNDDOWN(('2.0.0 Raid Boss CP Helper'!$D$5+D208)*('2.0.0 Raid Boss CP Helper'!$D$6+E208)^0.5*('2.0.0 Raid Boss CP Helper'!$D$7+F208)^0.5*0.667934^2/10,0))</f>
        <v>0</v>
      </c>
      <c r="K208" s="195"/>
      <c r="L208" s="195"/>
      <c r="M208" s="195"/>
      <c r="N208" s="195"/>
      <c r="O208" s="195"/>
      <c r="P208" s="195"/>
      <c r="Q208" s="195"/>
      <c r="R208" s="195"/>
      <c r="S208" s="195"/>
      <c r="T208" s="195"/>
      <c r="U208" s="195"/>
      <c r="V208" s="195"/>
      <c r="W208" s="195"/>
      <c r="X208" s="195"/>
      <c r="Y208" s="195"/>
      <c r="Z208" s="195"/>
      <c r="AA208" s="195"/>
      <c r="AB208" s="195"/>
      <c r="AC208" s="195"/>
    </row>
    <row r="209" customFormat="false" ht="18" hidden="false" customHeight="true" outlineLevel="0" collapsed="false">
      <c r="A209" s="195"/>
      <c r="B209" s="195"/>
      <c r="C209" s="204" t="e">
        <f aca="false">IF(ISBLANK(D209),,SUM(D209:F209)/45)</f>
        <v>#NAME?</v>
      </c>
      <c r="D209" s="205" t="e">
        <v>#NAME?</v>
      </c>
      <c r="E209" s="205" t="e">
        <v>#NAME?</v>
      </c>
      <c r="F209" s="205" t="e">
        <v>#NAME?</v>
      </c>
      <c r="G209" s="205" t="e">
        <v>#NAME?</v>
      </c>
      <c r="H209" s="205" t="n">
        <f aca="false">IF(OR(ISBLANK(D209),NOT($C$7="Standard and boosted")),,ROUNDDOWN(('2.0.0 Raid Boss CP Helper'!$D$5+D209)*('2.0.0 Raid Boss CP Helper'!$D$6+E209)^0.5*('2.0.0 Raid Boss CP Helper'!$D$7+F209)^0.5*0.667934^2/10,0))</f>
        <v>0</v>
      </c>
      <c r="K209" s="195"/>
      <c r="L209" s="195"/>
      <c r="M209" s="195"/>
      <c r="N209" s="195"/>
      <c r="O209" s="195"/>
      <c r="P209" s="195"/>
      <c r="Q209" s="195"/>
      <c r="R209" s="195"/>
      <c r="S209" s="195"/>
      <c r="T209" s="195"/>
      <c r="U209" s="195"/>
      <c r="V209" s="195"/>
      <c r="W209" s="195"/>
      <c r="X209" s="195"/>
      <c r="Y209" s="195"/>
      <c r="Z209" s="195"/>
      <c r="AA209" s="195"/>
      <c r="AB209" s="195"/>
      <c r="AC209" s="195"/>
    </row>
    <row r="210" customFormat="false" ht="18" hidden="false" customHeight="true" outlineLevel="0" collapsed="false">
      <c r="A210" s="195"/>
      <c r="B210" s="195"/>
      <c r="C210" s="204" t="e">
        <f aca="false">IF(ISBLANK(D210),,SUM(D210:F210)/45)</f>
        <v>#NAME?</v>
      </c>
      <c r="D210" s="205" t="e">
        <v>#NAME?</v>
      </c>
      <c r="E210" s="205" t="e">
        <v>#NAME?</v>
      </c>
      <c r="F210" s="205" t="e">
        <v>#NAME?</v>
      </c>
      <c r="G210" s="205" t="e">
        <v>#NAME?</v>
      </c>
      <c r="H210" s="205" t="n">
        <f aca="false">IF(OR(ISBLANK(D210),NOT($C$7="Standard and boosted")),,ROUNDDOWN(('2.0.0 Raid Boss CP Helper'!$D$5+D210)*('2.0.0 Raid Boss CP Helper'!$D$6+E210)^0.5*('2.0.0 Raid Boss CP Helper'!$D$7+F210)^0.5*0.667934^2/10,0))</f>
        <v>0</v>
      </c>
      <c r="K210" s="195"/>
      <c r="L210" s="195"/>
      <c r="M210" s="195"/>
      <c r="N210" s="195"/>
      <c r="O210" s="195"/>
      <c r="P210" s="195"/>
      <c r="Q210" s="195"/>
      <c r="R210" s="195"/>
      <c r="S210" s="195"/>
      <c r="T210" s="195"/>
      <c r="U210" s="195"/>
      <c r="V210" s="195"/>
      <c r="W210" s="195"/>
      <c r="X210" s="195"/>
      <c r="Y210" s="195"/>
      <c r="Z210" s="195"/>
      <c r="AA210" s="195"/>
      <c r="AB210" s="195"/>
      <c r="AC210" s="195"/>
    </row>
    <row r="211" customFormat="false" ht="18" hidden="false" customHeight="true" outlineLevel="0" collapsed="false">
      <c r="A211" s="195"/>
      <c r="B211" s="195"/>
      <c r="C211" s="204" t="e">
        <f aca="false">IF(ISBLANK(D211),,SUM(D211:F211)/45)</f>
        <v>#NAME?</v>
      </c>
      <c r="D211" s="205" t="e">
        <v>#NAME?</v>
      </c>
      <c r="E211" s="205" t="e">
        <v>#NAME?</v>
      </c>
      <c r="F211" s="205" t="e">
        <v>#NAME?</v>
      </c>
      <c r="G211" s="205" t="e">
        <v>#NAME?</v>
      </c>
      <c r="H211" s="205" t="n">
        <f aca="false">IF(OR(ISBLANK(D211),NOT($C$7="Standard and boosted")),,ROUNDDOWN(('2.0.0 Raid Boss CP Helper'!$D$5+D211)*('2.0.0 Raid Boss CP Helper'!$D$6+E211)^0.5*('2.0.0 Raid Boss CP Helper'!$D$7+F211)^0.5*0.667934^2/10,0))</f>
        <v>0</v>
      </c>
      <c r="K211" s="195"/>
      <c r="L211" s="195"/>
      <c r="M211" s="195"/>
      <c r="N211" s="195"/>
      <c r="O211" s="195"/>
      <c r="P211" s="195"/>
      <c r="Q211" s="195"/>
      <c r="R211" s="195"/>
      <c r="S211" s="195"/>
      <c r="T211" s="195"/>
      <c r="U211" s="195"/>
      <c r="V211" s="195"/>
      <c r="W211" s="195"/>
      <c r="X211" s="195"/>
      <c r="Y211" s="195"/>
      <c r="Z211" s="195"/>
      <c r="AA211" s="195"/>
      <c r="AB211" s="195"/>
      <c r="AC211" s="195"/>
    </row>
    <row r="212" customFormat="false" ht="18" hidden="false" customHeight="true" outlineLevel="0" collapsed="false">
      <c r="A212" s="195"/>
      <c r="B212" s="195"/>
      <c r="C212" s="204" t="e">
        <f aca="false">IF(ISBLANK(D212),,SUM(D212:F212)/45)</f>
        <v>#NAME?</v>
      </c>
      <c r="D212" s="205" t="e">
        <v>#NAME?</v>
      </c>
      <c r="E212" s="205" t="e">
        <v>#NAME?</v>
      </c>
      <c r="F212" s="205" t="e">
        <v>#NAME?</v>
      </c>
      <c r="G212" s="205" t="e">
        <v>#NAME?</v>
      </c>
      <c r="H212" s="205" t="n">
        <f aca="false">IF(OR(ISBLANK(D212),NOT($C$7="Standard and boosted")),,ROUNDDOWN(('2.0.0 Raid Boss CP Helper'!$D$5+D212)*('2.0.0 Raid Boss CP Helper'!$D$6+E212)^0.5*('2.0.0 Raid Boss CP Helper'!$D$7+F212)^0.5*0.667934^2/10,0))</f>
        <v>0</v>
      </c>
      <c r="K212" s="195"/>
      <c r="L212" s="195"/>
      <c r="M212" s="195"/>
      <c r="N212" s="195"/>
      <c r="O212" s="195"/>
      <c r="P212" s="195"/>
      <c r="Q212" s="195"/>
      <c r="R212" s="195"/>
      <c r="S212" s="195"/>
      <c r="T212" s="195"/>
      <c r="U212" s="195"/>
      <c r="V212" s="195"/>
      <c r="W212" s="195"/>
      <c r="X212" s="195"/>
      <c r="Y212" s="195"/>
      <c r="Z212" s="195"/>
      <c r="AA212" s="195"/>
      <c r="AB212" s="195"/>
      <c r="AC212" s="195"/>
    </row>
    <row r="213" customFormat="false" ht="18" hidden="false" customHeight="true" outlineLevel="0" collapsed="false">
      <c r="A213" s="195"/>
      <c r="B213" s="195"/>
      <c r="C213" s="204" t="e">
        <f aca="false">IF(ISBLANK(D213),,SUM(D213:F213)/45)</f>
        <v>#NAME?</v>
      </c>
      <c r="D213" s="205" t="e">
        <v>#NAME?</v>
      </c>
      <c r="E213" s="205" t="e">
        <v>#NAME?</v>
      </c>
      <c r="F213" s="205" t="e">
        <v>#NAME?</v>
      </c>
      <c r="G213" s="205" t="e">
        <v>#NAME?</v>
      </c>
      <c r="H213" s="205" t="n">
        <f aca="false">IF(OR(ISBLANK(D213),NOT($C$7="Standard and boosted")),,ROUNDDOWN(('2.0.0 Raid Boss CP Helper'!$D$5+D213)*('2.0.0 Raid Boss CP Helper'!$D$6+E213)^0.5*('2.0.0 Raid Boss CP Helper'!$D$7+F213)^0.5*0.667934^2/10,0))</f>
        <v>0</v>
      </c>
      <c r="K213" s="195"/>
      <c r="L213" s="195"/>
      <c r="M213" s="195"/>
      <c r="N213" s="195"/>
      <c r="O213" s="195"/>
      <c r="P213" s="195"/>
      <c r="Q213" s="195"/>
      <c r="R213" s="195"/>
      <c r="S213" s="195"/>
      <c r="T213" s="195"/>
      <c r="U213" s="195"/>
      <c r="V213" s="195"/>
      <c r="W213" s="195"/>
      <c r="X213" s="195"/>
      <c r="Y213" s="195"/>
      <c r="Z213" s="195"/>
      <c r="AA213" s="195"/>
      <c r="AB213" s="195"/>
      <c r="AC213" s="195"/>
    </row>
    <row r="214" customFormat="false" ht="18" hidden="false" customHeight="true" outlineLevel="0" collapsed="false">
      <c r="A214" s="195"/>
      <c r="B214" s="195"/>
      <c r="C214" s="204" t="e">
        <f aca="false">IF(ISBLANK(D214),,SUM(D214:F214)/45)</f>
        <v>#NAME?</v>
      </c>
      <c r="D214" s="205" t="e">
        <v>#NAME?</v>
      </c>
      <c r="E214" s="205" t="e">
        <v>#NAME?</v>
      </c>
      <c r="F214" s="205" t="e">
        <v>#NAME?</v>
      </c>
      <c r="G214" s="205" t="e">
        <v>#NAME?</v>
      </c>
      <c r="H214" s="205" t="n">
        <f aca="false">IF(OR(ISBLANK(D214),NOT($C$7="Standard and boosted")),,ROUNDDOWN(('2.0.0 Raid Boss CP Helper'!$D$5+D214)*('2.0.0 Raid Boss CP Helper'!$D$6+E214)^0.5*('2.0.0 Raid Boss CP Helper'!$D$7+F214)^0.5*0.667934^2/10,0))</f>
        <v>0</v>
      </c>
      <c r="K214" s="195"/>
      <c r="L214" s="195"/>
      <c r="M214" s="195"/>
      <c r="N214" s="195"/>
      <c r="O214" s="195"/>
      <c r="P214" s="195"/>
      <c r="Q214" s="195"/>
      <c r="R214" s="195"/>
      <c r="S214" s="195"/>
      <c r="T214" s="195"/>
      <c r="U214" s="195"/>
      <c r="V214" s="195"/>
      <c r="W214" s="195"/>
      <c r="X214" s="195"/>
      <c r="Y214" s="195"/>
      <c r="Z214" s="195"/>
      <c r="AA214" s="195"/>
      <c r="AB214" s="195"/>
      <c r="AC214" s="195"/>
    </row>
    <row r="215" customFormat="false" ht="18" hidden="false" customHeight="true" outlineLevel="0" collapsed="false">
      <c r="A215" s="195"/>
      <c r="B215" s="195"/>
      <c r="C215" s="204" t="e">
        <f aca="false">IF(ISBLANK(D215),,SUM(D215:F215)/45)</f>
        <v>#NAME?</v>
      </c>
      <c r="D215" s="205" t="e">
        <v>#NAME?</v>
      </c>
      <c r="E215" s="205" t="e">
        <v>#NAME?</v>
      </c>
      <c r="F215" s="205" t="e">
        <v>#NAME?</v>
      </c>
      <c r="G215" s="205" t="e">
        <v>#NAME?</v>
      </c>
      <c r="H215" s="205" t="n">
        <f aca="false">IF(OR(ISBLANK(D215),NOT($C$7="Standard and boosted")),,ROUNDDOWN(('2.0.0 Raid Boss CP Helper'!$D$5+D215)*('2.0.0 Raid Boss CP Helper'!$D$6+E215)^0.5*('2.0.0 Raid Boss CP Helper'!$D$7+F215)^0.5*0.667934^2/10,0))</f>
        <v>0</v>
      </c>
      <c r="K215" s="195"/>
      <c r="L215" s="195"/>
      <c r="M215" s="195"/>
      <c r="N215" s="195"/>
      <c r="O215" s="195"/>
      <c r="P215" s="195"/>
      <c r="Q215" s="195"/>
      <c r="R215" s="195"/>
      <c r="S215" s="195"/>
      <c r="T215" s="195"/>
      <c r="U215" s="195"/>
      <c r="V215" s="195"/>
      <c r="W215" s="195"/>
      <c r="X215" s="195"/>
      <c r="Y215" s="195"/>
      <c r="Z215" s="195"/>
      <c r="AA215" s="195"/>
      <c r="AB215" s="195"/>
      <c r="AC215" s="195"/>
    </row>
    <row r="216" customFormat="false" ht="18" hidden="false" customHeight="true" outlineLevel="0" collapsed="false">
      <c r="A216" s="195"/>
      <c r="B216" s="195"/>
      <c r="C216" s="204" t="e">
        <f aca="false">IF(ISBLANK(D216),,SUM(D216:F216)/45)</f>
        <v>#NAME?</v>
      </c>
      <c r="D216" s="205" t="e">
        <v>#NAME?</v>
      </c>
      <c r="E216" s="205" t="e">
        <v>#NAME?</v>
      </c>
      <c r="F216" s="205" t="e">
        <v>#NAME?</v>
      </c>
      <c r="G216" s="205" t="e">
        <v>#NAME?</v>
      </c>
      <c r="H216" s="205" t="n">
        <f aca="false">IF(OR(ISBLANK(D216),NOT($C$7="Standard and boosted")),,ROUNDDOWN(('2.0.0 Raid Boss CP Helper'!$D$5+D216)*('2.0.0 Raid Boss CP Helper'!$D$6+E216)^0.5*('2.0.0 Raid Boss CP Helper'!$D$7+F216)^0.5*0.667934^2/10,0))</f>
        <v>0</v>
      </c>
      <c r="K216" s="195"/>
      <c r="L216" s="195"/>
      <c r="M216" s="195"/>
      <c r="N216" s="195"/>
      <c r="O216" s="195"/>
      <c r="P216" s="195"/>
      <c r="Q216" s="195"/>
      <c r="R216" s="195"/>
      <c r="S216" s="195"/>
      <c r="T216" s="195"/>
      <c r="U216" s="195"/>
      <c r="V216" s="195"/>
      <c r="W216" s="195"/>
      <c r="X216" s="195"/>
      <c r="Y216" s="195"/>
      <c r="Z216" s="195"/>
      <c r="AA216" s="195"/>
      <c r="AB216" s="195"/>
      <c r="AC216" s="195"/>
    </row>
    <row r="217" customFormat="false" ht="18" hidden="false" customHeight="true" outlineLevel="0" collapsed="false">
      <c r="A217" s="195"/>
      <c r="B217" s="195"/>
      <c r="C217" s="204" t="e">
        <f aca="false">IF(ISBLANK(D217),,SUM(D217:F217)/45)</f>
        <v>#NAME?</v>
      </c>
      <c r="D217" s="205" t="e">
        <v>#NAME?</v>
      </c>
      <c r="E217" s="205" t="e">
        <v>#NAME?</v>
      </c>
      <c r="F217" s="205" t="e">
        <v>#NAME?</v>
      </c>
      <c r="G217" s="205" t="e">
        <v>#NAME?</v>
      </c>
      <c r="H217" s="205" t="n">
        <f aca="false">IF(OR(ISBLANK(D217),NOT($C$7="Standard and boosted")),,ROUNDDOWN(('2.0.0 Raid Boss CP Helper'!$D$5+D217)*('2.0.0 Raid Boss CP Helper'!$D$6+E217)^0.5*('2.0.0 Raid Boss CP Helper'!$D$7+F217)^0.5*0.667934^2/10,0))</f>
        <v>0</v>
      </c>
      <c r="K217" s="195"/>
      <c r="L217" s="195"/>
      <c r="M217" s="195"/>
      <c r="N217" s="195"/>
      <c r="O217" s="195"/>
      <c r="P217" s="195"/>
      <c r="Q217" s="195"/>
      <c r="R217" s="195"/>
      <c r="S217" s="195"/>
      <c r="T217" s="195"/>
      <c r="U217" s="195"/>
      <c r="V217" s="195"/>
      <c r="W217" s="195"/>
      <c r="X217" s="195"/>
      <c r="Y217" s="195"/>
      <c r="Z217" s="195"/>
      <c r="AA217" s="195"/>
      <c r="AB217" s="195"/>
      <c r="AC217" s="195"/>
    </row>
    <row r="218" customFormat="false" ht="18" hidden="false" customHeight="true" outlineLevel="0" collapsed="false">
      <c r="A218" s="195"/>
      <c r="B218" s="195"/>
      <c r="C218" s="204" t="e">
        <f aca="false">IF(ISBLANK(D218),,SUM(D218:F218)/45)</f>
        <v>#NAME?</v>
      </c>
      <c r="D218" s="205" t="e">
        <v>#NAME?</v>
      </c>
      <c r="E218" s="205" t="e">
        <v>#NAME?</v>
      </c>
      <c r="F218" s="205" t="e">
        <v>#NAME?</v>
      </c>
      <c r="G218" s="205" t="e">
        <v>#NAME?</v>
      </c>
      <c r="H218" s="205" t="n">
        <f aca="false">IF(OR(ISBLANK(D218),NOT($C$7="Standard and boosted")),,ROUNDDOWN(('2.0.0 Raid Boss CP Helper'!$D$5+D218)*('2.0.0 Raid Boss CP Helper'!$D$6+E218)^0.5*('2.0.0 Raid Boss CP Helper'!$D$7+F218)^0.5*0.667934^2/10,0))</f>
        <v>0</v>
      </c>
      <c r="K218" s="195"/>
      <c r="L218" s="195"/>
      <c r="M218" s="195"/>
      <c r="N218" s="195"/>
      <c r="O218" s="195"/>
      <c r="P218" s="195"/>
      <c r="Q218" s="195"/>
      <c r="R218" s="195"/>
      <c r="S218" s="195"/>
      <c r="T218" s="195"/>
      <c r="U218" s="195"/>
      <c r="V218" s="195"/>
      <c r="W218" s="195"/>
      <c r="X218" s="195"/>
      <c r="Y218" s="195"/>
      <c r="Z218" s="195"/>
      <c r="AA218" s="195"/>
      <c r="AB218" s="195"/>
      <c r="AC218" s="195"/>
    </row>
    <row r="219" customFormat="false" ht="18" hidden="false" customHeight="true" outlineLevel="0" collapsed="false">
      <c r="A219" s="195"/>
      <c r="B219" s="195"/>
      <c r="C219" s="204" t="e">
        <f aca="false">IF(ISBLANK(D219),,SUM(D219:F219)/45)</f>
        <v>#NAME?</v>
      </c>
      <c r="D219" s="205" t="e">
        <v>#NAME?</v>
      </c>
      <c r="E219" s="205" t="e">
        <v>#NAME?</v>
      </c>
      <c r="F219" s="205" t="e">
        <v>#NAME?</v>
      </c>
      <c r="G219" s="205" t="e">
        <v>#NAME?</v>
      </c>
      <c r="H219" s="205" t="n">
        <f aca="false">IF(OR(ISBLANK(D219),NOT($C$7="Standard and boosted")),,ROUNDDOWN(('2.0.0 Raid Boss CP Helper'!$D$5+D219)*('2.0.0 Raid Boss CP Helper'!$D$6+E219)^0.5*('2.0.0 Raid Boss CP Helper'!$D$7+F219)^0.5*0.667934^2/10,0))</f>
        <v>0</v>
      </c>
      <c r="K219" s="195"/>
      <c r="L219" s="195"/>
      <c r="M219" s="195"/>
      <c r="N219" s="195"/>
      <c r="O219" s="195"/>
      <c r="P219" s="195"/>
      <c r="Q219" s="195"/>
      <c r="R219" s="195"/>
      <c r="S219" s="195"/>
      <c r="T219" s="195"/>
      <c r="U219" s="195"/>
      <c r="V219" s="195"/>
      <c r="W219" s="195"/>
      <c r="X219" s="195"/>
      <c r="Y219" s="195"/>
      <c r="Z219" s="195"/>
      <c r="AA219" s="195"/>
      <c r="AB219" s="195"/>
      <c r="AC219" s="195"/>
    </row>
    <row r="220" customFormat="false" ht="18" hidden="false" customHeight="true" outlineLevel="0" collapsed="false">
      <c r="A220" s="195"/>
      <c r="B220" s="195"/>
      <c r="C220" s="204" t="e">
        <f aca="false">IF(ISBLANK(D220),,SUM(D220:F220)/45)</f>
        <v>#NAME?</v>
      </c>
      <c r="D220" s="205" t="e">
        <v>#NAME?</v>
      </c>
      <c r="E220" s="205" t="e">
        <v>#NAME?</v>
      </c>
      <c r="F220" s="205" t="e">
        <v>#NAME?</v>
      </c>
      <c r="G220" s="205" t="e">
        <v>#NAME?</v>
      </c>
      <c r="H220" s="205" t="n">
        <f aca="false">IF(OR(ISBLANK(D220),NOT($C$7="Standard and boosted")),,ROUNDDOWN(('2.0.0 Raid Boss CP Helper'!$D$5+D220)*('2.0.0 Raid Boss CP Helper'!$D$6+E220)^0.5*('2.0.0 Raid Boss CP Helper'!$D$7+F220)^0.5*0.667934^2/10,0))</f>
        <v>0</v>
      </c>
      <c r="K220" s="195"/>
      <c r="L220" s="195"/>
      <c r="M220" s="195"/>
      <c r="N220" s="195"/>
      <c r="O220" s="195"/>
      <c r="P220" s="195"/>
      <c r="Q220" s="195"/>
      <c r="R220" s="195"/>
      <c r="S220" s="195"/>
      <c r="T220" s="195"/>
      <c r="U220" s="195"/>
      <c r="V220" s="195"/>
      <c r="W220" s="195"/>
      <c r="X220" s="195"/>
      <c r="Y220" s="195"/>
      <c r="Z220" s="195"/>
      <c r="AA220" s="195"/>
      <c r="AB220" s="195"/>
      <c r="AC220" s="195"/>
    </row>
    <row r="221" customFormat="false" ht="18" hidden="false" customHeight="true" outlineLevel="0" collapsed="false">
      <c r="A221" s="195"/>
      <c r="B221" s="195"/>
      <c r="C221" s="204" t="e">
        <f aca="false">IF(ISBLANK(D221),,SUM(D221:F221)/45)</f>
        <v>#NAME?</v>
      </c>
      <c r="D221" s="205" t="e">
        <v>#NAME?</v>
      </c>
      <c r="E221" s="205" t="e">
        <v>#NAME?</v>
      </c>
      <c r="F221" s="205" t="e">
        <v>#NAME?</v>
      </c>
      <c r="G221" s="205" t="e">
        <v>#NAME?</v>
      </c>
      <c r="H221" s="205" t="n">
        <f aca="false">IF(OR(ISBLANK(D221),NOT($C$7="Standard and boosted")),,ROUNDDOWN(('2.0.0 Raid Boss CP Helper'!$D$5+D221)*('2.0.0 Raid Boss CP Helper'!$D$6+E221)^0.5*('2.0.0 Raid Boss CP Helper'!$D$7+F221)^0.5*0.667934^2/10,0))</f>
        <v>0</v>
      </c>
      <c r="K221" s="195"/>
      <c r="L221" s="195"/>
      <c r="M221" s="195"/>
      <c r="N221" s="195"/>
      <c r="O221" s="195"/>
      <c r="P221" s="195"/>
      <c r="Q221" s="195"/>
      <c r="R221" s="195"/>
      <c r="S221" s="195"/>
      <c r="T221" s="195"/>
      <c r="U221" s="195"/>
      <c r="V221" s="195"/>
      <c r="W221" s="195"/>
      <c r="X221" s="195"/>
      <c r="Y221" s="195"/>
      <c r="Z221" s="195"/>
      <c r="AA221" s="195"/>
      <c r="AB221" s="195"/>
      <c r="AC221" s="195"/>
    </row>
    <row r="222" customFormat="false" ht="18" hidden="false" customHeight="true" outlineLevel="0" collapsed="false">
      <c r="A222" s="195"/>
      <c r="B222" s="195"/>
      <c r="C222" s="204" t="e">
        <f aca="false">IF(ISBLANK(D222),,SUM(D222:F222)/45)</f>
        <v>#NAME?</v>
      </c>
      <c r="D222" s="205" t="e">
        <v>#NAME?</v>
      </c>
      <c r="E222" s="205" t="e">
        <v>#NAME?</v>
      </c>
      <c r="F222" s="205" t="e">
        <v>#NAME?</v>
      </c>
      <c r="G222" s="205" t="e">
        <v>#NAME?</v>
      </c>
      <c r="H222" s="205" t="n">
        <f aca="false">IF(OR(ISBLANK(D222),NOT($C$7="Standard and boosted")),,ROUNDDOWN(('2.0.0 Raid Boss CP Helper'!$D$5+D222)*('2.0.0 Raid Boss CP Helper'!$D$6+E222)^0.5*('2.0.0 Raid Boss CP Helper'!$D$7+F222)^0.5*0.667934^2/10,0))</f>
        <v>0</v>
      </c>
      <c r="K222" s="195"/>
      <c r="L222" s="195"/>
      <c r="M222" s="195"/>
      <c r="N222" s="195"/>
      <c r="O222" s="195"/>
      <c r="P222" s="195"/>
      <c r="Q222" s="195"/>
      <c r="R222" s="195"/>
      <c r="S222" s="195"/>
      <c r="T222" s="195"/>
      <c r="U222" s="195"/>
      <c r="V222" s="195"/>
      <c r="W222" s="195"/>
      <c r="X222" s="195"/>
      <c r="Y222" s="195"/>
      <c r="Z222" s="195"/>
      <c r="AA222" s="195"/>
      <c r="AB222" s="195"/>
      <c r="AC222" s="195"/>
    </row>
    <row r="223" customFormat="false" ht="18" hidden="false" customHeight="true" outlineLevel="0" collapsed="false">
      <c r="A223" s="195"/>
      <c r="B223" s="195"/>
      <c r="C223" s="204" t="e">
        <f aca="false">IF(ISBLANK(D223),,SUM(D223:F223)/45)</f>
        <v>#NAME?</v>
      </c>
      <c r="D223" s="205" t="e">
        <v>#NAME?</v>
      </c>
      <c r="E223" s="205" t="e">
        <v>#NAME?</v>
      </c>
      <c r="F223" s="205" t="e">
        <v>#NAME?</v>
      </c>
      <c r="G223" s="205" t="e">
        <v>#NAME?</v>
      </c>
      <c r="H223" s="205" t="n">
        <f aca="false">IF(OR(ISBLANK(D223),NOT($C$7="Standard and boosted")),,ROUNDDOWN(('2.0.0 Raid Boss CP Helper'!$D$5+D223)*('2.0.0 Raid Boss CP Helper'!$D$6+E223)^0.5*('2.0.0 Raid Boss CP Helper'!$D$7+F223)^0.5*0.667934^2/10,0))</f>
        <v>0</v>
      </c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95"/>
    </row>
    <row r="224" customFormat="false" ht="18" hidden="false" customHeight="true" outlineLevel="0" collapsed="false">
      <c r="A224" s="195"/>
      <c r="B224" s="195"/>
      <c r="C224" s="204" t="e">
        <f aca="false">IF(ISBLANK(D224),,SUM(D224:F224)/45)</f>
        <v>#NAME?</v>
      </c>
      <c r="D224" s="205" t="e">
        <v>#NAME?</v>
      </c>
      <c r="E224" s="205" t="e">
        <v>#NAME?</v>
      </c>
      <c r="F224" s="205" t="e">
        <v>#NAME?</v>
      </c>
      <c r="G224" s="205" t="e">
        <v>#NAME?</v>
      </c>
      <c r="H224" s="205" t="n">
        <f aca="false">IF(OR(ISBLANK(D224),NOT($C$7="Standard and boosted")),,ROUNDDOWN(('2.0.0 Raid Boss CP Helper'!$D$5+D224)*('2.0.0 Raid Boss CP Helper'!$D$6+E224)^0.5*('2.0.0 Raid Boss CP Helper'!$D$7+F224)^0.5*0.667934^2/10,0))</f>
        <v>0</v>
      </c>
      <c r="K224" s="195"/>
      <c r="L224" s="195"/>
      <c r="M224" s="195"/>
      <c r="N224" s="195"/>
      <c r="O224" s="195"/>
      <c r="P224" s="195"/>
      <c r="Q224" s="195"/>
      <c r="R224" s="195"/>
      <c r="S224" s="195"/>
      <c r="T224" s="195"/>
      <c r="U224" s="195"/>
      <c r="V224" s="195"/>
      <c r="W224" s="195"/>
      <c r="X224" s="195"/>
      <c r="Y224" s="195"/>
      <c r="Z224" s="195"/>
      <c r="AA224" s="195"/>
      <c r="AB224" s="195"/>
      <c r="AC224" s="195"/>
    </row>
    <row r="225" customFormat="false" ht="18" hidden="false" customHeight="true" outlineLevel="0" collapsed="false">
      <c r="A225" s="195"/>
      <c r="B225" s="195"/>
      <c r="C225" s="204" t="e">
        <f aca="false">IF(ISBLANK(D225),,SUM(D225:F225)/45)</f>
        <v>#NAME?</v>
      </c>
      <c r="D225" s="205" t="e">
        <v>#NAME?</v>
      </c>
      <c r="E225" s="205" t="e">
        <v>#NAME?</v>
      </c>
      <c r="F225" s="205" t="e">
        <v>#NAME?</v>
      </c>
      <c r="G225" s="205" t="e">
        <v>#NAME?</v>
      </c>
      <c r="H225" s="205" t="n">
        <f aca="false">IF(OR(ISBLANK(D225),NOT($C$7="Standard and boosted")),,ROUNDDOWN(('2.0.0 Raid Boss CP Helper'!$D$5+D225)*('2.0.0 Raid Boss CP Helper'!$D$6+E225)^0.5*('2.0.0 Raid Boss CP Helper'!$D$7+F225)^0.5*0.667934^2/10,0))</f>
        <v>0</v>
      </c>
      <c r="K225" s="195"/>
      <c r="L225" s="195"/>
      <c r="M225" s="195"/>
      <c r="N225" s="195"/>
      <c r="O225" s="195"/>
      <c r="P225" s="195"/>
      <c r="Q225" s="195"/>
      <c r="R225" s="195"/>
      <c r="S225" s="195"/>
      <c r="T225" s="195"/>
      <c r="U225" s="195"/>
      <c r="V225" s="195"/>
      <c r="W225" s="195"/>
      <c r="X225" s="195"/>
      <c r="Y225" s="195"/>
      <c r="Z225" s="195"/>
      <c r="AA225" s="195"/>
      <c r="AB225" s="195"/>
      <c r="AC225" s="195"/>
    </row>
    <row r="226" customFormat="false" ht="18" hidden="false" customHeight="true" outlineLevel="0" collapsed="false">
      <c r="A226" s="195"/>
      <c r="B226" s="195"/>
      <c r="C226" s="204" t="e">
        <f aca="false">IF(ISBLANK(D226),,SUM(D226:F226)/45)</f>
        <v>#NAME?</v>
      </c>
      <c r="D226" s="205" t="e">
        <v>#NAME?</v>
      </c>
      <c r="E226" s="205" t="e">
        <v>#NAME?</v>
      </c>
      <c r="F226" s="205" t="e">
        <v>#NAME?</v>
      </c>
      <c r="G226" s="205" t="e">
        <v>#NAME?</v>
      </c>
      <c r="H226" s="205" t="n">
        <f aca="false">IF(OR(ISBLANK(D226),NOT($C$7="Standard and boosted")),,ROUNDDOWN(('2.0.0 Raid Boss CP Helper'!$D$5+D226)*('2.0.0 Raid Boss CP Helper'!$D$6+E226)^0.5*('2.0.0 Raid Boss CP Helper'!$D$7+F226)^0.5*0.667934^2/10,0))</f>
        <v>0</v>
      </c>
      <c r="K226" s="195"/>
      <c r="L226" s="195"/>
      <c r="M226" s="195"/>
      <c r="N226" s="195"/>
      <c r="O226" s="195"/>
      <c r="P226" s="195"/>
      <c r="Q226" s="195"/>
      <c r="R226" s="195"/>
      <c r="S226" s="195"/>
      <c r="T226" s="195"/>
      <c r="U226" s="195"/>
      <c r="V226" s="195"/>
      <c r="W226" s="195"/>
      <c r="X226" s="195"/>
      <c r="Y226" s="195"/>
      <c r="Z226" s="195"/>
      <c r="AA226" s="195"/>
      <c r="AB226" s="195"/>
      <c r="AC226" s="195"/>
    </row>
    <row r="227" customFormat="false" ht="18" hidden="false" customHeight="true" outlineLevel="0" collapsed="false">
      <c r="A227" s="195"/>
      <c r="B227" s="195"/>
      <c r="C227" s="204" t="e">
        <f aca="false">IF(ISBLANK(D227),,SUM(D227:F227)/45)</f>
        <v>#NAME?</v>
      </c>
      <c r="D227" s="205" t="e">
        <v>#NAME?</v>
      </c>
      <c r="E227" s="205" t="e">
        <v>#NAME?</v>
      </c>
      <c r="F227" s="205" t="e">
        <v>#NAME?</v>
      </c>
      <c r="G227" s="205" t="e">
        <v>#NAME?</v>
      </c>
      <c r="H227" s="205" t="n">
        <f aca="false">IF(OR(ISBLANK(D227),NOT($C$7="Standard and boosted")),,ROUNDDOWN(('2.0.0 Raid Boss CP Helper'!$D$5+D227)*('2.0.0 Raid Boss CP Helper'!$D$6+E227)^0.5*('2.0.0 Raid Boss CP Helper'!$D$7+F227)^0.5*0.667934^2/10,0))</f>
        <v>0</v>
      </c>
      <c r="K227" s="195"/>
      <c r="L227" s="195"/>
      <c r="M227" s="195"/>
      <c r="N227" s="195"/>
      <c r="O227" s="195"/>
      <c r="P227" s="195"/>
      <c r="Q227" s="195"/>
      <c r="R227" s="195"/>
      <c r="S227" s="195"/>
      <c r="T227" s="195"/>
      <c r="U227" s="195"/>
      <c r="V227" s="195"/>
      <c r="W227" s="195"/>
      <c r="X227" s="195"/>
      <c r="Y227" s="195"/>
      <c r="Z227" s="195"/>
      <c r="AA227" s="195"/>
      <c r="AB227" s="195"/>
      <c r="AC227" s="195"/>
    </row>
    <row r="228" customFormat="false" ht="18" hidden="false" customHeight="true" outlineLevel="0" collapsed="false">
      <c r="A228" s="195"/>
      <c r="B228" s="195"/>
      <c r="C228" s="204" t="e">
        <f aca="false">IF(ISBLANK(D228),,SUM(D228:F228)/45)</f>
        <v>#NAME?</v>
      </c>
      <c r="D228" s="205" t="e">
        <v>#NAME?</v>
      </c>
      <c r="E228" s="205" t="e">
        <v>#NAME?</v>
      </c>
      <c r="F228" s="205" t="e">
        <v>#NAME?</v>
      </c>
      <c r="G228" s="205" t="e">
        <v>#NAME?</v>
      </c>
      <c r="H228" s="205" t="n">
        <f aca="false">IF(OR(ISBLANK(D228),NOT($C$7="Standard and boosted")),,ROUNDDOWN(('2.0.0 Raid Boss CP Helper'!$D$5+D228)*('2.0.0 Raid Boss CP Helper'!$D$6+E228)^0.5*('2.0.0 Raid Boss CP Helper'!$D$7+F228)^0.5*0.667934^2/10,0))</f>
        <v>0</v>
      </c>
      <c r="K228" s="195"/>
      <c r="L228" s="195"/>
      <c r="M228" s="195"/>
      <c r="N228" s="195"/>
      <c r="O228" s="195"/>
      <c r="P228" s="195"/>
      <c r="Q228" s="195"/>
      <c r="R228" s="195"/>
      <c r="S228" s="195"/>
      <c r="T228" s="195"/>
      <c r="U228" s="195"/>
      <c r="V228" s="195"/>
      <c r="W228" s="195"/>
      <c r="X228" s="195"/>
      <c r="Y228" s="195"/>
      <c r="Z228" s="195"/>
      <c r="AA228" s="195"/>
      <c r="AB228" s="195"/>
      <c r="AC228" s="195"/>
    </row>
    <row r="229" customFormat="false" ht="18" hidden="false" customHeight="true" outlineLevel="0" collapsed="false">
      <c r="A229" s="195"/>
      <c r="B229" s="195"/>
      <c r="C229" s="204" t="e">
        <f aca="false">IF(ISBLANK(D229),,SUM(D229:F229)/45)</f>
        <v>#NAME?</v>
      </c>
      <c r="D229" s="205" t="e">
        <v>#NAME?</v>
      </c>
      <c r="E229" s="205" t="e">
        <v>#NAME?</v>
      </c>
      <c r="F229" s="205" t="e">
        <v>#NAME?</v>
      </c>
      <c r="G229" s="205" t="e">
        <v>#NAME?</v>
      </c>
      <c r="H229" s="205" t="n">
        <f aca="false">IF(OR(ISBLANK(D229),NOT($C$7="Standard and boosted")),,ROUNDDOWN(('2.0.0 Raid Boss CP Helper'!$D$5+D229)*('2.0.0 Raid Boss CP Helper'!$D$6+E229)^0.5*('2.0.0 Raid Boss CP Helper'!$D$7+F229)^0.5*0.667934^2/10,0))</f>
        <v>0</v>
      </c>
      <c r="K229" s="195"/>
      <c r="L229" s="195"/>
      <c r="M229" s="195"/>
      <c r="N229" s="195"/>
      <c r="O229" s="195"/>
      <c r="P229" s="195"/>
      <c r="Q229" s="195"/>
      <c r="R229" s="195"/>
      <c r="S229" s="195"/>
      <c r="T229" s="195"/>
      <c r="U229" s="195"/>
      <c r="V229" s="195"/>
      <c r="W229" s="195"/>
      <c r="X229" s="195"/>
      <c r="Y229" s="195"/>
      <c r="Z229" s="195"/>
      <c r="AA229" s="195"/>
      <c r="AB229" s="195"/>
      <c r="AC229" s="195"/>
    </row>
    <row r="230" customFormat="false" ht="18" hidden="false" customHeight="true" outlineLevel="0" collapsed="false">
      <c r="A230" s="195"/>
      <c r="B230" s="195"/>
      <c r="C230" s="204" t="e">
        <f aca="false">IF(ISBLANK(D230),,SUM(D230:F230)/45)</f>
        <v>#NAME?</v>
      </c>
      <c r="D230" s="205" t="e">
        <v>#NAME?</v>
      </c>
      <c r="E230" s="205" t="e">
        <v>#NAME?</v>
      </c>
      <c r="F230" s="205" t="e">
        <v>#NAME?</v>
      </c>
      <c r="G230" s="205" t="e">
        <v>#NAME?</v>
      </c>
      <c r="H230" s="205" t="n">
        <f aca="false">IF(OR(ISBLANK(D230),NOT($C$7="Standard and boosted")),,ROUNDDOWN(('2.0.0 Raid Boss CP Helper'!$D$5+D230)*('2.0.0 Raid Boss CP Helper'!$D$6+E230)^0.5*('2.0.0 Raid Boss CP Helper'!$D$7+F230)^0.5*0.667934^2/10,0))</f>
        <v>0</v>
      </c>
      <c r="K230" s="195"/>
      <c r="L230" s="195"/>
      <c r="M230" s="195"/>
      <c r="N230" s="195"/>
      <c r="O230" s="195"/>
      <c r="P230" s="195"/>
      <c r="Q230" s="195"/>
      <c r="R230" s="195"/>
      <c r="S230" s="195"/>
      <c r="T230" s="195"/>
      <c r="U230" s="195"/>
      <c r="V230" s="195"/>
      <c r="W230" s="195"/>
      <c r="X230" s="195"/>
      <c r="Y230" s="195"/>
      <c r="Z230" s="195"/>
      <c r="AA230" s="195"/>
      <c r="AB230" s="195"/>
      <c r="AC230" s="195"/>
    </row>
    <row r="231" customFormat="false" ht="18" hidden="false" customHeight="true" outlineLevel="0" collapsed="false">
      <c r="A231" s="195"/>
      <c r="B231" s="195"/>
      <c r="C231" s="204" t="e">
        <f aca="false">IF(ISBLANK(D231),,SUM(D231:F231)/45)</f>
        <v>#NAME?</v>
      </c>
      <c r="D231" s="205" t="e">
        <v>#NAME?</v>
      </c>
      <c r="E231" s="205" t="e">
        <v>#NAME?</v>
      </c>
      <c r="F231" s="205" t="e">
        <v>#NAME?</v>
      </c>
      <c r="G231" s="205" t="e">
        <v>#NAME?</v>
      </c>
      <c r="H231" s="205" t="n">
        <f aca="false">IF(OR(ISBLANK(D231),NOT($C$7="Standard and boosted")),,ROUNDDOWN(('2.0.0 Raid Boss CP Helper'!$D$5+D231)*('2.0.0 Raid Boss CP Helper'!$D$6+E231)^0.5*('2.0.0 Raid Boss CP Helper'!$D$7+F231)^0.5*0.667934^2/10,0))</f>
        <v>0</v>
      </c>
      <c r="K231" s="195"/>
      <c r="L231" s="195"/>
      <c r="M231" s="195"/>
      <c r="N231" s="195"/>
      <c r="O231" s="195"/>
      <c r="P231" s="195"/>
      <c r="Q231" s="195"/>
      <c r="R231" s="195"/>
      <c r="S231" s="195"/>
      <c r="T231" s="195"/>
      <c r="U231" s="195"/>
      <c r="V231" s="195"/>
      <c r="W231" s="195"/>
      <c r="X231" s="195"/>
      <c r="Y231" s="195"/>
      <c r="Z231" s="195"/>
      <c r="AA231" s="195"/>
      <c r="AB231" s="195"/>
      <c r="AC231" s="195"/>
    </row>
    <row r="232" customFormat="false" ht="18" hidden="false" customHeight="true" outlineLevel="0" collapsed="false">
      <c r="A232" s="195"/>
      <c r="B232" s="195"/>
      <c r="C232" s="204" t="e">
        <f aca="false">IF(ISBLANK(D232),,SUM(D232:F232)/45)</f>
        <v>#NAME?</v>
      </c>
      <c r="D232" s="205" t="e">
        <v>#NAME?</v>
      </c>
      <c r="E232" s="205" t="e">
        <v>#NAME?</v>
      </c>
      <c r="F232" s="205" t="e">
        <v>#NAME?</v>
      </c>
      <c r="G232" s="205" t="e">
        <v>#NAME?</v>
      </c>
      <c r="H232" s="205" t="n">
        <f aca="false">IF(OR(ISBLANK(D232),NOT($C$7="Standard and boosted")),,ROUNDDOWN(('2.0.0 Raid Boss CP Helper'!$D$5+D232)*('2.0.0 Raid Boss CP Helper'!$D$6+E232)^0.5*('2.0.0 Raid Boss CP Helper'!$D$7+F232)^0.5*0.667934^2/10,0))</f>
        <v>0</v>
      </c>
      <c r="K232" s="195"/>
      <c r="L232" s="195"/>
      <c r="M232" s="195"/>
      <c r="N232" s="195"/>
      <c r="O232" s="195"/>
      <c r="P232" s="195"/>
      <c r="Q232" s="195"/>
      <c r="R232" s="195"/>
      <c r="S232" s="195"/>
      <c r="T232" s="195"/>
      <c r="U232" s="195"/>
      <c r="V232" s="195"/>
      <c r="W232" s="195"/>
      <c r="X232" s="195"/>
      <c r="Y232" s="195"/>
      <c r="Z232" s="195"/>
      <c r="AA232" s="195"/>
      <c r="AB232" s="195"/>
      <c r="AC232" s="195"/>
    </row>
    <row r="233" customFormat="false" ht="18" hidden="false" customHeight="true" outlineLevel="0" collapsed="false">
      <c r="A233" s="195"/>
      <c r="B233" s="195"/>
      <c r="C233" s="204" t="e">
        <f aca="false">IF(ISBLANK(D233),,SUM(D233:F233)/45)</f>
        <v>#NAME?</v>
      </c>
      <c r="D233" s="205" t="e">
        <v>#NAME?</v>
      </c>
      <c r="E233" s="205" t="e">
        <v>#NAME?</v>
      </c>
      <c r="F233" s="205" t="e">
        <v>#NAME?</v>
      </c>
      <c r="G233" s="205" t="e">
        <v>#NAME?</v>
      </c>
      <c r="H233" s="205" t="n">
        <f aca="false">IF(OR(ISBLANK(D233),NOT($C$7="Standard and boosted")),,ROUNDDOWN(('2.0.0 Raid Boss CP Helper'!$D$5+D233)*('2.0.0 Raid Boss CP Helper'!$D$6+E233)^0.5*('2.0.0 Raid Boss CP Helper'!$D$7+F233)^0.5*0.667934^2/10,0))</f>
        <v>0</v>
      </c>
      <c r="K233" s="195"/>
      <c r="L233" s="195"/>
      <c r="M233" s="195"/>
      <c r="N233" s="195"/>
      <c r="O233" s="195"/>
      <c r="P233" s="195"/>
      <c r="Q233" s="195"/>
      <c r="R233" s="195"/>
      <c r="S233" s="195"/>
      <c r="T233" s="195"/>
      <c r="U233" s="195"/>
      <c r="V233" s="195"/>
      <c r="W233" s="195"/>
      <c r="X233" s="195"/>
      <c r="Y233" s="195"/>
      <c r="Z233" s="195"/>
      <c r="AA233" s="195"/>
      <c r="AB233" s="195"/>
      <c r="AC233" s="195"/>
    </row>
    <row r="234" customFormat="false" ht="18" hidden="false" customHeight="true" outlineLevel="0" collapsed="false">
      <c r="A234" s="195"/>
      <c r="B234" s="195"/>
      <c r="C234" s="204" t="e">
        <f aca="false">IF(ISBLANK(D234),,SUM(D234:F234)/45)</f>
        <v>#NAME?</v>
      </c>
      <c r="D234" s="205" t="e">
        <v>#NAME?</v>
      </c>
      <c r="E234" s="205" t="e">
        <v>#NAME?</v>
      </c>
      <c r="F234" s="205" t="e">
        <v>#NAME?</v>
      </c>
      <c r="G234" s="205" t="e">
        <v>#NAME?</v>
      </c>
      <c r="H234" s="205" t="n">
        <f aca="false">IF(OR(ISBLANK(D234),NOT($C$7="Standard and boosted")),,ROUNDDOWN(('2.0.0 Raid Boss CP Helper'!$D$5+D234)*('2.0.0 Raid Boss CP Helper'!$D$6+E234)^0.5*('2.0.0 Raid Boss CP Helper'!$D$7+F234)^0.5*0.667934^2/10,0))</f>
        <v>0</v>
      </c>
      <c r="K234" s="195"/>
      <c r="L234" s="195"/>
      <c r="M234" s="195"/>
      <c r="N234" s="195"/>
      <c r="O234" s="195"/>
      <c r="P234" s="195"/>
      <c r="Q234" s="195"/>
      <c r="R234" s="195"/>
      <c r="S234" s="195"/>
      <c r="T234" s="195"/>
      <c r="U234" s="195"/>
      <c r="V234" s="195"/>
      <c r="W234" s="195"/>
      <c r="X234" s="195"/>
      <c r="Y234" s="195"/>
      <c r="Z234" s="195"/>
      <c r="AA234" s="195"/>
      <c r="AB234" s="195"/>
      <c r="AC234" s="195"/>
    </row>
    <row r="235" customFormat="false" ht="18" hidden="false" customHeight="true" outlineLevel="0" collapsed="false">
      <c r="A235" s="195"/>
      <c r="B235" s="195"/>
      <c r="C235" s="204" t="e">
        <f aca="false">IF(ISBLANK(D235),,SUM(D235:F235)/45)</f>
        <v>#NAME?</v>
      </c>
      <c r="D235" s="205" t="e">
        <v>#NAME?</v>
      </c>
      <c r="E235" s="205" t="e">
        <v>#NAME?</v>
      </c>
      <c r="F235" s="205" t="e">
        <v>#NAME?</v>
      </c>
      <c r="G235" s="205" t="e">
        <v>#NAME?</v>
      </c>
      <c r="H235" s="205" t="n">
        <f aca="false">IF(OR(ISBLANK(D235),NOT($C$7="Standard and boosted")),,ROUNDDOWN(('2.0.0 Raid Boss CP Helper'!$D$5+D235)*('2.0.0 Raid Boss CP Helper'!$D$6+E235)^0.5*('2.0.0 Raid Boss CP Helper'!$D$7+F235)^0.5*0.667934^2/10,0))</f>
        <v>0</v>
      </c>
      <c r="K235" s="195"/>
      <c r="L235" s="195"/>
      <c r="M235" s="195"/>
      <c r="N235" s="195"/>
      <c r="O235" s="195"/>
      <c r="P235" s="195"/>
      <c r="Q235" s="195"/>
      <c r="R235" s="195"/>
      <c r="S235" s="195"/>
      <c r="T235" s="195"/>
      <c r="U235" s="195"/>
      <c r="V235" s="195"/>
      <c r="W235" s="195"/>
      <c r="X235" s="195"/>
      <c r="Y235" s="195"/>
      <c r="Z235" s="195"/>
      <c r="AA235" s="195"/>
      <c r="AB235" s="195"/>
      <c r="AC235" s="195"/>
    </row>
    <row r="236" customFormat="false" ht="18" hidden="false" customHeight="true" outlineLevel="0" collapsed="false">
      <c r="A236" s="195"/>
      <c r="B236" s="195"/>
      <c r="C236" s="204" t="e">
        <f aca="false">IF(ISBLANK(D236),,SUM(D236:F236)/45)</f>
        <v>#NAME?</v>
      </c>
      <c r="D236" s="205" t="e">
        <v>#NAME?</v>
      </c>
      <c r="E236" s="205" t="e">
        <v>#NAME?</v>
      </c>
      <c r="F236" s="205" t="e">
        <v>#NAME?</v>
      </c>
      <c r="G236" s="205" t="e">
        <v>#NAME?</v>
      </c>
      <c r="H236" s="205" t="n">
        <f aca="false">IF(OR(ISBLANK(D236),NOT($C$7="Standard and boosted")),,ROUNDDOWN(('2.0.0 Raid Boss CP Helper'!$D$5+D236)*('2.0.0 Raid Boss CP Helper'!$D$6+E236)^0.5*('2.0.0 Raid Boss CP Helper'!$D$7+F236)^0.5*0.667934^2/10,0))</f>
        <v>0</v>
      </c>
      <c r="K236" s="195"/>
      <c r="L236" s="195"/>
      <c r="M236" s="195"/>
      <c r="N236" s="195"/>
      <c r="O236" s="195"/>
      <c r="P236" s="195"/>
      <c r="Q236" s="195"/>
      <c r="R236" s="195"/>
      <c r="S236" s="195"/>
      <c r="T236" s="195"/>
      <c r="U236" s="195"/>
      <c r="V236" s="195"/>
      <c r="W236" s="195"/>
      <c r="X236" s="195"/>
      <c r="Y236" s="195"/>
      <c r="Z236" s="195"/>
      <c r="AA236" s="195"/>
      <c r="AB236" s="195"/>
      <c r="AC236" s="195"/>
    </row>
    <row r="237" customFormat="false" ht="18" hidden="false" customHeight="true" outlineLevel="0" collapsed="false">
      <c r="A237" s="195"/>
      <c r="B237" s="195"/>
      <c r="C237" s="204" t="e">
        <f aca="false">IF(ISBLANK(D237),,SUM(D237:F237)/45)</f>
        <v>#NAME?</v>
      </c>
      <c r="D237" s="205" t="e">
        <v>#NAME?</v>
      </c>
      <c r="E237" s="205" t="e">
        <v>#NAME?</v>
      </c>
      <c r="F237" s="205" t="e">
        <v>#NAME?</v>
      </c>
      <c r="G237" s="205" t="e">
        <v>#NAME?</v>
      </c>
      <c r="H237" s="205" t="n">
        <f aca="false">IF(OR(ISBLANK(D237),NOT($C$7="Standard and boosted")),,ROUNDDOWN(('2.0.0 Raid Boss CP Helper'!$D$5+D237)*('2.0.0 Raid Boss CP Helper'!$D$6+E237)^0.5*('2.0.0 Raid Boss CP Helper'!$D$7+F237)^0.5*0.667934^2/10,0))</f>
        <v>0</v>
      </c>
      <c r="K237" s="195"/>
      <c r="L237" s="195"/>
      <c r="M237" s="195"/>
      <c r="N237" s="195"/>
      <c r="O237" s="195"/>
      <c r="P237" s="195"/>
      <c r="Q237" s="195"/>
      <c r="R237" s="195"/>
      <c r="S237" s="195"/>
      <c r="T237" s="195"/>
      <c r="U237" s="195"/>
      <c r="V237" s="195"/>
      <c r="W237" s="195"/>
      <c r="X237" s="195"/>
      <c r="Y237" s="195"/>
      <c r="Z237" s="195"/>
      <c r="AA237" s="195"/>
      <c r="AB237" s="195"/>
      <c r="AC237" s="195"/>
    </row>
    <row r="238" customFormat="false" ht="18" hidden="false" customHeight="true" outlineLevel="0" collapsed="false">
      <c r="A238" s="195"/>
      <c r="B238" s="195"/>
      <c r="C238" s="204" t="e">
        <f aca="false">IF(ISBLANK(D238),,SUM(D238:F238)/45)</f>
        <v>#NAME?</v>
      </c>
      <c r="D238" s="205" t="e">
        <v>#NAME?</v>
      </c>
      <c r="E238" s="205" t="e">
        <v>#NAME?</v>
      </c>
      <c r="F238" s="205" t="e">
        <v>#NAME?</v>
      </c>
      <c r="G238" s="205" t="e">
        <v>#NAME?</v>
      </c>
      <c r="H238" s="205" t="n">
        <f aca="false">IF(OR(ISBLANK(D238),NOT($C$7="Standard and boosted")),,ROUNDDOWN(('2.0.0 Raid Boss CP Helper'!$D$5+D238)*('2.0.0 Raid Boss CP Helper'!$D$6+E238)^0.5*('2.0.0 Raid Boss CP Helper'!$D$7+F238)^0.5*0.667934^2/10,0))</f>
        <v>0</v>
      </c>
      <c r="K238" s="195"/>
      <c r="L238" s="195"/>
      <c r="M238" s="195"/>
      <c r="N238" s="195"/>
      <c r="O238" s="195"/>
      <c r="P238" s="195"/>
      <c r="Q238" s="195"/>
      <c r="R238" s="195"/>
      <c r="S238" s="195"/>
      <c r="T238" s="195"/>
      <c r="U238" s="195"/>
      <c r="V238" s="195"/>
      <c r="W238" s="195"/>
      <c r="X238" s="195"/>
      <c r="Y238" s="195"/>
      <c r="Z238" s="195"/>
      <c r="AA238" s="195"/>
      <c r="AB238" s="195"/>
      <c r="AC238" s="195"/>
    </row>
    <row r="239" customFormat="false" ht="18" hidden="false" customHeight="true" outlineLevel="0" collapsed="false">
      <c r="A239" s="195"/>
      <c r="B239" s="195"/>
      <c r="C239" s="204" t="e">
        <f aca="false">IF(ISBLANK(D239),,SUM(D239:F239)/45)</f>
        <v>#NAME?</v>
      </c>
      <c r="D239" s="205" t="e">
        <v>#NAME?</v>
      </c>
      <c r="E239" s="205" t="e">
        <v>#NAME?</v>
      </c>
      <c r="F239" s="205" t="e">
        <v>#NAME?</v>
      </c>
      <c r="G239" s="205" t="e">
        <v>#NAME?</v>
      </c>
      <c r="H239" s="205" t="n">
        <f aca="false">IF(OR(ISBLANK(D239),NOT($C$7="Standard and boosted")),,ROUNDDOWN(('2.0.0 Raid Boss CP Helper'!$D$5+D239)*('2.0.0 Raid Boss CP Helper'!$D$6+E239)^0.5*('2.0.0 Raid Boss CP Helper'!$D$7+F239)^0.5*0.667934^2/10,0))</f>
        <v>0</v>
      </c>
      <c r="K239" s="195"/>
      <c r="L239" s="195"/>
      <c r="M239" s="195"/>
      <c r="N239" s="195"/>
      <c r="O239" s="195"/>
      <c r="P239" s="195"/>
      <c r="Q239" s="195"/>
      <c r="R239" s="195"/>
      <c r="S239" s="195"/>
      <c r="T239" s="195"/>
      <c r="U239" s="195"/>
      <c r="V239" s="195"/>
      <c r="W239" s="195"/>
      <c r="X239" s="195"/>
      <c r="Y239" s="195"/>
      <c r="Z239" s="195"/>
      <c r="AA239" s="195"/>
      <c r="AB239" s="195"/>
      <c r="AC239" s="195"/>
    </row>
    <row r="240" customFormat="false" ht="18" hidden="false" customHeight="true" outlineLevel="0" collapsed="false">
      <c r="A240" s="195"/>
      <c r="B240" s="195"/>
      <c r="C240" s="204" t="e">
        <f aca="false">IF(ISBLANK(D240),,SUM(D240:F240)/45)</f>
        <v>#NAME?</v>
      </c>
      <c r="D240" s="205" t="e">
        <v>#NAME?</v>
      </c>
      <c r="E240" s="205" t="e">
        <v>#NAME?</v>
      </c>
      <c r="F240" s="205" t="e">
        <v>#NAME?</v>
      </c>
      <c r="G240" s="205" t="e">
        <v>#NAME?</v>
      </c>
      <c r="H240" s="205" t="n">
        <f aca="false">IF(OR(ISBLANK(D240),NOT($C$7="Standard and boosted")),,ROUNDDOWN(('2.0.0 Raid Boss CP Helper'!$D$5+D240)*('2.0.0 Raid Boss CP Helper'!$D$6+E240)^0.5*('2.0.0 Raid Boss CP Helper'!$D$7+F240)^0.5*0.667934^2/10,0))</f>
        <v>0</v>
      </c>
      <c r="K240" s="195"/>
      <c r="L240" s="195"/>
      <c r="M240" s="195"/>
      <c r="N240" s="195"/>
      <c r="O240" s="195"/>
      <c r="P240" s="195"/>
      <c r="Q240" s="195"/>
      <c r="R240" s="195"/>
      <c r="S240" s="195"/>
      <c r="T240" s="195"/>
      <c r="U240" s="195"/>
      <c r="V240" s="195"/>
      <c r="W240" s="195"/>
      <c r="X240" s="195"/>
      <c r="Y240" s="195"/>
      <c r="Z240" s="195"/>
      <c r="AA240" s="195"/>
      <c r="AB240" s="195"/>
      <c r="AC240" s="195"/>
    </row>
    <row r="241" customFormat="false" ht="18" hidden="false" customHeight="true" outlineLevel="0" collapsed="false">
      <c r="A241" s="195"/>
      <c r="B241" s="195"/>
      <c r="C241" s="204" t="e">
        <f aca="false">IF(ISBLANK(D241),,SUM(D241:F241)/45)</f>
        <v>#NAME?</v>
      </c>
      <c r="D241" s="205" t="e">
        <v>#NAME?</v>
      </c>
      <c r="E241" s="205" t="e">
        <v>#NAME?</v>
      </c>
      <c r="F241" s="205" t="e">
        <v>#NAME?</v>
      </c>
      <c r="G241" s="205" t="e">
        <v>#NAME?</v>
      </c>
      <c r="H241" s="205" t="n">
        <f aca="false">IF(OR(ISBLANK(D241),NOT($C$7="Standard and boosted")),,ROUNDDOWN(('2.0.0 Raid Boss CP Helper'!$D$5+D241)*('2.0.0 Raid Boss CP Helper'!$D$6+E241)^0.5*('2.0.0 Raid Boss CP Helper'!$D$7+F241)^0.5*0.667934^2/10,0))</f>
        <v>0</v>
      </c>
      <c r="K241" s="195"/>
      <c r="L241" s="195"/>
      <c r="M241" s="195"/>
      <c r="N241" s="195"/>
      <c r="O241" s="195"/>
      <c r="P241" s="195"/>
      <c r="Q241" s="195"/>
      <c r="R241" s="195"/>
      <c r="S241" s="195"/>
      <c r="T241" s="195"/>
      <c r="U241" s="195"/>
      <c r="V241" s="195"/>
      <c r="W241" s="195"/>
      <c r="X241" s="195"/>
      <c r="Y241" s="195"/>
      <c r="Z241" s="195"/>
      <c r="AA241" s="195"/>
      <c r="AB241" s="195"/>
      <c r="AC241" s="195"/>
    </row>
    <row r="242" customFormat="false" ht="18" hidden="false" customHeight="true" outlineLevel="0" collapsed="false">
      <c r="A242" s="195"/>
      <c r="B242" s="195"/>
      <c r="C242" s="204" t="e">
        <f aca="false">IF(ISBLANK(D242),,SUM(D242:F242)/45)</f>
        <v>#NAME?</v>
      </c>
      <c r="D242" s="205" t="e">
        <v>#NAME?</v>
      </c>
      <c r="E242" s="205" t="e">
        <v>#NAME?</v>
      </c>
      <c r="F242" s="205" t="e">
        <v>#NAME?</v>
      </c>
      <c r="G242" s="205" t="e">
        <v>#NAME?</v>
      </c>
      <c r="H242" s="205" t="n">
        <f aca="false">IF(OR(ISBLANK(D242),NOT($C$7="Standard and boosted")),,ROUNDDOWN(('2.0.0 Raid Boss CP Helper'!$D$5+D242)*('2.0.0 Raid Boss CP Helper'!$D$6+E242)^0.5*('2.0.0 Raid Boss CP Helper'!$D$7+F242)^0.5*0.667934^2/10,0))</f>
        <v>0</v>
      </c>
      <c r="K242" s="195"/>
      <c r="L242" s="195"/>
      <c r="M242" s="195"/>
      <c r="N242" s="195"/>
      <c r="O242" s="195"/>
      <c r="P242" s="195"/>
      <c r="Q242" s="195"/>
      <c r="R242" s="195"/>
      <c r="S242" s="195"/>
      <c r="T242" s="195"/>
      <c r="U242" s="195"/>
      <c r="V242" s="195"/>
      <c r="W242" s="195"/>
      <c r="X242" s="195"/>
      <c r="Y242" s="195"/>
      <c r="Z242" s="195"/>
      <c r="AA242" s="195"/>
      <c r="AB242" s="195"/>
      <c r="AC242" s="195"/>
    </row>
    <row r="243" customFormat="false" ht="18" hidden="false" customHeight="true" outlineLevel="0" collapsed="false">
      <c r="A243" s="195"/>
      <c r="B243" s="195"/>
      <c r="C243" s="204" t="e">
        <f aca="false">IF(ISBLANK(D243),,SUM(D243:F243)/45)</f>
        <v>#NAME?</v>
      </c>
      <c r="D243" s="205" t="e">
        <v>#NAME?</v>
      </c>
      <c r="E243" s="205" t="e">
        <v>#NAME?</v>
      </c>
      <c r="F243" s="205" t="e">
        <v>#NAME?</v>
      </c>
      <c r="G243" s="205" t="e">
        <v>#NAME?</v>
      </c>
      <c r="H243" s="205" t="n">
        <f aca="false">IF(OR(ISBLANK(D243),NOT($C$7="Standard and boosted")),,ROUNDDOWN(('2.0.0 Raid Boss CP Helper'!$D$5+D243)*('2.0.0 Raid Boss CP Helper'!$D$6+E243)^0.5*('2.0.0 Raid Boss CP Helper'!$D$7+F243)^0.5*0.667934^2/10,0))</f>
        <v>0</v>
      </c>
      <c r="K243" s="195"/>
      <c r="L243" s="195"/>
      <c r="M243" s="195"/>
      <c r="N243" s="195"/>
      <c r="O243" s="195"/>
      <c r="P243" s="195"/>
      <c r="Q243" s="195"/>
      <c r="R243" s="195"/>
      <c r="S243" s="195"/>
      <c r="T243" s="195"/>
      <c r="U243" s="195"/>
      <c r="V243" s="195"/>
      <c r="W243" s="195"/>
      <c r="X243" s="195"/>
      <c r="Y243" s="195"/>
      <c r="Z243" s="195"/>
      <c r="AA243" s="195"/>
      <c r="AB243" s="195"/>
      <c r="AC243" s="195"/>
    </row>
    <row r="244" customFormat="false" ht="18" hidden="false" customHeight="true" outlineLevel="0" collapsed="false">
      <c r="A244" s="195"/>
      <c r="B244" s="195"/>
      <c r="C244" s="204" t="e">
        <f aca="false">IF(ISBLANK(D244),,SUM(D244:F244)/45)</f>
        <v>#NAME?</v>
      </c>
      <c r="D244" s="205" t="e">
        <v>#NAME?</v>
      </c>
      <c r="E244" s="205" t="e">
        <v>#NAME?</v>
      </c>
      <c r="F244" s="205" t="e">
        <v>#NAME?</v>
      </c>
      <c r="G244" s="205" t="e">
        <v>#NAME?</v>
      </c>
      <c r="H244" s="205" t="n">
        <f aca="false">IF(OR(ISBLANK(D244),NOT($C$7="Standard and boosted")),,ROUNDDOWN(('2.0.0 Raid Boss CP Helper'!$D$5+D244)*('2.0.0 Raid Boss CP Helper'!$D$6+E244)^0.5*('2.0.0 Raid Boss CP Helper'!$D$7+F244)^0.5*0.667934^2/10,0))</f>
        <v>0</v>
      </c>
      <c r="K244" s="195"/>
      <c r="L244" s="195"/>
      <c r="M244" s="195"/>
      <c r="N244" s="195"/>
      <c r="O244" s="195"/>
      <c r="P244" s="195"/>
      <c r="Q244" s="195"/>
      <c r="R244" s="195"/>
      <c r="S244" s="195"/>
      <c r="T244" s="195"/>
      <c r="U244" s="195"/>
      <c r="V244" s="195"/>
      <c r="W244" s="195"/>
      <c r="X244" s="195"/>
      <c r="Y244" s="195"/>
      <c r="Z244" s="195"/>
      <c r="AA244" s="195"/>
      <c r="AB244" s="195"/>
      <c r="AC244" s="195"/>
    </row>
    <row r="245" customFormat="false" ht="18" hidden="false" customHeight="true" outlineLevel="0" collapsed="false">
      <c r="A245" s="195"/>
      <c r="B245" s="195"/>
      <c r="C245" s="204" t="e">
        <f aca="false">IF(ISBLANK(D245),,SUM(D245:F245)/45)</f>
        <v>#NAME?</v>
      </c>
      <c r="D245" s="205" t="e">
        <v>#NAME?</v>
      </c>
      <c r="E245" s="205" t="e">
        <v>#NAME?</v>
      </c>
      <c r="F245" s="205" t="e">
        <v>#NAME?</v>
      </c>
      <c r="G245" s="205" t="e">
        <v>#NAME?</v>
      </c>
      <c r="H245" s="205" t="n">
        <f aca="false">IF(OR(ISBLANK(D245),NOT($C$7="Standard and boosted")),,ROUNDDOWN(('2.0.0 Raid Boss CP Helper'!$D$5+D245)*('2.0.0 Raid Boss CP Helper'!$D$6+E245)^0.5*('2.0.0 Raid Boss CP Helper'!$D$7+F245)^0.5*0.667934^2/10,0))</f>
        <v>0</v>
      </c>
      <c r="K245" s="195"/>
      <c r="L245" s="195"/>
      <c r="M245" s="195"/>
      <c r="N245" s="195"/>
      <c r="O245" s="195"/>
      <c r="P245" s="195"/>
      <c r="Q245" s="195"/>
      <c r="R245" s="195"/>
      <c r="S245" s="195"/>
      <c r="T245" s="195"/>
      <c r="U245" s="195"/>
      <c r="V245" s="195"/>
      <c r="W245" s="195"/>
      <c r="X245" s="195"/>
      <c r="Y245" s="195"/>
      <c r="Z245" s="195"/>
      <c r="AA245" s="195"/>
      <c r="AB245" s="195"/>
      <c r="AC245" s="195"/>
    </row>
    <row r="246" customFormat="false" ht="18" hidden="false" customHeight="true" outlineLevel="0" collapsed="false">
      <c r="A246" s="195"/>
      <c r="B246" s="195"/>
      <c r="C246" s="204" t="e">
        <f aca="false">IF(ISBLANK(D246),,SUM(D246:F246)/45)</f>
        <v>#NAME?</v>
      </c>
      <c r="D246" s="205" t="e">
        <v>#NAME?</v>
      </c>
      <c r="E246" s="205" t="e">
        <v>#NAME?</v>
      </c>
      <c r="F246" s="205" t="e">
        <v>#NAME?</v>
      </c>
      <c r="G246" s="205" t="e">
        <v>#NAME?</v>
      </c>
      <c r="H246" s="205" t="n">
        <f aca="false">IF(OR(ISBLANK(D246),NOT($C$7="Standard and boosted")),,ROUNDDOWN(('2.0.0 Raid Boss CP Helper'!$D$5+D246)*('2.0.0 Raid Boss CP Helper'!$D$6+E246)^0.5*('2.0.0 Raid Boss CP Helper'!$D$7+F246)^0.5*0.667934^2/10,0))</f>
        <v>0</v>
      </c>
      <c r="K246" s="195"/>
      <c r="L246" s="195"/>
      <c r="M246" s="195"/>
      <c r="N246" s="195"/>
      <c r="O246" s="195"/>
      <c r="P246" s="195"/>
      <c r="Q246" s="195"/>
      <c r="R246" s="195"/>
      <c r="S246" s="195"/>
      <c r="T246" s="195"/>
      <c r="U246" s="195"/>
      <c r="V246" s="195"/>
      <c r="W246" s="195"/>
      <c r="X246" s="195"/>
      <c r="Y246" s="195"/>
      <c r="Z246" s="195"/>
      <c r="AA246" s="195"/>
      <c r="AB246" s="195"/>
      <c r="AC246" s="195"/>
    </row>
    <row r="247" customFormat="false" ht="18" hidden="false" customHeight="true" outlineLevel="0" collapsed="false">
      <c r="A247" s="195"/>
      <c r="B247" s="195"/>
      <c r="C247" s="204" t="e">
        <f aca="false">IF(ISBLANK(D247),,SUM(D247:F247)/45)</f>
        <v>#NAME?</v>
      </c>
      <c r="D247" s="205" t="e">
        <v>#NAME?</v>
      </c>
      <c r="E247" s="205" t="e">
        <v>#NAME?</v>
      </c>
      <c r="F247" s="205" t="e">
        <v>#NAME?</v>
      </c>
      <c r="G247" s="205" t="e">
        <v>#NAME?</v>
      </c>
      <c r="H247" s="205" t="n">
        <f aca="false">IF(OR(ISBLANK(D247),NOT($C$7="Standard and boosted")),,ROUNDDOWN(('2.0.0 Raid Boss CP Helper'!$D$5+D247)*('2.0.0 Raid Boss CP Helper'!$D$6+E247)^0.5*('2.0.0 Raid Boss CP Helper'!$D$7+F247)^0.5*0.667934^2/10,0))</f>
        <v>0</v>
      </c>
      <c r="K247" s="195"/>
      <c r="L247" s="195"/>
      <c r="M247" s="195"/>
      <c r="N247" s="195"/>
      <c r="O247" s="195"/>
      <c r="P247" s="195"/>
      <c r="Q247" s="195"/>
      <c r="R247" s="195"/>
      <c r="S247" s="195"/>
      <c r="T247" s="195"/>
      <c r="U247" s="195"/>
      <c r="V247" s="195"/>
      <c r="W247" s="195"/>
      <c r="X247" s="195"/>
      <c r="Y247" s="195"/>
      <c r="Z247" s="195"/>
      <c r="AA247" s="195"/>
      <c r="AB247" s="195"/>
      <c r="AC247" s="195"/>
    </row>
    <row r="248" customFormat="false" ht="18" hidden="false" customHeight="true" outlineLevel="0" collapsed="false">
      <c r="A248" s="195"/>
      <c r="B248" s="195"/>
      <c r="C248" s="204" t="e">
        <f aca="false">IF(ISBLANK(D248),,SUM(D248:F248)/45)</f>
        <v>#NAME?</v>
      </c>
      <c r="D248" s="205" t="e">
        <v>#NAME?</v>
      </c>
      <c r="E248" s="205" t="e">
        <v>#NAME?</v>
      </c>
      <c r="F248" s="205" t="e">
        <v>#NAME?</v>
      </c>
      <c r="G248" s="205" t="e">
        <v>#NAME?</v>
      </c>
      <c r="H248" s="205" t="n">
        <f aca="false">IF(OR(ISBLANK(D248),NOT($C$7="Standard and boosted")),,ROUNDDOWN(('2.0.0 Raid Boss CP Helper'!$D$5+D248)*('2.0.0 Raid Boss CP Helper'!$D$6+E248)^0.5*('2.0.0 Raid Boss CP Helper'!$D$7+F248)^0.5*0.667934^2/10,0))</f>
        <v>0</v>
      </c>
      <c r="K248" s="195"/>
      <c r="L248" s="195"/>
      <c r="M248" s="195"/>
      <c r="N248" s="195"/>
      <c r="O248" s="195"/>
      <c r="P248" s="195"/>
      <c r="Q248" s="195"/>
      <c r="R248" s="195"/>
      <c r="S248" s="195"/>
      <c r="T248" s="195"/>
      <c r="U248" s="195"/>
      <c r="V248" s="195"/>
      <c r="W248" s="195"/>
      <c r="X248" s="195"/>
      <c r="Y248" s="195"/>
      <c r="Z248" s="195"/>
      <c r="AA248" s="195"/>
      <c r="AB248" s="195"/>
      <c r="AC248" s="195"/>
    </row>
    <row r="249" customFormat="false" ht="18" hidden="false" customHeight="true" outlineLevel="0" collapsed="false">
      <c r="A249" s="195"/>
      <c r="B249" s="195"/>
      <c r="C249" s="204" t="e">
        <f aca="false">IF(ISBLANK(D249),,SUM(D249:F249)/45)</f>
        <v>#NAME?</v>
      </c>
      <c r="D249" s="205" t="e">
        <v>#NAME?</v>
      </c>
      <c r="E249" s="205" t="e">
        <v>#NAME?</v>
      </c>
      <c r="F249" s="205" t="e">
        <v>#NAME?</v>
      </c>
      <c r="G249" s="205" t="e">
        <v>#NAME?</v>
      </c>
      <c r="H249" s="205" t="n">
        <f aca="false">IF(OR(ISBLANK(D249),NOT($C$7="Standard and boosted")),,ROUNDDOWN(('2.0.0 Raid Boss CP Helper'!$D$5+D249)*('2.0.0 Raid Boss CP Helper'!$D$6+E249)^0.5*('2.0.0 Raid Boss CP Helper'!$D$7+F249)^0.5*0.667934^2/10,0))</f>
        <v>0</v>
      </c>
      <c r="K249" s="195"/>
      <c r="L249" s="195"/>
      <c r="M249" s="195"/>
      <c r="N249" s="195"/>
      <c r="O249" s="195"/>
      <c r="P249" s="195"/>
      <c r="Q249" s="195"/>
      <c r="R249" s="195"/>
      <c r="S249" s="195"/>
      <c r="T249" s="195"/>
      <c r="U249" s="195"/>
      <c r="V249" s="195"/>
      <c r="W249" s="195"/>
      <c r="X249" s="195"/>
      <c r="Y249" s="195"/>
      <c r="Z249" s="195"/>
      <c r="AA249" s="195"/>
      <c r="AB249" s="195"/>
      <c r="AC249" s="195"/>
    </row>
    <row r="250" customFormat="false" ht="18" hidden="false" customHeight="true" outlineLevel="0" collapsed="false">
      <c r="A250" s="195"/>
      <c r="B250" s="195"/>
      <c r="C250" s="204" t="e">
        <f aca="false">IF(ISBLANK(D250),,SUM(D250:F250)/45)</f>
        <v>#NAME?</v>
      </c>
      <c r="D250" s="205" t="e">
        <v>#NAME?</v>
      </c>
      <c r="E250" s="205" t="e">
        <v>#NAME?</v>
      </c>
      <c r="F250" s="205" t="e">
        <v>#NAME?</v>
      </c>
      <c r="G250" s="205" t="e">
        <v>#NAME?</v>
      </c>
      <c r="H250" s="205" t="n">
        <f aca="false">IF(OR(ISBLANK(D250),NOT($C$7="Standard and boosted")),,ROUNDDOWN(('2.0.0 Raid Boss CP Helper'!$D$5+D250)*('2.0.0 Raid Boss CP Helper'!$D$6+E250)^0.5*('2.0.0 Raid Boss CP Helper'!$D$7+F250)^0.5*0.667934^2/10,0))</f>
        <v>0</v>
      </c>
      <c r="K250" s="195"/>
      <c r="L250" s="195"/>
      <c r="M250" s="195"/>
      <c r="N250" s="195"/>
      <c r="O250" s="195"/>
      <c r="P250" s="195"/>
      <c r="Q250" s="195"/>
      <c r="R250" s="195"/>
      <c r="S250" s="195"/>
      <c r="T250" s="195"/>
      <c r="U250" s="195"/>
      <c r="V250" s="195"/>
      <c r="W250" s="195"/>
      <c r="X250" s="195"/>
      <c r="Y250" s="195"/>
      <c r="Z250" s="195"/>
      <c r="AA250" s="195"/>
      <c r="AB250" s="195"/>
      <c r="AC250" s="195"/>
    </row>
    <row r="251" customFormat="false" ht="18" hidden="false" customHeight="true" outlineLevel="0" collapsed="false">
      <c r="A251" s="195"/>
      <c r="B251" s="195"/>
      <c r="C251" s="204" t="e">
        <f aca="false">IF(ISBLANK(D251),,SUM(D251:F251)/45)</f>
        <v>#NAME?</v>
      </c>
      <c r="D251" s="205" t="e">
        <v>#NAME?</v>
      </c>
      <c r="E251" s="205" t="e">
        <v>#NAME?</v>
      </c>
      <c r="F251" s="205" t="e">
        <v>#NAME?</v>
      </c>
      <c r="G251" s="205" t="e">
        <v>#NAME?</v>
      </c>
      <c r="H251" s="205" t="n">
        <f aca="false">IF(OR(ISBLANK(D251),NOT($C$7="Standard and boosted")),,ROUNDDOWN(('2.0.0 Raid Boss CP Helper'!$D$5+D251)*('2.0.0 Raid Boss CP Helper'!$D$6+E251)^0.5*('2.0.0 Raid Boss CP Helper'!$D$7+F251)^0.5*0.667934^2/10,0))</f>
        <v>0</v>
      </c>
      <c r="K251" s="195"/>
      <c r="L251" s="195"/>
      <c r="M251" s="195"/>
      <c r="N251" s="195"/>
      <c r="O251" s="195"/>
      <c r="P251" s="195"/>
      <c r="Q251" s="195"/>
      <c r="R251" s="195"/>
      <c r="S251" s="195"/>
      <c r="T251" s="195"/>
      <c r="U251" s="195"/>
      <c r="V251" s="195"/>
      <c r="W251" s="195"/>
      <c r="X251" s="195"/>
      <c r="Y251" s="195"/>
      <c r="Z251" s="195"/>
      <c r="AA251" s="195"/>
      <c r="AB251" s="195"/>
      <c r="AC251" s="195"/>
    </row>
    <row r="252" customFormat="false" ht="18" hidden="false" customHeight="true" outlineLevel="0" collapsed="false">
      <c r="A252" s="195"/>
      <c r="B252" s="195"/>
      <c r="C252" s="204" t="e">
        <f aca="false">IF(ISBLANK(D252),,SUM(D252:F252)/45)</f>
        <v>#NAME?</v>
      </c>
      <c r="D252" s="205" t="e">
        <v>#NAME?</v>
      </c>
      <c r="E252" s="205" t="e">
        <v>#NAME?</v>
      </c>
      <c r="F252" s="205" t="e">
        <v>#NAME?</v>
      </c>
      <c r="G252" s="205" t="e">
        <v>#NAME?</v>
      </c>
      <c r="H252" s="205" t="n">
        <f aca="false">IF(OR(ISBLANK(D252),NOT($C$7="Standard and boosted")),,ROUNDDOWN(('2.0.0 Raid Boss CP Helper'!$D$5+D252)*('2.0.0 Raid Boss CP Helper'!$D$6+E252)^0.5*('2.0.0 Raid Boss CP Helper'!$D$7+F252)^0.5*0.667934^2/10,0))</f>
        <v>0</v>
      </c>
      <c r="K252" s="195"/>
      <c r="L252" s="195"/>
      <c r="M252" s="195"/>
      <c r="N252" s="195"/>
      <c r="O252" s="195"/>
      <c r="P252" s="195"/>
      <c r="Q252" s="195"/>
      <c r="R252" s="195"/>
      <c r="S252" s="195"/>
      <c r="T252" s="195"/>
      <c r="U252" s="195"/>
      <c r="V252" s="195"/>
      <c r="W252" s="195"/>
      <c r="X252" s="195"/>
      <c r="Y252" s="195"/>
      <c r="Z252" s="195"/>
      <c r="AA252" s="195"/>
      <c r="AB252" s="195"/>
      <c r="AC252" s="195"/>
    </row>
    <row r="253" customFormat="false" ht="18" hidden="false" customHeight="true" outlineLevel="0" collapsed="false">
      <c r="A253" s="195"/>
      <c r="B253" s="195"/>
      <c r="C253" s="204" t="e">
        <f aca="false">IF(ISBLANK(D253),,SUM(D253:F253)/45)</f>
        <v>#NAME?</v>
      </c>
      <c r="D253" s="205" t="e">
        <v>#NAME?</v>
      </c>
      <c r="E253" s="205" t="e">
        <v>#NAME?</v>
      </c>
      <c r="F253" s="205" t="e">
        <v>#NAME?</v>
      </c>
      <c r="G253" s="205" t="e">
        <v>#NAME?</v>
      </c>
      <c r="H253" s="205" t="n">
        <f aca="false">IF(OR(ISBLANK(D253),NOT($C$7="Standard and boosted")),,ROUNDDOWN(('2.0.0 Raid Boss CP Helper'!$D$5+D253)*('2.0.0 Raid Boss CP Helper'!$D$6+E253)^0.5*('2.0.0 Raid Boss CP Helper'!$D$7+F253)^0.5*0.667934^2/10,0))</f>
        <v>0</v>
      </c>
      <c r="K253" s="195"/>
      <c r="L253" s="195"/>
      <c r="M253" s="195"/>
      <c r="N253" s="195"/>
      <c r="O253" s="195"/>
      <c r="P253" s="195"/>
      <c r="Q253" s="195"/>
      <c r="R253" s="195"/>
      <c r="S253" s="195"/>
      <c r="T253" s="195"/>
      <c r="U253" s="195"/>
      <c r="V253" s="195"/>
      <c r="W253" s="195"/>
      <c r="X253" s="195"/>
      <c r="Y253" s="195"/>
      <c r="Z253" s="195"/>
      <c r="AA253" s="195"/>
      <c r="AB253" s="195"/>
      <c r="AC253" s="195"/>
    </row>
    <row r="254" customFormat="false" ht="18" hidden="false" customHeight="true" outlineLevel="0" collapsed="false">
      <c r="A254" s="195"/>
      <c r="B254" s="195"/>
      <c r="C254" s="204" t="e">
        <f aca="false">IF(ISBLANK(D254),,SUM(D254:F254)/45)</f>
        <v>#NAME?</v>
      </c>
      <c r="D254" s="205" t="e">
        <v>#NAME?</v>
      </c>
      <c r="E254" s="205" t="e">
        <v>#NAME?</v>
      </c>
      <c r="F254" s="205" t="e">
        <v>#NAME?</v>
      </c>
      <c r="G254" s="205" t="e">
        <v>#NAME?</v>
      </c>
      <c r="H254" s="205" t="n">
        <f aca="false">IF(OR(ISBLANK(D254),NOT($C$7="Standard and boosted")),,ROUNDDOWN(('2.0.0 Raid Boss CP Helper'!$D$5+D254)*('2.0.0 Raid Boss CP Helper'!$D$6+E254)^0.5*('2.0.0 Raid Boss CP Helper'!$D$7+F254)^0.5*0.667934^2/10,0))</f>
        <v>0</v>
      </c>
      <c r="K254" s="195"/>
      <c r="L254" s="195"/>
      <c r="M254" s="195"/>
      <c r="N254" s="195"/>
      <c r="O254" s="195"/>
      <c r="P254" s="195"/>
      <c r="Q254" s="195"/>
      <c r="R254" s="195"/>
      <c r="S254" s="195"/>
      <c r="T254" s="195"/>
      <c r="U254" s="195"/>
      <c r="V254" s="195"/>
      <c r="W254" s="195"/>
      <c r="X254" s="195"/>
      <c r="Y254" s="195"/>
      <c r="Z254" s="195"/>
      <c r="AA254" s="195"/>
      <c r="AB254" s="195"/>
      <c r="AC254" s="195"/>
    </row>
    <row r="255" customFormat="false" ht="15.75" hidden="false" customHeight="true" outlineLevel="0" collapsed="false">
      <c r="D255" s="0" t="e">
        <v>#NAME?</v>
      </c>
      <c r="E255" s="0" t="e">
        <v>#NAME?</v>
      </c>
      <c r="F255" s="0" t="e">
        <v>#NAME?</v>
      </c>
      <c r="G255" s="0" t="e">
        <v>#NAME?</v>
      </c>
    </row>
    <row r="256" customFormat="false" ht="15.75" hidden="false" customHeight="true" outlineLevel="0" collapsed="false">
      <c r="D256" s="0" t="e">
        <v>#NAME?</v>
      </c>
      <c r="E256" s="0" t="e">
        <v>#NAME?</v>
      </c>
      <c r="F256" s="0" t="e">
        <v>#NAME?</v>
      </c>
      <c r="G256" s="0" t="e">
        <v>#NAME?</v>
      </c>
    </row>
    <row r="257" customFormat="false" ht="15.75" hidden="false" customHeight="true" outlineLevel="0" collapsed="false">
      <c r="D257" s="0" t="e">
        <v>#NAME?</v>
      </c>
      <c r="E257" s="0" t="e">
        <v>#NAME?</v>
      </c>
      <c r="F257" s="0" t="e">
        <v>#NAME?</v>
      </c>
      <c r="G257" s="0" t="e">
        <v>#NAME?</v>
      </c>
    </row>
    <row r="258" customFormat="false" ht="15.75" hidden="false" customHeight="true" outlineLevel="0" collapsed="false">
      <c r="D258" s="0" t="e">
        <v>#NAME?</v>
      </c>
      <c r="E258" s="0" t="e">
        <v>#NAME?</v>
      </c>
      <c r="F258" s="0" t="e">
        <v>#NAME?</v>
      </c>
      <c r="G258" s="0" t="e">
        <v>#NAME?</v>
      </c>
    </row>
    <row r="259" customFormat="false" ht="15.75" hidden="false" customHeight="true" outlineLevel="0" collapsed="false">
      <c r="D259" s="0" t="e">
        <v>#NAME?</v>
      </c>
      <c r="E259" s="0" t="e">
        <v>#NAME?</v>
      </c>
      <c r="F259" s="0" t="e">
        <v>#NAME?</v>
      </c>
      <c r="G259" s="0" t="e">
        <v>#NAME?</v>
      </c>
    </row>
    <row r="260" customFormat="false" ht="15.75" hidden="false" customHeight="true" outlineLevel="0" collapsed="false">
      <c r="D260" s="0" t="e">
        <v>#NAME?</v>
      </c>
      <c r="E260" s="0" t="e">
        <v>#NAME?</v>
      </c>
      <c r="F260" s="0" t="e">
        <v>#NAME?</v>
      </c>
      <c r="G260" s="0" t="e">
        <v>#NAME?</v>
      </c>
    </row>
    <row r="261" customFormat="false" ht="15.75" hidden="false" customHeight="true" outlineLevel="0" collapsed="false">
      <c r="D261" s="0" t="e">
        <v>#NAME?</v>
      </c>
      <c r="E261" s="0" t="e">
        <v>#NAME?</v>
      </c>
      <c r="F261" s="0" t="e">
        <v>#NAME?</v>
      </c>
      <c r="G261" s="0" t="e">
        <v>#NAME?</v>
      </c>
    </row>
    <row r="262" customFormat="false" ht="15.75" hidden="false" customHeight="true" outlineLevel="0" collapsed="false">
      <c r="D262" s="0" t="e">
        <v>#NAME?</v>
      </c>
      <c r="E262" s="0" t="e">
        <v>#NAME?</v>
      </c>
      <c r="F262" s="0" t="e">
        <v>#NAME?</v>
      </c>
      <c r="G262" s="0" t="e">
        <v>#NAME?</v>
      </c>
    </row>
    <row r="263" customFormat="false" ht="15.75" hidden="false" customHeight="true" outlineLevel="0" collapsed="false">
      <c r="D263" s="0" t="e">
        <v>#NAME?</v>
      </c>
      <c r="E263" s="0" t="e">
        <v>#NAME?</v>
      </c>
      <c r="F263" s="0" t="e">
        <v>#NAME?</v>
      </c>
      <c r="G263" s="0" t="e">
        <v>#NAME?</v>
      </c>
    </row>
    <row r="264" customFormat="false" ht="15.75" hidden="false" customHeight="true" outlineLevel="0" collapsed="false">
      <c r="D264" s="0" t="e">
        <v>#NAME?</v>
      </c>
      <c r="E264" s="0" t="e">
        <v>#NAME?</v>
      </c>
      <c r="F264" s="0" t="e">
        <v>#NAME?</v>
      </c>
      <c r="G264" s="0" t="e">
        <v>#NAME?</v>
      </c>
    </row>
    <row r="265" customFormat="false" ht="15.75" hidden="false" customHeight="true" outlineLevel="0" collapsed="false">
      <c r="D265" s="0" t="e">
        <v>#NAME?</v>
      </c>
      <c r="E265" s="0" t="e">
        <v>#NAME?</v>
      </c>
      <c r="F265" s="0" t="e">
        <v>#NAME?</v>
      </c>
      <c r="G265" s="0" t="e">
        <v>#NAME?</v>
      </c>
    </row>
    <row r="266" customFormat="false" ht="15.75" hidden="false" customHeight="true" outlineLevel="0" collapsed="false">
      <c r="D266" s="0" t="e">
        <v>#NAME?</v>
      </c>
      <c r="E266" s="0" t="e">
        <v>#NAME?</v>
      </c>
      <c r="F266" s="0" t="e">
        <v>#NAME?</v>
      </c>
      <c r="G266" s="0" t="e">
        <v>#NAME?</v>
      </c>
    </row>
    <row r="267" customFormat="false" ht="15.75" hidden="false" customHeight="true" outlineLevel="0" collapsed="false">
      <c r="D267" s="0" t="e">
        <v>#NAME?</v>
      </c>
      <c r="E267" s="0" t="e">
        <v>#NAME?</v>
      </c>
      <c r="F267" s="0" t="e">
        <v>#NAME?</v>
      </c>
      <c r="G267" s="0" t="e">
        <v>#NAME?</v>
      </c>
    </row>
    <row r="268" customFormat="false" ht="15.75" hidden="false" customHeight="true" outlineLevel="0" collapsed="false">
      <c r="D268" s="0" t="e">
        <v>#NAME?</v>
      </c>
      <c r="E268" s="0" t="e">
        <v>#NAME?</v>
      </c>
      <c r="F268" s="0" t="e">
        <v>#NAME?</v>
      </c>
      <c r="G268" s="0" t="e">
        <v>#NAME?</v>
      </c>
    </row>
    <row r="269" customFormat="false" ht="15.75" hidden="false" customHeight="true" outlineLevel="0" collapsed="false">
      <c r="D269" s="0" t="e">
        <v>#NAME?</v>
      </c>
      <c r="E269" s="0" t="e">
        <v>#NAME?</v>
      </c>
      <c r="F269" s="0" t="e">
        <v>#NAME?</v>
      </c>
      <c r="G269" s="0" t="e">
        <v>#NAME?</v>
      </c>
    </row>
    <row r="270" customFormat="false" ht="15.75" hidden="false" customHeight="true" outlineLevel="0" collapsed="false">
      <c r="D270" s="0" t="e">
        <v>#NAME?</v>
      </c>
      <c r="E270" s="0" t="e">
        <v>#NAME?</v>
      </c>
      <c r="F270" s="0" t="e">
        <v>#NAME?</v>
      </c>
      <c r="G270" s="0" t="e">
        <v>#NAME?</v>
      </c>
    </row>
    <row r="271" customFormat="false" ht="15.75" hidden="false" customHeight="true" outlineLevel="0" collapsed="false">
      <c r="D271" s="0" t="e">
        <v>#NAME?</v>
      </c>
      <c r="E271" s="0" t="e">
        <v>#NAME?</v>
      </c>
      <c r="F271" s="0" t="e">
        <v>#NAME?</v>
      </c>
      <c r="G271" s="0" t="e">
        <v>#NAME?</v>
      </c>
    </row>
    <row r="272" customFormat="false" ht="15.75" hidden="false" customHeight="true" outlineLevel="0" collapsed="false">
      <c r="D272" s="0" t="e">
        <v>#NAME?</v>
      </c>
      <c r="E272" s="0" t="e">
        <v>#NAME?</v>
      </c>
      <c r="F272" s="0" t="e">
        <v>#NAME?</v>
      </c>
      <c r="G272" s="0" t="e">
        <v>#NAME?</v>
      </c>
    </row>
    <row r="273" customFormat="false" ht="15.75" hidden="false" customHeight="true" outlineLevel="0" collapsed="false">
      <c r="D273" s="0" t="e">
        <v>#NAME?</v>
      </c>
      <c r="E273" s="0" t="e">
        <v>#NAME?</v>
      </c>
      <c r="F273" s="0" t="e">
        <v>#NAME?</v>
      </c>
      <c r="G273" s="0" t="e">
        <v>#NAME?</v>
      </c>
    </row>
    <row r="274" customFormat="false" ht="15.75" hidden="false" customHeight="true" outlineLevel="0" collapsed="false">
      <c r="D274" s="0" t="e">
        <v>#NAME?</v>
      </c>
      <c r="E274" s="0" t="e">
        <v>#NAME?</v>
      </c>
      <c r="F274" s="0" t="e">
        <v>#NAME?</v>
      </c>
      <c r="G274" s="0" t="e">
        <v>#NAME?</v>
      </c>
    </row>
    <row r="275" customFormat="false" ht="15.75" hidden="false" customHeight="true" outlineLevel="0" collapsed="false">
      <c r="D275" s="0" t="e">
        <v>#NAME?</v>
      </c>
      <c r="E275" s="0" t="e">
        <v>#NAME?</v>
      </c>
      <c r="F275" s="0" t="e">
        <v>#NAME?</v>
      </c>
      <c r="G275" s="0" t="e">
        <v>#NAME?</v>
      </c>
    </row>
    <row r="276" customFormat="false" ht="15.75" hidden="false" customHeight="true" outlineLevel="0" collapsed="false">
      <c r="D276" s="0" t="e">
        <v>#NAME?</v>
      </c>
      <c r="E276" s="0" t="e">
        <v>#NAME?</v>
      </c>
      <c r="F276" s="0" t="e">
        <v>#NAME?</v>
      </c>
      <c r="G276" s="0" t="e">
        <v>#NAME?</v>
      </c>
    </row>
    <row r="277" customFormat="false" ht="15.75" hidden="false" customHeight="true" outlineLevel="0" collapsed="false">
      <c r="D277" s="0" t="e">
        <v>#NAME?</v>
      </c>
      <c r="E277" s="0" t="e">
        <v>#NAME?</v>
      </c>
      <c r="F277" s="0" t="e">
        <v>#NAME?</v>
      </c>
      <c r="G277" s="0" t="e">
        <v>#NAME?</v>
      </c>
    </row>
    <row r="278" customFormat="false" ht="15.75" hidden="false" customHeight="true" outlineLevel="0" collapsed="false">
      <c r="D278" s="0" t="e">
        <v>#NAME?</v>
      </c>
      <c r="E278" s="0" t="e">
        <v>#NAME?</v>
      </c>
      <c r="F278" s="0" t="e">
        <v>#NAME?</v>
      </c>
      <c r="G278" s="0" t="e">
        <v>#NAME?</v>
      </c>
    </row>
    <row r="279" customFormat="false" ht="15.75" hidden="false" customHeight="true" outlineLevel="0" collapsed="false">
      <c r="D279" s="0" t="e">
        <v>#NAME?</v>
      </c>
      <c r="E279" s="0" t="e">
        <v>#NAME?</v>
      </c>
      <c r="F279" s="0" t="e">
        <v>#NAME?</v>
      </c>
      <c r="G279" s="0" t="e">
        <v>#NAME?</v>
      </c>
    </row>
    <row r="280" customFormat="false" ht="15.75" hidden="false" customHeight="true" outlineLevel="0" collapsed="false">
      <c r="D280" s="0" t="e">
        <v>#NAME?</v>
      </c>
      <c r="E280" s="0" t="e">
        <v>#NAME?</v>
      </c>
      <c r="F280" s="0" t="e">
        <v>#NAME?</v>
      </c>
      <c r="G280" s="0" t="e">
        <v>#NAME?</v>
      </c>
    </row>
    <row r="281" customFormat="false" ht="15.75" hidden="false" customHeight="true" outlineLevel="0" collapsed="false">
      <c r="D281" s="0" t="e">
        <v>#NAME?</v>
      </c>
      <c r="E281" s="0" t="e">
        <v>#NAME?</v>
      </c>
      <c r="F281" s="0" t="e">
        <v>#NAME?</v>
      </c>
      <c r="G281" s="0" t="e">
        <v>#NAME?</v>
      </c>
    </row>
    <row r="282" customFormat="false" ht="15.75" hidden="false" customHeight="true" outlineLevel="0" collapsed="false">
      <c r="D282" s="0" t="e">
        <v>#NAME?</v>
      </c>
      <c r="E282" s="0" t="e">
        <v>#NAME?</v>
      </c>
      <c r="F282" s="0" t="e">
        <v>#NAME?</v>
      </c>
      <c r="G282" s="0" t="e">
        <v>#NAME?</v>
      </c>
    </row>
    <row r="283" customFormat="false" ht="15.75" hidden="false" customHeight="true" outlineLevel="0" collapsed="false">
      <c r="D283" s="0" t="e">
        <v>#NAME?</v>
      </c>
      <c r="E283" s="0" t="e">
        <v>#NAME?</v>
      </c>
      <c r="F283" s="0" t="e">
        <v>#NAME?</v>
      </c>
      <c r="G283" s="0" t="e">
        <v>#NAME?</v>
      </c>
    </row>
    <row r="284" customFormat="false" ht="15.75" hidden="false" customHeight="true" outlineLevel="0" collapsed="false">
      <c r="D284" s="0" t="e">
        <v>#NAME?</v>
      </c>
      <c r="E284" s="0" t="e">
        <v>#NAME?</v>
      </c>
      <c r="F284" s="0" t="e">
        <v>#NAME?</v>
      </c>
      <c r="G284" s="0" t="e">
        <v>#NAME?</v>
      </c>
    </row>
    <row r="285" customFormat="false" ht="15.75" hidden="false" customHeight="true" outlineLevel="0" collapsed="false">
      <c r="D285" s="0" t="e">
        <v>#NAME?</v>
      </c>
      <c r="E285" s="0" t="e">
        <v>#NAME?</v>
      </c>
      <c r="F285" s="0" t="e">
        <v>#NAME?</v>
      </c>
      <c r="G285" s="0" t="e">
        <v>#NAME?</v>
      </c>
    </row>
    <row r="286" customFormat="false" ht="15.75" hidden="false" customHeight="true" outlineLevel="0" collapsed="false">
      <c r="D286" s="0" t="e">
        <v>#NAME?</v>
      </c>
      <c r="E286" s="0" t="e">
        <v>#NAME?</v>
      </c>
      <c r="F286" s="0" t="e">
        <v>#NAME?</v>
      </c>
      <c r="G286" s="0" t="e">
        <v>#NAME?</v>
      </c>
    </row>
    <row r="287" customFormat="false" ht="15.75" hidden="false" customHeight="true" outlineLevel="0" collapsed="false">
      <c r="D287" s="0" t="e">
        <v>#NAME?</v>
      </c>
      <c r="E287" s="0" t="e">
        <v>#NAME?</v>
      </c>
      <c r="F287" s="0" t="e">
        <v>#NAME?</v>
      </c>
      <c r="G287" s="0" t="e">
        <v>#NAME?</v>
      </c>
    </row>
    <row r="288" customFormat="false" ht="15.75" hidden="false" customHeight="true" outlineLevel="0" collapsed="false">
      <c r="D288" s="0" t="e">
        <v>#NAME?</v>
      </c>
      <c r="E288" s="0" t="e">
        <v>#NAME?</v>
      </c>
      <c r="F288" s="0" t="e">
        <v>#NAME?</v>
      </c>
      <c r="G288" s="0" t="e">
        <v>#NAME?</v>
      </c>
    </row>
    <row r="289" customFormat="false" ht="15.75" hidden="false" customHeight="true" outlineLevel="0" collapsed="false">
      <c r="D289" s="0" t="e">
        <v>#NAME?</v>
      </c>
      <c r="E289" s="0" t="e">
        <v>#NAME?</v>
      </c>
      <c r="F289" s="0" t="e">
        <v>#NAME?</v>
      </c>
      <c r="G289" s="0" t="e">
        <v>#NAME?</v>
      </c>
    </row>
    <row r="290" customFormat="false" ht="15.75" hidden="false" customHeight="true" outlineLevel="0" collapsed="false">
      <c r="D290" s="0" t="e">
        <v>#NAME?</v>
      </c>
      <c r="E290" s="0" t="e">
        <v>#NAME?</v>
      </c>
      <c r="F290" s="0" t="e">
        <v>#NAME?</v>
      </c>
      <c r="G290" s="0" t="e">
        <v>#NAME?</v>
      </c>
    </row>
    <row r="291" customFormat="false" ht="15.75" hidden="false" customHeight="true" outlineLevel="0" collapsed="false">
      <c r="D291" s="0" t="e">
        <v>#NAME?</v>
      </c>
      <c r="E291" s="0" t="e">
        <v>#NAME?</v>
      </c>
      <c r="F291" s="0" t="e">
        <v>#NAME?</v>
      </c>
      <c r="G291" s="0" t="e">
        <v>#NAME?</v>
      </c>
    </row>
    <row r="292" customFormat="false" ht="15.75" hidden="false" customHeight="true" outlineLevel="0" collapsed="false">
      <c r="D292" s="0" t="e">
        <v>#NAME?</v>
      </c>
      <c r="E292" s="0" t="e">
        <v>#NAME?</v>
      </c>
      <c r="F292" s="0" t="e">
        <v>#NAME?</v>
      </c>
      <c r="G292" s="0" t="e">
        <v>#NAME?</v>
      </c>
    </row>
    <row r="293" customFormat="false" ht="15.75" hidden="false" customHeight="true" outlineLevel="0" collapsed="false">
      <c r="D293" s="0" t="e">
        <v>#NAME?</v>
      </c>
      <c r="E293" s="0" t="e">
        <v>#NAME?</v>
      </c>
      <c r="F293" s="0" t="e">
        <v>#NAME?</v>
      </c>
      <c r="G293" s="0" t="e">
        <v>#NAME?</v>
      </c>
    </row>
    <row r="294" customFormat="false" ht="15.75" hidden="false" customHeight="true" outlineLevel="0" collapsed="false">
      <c r="D294" s="0" t="e">
        <v>#NAME?</v>
      </c>
      <c r="E294" s="0" t="e">
        <v>#NAME?</v>
      </c>
      <c r="F294" s="0" t="e">
        <v>#NAME?</v>
      </c>
      <c r="G294" s="0" t="e">
        <v>#NAME?</v>
      </c>
    </row>
    <row r="295" customFormat="false" ht="15.75" hidden="false" customHeight="true" outlineLevel="0" collapsed="false">
      <c r="D295" s="0" t="e">
        <v>#NAME?</v>
      </c>
      <c r="E295" s="0" t="e">
        <v>#NAME?</v>
      </c>
      <c r="F295" s="0" t="e">
        <v>#NAME?</v>
      </c>
      <c r="G295" s="0" t="e">
        <v>#NAME?</v>
      </c>
    </row>
    <row r="296" customFormat="false" ht="15.75" hidden="false" customHeight="true" outlineLevel="0" collapsed="false">
      <c r="D296" s="0" t="e">
        <v>#NAME?</v>
      </c>
      <c r="E296" s="0" t="e">
        <v>#NAME?</v>
      </c>
      <c r="F296" s="0" t="e">
        <v>#NAME?</v>
      </c>
      <c r="G296" s="0" t="e">
        <v>#NAME?</v>
      </c>
    </row>
    <row r="297" customFormat="false" ht="15.75" hidden="false" customHeight="true" outlineLevel="0" collapsed="false">
      <c r="D297" s="0" t="e">
        <v>#NAME?</v>
      </c>
      <c r="E297" s="0" t="e">
        <v>#NAME?</v>
      </c>
      <c r="F297" s="0" t="e">
        <v>#NAME?</v>
      </c>
      <c r="G297" s="0" t="e">
        <v>#NAME?</v>
      </c>
    </row>
    <row r="298" customFormat="false" ht="15.75" hidden="false" customHeight="true" outlineLevel="0" collapsed="false">
      <c r="D298" s="0" t="e">
        <v>#NAME?</v>
      </c>
      <c r="E298" s="0" t="e">
        <v>#NAME?</v>
      </c>
      <c r="F298" s="0" t="e">
        <v>#NAME?</v>
      </c>
      <c r="G298" s="0" t="e">
        <v>#NAME?</v>
      </c>
    </row>
    <row r="299" customFormat="false" ht="15.75" hidden="false" customHeight="true" outlineLevel="0" collapsed="false">
      <c r="D299" s="0" t="e">
        <v>#NAME?</v>
      </c>
      <c r="E299" s="0" t="e">
        <v>#NAME?</v>
      </c>
      <c r="F299" s="0" t="e">
        <v>#NAME?</v>
      </c>
      <c r="G299" s="0" t="e">
        <v>#NAME?</v>
      </c>
    </row>
    <row r="300" customFormat="false" ht="15.75" hidden="false" customHeight="true" outlineLevel="0" collapsed="false">
      <c r="D300" s="0" t="e">
        <v>#NAME?</v>
      </c>
      <c r="E300" s="0" t="e">
        <v>#NAME?</v>
      </c>
      <c r="F300" s="0" t="e">
        <v>#NAME?</v>
      </c>
      <c r="G300" s="0" t="e">
        <v>#NAME?</v>
      </c>
    </row>
    <row r="301" customFormat="false" ht="15.75" hidden="false" customHeight="true" outlineLevel="0" collapsed="false">
      <c r="D301" s="0" t="e">
        <v>#NAME?</v>
      </c>
      <c r="E301" s="0" t="e">
        <v>#NAME?</v>
      </c>
      <c r="F301" s="0" t="e">
        <v>#NAME?</v>
      </c>
      <c r="G301" s="0" t="e">
        <v>#NAME?</v>
      </c>
    </row>
    <row r="302" customFormat="false" ht="15.75" hidden="false" customHeight="true" outlineLevel="0" collapsed="false">
      <c r="D302" s="0" t="e">
        <v>#NAME?</v>
      </c>
      <c r="E302" s="0" t="e">
        <v>#NAME?</v>
      </c>
      <c r="F302" s="0" t="e">
        <v>#NAME?</v>
      </c>
      <c r="G302" s="0" t="e">
        <v>#NAME?</v>
      </c>
    </row>
    <row r="303" customFormat="false" ht="15.75" hidden="false" customHeight="true" outlineLevel="0" collapsed="false">
      <c r="D303" s="0" t="e">
        <v>#NAME?</v>
      </c>
      <c r="E303" s="0" t="e">
        <v>#NAME?</v>
      </c>
      <c r="F303" s="0" t="e">
        <v>#NAME?</v>
      </c>
      <c r="G303" s="0" t="e">
        <v>#NAME?</v>
      </c>
    </row>
    <row r="304" customFormat="false" ht="15.75" hidden="false" customHeight="true" outlineLevel="0" collapsed="false">
      <c r="D304" s="0" t="e">
        <v>#NAME?</v>
      </c>
      <c r="E304" s="0" t="e">
        <v>#NAME?</v>
      </c>
      <c r="F304" s="0" t="e">
        <v>#NAME?</v>
      </c>
      <c r="G304" s="0" t="e">
        <v>#NAME?</v>
      </c>
    </row>
    <row r="305" customFormat="false" ht="15.75" hidden="false" customHeight="true" outlineLevel="0" collapsed="false">
      <c r="D305" s="0" t="e">
        <v>#NAME?</v>
      </c>
      <c r="E305" s="0" t="e">
        <v>#NAME?</v>
      </c>
      <c r="F305" s="0" t="e">
        <v>#NAME?</v>
      </c>
      <c r="G305" s="0" t="e">
        <v>#NAME?</v>
      </c>
    </row>
    <row r="306" customFormat="false" ht="15.75" hidden="false" customHeight="true" outlineLevel="0" collapsed="false">
      <c r="D306" s="0" t="e">
        <v>#NAME?</v>
      </c>
      <c r="E306" s="0" t="e">
        <v>#NAME?</v>
      </c>
      <c r="F306" s="0" t="e">
        <v>#NAME?</v>
      </c>
      <c r="G306" s="0" t="e">
        <v>#NAME?</v>
      </c>
    </row>
    <row r="307" customFormat="false" ht="15.75" hidden="false" customHeight="true" outlineLevel="0" collapsed="false">
      <c r="D307" s="0" t="e">
        <v>#NAME?</v>
      </c>
      <c r="E307" s="0" t="e">
        <v>#NAME?</v>
      </c>
      <c r="F307" s="0" t="e">
        <v>#NAME?</v>
      </c>
      <c r="G307" s="0" t="e">
        <v>#NAME?</v>
      </c>
    </row>
    <row r="308" customFormat="false" ht="15.75" hidden="false" customHeight="true" outlineLevel="0" collapsed="false">
      <c r="D308" s="0" t="e">
        <v>#NAME?</v>
      </c>
      <c r="E308" s="0" t="e">
        <v>#NAME?</v>
      </c>
      <c r="F308" s="0" t="e">
        <v>#NAME?</v>
      </c>
      <c r="G308" s="0" t="e">
        <v>#NAME?</v>
      </c>
    </row>
    <row r="309" customFormat="false" ht="15.75" hidden="false" customHeight="true" outlineLevel="0" collapsed="false">
      <c r="D309" s="0" t="e">
        <v>#NAME?</v>
      </c>
      <c r="E309" s="0" t="e">
        <v>#NAME?</v>
      </c>
      <c r="F309" s="0" t="e">
        <v>#NAME?</v>
      </c>
      <c r="G309" s="0" t="e">
        <v>#NAME?</v>
      </c>
    </row>
    <row r="310" customFormat="false" ht="15.75" hidden="false" customHeight="true" outlineLevel="0" collapsed="false">
      <c r="D310" s="0" t="e">
        <v>#NAME?</v>
      </c>
      <c r="E310" s="0" t="e">
        <v>#NAME?</v>
      </c>
      <c r="F310" s="0" t="e">
        <v>#NAME?</v>
      </c>
      <c r="G310" s="0" t="e">
        <v>#NAME?</v>
      </c>
    </row>
    <row r="311" customFormat="false" ht="15.75" hidden="false" customHeight="true" outlineLevel="0" collapsed="false">
      <c r="D311" s="0" t="e">
        <v>#NAME?</v>
      </c>
      <c r="E311" s="0" t="e">
        <v>#NAME?</v>
      </c>
      <c r="F311" s="0" t="e">
        <v>#NAME?</v>
      </c>
      <c r="G311" s="0" t="e">
        <v>#NAME?</v>
      </c>
    </row>
    <row r="312" customFormat="false" ht="15.75" hidden="false" customHeight="true" outlineLevel="0" collapsed="false">
      <c r="D312" s="0" t="e">
        <v>#NAME?</v>
      </c>
      <c r="E312" s="0" t="e">
        <v>#NAME?</v>
      </c>
      <c r="F312" s="0" t="e">
        <v>#NAME?</v>
      </c>
      <c r="G312" s="0" t="e">
        <v>#NAME?</v>
      </c>
    </row>
    <row r="313" customFormat="false" ht="15.75" hidden="false" customHeight="true" outlineLevel="0" collapsed="false">
      <c r="D313" s="0" t="e">
        <v>#NAME?</v>
      </c>
      <c r="E313" s="0" t="e">
        <v>#NAME?</v>
      </c>
      <c r="F313" s="0" t="e">
        <v>#NAME?</v>
      </c>
      <c r="G313" s="0" t="e">
        <v>#NAME?</v>
      </c>
    </row>
    <row r="314" customFormat="false" ht="15.75" hidden="false" customHeight="true" outlineLevel="0" collapsed="false">
      <c r="D314" s="0" t="e">
        <v>#NAME?</v>
      </c>
      <c r="E314" s="0" t="e">
        <v>#NAME?</v>
      </c>
      <c r="F314" s="0" t="e">
        <v>#NAME?</v>
      </c>
      <c r="G314" s="0" t="e">
        <v>#NAME?</v>
      </c>
    </row>
    <row r="315" customFormat="false" ht="15.75" hidden="false" customHeight="true" outlineLevel="0" collapsed="false">
      <c r="D315" s="0" t="e">
        <v>#NAME?</v>
      </c>
      <c r="E315" s="0" t="e">
        <v>#NAME?</v>
      </c>
      <c r="F315" s="0" t="e">
        <v>#NAME?</v>
      </c>
      <c r="G315" s="0" t="e">
        <v>#NAME?</v>
      </c>
    </row>
    <row r="316" customFormat="false" ht="15.75" hidden="false" customHeight="true" outlineLevel="0" collapsed="false">
      <c r="D316" s="0" t="e">
        <v>#NAME?</v>
      </c>
      <c r="E316" s="0" t="e">
        <v>#NAME?</v>
      </c>
      <c r="F316" s="0" t="e">
        <v>#NAME?</v>
      </c>
      <c r="G316" s="0" t="e">
        <v>#NAME?</v>
      </c>
    </row>
    <row r="317" customFormat="false" ht="15.75" hidden="false" customHeight="true" outlineLevel="0" collapsed="false">
      <c r="D317" s="0" t="e">
        <v>#NAME?</v>
      </c>
      <c r="E317" s="0" t="e">
        <v>#NAME?</v>
      </c>
      <c r="F317" s="0" t="e">
        <v>#NAME?</v>
      </c>
      <c r="G317" s="0" t="e">
        <v>#NAME?</v>
      </c>
    </row>
    <row r="318" customFormat="false" ht="15.75" hidden="false" customHeight="true" outlineLevel="0" collapsed="false">
      <c r="D318" s="0" t="e">
        <v>#NAME?</v>
      </c>
      <c r="E318" s="0" t="e">
        <v>#NAME?</v>
      </c>
      <c r="F318" s="0" t="e">
        <v>#NAME?</v>
      </c>
      <c r="G318" s="0" t="e">
        <v>#NAME?</v>
      </c>
    </row>
    <row r="319" customFormat="false" ht="15.75" hidden="false" customHeight="true" outlineLevel="0" collapsed="false">
      <c r="D319" s="0" t="e">
        <v>#NAME?</v>
      </c>
      <c r="E319" s="0" t="e">
        <v>#NAME?</v>
      </c>
      <c r="F319" s="0" t="e">
        <v>#NAME?</v>
      </c>
      <c r="G319" s="0" t="e">
        <v>#NAME?</v>
      </c>
    </row>
    <row r="320" customFormat="false" ht="15.75" hidden="false" customHeight="true" outlineLevel="0" collapsed="false">
      <c r="D320" s="0" t="e">
        <v>#NAME?</v>
      </c>
      <c r="E320" s="0" t="e">
        <v>#NAME?</v>
      </c>
      <c r="F320" s="0" t="e">
        <v>#NAME?</v>
      </c>
      <c r="G320" s="0" t="e">
        <v>#NAME?</v>
      </c>
    </row>
    <row r="321" customFormat="false" ht="15.75" hidden="false" customHeight="true" outlineLevel="0" collapsed="false">
      <c r="D321" s="0" t="e">
        <v>#NAME?</v>
      </c>
      <c r="E321" s="0" t="e">
        <v>#NAME?</v>
      </c>
      <c r="F321" s="0" t="e">
        <v>#NAME?</v>
      </c>
      <c r="G321" s="0" t="e">
        <v>#NAME?</v>
      </c>
    </row>
    <row r="322" customFormat="false" ht="15.75" hidden="false" customHeight="true" outlineLevel="0" collapsed="false">
      <c r="D322" s="0" t="e">
        <v>#NAME?</v>
      </c>
      <c r="E322" s="0" t="e">
        <v>#NAME?</v>
      </c>
      <c r="F322" s="0" t="e">
        <v>#NAME?</v>
      </c>
      <c r="G322" s="0" t="e">
        <v>#NAME?</v>
      </c>
    </row>
    <row r="323" customFormat="false" ht="15.75" hidden="false" customHeight="true" outlineLevel="0" collapsed="false">
      <c r="D323" s="0" t="e">
        <v>#NAME?</v>
      </c>
      <c r="E323" s="0" t="e">
        <v>#NAME?</v>
      </c>
      <c r="F323" s="0" t="e">
        <v>#NAME?</v>
      </c>
      <c r="G323" s="0" t="e">
        <v>#NAME?</v>
      </c>
    </row>
    <row r="324" customFormat="false" ht="15.75" hidden="false" customHeight="true" outlineLevel="0" collapsed="false">
      <c r="D324" s="0" t="e">
        <v>#NAME?</v>
      </c>
      <c r="E324" s="0" t="e">
        <v>#NAME?</v>
      </c>
      <c r="F324" s="0" t="e">
        <v>#NAME?</v>
      </c>
      <c r="G324" s="0" t="e">
        <v>#NAME?</v>
      </c>
    </row>
    <row r="325" customFormat="false" ht="15.75" hidden="false" customHeight="true" outlineLevel="0" collapsed="false">
      <c r="D325" s="0" t="e">
        <v>#NAME?</v>
      </c>
      <c r="E325" s="0" t="e">
        <v>#NAME?</v>
      </c>
      <c r="F325" s="0" t="e">
        <v>#NAME?</v>
      </c>
      <c r="G325" s="0" t="e">
        <v>#NAME?</v>
      </c>
    </row>
    <row r="326" customFormat="false" ht="15.75" hidden="false" customHeight="true" outlineLevel="0" collapsed="false">
      <c r="D326" s="0" t="e">
        <v>#NAME?</v>
      </c>
      <c r="E326" s="0" t="e">
        <v>#NAME?</v>
      </c>
      <c r="F326" s="0" t="e">
        <v>#NAME?</v>
      </c>
      <c r="G326" s="0" t="e">
        <v>#NAME?</v>
      </c>
    </row>
    <row r="327" customFormat="false" ht="15.75" hidden="false" customHeight="true" outlineLevel="0" collapsed="false">
      <c r="D327" s="0" t="e">
        <v>#NAME?</v>
      </c>
      <c r="E327" s="0" t="e">
        <v>#NAME?</v>
      </c>
      <c r="F327" s="0" t="e">
        <v>#NAME?</v>
      </c>
      <c r="G327" s="0" t="e">
        <v>#NAME?</v>
      </c>
    </row>
    <row r="328" customFormat="false" ht="15.75" hidden="false" customHeight="true" outlineLevel="0" collapsed="false">
      <c r="D328" s="0" t="e">
        <v>#NAME?</v>
      </c>
      <c r="E328" s="0" t="e">
        <v>#NAME?</v>
      </c>
      <c r="F328" s="0" t="e">
        <v>#NAME?</v>
      </c>
      <c r="G328" s="0" t="e">
        <v>#NAME?</v>
      </c>
    </row>
    <row r="329" customFormat="false" ht="15.75" hidden="false" customHeight="true" outlineLevel="0" collapsed="false">
      <c r="D329" s="0" t="e">
        <v>#NAME?</v>
      </c>
      <c r="E329" s="0" t="e">
        <v>#NAME?</v>
      </c>
      <c r="F329" s="0" t="e">
        <v>#NAME?</v>
      </c>
      <c r="G329" s="0" t="e">
        <v>#NAME?</v>
      </c>
    </row>
    <row r="330" customFormat="false" ht="15.75" hidden="false" customHeight="true" outlineLevel="0" collapsed="false">
      <c r="D330" s="0" t="e">
        <v>#NAME?</v>
      </c>
      <c r="E330" s="0" t="e">
        <v>#NAME?</v>
      </c>
      <c r="F330" s="0" t="e">
        <v>#NAME?</v>
      </c>
      <c r="G330" s="0" t="e">
        <v>#NAME?</v>
      </c>
    </row>
    <row r="331" customFormat="false" ht="15.75" hidden="false" customHeight="true" outlineLevel="0" collapsed="false">
      <c r="D331" s="0" t="e">
        <v>#NAME?</v>
      </c>
      <c r="E331" s="0" t="e">
        <v>#NAME?</v>
      </c>
      <c r="F331" s="0" t="e">
        <v>#NAME?</v>
      </c>
      <c r="G331" s="0" t="e">
        <v>#NAME?</v>
      </c>
    </row>
    <row r="332" customFormat="false" ht="15.75" hidden="false" customHeight="true" outlineLevel="0" collapsed="false">
      <c r="D332" s="0" t="e">
        <v>#NAME?</v>
      </c>
      <c r="E332" s="0" t="e">
        <v>#NAME?</v>
      </c>
      <c r="F332" s="0" t="e">
        <v>#NAME?</v>
      </c>
      <c r="G332" s="0" t="e">
        <v>#NAME?</v>
      </c>
    </row>
    <row r="333" customFormat="false" ht="15.75" hidden="false" customHeight="true" outlineLevel="0" collapsed="false">
      <c r="D333" s="0" t="e">
        <v>#NAME?</v>
      </c>
      <c r="E333" s="0" t="e">
        <v>#NAME?</v>
      </c>
      <c r="F333" s="0" t="e">
        <v>#NAME?</v>
      </c>
      <c r="G333" s="0" t="e">
        <v>#NAME?</v>
      </c>
    </row>
    <row r="334" customFormat="false" ht="15.75" hidden="false" customHeight="true" outlineLevel="0" collapsed="false">
      <c r="D334" s="0" t="e">
        <v>#NAME?</v>
      </c>
      <c r="E334" s="0" t="e">
        <v>#NAME?</v>
      </c>
      <c r="F334" s="0" t="e">
        <v>#NAME?</v>
      </c>
      <c r="G334" s="0" t="e">
        <v>#NAME?</v>
      </c>
    </row>
    <row r="335" customFormat="false" ht="15.75" hidden="false" customHeight="true" outlineLevel="0" collapsed="false">
      <c r="D335" s="0" t="e">
        <v>#NAME?</v>
      </c>
      <c r="E335" s="0" t="e">
        <v>#NAME?</v>
      </c>
      <c r="F335" s="0" t="e">
        <v>#NAME?</v>
      </c>
      <c r="G335" s="0" t="e">
        <v>#NAME?</v>
      </c>
    </row>
    <row r="336" customFormat="false" ht="15.75" hidden="false" customHeight="true" outlineLevel="0" collapsed="false">
      <c r="D336" s="0" t="e">
        <v>#NAME?</v>
      </c>
      <c r="E336" s="0" t="e">
        <v>#NAME?</v>
      </c>
      <c r="F336" s="0" t="e">
        <v>#NAME?</v>
      </c>
      <c r="G336" s="0" t="e">
        <v>#NAME?</v>
      </c>
    </row>
    <row r="337" customFormat="false" ht="15.75" hidden="false" customHeight="true" outlineLevel="0" collapsed="false">
      <c r="D337" s="0" t="e">
        <v>#NAME?</v>
      </c>
      <c r="E337" s="0" t="e">
        <v>#NAME?</v>
      </c>
      <c r="F337" s="0" t="e">
        <v>#NAME?</v>
      </c>
      <c r="G337" s="0" t="e">
        <v>#NAME?</v>
      </c>
    </row>
    <row r="338" customFormat="false" ht="15.75" hidden="false" customHeight="true" outlineLevel="0" collapsed="false">
      <c r="D338" s="0" t="e">
        <v>#NAME?</v>
      </c>
      <c r="E338" s="0" t="e">
        <v>#NAME?</v>
      </c>
      <c r="F338" s="0" t="e">
        <v>#NAME?</v>
      </c>
      <c r="G338" s="0" t="e">
        <v>#NAME?</v>
      </c>
    </row>
    <row r="339" customFormat="false" ht="15.75" hidden="false" customHeight="true" outlineLevel="0" collapsed="false">
      <c r="D339" s="0" t="e">
        <v>#NAME?</v>
      </c>
      <c r="E339" s="0" t="e">
        <v>#NAME?</v>
      </c>
      <c r="F339" s="0" t="e">
        <v>#NAME?</v>
      </c>
      <c r="G339" s="0" t="e">
        <v>#NAME?</v>
      </c>
    </row>
    <row r="340" customFormat="false" ht="15.75" hidden="false" customHeight="true" outlineLevel="0" collapsed="false">
      <c r="D340" s="0" t="e">
        <v>#NAME?</v>
      </c>
      <c r="E340" s="0" t="e">
        <v>#NAME?</v>
      </c>
      <c r="F340" s="0" t="e">
        <v>#NAME?</v>
      </c>
      <c r="G340" s="0" t="e">
        <v>#NAME?</v>
      </c>
    </row>
    <row r="341" customFormat="false" ht="15.75" hidden="false" customHeight="true" outlineLevel="0" collapsed="false">
      <c r="D341" s="0" t="e">
        <v>#NAME?</v>
      </c>
      <c r="E341" s="0" t="e">
        <v>#NAME?</v>
      </c>
      <c r="F341" s="0" t="e">
        <v>#NAME?</v>
      </c>
      <c r="G341" s="0" t="e">
        <v>#NAME?</v>
      </c>
    </row>
    <row r="342" customFormat="false" ht="15.75" hidden="false" customHeight="true" outlineLevel="0" collapsed="false">
      <c r="D342" s="0" t="e">
        <v>#NAME?</v>
      </c>
      <c r="E342" s="0" t="e">
        <v>#NAME?</v>
      </c>
      <c r="F342" s="0" t="e">
        <v>#NAME?</v>
      </c>
      <c r="G342" s="0" t="e">
        <v>#NAME?</v>
      </c>
    </row>
    <row r="343" customFormat="false" ht="15.75" hidden="false" customHeight="true" outlineLevel="0" collapsed="false">
      <c r="D343" s="0" t="e">
        <v>#NAME?</v>
      </c>
      <c r="E343" s="0" t="e">
        <v>#NAME?</v>
      </c>
      <c r="F343" s="0" t="e">
        <v>#NAME?</v>
      </c>
      <c r="G343" s="0" t="e">
        <v>#NAME?</v>
      </c>
    </row>
    <row r="344" customFormat="false" ht="15.75" hidden="false" customHeight="true" outlineLevel="0" collapsed="false">
      <c r="D344" s="0" t="e">
        <v>#NAME?</v>
      </c>
      <c r="E344" s="0" t="e">
        <v>#NAME?</v>
      </c>
      <c r="F344" s="0" t="e">
        <v>#NAME?</v>
      </c>
      <c r="G344" s="0" t="e">
        <v>#NAME?</v>
      </c>
    </row>
    <row r="345" customFormat="false" ht="15.75" hidden="false" customHeight="true" outlineLevel="0" collapsed="false">
      <c r="D345" s="0" t="e">
        <v>#NAME?</v>
      </c>
      <c r="E345" s="0" t="e">
        <v>#NAME?</v>
      </c>
      <c r="F345" s="0" t="e">
        <v>#NAME?</v>
      </c>
      <c r="G345" s="0" t="e">
        <v>#NAME?</v>
      </c>
    </row>
    <row r="346" customFormat="false" ht="15.75" hidden="false" customHeight="true" outlineLevel="0" collapsed="false">
      <c r="D346" s="0" t="e">
        <v>#NAME?</v>
      </c>
      <c r="E346" s="0" t="e">
        <v>#NAME?</v>
      </c>
      <c r="F346" s="0" t="e">
        <v>#NAME?</v>
      </c>
      <c r="G346" s="0" t="e">
        <v>#NAME?</v>
      </c>
    </row>
    <row r="347" customFormat="false" ht="15.75" hidden="false" customHeight="true" outlineLevel="0" collapsed="false">
      <c r="D347" s="0" t="e">
        <v>#NAME?</v>
      </c>
      <c r="E347" s="0" t="e">
        <v>#NAME?</v>
      </c>
      <c r="F347" s="0" t="e">
        <v>#NAME?</v>
      </c>
      <c r="G347" s="0" t="e">
        <v>#NAME?</v>
      </c>
    </row>
    <row r="348" customFormat="false" ht="15.75" hidden="false" customHeight="true" outlineLevel="0" collapsed="false">
      <c r="D348" s="0" t="e">
        <v>#NAME?</v>
      </c>
      <c r="E348" s="0" t="e">
        <v>#NAME?</v>
      </c>
      <c r="F348" s="0" t="e">
        <v>#NAME?</v>
      </c>
      <c r="G348" s="0" t="e">
        <v>#NAME?</v>
      </c>
    </row>
    <row r="349" customFormat="false" ht="15.75" hidden="false" customHeight="true" outlineLevel="0" collapsed="false">
      <c r="D349" s="0" t="e">
        <v>#NAME?</v>
      </c>
      <c r="E349" s="0" t="e">
        <v>#NAME?</v>
      </c>
      <c r="F349" s="0" t="e">
        <v>#NAME?</v>
      </c>
      <c r="G349" s="0" t="e">
        <v>#NAME?</v>
      </c>
    </row>
    <row r="350" customFormat="false" ht="15.75" hidden="false" customHeight="true" outlineLevel="0" collapsed="false">
      <c r="D350" s="0" t="e">
        <v>#NAME?</v>
      </c>
      <c r="E350" s="0" t="e">
        <v>#NAME?</v>
      </c>
      <c r="F350" s="0" t="e">
        <v>#NAME?</v>
      </c>
      <c r="G350" s="0" t="e">
        <v>#NAME?</v>
      </c>
    </row>
    <row r="351" customFormat="false" ht="15.75" hidden="false" customHeight="true" outlineLevel="0" collapsed="false">
      <c r="D351" s="0" t="e">
        <v>#NAME?</v>
      </c>
      <c r="E351" s="0" t="e">
        <v>#NAME?</v>
      </c>
      <c r="F351" s="0" t="e">
        <v>#NAME?</v>
      </c>
      <c r="G351" s="0" t="e">
        <v>#NAME?</v>
      </c>
    </row>
    <row r="352" customFormat="false" ht="15.75" hidden="false" customHeight="true" outlineLevel="0" collapsed="false">
      <c r="D352" s="0" t="e">
        <v>#NAME?</v>
      </c>
      <c r="E352" s="0" t="e">
        <v>#NAME?</v>
      </c>
      <c r="F352" s="0" t="e">
        <v>#NAME?</v>
      </c>
      <c r="G352" s="0" t="e">
        <v>#NAME?</v>
      </c>
    </row>
    <row r="353" customFormat="false" ht="15.75" hidden="false" customHeight="true" outlineLevel="0" collapsed="false">
      <c r="D353" s="0" t="e">
        <v>#NAME?</v>
      </c>
      <c r="E353" s="0" t="e">
        <v>#NAME?</v>
      </c>
      <c r="F353" s="0" t="e">
        <v>#NAME?</v>
      </c>
      <c r="G353" s="0" t="e">
        <v>#NAME?</v>
      </c>
    </row>
    <row r="354" customFormat="false" ht="15.75" hidden="false" customHeight="true" outlineLevel="0" collapsed="false">
      <c r="D354" s="0" t="e">
        <v>#NAME?</v>
      </c>
      <c r="E354" s="0" t="e">
        <v>#NAME?</v>
      </c>
      <c r="F354" s="0" t="e">
        <v>#NAME?</v>
      </c>
      <c r="G354" s="0" t="e">
        <v>#NAME?</v>
      </c>
    </row>
    <row r="355" customFormat="false" ht="15.75" hidden="false" customHeight="true" outlineLevel="0" collapsed="false">
      <c r="D355" s="0" t="e">
        <v>#NAME?</v>
      </c>
      <c r="E355" s="0" t="e">
        <v>#NAME?</v>
      </c>
      <c r="F355" s="0" t="e">
        <v>#NAME?</v>
      </c>
      <c r="G355" s="0" t="e">
        <v>#NAME?</v>
      </c>
    </row>
    <row r="356" customFormat="false" ht="15.75" hidden="false" customHeight="true" outlineLevel="0" collapsed="false">
      <c r="D356" s="0" t="e">
        <v>#NAME?</v>
      </c>
      <c r="E356" s="0" t="e">
        <v>#NAME?</v>
      </c>
      <c r="F356" s="0" t="e">
        <v>#NAME?</v>
      </c>
      <c r="G356" s="0" t="e">
        <v>#NAME?</v>
      </c>
    </row>
    <row r="357" customFormat="false" ht="15.75" hidden="false" customHeight="true" outlineLevel="0" collapsed="false">
      <c r="D357" s="0" t="e">
        <v>#NAME?</v>
      </c>
      <c r="E357" s="0" t="e">
        <v>#NAME?</v>
      </c>
      <c r="F357" s="0" t="e">
        <v>#NAME?</v>
      </c>
      <c r="G357" s="0" t="e">
        <v>#NAME?</v>
      </c>
    </row>
    <row r="358" customFormat="false" ht="15.75" hidden="false" customHeight="true" outlineLevel="0" collapsed="false">
      <c r="D358" s="0" t="e">
        <v>#NAME?</v>
      </c>
      <c r="E358" s="0" t="e">
        <v>#NAME?</v>
      </c>
      <c r="F358" s="0" t="e">
        <v>#NAME?</v>
      </c>
      <c r="G358" s="0" t="e">
        <v>#NAME?</v>
      </c>
    </row>
    <row r="359" customFormat="false" ht="15.75" hidden="false" customHeight="true" outlineLevel="0" collapsed="false">
      <c r="D359" s="0" t="e">
        <v>#NAME?</v>
      </c>
      <c r="E359" s="0" t="e">
        <v>#NAME?</v>
      </c>
      <c r="F359" s="0" t="e">
        <v>#NAME?</v>
      </c>
      <c r="G359" s="0" t="e">
        <v>#NAME?</v>
      </c>
    </row>
    <row r="360" customFormat="false" ht="15.75" hidden="false" customHeight="true" outlineLevel="0" collapsed="false">
      <c r="D360" s="0" t="e">
        <v>#NAME?</v>
      </c>
      <c r="E360" s="0" t="e">
        <v>#NAME?</v>
      </c>
      <c r="F360" s="0" t="e">
        <v>#NAME?</v>
      </c>
      <c r="G360" s="0" t="e">
        <v>#NAME?</v>
      </c>
    </row>
    <row r="361" customFormat="false" ht="15.75" hidden="false" customHeight="true" outlineLevel="0" collapsed="false">
      <c r="D361" s="0" t="e">
        <v>#NAME?</v>
      </c>
      <c r="E361" s="0" t="e">
        <v>#NAME?</v>
      </c>
      <c r="F361" s="0" t="e">
        <v>#NAME?</v>
      </c>
      <c r="G361" s="0" t="e">
        <v>#NAME?</v>
      </c>
    </row>
    <row r="362" customFormat="false" ht="15.75" hidden="false" customHeight="true" outlineLevel="0" collapsed="false">
      <c r="D362" s="0" t="e">
        <v>#NAME?</v>
      </c>
      <c r="E362" s="0" t="e">
        <v>#NAME?</v>
      </c>
      <c r="F362" s="0" t="e">
        <v>#NAME?</v>
      </c>
      <c r="G362" s="0" t="e">
        <v>#NAME?</v>
      </c>
    </row>
    <row r="363" customFormat="false" ht="15.75" hidden="false" customHeight="true" outlineLevel="0" collapsed="false">
      <c r="D363" s="0" t="e">
        <v>#NAME?</v>
      </c>
      <c r="E363" s="0" t="e">
        <v>#NAME?</v>
      </c>
      <c r="F363" s="0" t="e">
        <v>#NAME?</v>
      </c>
      <c r="G363" s="0" t="e">
        <v>#NAME?</v>
      </c>
    </row>
    <row r="364" customFormat="false" ht="15.75" hidden="false" customHeight="true" outlineLevel="0" collapsed="false">
      <c r="D364" s="0" t="e">
        <v>#NAME?</v>
      </c>
      <c r="E364" s="0" t="e">
        <v>#NAME?</v>
      </c>
      <c r="F364" s="0" t="e">
        <v>#NAME?</v>
      </c>
      <c r="G364" s="0" t="e">
        <v>#NAME?</v>
      </c>
    </row>
    <row r="365" customFormat="false" ht="15.75" hidden="false" customHeight="true" outlineLevel="0" collapsed="false">
      <c r="D365" s="0" t="e">
        <v>#NAME?</v>
      </c>
      <c r="E365" s="0" t="e">
        <v>#NAME?</v>
      </c>
      <c r="F365" s="0" t="e">
        <v>#NAME?</v>
      </c>
      <c r="G365" s="0" t="e">
        <v>#NAME?</v>
      </c>
    </row>
    <row r="366" customFormat="false" ht="15.75" hidden="false" customHeight="true" outlineLevel="0" collapsed="false">
      <c r="D366" s="0" t="e">
        <v>#NAME?</v>
      </c>
      <c r="E366" s="0" t="e">
        <v>#NAME?</v>
      </c>
      <c r="F366" s="0" t="e">
        <v>#NAME?</v>
      </c>
      <c r="G366" s="0" t="e">
        <v>#NAME?</v>
      </c>
    </row>
    <row r="367" customFormat="false" ht="15.75" hidden="false" customHeight="true" outlineLevel="0" collapsed="false">
      <c r="D367" s="0" t="e">
        <v>#NAME?</v>
      </c>
      <c r="E367" s="0" t="e">
        <v>#NAME?</v>
      </c>
      <c r="F367" s="0" t="e">
        <v>#NAME?</v>
      </c>
      <c r="G367" s="0" t="e">
        <v>#NAME?</v>
      </c>
    </row>
    <row r="368" customFormat="false" ht="15.75" hidden="false" customHeight="true" outlineLevel="0" collapsed="false">
      <c r="D368" s="0" t="e">
        <v>#NAME?</v>
      </c>
      <c r="E368" s="0" t="e">
        <v>#NAME?</v>
      </c>
      <c r="F368" s="0" t="e">
        <v>#NAME?</v>
      </c>
      <c r="G368" s="0" t="e">
        <v>#NAME?</v>
      </c>
    </row>
    <row r="369" customFormat="false" ht="15.75" hidden="false" customHeight="true" outlineLevel="0" collapsed="false">
      <c r="D369" s="0" t="e">
        <v>#NAME?</v>
      </c>
      <c r="E369" s="0" t="e">
        <v>#NAME?</v>
      </c>
      <c r="F369" s="0" t="e">
        <v>#NAME?</v>
      </c>
      <c r="G369" s="0" t="e">
        <v>#NAME?</v>
      </c>
    </row>
    <row r="370" customFormat="false" ht="15.75" hidden="false" customHeight="true" outlineLevel="0" collapsed="false">
      <c r="D370" s="0" t="e">
        <v>#NAME?</v>
      </c>
      <c r="E370" s="0" t="e">
        <v>#NAME?</v>
      </c>
      <c r="F370" s="0" t="e">
        <v>#NAME?</v>
      </c>
      <c r="G370" s="0" t="e">
        <v>#NAME?</v>
      </c>
    </row>
    <row r="371" customFormat="false" ht="15.75" hidden="false" customHeight="true" outlineLevel="0" collapsed="false">
      <c r="D371" s="0" t="e">
        <v>#NAME?</v>
      </c>
      <c r="E371" s="0" t="e">
        <v>#NAME?</v>
      </c>
      <c r="F371" s="0" t="e">
        <v>#NAME?</v>
      </c>
      <c r="G371" s="0" t="e">
        <v>#NAME?</v>
      </c>
    </row>
    <row r="372" customFormat="false" ht="15.75" hidden="false" customHeight="true" outlineLevel="0" collapsed="false">
      <c r="D372" s="0" t="e">
        <v>#NAME?</v>
      </c>
      <c r="E372" s="0" t="e">
        <v>#NAME?</v>
      </c>
      <c r="F372" s="0" t="e">
        <v>#NAME?</v>
      </c>
      <c r="G372" s="0" t="e">
        <v>#NAME?</v>
      </c>
    </row>
    <row r="373" customFormat="false" ht="15.75" hidden="false" customHeight="true" outlineLevel="0" collapsed="false">
      <c r="D373" s="0" t="e">
        <v>#NAME?</v>
      </c>
      <c r="E373" s="0" t="e">
        <v>#NAME?</v>
      </c>
      <c r="F373" s="0" t="e">
        <v>#NAME?</v>
      </c>
      <c r="G373" s="0" t="e">
        <v>#NAME?</v>
      </c>
    </row>
    <row r="374" customFormat="false" ht="15.75" hidden="false" customHeight="true" outlineLevel="0" collapsed="false">
      <c r="D374" s="0" t="e">
        <v>#NAME?</v>
      </c>
      <c r="E374" s="0" t="e">
        <v>#NAME?</v>
      </c>
      <c r="F374" s="0" t="e">
        <v>#NAME?</v>
      </c>
      <c r="G374" s="0" t="e">
        <v>#NAME?</v>
      </c>
    </row>
    <row r="375" customFormat="false" ht="15.75" hidden="false" customHeight="true" outlineLevel="0" collapsed="false">
      <c r="D375" s="0" t="e">
        <v>#NAME?</v>
      </c>
      <c r="E375" s="0" t="e">
        <v>#NAME?</v>
      </c>
      <c r="F375" s="0" t="e">
        <v>#NAME?</v>
      </c>
      <c r="G375" s="0" t="e">
        <v>#NAME?</v>
      </c>
    </row>
    <row r="376" customFormat="false" ht="15.75" hidden="false" customHeight="true" outlineLevel="0" collapsed="false">
      <c r="D376" s="0" t="e">
        <v>#NAME?</v>
      </c>
      <c r="E376" s="0" t="e">
        <v>#NAME?</v>
      </c>
      <c r="F376" s="0" t="e">
        <v>#NAME?</v>
      </c>
      <c r="G376" s="0" t="e">
        <v>#NAME?</v>
      </c>
    </row>
    <row r="377" customFormat="false" ht="15.75" hidden="false" customHeight="true" outlineLevel="0" collapsed="false">
      <c r="D377" s="0" t="e">
        <v>#NAME?</v>
      </c>
      <c r="E377" s="0" t="e">
        <v>#NAME?</v>
      </c>
      <c r="F377" s="0" t="e">
        <v>#NAME?</v>
      </c>
      <c r="G377" s="0" t="e">
        <v>#NAME?</v>
      </c>
    </row>
    <row r="378" customFormat="false" ht="15.75" hidden="false" customHeight="true" outlineLevel="0" collapsed="false">
      <c r="D378" s="0" t="e">
        <v>#NAME?</v>
      </c>
      <c r="E378" s="0" t="e">
        <v>#NAME?</v>
      </c>
      <c r="F378" s="0" t="e">
        <v>#NAME?</v>
      </c>
      <c r="G378" s="0" t="e">
        <v>#NAME?</v>
      </c>
    </row>
    <row r="379" customFormat="false" ht="15.75" hidden="false" customHeight="true" outlineLevel="0" collapsed="false">
      <c r="D379" s="0" t="e">
        <v>#NAME?</v>
      </c>
      <c r="E379" s="0" t="e">
        <v>#NAME?</v>
      </c>
      <c r="F379" s="0" t="e">
        <v>#NAME?</v>
      </c>
      <c r="G379" s="0" t="e">
        <v>#NAME?</v>
      </c>
    </row>
    <row r="380" customFormat="false" ht="15.75" hidden="false" customHeight="true" outlineLevel="0" collapsed="false">
      <c r="D380" s="0" t="e">
        <v>#NAME?</v>
      </c>
      <c r="E380" s="0" t="e">
        <v>#NAME?</v>
      </c>
      <c r="F380" s="0" t="e">
        <v>#NAME?</v>
      </c>
      <c r="G380" s="0" t="e">
        <v>#NAME?</v>
      </c>
    </row>
    <row r="381" customFormat="false" ht="15.75" hidden="false" customHeight="true" outlineLevel="0" collapsed="false">
      <c r="D381" s="0" t="e">
        <v>#NAME?</v>
      </c>
      <c r="E381" s="0" t="e">
        <v>#NAME?</v>
      </c>
      <c r="F381" s="0" t="e">
        <v>#NAME?</v>
      </c>
      <c r="G381" s="0" t="e">
        <v>#NAME?</v>
      </c>
    </row>
    <row r="382" customFormat="false" ht="15.75" hidden="false" customHeight="true" outlineLevel="0" collapsed="false">
      <c r="D382" s="0" t="e">
        <v>#NAME?</v>
      </c>
      <c r="E382" s="0" t="e">
        <v>#NAME?</v>
      </c>
      <c r="F382" s="0" t="e">
        <v>#NAME?</v>
      </c>
      <c r="G382" s="0" t="e">
        <v>#NAME?</v>
      </c>
    </row>
    <row r="383" customFormat="false" ht="15.75" hidden="false" customHeight="true" outlineLevel="0" collapsed="false">
      <c r="D383" s="0" t="e">
        <v>#NAME?</v>
      </c>
      <c r="E383" s="0" t="e">
        <v>#NAME?</v>
      </c>
      <c r="F383" s="0" t="e">
        <v>#NAME?</v>
      </c>
      <c r="G383" s="0" t="e">
        <v>#NAME?</v>
      </c>
    </row>
    <row r="384" customFormat="false" ht="15.75" hidden="false" customHeight="true" outlineLevel="0" collapsed="false">
      <c r="D384" s="0" t="e">
        <v>#NAME?</v>
      </c>
      <c r="E384" s="0" t="e">
        <v>#NAME?</v>
      </c>
      <c r="F384" s="0" t="e">
        <v>#NAME?</v>
      </c>
      <c r="G384" s="0" t="e">
        <v>#NAME?</v>
      </c>
    </row>
    <row r="385" customFormat="false" ht="15.75" hidden="false" customHeight="true" outlineLevel="0" collapsed="false">
      <c r="D385" s="0" t="e">
        <v>#NAME?</v>
      </c>
      <c r="E385" s="0" t="e">
        <v>#NAME?</v>
      </c>
      <c r="F385" s="0" t="e">
        <v>#NAME?</v>
      </c>
      <c r="G385" s="0" t="e">
        <v>#NAME?</v>
      </c>
    </row>
    <row r="386" customFormat="false" ht="15.75" hidden="false" customHeight="true" outlineLevel="0" collapsed="false">
      <c r="D386" s="0" t="e">
        <v>#NAME?</v>
      </c>
      <c r="E386" s="0" t="e">
        <v>#NAME?</v>
      </c>
      <c r="F386" s="0" t="e">
        <v>#NAME?</v>
      </c>
      <c r="G386" s="0" t="e">
        <v>#NAME?</v>
      </c>
    </row>
    <row r="387" customFormat="false" ht="15.75" hidden="false" customHeight="true" outlineLevel="0" collapsed="false">
      <c r="D387" s="0" t="e">
        <v>#NAME?</v>
      </c>
      <c r="E387" s="0" t="e">
        <v>#NAME?</v>
      </c>
      <c r="F387" s="0" t="e">
        <v>#NAME?</v>
      </c>
      <c r="G387" s="0" t="e">
        <v>#NAME?</v>
      </c>
    </row>
    <row r="388" customFormat="false" ht="15.75" hidden="false" customHeight="true" outlineLevel="0" collapsed="false">
      <c r="D388" s="0" t="e">
        <v>#NAME?</v>
      </c>
      <c r="E388" s="0" t="e">
        <v>#NAME?</v>
      </c>
      <c r="F388" s="0" t="e">
        <v>#NAME?</v>
      </c>
      <c r="G388" s="0" t="e">
        <v>#NAME?</v>
      </c>
    </row>
    <row r="389" customFormat="false" ht="15.75" hidden="false" customHeight="true" outlineLevel="0" collapsed="false">
      <c r="D389" s="0" t="e">
        <v>#NAME?</v>
      </c>
      <c r="E389" s="0" t="e">
        <v>#NAME?</v>
      </c>
      <c r="F389" s="0" t="e">
        <v>#NAME?</v>
      </c>
      <c r="G389" s="0" t="e">
        <v>#NAME?</v>
      </c>
    </row>
    <row r="390" customFormat="false" ht="15.75" hidden="false" customHeight="true" outlineLevel="0" collapsed="false">
      <c r="D390" s="0" t="e">
        <v>#NAME?</v>
      </c>
      <c r="E390" s="0" t="e">
        <v>#NAME?</v>
      </c>
      <c r="F390" s="0" t="e">
        <v>#NAME?</v>
      </c>
      <c r="G390" s="0" t="e">
        <v>#NAME?</v>
      </c>
    </row>
    <row r="391" customFormat="false" ht="15.75" hidden="false" customHeight="true" outlineLevel="0" collapsed="false">
      <c r="D391" s="0" t="e">
        <v>#NAME?</v>
      </c>
      <c r="E391" s="0" t="e">
        <v>#NAME?</v>
      </c>
      <c r="F391" s="0" t="e">
        <v>#NAME?</v>
      </c>
      <c r="G391" s="0" t="e">
        <v>#NAME?</v>
      </c>
    </row>
    <row r="392" customFormat="false" ht="15.75" hidden="false" customHeight="true" outlineLevel="0" collapsed="false">
      <c r="D392" s="0" t="e">
        <v>#NAME?</v>
      </c>
      <c r="E392" s="0" t="e">
        <v>#NAME?</v>
      </c>
      <c r="F392" s="0" t="e">
        <v>#NAME?</v>
      </c>
      <c r="G392" s="0" t="e">
        <v>#NAME?</v>
      </c>
    </row>
    <row r="393" customFormat="false" ht="15.75" hidden="false" customHeight="true" outlineLevel="0" collapsed="false">
      <c r="D393" s="0" t="e">
        <v>#NAME?</v>
      </c>
      <c r="E393" s="0" t="e">
        <v>#NAME?</v>
      </c>
      <c r="F393" s="0" t="e">
        <v>#NAME?</v>
      </c>
      <c r="G393" s="0" t="e">
        <v>#NAME?</v>
      </c>
    </row>
    <row r="394" customFormat="false" ht="15.75" hidden="false" customHeight="true" outlineLevel="0" collapsed="false">
      <c r="D394" s="0" t="e">
        <v>#NAME?</v>
      </c>
      <c r="E394" s="0" t="e">
        <v>#NAME?</v>
      </c>
      <c r="F394" s="0" t="e">
        <v>#NAME?</v>
      </c>
      <c r="G394" s="0" t="e">
        <v>#NAME?</v>
      </c>
    </row>
    <row r="395" customFormat="false" ht="15.75" hidden="false" customHeight="true" outlineLevel="0" collapsed="false">
      <c r="D395" s="0" t="e">
        <v>#NAME?</v>
      </c>
      <c r="E395" s="0" t="e">
        <v>#NAME?</v>
      </c>
      <c r="F395" s="0" t="e">
        <v>#NAME?</v>
      </c>
      <c r="G395" s="0" t="e">
        <v>#NAME?</v>
      </c>
    </row>
    <row r="396" customFormat="false" ht="15.75" hidden="false" customHeight="true" outlineLevel="0" collapsed="false">
      <c r="D396" s="0" t="e">
        <v>#NAME?</v>
      </c>
      <c r="E396" s="0" t="e">
        <v>#NAME?</v>
      </c>
      <c r="F396" s="0" t="e">
        <v>#NAME?</v>
      </c>
      <c r="G396" s="0" t="e">
        <v>#NAME?</v>
      </c>
    </row>
    <row r="397" customFormat="false" ht="15.75" hidden="false" customHeight="true" outlineLevel="0" collapsed="false">
      <c r="D397" s="0" t="e">
        <v>#NAME?</v>
      </c>
      <c r="E397" s="0" t="e">
        <v>#NAME?</v>
      </c>
      <c r="F397" s="0" t="e">
        <v>#NAME?</v>
      </c>
      <c r="G397" s="0" t="e">
        <v>#NAME?</v>
      </c>
    </row>
    <row r="398" customFormat="false" ht="15.75" hidden="false" customHeight="true" outlineLevel="0" collapsed="false">
      <c r="D398" s="0" t="e">
        <v>#NAME?</v>
      </c>
      <c r="E398" s="0" t="e">
        <v>#NAME?</v>
      </c>
      <c r="F398" s="0" t="e">
        <v>#NAME?</v>
      </c>
      <c r="G398" s="0" t="e">
        <v>#NAME?</v>
      </c>
    </row>
    <row r="399" customFormat="false" ht="15.75" hidden="false" customHeight="true" outlineLevel="0" collapsed="false">
      <c r="D399" s="0" t="e">
        <v>#NAME?</v>
      </c>
      <c r="E399" s="0" t="e">
        <v>#NAME?</v>
      </c>
      <c r="F399" s="0" t="e">
        <v>#NAME?</v>
      </c>
      <c r="G399" s="0" t="e">
        <v>#NAME?</v>
      </c>
    </row>
    <row r="400" customFormat="false" ht="15.75" hidden="false" customHeight="true" outlineLevel="0" collapsed="false">
      <c r="D400" s="0" t="e">
        <v>#NAME?</v>
      </c>
      <c r="E400" s="0" t="e">
        <v>#NAME?</v>
      </c>
      <c r="F400" s="0" t="e">
        <v>#NAME?</v>
      </c>
      <c r="G400" s="0" t="e">
        <v>#NAME?</v>
      </c>
    </row>
    <row r="401" customFormat="false" ht="15.75" hidden="false" customHeight="true" outlineLevel="0" collapsed="false">
      <c r="D401" s="0" t="e">
        <v>#NAME?</v>
      </c>
      <c r="E401" s="0" t="e">
        <v>#NAME?</v>
      </c>
      <c r="F401" s="0" t="e">
        <v>#NAME?</v>
      </c>
      <c r="G401" s="0" t="e">
        <v>#NAME?</v>
      </c>
    </row>
    <row r="402" customFormat="false" ht="15.75" hidden="false" customHeight="true" outlineLevel="0" collapsed="false">
      <c r="D402" s="0" t="e">
        <v>#NAME?</v>
      </c>
      <c r="E402" s="0" t="e">
        <v>#NAME?</v>
      </c>
      <c r="F402" s="0" t="e">
        <v>#NAME?</v>
      </c>
      <c r="G402" s="0" t="e">
        <v>#NAME?</v>
      </c>
    </row>
    <row r="403" customFormat="false" ht="15.75" hidden="false" customHeight="true" outlineLevel="0" collapsed="false">
      <c r="D403" s="0" t="e">
        <v>#NAME?</v>
      </c>
      <c r="E403" s="0" t="e">
        <v>#NAME?</v>
      </c>
      <c r="F403" s="0" t="e">
        <v>#NAME?</v>
      </c>
      <c r="G403" s="0" t="e">
        <v>#NAME?</v>
      </c>
    </row>
    <row r="404" customFormat="false" ht="15.75" hidden="false" customHeight="true" outlineLevel="0" collapsed="false">
      <c r="D404" s="0" t="e">
        <v>#NAME?</v>
      </c>
      <c r="E404" s="0" t="e">
        <v>#NAME?</v>
      </c>
      <c r="F404" s="0" t="e">
        <v>#NAME?</v>
      </c>
      <c r="G404" s="0" t="e">
        <v>#NAME?</v>
      </c>
    </row>
    <row r="405" customFormat="false" ht="15.75" hidden="false" customHeight="true" outlineLevel="0" collapsed="false">
      <c r="D405" s="0" t="e">
        <v>#NAME?</v>
      </c>
      <c r="E405" s="0" t="e">
        <v>#NAME?</v>
      </c>
      <c r="F405" s="0" t="e">
        <v>#NAME?</v>
      </c>
      <c r="G405" s="0" t="e">
        <v>#NAME?</v>
      </c>
    </row>
    <row r="406" customFormat="false" ht="15.75" hidden="false" customHeight="true" outlineLevel="0" collapsed="false">
      <c r="D406" s="0" t="e">
        <v>#NAME?</v>
      </c>
      <c r="E406" s="0" t="e">
        <v>#NAME?</v>
      </c>
      <c r="F406" s="0" t="e">
        <v>#NAME?</v>
      </c>
      <c r="G406" s="0" t="e">
        <v>#NAME?</v>
      </c>
    </row>
    <row r="407" customFormat="false" ht="15.75" hidden="false" customHeight="true" outlineLevel="0" collapsed="false">
      <c r="D407" s="0" t="e">
        <v>#NAME?</v>
      </c>
      <c r="E407" s="0" t="e">
        <v>#NAME?</v>
      </c>
      <c r="F407" s="0" t="e">
        <v>#NAME?</v>
      </c>
      <c r="G407" s="0" t="e">
        <v>#NAME?</v>
      </c>
    </row>
    <row r="408" customFormat="false" ht="15.75" hidden="false" customHeight="true" outlineLevel="0" collapsed="false">
      <c r="D408" s="0" t="e">
        <v>#NAME?</v>
      </c>
      <c r="E408" s="0" t="e">
        <v>#NAME?</v>
      </c>
      <c r="F408" s="0" t="e">
        <v>#NAME?</v>
      </c>
      <c r="G408" s="0" t="e">
        <v>#NAME?</v>
      </c>
    </row>
    <row r="409" customFormat="false" ht="15.75" hidden="false" customHeight="true" outlineLevel="0" collapsed="false">
      <c r="D409" s="0" t="e">
        <v>#NAME?</v>
      </c>
      <c r="E409" s="0" t="e">
        <v>#NAME?</v>
      </c>
      <c r="F409" s="0" t="e">
        <v>#NAME?</v>
      </c>
      <c r="G409" s="0" t="e">
        <v>#NAME?</v>
      </c>
    </row>
    <row r="410" customFormat="false" ht="15.75" hidden="false" customHeight="true" outlineLevel="0" collapsed="false">
      <c r="D410" s="0" t="e">
        <v>#NAME?</v>
      </c>
      <c r="E410" s="0" t="e">
        <v>#NAME?</v>
      </c>
      <c r="F410" s="0" t="e">
        <v>#NAME?</v>
      </c>
      <c r="G410" s="0" t="e">
        <v>#NAME?</v>
      </c>
    </row>
    <row r="411" customFormat="false" ht="15.75" hidden="false" customHeight="true" outlineLevel="0" collapsed="false">
      <c r="D411" s="0" t="e">
        <v>#NAME?</v>
      </c>
      <c r="E411" s="0" t="e">
        <v>#NAME?</v>
      </c>
      <c r="F411" s="0" t="e">
        <v>#NAME?</v>
      </c>
      <c r="G411" s="0" t="e">
        <v>#NAME?</v>
      </c>
    </row>
    <row r="412" customFormat="false" ht="15.75" hidden="false" customHeight="true" outlineLevel="0" collapsed="false">
      <c r="D412" s="0" t="e">
        <v>#NAME?</v>
      </c>
      <c r="E412" s="0" t="e">
        <v>#NAME?</v>
      </c>
      <c r="F412" s="0" t="e">
        <v>#NAME?</v>
      </c>
      <c r="G412" s="0" t="e">
        <v>#NAME?</v>
      </c>
    </row>
    <row r="413" customFormat="false" ht="15.75" hidden="false" customHeight="true" outlineLevel="0" collapsed="false">
      <c r="D413" s="0" t="e">
        <v>#NAME?</v>
      </c>
      <c r="E413" s="0" t="e">
        <v>#NAME?</v>
      </c>
      <c r="F413" s="0" t="e">
        <v>#NAME?</v>
      </c>
      <c r="G413" s="0" t="e">
        <v>#NAME?</v>
      </c>
    </row>
    <row r="414" customFormat="false" ht="15.75" hidden="false" customHeight="true" outlineLevel="0" collapsed="false">
      <c r="D414" s="0" t="e">
        <v>#NAME?</v>
      </c>
      <c r="E414" s="0" t="e">
        <v>#NAME?</v>
      </c>
      <c r="F414" s="0" t="e">
        <v>#NAME?</v>
      </c>
      <c r="G414" s="0" t="e">
        <v>#NAME?</v>
      </c>
    </row>
    <row r="415" customFormat="false" ht="15.75" hidden="false" customHeight="true" outlineLevel="0" collapsed="false">
      <c r="D415" s="0" t="e">
        <v>#NAME?</v>
      </c>
      <c r="E415" s="0" t="e">
        <v>#NAME?</v>
      </c>
      <c r="F415" s="0" t="e">
        <v>#NAME?</v>
      </c>
      <c r="G415" s="0" t="e">
        <v>#NAME?</v>
      </c>
    </row>
    <row r="416" customFormat="false" ht="15.75" hidden="false" customHeight="true" outlineLevel="0" collapsed="false">
      <c r="D416" s="0" t="e">
        <v>#NAME?</v>
      </c>
      <c r="E416" s="0" t="e">
        <v>#NAME?</v>
      </c>
      <c r="F416" s="0" t="e">
        <v>#NAME?</v>
      </c>
      <c r="G416" s="0" t="e">
        <v>#NAME?</v>
      </c>
    </row>
    <row r="417" customFormat="false" ht="15.75" hidden="false" customHeight="true" outlineLevel="0" collapsed="false">
      <c r="D417" s="0" t="e">
        <v>#NAME?</v>
      </c>
      <c r="E417" s="0" t="e">
        <v>#NAME?</v>
      </c>
      <c r="F417" s="0" t="e">
        <v>#NAME?</v>
      </c>
      <c r="G417" s="0" t="e">
        <v>#NAME?</v>
      </c>
    </row>
    <row r="418" customFormat="false" ht="15.75" hidden="false" customHeight="true" outlineLevel="0" collapsed="false">
      <c r="D418" s="0" t="e">
        <v>#NAME?</v>
      </c>
      <c r="E418" s="0" t="e">
        <v>#NAME?</v>
      </c>
      <c r="F418" s="0" t="e">
        <v>#NAME?</v>
      </c>
      <c r="G418" s="0" t="e">
        <v>#NAME?</v>
      </c>
    </row>
    <row r="419" customFormat="false" ht="15.75" hidden="false" customHeight="true" outlineLevel="0" collapsed="false">
      <c r="D419" s="0" t="e">
        <v>#NAME?</v>
      </c>
      <c r="E419" s="0" t="e">
        <v>#NAME?</v>
      </c>
      <c r="F419" s="0" t="e">
        <v>#NAME?</v>
      </c>
      <c r="G419" s="0" t="e">
        <v>#NAME?</v>
      </c>
    </row>
    <row r="420" customFormat="false" ht="15.75" hidden="false" customHeight="true" outlineLevel="0" collapsed="false">
      <c r="D420" s="0" t="e">
        <v>#NAME?</v>
      </c>
      <c r="E420" s="0" t="e">
        <v>#NAME?</v>
      </c>
      <c r="F420" s="0" t="e">
        <v>#NAME?</v>
      </c>
      <c r="G420" s="0" t="e">
        <v>#NAME?</v>
      </c>
    </row>
    <row r="421" customFormat="false" ht="15.75" hidden="false" customHeight="true" outlineLevel="0" collapsed="false">
      <c r="D421" s="0" t="e">
        <v>#NAME?</v>
      </c>
      <c r="E421" s="0" t="e">
        <v>#NAME?</v>
      </c>
      <c r="F421" s="0" t="e">
        <v>#NAME?</v>
      </c>
      <c r="G421" s="0" t="e">
        <v>#NAME?</v>
      </c>
    </row>
    <row r="422" customFormat="false" ht="15.75" hidden="false" customHeight="true" outlineLevel="0" collapsed="false">
      <c r="D422" s="0" t="e">
        <v>#NAME?</v>
      </c>
      <c r="E422" s="0" t="e">
        <v>#NAME?</v>
      </c>
      <c r="F422" s="0" t="e">
        <v>#NAME?</v>
      </c>
      <c r="G422" s="0" t="e">
        <v>#NAME?</v>
      </c>
    </row>
    <row r="423" customFormat="false" ht="15.75" hidden="false" customHeight="true" outlineLevel="0" collapsed="false">
      <c r="D423" s="0" t="e">
        <v>#NAME?</v>
      </c>
      <c r="E423" s="0" t="e">
        <v>#NAME?</v>
      </c>
      <c r="F423" s="0" t="e">
        <v>#NAME?</v>
      </c>
      <c r="G423" s="0" t="e">
        <v>#NAME?</v>
      </c>
    </row>
    <row r="424" customFormat="false" ht="15.75" hidden="false" customHeight="true" outlineLevel="0" collapsed="false">
      <c r="D424" s="0" t="e">
        <v>#NAME?</v>
      </c>
      <c r="E424" s="0" t="e">
        <v>#NAME?</v>
      </c>
      <c r="F424" s="0" t="e">
        <v>#NAME?</v>
      </c>
      <c r="G424" s="0" t="e">
        <v>#NAME?</v>
      </c>
    </row>
    <row r="425" customFormat="false" ht="15.75" hidden="false" customHeight="true" outlineLevel="0" collapsed="false">
      <c r="D425" s="0" t="e">
        <v>#NAME?</v>
      </c>
      <c r="E425" s="0" t="e">
        <v>#NAME?</v>
      </c>
      <c r="F425" s="0" t="e">
        <v>#NAME?</v>
      </c>
      <c r="G425" s="0" t="e">
        <v>#NAME?</v>
      </c>
    </row>
    <row r="426" customFormat="false" ht="15.75" hidden="false" customHeight="true" outlineLevel="0" collapsed="false">
      <c r="D426" s="0" t="e">
        <v>#NAME?</v>
      </c>
      <c r="E426" s="0" t="e">
        <v>#NAME?</v>
      </c>
      <c r="F426" s="0" t="e">
        <v>#NAME?</v>
      </c>
      <c r="G426" s="0" t="e">
        <v>#NAME?</v>
      </c>
    </row>
    <row r="427" customFormat="false" ht="15.75" hidden="false" customHeight="true" outlineLevel="0" collapsed="false">
      <c r="D427" s="0" t="e">
        <v>#NAME?</v>
      </c>
      <c r="E427" s="0" t="e">
        <v>#NAME?</v>
      </c>
      <c r="F427" s="0" t="e">
        <v>#NAME?</v>
      </c>
      <c r="G427" s="0" t="e">
        <v>#NAME?</v>
      </c>
    </row>
    <row r="428" customFormat="false" ht="15.75" hidden="false" customHeight="true" outlineLevel="0" collapsed="false">
      <c r="D428" s="0" t="e">
        <v>#NAME?</v>
      </c>
      <c r="E428" s="0" t="e">
        <v>#NAME?</v>
      </c>
      <c r="F428" s="0" t="e">
        <v>#NAME?</v>
      </c>
      <c r="G428" s="0" t="e">
        <v>#NAME?</v>
      </c>
    </row>
    <row r="429" customFormat="false" ht="15.75" hidden="false" customHeight="true" outlineLevel="0" collapsed="false">
      <c r="D429" s="0" t="e">
        <v>#NAME?</v>
      </c>
      <c r="E429" s="0" t="e">
        <v>#NAME?</v>
      </c>
      <c r="F429" s="0" t="e">
        <v>#NAME?</v>
      </c>
      <c r="G429" s="0" t="e">
        <v>#NAME?</v>
      </c>
    </row>
    <row r="430" customFormat="false" ht="15.75" hidden="false" customHeight="true" outlineLevel="0" collapsed="false">
      <c r="D430" s="0" t="e">
        <v>#NAME?</v>
      </c>
      <c r="E430" s="0" t="e">
        <v>#NAME?</v>
      </c>
      <c r="F430" s="0" t="e">
        <v>#NAME?</v>
      </c>
      <c r="G430" s="0" t="e">
        <v>#NAME?</v>
      </c>
    </row>
    <row r="431" customFormat="false" ht="15.75" hidden="false" customHeight="true" outlineLevel="0" collapsed="false">
      <c r="D431" s="0" t="e">
        <v>#NAME?</v>
      </c>
      <c r="E431" s="0" t="e">
        <v>#NAME?</v>
      </c>
      <c r="F431" s="0" t="e">
        <v>#NAME?</v>
      </c>
      <c r="G431" s="0" t="e">
        <v>#NAME?</v>
      </c>
    </row>
    <row r="432" customFormat="false" ht="15.75" hidden="false" customHeight="true" outlineLevel="0" collapsed="false">
      <c r="D432" s="0" t="e">
        <v>#NAME?</v>
      </c>
      <c r="E432" s="0" t="e">
        <v>#NAME?</v>
      </c>
      <c r="F432" s="0" t="e">
        <v>#NAME?</v>
      </c>
      <c r="G432" s="0" t="e">
        <v>#NAME?</v>
      </c>
    </row>
    <row r="433" customFormat="false" ht="15.75" hidden="false" customHeight="true" outlineLevel="0" collapsed="false">
      <c r="D433" s="0" t="e">
        <v>#NAME?</v>
      </c>
      <c r="E433" s="0" t="e">
        <v>#NAME?</v>
      </c>
      <c r="F433" s="0" t="e">
        <v>#NAME?</v>
      </c>
      <c r="G433" s="0" t="e">
        <v>#NAME?</v>
      </c>
    </row>
    <row r="434" customFormat="false" ht="15.75" hidden="false" customHeight="true" outlineLevel="0" collapsed="false">
      <c r="D434" s="0" t="e">
        <v>#NAME?</v>
      </c>
      <c r="E434" s="0" t="e">
        <v>#NAME?</v>
      </c>
      <c r="F434" s="0" t="e">
        <v>#NAME?</v>
      </c>
      <c r="G434" s="0" t="e">
        <v>#NAME?</v>
      </c>
    </row>
    <row r="435" customFormat="false" ht="15.75" hidden="false" customHeight="true" outlineLevel="0" collapsed="false">
      <c r="D435" s="0" t="e">
        <v>#NAME?</v>
      </c>
      <c r="E435" s="0" t="e">
        <v>#NAME?</v>
      </c>
      <c r="F435" s="0" t="e">
        <v>#NAME?</v>
      </c>
      <c r="G435" s="0" t="e">
        <v>#NAME?</v>
      </c>
    </row>
    <row r="436" customFormat="false" ht="15.75" hidden="false" customHeight="true" outlineLevel="0" collapsed="false">
      <c r="D436" s="0" t="e">
        <v>#NAME?</v>
      </c>
      <c r="E436" s="0" t="e">
        <v>#NAME?</v>
      </c>
      <c r="F436" s="0" t="e">
        <v>#NAME?</v>
      </c>
      <c r="G436" s="0" t="e">
        <v>#NAME?</v>
      </c>
    </row>
    <row r="437" customFormat="false" ht="15.75" hidden="false" customHeight="true" outlineLevel="0" collapsed="false">
      <c r="D437" s="0" t="e">
        <v>#NAME?</v>
      </c>
      <c r="E437" s="0" t="e">
        <v>#NAME?</v>
      </c>
      <c r="F437" s="0" t="e">
        <v>#NAME?</v>
      </c>
      <c r="G437" s="0" t="e">
        <v>#NAME?</v>
      </c>
    </row>
    <row r="438" customFormat="false" ht="15.75" hidden="false" customHeight="true" outlineLevel="0" collapsed="false">
      <c r="D438" s="0" t="e">
        <v>#NAME?</v>
      </c>
      <c r="E438" s="0" t="e">
        <v>#NAME?</v>
      </c>
      <c r="F438" s="0" t="e">
        <v>#NAME?</v>
      </c>
      <c r="G438" s="0" t="e">
        <v>#NAME?</v>
      </c>
    </row>
    <row r="439" customFormat="false" ht="15.75" hidden="false" customHeight="true" outlineLevel="0" collapsed="false">
      <c r="D439" s="0" t="e">
        <v>#NAME?</v>
      </c>
      <c r="E439" s="0" t="e">
        <v>#NAME?</v>
      </c>
      <c r="F439" s="0" t="e">
        <v>#NAME?</v>
      </c>
      <c r="G439" s="0" t="e">
        <v>#NAME?</v>
      </c>
    </row>
    <row r="440" customFormat="false" ht="15.75" hidden="false" customHeight="true" outlineLevel="0" collapsed="false">
      <c r="D440" s="0" t="e">
        <v>#NAME?</v>
      </c>
      <c r="E440" s="0" t="e">
        <v>#NAME?</v>
      </c>
      <c r="F440" s="0" t="e">
        <v>#NAME?</v>
      </c>
      <c r="G440" s="0" t="e">
        <v>#NAME?</v>
      </c>
    </row>
    <row r="441" customFormat="false" ht="15.75" hidden="false" customHeight="true" outlineLevel="0" collapsed="false">
      <c r="D441" s="0" t="e">
        <v>#NAME?</v>
      </c>
      <c r="E441" s="0" t="e">
        <v>#NAME?</v>
      </c>
      <c r="F441" s="0" t="e">
        <v>#NAME?</v>
      </c>
      <c r="G441" s="0" t="e">
        <v>#NAME?</v>
      </c>
    </row>
    <row r="442" customFormat="false" ht="15.75" hidden="false" customHeight="true" outlineLevel="0" collapsed="false">
      <c r="D442" s="0" t="e">
        <v>#NAME?</v>
      </c>
      <c r="E442" s="0" t="e">
        <v>#NAME?</v>
      </c>
      <c r="F442" s="0" t="e">
        <v>#NAME?</v>
      </c>
      <c r="G442" s="0" t="e">
        <v>#NAME?</v>
      </c>
    </row>
    <row r="443" customFormat="false" ht="15.75" hidden="false" customHeight="true" outlineLevel="0" collapsed="false">
      <c r="D443" s="0" t="e">
        <v>#NAME?</v>
      </c>
      <c r="E443" s="0" t="e">
        <v>#NAME?</v>
      </c>
      <c r="F443" s="0" t="e">
        <v>#NAME?</v>
      </c>
      <c r="G443" s="0" t="e">
        <v>#NAME?</v>
      </c>
    </row>
    <row r="444" customFormat="false" ht="15.75" hidden="false" customHeight="true" outlineLevel="0" collapsed="false">
      <c r="D444" s="0" t="e">
        <v>#NAME?</v>
      </c>
      <c r="E444" s="0" t="e">
        <v>#NAME?</v>
      </c>
      <c r="F444" s="0" t="e">
        <v>#NAME?</v>
      </c>
      <c r="G444" s="0" t="e">
        <v>#NAME?</v>
      </c>
    </row>
    <row r="445" customFormat="false" ht="15.75" hidden="false" customHeight="true" outlineLevel="0" collapsed="false">
      <c r="D445" s="0" t="e">
        <v>#NAME?</v>
      </c>
      <c r="E445" s="0" t="e">
        <v>#NAME?</v>
      </c>
      <c r="F445" s="0" t="e">
        <v>#NAME?</v>
      </c>
      <c r="G445" s="0" t="e">
        <v>#NAME?</v>
      </c>
    </row>
    <row r="446" customFormat="false" ht="15.75" hidden="false" customHeight="true" outlineLevel="0" collapsed="false">
      <c r="D446" s="0" t="e">
        <v>#NAME?</v>
      </c>
      <c r="E446" s="0" t="e">
        <v>#NAME?</v>
      </c>
      <c r="F446" s="0" t="e">
        <v>#NAME?</v>
      </c>
      <c r="G446" s="0" t="e">
        <v>#NAME?</v>
      </c>
    </row>
    <row r="447" customFormat="false" ht="15.75" hidden="false" customHeight="true" outlineLevel="0" collapsed="false">
      <c r="D447" s="0" t="e">
        <v>#NAME?</v>
      </c>
      <c r="E447" s="0" t="e">
        <v>#NAME?</v>
      </c>
      <c r="F447" s="0" t="e">
        <v>#NAME?</v>
      </c>
      <c r="G447" s="0" t="e">
        <v>#NAME?</v>
      </c>
    </row>
    <row r="448" customFormat="false" ht="15.75" hidden="false" customHeight="true" outlineLevel="0" collapsed="false">
      <c r="D448" s="0" t="e">
        <v>#NAME?</v>
      </c>
      <c r="E448" s="0" t="e">
        <v>#NAME?</v>
      </c>
      <c r="F448" s="0" t="e">
        <v>#NAME?</v>
      </c>
      <c r="G448" s="0" t="e">
        <v>#NAME?</v>
      </c>
    </row>
    <row r="449" customFormat="false" ht="15.75" hidden="false" customHeight="true" outlineLevel="0" collapsed="false">
      <c r="D449" s="0" t="e">
        <v>#NAME?</v>
      </c>
      <c r="E449" s="0" t="e">
        <v>#NAME?</v>
      </c>
      <c r="F449" s="0" t="e">
        <v>#NAME?</v>
      </c>
      <c r="G449" s="0" t="e">
        <v>#NAME?</v>
      </c>
    </row>
    <row r="450" customFormat="false" ht="15.75" hidden="false" customHeight="true" outlineLevel="0" collapsed="false">
      <c r="D450" s="0" t="e">
        <v>#NAME?</v>
      </c>
      <c r="E450" s="0" t="e">
        <v>#NAME?</v>
      </c>
      <c r="F450" s="0" t="e">
        <v>#NAME?</v>
      </c>
      <c r="G450" s="0" t="e">
        <v>#NAME?</v>
      </c>
    </row>
    <row r="451" customFormat="false" ht="15.75" hidden="false" customHeight="true" outlineLevel="0" collapsed="false">
      <c r="D451" s="0" t="e">
        <v>#NAME?</v>
      </c>
      <c r="E451" s="0" t="e">
        <v>#NAME?</v>
      </c>
      <c r="F451" s="0" t="e">
        <v>#NAME?</v>
      </c>
      <c r="G451" s="0" t="e">
        <v>#NAME?</v>
      </c>
    </row>
    <row r="452" customFormat="false" ht="15.75" hidden="false" customHeight="true" outlineLevel="0" collapsed="false">
      <c r="D452" s="0" t="e">
        <v>#NAME?</v>
      </c>
      <c r="E452" s="0" t="e">
        <v>#NAME?</v>
      </c>
      <c r="F452" s="0" t="e">
        <v>#NAME?</v>
      </c>
      <c r="G452" s="0" t="e">
        <v>#NAME?</v>
      </c>
    </row>
    <row r="453" customFormat="false" ht="15.75" hidden="false" customHeight="true" outlineLevel="0" collapsed="false">
      <c r="D453" s="0" t="e">
        <v>#NAME?</v>
      </c>
      <c r="E453" s="0" t="e">
        <v>#NAME?</v>
      </c>
      <c r="F453" s="0" t="e">
        <v>#NAME?</v>
      </c>
      <c r="G453" s="0" t="e">
        <v>#NAME?</v>
      </c>
    </row>
    <row r="454" customFormat="false" ht="15.75" hidden="false" customHeight="true" outlineLevel="0" collapsed="false">
      <c r="D454" s="0" t="e">
        <v>#NAME?</v>
      </c>
      <c r="E454" s="0" t="e">
        <v>#NAME?</v>
      </c>
      <c r="F454" s="0" t="e">
        <v>#NAME?</v>
      </c>
      <c r="G454" s="0" t="e">
        <v>#NAME?</v>
      </c>
    </row>
    <row r="455" customFormat="false" ht="15.75" hidden="false" customHeight="true" outlineLevel="0" collapsed="false">
      <c r="D455" s="0" t="e">
        <v>#NAME?</v>
      </c>
      <c r="E455" s="0" t="e">
        <v>#NAME?</v>
      </c>
      <c r="F455" s="0" t="e">
        <v>#NAME?</v>
      </c>
      <c r="G455" s="0" t="e">
        <v>#NAME?</v>
      </c>
    </row>
    <row r="456" customFormat="false" ht="15.75" hidden="false" customHeight="true" outlineLevel="0" collapsed="false">
      <c r="D456" s="0" t="e">
        <v>#NAME?</v>
      </c>
      <c r="E456" s="0" t="e">
        <v>#NAME?</v>
      </c>
      <c r="F456" s="0" t="e">
        <v>#NAME?</v>
      </c>
      <c r="G456" s="0" t="e">
        <v>#NAME?</v>
      </c>
    </row>
    <row r="457" customFormat="false" ht="15.75" hidden="false" customHeight="true" outlineLevel="0" collapsed="false">
      <c r="D457" s="0" t="e">
        <v>#NAME?</v>
      </c>
      <c r="E457" s="0" t="e">
        <v>#NAME?</v>
      </c>
      <c r="F457" s="0" t="e">
        <v>#NAME?</v>
      </c>
      <c r="G457" s="0" t="e">
        <v>#NAME?</v>
      </c>
    </row>
    <row r="458" customFormat="false" ht="15.75" hidden="false" customHeight="true" outlineLevel="0" collapsed="false">
      <c r="D458" s="0" t="e">
        <v>#NAME?</v>
      </c>
      <c r="E458" s="0" t="e">
        <v>#NAME?</v>
      </c>
      <c r="F458" s="0" t="e">
        <v>#NAME?</v>
      </c>
      <c r="G458" s="0" t="e">
        <v>#NAME?</v>
      </c>
    </row>
    <row r="459" customFormat="false" ht="15.75" hidden="false" customHeight="true" outlineLevel="0" collapsed="false">
      <c r="D459" s="0" t="e">
        <v>#NAME?</v>
      </c>
      <c r="E459" s="0" t="e">
        <v>#NAME?</v>
      </c>
      <c r="F459" s="0" t="e">
        <v>#NAME?</v>
      </c>
      <c r="G459" s="0" t="e">
        <v>#NAME?</v>
      </c>
    </row>
    <row r="460" customFormat="false" ht="15.75" hidden="false" customHeight="true" outlineLevel="0" collapsed="false">
      <c r="D460" s="0" t="e">
        <v>#NAME?</v>
      </c>
      <c r="E460" s="0" t="e">
        <v>#NAME?</v>
      </c>
      <c r="F460" s="0" t="e">
        <v>#NAME?</v>
      </c>
      <c r="G460" s="0" t="e">
        <v>#NAME?</v>
      </c>
    </row>
    <row r="461" customFormat="false" ht="15.75" hidden="false" customHeight="true" outlineLevel="0" collapsed="false">
      <c r="D461" s="0" t="e">
        <v>#NAME?</v>
      </c>
      <c r="E461" s="0" t="e">
        <v>#NAME?</v>
      </c>
      <c r="F461" s="0" t="e">
        <v>#NAME?</v>
      </c>
      <c r="G461" s="0" t="e">
        <v>#NAME?</v>
      </c>
    </row>
    <row r="462" customFormat="false" ht="15.75" hidden="false" customHeight="true" outlineLevel="0" collapsed="false">
      <c r="D462" s="0" t="e">
        <v>#NAME?</v>
      </c>
      <c r="E462" s="0" t="e">
        <v>#NAME?</v>
      </c>
      <c r="F462" s="0" t="e">
        <v>#NAME?</v>
      </c>
      <c r="G462" s="0" t="e">
        <v>#NAME?</v>
      </c>
    </row>
    <row r="463" customFormat="false" ht="15.75" hidden="false" customHeight="true" outlineLevel="0" collapsed="false">
      <c r="D463" s="0" t="e">
        <v>#NAME?</v>
      </c>
      <c r="E463" s="0" t="e">
        <v>#NAME?</v>
      </c>
      <c r="F463" s="0" t="e">
        <v>#NAME?</v>
      </c>
      <c r="G463" s="0" t="e">
        <v>#NAME?</v>
      </c>
    </row>
    <row r="464" customFormat="false" ht="15.75" hidden="false" customHeight="true" outlineLevel="0" collapsed="false">
      <c r="D464" s="0" t="e">
        <v>#NAME?</v>
      </c>
      <c r="E464" s="0" t="e">
        <v>#NAME?</v>
      </c>
      <c r="F464" s="0" t="e">
        <v>#NAME?</v>
      </c>
      <c r="G464" s="0" t="e">
        <v>#NAME?</v>
      </c>
    </row>
    <row r="465" customFormat="false" ht="15.75" hidden="false" customHeight="true" outlineLevel="0" collapsed="false">
      <c r="D465" s="0" t="e">
        <v>#NAME?</v>
      </c>
      <c r="E465" s="0" t="e">
        <v>#NAME?</v>
      </c>
      <c r="F465" s="0" t="e">
        <v>#NAME?</v>
      </c>
      <c r="G465" s="0" t="e">
        <v>#NAME?</v>
      </c>
    </row>
    <row r="466" customFormat="false" ht="15.75" hidden="false" customHeight="true" outlineLevel="0" collapsed="false">
      <c r="D466" s="0" t="e">
        <v>#NAME?</v>
      </c>
      <c r="E466" s="0" t="e">
        <v>#NAME?</v>
      </c>
      <c r="F466" s="0" t="e">
        <v>#NAME?</v>
      </c>
      <c r="G466" s="0" t="e">
        <v>#NAME?</v>
      </c>
    </row>
    <row r="467" customFormat="false" ht="15.75" hidden="false" customHeight="true" outlineLevel="0" collapsed="false">
      <c r="D467" s="0" t="e">
        <v>#NAME?</v>
      </c>
      <c r="E467" s="0" t="e">
        <v>#NAME?</v>
      </c>
      <c r="F467" s="0" t="e">
        <v>#NAME?</v>
      </c>
      <c r="G467" s="0" t="e">
        <v>#NAME?</v>
      </c>
    </row>
    <row r="468" customFormat="false" ht="15.75" hidden="false" customHeight="true" outlineLevel="0" collapsed="false">
      <c r="D468" s="0" t="e">
        <v>#NAME?</v>
      </c>
      <c r="E468" s="0" t="e">
        <v>#NAME?</v>
      </c>
      <c r="F468" s="0" t="e">
        <v>#NAME?</v>
      </c>
      <c r="G468" s="0" t="e">
        <v>#NAME?</v>
      </c>
    </row>
    <row r="469" customFormat="false" ht="15.75" hidden="false" customHeight="true" outlineLevel="0" collapsed="false">
      <c r="D469" s="0" t="e">
        <v>#NAME?</v>
      </c>
      <c r="E469" s="0" t="e">
        <v>#NAME?</v>
      </c>
      <c r="F469" s="0" t="e">
        <v>#NAME?</v>
      </c>
      <c r="G469" s="0" t="e">
        <v>#NAME?</v>
      </c>
    </row>
    <row r="470" customFormat="false" ht="15.75" hidden="false" customHeight="true" outlineLevel="0" collapsed="false">
      <c r="D470" s="0" t="e">
        <v>#NAME?</v>
      </c>
      <c r="E470" s="0" t="e">
        <v>#NAME?</v>
      </c>
      <c r="F470" s="0" t="e">
        <v>#NAME?</v>
      </c>
      <c r="G470" s="0" t="e">
        <v>#NAME?</v>
      </c>
    </row>
    <row r="471" customFormat="false" ht="15.75" hidden="false" customHeight="true" outlineLevel="0" collapsed="false">
      <c r="D471" s="0" t="e">
        <v>#NAME?</v>
      </c>
      <c r="E471" s="0" t="e">
        <v>#NAME?</v>
      </c>
      <c r="F471" s="0" t="e">
        <v>#NAME?</v>
      </c>
      <c r="G471" s="0" t="e">
        <v>#NAME?</v>
      </c>
    </row>
    <row r="472" customFormat="false" ht="15.75" hidden="false" customHeight="true" outlineLevel="0" collapsed="false">
      <c r="D472" s="0" t="e">
        <v>#NAME?</v>
      </c>
      <c r="E472" s="0" t="e">
        <v>#NAME?</v>
      </c>
      <c r="F472" s="0" t="e">
        <v>#NAME?</v>
      </c>
      <c r="G472" s="0" t="e">
        <v>#NAME?</v>
      </c>
    </row>
    <row r="473" customFormat="false" ht="15.75" hidden="false" customHeight="true" outlineLevel="0" collapsed="false">
      <c r="D473" s="0" t="e">
        <v>#NAME?</v>
      </c>
      <c r="E473" s="0" t="e">
        <v>#NAME?</v>
      </c>
      <c r="F473" s="0" t="e">
        <v>#NAME?</v>
      </c>
      <c r="G473" s="0" t="e">
        <v>#NAME?</v>
      </c>
    </row>
    <row r="474" customFormat="false" ht="15.75" hidden="false" customHeight="true" outlineLevel="0" collapsed="false">
      <c r="D474" s="0" t="e">
        <v>#NAME?</v>
      </c>
      <c r="E474" s="0" t="e">
        <v>#NAME?</v>
      </c>
      <c r="F474" s="0" t="e">
        <v>#NAME?</v>
      </c>
      <c r="G474" s="0" t="e">
        <v>#NAME?</v>
      </c>
    </row>
    <row r="475" customFormat="false" ht="15.75" hidden="false" customHeight="true" outlineLevel="0" collapsed="false">
      <c r="D475" s="0" t="e">
        <v>#NAME?</v>
      </c>
      <c r="E475" s="0" t="e">
        <v>#NAME?</v>
      </c>
      <c r="F475" s="0" t="e">
        <v>#NAME?</v>
      </c>
      <c r="G475" s="0" t="e">
        <v>#NAME?</v>
      </c>
    </row>
    <row r="476" customFormat="false" ht="15.75" hidden="false" customHeight="true" outlineLevel="0" collapsed="false">
      <c r="D476" s="0" t="e">
        <v>#NAME?</v>
      </c>
      <c r="E476" s="0" t="e">
        <v>#NAME?</v>
      </c>
      <c r="F476" s="0" t="e">
        <v>#NAME?</v>
      </c>
      <c r="G476" s="0" t="e">
        <v>#NAME?</v>
      </c>
    </row>
    <row r="477" customFormat="false" ht="15.75" hidden="false" customHeight="true" outlineLevel="0" collapsed="false">
      <c r="D477" s="0" t="e">
        <v>#NAME?</v>
      </c>
      <c r="E477" s="0" t="e">
        <v>#NAME?</v>
      </c>
      <c r="F477" s="0" t="e">
        <v>#NAME?</v>
      </c>
      <c r="G477" s="0" t="e">
        <v>#NAME?</v>
      </c>
    </row>
    <row r="478" customFormat="false" ht="15.75" hidden="false" customHeight="true" outlineLevel="0" collapsed="false">
      <c r="D478" s="0" t="e">
        <v>#NAME?</v>
      </c>
      <c r="E478" s="0" t="e">
        <v>#NAME?</v>
      </c>
      <c r="F478" s="0" t="e">
        <v>#NAME?</v>
      </c>
      <c r="G478" s="0" t="e">
        <v>#NAME?</v>
      </c>
    </row>
    <row r="479" customFormat="false" ht="15.75" hidden="false" customHeight="true" outlineLevel="0" collapsed="false">
      <c r="D479" s="0" t="e">
        <v>#NAME?</v>
      </c>
      <c r="E479" s="0" t="e">
        <v>#NAME?</v>
      </c>
      <c r="F479" s="0" t="e">
        <v>#NAME?</v>
      </c>
      <c r="G479" s="0" t="e">
        <v>#NAME?</v>
      </c>
    </row>
    <row r="480" customFormat="false" ht="15.75" hidden="false" customHeight="true" outlineLevel="0" collapsed="false">
      <c r="D480" s="0" t="e">
        <v>#NAME?</v>
      </c>
      <c r="E480" s="0" t="e">
        <v>#NAME?</v>
      </c>
      <c r="F480" s="0" t="e">
        <v>#NAME?</v>
      </c>
      <c r="G480" s="0" t="e">
        <v>#NAME?</v>
      </c>
    </row>
    <row r="481" customFormat="false" ht="15.75" hidden="false" customHeight="true" outlineLevel="0" collapsed="false">
      <c r="D481" s="0" t="e">
        <v>#NAME?</v>
      </c>
      <c r="E481" s="0" t="e">
        <v>#NAME?</v>
      </c>
      <c r="F481" s="0" t="e">
        <v>#NAME?</v>
      </c>
      <c r="G481" s="0" t="e">
        <v>#NAME?</v>
      </c>
    </row>
    <row r="482" customFormat="false" ht="15.75" hidden="false" customHeight="true" outlineLevel="0" collapsed="false">
      <c r="D482" s="0" t="e">
        <v>#NAME?</v>
      </c>
      <c r="E482" s="0" t="e">
        <v>#NAME?</v>
      </c>
      <c r="F482" s="0" t="e">
        <v>#NAME?</v>
      </c>
      <c r="G482" s="0" t="e">
        <v>#NAME?</v>
      </c>
    </row>
    <row r="483" customFormat="false" ht="15.75" hidden="false" customHeight="true" outlineLevel="0" collapsed="false">
      <c r="D483" s="0" t="e">
        <v>#NAME?</v>
      </c>
      <c r="E483" s="0" t="e">
        <v>#NAME?</v>
      </c>
      <c r="F483" s="0" t="e">
        <v>#NAME?</v>
      </c>
      <c r="G483" s="0" t="e">
        <v>#NAME?</v>
      </c>
    </row>
    <row r="484" customFormat="false" ht="15.75" hidden="false" customHeight="true" outlineLevel="0" collapsed="false">
      <c r="D484" s="0" t="e">
        <v>#NAME?</v>
      </c>
      <c r="E484" s="0" t="e">
        <v>#NAME?</v>
      </c>
      <c r="F484" s="0" t="e">
        <v>#NAME?</v>
      </c>
      <c r="G484" s="0" t="e">
        <v>#NAME?</v>
      </c>
    </row>
    <row r="485" customFormat="false" ht="15.75" hidden="false" customHeight="true" outlineLevel="0" collapsed="false">
      <c r="D485" s="0" t="e">
        <v>#NAME?</v>
      </c>
      <c r="E485" s="0" t="e">
        <v>#NAME?</v>
      </c>
      <c r="F485" s="0" t="e">
        <v>#NAME?</v>
      </c>
      <c r="G485" s="0" t="e">
        <v>#NAME?</v>
      </c>
    </row>
    <row r="486" customFormat="false" ht="15.75" hidden="false" customHeight="true" outlineLevel="0" collapsed="false">
      <c r="D486" s="0" t="e">
        <v>#NAME?</v>
      </c>
      <c r="E486" s="0" t="e">
        <v>#NAME?</v>
      </c>
      <c r="F486" s="0" t="e">
        <v>#NAME?</v>
      </c>
      <c r="G486" s="0" t="e">
        <v>#NAME?</v>
      </c>
    </row>
    <row r="487" customFormat="false" ht="15.75" hidden="false" customHeight="true" outlineLevel="0" collapsed="false">
      <c r="D487" s="0" t="e">
        <v>#NAME?</v>
      </c>
      <c r="E487" s="0" t="e">
        <v>#NAME?</v>
      </c>
      <c r="F487" s="0" t="e">
        <v>#NAME?</v>
      </c>
      <c r="G487" s="0" t="e">
        <v>#NAME?</v>
      </c>
    </row>
    <row r="488" customFormat="false" ht="15.75" hidden="false" customHeight="true" outlineLevel="0" collapsed="false">
      <c r="D488" s="0" t="e">
        <v>#NAME?</v>
      </c>
      <c r="E488" s="0" t="e">
        <v>#NAME?</v>
      </c>
      <c r="F488" s="0" t="e">
        <v>#NAME?</v>
      </c>
      <c r="G488" s="0" t="e">
        <v>#NAME?</v>
      </c>
    </row>
    <row r="489" customFormat="false" ht="15.75" hidden="false" customHeight="true" outlineLevel="0" collapsed="false">
      <c r="D489" s="0" t="e">
        <v>#NAME?</v>
      </c>
      <c r="E489" s="0" t="e">
        <v>#NAME?</v>
      </c>
      <c r="F489" s="0" t="e">
        <v>#NAME?</v>
      </c>
      <c r="G489" s="0" t="e">
        <v>#NAME?</v>
      </c>
    </row>
    <row r="490" customFormat="false" ht="15.75" hidden="false" customHeight="true" outlineLevel="0" collapsed="false">
      <c r="D490" s="0" t="e">
        <v>#NAME?</v>
      </c>
      <c r="E490" s="0" t="e">
        <v>#NAME?</v>
      </c>
      <c r="F490" s="0" t="e">
        <v>#NAME?</v>
      </c>
      <c r="G490" s="0" t="e">
        <v>#NAME?</v>
      </c>
    </row>
    <row r="491" customFormat="false" ht="15.75" hidden="false" customHeight="true" outlineLevel="0" collapsed="false">
      <c r="D491" s="0" t="e">
        <v>#NAME?</v>
      </c>
      <c r="E491" s="0" t="e">
        <v>#NAME?</v>
      </c>
      <c r="F491" s="0" t="e">
        <v>#NAME?</v>
      </c>
      <c r="G491" s="0" t="e">
        <v>#NAME?</v>
      </c>
    </row>
    <row r="492" customFormat="false" ht="15.75" hidden="false" customHeight="true" outlineLevel="0" collapsed="false">
      <c r="D492" s="0" t="e">
        <v>#NAME?</v>
      </c>
      <c r="E492" s="0" t="e">
        <v>#NAME?</v>
      </c>
      <c r="F492" s="0" t="e">
        <v>#NAME?</v>
      </c>
      <c r="G492" s="0" t="e">
        <v>#NAME?</v>
      </c>
    </row>
    <row r="493" customFormat="false" ht="15.75" hidden="false" customHeight="true" outlineLevel="0" collapsed="false">
      <c r="D493" s="0" t="e">
        <v>#NAME?</v>
      </c>
      <c r="E493" s="0" t="e">
        <v>#NAME?</v>
      </c>
      <c r="F493" s="0" t="e">
        <v>#NAME?</v>
      </c>
      <c r="G493" s="0" t="e">
        <v>#NAME?</v>
      </c>
    </row>
    <row r="494" customFormat="false" ht="15.75" hidden="false" customHeight="true" outlineLevel="0" collapsed="false">
      <c r="D494" s="0" t="e">
        <v>#NAME?</v>
      </c>
      <c r="E494" s="0" t="e">
        <v>#NAME?</v>
      </c>
      <c r="F494" s="0" t="e">
        <v>#NAME?</v>
      </c>
      <c r="G494" s="0" t="e">
        <v>#NAME?</v>
      </c>
    </row>
    <row r="495" customFormat="false" ht="15.75" hidden="false" customHeight="true" outlineLevel="0" collapsed="false">
      <c r="D495" s="0" t="e">
        <v>#NAME?</v>
      </c>
      <c r="E495" s="0" t="e">
        <v>#NAME?</v>
      </c>
      <c r="F495" s="0" t="e">
        <v>#NAME?</v>
      </c>
      <c r="G495" s="0" t="e">
        <v>#NAME?</v>
      </c>
    </row>
    <row r="496" customFormat="false" ht="15.75" hidden="false" customHeight="true" outlineLevel="0" collapsed="false">
      <c r="D496" s="0" t="e">
        <v>#NAME?</v>
      </c>
      <c r="E496" s="0" t="e">
        <v>#NAME?</v>
      </c>
      <c r="F496" s="0" t="e">
        <v>#NAME?</v>
      </c>
      <c r="G496" s="0" t="e">
        <v>#NAME?</v>
      </c>
    </row>
    <row r="497" customFormat="false" ht="15.75" hidden="false" customHeight="true" outlineLevel="0" collapsed="false">
      <c r="D497" s="0" t="e">
        <v>#NAME?</v>
      </c>
      <c r="E497" s="0" t="e">
        <v>#NAME?</v>
      </c>
      <c r="F497" s="0" t="e">
        <v>#NAME?</v>
      </c>
      <c r="G497" s="0" t="e">
        <v>#NAME?</v>
      </c>
    </row>
    <row r="498" customFormat="false" ht="15.75" hidden="false" customHeight="true" outlineLevel="0" collapsed="false">
      <c r="D498" s="0" t="e">
        <v>#NAME?</v>
      </c>
      <c r="E498" s="0" t="e">
        <v>#NAME?</v>
      </c>
      <c r="F498" s="0" t="e">
        <v>#NAME?</v>
      </c>
      <c r="G498" s="0" t="e">
        <v>#NAME?</v>
      </c>
    </row>
    <row r="499" customFormat="false" ht="15.75" hidden="false" customHeight="true" outlineLevel="0" collapsed="false">
      <c r="D499" s="0" t="e">
        <v>#NAME?</v>
      </c>
      <c r="E499" s="0" t="e">
        <v>#NAME?</v>
      </c>
      <c r="F499" s="0" t="e">
        <v>#NAME?</v>
      </c>
      <c r="G499" s="0" t="e">
        <v>#NAME?</v>
      </c>
    </row>
    <row r="500" customFormat="false" ht="15.75" hidden="false" customHeight="true" outlineLevel="0" collapsed="false">
      <c r="D500" s="0" t="e">
        <v>#NAME?</v>
      </c>
      <c r="E500" s="0" t="e">
        <v>#NAME?</v>
      </c>
      <c r="F500" s="0" t="e">
        <v>#NAME?</v>
      </c>
      <c r="G500" s="0" t="e">
        <v>#NAME?</v>
      </c>
    </row>
    <row r="501" customFormat="false" ht="15.75" hidden="false" customHeight="true" outlineLevel="0" collapsed="false">
      <c r="D501" s="0" t="e">
        <v>#NAME?</v>
      </c>
      <c r="E501" s="0" t="e">
        <v>#NAME?</v>
      </c>
      <c r="F501" s="0" t="e">
        <v>#NAME?</v>
      </c>
      <c r="G501" s="0" t="e">
        <v>#NAME?</v>
      </c>
    </row>
    <row r="502" customFormat="false" ht="15.75" hidden="false" customHeight="true" outlineLevel="0" collapsed="false">
      <c r="D502" s="0" t="e">
        <v>#NAME?</v>
      </c>
      <c r="E502" s="0" t="e">
        <v>#NAME?</v>
      </c>
      <c r="F502" s="0" t="e">
        <v>#NAME?</v>
      </c>
      <c r="G502" s="0" t="e">
        <v>#NAME?</v>
      </c>
    </row>
    <row r="503" customFormat="false" ht="15.75" hidden="false" customHeight="true" outlineLevel="0" collapsed="false">
      <c r="D503" s="0" t="e">
        <v>#NAME?</v>
      </c>
      <c r="E503" s="0" t="e">
        <v>#NAME?</v>
      </c>
      <c r="F503" s="0" t="e">
        <v>#NAME?</v>
      </c>
      <c r="G503" s="0" t="e">
        <v>#NAME?</v>
      </c>
    </row>
    <row r="504" customFormat="false" ht="15.75" hidden="false" customHeight="true" outlineLevel="0" collapsed="false">
      <c r="D504" s="0" t="e">
        <v>#NAME?</v>
      </c>
      <c r="E504" s="0" t="e">
        <v>#NAME?</v>
      </c>
      <c r="F504" s="0" t="e">
        <v>#NAME?</v>
      </c>
      <c r="G504" s="0" t="e">
        <v>#NAME?</v>
      </c>
    </row>
    <row r="505" customFormat="false" ht="15.75" hidden="false" customHeight="true" outlineLevel="0" collapsed="false">
      <c r="D505" s="0" t="e">
        <v>#NAME?</v>
      </c>
      <c r="E505" s="0" t="e">
        <v>#NAME?</v>
      </c>
      <c r="F505" s="0" t="e">
        <v>#NAME?</v>
      </c>
      <c r="G505" s="0" t="e">
        <v>#NAME?</v>
      </c>
    </row>
    <row r="506" customFormat="false" ht="15.75" hidden="false" customHeight="true" outlineLevel="0" collapsed="false">
      <c r="D506" s="0" t="e">
        <v>#NAME?</v>
      </c>
      <c r="E506" s="0" t="e">
        <v>#NAME?</v>
      </c>
      <c r="F506" s="0" t="e">
        <v>#NAME?</v>
      </c>
      <c r="G506" s="0" t="e">
        <v>#NAME?</v>
      </c>
    </row>
    <row r="507" customFormat="false" ht="15.75" hidden="false" customHeight="true" outlineLevel="0" collapsed="false">
      <c r="D507" s="0" t="e">
        <v>#NAME?</v>
      </c>
      <c r="E507" s="0" t="e">
        <v>#NAME?</v>
      </c>
      <c r="F507" s="0" t="e">
        <v>#NAME?</v>
      </c>
      <c r="G507" s="0" t="e">
        <v>#NAME?</v>
      </c>
    </row>
    <row r="508" customFormat="false" ht="15.75" hidden="false" customHeight="true" outlineLevel="0" collapsed="false">
      <c r="D508" s="0" t="e">
        <v>#NAME?</v>
      </c>
      <c r="E508" s="0" t="e">
        <v>#NAME?</v>
      </c>
      <c r="F508" s="0" t="e">
        <v>#NAME?</v>
      </c>
      <c r="G508" s="0" t="e">
        <v>#NAME?</v>
      </c>
    </row>
    <row r="509" customFormat="false" ht="15.75" hidden="false" customHeight="true" outlineLevel="0" collapsed="false">
      <c r="D509" s="0" t="e">
        <v>#NAME?</v>
      </c>
      <c r="E509" s="0" t="e">
        <v>#NAME?</v>
      </c>
      <c r="F509" s="0" t="e">
        <v>#NAME?</v>
      </c>
      <c r="G509" s="0" t="e">
        <v>#NAME?</v>
      </c>
    </row>
    <row r="510" customFormat="false" ht="15.75" hidden="false" customHeight="true" outlineLevel="0" collapsed="false">
      <c r="D510" s="0" t="e">
        <v>#NAME?</v>
      </c>
      <c r="E510" s="0" t="e">
        <v>#NAME?</v>
      </c>
      <c r="F510" s="0" t="e">
        <v>#NAME?</v>
      </c>
      <c r="G510" s="0" t="e">
        <v>#NAME?</v>
      </c>
    </row>
    <row r="511" customFormat="false" ht="15.75" hidden="false" customHeight="true" outlineLevel="0" collapsed="false">
      <c r="D511" s="0" t="e">
        <v>#NAME?</v>
      </c>
      <c r="E511" s="0" t="e">
        <v>#NAME?</v>
      </c>
      <c r="F511" s="0" t="e">
        <v>#NAME?</v>
      </c>
      <c r="G511" s="0" t="e">
        <v>#NAME?</v>
      </c>
    </row>
    <row r="512" customFormat="false" ht="15.75" hidden="false" customHeight="true" outlineLevel="0" collapsed="false">
      <c r="D512" s="0" t="e">
        <v>#NAME?</v>
      </c>
      <c r="E512" s="0" t="e">
        <v>#NAME?</v>
      </c>
      <c r="F512" s="0" t="e">
        <v>#NAME?</v>
      </c>
      <c r="G512" s="0" t="e">
        <v>#NAME?</v>
      </c>
    </row>
    <row r="513" customFormat="false" ht="15.75" hidden="false" customHeight="true" outlineLevel="0" collapsed="false">
      <c r="D513" s="0" t="e">
        <v>#NAME?</v>
      </c>
      <c r="E513" s="0" t="e">
        <v>#NAME?</v>
      </c>
      <c r="F513" s="0" t="e">
        <v>#NAME?</v>
      </c>
      <c r="G513" s="0" t="e">
        <v>#NAME?</v>
      </c>
    </row>
    <row r="514" customFormat="false" ht="15.75" hidden="false" customHeight="true" outlineLevel="0" collapsed="false">
      <c r="D514" s="0" t="e">
        <v>#NAME?</v>
      </c>
      <c r="E514" s="0" t="e">
        <v>#NAME?</v>
      </c>
      <c r="F514" s="0" t="e">
        <v>#NAME?</v>
      </c>
      <c r="G514" s="0" t="e">
        <v>#NAME?</v>
      </c>
    </row>
    <row r="515" customFormat="false" ht="15.75" hidden="false" customHeight="true" outlineLevel="0" collapsed="false">
      <c r="D515" s="0" t="e">
        <v>#NAME?</v>
      </c>
      <c r="E515" s="0" t="e">
        <v>#NAME?</v>
      </c>
      <c r="F515" s="0" t="e">
        <v>#NAME?</v>
      </c>
      <c r="G515" s="0" t="e">
        <v>#NAME?</v>
      </c>
    </row>
    <row r="516" customFormat="false" ht="15.75" hidden="false" customHeight="true" outlineLevel="0" collapsed="false">
      <c r="D516" s="0" t="e">
        <v>#NAME?</v>
      </c>
      <c r="E516" s="0" t="e">
        <v>#NAME?</v>
      </c>
      <c r="F516" s="0" t="e">
        <v>#NAME?</v>
      </c>
      <c r="G516" s="0" t="e">
        <v>#NAME?</v>
      </c>
    </row>
    <row r="517" customFormat="false" ht="15.75" hidden="false" customHeight="true" outlineLevel="0" collapsed="false">
      <c r="D517" s="0" t="e">
        <v>#NAME?</v>
      </c>
      <c r="E517" s="0" t="e">
        <v>#NAME?</v>
      </c>
      <c r="F517" s="0" t="e">
        <v>#NAME?</v>
      </c>
      <c r="G517" s="0" t="e">
        <v>#NAME?</v>
      </c>
    </row>
    <row r="518" customFormat="false" ht="15.75" hidden="false" customHeight="true" outlineLevel="0" collapsed="false">
      <c r="D518" s="0" t="e">
        <v>#NAME?</v>
      </c>
      <c r="E518" s="0" t="e">
        <v>#NAME?</v>
      </c>
      <c r="F518" s="0" t="e">
        <v>#NAME?</v>
      </c>
      <c r="G518" s="0" t="e">
        <v>#NAME?</v>
      </c>
    </row>
    <row r="519" customFormat="false" ht="15.75" hidden="false" customHeight="true" outlineLevel="0" collapsed="false">
      <c r="D519" s="0" t="e">
        <v>#NAME?</v>
      </c>
      <c r="E519" s="0" t="e">
        <v>#NAME?</v>
      </c>
      <c r="F519" s="0" t="e">
        <v>#NAME?</v>
      </c>
      <c r="G519" s="0" t="e">
        <v>#NAME?</v>
      </c>
    </row>
    <row r="520" customFormat="false" ht="15.75" hidden="false" customHeight="true" outlineLevel="0" collapsed="false">
      <c r="D520" s="0" t="e">
        <v>#NAME?</v>
      </c>
      <c r="E520" s="0" t="e">
        <v>#NAME?</v>
      </c>
      <c r="F520" s="0" t="e">
        <v>#NAME?</v>
      </c>
      <c r="G520" s="0" t="e">
        <v>#NAME?</v>
      </c>
    </row>
    <row r="521" customFormat="false" ht="15.75" hidden="false" customHeight="true" outlineLevel="0" collapsed="false">
      <c r="D521" s="0" t="e">
        <v>#NAME?</v>
      </c>
      <c r="E521" s="0" t="e">
        <v>#NAME?</v>
      </c>
      <c r="F521" s="0" t="e">
        <v>#NAME?</v>
      </c>
      <c r="G521" s="0" t="e">
        <v>#NAME?</v>
      </c>
    </row>
    <row r="522" customFormat="false" ht="15.75" hidden="false" customHeight="true" outlineLevel="0" collapsed="false">
      <c r="D522" s="0" t="e">
        <v>#NAME?</v>
      </c>
      <c r="E522" s="0" t="e">
        <v>#NAME?</v>
      </c>
      <c r="F522" s="0" t="e">
        <v>#NAME?</v>
      </c>
      <c r="G522" s="0" t="e">
        <v>#NAME?</v>
      </c>
    </row>
    <row r="523" customFormat="false" ht="15.75" hidden="false" customHeight="true" outlineLevel="0" collapsed="false">
      <c r="D523" s="0" t="e">
        <v>#NAME?</v>
      </c>
      <c r="E523" s="0" t="e">
        <v>#NAME?</v>
      </c>
      <c r="F523" s="0" t="e">
        <v>#NAME?</v>
      </c>
      <c r="G523" s="0" t="e">
        <v>#NAME?</v>
      </c>
    </row>
    <row r="524" customFormat="false" ht="15.75" hidden="false" customHeight="true" outlineLevel="0" collapsed="false">
      <c r="D524" s="0" t="e">
        <v>#NAME?</v>
      </c>
      <c r="E524" s="0" t="e">
        <v>#NAME?</v>
      </c>
      <c r="F524" s="0" t="e">
        <v>#NAME?</v>
      </c>
      <c r="G524" s="0" t="e">
        <v>#NAME?</v>
      </c>
    </row>
    <row r="525" customFormat="false" ht="15.75" hidden="false" customHeight="true" outlineLevel="0" collapsed="false">
      <c r="D525" s="0" t="e">
        <v>#NAME?</v>
      </c>
      <c r="E525" s="0" t="e">
        <v>#NAME?</v>
      </c>
      <c r="F525" s="0" t="e">
        <v>#NAME?</v>
      </c>
      <c r="G525" s="0" t="e">
        <v>#NAME?</v>
      </c>
    </row>
    <row r="526" customFormat="false" ht="15.75" hidden="false" customHeight="true" outlineLevel="0" collapsed="false">
      <c r="D526" s="0" t="e">
        <v>#NAME?</v>
      </c>
      <c r="E526" s="0" t="e">
        <v>#NAME?</v>
      </c>
      <c r="F526" s="0" t="e">
        <v>#NAME?</v>
      </c>
      <c r="G526" s="0" t="e">
        <v>#NAME?</v>
      </c>
    </row>
    <row r="527" customFormat="false" ht="15.75" hidden="false" customHeight="true" outlineLevel="0" collapsed="false">
      <c r="D527" s="0" t="e">
        <v>#NAME?</v>
      </c>
      <c r="E527" s="0" t="e">
        <v>#NAME?</v>
      </c>
      <c r="F527" s="0" t="e">
        <v>#NAME?</v>
      </c>
      <c r="G527" s="0" t="e">
        <v>#NAME?</v>
      </c>
    </row>
    <row r="528" customFormat="false" ht="15.75" hidden="false" customHeight="true" outlineLevel="0" collapsed="false">
      <c r="D528" s="0" t="e">
        <v>#NAME?</v>
      </c>
      <c r="E528" s="0" t="e">
        <v>#NAME?</v>
      </c>
      <c r="F528" s="0" t="e">
        <v>#NAME?</v>
      </c>
      <c r="G528" s="0" t="e">
        <v>#NAME?</v>
      </c>
    </row>
    <row r="529" customFormat="false" ht="15.75" hidden="false" customHeight="true" outlineLevel="0" collapsed="false">
      <c r="D529" s="0" t="e">
        <v>#NAME?</v>
      </c>
      <c r="E529" s="0" t="e">
        <v>#NAME?</v>
      </c>
      <c r="F529" s="0" t="e">
        <v>#NAME?</v>
      </c>
      <c r="G529" s="0" t="e">
        <v>#NAME?</v>
      </c>
    </row>
    <row r="530" customFormat="false" ht="15.75" hidden="false" customHeight="true" outlineLevel="0" collapsed="false">
      <c r="D530" s="0" t="e">
        <v>#NAME?</v>
      </c>
      <c r="E530" s="0" t="e">
        <v>#NAME?</v>
      </c>
      <c r="F530" s="0" t="e">
        <v>#NAME?</v>
      </c>
      <c r="G530" s="0" t="e">
        <v>#NAME?</v>
      </c>
    </row>
    <row r="531" customFormat="false" ht="15.75" hidden="false" customHeight="true" outlineLevel="0" collapsed="false">
      <c r="D531" s="0" t="e">
        <v>#NAME?</v>
      </c>
      <c r="E531" s="0" t="e">
        <v>#NAME?</v>
      </c>
      <c r="F531" s="0" t="e">
        <v>#NAME?</v>
      </c>
      <c r="G531" s="0" t="e">
        <v>#NAME?</v>
      </c>
    </row>
    <row r="532" customFormat="false" ht="15.75" hidden="false" customHeight="true" outlineLevel="0" collapsed="false">
      <c r="D532" s="0" t="e">
        <v>#NAME?</v>
      </c>
      <c r="E532" s="0" t="e">
        <v>#NAME?</v>
      </c>
      <c r="F532" s="0" t="e">
        <v>#NAME?</v>
      </c>
      <c r="G532" s="0" t="e">
        <v>#NAME?</v>
      </c>
    </row>
    <row r="533" customFormat="false" ht="15.75" hidden="false" customHeight="true" outlineLevel="0" collapsed="false">
      <c r="D533" s="0" t="e">
        <v>#NAME?</v>
      </c>
      <c r="E533" s="0" t="e">
        <v>#NAME?</v>
      </c>
      <c r="F533" s="0" t="e">
        <v>#NAME?</v>
      </c>
      <c r="G533" s="0" t="e">
        <v>#NAME?</v>
      </c>
    </row>
    <row r="534" customFormat="false" ht="15.75" hidden="false" customHeight="true" outlineLevel="0" collapsed="false">
      <c r="D534" s="0" t="e">
        <v>#NAME?</v>
      </c>
      <c r="E534" s="0" t="e">
        <v>#NAME?</v>
      </c>
      <c r="F534" s="0" t="e">
        <v>#NAME?</v>
      </c>
      <c r="G534" s="0" t="e">
        <v>#NAME?</v>
      </c>
    </row>
    <row r="535" customFormat="false" ht="15.75" hidden="false" customHeight="true" outlineLevel="0" collapsed="false">
      <c r="D535" s="0" t="e">
        <v>#NAME?</v>
      </c>
      <c r="E535" s="0" t="e">
        <v>#NAME?</v>
      </c>
      <c r="F535" s="0" t="e">
        <v>#NAME?</v>
      </c>
      <c r="G535" s="0" t="e">
        <v>#NAME?</v>
      </c>
    </row>
    <row r="536" customFormat="false" ht="15.75" hidden="false" customHeight="true" outlineLevel="0" collapsed="false">
      <c r="D536" s="0" t="e">
        <v>#NAME?</v>
      </c>
      <c r="E536" s="0" t="e">
        <v>#NAME?</v>
      </c>
      <c r="F536" s="0" t="e">
        <v>#NAME?</v>
      </c>
      <c r="G536" s="0" t="e">
        <v>#NAME?</v>
      </c>
    </row>
    <row r="537" customFormat="false" ht="15.75" hidden="false" customHeight="true" outlineLevel="0" collapsed="false">
      <c r="D537" s="0" t="e">
        <v>#NAME?</v>
      </c>
      <c r="E537" s="0" t="e">
        <v>#NAME?</v>
      </c>
      <c r="F537" s="0" t="e">
        <v>#NAME?</v>
      </c>
      <c r="G537" s="0" t="e">
        <v>#NAME?</v>
      </c>
    </row>
    <row r="538" customFormat="false" ht="15.75" hidden="false" customHeight="true" outlineLevel="0" collapsed="false">
      <c r="D538" s="0" t="e">
        <v>#NAME?</v>
      </c>
      <c r="E538" s="0" t="e">
        <v>#NAME?</v>
      </c>
      <c r="F538" s="0" t="e">
        <v>#NAME?</v>
      </c>
      <c r="G538" s="0" t="e">
        <v>#NAME?</v>
      </c>
    </row>
    <row r="539" customFormat="false" ht="15.75" hidden="false" customHeight="true" outlineLevel="0" collapsed="false">
      <c r="D539" s="0" t="e">
        <v>#NAME?</v>
      </c>
      <c r="E539" s="0" t="e">
        <v>#NAME?</v>
      </c>
      <c r="F539" s="0" t="e">
        <v>#NAME?</v>
      </c>
      <c r="G539" s="0" t="e">
        <v>#NAME?</v>
      </c>
    </row>
    <row r="540" customFormat="false" ht="15.75" hidden="false" customHeight="true" outlineLevel="0" collapsed="false">
      <c r="D540" s="0" t="e">
        <v>#NAME?</v>
      </c>
      <c r="E540" s="0" t="e">
        <v>#NAME?</v>
      </c>
      <c r="F540" s="0" t="e">
        <v>#NAME?</v>
      </c>
      <c r="G540" s="0" t="e">
        <v>#NAME?</v>
      </c>
    </row>
    <row r="541" customFormat="false" ht="15.75" hidden="false" customHeight="true" outlineLevel="0" collapsed="false">
      <c r="D541" s="0" t="e">
        <v>#NAME?</v>
      </c>
      <c r="E541" s="0" t="e">
        <v>#NAME?</v>
      </c>
      <c r="F541" s="0" t="e">
        <v>#NAME?</v>
      </c>
      <c r="G541" s="0" t="e">
        <v>#NAME?</v>
      </c>
    </row>
    <row r="542" customFormat="false" ht="15.75" hidden="false" customHeight="true" outlineLevel="0" collapsed="false">
      <c r="D542" s="0" t="e">
        <v>#NAME?</v>
      </c>
      <c r="E542" s="0" t="e">
        <v>#NAME?</v>
      </c>
      <c r="F542" s="0" t="e">
        <v>#NAME?</v>
      </c>
      <c r="G542" s="0" t="e">
        <v>#NAME?</v>
      </c>
    </row>
    <row r="543" customFormat="false" ht="15.75" hidden="false" customHeight="true" outlineLevel="0" collapsed="false">
      <c r="D543" s="0" t="e">
        <v>#NAME?</v>
      </c>
      <c r="E543" s="0" t="e">
        <v>#NAME?</v>
      </c>
      <c r="F543" s="0" t="e">
        <v>#NAME?</v>
      </c>
      <c r="G543" s="0" t="e">
        <v>#NAME?</v>
      </c>
    </row>
    <row r="544" customFormat="false" ht="15.75" hidden="false" customHeight="true" outlineLevel="0" collapsed="false">
      <c r="D544" s="0" t="e">
        <v>#NAME?</v>
      </c>
      <c r="E544" s="0" t="e">
        <v>#NAME?</v>
      </c>
      <c r="F544" s="0" t="e">
        <v>#NAME?</v>
      </c>
      <c r="G544" s="0" t="e">
        <v>#NAME?</v>
      </c>
    </row>
    <row r="545" customFormat="false" ht="15.75" hidden="false" customHeight="true" outlineLevel="0" collapsed="false">
      <c r="D545" s="0" t="e">
        <v>#NAME?</v>
      </c>
      <c r="E545" s="0" t="e">
        <v>#NAME?</v>
      </c>
      <c r="F545" s="0" t="e">
        <v>#NAME?</v>
      </c>
      <c r="G545" s="0" t="e">
        <v>#NAME?</v>
      </c>
    </row>
    <row r="546" customFormat="false" ht="15.75" hidden="false" customHeight="true" outlineLevel="0" collapsed="false">
      <c r="D546" s="0" t="e">
        <v>#NAME?</v>
      </c>
      <c r="E546" s="0" t="e">
        <v>#NAME?</v>
      </c>
      <c r="F546" s="0" t="e">
        <v>#NAME?</v>
      </c>
      <c r="G546" s="0" t="e">
        <v>#NAME?</v>
      </c>
    </row>
    <row r="547" customFormat="false" ht="15.75" hidden="false" customHeight="true" outlineLevel="0" collapsed="false">
      <c r="D547" s="0" t="e">
        <v>#NAME?</v>
      </c>
      <c r="E547" s="0" t="e">
        <v>#NAME?</v>
      </c>
      <c r="F547" s="0" t="e">
        <v>#NAME?</v>
      </c>
      <c r="G547" s="0" t="e">
        <v>#NAME?</v>
      </c>
    </row>
    <row r="548" customFormat="false" ht="15.75" hidden="false" customHeight="true" outlineLevel="0" collapsed="false">
      <c r="D548" s="0" t="e">
        <v>#NAME?</v>
      </c>
      <c r="E548" s="0" t="e">
        <v>#NAME?</v>
      </c>
      <c r="F548" s="0" t="e">
        <v>#NAME?</v>
      </c>
      <c r="G548" s="0" t="e">
        <v>#NAME?</v>
      </c>
    </row>
    <row r="549" customFormat="false" ht="15.75" hidden="false" customHeight="true" outlineLevel="0" collapsed="false">
      <c r="D549" s="0" t="e">
        <v>#NAME?</v>
      </c>
      <c r="E549" s="0" t="e">
        <v>#NAME?</v>
      </c>
      <c r="F549" s="0" t="e">
        <v>#NAME?</v>
      </c>
      <c r="G549" s="0" t="e">
        <v>#NAME?</v>
      </c>
    </row>
    <row r="550" customFormat="false" ht="15.75" hidden="false" customHeight="true" outlineLevel="0" collapsed="false">
      <c r="D550" s="0" t="e">
        <v>#NAME?</v>
      </c>
      <c r="E550" s="0" t="e">
        <v>#NAME?</v>
      </c>
      <c r="F550" s="0" t="e">
        <v>#NAME?</v>
      </c>
      <c r="G550" s="0" t="e">
        <v>#NAME?</v>
      </c>
    </row>
    <row r="551" customFormat="false" ht="15.75" hidden="false" customHeight="true" outlineLevel="0" collapsed="false">
      <c r="D551" s="0" t="e">
        <v>#NAME?</v>
      </c>
      <c r="E551" s="0" t="e">
        <v>#NAME?</v>
      </c>
      <c r="F551" s="0" t="e">
        <v>#NAME?</v>
      </c>
      <c r="G551" s="0" t="e">
        <v>#NAME?</v>
      </c>
    </row>
    <row r="552" customFormat="false" ht="15.75" hidden="false" customHeight="true" outlineLevel="0" collapsed="false">
      <c r="D552" s="0" t="e">
        <v>#NAME?</v>
      </c>
      <c r="E552" s="0" t="e">
        <v>#NAME?</v>
      </c>
      <c r="F552" s="0" t="e">
        <v>#NAME?</v>
      </c>
      <c r="G552" s="0" t="e">
        <v>#NAME?</v>
      </c>
    </row>
    <row r="553" customFormat="false" ht="15.75" hidden="false" customHeight="true" outlineLevel="0" collapsed="false">
      <c r="D553" s="0" t="e">
        <v>#NAME?</v>
      </c>
      <c r="E553" s="0" t="e">
        <v>#NAME?</v>
      </c>
      <c r="F553" s="0" t="e">
        <v>#NAME?</v>
      </c>
      <c r="G553" s="0" t="e">
        <v>#NAME?</v>
      </c>
    </row>
    <row r="554" customFormat="false" ht="15.75" hidden="false" customHeight="true" outlineLevel="0" collapsed="false">
      <c r="D554" s="0" t="e">
        <v>#NAME?</v>
      </c>
      <c r="E554" s="0" t="e">
        <v>#NAME?</v>
      </c>
      <c r="F554" s="0" t="e">
        <v>#NAME?</v>
      </c>
      <c r="G554" s="0" t="e">
        <v>#NAME?</v>
      </c>
    </row>
    <row r="555" customFormat="false" ht="15.75" hidden="false" customHeight="true" outlineLevel="0" collapsed="false">
      <c r="D555" s="0" t="e">
        <v>#NAME?</v>
      </c>
      <c r="E555" s="0" t="e">
        <v>#NAME?</v>
      </c>
      <c r="F555" s="0" t="e">
        <v>#NAME?</v>
      </c>
      <c r="G555" s="0" t="e">
        <v>#NAME?</v>
      </c>
    </row>
    <row r="556" customFormat="false" ht="15.75" hidden="false" customHeight="true" outlineLevel="0" collapsed="false">
      <c r="D556" s="0" t="e">
        <v>#NAME?</v>
      </c>
      <c r="E556" s="0" t="e">
        <v>#NAME?</v>
      </c>
      <c r="F556" s="0" t="e">
        <v>#NAME?</v>
      </c>
      <c r="G556" s="0" t="e">
        <v>#NAME?</v>
      </c>
    </row>
    <row r="557" customFormat="false" ht="15.75" hidden="false" customHeight="true" outlineLevel="0" collapsed="false">
      <c r="D557" s="0" t="e">
        <v>#NAME?</v>
      </c>
      <c r="E557" s="0" t="e">
        <v>#NAME?</v>
      </c>
      <c r="F557" s="0" t="e">
        <v>#NAME?</v>
      </c>
      <c r="G557" s="0" t="e">
        <v>#NAME?</v>
      </c>
    </row>
    <row r="558" customFormat="false" ht="15.75" hidden="false" customHeight="true" outlineLevel="0" collapsed="false">
      <c r="D558" s="0" t="e">
        <v>#NAME?</v>
      </c>
      <c r="E558" s="0" t="e">
        <v>#NAME?</v>
      </c>
      <c r="F558" s="0" t="e">
        <v>#NAME?</v>
      </c>
      <c r="G558" s="0" t="e">
        <v>#NAME?</v>
      </c>
    </row>
    <row r="559" customFormat="false" ht="15.75" hidden="false" customHeight="true" outlineLevel="0" collapsed="false">
      <c r="D559" s="0" t="e">
        <v>#NAME?</v>
      </c>
      <c r="E559" s="0" t="e">
        <v>#NAME?</v>
      </c>
      <c r="F559" s="0" t="e">
        <v>#NAME?</v>
      </c>
      <c r="G559" s="0" t="e">
        <v>#NAME?</v>
      </c>
    </row>
    <row r="560" customFormat="false" ht="15.75" hidden="false" customHeight="true" outlineLevel="0" collapsed="false">
      <c r="D560" s="0" t="e">
        <v>#NAME?</v>
      </c>
      <c r="E560" s="0" t="e">
        <v>#NAME?</v>
      </c>
      <c r="F560" s="0" t="e">
        <v>#NAME?</v>
      </c>
      <c r="G560" s="0" t="e">
        <v>#NAME?</v>
      </c>
    </row>
    <row r="561" customFormat="false" ht="15.75" hidden="false" customHeight="true" outlineLevel="0" collapsed="false">
      <c r="D561" s="0" t="e">
        <v>#NAME?</v>
      </c>
      <c r="E561" s="0" t="e">
        <v>#NAME?</v>
      </c>
      <c r="F561" s="0" t="e">
        <v>#NAME?</v>
      </c>
      <c r="G561" s="0" t="e">
        <v>#NAME?</v>
      </c>
    </row>
    <row r="562" customFormat="false" ht="15.75" hidden="false" customHeight="true" outlineLevel="0" collapsed="false">
      <c r="D562" s="0" t="e">
        <v>#NAME?</v>
      </c>
      <c r="E562" s="0" t="e">
        <v>#NAME?</v>
      </c>
      <c r="F562" s="0" t="e">
        <v>#NAME?</v>
      </c>
      <c r="G562" s="0" t="e">
        <v>#NAME?</v>
      </c>
    </row>
    <row r="563" customFormat="false" ht="15.75" hidden="false" customHeight="true" outlineLevel="0" collapsed="false">
      <c r="D563" s="0" t="e">
        <v>#NAME?</v>
      </c>
      <c r="E563" s="0" t="e">
        <v>#NAME?</v>
      </c>
      <c r="F563" s="0" t="e">
        <v>#NAME?</v>
      </c>
      <c r="G563" s="0" t="e">
        <v>#NAME?</v>
      </c>
    </row>
    <row r="564" customFormat="false" ht="15.75" hidden="false" customHeight="true" outlineLevel="0" collapsed="false">
      <c r="D564" s="0" t="e">
        <v>#NAME?</v>
      </c>
      <c r="E564" s="0" t="e">
        <v>#NAME?</v>
      </c>
      <c r="F564" s="0" t="e">
        <v>#NAME?</v>
      </c>
      <c r="G564" s="0" t="e">
        <v>#NAME?</v>
      </c>
    </row>
    <row r="565" customFormat="false" ht="15.75" hidden="false" customHeight="true" outlineLevel="0" collapsed="false">
      <c r="D565" s="0" t="e">
        <v>#NAME?</v>
      </c>
      <c r="E565" s="0" t="e">
        <v>#NAME?</v>
      </c>
      <c r="F565" s="0" t="e">
        <v>#NAME?</v>
      </c>
      <c r="G565" s="0" t="e">
        <v>#NAME?</v>
      </c>
    </row>
    <row r="566" customFormat="false" ht="15.75" hidden="false" customHeight="true" outlineLevel="0" collapsed="false">
      <c r="D566" s="0" t="e">
        <v>#NAME?</v>
      </c>
      <c r="E566" s="0" t="e">
        <v>#NAME?</v>
      </c>
      <c r="F566" s="0" t="e">
        <v>#NAME?</v>
      </c>
      <c r="G566" s="0" t="e">
        <v>#NAME?</v>
      </c>
    </row>
    <row r="567" customFormat="false" ht="15.75" hidden="false" customHeight="true" outlineLevel="0" collapsed="false">
      <c r="D567" s="0" t="e">
        <v>#NAME?</v>
      </c>
      <c r="E567" s="0" t="e">
        <v>#NAME?</v>
      </c>
      <c r="F567" s="0" t="e">
        <v>#NAME?</v>
      </c>
      <c r="G567" s="0" t="e">
        <v>#NAME?</v>
      </c>
    </row>
    <row r="568" customFormat="false" ht="15.75" hidden="false" customHeight="true" outlineLevel="0" collapsed="false">
      <c r="D568" s="0" t="e">
        <v>#NAME?</v>
      </c>
      <c r="E568" s="0" t="e">
        <v>#NAME?</v>
      </c>
      <c r="F568" s="0" t="e">
        <v>#NAME?</v>
      </c>
      <c r="G568" s="0" t="e">
        <v>#NAME?</v>
      </c>
    </row>
    <row r="569" customFormat="false" ht="15.75" hidden="false" customHeight="true" outlineLevel="0" collapsed="false">
      <c r="D569" s="0" t="e">
        <v>#NAME?</v>
      </c>
      <c r="E569" s="0" t="e">
        <v>#NAME?</v>
      </c>
      <c r="F569" s="0" t="e">
        <v>#NAME?</v>
      </c>
      <c r="G569" s="0" t="e">
        <v>#NAME?</v>
      </c>
    </row>
    <row r="570" customFormat="false" ht="15.75" hidden="false" customHeight="true" outlineLevel="0" collapsed="false">
      <c r="D570" s="0" t="e">
        <v>#NAME?</v>
      </c>
      <c r="E570" s="0" t="e">
        <v>#NAME?</v>
      </c>
      <c r="F570" s="0" t="e">
        <v>#NAME?</v>
      </c>
      <c r="G570" s="0" t="e">
        <v>#NAME?</v>
      </c>
    </row>
    <row r="571" customFormat="false" ht="15.75" hidden="false" customHeight="true" outlineLevel="0" collapsed="false">
      <c r="D571" s="0" t="e">
        <v>#NAME?</v>
      </c>
      <c r="E571" s="0" t="e">
        <v>#NAME?</v>
      </c>
      <c r="F571" s="0" t="e">
        <v>#NAME?</v>
      </c>
      <c r="G571" s="0" t="e">
        <v>#NAME?</v>
      </c>
    </row>
    <row r="572" customFormat="false" ht="15.75" hidden="false" customHeight="true" outlineLevel="0" collapsed="false">
      <c r="D572" s="0" t="e">
        <v>#NAME?</v>
      </c>
      <c r="E572" s="0" t="e">
        <v>#NAME?</v>
      </c>
      <c r="F572" s="0" t="e">
        <v>#NAME?</v>
      </c>
      <c r="G572" s="0" t="e">
        <v>#NAME?</v>
      </c>
    </row>
    <row r="573" customFormat="false" ht="15.75" hidden="false" customHeight="true" outlineLevel="0" collapsed="false">
      <c r="D573" s="0" t="e">
        <v>#NAME?</v>
      </c>
      <c r="E573" s="0" t="e">
        <v>#NAME?</v>
      </c>
      <c r="F573" s="0" t="e">
        <v>#NAME?</v>
      </c>
      <c r="G573" s="0" t="e">
        <v>#NAME?</v>
      </c>
    </row>
    <row r="574" customFormat="false" ht="15.75" hidden="false" customHeight="true" outlineLevel="0" collapsed="false">
      <c r="D574" s="0" t="e">
        <v>#NAME?</v>
      </c>
      <c r="E574" s="0" t="e">
        <v>#NAME?</v>
      </c>
      <c r="F574" s="0" t="e">
        <v>#NAME?</v>
      </c>
      <c r="G574" s="0" t="e">
        <v>#NAME?</v>
      </c>
    </row>
    <row r="575" customFormat="false" ht="15.75" hidden="false" customHeight="true" outlineLevel="0" collapsed="false">
      <c r="D575" s="0" t="e">
        <v>#NAME?</v>
      </c>
      <c r="E575" s="0" t="e">
        <v>#NAME?</v>
      </c>
      <c r="F575" s="0" t="e">
        <v>#NAME?</v>
      </c>
      <c r="G575" s="0" t="e">
        <v>#NAME?</v>
      </c>
    </row>
    <row r="576" customFormat="false" ht="15.75" hidden="false" customHeight="true" outlineLevel="0" collapsed="false">
      <c r="D576" s="0" t="e">
        <v>#NAME?</v>
      </c>
      <c r="E576" s="0" t="e">
        <v>#NAME?</v>
      </c>
      <c r="F576" s="0" t="e">
        <v>#NAME?</v>
      </c>
      <c r="G576" s="0" t="e">
        <v>#NAME?</v>
      </c>
    </row>
    <row r="577" customFormat="false" ht="15.75" hidden="false" customHeight="true" outlineLevel="0" collapsed="false">
      <c r="D577" s="0" t="e">
        <v>#NAME?</v>
      </c>
      <c r="E577" s="0" t="e">
        <v>#NAME?</v>
      </c>
      <c r="F577" s="0" t="e">
        <v>#NAME?</v>
      </c>
      <c r="G577" s="0" t="e">
        <v>#NAME?</v>
      </c>
    </row>
    <row r="578" customFormat="false" ht="15.75" hidden="false" customHeight="true" outlineLevel="0" collapsed="false">
      <c r="D578" s="0" t="e">
        <v>#NAME?</v>
      </c>
      <c r="E578" s="0" t="e">
        <v>#NAME?</v>
      </c>
      <c r="F578" s="0" t="e">
        <v>#NAME?</v>
      </c>
      <c r="G578" s="0" t="e">
        <v>#NAME?</v>
      </c>
    </row>
    <row r="579" customFormat="false" ht="15.75" hidden="false" customHeight="true" outlineLevel="0" collapsed="false">
      <c r="D579" s="0" t="e">
        <v>#NAME?</v>
      </c>
      <c r="E579" s="0" t="e">
        <v>#NAME?</v>
      </c>
      <c r="F579" s="0" t="e">
        <v>#NAME?</v>
      </c>
      <c r="G579" s="0" t="e">
        <v>#NAME?</v>
      </c>
    </row>
    <row r="580" customFormat="false" ht="15.75" hidden="false" customHeight="true" outlineLevel="0" collapsed="false">
      <c r="D580" s="0" t="e">
        <v>#NAME?</v>
      </c>
      <c r="E580" s="0" t="e">
        <v>#NAME?</v>
      </c>
      <c r="F580" s="0" t="e">
        <v>#NAME?</v>
      </c>
      <c r="G580" s="0" t="e">
        <v>#NAME?</v>
      </c>
    </row>
    <row r="581" customFormat="false" ht="15.75" hidden="false" customHeight="true" outlineLevel="0" collapsed="false">
      <c r="D581" s="0" t="e">
        <v>#NAME?</v>
      </c>
      <c r="E581" s="0" t="e">
        <v>#NAME?</v>
      </c>
      <c r="F581" s="0" t="e">
        <v>#NAME?</v>
      </c>
      <c r="G581" s="0" t="e">
        <v>#NAME?</v>
      </c>
    </row>
    <row r="582" customFormat="false" ht="15.75" hidden="false" customHeight="true" outlineLevel="0" collapsed="false">
      <c r="D582" s="0" t="e">
        <v>#NAME?</v>
      </c>
      <c r="E582" s="0" t="e">
        <v>#NAME?</v>
      </c>
      <c r="F582" s="0" t="e">
        <v>#NAME?</v>
      </c>
      <c r="G582" s="0" t="e">
        <v>#NAME?</v>
      </c>
    </row>
    <row r="583" customFormat="false" ht="15.75" hidden="false" customHeight="true" outlineLevel="0" collapsed="false">
      <c r="D583" s="0" t="e">
        <v>#NAME?</v>
      </c>
      <c r="E583" s="0" t="e">
        <v>#NAME?</v>
      </c>
      <c r="F583" s="0" t="e">
        <v>#NAME?</v>
      </c>
      <c r="G583" s="0" t="e">
        <v>#NAME?</v>
      </c>
    </row>
    <row r="584" customFormat="false" ht="15.75" hidden="false" customHeight="true" outlineLevel="0" collapsed="false">
      <c r="D584" s="0" t="e">
        <v>#NAME?</v>
      </c>
      <c r="E584" s="0" t="e">
        <v>#NAME?</v>
      </c>
      <c r="F584" s="0" t="e">
        <v>#NAME?</v>
      </c>
      <c r="G584" s="0" t="e">
        <v>#NAME?</v>
      </c>
    </row>
    <row r="585" customFormat="false" ht="15.75" hidden="false" customHeight="true" outlineLevel="0" collapsed="false">
      <c r="D585" s="0" t="e">
        <v>#NAME?</v>
      </c>
      <c r="E585" s="0" t="e">
        <v>#NAME?</v>
      </c>
      <c r="F585" s="0" t="e">
        <v>#NAME?</v>
      </c>
      <c r="G585" s="0" t="e">
        <v>#NAME?</v>
      </c>
    </row>
    <row r="586" customFormat="false" ht="15.75" hidden="false" customHeight="true" outlineLevel="0" collapsed="false">
      <c r="D586" s="0" t="e">
        <v>#NAME?</v>
      </c>
      <c r="E586" s="0" t="e">
        <v>#NAME?</v>
      </c>
      <c r="F586" s="0" t="e">
        <v>#NAME?</v>
      </c>
      <c r="G586" s="0" t="e">
        <v>#NAME?</v>
      </c>
    </row>
    <row r="587" customFormat="false" ht="15.75" hidden="false" customHeight="true" outlineLevel="0" collapsed="false">
      <c r="D587" s="0" t="e">
        <v>#NAME?</v>
      </c>
      <c r="E587" s="0" t="e">
        <v>#NAME?</v>
      </c>
      <c r="F587" s="0" t="e">
        <v>#NAME?</v>
      </c>
      <c r="G587" s="0" t="e">
        <v>#NAME?</v>
      </c>
    </row>
    <row r="588" customFormat="false" ht="15.75" hidden="false" customHeight="true" outlineLevel="0" collapsed="false">
      <c r="D588" s="0" t="e">
        <v>#NAME?</v>
      </c>
      <c r="E588" s="0" t="e">
        <v>#NAME?</v>
      </c>
      <c r="F588" s="0" t="e">
        <v>#NAME?</v>
      </c>
      <c r="G588" s="0" t="e">
        <v>#NAME?</v>
      </c>
    </row>
    <row r="589" customFormat="false" ht="15.75" hidden="false" customHeight="true" outlineLevel="0" collapsed="false">
      <c r="D589" s="0" t="e">
        <v>#NAME?</v>
      </c>
      <c r="E589" s="0" t="e">
        <v>#NAME?</v>
      </c>
      <c r="F589" s="0" t="e">
        <v>#NAME?</v>
      </c>
      <c r="G589" s="0" t="e">
        <v>#NAME?</v>
      </c>
    </row>
    <row r="590" customFormat="false" ht="15.75" hidden="false" customHeight="true" outlineLevel="0" collapsed="false">
      <c r="D590" s="0" t="e">
        <v>#NAME?</v>
      </c>
      <c r="E590" s="0" t="e">
        <v>#NAME?</v>
      </c>
      <c r="F590" s="0" t="e">
        <v>#NAME?</v>
      </c>
      <c r="G590" s="0" t="e">
        <v>#NAME?</v>
      </c>
    </row>
    <row r="591" customFormat="false" ht="15.75" hidden="false" customHeight="true" outlineLevel="0" collapsed="false">
      <c r="D591" s="0" t="e">
        <v>#NAME?</v>
      </c>
      <c r="E591" s="0" t="e">
        <v>#NAME?</v>
      </c>
      <c r="F591" s="0" t="e">
        <v>#NAME?</v>
      </c>
      <c r="G591" s="0" t="e">
        <v>#NAME?</v>
      </c>
    </row>
    <row r="592" customFormat="false" ht="15.75" hidden="false" customHeight="true" outlineLevel="0" collapsed="false">
      <c r="D592" s="0" t="e">
        <v>#NAME?</v>
      </c>
      <c r="E592" s="0" t="e">
        <v>#NAME?</v>
      </c>
      <c r="F592" s="0" t="e">
        <v>#NAME?</v>
      </c>
      <c r="G592" s="0" t="e">
        <v>#NAME?</v>
      </c>
    </row>
    <row r="593" customFormat="false" ht="15.75" hidden="false" customHeight="true" outlineLevel="0" collapsed="false">
      <c r="D593" s="0" t="e">
        <v>#NAME?</v>
      </c>
      <c r="E593" s="0" t="e">
        <v>#NAME?</v>
      </c>
      <c r="F593" s="0" t="e">
        <v>#NAME?</v>
      </c>
      <c r="G593" s="0" t="e">
        <v>#NAME?</v>
      </c>
    </row>
    <row r="594" customFormat="false" ht="15.75" hidden="false" customHeight="true" outlineLevel="0" collapsed="false">
      <c r="D594" s="0" t="e">
        <v>#NAME?</v>
      </c>
      <c r="E594" s="0" t="e">
        <v>#NAME?</v>
      </c>
      <c r="F594" s="0" t="e">
        <v>#NAME?</v>
      </c>
      <c r="G594" s="0" t="e">
        <v>#NAME?</v>
      </c>
    </row>
    <row r="595" customFormat="false" ht="15.75" hidden="false" customHeight="true" outlineLevel="0" collapsed="false">
      <c r="D595" s="0" t="e">
        <v>#NAME?</v>
      </c>
      <c r="E595" s="0" t="e">
        <v>#NAME?</v>
      </c>
      <c r="F595" s="0" t="e">
        <v>#NAME?</v>
      </c>
      <c r="G595" s="0" t="e">
        <v>#NAME?</v>
      </c>
    </row>
    <row r="596" customFormat="false" ht="15.75" hidden="false" customHeight="true" outlineLevel="0" collapsed="false">
      <c r="D596" s="0" t="e">
        <v>#NAME?</v>
      </c>
      <c r="E596" s="0" t="e">
        <v>#NAME?</v>
      </c>
      <c r="F596" s="0" t="e">
        <v>#NAME?</v>
      </c>
      <c r="G596" s="0" t="e">
        <v>#NAME?</v>
      </c>
    </row>
    <row r="597" customFormat="false" ht="15.75" hidden="false" customHeight="true" outlineLevel="0" collapsed="false">
      <c r="D597" s="0" t="e">
        <v>#NAME?</v>
      </c>
      <c r="E597" s="0" t="e">
        <v>#NAME?</v>
      </c>
      <c r="F597" s="0" t="e">
        <v>#NAME?</v>
      </c>
      <c r="G597" s="0" t="e">
        <v>#NAME?</v>
      </c>
    </row>
    <row r="598" customFormat="false" ht="15.75" hidden="false" customHeight="true" outlineLevel="0" collapsed="false">
      <c r="D598" s="0" t="e">
        <v>#NAME?</v>
      </c>
      <c r="E598" s="0" t="e">
        <v>#NAME?</v>
      </c>
      <c r="F598" s="0" t="e">
        <v>#NAME?</v>
      </c>
      <c r="G598" s="0" t="e">
        <v>#NAME?</v>
      </c>
    </row>
    <row r="599" customFormat="false" ht="15.75" hidden="false" customHeight="true" outlineLevel="0" collapsed="false">
      <c r="D599" s="0" t="e">
        <v>#NAME?</v>
      </c>
      <c r="E599" s="0" t="e">
        <v>#NAME?</v>
      </c>
      <c r="F599" s="0" t="e">
        <v>#NAME?</v>
      </c>
      <c r="G599" s="0" t="e">
        <v>#NAME?</v>
      </c>
    </row>
    <row r="600" customFormat="false" ht="15.75" hidden="false" customHeight="true" outlineLevel="0" collapsed="false">
      <c r="D600" s="0" t="e">
        <v>#NAME?</v>
      </c>
      <c r="E600" s="0" t="e">
        <v>#NAME?</v>
      </c>
      <c r="F600" s="0" t="e">
        <v>#NAME?</v>
      </c>
      <c r="G600" s="0" t="e">
        <v>#NAME?</v>
      </c>
    </row>
    <row r="601" customFormat="false" ht="15.75" hidden="false" customHeight="true" outlineLevel="0" collapsed="false">
      <c r="D601" s="0" t="e">
        <v>#NAME?</v>
      </c>
      <c r="E601" s="0" t="e">
        <v>#NAME?</v>
      </c>
      <c r="F601" s="0" t="e">
        <v>#NAME?</v>
      </c>
      <c r="G601" s="0" t="e">
        <v>#NAME?</v>
      </c>
    </row>
    <row r="602" customFormat="false" ht="15.75" hidden="false" customHeight="true" outlineLevel="0" collapsed="false">
      <c r="D602" s="0" t="e">
        <v>#NAME?</v>
      </c>
      <c r="E602" s="0" t="e">
        <v>#NAME?</v>
      </c>
      <c r="F602" s="0" t="e">
        <v>#NAME?</v>
      </c>
      <c r="G602" s="0" t="e">
        <v>#NAME?</v>
      </c>
    </row>
    <row r="603" customFormat="false" ht="15.75" hidden="false" customHeight="true" outlineLevel="0" collapsed="false">
      <c r="D603" s="0" t="e">
        <v>#NAME?</v>
      </c>
      <c r="E603" s="0" t="e">
        <v>#NAME?</v>
      </c>
      <c r="F603" s="0" t="e">
        <v>#NAME?</v>
      </c>
      <c r="G603" s="0" t="e">
        <v>#NAME?</v>
      </c>
    </row>
    <row r="604" customFormat="false" ht="15.75" hidden="false" customHeight="true" outlineLevel="0" collapsed="false">
      <c r="D604" s="0" t="e">
        <v>#NAME?</v>
      </c>
      <c r="E604" s="0" t="e">
        <v>#NAME?</v>
      </c>
      <c r="F604" s="0" t="e">
        <v>#NAME?</v>
      </c>
      <c r="G604" s="0" t="e">
        <v>#NAME?</v>
      </c>
    </row>
    <row r="605" customFormat="false" ht="15.75" hidden="false" customHeight="true" outlineLevel="0" collapsed="false">
      <c r="D605" s="0" t="e">
        <v>#NAME?</v>
      </c>
      <c r="E605" s="0" t="e">
        <v>#NAME?</v>
      </c>
      <c r="F605" s="0" t="e">
        <v>#NAME?</v>
      </c>
      <c r="G605" s="0" t="e">
        <v>#NAME?</v>
      </c>
    </row>
    <row r="606" customFormat="false" ht="15.75" hidden="false" customHeight="true" outlineLevel="0" collapsed="false">
      <c r="D606" s="0" t="e">
        <v>#NAME?</v>
      </c>
      <c r="E606" s="0" t="e">
        <v>#NAME?</v>
      </c>
      <c r="F606" s="0" t="e">
        <v>#NAME?</v>
      </c>
      <c r="G606" s="0" t="e">
        <v>#NAME?</v>
      </c>
    </row>
    <row r="607" customFormat="false" ht="15.75" hidden="false" customHeight="true" outlineLevel="0" collapsed="false">
      <c r="D607" s="0" t="e">
        <v>#NAME?</v>
      </c>
      <c r="E607" s="0" t="e">
        <v>#NAME?</v>
      </c>
      <c r="F607" s="0" t="e">
        <v>#NAME?</v>
      </c>
      <c r="G607" s="0" t="e">
        <v>#NAME?</v>
      </c>
    </row>
    <row r="608" customFormat="false" ht="15.75" hidden="false" customHeight="true" outlineLevel="0" collapsed="false">
      <c r="D608" s="0" t="e">
        <v>#NAME?</v>
      </c>
      <c r="E608" s="0" t="e">
        <v>#NAME?</v>
      </c>
      <c r="F608" s="0" t="e">
        <v>#NAME?</v>
      </c>
      <c r="G608" s="0" t="e">
        <v>#NAME?</v>
      </c>
    </row>
    <row r="609" customFormat="false" ht="15.75" hidden="false" customHeight="true" outlineLevel="0" collapsed="false">
      <c r="D609" s="0" t="e">
        <v>#NAME?</v>
      </c>
      <c r="E609" s="0" t="e">
        <v>#NAME?</v>
      </c>
      <c r="F609" s="0" t="e">
        <v>#NAME?</v>
      </c>
      <c r="G609" s="0" t="e">
        <v>#NAME?</v>
      </c>
    </row>
    <row r="610" customFormat="false" ht="15.75" hidden="false" customHeight="true" outlineLevel="0" collapsed="false">
      <c r="D610" s="0" t="e">
        <v>#NAME?</v>
      </c>
      <c r="E610" s="0" t="e">
        <v>#NAME?</v>
      </c>
      <c r="F610" s="0" t="e">
        <v>#NAME?</v>
      </c>
      <c r="G610" s="0" t="e">
        <v>#NAME?</v>
      </c>
    </row>
    <row r="611" customFormat="false" ht="15.75" hidden="false" customHeight="true" outlineLevel="0" collapsed="false">
      <c r="D611" s="0" t="e">
        <v>#NAME?</v>
      </c>
      <c r="E611" s="0" t="e">
        <v>#NAME?</v>
      </c>
      <c r="F611" s="0" t="e">
        <v>#NAME?</v>
      </c>
      <c r="G611" s="0" t="e">
        <v>#NAME?</v>
      </c>
    </row>
    <row r="612" customFormat="false" ht="15.75" hidden="false" customHeight="true" outlineLevel="0" collapsed="false">
      <c r="D612" s="0" t="e">
        <v>#NAME?</v>
      </c>
      <c r="E612" s="0" t="e">
        <v>#NAME?</v>
      </c>
      <c r="F612" s="0" t="e">
        <v>#NAME?</v>
      </c>
      <c r="G612" s="0" t="e">
        <v>#NAME?</v>
      </c>
    </row>
    <row r="613" customFormat="false" ht="15.75" hidden="false" customHeight="true" outlineLevel="0" collapsed="false">
      <c r="D613" s="0" t="e">
        <v>#NAME?</v>
      </c>
      <c r="E613" s="0" t="e">
        <v>#NAME?</v>
      </c>
      <c r="F613" s="0" t="e">
        <v>#NAME?</v>
      </c>
      <c r="G613" s="0" t="e">
        <v>#NAME?</v>
      </c>
    </row>
    <row r="614" customFormat="false" ht="15.75" hidden="false" customHeight="true" outlineLevel="0" collapsed="false">
      <c r="D614" s="0" t="e">
        <v>#NAME?</v>
      </c>
      <c r="E614" s="0" t="e">
        <v>#NAME?</v>
      </c>
      <c r="F614" s="0" t="e">
        <v>#NAME?</v>
      </c>
      <c r="G614" s="0" t="e">
        <v>#NAME?</v>
      </c>
    </row>
    <row r="615" customFormat="false" ht="15.75" hidden="false" customHeight="true" outlineLevel="0" collapsed="false">
      <c r="D615" s="0" t="e">
        <v>#NAME?</v>
      </c>
      <c r="E615" s="0" t="e">
        <v>#NAME?</v>
      </c>
      <c r="F615" s="0" t="e">
        <v>#NAME?</v>
      </c>
      <c r="G615" s="0" t="e">
        <v>#NAME?</v>
      </c>
    </row>
    <row r="616" customFormat="false" ht="15.75" hidden="false" customHeight="true" outlineLevel="0" collapsed="false">
      <c r="D616" s="0" t="e">
        <v>#NAME?</v>
      </c>
      <c r="E616" s="0" t="e">
        <v>#NAME?</v>
      </c>
      <c r="F616" s="0" t="e">
        <v>#NAME?</v>
      </c>
      <c r="G616" s="0" t="e">
        <v>#NAME?</v>
      </c>
    </row>
    <row r="617" customFormat="false" ht="15.75" hidden="false" customHeight="true" outlineLevel="0" collapsed="false">
      <c r="D617" s="0" t="e">
        <v>#NAME?</v>
      </c>
      <c r="E617" s="0" t="e">
        <v>#NAME?</v>
      </c>
      <c r="F617" s="0" t="e">
        <v>#NAME?</v>
      </c>
      <c r="G617" s="0" t="e">
        <v>#NAME?</v>
      </c>
    </row>
    <row r="618" customFormat="false" ht="15.75" hidden="false" customHeight="true" outlineLevel="0" collapsed="false">
      <c r="D618" s="0" t="e">
        <v>#NAME?</v>
      </c>
      <c r="E618" s="0" t="e">
        <v>#NAME?</v>
      </c>
      <c r="F618" s="0" t="e">
        <v>#NAME?</v>
      </c>
      <c r="G618" s="0" t="e">
        <v>#NAME?</v>
      </c>
    </row>
    <row r="619" customFormat="false" ht="15.75" hidden="false" customHeight="true" outlineLevel="0" collapsed="false">
      <c r="D619" s="0" t="e">
        <v>#NAME?</v>
      </c>
      <c r="E619" s="0" t="e">
        <v>#NAME?</v>
      </c>
      <c r="F619" s="0" t="e">
        <v>#NAME?</v>
      </c>
      <c r="G619" s="0" t="e">
        <v>#NAME?</v>
      </c>
    </row>
    <row r="620" customFormat="false" ht="15.75" hidden="false" customHeight="true" outlineLevel="0" collapsed="false">
      <c r="D620" s="0" t="e">
        <v>#NAME?</v>
      </c>
      <c r="E620" s="0" t="e">
        <v>#NAME?</v>
      </c>
      <c r="F620" s="0" t="e">
        <v>#NAME?</v>
      </c>
      <c r="G620" s="0" t="e">
        <v>#NAME?</v>
      </c>
    </row>
    <row r="621" customFormat="false" ht="15.75" hidden="false" customHeight="true" outlineLevel="0" collapsed="false">
      <c r="D621" s="0" t="e">
        <v>#NAME?</v>
      </c>
      <c r="E621" s="0" t="e">
        <v>#NAME?</v>
      </c>
      <c r="F621" s="0" t="e">
        <v>#NAME?</v>
      </c>
      <c r="G621" s="0" t="e">
        <v>#NAME?</v>
      </c>
    </row>
    <row r="622" customFormat="false" ht="15.75" hidden="false" customHeight="true" outlineLevel="0" collapsed="false">
      <c r="D622" s="0" t="e">
        <v>#NAME?</v>
      </c>
      <c r="E622" s="0" t="e">
        <v>#NAME?</v>
      </c>
      <c r="F622" s="0" t="e">
        <v>#NAME?</v>
      </c>
      <c r="G622" s="0" t="e">
        <v>#NAME?</v>
      </c>
    </row>
    <row r="623" customFormat="false" ht="15.75" hidden="false" customHeight="true" outlineLevel="0" collapsed="false">
      <c r="D623" s="0" t="e">
        <v>#NAME?</v>
      </c>
      <c r="E623" s="0" t="e">
        <v>#NAME?</v>
      </c>
      <c r="F623" s="0" t="e">
        <v>#NAME?</v>
      </c>
      <c r="G623" s="0" t="e">
        <v>#NAME?</v>
      </c>
    </row>
    <row r="624" customFormat="false" ht="15.75" hidden="false" customHeight="true" outlineLevel="0" collapsed="false">
      <c r="D624" s="0" t="e">
        <v>#NAME?</v>
      </c>
      <c r="E624" s="0" t="e">
        <v>#NAME?</v>
      </c>
      <c r="F624" s="0" t="e">
        <v>#NAME?</v>
      </c>
      <c r="G624" s="0" t="e">
        <v>#NAME?</v>
      </c>
    </row>
    <row r="625" customFormat="false" ht="15.75" hidden="false" customHeight="true" outlineLevel="0" collapsed="false">
      <c r="D625" s="0" t="e">
        <v>#NAME?</v>
      </c>
      <c r="E625" s="0" t="e">
        <v>#NAME?</v>
      </c>
      <c r="F625" s="0" t="e">
        <v>#NAME?</v>
      </c>
      <c r="G625" s="0" t="e">
        <v>#NAME?</v>
      </c>
    </row>
    <row r="626" customFormat="false" ht="15.75" hidden="false" customHeight="true" outlineLevel="0" collapsed="false">
      <c r="D626" s="0" t="e">
        <v>#NAME?</v>
      </c>
      <c r="E626" s="0" t="e">
        <v>#NAME?</v>
      </c>
      <c r="F626" s="0" t="e">
        <v>#NAME?</v>
      </c>
      <c r="G626" s="0" t="e">
        <v>#NAME?</v>
      </c>
    </row>
    <row r="627" customFormat="false" ht="15.75" hidden="false" customHeight="true" outlineLevel="0" collapsed="false">
      <c r="D627" s="0" t="e">
        <v>#NAME?</v>
      </c>
      <c r="E627" s="0" t="e">
        <v>#NAME?</v>
      </c>
      <c r="F627" s="0" t="e">
        <v>#NAME?</v>
      </c>
      <c r="G627" s="0" t="e">
        <v>#NAME?</v>
      </c>
    </row>
    <row r="628" customFormat="false" ht="15.75" hidden="false" customHeight="true" outlineLevel="0" collapsed="false">
      <c r="D628" s="0" t="e">
        <v>#NAME?</v>
      </c>
      <c r="E628" s="0" t="e">
        <v>#NAME?</v>
      </c>
      <c r="F628" s="0" t="e">
        <v>#NAME?</v>
      </c>
      <c r="G628" s="0" t="e">
        <v>#NAME?</v>
      </c>
    </row>
    <row r="629" customFormat="false" ht="15.75" hidden="false" customHeight="true" outlineLevel="0" collapsed="false">
      <c r="D629" s="0" t="e">
        <v>#NAME?</v>
      </c>
      <c r="E629" s="0" t="e">
        <v>#NAME?</v>
      </c>
      <c r="F629" s="0" t="e">
        <v>#NAME?</v>
      </c>
      <c r="G629" s="0" t="e">
        <v>#NAME?</v>
      </c>
    </row>
    <row r="630" customFormat="false" ht="15.75" hidden="false" customHeight="true" outlineLevel="0" collapsed="false">
      <c r="D630" s="0" t="e">
        <v>#NAME?</v>
      </c>
      <c r="E630" s="0" t="e">
        <v>#NAME?</v>
      </c>
      <c r="F630" s="0" t="e">
        <v>#NAME?</v>
      </c>
      <c r="G630" s="0" t="e">
        <v>#NAME?</v>
      </c>
    </row>
    <row r="631" customFormat="false" ht="15.75" hidden="false" customHeight="true" outlineLevel="0" collapsed="false">
      <c r="D631" s="0" t="e">
        <v>#NAME?</v>
      </c>
      <c r="E631" s="0" t="e">
        <v>#NAME?</v>
      </c>
      <c r="F631" s="0" t="e">
        <v>#NAME?</v>
      </c>
      <c r="G631" s="0" t="e">
        <v>#NAME?</v>
      </c>
    </row>
    <row r="632" customFormat="false" ht="15.75" hidden="false" customHeight="true" outlineLevel="0" collapsed="false">
      <c r="D632" s="0" t="e">
        <v>#NAME?</v>
      </c>
      <c r="E632" s="0" t="e">
        <v>#NAME?</v>
      </c>
      <c r="F632" s="0" t="e">
        <v>#NAME?</v>
      </c>
      <c r="G632" s="0" t="e">
        <v>#NAME?</v>
      </c>
    </row>
    <row r="633" customFormat="false" ht="15.75" hidden="false" customHeight="true" outlineLevel="0" collapsed="false">
      <c r="D633" s="0" t="e">
        <v>#NAME?</v>
      </c>
      <c r="E633" s="0" t="e">
        <v>#NAME?</v>
      </c>
      <c r="F633" s="0" t="e">
        <v>#NAME?</v>
      </c>
      <c r="G633" s="0" t="e">
        <v>#NAME?</v>
      </c>
    </row>
    <row r="634" customFormat="false" ht="15.75" hidden="false" customHeight="true" outlineLevel="0" collapsed="false">
      <c r="D634" s="0" t="e">
        <v>#NAME?</v>
      </c>
      <c r="E634" s="0" t="e">
        <v>#NAME?</v>
      </c>
      <c r="F634" s="0" t="e">
        <v>#NAME?</v>
      </c>
      <c r="G634" s="0" t="e">
        <v>#NAME?</v>
      </c>
    </row>
    <row r="635" customFormat="false" ht="15.75" hidden="false" customHeight="true" outlineLevel="0" collapsed="false">
      <c r="D635" s="0" t="e">
        <v>#NAME?</v>
      </c>
      <c r="E635" s="0" t="e">
        <v>#NAME?</v>
      </c>
      <c r="F635" s="0" t="e">
        <v>#NAME?</v>
      </c>
      <c r="G635" s="0" t="e">
        <v>#NAME?</v>
      </c>
    </row>
    <row r="636" customFormat="false" ht="15.75" hidden="false" customHeight="true" outlineLevel="0" collapsed="false">
      <c r="D636" s="0" t="e">
        <v>#NAME?</v>
      </c>
      <c r="E636" s="0" t="e">
        <v>#NAME?</v>
      </c>
      <c r="F636" s="0" t="e">
        <v>#NAME?</v>
      </c>
      <c r="G636" s="0" t="e">
        <v>#NAME?</v>
      </c>
    </row>
    <row r="637" customFormat="false" ht="15.75" hidden="false" customHeight="true" outlineLevel="0" collapsed="false">
      <c r="D637" s="0" t="e">
        <v>#NAME?</v>
      </c>
      <c r="E637" s="0" t="e">
        <v>#NAME?</v>
      </c>
      <c r="F637" s="0" t="e">
        <v>#NAME?</v>
      </c>
      <c r="G637" s="0" t="e">
        <v>#NAME?</v>
      </c>
    </row>
    <row r="638" customFormat="false" ht="15.75" hidden="false" customHeight="true" outlineLevel="0" collapsed="false">
      <c r="D638" s="0" t="e">
        <v>#NAME?</v>
      </c>
      <c r="E638" s="0" t="e">
        <v>#NAME?</v>
      </c>
      <c r="F638" s="0" t="e">
        <v>#NAME?</v>
      </c>
      <c r="G638" s="0" t="e">
        <v>#NAME?</v>
      </c>
    </row>
    <row r="639" customFormat="false" ht="15.75" hidden="false" customHeight="true" outlineLevel="0" collapsed="false">
      <c r="D639" s="0" t="e">
        <v>#NAME?</v>
      </c>
      <c r="E639" s="0" t="e">
        <v>#NAME?</v>
      </c>
      <c r="F639" s="0" t="e">
        <v>#NAME?</v>
      </c>
      <c r="G639" s="0" t="e">
        <v>#NAME?</v>
      </c>
    </row>
    <row r="640" customFormat="false" ht="15.75" hidden="false" customHeight="true" outlineLevel="0" collapsed="false">
      <c r="D640" s="0" t="e">
        <v>#NAME?</v>
      </c>
      <c r="E640" s="0" t="e">
        <v>#NAME?</v>
      </c>
      <c r="F640" s="0" t="e">
        <v>#NAME?</v>
      </c>
      <c r="G640" s="0" t="e">
        <v>#NAME?</v>
      </c>
    </row>
    <row r="641" customFormat="false" ht="15.75" hidden="false" customHeight="true" outlineLevel="0" collapsed="false">
      <c r="D641" s="0" t="e">
        <v>#NAME?</v>
      </c>
      <c r="E641" s="0" t="e">
        <v>#NAME?</v>
      </c>
      <c r="F641" s="0" t="e">
        <v>#NAME?</v>
      </c>
      <c r="G641" s="0" t="e">
        <v>#NAME?</v>
      </c>
    </row>
    <row r="642" customFormat="false" ht="15.75" hidden="false" customHeight="true" outlineLevel="0" collapsed="false">
      <c r="D642" s="0" t="e">
        <v>#NAME?</v>
      </c>
      <c r="E642" s="0" t="e">
        <v>#NAME?</v>
      </c>
      <c r="F642" s="0" t="e">
        <v>#NAME?</v>
      </c>
      <c r="G642" s="0" t="e">
        <v>#NAME?</v>
      </c>
    </row>
    <row r="643" customFormat="false" ht="15.75" hidden="false" customHeight="true" outlineLevel="0" collapsed="false">
      <c r="D643" s="0" t="e">
        <v>#NAME?</v>
      </c>
      <c r="E643" s="0" t="e">
        <v>#NAME?</v>
      </c>
      <c r="F643" s="0" t="e">
        <v>#NAME?</v>
      </c>
      <c r="G643" s="0" t="e">
        <v>#NAME?</v>
      </c>
    </row>
    <row r="644" customFormat="false" ht="15.75" hidden="false" customHeight="true" outlineLevel="0" collapsed="false">
      <c r="D644" s="0" t="e">
        <v>#NAME?</v>
      </c>
      <c r="E644" s="0" t="e">
        <v>#NAME?</v>
      </c>
      <c r="F644" s="0" t="e">
        <v>#NAME?</v>
      </c>
      <c r="G644" s="0" t="e">
        <v>#NAME?</v>
      </c>
    </row>
    <row r="645" customFormat="false" ht="15.75" hidden="false" customHeight="true" outlineLevel="0" collapsed="false">
      <c r="D645" s="0" t="e">
        <v>#NAME?</v>
      </c>
      <c r="E645" s="0" t="e">
        <v>#NAME?</v>
      </c>
      <c r="F645" s="0" t="e">
        <v>#NAME?</v>
      </c>
      <c r="G645" s="0" t="e">
        <v>#NAME?</v>
      </c>
    </row>
    <row r="646" customFormat="false" ht="15.75" hidden="false" customHeight="true" outlineLevel="0" collapsed="false">
      <c r="D646" s="0" t="e">
        <v>#NAME?</v>
      </c>
      <c r="E646" s="0" t="e">
        <v>#NAME?</v>
      </c>
      <c r="F646" s="0" t="e">
        <v>#NAME?</v>
      </c>
      <c r="G646" s="0" t="e">
        <v>#NAME?</v>
      </c>
    </row>
    <row r="647" customFormat="false" ht="15.75" hidden="false" customHeight="true" outlineLevel="0" collapsed="false">
      <c r="D647" s="0" t="e">
        <v>#NAME?</v>
      </c>
      <c r="E647" s="0" t="e">
        <v>#NAME?</v>
      </c>
      <c r="F647" s="0" t="e">
        <v>#NAME?</v>
      </c>
      <c r="G647" s="0" t="e">
        <v>#NAME?</v>
      </c>
    </row>
    <row r="648" customFormat="false" ht="15.75" hidden="false" customHeight="true" outlineLevel="0" collapsed="false">
      <c r="D648" s="0" t="e">
        <v>#NAME?</v>
      </c>
      <c r="E648" s="0" t="e">
        <v>#NAME?</v>
      </c>
      <c r="F648" s="0" t="e">
        <v>#NAME?</v>
      </c>
      <c r="G648" s="0" t="e">
        <v>#NAME?</v>
      </c>
    </row>
    <row r="649" customFormat="false" ht="15.75" hidden="false" customHeight="true" outlineLevel="0" collapsed="false">
      <c r="D649" s="0" t="e">
        <v>#NAME?</v>
      </c>
      <c r="E649" s="0" t="e">
        <v>#NAME?</v>
      </c>
      <c r="F649" s="0" t="e">
        <v>#NAME?</v>
      </c>
      <c r="G649" s="0" t="e">
        <v>#NAME?</v>
      </c>
    </row>
    <row r="650" customFormat="false" ht="15.75" hidden="false" customHeight="true" outlineLevel="0" collapsed="false">
      <c r="D650" s="0" t="e">
        <v>#NAME?</v>
      </c>
      <c r="E650" s="0" t="e">
        <v>#NAME?</v>
      </c>
      <c r="F650" s="0" t="e">
        <v>#NAME?</v>
      </c>
      <c r="G650" s="0" t="e">
        <v>#NAME?</v>
      </c>
    </row>
    <row r="651" customFormat="false" ht="15.75" hidden="false" customHeight="true" outlineLevel="0" collapsed="false">
      <c r="D651" s="0" t="e">
        <v>#NAME?</v>
      </c>
      <c r="E651" s="0" t="e">
        <v>#NAME?</v>
      </c>
      <c r="F651" s="0" t="e">
        <v>#NAME?</v>
      </c>
      <c r="G651" s="0" t="e">
        <v>#NAME?</v>
      </c>
    </row>
    <row r="652" customFormat="false" ht="15.75" hidden="false" customHeight="true" outlineLevel="0" collapsed="false">
      <c r="D652" s="0" t="e">
        <v>#NAME?</v>
      </c>
      <c r="E652" s="0" t="e">
        <v>#NAME?</v>
      </c>
      <c r="F652" s="0" t="e">
        <v>#NAME?</v>
      </c>
      <c r="G652" s="0" t="e">
        <v>#NAME?</v>
      </c>
    </row>
    <row r="653" customFormat="false" ht="15.75" hidden="false" customHeight="true" outlineLevel="0" collapsed="false">
      <c r="D653" s="0" t="e">
        <v>#NAME?</v>
      </c>
      <c r="E653" s="0" t="e">
        <v>#NAME?</v>
      </c>
      <c r="F653" s="0" t="e">
        <v>#NAME?</v>
      </c>
      <c r="G653" s="0" t="e">
        <v>#NAME?</v>
      </c>
    </row>
    <row r="654" customFormat="false" ht="15.75" hidden="false" customHeight="true" outlineLevel="0" collapsed="false">
      <c r="D654" s="0" t="e">
        <v>#NAME?</v>
      </c>
      <c r="E654" s="0" t="e">
        <v>#NAME?</v>
      </c>
      <c r="F654" s="0" t="e">
        <v>#NAME?</v>
      </c>
      <c r="G654" s="0" t="e">
        <v>#NAME?</v>
      </c>
    </row>
    <row r="655" customFormat="false" ht="15.75" hidden="false" customHeight="true" outlineLevel="0" collapsed="false">
      <c r="D655" s="0" t="e">
        <v>#NAME?</v>
      </c>
      <c r="E655" s="0" t="e">
        <v>#NAME?</v>
      </c>
      <c r="F655" s="0" t="e">
        <v>#NAME?</v>
      </c>
      <c r="G655" s="0" t="e">
        <v>#NAME?</v>
      </c>
    </row>
    <row r="656" customFormat="false" ht="15.75" hidden="false" customHeight="true" outlineLevel="0" collapsed="false">
      <c r="D656" s="0" t="e">
        <v>#NAME?</v>
      </c>
      <c r="E656" s="0" t="e">
        <v>#NAME?</v>
      </c>
      <c r="F656" s="0" t="e">
        <v>#NAME?</v>
      </c>
      <c r="G656" s="0" t="e">
        <v>#NAME?</v>
      </c>
    </row>
    <row r="657" customFormat="false" ht="15.75" hidden="false" customHeight="true" outlineLevel="0" collapsed="false">
      <c r="D657" s="0" t="e">
        <v>#NAME?</v>
      </c>
      <c r="E657" s="0" t="e">
        <v>#NAME?</v>
      </c>
      <c r="F657" s="0" t="e">
        <v>#NAME?</v>
      </c>
      <c r="G657" s="0" t="e">
        <v>#NAME?</v>
      </c>
    </row>
    <row r="658" customFormat="false" ht="15.75" hidden="false" customHeight="true" outlineLevel="0" collapsed="false">
      <c r="D658" s="0" t="e">
        <v>#NAME?</v>
      </c>
      <c r="E658" s="0" t="e">
        <v>#NAME?</v>
      </c>
      <c r="F658" s="0" t="e">
        <v>#NAME?</v>
      </c>
      <c r="G658" s="0" t="e">
        <v>#NAME?</v>
      </c>
    </row>
    <row r="659" customFormat="false" ht="15.75" hidden="false" customHeight="true" outlineLevel="0" collapsed="false">
      <c r="D659" s="0" t="e">
        <v>#NAME?</v>
      </c>
      <c r="E659" s="0" t="e">
        <v>#NAME?</v>
      </c>
      <c r="F659" s="0" t="e">
        <v>#NAME?</v>
      </c>
      <c r="G659" s="0" t="e">
        <v>#NAME?</v>
      </c>
    </row>
    <row r="660" customFormat="false" ht="15.75" hidden="false" customHeight="true" outlineLevel="0" collapsed="false">
      <c r="D660" s="0" t="e">
        <v>#NAME?</v>
      </c>
      <c r="E660" s="0" t="e">
        <v>#NAME?</v>
      </c>
      <c r="F660" s="0" t="e">
        <v>#NAME?</v>
      </c>
      <c r="G660" s="0" t="e">
        <v>#NAME?</v>
      </c>
    </row>
    <row r="661" customFormat="false" ht="15.75" hidden="false" customHeight="true" outlineLevel="0" collapsed="false">
      <c r="D661" s="0" t="e">
        <v>#NAME?</v>
      </c>
      <c r="E661" s="0" t="e">
        <v>#NAME?</v>
      </c>
      <c r="F661" s="0" t="e">
        <v>#NAME?</v>
      </c>
      <c r="G661" s="0" t="e">
        <v>#NAME?</v>
      </c>
    </row>
    <row r="662" customFormat="false" ht="15.75" hidden="false" customHeight="true" outlineLevel="0" collapsed="false">
      <c r="D662" s="0" t="e">
        <v>#NAME?</v>
      </c>
      <c r="E662" s="0" t="e">
        <v>#NAME?</v>
      </c>
      <c r="F662" s="0" t="e">
        <v>#NAME?</v>
      </c>
      <c r="G662" s="0" t="e">
        <v>#NAME?</v>
      </c>
    </row>
    <row r="663" customFormat="false" ht="15.75" hidden="false" customHeight="true" outlineLevel="0" collapsed="false">
      <c r="D663" s="0" t="e">
        <v>#NAME?</v>
      </c>
      <c r="E663" s="0" t="e">
        <v>#NAME?</v>
      </c>
      <c r="F663" s="0" t="e">
        <v>#NAME?</v>
      </c>
      <c r="G663" s="0" t="e">
        <v>#NAME?</v>
      </c>
    </row>
    <row r="664" customFormat="false" ht="15.75" hidden="false" customHeight="true" outlineLevel="0" collapsed="false">
      <c r="D664" s="0" t="e">
        <v>#NAME?</v>
      </c>
      <c r="E664" s="0" t="e">
        <v>#NAME?</v>
      </c>
      <c r="F664" s="0" t="e">
        <v>#NAME?</v>
      </c>
      <c r="G664" s="0" t="e">
        <v>#NAME?</v>
      </c>
    </row>
    <row r="665" customFormat="false" ht="15.75" hidden="false" customHeight="true" outlineLevel="0" collapsed="false">
      <c r="D665" s="0" t="e">
        <v>#NAME?</v>
      </c>
      <c r="E665" s="0" t="e">
        <v>#NAME?</v>
      </c>
      <c r="F665" s="0" t="e">
        <v>#NAME?</v>
      </c>
      <c r="G665" s="0" t="e">
        <v>#NAME?</v>
      </c>
    </row>
    <row r="666" customFormat="false" ht="15.75" hidden="false" customHeight="true" outlineLevel="0" collapsed="false">
      <c r="D666" s="0" t="e">
        <v>#NAME?</v>
      </c>
      <c r="E666" s="0" t="e">
        <v>#NAME?</v>
      </c>
      <c r="F666" s="0" t="e">
        <v>#NAME?</v>
      </c>
      <c r="G666" s="0" t="e">
        <v>#NAME?</v>
      </c>
    </row>
    <row r="667" customFormat="false" ht="15.75" hidden="false" customHeight="true" outlineLevel="0" collapsed="false">
      <c r="D667" s="0" t="e">
        <v>#NAME?</v>
      </c>
      <c r="E667" s="0" t="e">
        <v>#NAME?</v>
      </c>
      <c r="F667" s="0" t="e">
        <v>#NAME?</v>
      </c>
      <c r="G667" s="0" t="e">
        <v>#NAME?</v>
      </c>
    </row>
    <row r="668" customFormat="false" ht="15.75" hidden="false" customHeight="true" outlineLevel="0" collapsed="false">
      <c r="D668" s="0" t="e">
        <v>#NAME?</v>
      </c>
      <c r="E668" s="0" t="e">
        <v>#NAME?</v>
      </c>
      <c r="F668" s="0" t="e">
        <v>#NAME?</v>
      </c>
      <c r="G668" s="0" t="e">
        <v>#NAME?</v>
      </c>
    </row>
    <row r="669" customFormat="false" ht="15.75" hidden="false" customHeight="true" outlineLevel="0" collapsed="false">
      <c r="D669" s="0" t="e">
        <v>#NAME?</v>
      </c>
      <c r="E669" s="0" t="e">
        <v>#NAME?</v>
      </c>
      <c r="F669" s="0" t="e">
        <v>#NAME?</v>
      </c>
      <c r="G669" s="0" t="e">
        <v>#NAME?</v>
      </c>
    </row>
    <row r="670" customFormat="false" ht="15.75" hidden="false" customHeight="true" outlineLevel="0" collapsed="false">
      <c r="D670" s="0" t="e">
        <v>#NAME?</v>
      </c>
      <c r="E670" s="0" t="e">
        <v>#NAME?</v>
      </c>
      <c r="F670" s="0" t="e">
        <v>#NAME?</v>
      </c>
      <c r="G670" s="0" t="e">
        <v>#NAME?</v>
      </c>
    </row>
    <row r="671" customFormat="false" ht="15.75" hidden="false" customHeight="true" outlineLevel="0" collapsed="false">
      <c r="D671" s="0" t="e">
        <v>#NAME?</v>
      </c>
      <c r="E671" s="0" t="e">
        <v>#NAME?</v>
      </c>
      <c r="F671" s="0" t="e">
        <v>#NAME?</v>
      </c>
      <c r="G671" s="0" t="e">
        <v>#NAME?</v>
      </c>
    </row>
    <row r="672" customFormat="false" ht="15.75" hidden="false" customHeight="true" outlineLevel="0" collapsed="false">
      <c r="D672" s="0" t="e">
        <v>#NAME?</v>
      </c>
      <c r="E672" s="0" t="e">
        <v>#NAME?</v>
      </c>
      <c r="F672" s="0" t="e">
        <v>#NAME?</v>
      </c>
      <c r="G672" s="0" t="e">
        <v>#NAME?</v>
      </c>
    </row>
    <row r="673" customFormat="false" ht="15.75" hidden="false" customHeight="true" outlineLevel="0" collapsed="false">
      <c r="D673" s="0" t="e">
        <v>#NAME?</v>
      </c>
      <c r="E673" s="0" t="e">
        <v>#NAME?</v>
      </c>
      <c r="F673" s="0" t="e">
        <v>#NAME?</v>
      </c>
      <c r="G673" s="0" t="e">
        <v>#NAME?</v>
      </c>
    </row>
    <row r="674" customFormat="false" ht="15.75" hidden="false" customHeight="true" outlineLevel="0" collapsed="false">
      <c r="D674" s="0" t="e">
        <v>#NAME?</v>
      </c>
      <c r="E674" s="0" t="e">
        <v>#NAME?</v>
      </c>
      <c r="F674" s="0" t="e">
        <v>#NAME?</v>
      </c>
      <c r="G674" s="0" t="e">
        <v>#NAME?</v>
      </c>
    </row>
    <row r="675" customFormat="false" ht="15.75" hidden="false" customHeight="true" outlineLevel="0" collapsed="false">
      <c r="D675" s="0" t="e">
        <v>#NAME?</v>
      </c>
      <c r="E675" s="0" t="e">
        <v>#NAME?</v>
      </c>
      <c r="F675" s="0" t="e">
        <v>#NAME?</v>
      </c>
      <c r="G675" s="0" t="e">
        <v>#NAME?</v>
      </c>
    </row>
    <row r="676" customFormat="false" ht="15.75" hidden="false" customHeight="true" outlineLevel="0" collapsed="false">
      <c r="D676" s="0" t="e">
        <v>#NAME?</v>
      </c>
      <c r="E676" s="0" t="e">
        <v>#NAME?</v>
      </c>
      <c r="F676" s="0" t="e">
        <v>#NAME?</v>
      </c>
      <c r="G676" s="0" t="e">
        <v>#NAME?</v>
      </c>
    </row>
    <row r="677" customFormat="false" ht="15.75" hidden="false" customHeight="true" outlineLevel="0" collapsed="false">
      <c r="D677" s="0" t="e">
        <v>#NAME?</v>
      </c>
      <c r="E677" s="0" t="e">
        <v>#NAME?</v>
      </c>
      <c r="F677" s="0" t="e">
        <v>#NAME?</v>
      </c>
      <c r="G677" s="0" t="e">
        <v>#NAME?</v>
      </c>
    </row>
    <row r="678" customFormat="false" ht="15.75" hidden="false" customHeight="true" outlineLevel="0" collapsed="false">
      <c r="D678" s="0" t="e">
        <v>#NAME?</v>
      </c>
      <c r="E678" s="0" t="e">
        <v>#NAME?</v>
      </c>
      <c r="F678" s="0" t="e">
        <v>#NAME?</v>
      </c>
      <c r="G678" s="0" t="e">
        <v>#NAME?</v>
      </c>
    </row>
    <row r="679" customFormat="false" ht="15.75" hidden="false" customHeight="true" outlineLevel="0" collapsed="false">
      <c r="D679" s="0" t="e">
        <v>#NAME?</v>
      </c>
      <c r="E679" s="0" t="e">
        <v>#NAME?</v>
      </c>
      <c r="F679" s="0" t="e">
        <v>#NAME?</v>
      </c>
      <c r="G679" s="0" t="e">
        <v>#NAME?</v>
      </c>
    </row>
    <row r="680" customFormat="false" ht="15.75" hidden="false" customHeight="true" outlineLevel="0" collapsed="false">
      <c r="D680" s="0" t="e">
        <v>#NAME?</v>
      </c>
      <c r="E680" s="0" t="e">
        <v>#NAME?</v>
      </c>
      <c r="F680" s="0" t="e">
        <v>#NAME?</v>
      </c>
      <c r="G680" s="0" t="e">
        <v>#NAME?</v>
      </c>
    </row>
    <row r="681" customFormat="false" ht="15.75" hidden="false" customHeight="true" outlineLevel="0" collapsed="false">
      <c r="D681" s="0" t="e">
        <v>#NAME?</v>
      </c>
      <c r="E681" s="0" t="e">
        <v>#NAME?</v>
      </c>
      <c r="F681" s="0" t="e">
        <v>#NAME?</v>
      </c>
      <c r="G681" s="0" t="e">
        <v>#NAME?</v>
      </c>
    </row>
    <row r="682" customFormat="false" ht="15.75" hidden="false" customHeight="true" outlineLevel="0" collapsed="false">
      <c r="D682" s="0" t="e">
        <v>#NAME?</v>
      </c>
      <c r="E682" s="0" t="e">
        <v>#NAME?</v>
      </c>
      <c r="F682" s="0" t="e">
        <v>#NAME?</v>
      </c>
      <c r="G682" s="0" t="e">
        <v>#NAME?</v>
      </c>
    </row>
    <row r="683" customFormat="false" ht="15.75" hidden="false" customHeight="true" outlineLevel="0" collapsed="false">
      <c r="D683" s="0" t="e">
        <v>#NAME?</v>
      </c>
      <c r="E683" s="0" t="e">
        <v>#NAME?</v>
      </c>
      <c r="F683" s="0" t="e">
        <v>#NAME?</v>
      </c>
      <c r="G683" s="0" t="e">
        <v>#NAME?</v>
      </c>
    </row>
    <row r="684" customFormat="false" ht="15.75" hidden="false" customHeight="true" outlineLevel="0" collapsed="false">
      <c r="D684" s="0" t="e">
        <v>#NAME?</v>
      </c>
      <c r="E684" s="0" t="e">
        <v>#NAME?</v>
      </c>
      <c r="F684" s="0" t="e">
        <v>#NAME?</v>
      </c>
      <c r="G684" s="0" t="e">
        <v>#NAME?</v>
      </c>
    </row>
    <row r="685" customFormat="false" ht="15.75" hidden="false" customHeight="true" outlineLevel="0" collapsed="false">
      <c r="D685" s="0" t="e">
        <v>#NAME?</v>
      </c>
      <c r="E685" s="0" t="e">
        <v>#NAME?</v>
      </c>
      <c r="F685" s="0" t="e">
        <v>#NAME?</v>
      </c>
      <c r="G685" s="0" t="e">
        <v>#NAME?</v>
      </c>
    </row>
    <row r="686" customFormat="false" ht="15.75" hidden="false" customHeight="true" outlineLevel="0" collapsed="false">
      <c r="D686" s="0" t="e">
        <v>#NAME?</v>
      </c>
      <c r="E686" s="0" t="e">
        <v>#NAME?</v>
      </c>
      <c r="F686" s="0" t="e">
        <v>#NAME?</v>
      </c>
      <c r="G686" s="0" t="e">
        <v>#NAME?</v>
      </c>
    </row>
    <row r="687" customFormat="false" ht="15.75" hidden="false" customHeight="true" outlineLevel="0" collapsed="false">
      <c r="D687" s="0" t="e">
        <v>#NAME?</v>
      </c>
      <c r="E687" s="0" t="e">
        <v>#NAME?</v>
      </c>
      <c r="F687" s="0" t="e">
        <v>#NAME?</v>
      </c>
      <c r="G687" s="0" t="e">
        <v>#NAME?</v>
      </c>
    </row>
    <row r="688" customFormat="false" ht="15.75" hidden="false" customHeight="true" outlineLevel="0" collapsed="false">
      <c r="D688" s="0" t="e">
        <v>#NAME?</v>
      </c>
      <c r="E688" s="0" t="e">
        <v>#NAME?</v>
      </c>
      <c r="F688" s="0" t="e">
        <v>#NAME?</v>
      </c>
      <c r="G688" s="0" t="e">
        <v>#NAME?</v>
      </c>
    </row>
    <row r="689" customFormat="false" ht="15.75" hidden="false" customHeight="true" outlineLevel="0" collapsed="false">
      <c r="D689" s="0" t="e">
        <v>#NAME?</v>
      </c>
      <c r="E689" s="0" t="e">
        <v>#NAME?</v>
      </c>
      <c r="F689" s="0" t="e">
        <v>#NAME?</v>
      </c>
      <c r="G689" s="0" t="e">
        <v>#NAME?</v>
      </c>
    </row>
    <row r="690" customFormat="false" ht="15.75" hidden="false" customHeight="true" outlineLevel="0" collapsed="false">
      <c r="D690" s="0" t="e">
        <v>#NAME?</v>
      </c>
      <c r="E690" s="0" t="e">
        <v>#NAME?</v>
      </c>
      <c r="F690" s="0" t="e">
        <v>#NAME?</v>
      </c>
      <c r="G690" s="0" t="e">
        <v>#NAME?</v>
      </c>
    </row>
    <row r="691" customFormat="false" ht="15.75" hidden="false" customHeight="true" outlineLevel="0" collapsed="false">
      <c r="D691" s="0" t="e">
        <v>#NAME?</v>
      </c>
      <c r="E691" s="0" t="e">
        <v>#NAME?</v>
      </c>
      <c r="F691" s="0" t="e">
        <v>#NAME?</v>
      </c>
      <c r="G691" s="0" t="e">
        <v>#NAME?</v>
      </c>
    </row>
    <row r="692" customFormat="false" ht="15.75" hidden="false" customHeight="true" outlineLevel="0" collapsed="false">
      <c r="D692" s="0" t="e">
        <v>#NAME?</v>
      </c>
      <c r="E692" s="0" t="e">
        <v>#NAME?</v>
      </c>
      <c r="F692" s="0" t="e">
        <v>#NAME?</v>
      </c>
      <c r="G692" s="0" t="e">
        <v>#NAME?</v>
      </c>
    </row>
    <row r="693" customFormat="false" ht="15.75" hidden="false" customHeight="true" outlineLevel="0" collapsed="false">
      <c r="D693" s="0" t="e">
        <v>#NAME?</v>
      </c>
      <c r="E693" s="0" t="e">
        <v>#NAME?</v>
      </c>
      <c r="F693" s="0" t="e">
        <v>#NAME?</v>
      </c>
      <c r="G693" s="0" t="e">
        <v>#NAME?</v>
      </c>
    </row>
    <row r="694" customFormat="false" ht="15.75" hidden="false" customHeight="true" outlineLevel="0" collapsed="false">
      <c r="D694" s="0" t="e">
        <v>#NAME?</v>
      </c>
      <c r="E694" s="0" t="e">
        <v>#NAME?</v>
      </c>
      <c r="F694" s="0" t="e">
        <v>#NAME?</v>
      </c>
      <c r="G694" s="0" t="e">
        <v>#NAME?</v>
      </c>
    </row>
    <row r="695" customFormat="false" ht="15.75" hidden="false" customHeight="true" outlineLevel="0" collapsed="false">
      <c r="D695" s="0" t="e">
        <v>#NAME?</v>
      </c>
      <c r="E695" s="0" t="e">
        <v>#NAME?</v>
      </c>
      <c r="F695" s="0" t="e">
        <v>#NAME?</v>
      </c>
      <c r="G695" s="0" t="e">
        <v>#NAME?</v>
      </c>
    </row>
    <row r="696" customFormat="false" ht="15.75" hidden="false" customHeight="true" outlineLevel="0" collapsed="false">
      <c r="D696" s="0" t="e">
        <v>#NAME?</v>
      </c>
      <c r="E696" s="0" t="e">
        <v>#NAME?</v>
      </c>
      <c r="F696" s="0" t="e">
        <v>#NAME?</v>
      </c>
      <c r="G696" s="0" t="e">
        <v>#NAME?</v>
      </c>
    </row>
    <row r="697" customFormat="false" ht="15.75" hidden="false" customHeight="true" outlineLevel="0" collapsed="false">
      <c r="D697" s="0" t="e">
        <v>#NAME?</v>
      </c>
      <c r="E697" s="0" t="e">
        <v>#NAME?</v>
      </c>
      <c r="F697" s="0" t="e">
        <v>#NAME?</v>
      </c>
      <c r="G697" s="0" t="e">
        <v>#NAME?</v>
      </c>
    </row>
    <row r="698" customFormat="false" ht="15.75" hidden="false" customHeight="true" outlineLevel="0" collapsed="false">
      <c r="D698" s="0" t="e">
        <v>#NAME?</v>
      </c>
      <c r="E698" s="0" t="e">
        <v>#NAME?</v>
      </c>
      <c r="F698" s="0" t="e">
        <v>#NAME?</v>
      </c>
      <c r="G698" s="0" t="e">
        <v>#NAME?</v>
      </c>
    </row>
    <row r="699" customFormat="false" ht="15.75" hidden="false" customHeight="true" outlineLevel="0" collapsed="false">
      <c r="D699" s="0" t="e">
        <v>#NAME?</v>
      </c>
      <c r="E699" s="0" t="e">
        <v>#NAME?</v>
      </c>
      <c r="F699" s="0" t="e">
        <v>#NAME?</v>
      </c>
      <c r="G699" s="0" t="e">
        <v>#NAME?</v>
      </c>
    </row>
    <row r="700" customFormat="false" ht="15.75" hidden="false" customHeight="true" outlineLevel="0" collapsed="false">
      <c r="D700" s="0" t="e">
        <v>#NAME?</v>
      </c>
      <c r="E700" s="0" t="e">
        <v>#NAME?</v>
      </c>
      <c r="F700" s="0" t="e">
        <v>#NAME?</v>
      </c>
      <c r="G700" s="0" t="e">
        <v>#NAME?</v>
      </c>
    </row>
    <row r="701" customFormat="false" ht="15.75" hidden="false" customHeight="true" outlineLevel="0" collapsed="false">
      <c r="D701" s="0" t="e">
        <v>#NAME?</v>
      </c>
      <c r="E701" s="0" t="e">
        <v>#NAME?</v>
      </c>
      <c r="F701" s="0" t="e">
        <v>#NAME?</v>
      </c>
      <c r="G701" s="0" t="e">
        <v>#NAME?</v>
      </c>
    </row>
    <row r="702" customFormat="false" ht="15.75" hidden="false" customHeight="true" outlineLevel="0" collapsed="false">
      <c r="D702" s="0" t="e">
        <v>#NAME?</v>
      </c>
      <c r="E702" s="0" t="e">
        <v>#NAME?</v>
      </c>
      <c r="F702" s="0" t="e">
        <v>#NAME?</v>
      </c>
      <c r="G702" s="0" t="e">
        <v>#NAME?</v>
      </c>
    </row>
    <row r="703" customFormat="false" ht="15.75" hidden="false" customHeight="true" outlineLevel="0" collapsed="false">
      <c r="D703" s="0" t="e">
        <v>#NAME?</v>
      </c>
      <c r="E703" s="0" t="e">
        <v>#NAME?</v>
      </c>
      <c r="F703" s="0" t="e">
        <v>#NAME?</v>
      </c>
      <c r="G703" s="0" t="e">
        <v>#NAME?</v>
      </c>
    </row>
    <row r="704" customFormat="false" ht="15.75" hidden="false" customHeight="true" outlineLevel="0" collapsed="false">
      <c r="D704" s="0" t="e">
        <v>#NAME?</v>
      </c>
      <c r="E704" s="0" t="e">
        <v>#NAME?</v>
      </c>
      <c r="F704" s="0" t="e">
        <v>#NAME?</v>
      </c>
      <c r="G704" s="0" t="e">
        <v>#NAME?</v>
      </c>
    </row>
    <row r="705" customFormat="false" ht="15.75" hidden="false" customHeight="true" outlineLevel="0" collapsed="false">
      <c r="D705" s="0" t="e">
        <v>#NAME?</v>
      </c>
      <c r="E705" s="0" t="e">
        <v>#NAME?</v>
      </c>
      <c r="F705" s="0" t="e">
        <v>#NAME?</v>
      </c>
      <c r="G705" s="0" t="e">
        <v>#NAME?</v>
      </c>
    </row>
    <row r="706" customFormat="false" ht="15.75" hidden="false" customHeight="true" outlineLevel="0" collapsed="false">
      <c r="D706" s="0" t="e">
        <v>#NAME?</v>
      </c>
      <c r="E706" s="0" t="e">
        <v>#NAME?</v>
      </c>
      <c r="F706" s="0" t="e">
        <v>#NAME?</v>
      </c>
      <c r="G706" s="0" t="e">
        <v>#NAME?</v>
      </c>
    </row>
    <row r="707" customFormat="false" ht="15.75" hidden="false" customHeight="true" outlineLevel="0" collapsed="false">
      <c r="D707" s="0" t="e">
        <v>#NAME?</v>
      </c>
      <c r="E707" s="0" t="e">
        <v>#NAME?</v>
      </c>
      <c r="F707" s="0" t="e">
        <v>#NAME?</v>
      </c>
      <c r="G707" s="0" t="e">
        <v>#NAME?</v>
      </c>
    </row>
    <row r="708" customFormat="false" ht="15.75" hidden="false" customHeight="true" outlineLevel="0" collapsed="false">
      <c r="D708" s="0" t="e">
        <v>#NAME?</v>
      </c>
      <c r="E708" s="0" t="e">
        <v>#NAME?</v>
      </c>
      <c r="F708" s="0" t="e">
        <v>#NAME?</v>
      </c>
      <c r="G708" s="0" t="e">
        <v>#NAME?</v>
      </c>
    </row>
    <row r="709" customFormat="false" ht="15.75" hidden="false" customHeight="true" outlineLevel="0" collapsed="false">
      <c r="D709" s="0" t="e">
        <v>#NAME?</v>
      </c>
      <c r="E709" s="0" t="e">
        <v>#NAME?</v>
      </c>
      <c r="F709" s="0" t="e">
        <v>#NAME?</v>
      </c>
      <c r="G709" s="0" t="e">
        <v>#NAME?</v>
      </c>
    </row>
    <row r="710" customFormat="false" ht="15.75" hidden="false" customHeight="true" outlineLevel="0" collapsed="false">
      <c r="D710" s="0" t="e">
        <v>#NAME?</v>
      </c>
      <c r="E710" s="0" t="e">
        <v>#NAME?</v>
      </c>
      <c r="F710" s="0" t="e">
        <v>#NAME?</v>
      </c>
      <c r="G710" s="0" t="e">
        <v>#NAME?</v>
      </c>
    </row>
    <row r="711" customFormat="false" ht="15.75" hidden="false" customHeight="true" outlineLevel="0" collapsed="false">
      <c r="D711" s="0" t="e">
        <v>#NAME?</v>
      </c>
      <c r="E711" s="0" t="e">
        <v>#NAME?</v>
      </c>
      <c r="F711" s="0" t="e">
        <v>#NAME?</v>
      </c>
      <c r="G711" s="0" t="e">
        <v>#NAME?</v>
      </c>
    </row>
    <row r="712" customFormat="false" ht="15.75" hidden="false" customHeight="true" outlineLevel="0" collapsed="false">
      <c r="D712" s="0" t="e">
        <v>#NAME?</v>
      </c>
      <c r="E712" s="0" t="e">
        <v>#NAME?</v>
      </c>
      <c r="F712" s="0" t="e">
        <v>#NAME?</v>
      </c>
      <c r="G712" s="0" t="e">
        <v>#NAME?</v>
      </c>
    </row>
    <row r="713" customFormat="false" ht="15.75" hidden="false" customHeight="true" outlineLevel="0" collapsed="false">
      <c r="D713" s="0" t="e">
        <v>#NAME?</v>
      </c>
      <c r="E713" s="0" t="e">
        <v>#NAME?</v>
      </c>
      <c r="F713" s="0" t="e">
        <v>#NAME?</v>
      </c>
      <c r="G713" s="0" t="e">
        <v>#NAME?</v>
      </c>
    </row>
    <row r="714" customFormat="false" ht="15.75" hidden="false" customHeight="true" outlineLevel="0" collapsed="false">
      <c r="D714" s="0" t="e">
        <v>#NAME?</v>
      </c>
      <c r="E714" s="0" t="e">
        <v>#NAME?</v>
      </c>
      <c r="F714" s="0" t="e">
        <v>#NAME?</v>
      </c>
      <c r="G714" s="0" t="e">
        <v>#NAME?</v>
      </c>
    </row>
    <row r="715" customFormat="false" ht="15.75" hidden="false" customHeight="true" outlineLevel="0" collapsed="false">
      <c r="D715" s="0" t="e">
        <v>#NAME?</v>
      </c>
      <c r="E715" s="0" t="e">
        <v>#NAME?</v>
      </c>
      <c r="F715" s="0" t="e">
        <v>#NAME?</v>
      </c>
      <c r="G715" s="0" t="e">
        <v>#NAME?</v>
      </c>
    </row>
    <row r="716" customFormat="false" ht="15.75" hidden="false" customHeight="true" outlineLevel="0" collapsed="false">
      <c r="D716" s="0" t="e">
        <v>#NAME?</v>
      </c>
      <c r="E716" s="0" t="e">
        <v>#NAME?</v>
      </c>
      <c r="F716" s="0" t="e">
        <v>#NAME?</v>
      </c>
      <c r="G716" s="0" t="e">
        <v>#NAME?</v>
      </c>
    </row>
    <row r="717" customFormat="false" ht="15.75" hidden="false" customHeight="true" outlineLevel="0" collapsed="false">
      <c r="D717" s="0" t="e">
        <v>#NAME?</v>
      </c>
      <c r="E717" s="0" t="e">
        <v>#NAME?</v>
      </c>
      <c r="F717" s="0" t="e">
        <v>#NAME?</v>
      </c>
      <c r="G717" s="0" t="e">
        <v>#NAME?</v>
      </c>
    </row>
    <row r="718" customFormat="false" ht="15.75" hidden="false" customHeight="true" outlineLevel="0" collapsed="false">
      <c r="D718" s="0" t="e">
        <v>#NAME?</v>
      </c>
      <c r="E718" s="0" t="e">
        <v>#NAME?</v>
      </c>
      <c r="F718" s="0" t="e">
        <v>#NAME?</v>
      </c>
      <c r="G718" s="0" t="e">
        <v>#NAME?</v>
      </c>
    </row>
    <row r="719" customFormat="false" ht="15.75" hidden="false" customHeight="true" outlineLevel="0" collapsed="false">
      <c r="D719" s="0" t="e">
        <v>#NAME?</v>
      </c>
      <c r="E719" s="0" t="e">
        <v>#NAME?</v>
      </c>
      <c r="F719" s="0" t="e">
        <v>#NAME?</v>
      </c>
      <c r="G719" s="0" t="e">
        <v>#NAME?</v>
      </c>
    </row>
    <row r="720" customFormat="false" ht="15.75" hidden="false" customHeight="true" outlineLevel="0" collapsed="false">
      <c r="D720" s="0" t="e">
        <v>#NAME?</v>
      </c>
      <c r="E720" s="0" t="e">
        <v>#NAME?</v>
      </c>
      <c r="F720" s="0" t="e">
        <v>#NAME?</v>
      </c>
      <c r="G720" s="0" t="e">
        <v>#NAME?</v>
      </c>
    </row>
    <row r="721" customFormat="false" ht="15.75" hidden="false" customHeight="true" outlineLevel="0" collapsed="false">
      <c r="D721" s="0" t="e">
        <v>#NAME?</v>
      </c>
      <c r="E721" s="0" t="e">
        <v>#NAME?</v>
      </c>
      <c r="F721" s="0" t="e">
        <v>#NAME?</v>
      </c>
      <c r="G721" s="0" t="e">
        <v>#NAME?</v>
      </c>
    </row>
    <row r="722" customFormat="false" ht="15.75" hidden="false" customHeight="true" outlineLevel="0" collapsed="false">
      <c r="D722" s="0" t="e">
        <v>#NAME?</v>
      </c>
      <c r="E722" s="0" t="e">
        <v>#NAME?</v>
      </c>
      <c r="F722" s="0" t="e">
        <v>#NAME?</v>
      </c>
      <c r="G722" s="0" t="e">
        <v>#NAME?</v>
      </c>
    </row>
    <row r="723" customFormat="false" ht="15.75" hidden="false" customHeight="true" outlineLevel="0" collapsed="false">
      <c r="D723" s="0" t="e">
        <v>#NAME?</v>
      </c>
      <c r="E723" s="0" t="e">
        <v>#NAME?</v>
      </c>
      <c r="F723" s="0" t="e">
        <v>#NAME?</v>
      </c>
      <c r="G723" s="0" t="e">
        <v>#NAME?</v>
      </c>
    </row>
    <row r="724" customFormat="false" ht="15.75" hidden="false" customHeight="true" outlineLevel="0" collapsed="false">
      <c r="D724" s="0" t="e">
        <v>#NAME?</v>
      </c>
      <c r="E724" s="0" t="e">
        <v>#NAME?</v>
      </c>
      <c r="F724" s="0" t="e">
        <v>#NAME?</v>
      </c>
      <c r="G724" s="0" t="e">
        <v>#NAME?</v>
      </c>
    </row>
    <row r="725" customFormat="false" ht="15.75" hidden="false" customHeight="true" outlineLevel="0" collapsed="false">
      <c r="D725" s="0" t="e">
        <v>#NAME?</v>
      </c>
      <c r="E725" s="0" t="e">
        <v>#NAME?</v>
      </c>
      <c r="F725" s="0" t="e">
        <v>#NAME?</v>
      </c>
      <c r="G725" s="0" t="e">
        <v>#NAME?</v>
      </c>
    </row>
    <row r="726" customFormat="false" ht="15.75" hidden="false" customHeight="true" outlineLevel="0" collapsed="false">
      <c r="D726" s="0" t="e">
        <v>#NAME?</v>
      </c>
      <c r="E726" s="0" t="e">
        <v>#NAME?</v>
      </c>
      <c r="F726" s="0" t="e">
        <v>#NAME?</v>
      </c>
      <c r="G726" s="0" t="e">
        <v>#NAME?</v>
      </c>
    </row>
    <row r="727" customFormat="false" ht="15.75" hidden="false" customHeight="true" outlineLevel="0" collapsed="false">
      <c r="D727" s="0" t="e">
        <v>#NAME?</v>
      </c>
      <c r="E727" s="0" t="e">
        <v>#NAME?</v>
      </c>
      <c r="F727" s="0" t="e">
        <v>#NAME?</v>
      </c>
      <c r="G727" s="0" t="e">
        <v>#NAME?</v>
      </c>
    </row>
    <row r="728" customFormat="false" ht="15.75" hidden="false" customHeight="true" outlineLevel="0" collapsed="false">
      <c r="D728" s="0" t="e">
        <v>#NAME?</v>
      </c>
      <c r="E728" s="0" t="e">
        <v>#NAME?</v>
      </c>
      <c r="F728" s="0" t="e">
        <v>#NAME?</v>
      </c>
      <c r="G728" s="0" t="e">
        <v>#NAME?</v>
      </c>
    </row>
    <row r="729" customFormat="false" ht="15.75" hidden="false" customHeight="true" outlineLevel="0" collapsed="false">
      <c r="D729" s="0" t="e">
        <v>#NAME?</v>
      </c>
      <c r="E729" s="0" t="e">
        <v>#NAME?</v>
      </c>
      <c r="F729" s="0" t="e">
        <v>#NAME?</v>
      </c>
      <c r="G729" s="0" t="e">
        <v>#NAME?</v>
      </c>
    </row>
    <row r="730" customFormat="false" ht="15.75" hidden="false" customHeight="true" outlineLevel="0" collapsed="false">
      <c r="D730" s="0" t="e">
        <v>#NAME?</v>
      </c>
      <c r="E730" s="0" t="e">
        <v>#NAME?</v>
      </c>
      <c r="F730" s="0" t="e">
        <v>#NAME?</v>
      </c>
      <c r="G730" s="0" t="e">
        <v>#NAME?</v>
      </c>
    </row>
    <row r="731" customFormat="false" ht="15.75" hidden="false" customHeight="true" outlineLevel="0" collapsed="false">
      <c r="D731" s="0" t="e">
        <v>#NAME?</v>
      </c>
      <c r="E731" s="0" t="e">
        <v>#NAME?</v>
      </c>
      <c r="F731" s="0" t="e">
        <v>#NAME?</v>
      </c>
      <c r="G731" s="0" t="e">
        <v>#NAME?</v>
      </c>
    </row>
    <row r="732" customFormat="false" ht="15.75" hidden="false" customHeight="true" outlineLevel="0" collapsed="false">
      <c r="D732" s="0" t="e">
        <v>#NAME?</v>
      </c>
      <c r="E732" s="0" t="e">
        <v>#NAME?</v>
      </c>
      <c r="F732" s="0" t="e">
        <v>#NAME?</v>
      </c>
      <c r="G732" s="0" t="e">
        <v>#NAME?</v>
      </c>
    </row>
    <row r="733" customFormat="false" ht="15.75" hidden="false" customHeight="true" outlineLevel="0" collapsed="false">
      <c r="D733" s="0" t="e">
        <v>#NAME?</v>
      </c>
      <c r="E733" s="0" t="e">
        <v>#NAME?</v>
      </c>
      <c r="F733" s="0" t="e">
        <v>#NAME?</v>
      </c>
      <c r="G733" s="0" t="e">
        <v>#NAME?</v>
      </c>
    </row>
    <row r="734" customFormat="false" ht="15.75" hidden="false" customHeight="true" outlineLevel="0" collapsed="false">
      <c r="D734" s="0" t="e">
        <v>#NAME?</v>
      </c>
      <c r="E734" s="0" t="e">
        <v>#NAME?</v>
      </c>
      <c r="F734" s="0" t="e">
        <v>#NAME?</v>
      </c>
      <c r="G734" s="0" t="e">
        <v>#NAME?</v>
      </c>
    </row>
    <row r="735" customFormat="false" ht="15.75" hidden="false" customHeight="true" outlineLevel="0" collapsed="false">
      <c r="D735" s="0" t="e">
        <v>#NAME?</v>
      </c>
      <c r="E735" s="0" t="e">
        <v>#NAME?</v>
      </c>
      <c r="F735" s="0" t="e">
        <v>#NAME?</v>
      </c>
      <c r="G735" s="0" t="e">
        <v>#NAME?</v>
      </c>
    </row>
    <row r="736" customFormat="false" ht="15.75" hidden="false" customHeight="true" outlineLevel="0" collapsed="false">
      <c r="D736" s="0" t="e">
        <v>#NAME?</v>
      </c>
      <c r="E736" s="0" t="e">
        <v>#NAME?</v>
      </c>
      <c r="F736" s="0" t="e">
        <v>#NAME?</v>
      </c>
      <c r="G736" s="0" t="e">
        <v>#NAME?</v>
      </c>
    </row>
    <row r="737" customFormat="false" ht="15.75" hidden="false" customHeight="true" outlineLevel="0" collapsed="false">
      <c r="D737" s="0" t="e">
        <v>#NAME?</v>
      </c>
      <c r="E737" s="0" t="e">
        <v>#NAME?</v>
      </c>
      <c r="F737" s="0" t="e">
        <v>#NAME?</v>
      </c>
      <c r="G737" s="0" t="e">
        <v>#NAME?</v>
      </c>
    </row>
    <row r="738" customFormat="false" ht="15.75" hidden="false" customHeight="true" outlineLevel="0" collapsed="false">
      <c r="D738" s="0" t="e">
        <v>#NAME?</v>
      </c>
      <c r="E738" s="0" t="e">
        <v>#NAME?</v>
      </c>
      <c r="F738" s="0" t="e">
        <v>#NAME?</v>
      </c>
      <c r="G738" s="0" t="e">
        <v>#NAME?</v>
      </c>
    </row>
    <row r="739" customFormat="false" ht="15.75" hidden="false" customHeight="true" outlineLevel="0" collapsed="false">
      <c r="D739" s="0" t="e">
        <v>#NAME?</v>
      </c>
      <c r="E739" s="0" t="e">
        <v>#NAME?</v>
      </c>
      <c r="F739" s="0" t="e">
        <v>#NAME?</v>
      </c>
      <c r="G739" s="0" t="e">
        <v>#NAME?</v>
      </c>
    </row>
    <row r="740" customFormat="false" ht="15.75" hidden="false" customHeight="true" outlineLevel="0" collapsed="false">
      <c r="D740" s="0" t="e">
        <v>#NAME?</v>
      </c>
      <c r="E740" s="0" t="e">
        <v>#NAME?</v>
      </c>
      <c r="F740" s="0" t="e">
        <v>#NAME?</v>
      </c>
      <c r="G740" s="0" t="e">
        <v>#NAME?</v>
      </c>
    </row>
    <row r="741" customFormat="false" ht="15.75" hidden="false" customHeight="true" outlineLevel="0" collapsed="false">
      <c r="D741" s="0" t="e">
        <v>#NAME?</v>
      </c>
      <c r="E741" s="0" t="e">
        <v>#NAME?</v>
      </c>
      <c r="F741" s="0" t="e">
        <v>#NAME?</v>
      </c>
      <c r="G741" s="0" t="e">
        <v>#NAME?</v>
      </c>
    </row>
    <row r="742" customFormat="false" ht="15.75" hidden="false" customHeight="true" outlineLevel="0" collapsed="false">
      <c r="D742" s="0" t="e">
        <v>#NAME?</v>
      </c>
      <c r="E742" s="0" t="e">
        <v>#NAME?</v>
      </c>
      <c r="F742" s="0" t="e">
        <v>#NAME?</v>
      </c>
      <c r="G742" s="0" t="e">
        <v>#NAME?</v>
      </c>
    </row>
    <row r="743" customFormat="false" ht="15.75" hidden="false" customHeight="true" outlineLevel="0" collapsed="false">
      <c r="D743" s="0" t="e">
        <v>#NAME?</v>
      </c>
      <c r="E743" s="0" t="e">
        <v>#NAME?</v>
      </c>
      <c r="F743" s="0" t="e">
        <v>#NAME?</v>
      </c>
      <c r="G743" s="0" t="e">
        <v>#NAME?</v>
      </c>
    </row>
    <row r="744" customFormat="false" ht="15.75" hidden="false" customHeight="true" outlineLevel="0" collapsed="false">
      <c r="D744" s="0" t="e">
        <v>#NAME?</v>
      </c>
      <c r="E744" s="0" t="e">
        <v>#NAME?</v>
      </c>
      <c r="F744" s="0" t="e">
        <v>#NAME?</v>
      </c>
      <c r="G744" s="0" t="e">
        <v>#NAME?</v>
      </c>
    </row>
    <row r="745" customFormat="false" ht="15.75" hidden="false" customHeight="true" outlineLevel="0" collapsed="false">
      <c r="D745" s="0" t="e">
        <v>#NAME?</v>
      </c>
      <c r="E745" s="0" t="e">
        <v>#NAME?</v>
      </c>
      <c r="F745" s="0" t="e">
        <v>#NAME?</v>
      </c>
      <c r="G745" s="0" t="e">
        <v>#NAME?</v>
      </c>
    </row>
    <row r="746" customFormat="false" ht="15.75" hidden="false" customHeight="true" outlineLevel="0" collapsed="false">
      <c r="D746" s="0" t="e">
        <v>#NAME?</v>
      </c>
      <c r="E746" s="0" t="e">
        <v>#NAME?</v>
      </c>
      <c r="F746" s="0" t="e">
        <v>#NAME?</v>
      </c>
      <c r="G746" s="0" t="e">
        <v>#NAME?</v>
      </c>
    </row>
    <row r="747" customFormat="false" ht="15.75" hidden="false" customHeight="true" outlineLevel="0" collapsed="false">
      <c r="D747" s="0" t="e">
        <v>#NAME?</v>
      </c>
      <c r="E747" s="0" t="e">
        <v>#NAME?</v>
      </c>
      <c r="F747" s="0" t="e">
        <v>#NAME?</v>
      </c>
      <c r="G747" s="0" t="e">
        <v>#NAME?</v>
      </c>
    </row>
    <row r="748" customFormat="false" ht="15.75" hidden="false" customHeight="true" outlineLevel="0" collapsed="false">
      <c r="D748" s="0" t="e">
        <v>#NAME?</v>
      </c>
      <c r="E748" s="0" t="e">
        <v>#NAME?</v>
      </c>
      <c r="F748" s="0" t="e">
        <v>#NAME?</v>
      </c>
      <c r="G748" s="0" t="e">
        <v>#NAME?</v>
      </c>
    </row>
    <row r="749" customFormat="false" ht="15.75" hidden="false" customHeight="true" outlineLevel="0" collapsed="false">
      <c r="D749" s="0" t="e">
        <v>#NAME?</v>
      </c>
      <c r="E749" s="0" t="e">
        <v>#NAME?</v>
      </c>
      <c r="F749" s="0" t="e">
        <v>#NAME?</v>
      </c>
      <c r="G749" s="0" t="e">
        <v>#NAME?</v>
      </c>
    </row>
    <row r="750" customFormat="false" ht="15.75" hidden="false" customHeight="true" outlineLevel="0" collapsed="false">
      <c r="D750" s="0" t="e">
        <v>#NAME?</v>
      </c>
      <c r="E750" s="0" t="e">
        <v>#NAME?</v>
      </c>
      <c r="F750" s="0" t="e">
        <v>#NAME?</v>
      </c>
      <c r="G750" s="0" t="e">
        <v>#NAME?</v>
      </c>
    </row>
    <row r="751" customFormat="false" ht="15.75" hidden="false" customHeight="true" outlineLevel="0" collapsed="false">
      <c r="D751" s="0" t="e">
        <v>#NAME?</v>
      </c>
      <c r="E751" s="0" t="e">
        <v>#NAME?</v>
      </c>
      <c r="F751" s="0" t="e">
        <v>#NAME?</v>
      </c>
      <c r="G751" s="0" t="e">
        <v>#NAME?</v>
      </c>
    </row>
    <row r="752" customFormat="false" ht="15.75" hidden="false" customHeight="true" outlineLevel="0" collapsed="false">
      <c r="D752" s="0" t="e">
        <v>#NAME?</v>
      </c>
      <c r="E752" s="0" t="e">
        <v>#NAME?</v>
      </c>
      <c r="F752" s="0" t="e">
        <v>#NAME?</v>
      </c>
      <c r="G752" s="0" t="e">
        <v>#NAME?</v>
      </c>
    </row>
    <row r="753" customFormat="false" ht="15.75" hidden="false" customHeight="true" outlineLevel="0" collapsed="false">
      <c r="D753" s="0" t="e">
        <v>#NAME?</v>
      </c>
      <c r="E753" s="0" t="e">
        <v>#NAME?</v>
      </c>
      <c r="F753" s="0" t="e">
        <v>#NAME?</v>
      </c>
      <c r="G753" s="0" t="e">
        <v>#NAME?</v>
      </c>
    </row>
    <row r="754" customFormat="false" ht="15.75" hidden="false" customHeight="true" outlineLevel="0" collapsed="false">
      <c r="D754" s="0" t="e">
        <v>#NAME?</v>
      </c>
      <c r="E754" s="0" t="e">
        <v>#NAME?</v>
      </c>
      <c r="F754" s="0" t="e">
        <v>#NAME?</v>
      </c>
      <c r="G754" s="0" t="e">
        <v>#NAME?</v>
      </c>
    </row>
    <row r="755" customFormat="false" ht="15.75" hidden="false" customHeight="true" outlineLevel="0" collapsed="false">
      <c r="D755" s="0" t="e">
        <v>#NAME?</v>
      </c>
      <c r="E755" s="0" t="e">
        <v>#NAME?</v>
      </c>
      <c r="F755" s="0" t="e">
        <v>#NAME?</v>
      </c>
      <c r="G755" s="0" t="e">
        <v>#NAME?</v>
      </c>
    </row>
    <row r="756" customFormat="false" ht="15.75" hidden="false" customHeight="true" outlineLevel="0" collapsed="false">
      <c r="D756" s="0" t="e">
        <v>#NAME?</v>
      </c>
      <c r="E756" s="0" t="e">
        <v>#NAME?</v>
      </c>
      <c r="F756" s="0" t="e">
        <v>#NAME?</v>
      </c>
      <c r="G756" s="0" t="e">
        <v>#NAME?</v>
      </c>
    </row>
    <row r="757" customFormat="false" ht="15.75" hidden="false" customHeight="true" outlineLevel="0" collapsed="false">
      <c r="D757" s="0" t="e">
        <v>#NAME?</v>
      </c>
      <c r="E757" s="0" t="e">
        <v>#NAME?</v>
      </c>
      <c r="F757" s="0" t="e">
        <v>#NAME?</v>
      </c>
      <c r="G757" s="0" t="e">
        <v>#NAME?</v>
      </c>
    </row>
    <row r="758" customFormat="false" ht="15.75" hidden="false" customHeight="true" outlineLevel="0" collapsed="false">
      <c r="D758" s="0" t="e">
        <v>#NAME?</v>
      </c>
      <c r="E758" s="0" t="e">
        <v>#NAME?</v>
      </c>
      <c r="F758" s="0" t="e">
        <v>#NAME?</v>
      </c>
      <c r="G758" s="0" t="e">
        <v>#NAME?</v>
      </c>
    </row>
    <row r="759" customFormat="false" ht="15.75" hidden="false" customHeight="true" outlineLevel="0" collapsed="false">
      <c r="D759" s="0" t="e">
        <v>#NAME?</v>
      </c>
      <c r="E759" s="0" t="e">
        <v>#NAME?</v>
      </c>
      <c r="F759" s="0" t="e">
        <v>#NAME?</v>
      </c>
      <c r="G759" s="0" t="e">
        <v>#NAME?</v>
      </c>
    </row>
    <row r="760" customFormat="false" ht="15.75" hidden="false" customHeight="true" outlineLevel="0" collapsed="false">
      <c r="D760" s="0" t="e">
        <v>#NAME?</v>
      </c>
      <c r="E760" s="0" t="e">
        <v>#NAME?</v>
      </c>
      <c r="F760" s="0" t="e">
        <v>#NAME?</v>
      </c>
      <c r="G760" s="0" t="e">
        <v>#NAME?</v>
      </c>
    </row>
    <row r="761" customFormat="false" ht="15.75" hidden="false" customHeight="true" outlineLevel="0" collapsed="false">
      <c r="D761" s="0" t="e">
        <v>#NAME?</v>
      </c>
      <c r="E761" s="0" t="e">
        <v>#NAME?</v>
      </c>
      <c r="F761" s="0" t="e">
        <v>#NAME?</v>
      </c>
      <c r="G761" s="0" t="e">
        <v>#NAME?</v>
      </c>
    </row>
    <row r="762" customFormat="false" ht="15.75" hidden="false" customHeight="true" outlineLevel="0" collapsed="false">
      <c r="D762" s="0" t="e">
        <v>#NAME?</v>
      </c>
      <c r="E762" s="0" t="e">
        <v>#NAME?</v>
      </c>
      <c r="F762" s="0" t="e">
        <v>#NAME?</v>
      </c>
      <c r="G762" s="0" t="e">
        <v>#NAME?</v>
      </c>
    </row>
    <row r="763" customFormat="false" ht="15.75" hidden="false" customHeight="true" outlineLevel="0" collapsed="false">
      <c r="D763" s="0" t="e">
        <v>#NAME?</v>
      </c>
      <c r="E763" s="0" t="e">
        <v>#NAME?</v>
      </c>
      <c r="F763" s="0" t="e">
        <v>#NAME?</v>
      </c>
      <c r="G763" s="0" t="e">
        <v>#NAME?</v>
      </c>
    </row>
    <row r="764" customFormat="false" ht="15.75" hidden="false" customHeight="true" outlineLevel="0" collapsed="false">
      <c r="D764" s="0" t="e">
        <v>#NAME?</v>
      </c>
      <c r="E764" s="0" t="e">
        <v>#NAME?</v>
      </c>
      <c r="F764" s="0" t="e">
        <v>#NAME?</v>
      </c>
      <c r="G764" s="0" t="e">
        <v>#NAME?</v>
      </c>
    </row>
    <row r="765" customFormat="false" ht="15.75" hidden="false" customHeight="true" outlineLevel="0" collapsed="false">
      <c r="D765" s="0" t="e">
        <v>#NAME?</v>
      </c>
      <c r="E765" s="0" t="e">
        <v>#NAME?</v>
      </c>
      <c r="F765" s="0" t="e">
        <v>#NAME?</v>
      </c>
      <c r="G765" s="0" t="e">
        <v>#NAME?</v>
      </c>
    </row>
    <row r="766" customFormat="false" ht="15.75" hidden="false" customHeight="true" outlineLevel="0" collapsed="false">
      <c r="D766" s="0" t="e">
        <v>#NAME?</v>
      </c>
      <c r="E766" s="0" t="e">
        <v>#NAME?</v>
      </c>
      <c r="F766" s="0" t="e">
        <v>#NAME?</v>
      </c>
      <c r="G766" s="0" t="e">
        <v>#NAME?</v>
      </c>
    </row>
    <row r="767" customFormat="false" ht="15.75" hidden="false" customHeight="true" outlineLevel="0" collapsed="false">
      <c r="D767" s="0" t="e">
        <v>#NAME?</v>
      </c>
      <c r="E767" s="0" t="e">
        <v>#NAME?</v>
      </c>
      <c r="F767" s="0" t="e">
        <v>#NAME?</v>
      </c>
      <c r="G767" s="0" t="e">
        <v>#NAME?</v>
      </c>
    </row>
    <row r="768" customFormat="false" ht="15.75" hidden="false" customHeight="true" outlineLevel="0" collapsed="false">
      <c r="D768" s="0" t="e">
        <v>#NAME?</v>
      </c>
      <c r="E768" s="0" t="e">
        <v>#NAME?</v>
      </c>
      <c r="F768" s="0" t="e">
        <v>#NAME?</v>
      </c>
      <c r="G768" s="0" t="e">
        <v>#NAME?</v>
      </c>
    </row>
    <row r="769" customFormat="false" ht="15.75" hidden="false" customHeight="true" outlineLevel="0" collapsed="false">
      <c r="D769" s="0" t="e">
        <v>#NAME?</v>
      </c>
      <c r="E769" s="0" t="e">
        <v>#NAME?</v>
      </c>
      <c r="F769" s="0" t="e">
        <v>#NAME?</v>
      </c>
      <c r="G769" s="0" t="e">
        <v>#NAME?</v>
      </c>
    </row>
    <row r="770" customFormat="false" ht="15.75" hidden="false" customHeight="true" outlineLevel="0" collapsed="false">
      <c r="D770" s="0" t="e">
        <v>#NAME?</v>
      </c>
      <c r="E770" s="0" t="e">
        <v>#NAME?</v>
      </c>
      <c r="F770" s="0" t="e">
        <v>#NAME?</v>
      </c>
      <c r="G770" s="0" t="e">
        <v>#NAME?</v>
      </c>
    </row>
    <row r="771" customFormat="false" ht="15.75" hidden="false" customHeight="true" outlineLevel="0" collapsed="false">
      <c r="D771" s="0" t="e">
        <v>#NAME?</v>
      </c>
      <c r="E771" s="0" t="e">
        <v>#NAME?</v>
      </c>
      <c r="F771" s="0" t="e">
        <v>#NAME?</v>
      </c>
      <c r="G771" s="0" t="e">
        <v>#NAME?</v>
      </c>
    </row>
    <row r="772" customFormat="false" ht="15.75" hidden="false" customHeight="true" outlineLevel="0" collapsed="false">
      <c r="D772" s="0" t="e">
        <v>#NAME?</v>
      </c>
      <c r="E772" s="0" t="e">
        <v>#NAME?</v>
      </c>
      <c r="F772" s="0" t="e">
        <v>#NAME?</v>
      </c>
      <c r="G772" s="0" t="e">
        <v>#NAME?</v>
      </c>
    </row>
    <row r="773" customFormat="false" ht="15.75" hidden="false" customHeight="true" outlineLevel="0" collapsed="false">
      <c r="D773" s="0" t="e">
        <v>#NAME?</v>
      </c>
      <c r="E773" s="0" t="e">
        <v>#NAME?</v>
      </c>
      <c r="F773" s="0" t="e">
        <v>#NAME?</v>
      </c>
      <c r="G773" s="0" t="e">
        <v>#NAME?</v>
      </c>
    </row>
    <row r="774" customFormat="false" ht="15.75" hidden="false" customHeight="true" outlineLevel="0" collapsed="false">
      <c r="D774" s="0" t="e">
        <v>#NAME?</v>
      </c>
      <c r="E774" s="0" t="e">
        <v>#NAME?</v>
      </c>
      <c r="F774" s="0" t="e">
        <v>#NAME?</v>
      </c>
      <c r="G774" s="0" t="e">
        <v>#NAME?</v>
      </c>
    </row>
    <row r="775" customFormat="false" ht="15.75" hidden="false" customHeight="true" outlineLevel="0" collapsed="false">
      <c r="D775" s="0" t="e">
        <v>#NAME?</v>
      </c>
      <c r="E775" s="0" t="e">
        <v>#NAME?</v>
      </c>
      <c r="F775" s="0" t="e">
        <v>#NAME?</v>
      </c>
      <c r="G775" s="0" t="e">
        <v>#NAME?</v>
      </c>
    </row>
    <row r="776" customFormat="false" ht="15.75" hidden="false" customHeight="true" outlineLevel="0" collapsed="false">
      <c r="D776" s="0" t="e">
        <v>#NAME?</v>
      </c>
      <c r="E776" s="0" t="e">
        <v>#NAME?</v>
      </c>
      <c r="F776" s="0" t="e">
        <v>#NAME?</v>
      </c>
      <c r="G776" s="0" t="e">
        <v>#NAME?</v>
      </c>
    </row>
    <row r="777" customFormat="false" ht="15.75" hidden="false" customHeight="true" outlineLevel="0" collapsed="false">
      <c r="D777" s="0" t="e">
        <v>#NAME?</v>
      </c>
      <c r="E777" s="0" t="e">
        <v>#NAME?</v>
      </c>
      <c r="F777" s="0" t="e">
        <v>#NAME?</v>
      </c>
      <c r="G777" s="0" t="e">
        <v>#NAME?</v>
      </c>
    </row>
    <row r="778" customFormat="false" ht="15.75" hidden="false" customHeight="true" outlineLevel="0" collapsed="false">
      <c r="D778" s="0" t="e">
        <v>#NAME?</v>
      </c>
      <c r="E778" s="0" t="e">
        <v>#NAME?</v>
      </c>
      <c r="F778" s="0" t="e">
        <v>#NAME?</v>
      </c>
      <c r="G778" s="0" t="e">
        <v>#NAME?</v>
      </c>
    </row>
    <row r="779" customFormat="false" ht="15.75" hidden="false" customHeight="true" outlineLevel="0" collapsed="false">
      <c r="D779" s="0" t="e">
        <v>#NAME?</v>
      </c>
      <c r="E779" s="0" t="e">
        <v>#NAME?</v>
      </c>
      <c r="F779" s="0" t="e">
        <v>#NAME?</v>
      </c>
      <c r="G779" s="0" t="e">
        <v>#NAME?</v>
      </c>
    </row>
    <row r="780" customFormat="false" ht="15.75" hidden="false" customHeight="true" outlineLevel="0" collapsed="false">
      <c r="D780" s="0" t="e">
        <v>#NAME?</v>
      </c>
      <c r="E780" s="0" t="e">
        <v>#NAME?</v>
      </c>
      <c r="F780" s="0" t="e">
        <v>#NAME?</v>
      </c>
      <c r="G780" s="0" t="e">
        <v>#NAME?</v>
      </c>
    </row>
    <row r="781" customFormat="false" ht="15.75" hidden="false" customHeight="true" outlineLevel="0" collapsed="false">
      <c r="D781" s="0" t="e">
        <v>#NAME?</v>
      </c>
      <c r="E781" s="0" t="e">
        <v>#NAME?</v>
      </c>
      <c r="F781" s="0" t="e">
        <v>#NAME?</v>
      </c>
      <c r="G781" s="0" t="e">
        <v>#NAME?</v>
      </c>
    </row>
    <row r="782" customFormat="false" ht="15.75" hidden="false" customHeight="true" outlineLevel="0" collapsed="false">
      <c r="D782" s="0" t="e">
        <v>#NAME?</v>
      </c>
      <c r="E782" s="0" t="e">
        <v>#NAME?</v>
      </c>
      <c r="F782" s="0" t="e">
        <v>#NAME?</v>
      </c>
      <c r="G782" s="0" t="e">
        <v>#NAME?</v>
      </c>
    </row>
    <row r="783" customFormat="false" ht="15.75" hidden="false" customHeight="true" outlineLevel="0" collapsed="false">
      <c r="D783" s="0" t="e">
        <v>#NAME?</v>
      </c>
      <c r="E783" s="0" t="e">
        <v>#NAME?</v>
      </c>
      <c r="F783" s="0" t="e">
        <v>#NAME?</v>
      </c>
      <c r="G783" s="0" t="e">
        <v>#NAME?</v>
      </c>
    </row>
    <row r="784" customFormat="false" ht="15.75" hidden="false" customHeight="true" outlineLevel="0" collapsed="false">
      <c r="D784" s="0" t="e">
        <v>#NAME?</v>
      </c>
      <c r="E784" s="0" t="e">
        <v>#NAME?</v>
      </c>
      <c r="F784" s="0" t="e">
        <v>#NAME?</v>
      </c>
      <c r="G784" s="0" t="e">
        <v>#NAME?</v>
      </c>
    </row>
    <row r="785" customFormat="false" ht="15.75" hidden="false" customHeight="true" outlineLevel="0" collapsed="false">
      <c r="D785" s="0" t="e">
        <v>#NAME?</v>
      </c>
      <c r="E785" s="0" t="e">
        <v>#NAME?</v>
      </c>
      <c r="F785" s="0" t="e">
        <v>#NAME?</v>
      </c>
      <c r="G785" s="0" t="e">
        <v>#NAME?</v>
      </c>
    </row>
    <row r="786" customFormat="false" ht="15.75" hidden="false" customHeight="true" outlineLevel="0" collapsed="false">
      <c r="D786" s="0" t="e">
        <v>#NAME?</v>
      </c>
      <c r="E786" s="0" t="e">
        <v>#NAME?</v>
      </c>
      <c r="F786" s="0" t="e">
        <v>#NAME?</v>
      </c>
      <c r="G786" s="0" t="e">
        <v>#NAME?</v>
      </c>
    </row>
    <row r="787" customFormat="false" ht="15.75" hidden="false" customHeight="true" outlineLevel="0" collapsed="false">
      <c r="D787" s="0" t="e">
        <v>#NAME?</v>
      </c>
      <c r="E787" s="0" t="e">
        <v>#NAME?</v>
      </c>
      <c r="F787" s="0" t="e">
        <v>#NAME?</v>
      </c>
      <c r="G787" s="0" t="e">
        <v>#NAME?</v>
      </c>
    </row>
    <row r="788" customFormat="false" ht="15.75" hidden="false" customHeight="true" outlineLevel="0" collapsed="false">
      <c r="D788" s="0" t="e">
        <v>#NAME?</v>
      </c>
      <c r="E788" s="0" t="e">
        <v>#NAME?</v>
      </c>
      <c r="F788" s="0" t="e">
        <v>#NAME?</v>
      </c>
      <c r="G788" s="0" t="e">
        <v>#NAME?</v>
      </c>
    </row>
    <row r="789" customFormat="false" ht="15.75" hidden="false" customHeight="true" outlineLevel="0" collapsed="false">
      <c r="D789" s="0" t="e">
        <v>#NAME?</v>
      </c>
      <c r="E789" s="0" t="e">
        <v>#NAME?</v>
      </c>
      <c r="F789" s="0" t="e">
        <v>#NAME?</v>
      </c>
      <c r="G789" s="0" t="e">
        <v>#NAME?</v>
      </c>
    </row>
    <row r="790" customFormat="false" ht="15.75" hidden="false" customHeight="true" outlineLevel="0" collapsed="false">
      <c r="D790" s="0" t="e">
        <v>#NAME?</v>
      </c>
      <c r="E790" s="0" t="e">
        <v>#NAME?</v>
      </c>
      <c r="F790" s="0" t="e">
        <v>#NAME?</v>
      </c>
      <c r="G790" s="0" t="e">
        <v>#NAME?</v>
      </c>
    </row>
    <row r="791" customFormat="false" ht="15.75" hidden="false" customHeight="true" outlineLevel="0" collapsed="false">
      <c r="D791" s="0" t="e">
        <v>#NAME?</v>
      </c>
      <c r="E791" s="0" t="e">
        <v>#NAME?</v>
      </c>
      <c r="F791" s="0" t="e">
        <v>#NAME?</v>
      </c>
      <c r="G791" s="0" t="e">
        <v>#NAME?</v>
      </c>
    </row>
    <row r="792" customFormat="false" ht="15.75" hidden="false" customHeight="true" outlineLevel="0" collapsed="false">
      <c r="D792" s="0" t="e">
        <v>#NAME?</v>
      </c>
      <c r="E792" s="0" t="e">
        <v>#NAME?</v>
      </c>
      <c r="F792" s="0" t="e">
        <v>#NAME?</v>
      </c>
      <c r="G792" s="0" t="e">
        <v>#NAME?</v>
      </c>
    </row>
    <row r="793" customFormat="false" ht="15.75" hidden="false" customHeight="true" outlineLevel="0" collapsed="false">
      <c r="D793" s="0" t="e">
        <v>#NAME?</v>
      </c>
      <c r="E793" s="0" t="e">
        <v>#NAME?</v>
      </c>
      <c r="F793" s="0" t="e">
        <v>#NAME?</v>
      </c>
      <c r="G793" s="0" t="e">
        <v>#NAME?</v>
      </c>
    </row>
    <row r="794" customFormat="false" ht="15.75" hidden="false" customHeight="true" outlineLevel="0" collapsed="false">
      <c r="D794" s="0" t="e">
        <v>#NAME?</v>
      </c>
      <c r="E794" s="0" t="e">
        <v>#NAME?</v>
      </c>
      <c r="F794" s="0" t="e">
        <v>#NAME?</v>
      </c>
      <c r="G794" s="0" t="e">
        <v>#NAME?</v>
      </c>
    </row>
    <row r="795" customFormat="false" ht="15.75" hidden="false" customHeight="true" outlineLevel="0" collapsed="false">
      <c r="D795" s="0" t="e">
        <v>#NAME?</v>
      </c>
      <c r="E795" s="0" t="e">
        <v>#NAME?</v>
      </c>
      <c r="F795" s="0" t="e">
        <v>#NAME?</v>
      </c>
      <c r="G795" s="0" t="e">
        <v>#NAME?</v>
      </c>
    </row>
    <row r="796" customFormat="false" ht="15.75" hidden="false" customHeight="true" outlineLevel="0" collapsed="false">
      <c r="D796" s="0" t="e">
        <v>#NAME?</v>
      </c>
      <c r="E796" s="0" t="e">
        <v>#NAME?</v>
      </c>
      <c r="F796" s="0" t="e">
        <v>#NAME?</v>
      </c>
      <c r="G796" s="0" t="e">
        <v>#NAME?</v>
      </c>
    </row>
    <row r="797" customFormat="false" ht="15.75" hidden="false" customHeight="true" outlineLevel="0" collapsed="false">
      <c r="D797" s="0" t="e">
        <v>#NAME?</v>
      </c>
      <c r="E797" s="0" t="e">
        <v>#NAME?</v>
      </c>
      <c r="F797" s="0" t="e">
        <v>#NAME?</v>
      </c>
      <c r="G797" s="0" t="e">
        <v>#NAME?</v>
      </c>
    </row>
    <row r="798" customFormat="false" ht="15.75" hidden="false" customHeight="true" outlineLevel="0" collapsed="false">
      <c r="D798" s="0" t="e">
        <v>#NAME?</v>
      </c>
      <c r="E798" s="0" t="e">
        <v>#NAME?</v>
      </c>
      <c r="F798" s="0" t="e">
        <v>#NAME?</v>
      </c>
      <c r="G798" s="0" t="e">
        <v>#NAME?</v>
      </c>
    </row>
    <row r="799" customFormat="false" ht="15.75" hidden="false" customHeight="true" outlineLevel="0" collapsed="false">
      <c r="D799" s="0" t="e">
        <v>#NAME?</v>
      </c>
      <c r="E799" s="0" t="e">
        <v>#NAME?</v>
      </c>
      <c r="F799" s="0" t="e">
        <v>#NAME?</v>
      </c>
      <c r="G799" s="0" t="e">
        <v>#NAME?</v>
      </c>
    </row>
    <row r="800" customFormat="false" ht="15.75" hidden="false" customHeight="true" outlineLevel="0" collapsed="false">
      <c r="D800" s="0" t="e">
        <v>#NAME?</v>
      </c>
      <c r="E800" s="0" t="e">
        <v>#NAME?</v>
      </c>
      <c r="F800" s="0" t="e">
        <v>#NAME?</v>
      </c>
      <c r="G800" s="0" t="e">
        <v>#NAME?</v>
      </c>
    </row>
    <row r="801" customFormat="false" ht="15.75" hidden="false" customHeight="true" outlineLevel="0" collapsed="false">
      <c r="D801" s="0" t="e">
        <v>#NAME?</v>
      </c>
      <c r="E801" s="0" t="e">
        <v>#NAME?</v>
      </c>
      <c r="F801" s="0" t="e">
        <v>#NAME?</v>
      </c>
      <c r="G801" s="0" t="e">
        <v>#NAME?</v>
      </c>
    </row>
    <row r="802" customFormat="false" ht="15.75" hidden="false" customHeight="true" outlineLevel="0" collapsed="false">
      <c r="D802" s="0" t="e">
        <v>#NAME?</v>
      </c>
      <c r="E802" s="0" t="e">
        <v>#NAME?</v>
      </c>
      <c r="F802" s="0" t="e">
        <v>#NAME?</v>
      </c>
      <c r="G802" s="0" t="e">
        <v>#NAME?</v>
      </c>
    </row>
    <row r="803" customFormat="false" ht="15.75" hidden="false" customHeight="true" outlineLevel="0" collapsed="false">
      <c r="D803" s="0" t="e">
        <v>#NAME?</v>
      </c>
      <c r="E803" s="0" t="e">
        <v>#NAME?</v>
      </c>
      <c r="F803" s="0" t="e">
        <v>#NAME?</v>
      </c>
      <c r="G803" s="0" t="e">
        <v>#NAME?</v>
      </c>
    </row>
    <row r="804" customFormat="false" ht="15.75" hidden="false" customHeight="true" outlineLevel="0" collapsed="false">
      <c r="D804" s="0" t="e">
        <v>#NAME?</v>
      </c>
      <c r="E804" s="0" t="e">
        <v>#NAME?</v>
      </c>
      <c r="F804" s="0" t="e">
        <v>#NAME?</v>
      </c>
      <c r="G804" s="0" t="e">
        <v>#NAME?</v>
      </c>
    </row>
    <row r="805" customFormat="false" ht="15.75" hidden="false" customHeight="true" outlineLevel="0" collapsed="false">
      <c r="D805" s="0" t="e">
        <v>#NAME?</v>
      </c>
      <c r="E805" s="0" t="e">
        <v>#NAME?</v>
      </c>
      <c r="F805" s="0" t="e">
        <v>#NAME?</v>
      </c>
      <c r="G805" s="0" t="e">
        <v>#NAME?</v>
      </c>
    </row>
    <row r="806" customFormat="false" ht="15.75" hidden="false" customHeight="true" outlineLevel="0" collapsed="false">
      <c r="D806" s="0" t="e">
        <v>#NAME?</v>
      </c>
      <c r="E806" s="0" t="e">
        <v>#NAME?</v>
      </c>
      <c r="F806" s="0" t="e">
        <v>#NAME?</v>
      </c>
      <c r="G806" s="0" t="e">
        <v>#NAME?</v>
      </c>
    </row>
    <row r="807" customFormat="false" ht="15.75" hidden="false" customHeight="true" outlineLevel="0" collapsed="false">
      <c r="D807" s="0" t="e">
        <v>#NAME?</v>
      </c>
      <c r="E807" s="0" t="e">
        <v>#NAME?</v>
      </c>
      <c r="F807" s="0" t="e">
        <v>#NAME?</v>
      </c>
      <c r="G807" s="0" t="e">
        <v>#NAME?</v>
      </c>
    </row>
    <row r="808" customFormat="false" ht="15.75" hidden="false" customHeight="true" outlineLevel="0" collapsed="false">
      <c r="D808" s="0" t="e">
        <v>#NAME?</v>
      </c>
      <c r="E808" s="0" t="e">
        <v>#NAME?</v>
      </c>
      <c r="F808" s="0" t="e">
        <v>#NAME?</v>
      </c>
      <c r="G808" s="0" t="e">
        <v>#NAME?</v>
      </c>
    </row>
    <row r="809" customFormat="false" ht="15.75" hidden="false" customHeight="true" outlineLevel="0" collapsed="false">
      <c r="D809" s="0" t="e">
        <v>#NAME?</v>
      </c>
      <c r="E809" s="0" t="e">
        <v>#NAME?</v>
      </c>
      <c r="F809" s="0" t="e">
        <v>#NAME?</v>
      </c>
      <c r="G809" s="0" t="e">
        <v>#NAME?</v>
      </c>
    </row>
    <row r="810" customFormat="false" ht="15.75" hidden="false" customHeight="true" outlineLevel="0" collapsed="false">
      <c r="D810" s="0" t="e">
        <v>#NAME?</v>
      </c>
      <c r="E810" s="0" t="e">
        <v>#NAME?</v>
      </c>
      <c r="F810" s="0" t="e">
        <v>#NAME?</v>
      </c>
      <c r="G810" s="0" t="e">
        <v>#NAME?</v>
      </c>
    </row>
    <row r="811" customFormat="false" ht="15.75" hidden="false" customHeight="true" outlineLevel="0" collapsed="false">
      <c r="D811" s="0" t="e">
        <v>#NAME?</v>
      </c>
      <c r="E811" s="0" t="e">
        <v>#NAME?</v>
      </c>
      <c r="F811" s="0" t="e">
        <v>#NAME?</v>
      </c>
      <c r="G811" s="0" t="e">
        <v>#NAME?</v>
      </c>
    </row>
    <row r="812" customFormat="false" ht="15.75" hidden="false" customHeight="true" outlineLevel="0" collapsed="false">
      <c r="D812" s="0" t="e">
        <v>#NAME?</v>
      </c>
      <c r="E812" s="0" t="e">
        <v>#NAME?</v>
      </c>
      <c r="F812" s="0" t="e">
        <v>#NAME?</v>
      </c>
      <c r="G812" s="0" t="e">
        <v>#NAME?</v>
      </c>
    </row>
    <row r="813" customFormat="false" ht="15.75" hidden="false" customHeight="true" outlineLevel="0" collapsed="false">
      <c r="D813" s="0" t="e">
        <v>#NAME?</v>
      </c>
      <c r="E813" s="0" t="e">
        <v>#NAME?</v>
      </c>
      <c r="F813" s="0" t="e">
        <v>#NAME?</v>
      </c>
      <c r="G813" s="0" t="e">
        <v>#NAME?</v>
      </c>
    </row>
    <row r="814" customFormat="false" ht="15.75" hidden="false" customHeight="true" outlineLevel="0" collapsed="false">
      <c r="D814" s="0" t="e">
        <v>#NAME?</v>
      </c>
      <c r="E814" s="0" t="e">
        <v>#NAME?</v>
      </c>
      <c r="F814" s="0" t="e">
        <v>#NAME?</v>
      </c>
      <c r="G814" s="0" t="e">
        <v>#NAME?</v>
      </c>
    </row>
    <row r="815" customFormat="false" ht="15.75" hidden="false" customHeight="true" outlineLevel="0" collapsed="false">
      <c r="D815" s="0" t="e">
        <v>#NAME?</v>
      </c>
      <c r="E815" s="0" t="e">
        <v>#NAME?</v>
      </c>
      <c r="F815" s="0" t="e">
        <v>#NAME?</v>
      </c>
      <c r="G815" s="0" t="e">
        <v>#NAME?</v>
      </c>
    </row>
    <row r="816" customFormat="false" ht="15.75" hidden="false" customHeight="true" outlineLevel="0" collapsed="false">
      <c r="D816" s="0" t="e">
        <v>#NAME?</v>
      </c>
      <c r="E816" s="0" t="e">
        <v>#NAME?</v>
      </c>
      <c r="F816" s="0" t="e">
        <v>#NAME?</v>
      </c>
      <c r="G816" s="0" t="e">
        <v>#NAME?</v>
      </c>
    </row>
    <row r="817" customFormat="false" ht="15.75" hidden="false" customHeight="true" outlineLevel="0" collapsed="false">
      <c r="D817" s="0" t="e">
        <v>#NAME?</v>
      </c>
      <c r="E817" s="0" t="e">
        <v>#NAME?</v>
      </c>
      <c r="F817" s="0" t="e">
        <v>#NAME?</v>
      </c>
      <c r="G817" s="0" t="e">
        <v>#NAME?</v>
      </c>
    </row>
    <row r="818" customFormat="false" ht="15.75" hidden="false" customHeight="true" outlineLevel="0" collapsed="false">
      <c r="D818" s="0" t="e">
        <v>#NAME?</v>
      </c>
      <c r="E818" s="0" t="e">
        <v>#NAME?</v>
      </c>
      <c r="F818" s="0" t="e">
        <v>#NAME?</v>
      </c>
      <c r="G818" s="0" t="e">
        <v>#NAME?</v>
      </c>
    </row>
    <row r="819" customFormat="false" ht="15.75" hidden="false" customHeight="true" outlineLevel="0" collapsed="false">
      <c r="D819" s="0" t="e">
        <v>#NAME?</v>
      </c>
      <c r="E819" s="0" t="e">
        <v>#NAME?</v>
      </c>
      <c r="F819" s="0" t="e">
        <v>#NAME?</v>
      </c>
      <c r="G819" s="0" t="e">
        <v>#NAME?</v>
      </c>
    </row>
    <row r="820" customFormat="false" ht="15.75" hidden="false" customHeight="true" outlineLevel="0" collapsed="false">
      <c r="D820" s="0" t="e">
        <v>#NAME?</v>
      </c>
      <c r="E820" s="0" t="e">
        <v>#NAME?</v>
      </c>
      <c r="F820" s="0" t="e">
        <v>#NAME?</v>
      </c>
      <c r="G820" s="0" t="e">
        <v>#NAME?</v>
      </c>
    </row>
    <row r="821" customFormat="false" ht="15.75" hidden="false" customHeight="true" outlineLevel="0" collapsed="false">
      <c r="D821" s="0" t="e">
        <v>#NAME?</v>
      </c>
      <c r="E821" s="0" t="e">
        <v>#NAME?</v>
      </c>
      <c r="F821" s="0" t="e">
        <v>#NAME?</v>
      </c>
      <c r="G821" s="0" t="e">
        <v>#NAME?</v>
      </c>
    </row>
    <row r="822" customFormat="false" ht="15.75" hidden="false" customHeight="true" outlineLevel="0" collapsed="false">
      <c r="D822" s="0" t="e">
        <v>#NAME?</v>
      </c>
      <c r="E822" s="0" t="e">
        <v>#NAME?</v>
      </c>
      <c r="F822" s="0" t="e">
        <v>#NAME?</v>
      </c>
      <c r="G822" s="0" t="e">
        <v>#NAME?</v>
      </c>
    </row>
    <row r="823" customFormat="false" ht="15.75" hidden="false" customHeight="true" outlineLevel="0" collapsed="false">
      <c r="D823" s="0" t="e">
        <v>#NAME?</v>
      </c>
      <c r="E823" s="0" t="e">
        <v>#NAME?</v>
      </c>
      <c r="F823" s="0" t="e">
        <v>#NAME?</v>
      </c>
      <c r="G823" s="0" t="e">
        <v>#NAME?</v>
      </c>
    </row>
    <row r="824" customFormat="false" ht="15.75" hidden="false" customHeight="true" outlineLevel="0" collapsed="false">
      <c r="D824" s="0" t="e">
        <v>#NAME?</v>
      </c>
      <c r="E824" s="0" t="e">
        <v>#NAME?</v>
      </c>
      <c r="F824" s="0" t="e">
        <v>#NAME?</v>
      </c>
      <c r="G824" s="0" t="e">
        <v>#NAME?</v>
      </c>
    </row>
    <row r="825" customFormat="false" ht="15.75" hidden="false" customHeight="true" outlineLevel="0" collapsed="false">
      <c r="D825" s="0" t="e">
        <v>#NAME?</v>
      </c>
      <c r="E825" s="0" t="e">
        <v>#NAME?</v>
      </c>
      <c r="F825" s="0" t="e">
        <v>#NAME?</v>
      </c>
      <c r="G825" s="0" t="e">
        <v>#NAME?</v>
      </c>
    </row>
    <row r="826" customFormat="false" ht="15.75" hidden="false" customHeight="true" outlineLevel="0" collapsed="false">
      <c r="D826" s="0" t="e">
        <v>#NAME?</v>
      </c>
      <c r="E826" s="0" t="e">
        <v>#NAME?</v>
      </c>
      <c r="F826" s="0" t="e">
        <v>#NAME?</v>
      </c>
      <c r="G826" s="0" t="e">
        <v>#NAME?</v>
      </c>
    </row>
    <row r="827" customFormat="false" ht="15.75" hidden="false" customHeight="true" outlineLevel="0" collapsed="false">
      <c r="D827" s="0" t="e">
        <v>#NAME?</v>
      </c>
      <c r="E827" s="0" t="e">
        <v>#NAME?</v>
      </c>
      <c r="F827" s="0" t="e">
        <v>#NAME?</v>
      </c>
      <c r="G827" s="0" t="e">
        <v>#NAME?</v>
      </c>
    </row>
    <row r="828" customFormat="false" ht="15.75" hidden="false" customHeight="true" outlineLevel="0" collapsed="false">
      <c r="D828" s="0" t="e">
        <v>#NAME?</v>
      </c>
      <c r="E828" s="0" t="e">
        <v>#NAME?</v>
      </c>
      <c r="F828" s="0" t="e">
        <v>#NAME?</v>
      </c>
      <c r="G828" s="0" t="e">
        <v>#NAME?</v>
      </c>
    </row>
    <row r="829" customFormat="false" ht="15.75" hidden="false" customHeight="true" outlineLevel="0" collapsed="false">
      <c r="D829" s="0" t="e">
        <v>#NAME?</v>
      </c>
      <c r="E829" s="0" t="e">
        <v>#NAME?</v>
      </c>
      <c r="F829" s="0" t="e">
        <v>#NAME?</v>
      </c>
      <c r="G829" s="0" t="e">
        <v>#NAME?</v>
      </c>
    </row>
    <row r="830" customFormat="false" ht="15.75" hidden="false" customHeight="true" outlineLevel="0" collapsed="false">
      <c r="D830" s="0" t="e">
        <v>#NAME?</v>
      </c>
      <c r="E830" s="0" t="e">
        <v>#NAME?</v>
      </c>
      <c r="F830" s="0" t="e">
        <v>#NAME?</v>
      </c>
      <c r="G830" s="0" t="e">
        <v>#NAME?</v>
      </c>
    </row>
    <row r="831" customFormat="false" ht="15.75" hidden="false" customHeight="true" outlineLevel="0" collapsed="false">
      <c r="D831" s="0" t="e">
        <v>#NAME?</v>
      </c>
      <c r="E831" s="0" t="e">
        <v>#NAME?</v>
      </c>
      <c r="F831" s="0" t="e">
        <v>#NAME?</v>
      </c>
      <c r="G831" s="0" t="e">
        <v>#NAME?</v>
      </c>
    </row>
    <row r="832" customFormat="false" ht="15.75" hidden="false" customHeight="true" outlineLevel="0" collapsed="false">
      <c r="D832" s="0" t="e">
        <v>#NAME?</v>
      </c>
      <c r="E832" s="0" t="e">
        <v>#NAME?</v>
      </c>
      <c r="F832" s="0" t="e">
        <v>#NAME?</v>
      </c>
      <c r="G832" s="0" t="e">
        <v>#NAME?</v>
      </c>
    </row>
    <row r="833" customFormat="false" ht="15.75" hidden="false" customHeight="true" outlineLevel="0" collapsed="false">
      <c r="D833" s="0" t="e">
        <v>#NAME?</v>
      </c>
      <c r="E833" s="0" t="e">
        <v>#NAME?</v>
      </c>
      <c r="F833" s="0" t="e">
        <v>#NAME?</v>
      </c>
      <c r="G833" s="0" t="e">
        <v>#NAME?</v>
      </c>
    </row>
    <row r="834" customFormat="false" ht="15.75" hidden="false" customHeight="true" outlineLevel="0" collapsed="false">
      <c r="D834" s="0" t="e">
        <v>#NAME?</v>
      </c>
      <c r="E834" s="0" t="e">
        <v>#NAME?</v>
      </c>
      <c r="F834" s="0" t="e">
        <v>#NAME?</v>
      </c>
      <c r="G834" s="0" t="e">
        <v>#NAME?</v>
      </c>
    </row>
    <row r="835" customFormat="false" ht="15.75" hidden="false" customHeight="true" outlineLevel="0" collapsed="false">
      <c r="D835" s="0" t="e">
        <v>#NAME?</v>
      </c>
      <c r="E835" s="0" t="e">
        <v>#NAME?</v>
      </c>
      <c r="F835" s="0" t="e">
        <v>#NAME?</v>
      </c>
      <c r="G835" s="0" t="e">
        <v>#NAME?</v>
      </c>
    </row>
    <row r="836" customFormat="false" ht="15.75" hidden="false" customHeight="true" outlineLevel="0" collapsed="false">
      <c r="D836" s="0" t="e">
        <v>#NAME?</v>
      </c>
      <c r="E836" s="0" t="e">
        <v>#NAME?</v>
      </c>
      <c r="F836" s="0" t="e">
        <v>#NAME?</v>
      </c>
      <c r="G836" s="0" t="e">
        <v>#NAME?</v>
      </c>
    </row>
    <row r="837" customFormat="false" ht="15.75" hidden="false" customHeight="true" outlineLevel="0" collapsed="false">
      <c r="D837" s="0" t="e">
        <v>#NAME?</v>
      </c>
      <c r="E837" s="0" t="e">
        <v>#NAME?</v>
      </c>
      <c r="F837" s="0" t="e">
        <v>#NAME?</v>
      </c>
      <c r="G837" s="0" t="e">
        <v>#NAME?</v>
      </c>
    </row>
    <row r="838" customFormat="false" ht="15.75" hidden="false" customHeight="true" outlineLevel="0" collapsed="false">
      <c r="D838" s="0" t="e">
        <v>#NAME?</v>
      </c>
      <c r="E838" s="0" t="e">
        <v>#NAME?</v>
      </c>
      <c r="F838" s="0" t="e">
        <v>#NAME?</v>
      </c>
      <c r="G838" s="0" t="e">
        <v>#NAME?</v>
      </c>
    </row>
    <row r="839" customFormat="false" ht="15.75" hidden="false" customHeight="true" outlineLevel="0" collapsed="false">
      <c r="D839" s="0" t="e">
        <v>#NAME?</v>
      </c>
      <c r="E839" s="0" t="e">
        <v>#NAME?</v>
      </c>
      <c r="F839" s="0" t="e">
        <v>#NAME?</v>
      </c>
      <c r="G839" s="0" t="e">
        <v>#NAME?</v>
      </c>
    </row>
    <row r="840" customFormat="false" ht="15.75" hidden="false" customHeight="true" outlineLevel="0" collapsed="false">
      <c r="D840" s="0" t="e">
        <v>#NAME?</v>
      </c>
      <c r="E840" s="0" t="e">
        <v>#NAME?</v>
      </c>
      <c r="F840" s="0" t="e">
        <v>#NAME?</v>
      </c>
      <c r="G840" s="0" t="e">
        <v>#NAME?</v>
      </c>
    </row>
    <row r="841" customFormat="false" ht="15.75" hidden="false" customHeight="true" outlineLevel="0" collapsed="false">
      <c r="D841" s="0" t="e">
        <v>#NAME?</v>
      </c>
      <c r="E841" s="0" t="e">
        <v>#NAME?</v>
      </c>
      <c r="F841" s="0" t="e">
        <v>#NAME?</v>
      </c>
      <c r="G841" s="0" t="e">
        <v>#NAME?</v>
      </c>
    </row>
    <row r="842" customFormat="false" ht="15.75" hidden="false" customHeight="true" outlineLevel="0" collapsed="false">
      <c r="D842" s="0" t="e">
        <v>#NAME?</v>
      </c>
      <c r="E842" s="0" t="e">
        <v>#NAME?</v>
      </c>
      <c r="F842" s="0" t="e">
        <v>#NAME?</v>
      </c>
      <c r="G842" s="0" t="e">
        <v>#NAME?</v>
      </c>
    </row>
    <row r="843" customFormat="false" ht="15.75" hidden="false" customHeight="true" outlineLevel="0" collapsed="false">
      <c r="D843" s="0" t="e">
        <v>#NAME?</v>
      </c>
      <c r="E843" s="0" t="e">
        <v>#NAME?</v>
      </c>
      <c r="F843" s="0" t="e">
        <v>#NAME?</v>
      </c>
      <c r="G843" s="0" t="e">
        <v>#NAME?</v>
      </c>
    </row>
    <row r="844" customFormat="false" ht="15.75" hidden="false" customHeight="true" outlineLevel="0" collapsed="false">
      <c r="D844" s="0" t="e">
        <v>#NAME?</v>
      </c>
      <c r="E844" s="0" t="e">
        <v>#NAME?</v>
      </c>
      <c r="F844" s="0" t="e">
        <v>#NAME?</v>
      </c>
      <c r="G844" s="0" t="e">
        <v>#NAME?</v>
      </c>
    </row>
    <row r="845" customFormat="false" ht="15.75" hidden="false" customHeight="true" outlineLevel="0" collapsed="false">
      <c r="D845" s="0" t="e">
        <v>#NAME?</v>
      </c>
      <c r="E845" s="0" t="e">
        <v>#NAME?</v>
      </c>
      <c r="F845" s="0" t="e">
        <v>#NAME?</v>
      </c>
      <c r="G845" s="0" t="e">
        <v>#NAME?</v>
      </c>
    </row>
    <row r="846" customFormat="false" ht="15.75" hidden="false" customHeight="true" outlineLevel="0" collapsed="false">
      <c r="D846" s="0" t="e">
        <v>#NAME?</v>
      </c>
      <c r="E846" s="0" t="e">
        <v>#NAME?</v>
      </c>
      <c r="F846" s="0" t="e">
        <v>#NAME?</v>
      </c>
      <c r="G846" s="0" t="e">
        <v>#NAME?</v>
      </c>
    </row>
    <row r="847" customFormat="false" ht="15.75" hidden="false" customHeight="true" outlineLevel="0" collapsed="false">
      <c r="D847" s="0" t="e">
        <v>#NAME?</v>
      </c>
      <c r="E847" s="0" t="e">
        <v>#NAME?</v>
      </c>
      <c r="F847" s="0" t="e">
        <v>#NAME?</v>
      </c>
      <c r="G847" s="0" t="e">
        <v>#NAME?</v>
      </c>
    </row>
    <row r="848" customFormat="false" ht="15.75" hidden="false" customHeight="true" outlineLevel="0" collapsed="false">
      <c r="D848" s="0" t="e">
        <v>#NAME?</v>
      </c>
      <c r="E848" s="0" t="e">
        <v>#NAME?</v>
      </c>
      <c r="F848" s="0" t="e">
        <v>#NAME?</v>
      </c>
      <c r="G848" s="0" t="e">
        <v>#NAME?</v>
      </c>
    </row>
    <row r="849" customFormat="false" ht="15.75" hidden="false" customHeight="true" outlineLevel="0" collapsed="false">
      <c r="D849" s="0" t="e">
        <v>#NAME?</v>
      </c>
      <c r="E849" s="0" t="e">
        <v>#NAME?</v>
      </c>
      <c r="F849" s="0" t="e">
        <v>#NAME?</v>
      </c>
      <c r="G849" s="0" t="e">
        <v>#NAME?</v>
      </c>
    </row>
    <row r="850" customFormat="false" ht="15.75" hidden="false" customHeight="true" outlineLevel="0" collapsed="false">
      <c r="D850" s="0" t="e">
        <v>#NAME?</v>
      </c>
      <c r="E850" s="0" t="e">
        <v>#NAME?</v>
      </c>
      <c r="F850" s="0" t="e">
        <v>#NAME?</v>
      </c>
      <c r="G850" s="0" t="e">
        <v>#NAME?</v>
      </c>
    </row>
    <row r="851" customFormat="false" ht="15.75" hidden="false" customHeight="true" outlineLevel="0" collapsed="false">
      <c r="D851" s="0" t="e">
        <v>#NAME?</v>
      </c>
      <c r="E851" s="0" t="e">
        <v>#NAME?</v>
      </c>
      <c r="F851" s="0" t="e">
        <v>#NAME?</v>
      </c>
      <c r="G851" s="0" t="e">
        <v>#NAME?</v>
      </c>
    </row>
    <row r="852" customFormat="false" ht="15.75" hidden="false" customHeight="true" outlineLevel="0" collapsed="false">
      <c r="D852" s="0" t="e">
        <v>#NAME?</v>
      </c>
      <c r="E852" s="0" t="e">
        <v>#NAME?</v>
      </c>
      <c r="F852" s="0" t="e">
        <v>#NAME?</v>
      </c>
      <c r="G852" s="0" t="e">
        <v>#NAME?</v>
      </c>
    </row>
    <row r="853" customFormat="false" ht="15.75" hidden="false" customHeight="true" outlineLevel="0" collapsed="false">
      <c r="D853" s="0" t="e">
        <v>#NAME?</v>
      </c>
      <c r="E853" s="0" t="e">
        <v>#NAME?</v>
      </c>
      <c r="F853" s="0" t="e">
        <v>#NAME?</v>
      </c>
      <c r="G853" s="0" t="e">
        <v>#NAME?</v>
      </c>
    </row>
    <row r="854" customFormat="false" ht="15.75" hidden="false" customHeight="true" outlineLevel="0" collapsed="false">
      <c r="D854" s="0" t="e">
        <v>#NAME?</v>
      </c>
      <c r="E854" s="0" t="e">
        <v>#NAME?</v>
      </c>
      <c r="F854" s="0" t="e">
        <v>#NAME?</v>
      </c>
      <c r="G854" s="0" t="e">
        <v>#NAME?</v>
      </c>
    </row>
    <row r="855" customFormat="false" ht="15.75" hidden="false" customHeight="true" outlineLevel="0" collapsed="false">
      <c r="D855" s="0" t="e">
        <v>#NAME?</v>
      </c>
      <c r="E855" s="0" t="e">
        <v>#NAME?</v>
      </c>
      <c r="F855" s="0" t="e">
        <v>#NAME?</v>
      </c>
      <c r="G855" s="0" t="e">
        <v>#NAME?</v>
      </c>
    </row>
    <row r="856" customFormat="false" ht="15.75" hidden="false" customHeight="true" outlineLevel="0" collapsed="false">
      <c r="D856" s="0" t="e">
        <v>#NAME?</v>
      </c>
      <c r="E856" s="0" t="e">
        <v>#NAME?</v>
      </c>
      <c r="F856" s="0" t="e">
        <v>#NAME?</v>
      </c>
      <c r="G856" s="0" t="e">
        <v>#NAME?</v>
      </c>
    </row>
    <row r="857" customFormat="false" ht="15.75" hidden="false" customHeight="true" outlineLevel="0" collapsed="false">
      <c r="D857" s="0" t="e">
        <v>#NAME?</v>
      </c>
      <c r="E857" s="0" t="e">
        <v>#NAME?</v>
      </c>
      <c r="F857" s="0" t="e">
        <v>#NAME?</v>
      </c>
      <c r="G857" s="0" t="e">
        <v>#NAME?</v>
      </c>
    </row>
    <row r="858" customFormat="false" ht="15.75" hidden="false" customHeight="true" outlineLevel="0" collapsed="false">
      <c r="D858" s="0" t="e">
        <v>#NAME?</v>
      </c>
      <c r="E858" s="0" t="e">
        <v>#NAME?</v>
      </c>
      <c r="F858" s="0" t="e">
        <v>#NAME?</v>
      </c>
      <c r="G858" s="0" t="e">
        <v>#NAME?</v>
      </c>
    </row>
    <row r="859" customFormat="false" ht="15.75" hidden="false" customHeight="true" outlineLevel="0" collapsed="false">
      <c r="D859" s="0" t="e">
        <v>#NAME?</v>
      </c>
      <c r="E859" s="0" t="e">
        <v>#NAME?</v>
      </c>
      <c r="F859" s="0" t="e">
        <v>#NAME?</v>
      </c>
      <c r="G859" s="0" t="e">
        <v>#NAME?</v>
      </c>
    </row>
    <row r="860" customFormat="false" ht="15.75" hidden="false" customHeight="true" outlineLevel="0" collapsed="false">
      <c r="D860" s="0" t="e">
        <v>#NAME?</v>
      </c>
      <c r="E860" s="0" t="e">
        <v>#NAME?</v>
      </c>
      <c r="F860" s="0" t="e">
        <v>#NAME?</v>
      </c>
      <c r="G860" s="0" t="e">
        <v>#NAME?</v>
      </c>
    </row>
    <row r="861" customFormat="false" ht="15.75" hidden="false" customHeight="true" outlineLevel="0" collapsed="false">
      <c r="D861" s="0" t="e">
        <v>#NAME?</v>
      </c>
      <c r="E861" s="0" t="e">
        <v>#NAME?</v>
      </c>
      <c r="F861" s="0" t="e">
        <v>#NAME?</v>
      </c>
      <c r="G861" s="0" t="e">
        <v>#NAME?</v>
      </c>
    </row>
    <row r="862" customFormat="false" ht="15.75" hidden="false" customHeight="true" outlineLevel="0" collapsed="false">
      <c r="D862" s="0" t="e">
        <v>#NAME?</v>
      </c>
      <c r="E862" s="0" t="e">
        <v>#NAME?</v>
      </c>
      <c r="F862" s="0" t="e">
        <v>#NAME?</v>
      </c>
      <c r="G862" s="0" t="e">
        <v>#NAME?</v>
      </c>
    </row>
    <row r="863" customFormat="false" ht="15.75" hidden="false" customHeight="true" outlineLevel="0" collapsed="false">
      <c r="D863" s="0" t="e">
        <v>#NAME?</v>
      </c>
      <c r="E863" s="0" t="e">
        <v>#NAME?</v>
      </c>
      <c r="F863" s="0" t="e">
        <v>#NAME?</v>
      </c>
      <c r="G863" s="0" t="e">
        <v>#NAME?</v>
      </c>
    </row>
    <row r="864" customFormat="false" ht="15.75" hidden="false" customHeight="true" outlineLevel="0" collapsed="false">
      <c r="D864" s="0" t="e">
        <v>#NAME?</v>
      </c>
      <c r="E864" s="0" t="e">
        <v>#NAME?</v>
      </c>
      <c r="F864" s="0" t="e">
        <v>#NAME?</v>
      </c>
      <c r="G864" s="0" t="e">
        <v>#NAME?</v>
      </c>
    </row>
    <row r="865" customFormat="false" ht="15.75" hidden="false" customHeight="true" outlineLevel="0" collapsed="false">
      <c r="D865" s="0" t="e">
        <v>#NAME?</v>
      </c>
      <c r="E865" s="0" t="e">
        <v>#NAME?</v>
      </c>
      <c r="F865" s="0" t="e">
        <v>#NAME?</v>
      </c>
      <c r="G865" s="0" t="e">
        <v>#NAME?</v>
      </c>
    </row>
    <row r="866" customFormat="false" ht="15.75" hidden="false" customHeight="true" outlineLevel="0" collapsed="false">
      <c r="D866" s="0" t="e">
        <v>#NAME?</v>
      </c>
      <c r="E866" s="0" t="e">
        <v>#NAME?</v>
      </c>
      <c r="F866" s="0" t="e">
        <v>#NAME?</v>
      </c>
      <c r="G866" s="0" t="e">
        <v>#NAME?</v>
      </c>
    </row>
    <row r="867" customFormat="false" ht="15.75" hidden="false" customHeight="true" outlineLevel="0" collapsed="false">
      <c r="D867" s="0" t="e">
        <v>#NAME?</v>
      </c>
      <c r="E867" s="0" t="e">
        <v>#NAME?</v>
      </c>
      <c r="F867" s="0" t="e">
        <v>#NAME?</v>
      </c>
      <c r="G867" s="0" t="e">
        <v>#NAME?</v>
      </c>
    </row>
    <row r="868" customFormat="false" ht="15.75" hidden="false" customHeight="true" outlineLevel="0" collapsed="false">
      <c r="D868" s="0" t="e">
        <v>#NAME?</v>
      </c>
      <c r="E868" s="0" t="e">
        <v>#NAME?</v>
      </c>
      <c r="F868" s="0" t="e">
        <v>#NAME?</v>
      </c>
      <c r="G868" s="0" t="e">
        <v>#NAME?</v>
      </c>
    </row>
    <row r="869" customFormat="false" ht="15.75" hidden="false" customHeight="true" outlineLevel="0" collapsed="false">
      <c r="D869" s="0" t="e">
        <v>#NAME?</v>
      </c>
      <c r="E869" s="0" t="e">
        <v>#NAME?</v>
      </c>
      <c r="F869" s="0" t="e">
        <v>#NAME?</v>
      </c>
      <c r="G869" s="0" t="e">
        <v>#NAME?</v>
      </c>
    </row>
    <row r="870" customFormat="false" ht="15.75" hidden="false" customHeight="true" outlineLevel="0" collapsed="false">
      <c r="D870" s="0" t="e">
        <v>#NAME?</v>
      </c>
      <c r="E870" s="0" t="e">
        <v>#NAME?</v>
      </c>
      <c r="F870" s="0" t="e">
        <v>#NAME?</v>
      </c>
      <c r="G870" s="0" t="e">
        <v>#NAME?</v>
      </c>
    </row>
    <row r="871" customFormat="false" ht="15.75" hidden="false" customHeight="true" outlineLevel="0" collapsed="false">
      <c r="D871" s="0" t="e">
        <v>#NAME?</v>
      </c>
      <c r="E871" s="0" t="e">
        <v>#NAME?</v>
      </c>
      <c r="F871" s="0" t="e">
        <v>#NAME?</v>
      </c>
      <c r="G871" s="0" t="e">
        <v>#NAME?</v>
      </c>
    </row>
    <row r="872" customFormat="false" ht="15.75" hidden="false" customHeight="true" outlineLevel="0" collapsed="false">
      <c r="D872" s="0" t="e">
        <v>#NAME?</v>
      </c>
      <c r="E872" s="0" t="e">
        <v>#NAME?</v>
      </c>
      <c r="F872" s="0" t="e">
        <v>#NAME?</v>
      </c>
      <c r="G872" s="0" t="e">
        <v>#NAME?</v>
      </c>
    </row>
    <row r="873" customFormat="false" ht="15.75" hidden="false" customHeight="true" outlineLevel="0" collapsed="false">
      <c r="D873" s="0" t="e">
        <v>#NAME?</v>
      </c>
      <c r="E873" s="0" t="e">
        <v>#NAME?</v>
      </c>
      <c r="F873" s="0" t="e">
        <v>#NAME?</v>
      </c>
      <c r="G873" s="0" t="e">
        <v>#NAME?</v>
      </c>
    </row>
    <row r="874" customFormat="false" ht="15.75" hidden="false" customHeight="true" outlineLevel="0" collapsed="false">
      <c r="D874" s="0" t="e">
        <v>#NAME?</v>
      </c>
      <c r="E874" s="0" t="e">
        <v>#NAME?</v>
      </c>
      <c r="F874" s="0" t="e">
        <v>#NAME?</v>
      </c>
      <c r="G874" s="0" t="e">
        <v>#NAME?</v>
      </c>
    </row>
    <row r="875" customFormat="false" ht="15.75" hidden="false" customHeight="true" outlineLevel="0" collapsed="false">
      <c r="D875" s="0" t="e">
        <v>#NAME?</v>
      </c>
      <c r="E875" s="0" t="e">
        <v>#NAME?</v>
      </c>
      <c r="F875" s="0" t="e">
        <v>#NAME?</v>
      </c>
      <c r="G875" s="0" t="e">
        <v>#NAME?</v>
      </c>
    </row>
    <row r="876" customFormat="false" ht="15.75" hidden="false" customHeight="true" outlineLevel="0" collapsed="false">
      <c r="D876" s="0" t="e">
        <v>#NAME?</v>
      </c>
      <c r="E876" s="0" t="e">
        <v>#NAME?</v>
      </c>
      <c r="F876" s="0" t="e">
        <v>#NAME?</v>
      </c>
      <c r="G876" s="0" t="e">
        <v>#NAME?</v>
      </c>
    </row>
    <row r="877" customFormat="false" ht="15.75" hidden="false" customHeight="true" outlineLevel="0" collapsed="false">
      <c r="D877" s="0" t="e">
        <v>#NAME?</v>
      </c>
      <c r="E877" s="0" t="e">
        <v>#NAME?</v>
      </c>
      <c r="F877" s="0" t="e">
        <v>#NAME?</v>
      </c>
      <c r="G877" s="0" t="e">
        <v>#NAME?</v>
      </c>
    </row>
    <row r="878" customFormat="false" ht="15.75" hidden="false" customHeight="true" outlineLevel="0" collapsed="false">
      <c r="D878" s="0" t="e">
        <v>#NAME?</v>
      </c>
      <c r="E878" s="0" t="e">
        <v>#NAME?</v>
      </c>
      <c r="F878" s="0" t="e">
        <v>#NAME?</v>
      </c>
      <c r="G878" s="0" t="e">
        <v>#NAME?</v>
      </c>
    </row>
    <row r="879" customFormat="false" ht="15.75" hidden="false" customHeight="true" outlineLevel="0" collapsed="false">
      <c r="D879" s="0" t="e">
        <v>#NAME?</v>
      </c>
      <c r="E879" s="0" t="e">
        <v>#NAME?</v>
      </c>
      <c r="F879" s="0" t="e">
        <v>#NAME?</v>
      </c>
      <c r="G879" s="0" t="e">
        <v>#NAME?</v>
      </c>
    </row>
    <row r="880" customFormat="false" ht="15.75" hidden="false" customHeight="true" outlineLevel="0" collapsed="false">
      <c r="D880" s="0" t="e">
        <v>#NAME?</v>
      </c>
      <c r="E880" s="0" t="e">
        <v>#NAME?</v>
      </c>
      <c r="F880" s="0" t="e">
        <v>#NAME?</v>
      </c>
      <c r="G880" s="0" t="e">
        <v>#NAME?</v>
      </c>
    </row>
    <row r="881" customFormat="false" ht="15.75" hidden="false" customHeight="true" outlineLevel="0" collapsed="false">
      <c r="D881" s="0" t="e">
        <v>#NAME?</v>
      </c>
      <c r="E881" s="0" t="e">
        <v>#NAME?</v>
      </c>
      <c r="F881" s="0" t="e">
        <v>#NAME?</v>
      </c>
      <c r="G881" s="0" t="e">
        <v>#NAME?</v>
      </c>
    </row>
    <row r="882" customFormat="false" ht="15.75" hidden="false" customHeight="true" outlineLevel="0" collapsed="false">
      <c r="D882" s="0" t="e">
        <v>#NAME?</v>
      </c>
      <c r="E882" s="0" t="e">
        <v>#NAME?</v>
      </c>
      <c r="F882" s="0" t="e">
        <v>#NAME?</v>
      </c>
      <c r="G882" s="0" t="e">
        <v>#NAME?</v>
      </c>
    </row>
    <row r="883" customFormat="false" ht="15.75" hidden="false" customHeight="true" outlineLevel="0" collapsed="false">
      <c r="D883" s="0" t="e">
        <v>#NAME?</v>
      </c>
      <c r="E883" s="0" t="e">
        <v>#NAME?</v>
      </c>
      <c r="F883" s="0" t="e">
        <v>#NAME?</v>
      </c>
      <c r="G883" s="0" t="e">
        <v>#NAME?</v>
      </c>
    </row>
    <row r="884" customFormat="false" ht="15.75" hidden="false" customHeight="true" outlineLevel="0" collapsed="false">
      <c r="D884" s="0" t="e">
        <v>#NAME?</v>
      </c>
      <c r="E884" s="0" t="e">
        <v>#NAME?</v>
      </c>
      <c r="F884" s="0" t="e">
        <v>#NAME?</v>
      </c>
      <c r="G884" s="0" t="e">
        <v>#NAME?</v>
      </c>
    </row>
    <row r="885" customFormat="false" ht="15.75" hidden="false" customHeight="true" outlineLevel="0" collapsed="false">
      <c r="D885" s="0" t="e">
        <v>#NAME?</v>
      </c>
      <c r="E885" s="0" t="e">
        <v>#NAME?</v>
      </c>
      <c r="F885" s="0" t="e">
        <v>#NAME?</v>
      </c>
      <c r="G885" s="0" t="e">
        <v>#NAME?</v>
      </c>
    </row>
    <row r="886" customFormat="false" ht="15.75" hidden="false" customHeight="true" outlineLevel="0" collapsed="false">
      <c r="D886" s="0" t="e">
        <v>#NAME?</v>
      </c>
      <c r="E886" s="0" t="e">
        <v>#NAME?</v>
      </c>
      <c r="F886" s="0" t="e">
        <v>#NAME?</v>
      </c>
      <c r="G886" s="0" t="e">
        <v>#NAME?</v>
      </c>
    </row>
    <row r="887" customFormat="false" ht="15.75" hidden="false" customHeight="true" outlineLevel="0" collapsed="false">
      <c r="D887" s="0" t="e">
        <v>#NAME?</v>
      </c>
      <c r="E887" s="0" t="e">
        <v>#NAME?</v>
      </c>
      <c r="F887" s="0" t="e">
        <v>#NAME?</v>
      </c>
      <c r="G887" s="0" t="e">
        <v>#NAME?</v>
      </c>
    </row>
    <row r="888" customFormat="false" ht="15.75" hidden="false" customHeight="true" outlineLevel="0" collapsed="false">
      <c r="D888" s="0" t="e">
        <v>#NAME?</v>
      </c>
      <c r="E888" s="0" t="e">
        <v>#NAME?</v>
      </c>
      <c r="F888" s="0" t="e">
        <v>#NAME?</v>
      </c>
      <c r="G888" s="0" t="e">
        <v>#NAME?</v>
      </c>
    </row>
    <row r="889" customFormat="false" ht="15.75" hidden="false" customHeight="true" outlineLevel="0" collapsed="false">
      <c r="D889" s="0" t="e">
        <v>#NAME?</v>
      </c>
      <c r="E889" s="0" t="e">
        <v>#NAME?</v>
      </c>
      <c r="F889" s="0" t="e">
        <v>#NAME?</v>
      </c>
      <c r="G889" s="0" t="e">
        <v>#NAME?</v>
      </c>
    </row>
    <row r="890" customFormat="false" ht="15.75" hidden="false" customHeight="true" outlineLevel="0" collapsed="false">
      <c r="D890" s="0" t="e">
        <v>#NAME?</v>
      </c>
      <c r="E890" s="0" t="e">
        <v>#NAME?</v>
      </c>
      <c r="F890" s="0" t="e">
        <v>#NAME?</v>
      </c>
      <c r="G890" s="0" t="e">
        <v>#NAME?</v>
      </c>
    </row>
    <row r="891" customFormat="false" ht="15.75" hidden="false" customHeight="true" outlineLevel="0" collapsed="false">
      <c r="D891" s="0" t="e">
        <v>#NAME?</v>
      </c>
      <c r="E891" s="0" t="e">
        <v>#NAME?</v>
      </c>
      <c r="F891" s="0" t="e">
        <v>#NAME?</v>
      </c>
      <c r="G891" s="0" t="e">
        <v>#NAME?</v>
      </c>
    </row>
    <row r="892" customFormat="false" ht="15.75" hidden="false" customHeight="true" outlineLevel="0" collapsed="false">
      <c r="D892" s="0" t="e">
        <v>#NAME?</v>
      </c>
      <c r="E892" s="0" t="e">
        <v>#NAME?</v>
      </c>
      <c r="F892" s="0" t="e">
        <v>#NAME?</v>
      </c>
      <c r="G892" s="0" t="e">
        <v>#NAME?</v>
      </c>
    </row>
    <row r="893" customFormat="false" ht="15.75" hidden="false" customHeight="true" outlineLevel="0" collapsed="false">
      <c r="D893" s="0" t="e">
        <v>#NAME?</v>
      </c>
      <c r="E893" s="0" t="e">
        <v>#NAME?</v>
      </c>
      <c r="F893" s="0" t="e">
        <v>#NAME?</v>
      </c>
      <c r="G893" s="0" t="e">
        <v>#NAME?</v>
      </c>
    </row>
    <row r="894" customFormat="false" ht="15.75" hidden="false" customHeight="true" outlineLevel="0" collapsed="false">
      <c r="D894" s="0" t="e">
        <v>#NAME?</v>
      </c>
      <c r="E894" s="0" t="e">
        <v>#NAME?</v>
      </c>
      <c r="F894" s="0" t="e">
        <v>#NAME?</v>
      </c>
      <c r="G894" s="0" t="e">
        <v>#NAME?</v>
      </c>
    </row>
    <row r="895" customFormat="false" ht="15.75" hidden="false" customHeight="true" outlineLevel="0" collapsed="false">
      <c r="D895" s="0" t="e">
        <v>#NAME?</v>
      </c>
      <c r="E895" s="0" t="e">
        <v>#NAME?</v>
      </c>
      <c r="F895" s="0" t="e">
        <v>#NAME?</v>
      </c>
      <c r="G895" s="0" t="e">
        <v>#NAME?</v>
      </c>
    </row>
    <row r="896" customFormat="false" ht="15.75" hidden="false" customHeight="true" outlineLevel="0" collapsed="false">
      <c r="D896" s="0" t="e">
        <v>#NAME?</v>
      </c>
      <c r="E896" s="0" t="e">
        <v>#NAME?</v>
      </c>
      <c r="F896" s="0" t="e">
        <v>#NAME?</v>
      </c>
      <c r="G896" s="0" t="e">
        <v>#NAME?</v>
      </c>
    </row>
    <row r="897" customFormat="false" ht="15.75" hidden="false" customHeight="true" outlineLevel="0" collapsed="false">
      <c r="D897" s="0" t="e">
        <v>#NAME?</v>
      </c>
      <c r="E897" s="0" t="e">
        <v>#NAME?</v>
      </c>
      <c r="F897" s="0" t="e">
        <v>#NAME?</v>
      </c>
      <c r="G897" s="0" t="e">
        <v>#NAME?</v>
      </c>
    </row>
    <row r="898" customFormat="false" ht="15.75" hidden="false" customHeight="true" outlineLevel="0" collapsed="false">
      <c r="D898" s="0" t="e">
        <v>#NAME?</v>
      </c>
      <c r="E898" s="0" t="e">
        <v>#NAME?</v>
      </c>
      <c r="F898" s="0" t="e">
        <v>#NAME?</v>
      </c>
      <c r="G898" s="0" t="e">
        <v>#NAME?</v>
      </c>
    </row>
    <row r="899" customFormat="false" ht="15.75" hidden="false" customHeight="true" outlineLevel="0" collapsed="false">
      <c r="D899" s="0" t="e">
        <v>#NAME?</v>
      </c>
      <c r="E899" s="0" t="e">
        <v>#NAME?</v>
      </c>
      <c r="F899" s="0" t="e">
        <v>#NAME?</v>
      </c>
      <c r="G899" s="0" t="e">
        <v>#NAME?</v>
      </c>
    </row>
    <row r="900" customFormat="false" ht="15.75" hidden="false" customHeight="true" outlineLevel="0" collapsed="false">
      <c r="D900" s="0" t="e">
        <v>#NAME?</v>
      </c>
      <c r="E900" s="0" t="e">
        <v>#NAME?</v>
      </c>
      <c r="F900" s="0" t="e">
        <v>#NAME?</v>
      </c>
      <c r="G900" s="0" t="e">
        <v>#NAME?</v>
      </c>
    </row>
    <row r="901" customFormat="false" ht="15.75" hidden="false" customHeight="true" outlineLevel="0" collapsed="false">
      <c r="D901" s="0" t="e">
        <v>#NAME?</v>
      </c>
      <c r="E901" s="0" t="e">
        <v>#NAME?</v>
      </c>
      <c r="F901" s="0" t="e">
        <v>#NAME?</v>
      </c>
      <c r="G901" s="0" t="e">
        <v>#NAME?</v>
      </c>
    </row>
    <row r="902" customFormat="false" ht="15.75" hidden="false" customHeight="true" outlineLevel="0" collapsed="false">
      <c r="D902" s="0" t="e">
        <v>#NAME?</v>
      </c>
      <c r="E902" s="0" t="e">
        <v>#NAME?</v>
      </c>
      <c r="F902" s="0" t="e">
        <v>#NAME?</v>
      </c>
      <c r="G902" s="0" t="e">
        <v>#NAME?</v>
      </c>
    </row>
    <row r="903" customFormat="false" ht="15.75" hidden="false" customHeight="true" outlineLevel="0" collapsed="false">
      <c r="D903" s="0" t="e">
        <v>#NAME?</v>
      </c>
      <c r="E903" s="0" t="e">
        <v>#NAME?</v>
      </c>
      <c r="F903" s="0" t="e">
        <v>#NAME?</v>
      </c>
      <c r="G903" s="0" t="e">
        <v>#NAME?</v>
      </c>
    </row>
    <row r="904" customFormat="false" ht="15.75" hidden="false" customHeight="true" outlineLevel="0" collapsed="false">
      <c r="D904" s="0" t="e">
        <v>#NAME?</v>
      </c>
      <c r="E904" s="0" t="e">
        <v>#NAME?</v>
      </c>
      <c r="F904" s="0" t="e">
        <v>#NAME?</v>
      </c>
      <c r="G904" s="0" t="e">
        <v>#NAME?</v>
      </c>
    </row>
    <row r="905" customFormat="false" ht="15.75" hidden="false" customHeight="true" outlineLevel="0" collapsed="false">
      <c r="D905" s="0" t="e">
        <v>#NAME?</v>
      </c>
      <c r="E905" s="0" t="e">
        <v>#NAME?</v>
      </c>
      <c r="F905" s="0" t="e">
        <v>#NAME?</v>
      </c>
      <c r="G905" s="0" t="e">
        <v>#NAME?</v>
      </c>
    </row>
    <row r="906" customFormat="false" ht="15.75" hidden="false" customHeight="true" outlineLevel="0" collapsed="false">
      <c r="D906" s="0" t="e">
        <v>#NAME?</v>
      </c>
      <c r="E906" s="0" t="e">
        <v>#NAME?</v>
      </c>
      <c r="F906" s="0" t="e">
        <v>#NAME?</v>
      </c>
      <c r="G906" s="0" t="e">
        <v>#NAME?</v>
      </c>
    </row>
    <row r="907" customFormat="false" ht="15.75" hidden="false" customHeight="true" outlineLevel="0" collapsed="false">
      <c r="D907" s="0" t="e">
        <v>#NAME?</v>
      </c>
      <c r="E907" s="0" t="e">
        <v>#NAME?</v>
      </c>
      <c r="F907" s="0" t="e">
        <v>#NAME?</v>
      </c>
      <c r="G907" s="0" t="e">
        <v>#NAME?</v>
      </c>
    </row>
    <row r="908" customFormat="false" ht="15.75" hidden="false" customHeight="true" outlineLevel="0" collapsed="false">
      <c r="D908" s="0" t="e">
        <v>#NAME?</v>
      </c>
      <c r="E908" s="0" t="e">
        <v>#NAME?</v>
      </c>
      <c r="F908" s="0" t="e">
        <v>#NAME?</v>
      </c>
      <c r="G908" s="0" t="e">
        <v>#NAME?</v>
      </c>
    </row>
    <row r="909" customFormat="false" ht="15.75" hidden="false" customHeight="true" outlineLevel="0" collapsed="false">
      <c r="D909" s="0" t="e">
        <v>#NAME?</v>
      </c>
      <c r="E909" s="0" t="e">
        <v>#NAME?</v>
      </c>
      <c r="F909" s="0" t="e">
        <v>#NAME?</v>
      </c>
      <c r="G909" s="0" t="e">
        <v>#NAME?</v>
      </c>
    </row>
    <row r="910" customFormat="false" ht="15.75" hidden="false" customHeight="true" outlineLevel="0" collapsed="false">
      <c r="D910" s="0" t="e">
        <v>#NAME?</v>
      </c>
      <c r="E910" s="0" t="e">
        <v>#NAME?</v>
      </c>
      <c r="F910" s="0" t="e">
        <v>#NAME?</v>
      </c>
      <c r="G910" s="0" t="e">
        <v>#NAME?</v>
      </c>
    </row>
    <row r="911" customFormat="false" ht="15.75" hidden="false" customHeight="true" outlineLevel="0" collapsed="false">
      <c r="D911" s="0" t="e">
        <v>#NAME?</v>
      </c>
      <c r="E911" s="0" t="e">
        <v>#NAME?</v>
      </c>
      <c r="F911" s="0" t="e">
        <v>#NAME?</v>
      </c>
      <c r="G911" s="0" t="e">
        <v>#NAME?</v>
      </c>
    </row>
    <row r="912" customFormat="false" ht="15.75" hidden="false" customHeight="true" outlineLevel="0" collapsed="false">
      <c r="D912" s="0" t="e">
        <v>#NAME?</v>
      </c>
      <c r="E912" s="0" t="e">
        <v>#NAME?</v>
      </c>
      <c r="F912" s="0" t="e">
        <v>#NAME?</v>
      </c>
      <c r="G912" s="0" t="e">
        <v>#NAME?</v>
      </c>
    </row>
    <row r="913" customFormat="false" ht="15.75" hidden="false" customHeight="true" outlineLevel="0" collapsed="false">
      <c r="D913" s="0" t="e">
        <v>#NAME?</v>
      </c>
      <c r="E913" s="0" t="e">
        <v>#NAME?</v>
      </c>
      <c r="F913" s="0" t="e">
        <v>#NAME?</v>
      </c>
      <c r="G913" s="0" t="e">
        <v>#NAME?</v>
      </c>
    </row>
    <row r="914" customFormat="false" ht="15.75" hidden="false" customHeight="true" outlineLevel="0" collapsed="false">
      <c r="D914" s="0" t="e">
        <v>#NAME?</v>
      </c>
      <c r="E914" s="0" t="e">
        <v>#NAME?</v>
      </c>
      <c r="F914" s="0" t="e">
        <v>#NAME?</v>
      </c>
      <c r="G914" s="0" t="e">
        <v>#NAME?</v>
      </c>
    </row>
    <row r="915" customFormat="false" ht="15.75" hidden="false" customHeight="true" outlineLevel="0" collapsed="false">
      <c r="D915" s="0" t="e">
        <v>#NAME?</v>
      </c>
      <c r="E915" s="0" t="e">
        <v>#NAME?</v>
      </c>
      <c r="F915" s="0" t="e">
        <v>#NAME?</v>
      </c>
      <c r="G915" s="0" t="e">
        <v>#NAME?</v>
      </c>
    </row>
    <row r="916" customFormat="false" ht="15.75" hidden="false" customHeight="true" outlineLevel="0" collapsed="false">
      <c r="D916" s="0" t="e">
        <v>#NAME?</v>
      </c>
      <c r="E916" s="0" t="e">
        <v>#NAME?</v>
      </c>
      <c r="F916" s="0" t="e">
        <v>#NAME?</v>
      </c>
      <c r="G916" s="0" t="e">
        <v>#NAME?</v>
      </c>
    </row>
    <row r="917" customFormat="false" ht="15.75" hidden="false" customHeight="true" outlineLevel="0" collapsed="false">
      <c r="D917" s="0" t="e">
        <v>#NAME?</v>
      </c>
      <c r="E917" s="0" t="e">
        <v>#NAME?</v>
      </c>
      <c r="F917" s="0" t="e">
        <v>#NAME?</v>
      </c>
      <c r="G917" s="0" t="e">
        <v>#NAME?</v>
      </c>
    </row>
    <row r="918" customFormat="false" ht="15.75" hidden="false" customHeight="true" outlineLevel="0" collapsed="false">
      <c r="D918" s="0" t="e">
        <v>#NAME?</v>
      </c>
      <c r="E918" s="0" t="e">
        <v>#NAME?</v>
      </c>
      <c r="F918" s="0" t="e">
        <v>#NAME?</v>
      </c>
      <c r="G918" s="0" t="e">
        <v>#NAME?</v>
      </c>
    </row>
    <row r="919" customFormat="false" ht="15.75" hidden="false" customHeight="true" outlineLevel="0" collapsed="false">
      <c r="D919" s="0" t="e">
        <v>#NAME?</v>
      </c>
      <c r="E919" s="0" t="e">
        <v>#NAME?</v>
      </c>
      <c r="F919" s="0" t="e">
        <v>#NAME?</v>
      </c>
      <c r="G919" s="0" t="e">
        <v>#NAME?</v>
      </c>
    </row>
    <row r="920" customFormat="false" ht="15.75" hidden="false" customHeight="true" outlineLevel="0" collapsed="false">
      <c r="D920" s="0" t="e">
        <v>#NAME?</v>
      </c>
      <c r="E920" s="0" t="e">
        <v>#NAME?</v>
      </c>
      <c r="F920" s="0" t="e">
        <v>#NAME?</v>
      </c>
      <c r="G920" s="0" t="e">
        <v>#NAME?</v>
      </c>
    </row>
    <row r="921" customFormat="false" ht="15.75" hidden="false" customHeight="true" outlineLevel="0" collapsed="false">
      <c r="D921" s="0" t="e">
        <v>#NAME?</v>
      </c>
      <c r="E921" s="0" t="e">
        <v>#NAME?</v>
      </c>
      <c r="F921" s="0" t="e">
        <v>#NAME?</v>
      </c>
      <c r="G921" s="0" t="e">
        <v>#NAME?</v>
      </c>
    </row>
    <row r="922" customFormat="false" ht="15.75" hidden="false" customHeight="true" outlineLevel="0" collapsed="false">
      <c r="D922" s="0" t="e">
        <v>#NAME?</v>
      </c>
      <c r="E922" s="0" t="e">
        <v>#NAME?</v>
      </c>
      <c r="F922" s="0" t="e">
        <v>#NAME?</v>
      </c>
      <c r="G922" s="0" t="e">
        <v>#NAME?</v>
      </c>
    </row>
    <row r="923" customFormat="false" ht="15.75" hidden="false" customHeight="true" outlineLevel="0" collapsed="false">
      <c r="D923" s="0" t="e">
        <v>#NAME?</v>
      </c>
      <c r="E923" s="0" t="e">
        <v>#NAME?</v>
      </c>
      <c r="F923" s="0" t="e">
        <v>#NAME?</v>
      </c>
      <c r="G923" s="0" t="e">
        <v>#NAME?</v>
      </c>
    </row>
    <row r="924" customFormat="false" ht="15.75" hidden="false" customHeight="true" outlineLevel="0" collapsed="false">
      <c r="D924" s="0" t="e">
        <v>#NAME?</v>
      </c>
      <c r="E924" s="0" t="e">
        <v>#NAME?</v>
      </c>
      <c r="F924" s="0" t="e">
        <v>#NAME?</v>
      </c>
      <c r="G924" s="0" t="e">
        <v>#NAME?</v>
      </c>
    </row>
    <row r="925" customFormat="false" ht="15.75" hidden="false" customHeight="true" outlineLevel="0" collapsed="false">
      <c r="D925" s="0" t="e">
        <v>#NAME?</v>
      </c>
      <c r="E925" s="0" t="e">
        <v>#NAME?</v>
      </c>
      <c r="F925" s="0" t="e">
        <v>#NAME?</v>
      </c>
      <c r="G925" s="0" t="e">
        <v>#NAME?</v>
      </c>
    </row>
    <row r="926" customFormat="false" ht="15.75" hidden="false" customHeight="true" outlineLevel="0" collapsed="false">
      <c r="D926" s="0" t="e">
        <v>#NAME?</v>
      </c>
      <c r="E926" s="0" t="e">
        <v>#NAME?</v>
      </c>
      <c r="F926" s="0" t="e">
        <v>#NAME?</v>
      </c>
      <c r="G926" s="0" t="e">
        <v>#NAME?</v>
      </c>
    </row>
    <row r="927" customFormat="false" ht="15.75" hidden="false" customHeight="true" outlineLevel="0" collapsed="false">
      <c r="D927" s="0" t="e">
        <v>#NAME?</v>
      </c>
      <c r="E927" s="0" t="e">
        <v>#NAME?</v>
      </c>
      <c r="F927" s="0" t="e">
        <v>#NAME?</v>
      </c>
      <c r="G927" s="0" t="e">
        <v>#NAME?</v>
      </c>
    </row>
    <row r="928" customFormat="false" ht="15.75" hidden="false" customHeight="true" outlineLevel="0" collapsed="false">
      <c r="D928" s="0" t="e">
        <v>#NAME?</v>
      </c>
      <c r="E928" s="0" t="e">
        <v>#NAME?</v>
      </c>
      <c r="F928" s="0" t="e">
        <v>#NAME?</v>
      </c>
      <c r="G928" s="0" t="e">
        <v>#NAME?</v>
      </c>
    </row>
    <row r="929" customFormat="false" ht="15.75" hidden="false" customHeight="true" outlineLevel="0" collapsed="false">
      <c r="D929" s="0" t="e">
        <v>#NAME?</v>
      </c>
      <c r="E929" s="0" t="e">
        <v>#NAME?</v>
      </c>
      <c r="F929" s="0" t="e">
        <v>#NAME?</v>
      </c>
      <c r="G929" s="0" t="e">
        <v>#NAME?</v>
      </c>
    </row>
    <row r="930" customFormat="false" ht="15.75" hidden="false" customHeight="true" outlineLevel="0" collapsed="false">
      <c r="D930" s="0" t="e">
        <v>#NAME?</v>
      </c>
      <c r="E930" s="0" t="e">
        <v>#NAME?</v>
      </c>
      <c r="F930" s="0" t="e">
        <v>#NAME?</v>
      </c>
      <c r="G930" s="0" t="e">
        <v>#NAME?</v>
      </c>
    </row>
    <row r="931" customFormat="false" ht="15.75" hidden="false" customHeight="true" outlineLevel="0" collapsed="false">
      <c r="D931" s="0" t="e">
        <v>#NAME?</v>
      </c>
      <c r="E931" s="0" t="e">
        <v>#NAME?</v>
      </c>
      <c r="F931" s="0" t="e">
        <v>#NAME?</v>
      </c>
      <c r="G931" s="0" t="e">
        <v>#NAME?</v>
      </c>
    </row>
    <row r="932" customFormat="false" ht="15.75" hidden="false" customHeight="true" outlineLevel="0" collapsed="false">
      <c r="D932" s="0" t="e">
        <v>#NAME?</v>
      </c>
      <c r="E932" s="0" t="e">
        <v>#NAME?</v>
      </c>
      <c r="F932" s="0" t="e">
        <v>#NAME?</v>
      </c>
      <c r="G932" s="0" t="e">
        <v>#NAME?</v>
      </c>
    </row>
    <row r="933" customFormat="false" ht="15.75" hidden="false" customHeight="true" outlineLevel="0" collapsed="false">
      <c r="D933" s="0" t="e">
        <v>#NAME?</v>
      </c>
      <c r="E933" s="0" t="e">
        <v>#NAME?</v>
      </c>
      <c r="F933" s="0" t="e">
        <v>#NAME?</v>
      </c>
      <c r="G933" s="0" t="e">
        <v>#NAME?</v>
      </c>
    </row>
    <row r="934" customFormat="false" ht="15.75" hidden="false" customHeight="true" outlineLevel="0" collapsed="false">
      <c r="D934" s="0" t="e">
        <v>#NAME?</v>
      </c>
      <c r="E934" s="0" t="e">
        <v>#NAME?</v>
      </c>
      <c r="F934" s="0" t="e">
        <v>#NAME?</v>
      </c>
      <c r="G934" s="0" t="e">
        <v>#NAME?</v>
      </c>
    </row>
    <row r="935" customFormat="false" ht="15.75" hidden="false" customHeight="true" outlineLevel="0" collapsed="false">
      <c r="D935" s="0" t="e">
        <v>#NAME?</v>
      </c>
      <c r="E935" s="0" t="e">
        <v>#NAME?</v>
      </c>
      <c r="F935" s="0" t="e">
        <v>#NAME?</v>
      </c>
      <c r="G935" s="0" t="e">
        <v>#NAME?</v>
      </c>
    </row>
    <row r="936" customFormat="false" ht="15.75" hidden="false" customHeight="true" outlineLevel="0" collapsed="false">
      <c r="D936" s="0" t="e">
        <v>#NAME?</v>
      </c>
      <c r="E936" s="0" t="e">
        <v>#NAME?</v>
      </c>
      <c r="F936" s="0" t="e">
        <v>#NAME?</v>
      </c>
      <c r="G936" s="0" t="e">
        <v>#NAME?</v>
      </c>
    </row>
    <row r="937" customFormat="false" ht="15.75" hidden="false" customHeight="true" outlineLevel="0" collapsed="false">
      <c r="D937" s="0" t="e">
        <v>#NAME?</v>
      </c>
      <c r="E937" s="0" t="e">
        <v>#NAME?</v>
      </c>
      <c r="F937" s="0" t="e">
        <v>#NAME?</v>
      </c>
      <c r="G937" s="0" t="e">
        <v>#NAME?</v>
      </c>
    </row>
    <row r="938" customFormat="false" ht="15.75" hidden="false" customHeight="true" outlineLevel="0" collapsed="false">
      <c r="D938" s="0" t="e">
        <v>#NAME?</v>
      </c>
      <c r="E938" s="0" t="e">
        <v>#NAME?</v>
      </c>
      <c r="F938" s="0" t="e">
        <v>#NAME?</v>
      </c>
      <c r="G938" s="0" t="e">
        <v>#NAME?</v>
      </c>
    </row>
    <row r="939" customFormat="false" ht="15.75" hidden="false" customHeight="true" outlineLevel="0" collapsed="false">
      <c r="D939" s="0" t="e">
        <v>#NAME?</v>
      </c>
      <c r="E939" s="0" t="e">
        <v>#NAME?</v>
      </c>
      <c r="F939" s="0" t="e">
        <v>#NAME?</v>
      </c>
      <c r="G939" s="0" t="e">
        <v>#NAME?</v>
      </c>
    </row>
    <row r="940" customFormat="false" ht="15.75" hidden="false" customHeight="true" outlineLevel="0" collapsed="false">
      <c r="D940" s="0" t="e">
        <v>#NAME?</v>
      </c>
      <c r="E940" s="0" t="e">
        <v>#NAME?</v>
      </c>
      <c r="F940" s="0" t="e">
        <v>#NAME?</v>
      </c>
      <c r="G940" s="0" t="e">
        <v>#NAME?</v>
      </c>
    </row>
    <row r="941" customFormat="false" ht="15.75" hidden="false" customHeight="true" outlineLevel="0" collapsed="false">
      <c r="D941" s="0" t="e">
        <v>#NAME?</v>
      </c>
      <c r="E941" s="0" t="e">
        <v>#NAME?</v>
      </c>
      <c r="F941" s="0" t="e">
        <v>#NAME?</v>
      </c>
      <c r="G941" s="0" t="e">
        <v>#NAME?</v>
      </c>
    </row>
    <row r="942" customFormat="false" ht="15.75" hidden="false" customHeight="true" outlineLevel="0" collapsed="false">
      <c r="D942" s="0" t="e">
        <v>#NAME?</v>
      </c>
      <c r="E942" s="0" t="e">
        <v>#NAME?</v>
      </c>
      <c r="F942" s="0" t="e">
        <v>#NAME?</v>
      </c>
      <c r="G942" s="0" t="e">
        <v>#NAME?</v>
      </c>
    </row>
    <row r="943" customFormat="false" ht="15.75" hidden="false" customHeight="true" outlineLevel="0" collapsed="false">
      <c r="D943" s="0" t="e">
        <v>#NAME?</v>
      </c>
      <c r="E943" s="0" t="e">
        <v>#NAME?</v>
      </c>
      <c r="F943" s="0" t="e">
        <v>#NAME?</v>
      </c>
      <c r="G943" s="0" t="e">
        <v>#NAME?</v>
      </c>
    </row>
    <row r="944" customFormat="false" ht="15.75" hidden="false" customHeight="true" outlineLevel="0" collapsed="false">
      <c r="D944" s="0" t="e">
        <v>#NAME?</v>
      </c>
      <c r="E944" s="0" t="e">
        <v>#NAME?</v>
      </c>
      <c r="F944" s="0" t="e">
        <v>#NAME?</v>
      </c>
      <c r="G944" s="0" t="e">
        <v>#NAME?</v>
      </c>
    </row>
    <row r="945" customFormat="false" ht="15.75" hidden="false" customHeight="true" outlineLevel="0" collapsed="false">
      <c r="D945" s="0" t="e">
        <v>#NAME?</v>
      </c>
      <c r="E945" s="0" t="e">
        <v>#NAME?</v>
      </c>
      <c r="F945" s="0" t="e">
        <v>#NAME?</v>
      </c>
      <c r="G945" s="0" t="e">
        <v>#NAME?</v>
      </c>
    </row>
    <row r="946" customFormat="false" ht="15.75" hidden="false" customHeight="true" outlineLevel="0" collapsed="false">
      <c r="D946" s="0" t="e">
        <v>#NAME?</v>
      </c>
      <c r="E946" s="0" t="e">
        <v>#NAME?</v>
      </c>
      <c r="F946" s="0" t="e">
        <v>#NAME?</v>
      </c>
      <c r="G946" s="0" t="e">
        <v>#NAME?</v>
      </c>
    </row>
    <row r="947" customFormat="false" ht="15.75" hidden="false" customHeight="true" outlineLevel="0" collapsed="false">
      <c r="D947" s="0" t="e">
        <v>#NAME?</v>
      </c>
      <c r="E947" s="0" t="e">
        <v>#NAME?</v>
      </c>
      <c r="F947" s="0" t="e">
        <v>#NAME?</v>
      </c>
      <c r="G947" s="0" t="e">
        <v>#NAME?</v>
      </c>
    </row>
    <row r="948" customFormat="false" ht="15.75" hidden="false" customHeight="true" outlineLevel="0" collapsed="false">
      <c r="D948" s="0" t="e">
        <v>#NAME?</v>
      </c>
      <c r="E948" s="0" t="e">
        <v>#NAME?</v>
      </c>
      <c r="F948" s="0" t="e">
        <v>#NAME?</v>
      </c>
      <c r="G948" s="0" t="e">
        <v>#NAME?</v>
      </c>
    </row>
    <row r="949" customFormat="false" ht="15.75" hidden="false" customHeight="true" outlineLevel="0" collapsed="false">
      <c r="D949" s="0" t="e">
        <v>#NAME?</v>
      </c>
      <c r="E949" s="0" t="e">
        <v>#NAME?</v>
      </c>
      <c r="F949" s="0" t="e">
        <v>#NAME?</v>
      </c>
      <c r="G949" s="0" t="e">
        <v>#NAME?</v>
      </c>
    </row>
    <row r="950" customFormat="false" ht="15.75" hidden="false" customHeight="true" outlineLevel="0" collapsed="false">
      <c r="D950" s="0" t="e">
        <v>#NAME?</v>
      </c>
      <c r="E950" s="0" t="e">
        <v>#NAME?</v>
      </c>
      <c r="F950" s="0" t="e">
        <v>#NAME?</v>
      </c>
      <c r="G950" s="0" t="e">
        <v>#NAME?</v>
      </c>
    </row>
    <row r="951" customFormat="false" ht="15.75" hidden="false" customHeight="true" outlineLevel="0" collapsed="false">
      <c r="D951" s="0" t="e">
        <v>#NAME?</v>
      </c>
      <c r="E951" s="0" t="e">
        <v>#NAME?</v>
      </c>
      <c r="F951" s="0" t="e">
        <v>#NAME?</v>
      </c>
      <c r="G951" s="0" t="e">
        <v>#NAME?</v>
      </c>
    </row>
    <row r="952" customFormat="false" ht="15.75" hidden="false" customHeight="true" outlineLevel="0" collapsed="false">
      <c r="D952" s="0" t="e">
        <v>#NAME?</v>
      </c>
      <c r="E952" s="0" t="e">
        <v>#NAME?</v>
      </c>
      <c r="F952" s="0" t="e">
        <v>#NAME?</v>
      </c>
      <c r="G952" s="0" t="e">
        <v>#NAME?</v>
      </c>
    </row>
    <row r="953" customFormat="false" ht="15.75" hidden="false" customHeight="true" outlineLevel="0" collapsed="false">
      <c r="D953" s="0" t="e">
        <v>#NAME?</v>
      </c>
      <c r="E953" s="0" t="e">
        <v>#NAME?</v>
      </c>
      <c r="F953" s="0" t="e">
        <v>#NAME?</v>
      </c>
      <c r="G953" s="0" t="e">
        <v>#NAME?</v>
      </c>
    </row>
    <row r="954" customFormat="false" ht="15.75" hidden="false" customHeight="true" outlineLevel="0" collapsed="false">
      <c r="D954" s="0" t="e">
        <v>#NAME?</v>
      </c>
      <c r="E954" s="0" t="e">
        <v>#NAME?</v>
      </c>
      <c r="F954" s="0" t="e">
        <v>#NAME?</v>
      </c>
      <c r="G954" s="0" t="e">
        <v>#NAME?</v>
      </c>
    </row>
    <row r="955" customFormat="false" ht="15.75" hidden="false" customHeight="true" outlineLevel="0" collapsed="false">
      <c r="D955" s="0" t="e">
        <v>#NAME?</v>
      </c>
      <c r="E955" s="0" t="e">
        <v>#NAME?</v>
      </c>
      <c r="F955" s="0" t="e">
        <v>#NAME?</v>
      </c>
      <c r="G955" s="0" t="e">
        <v>#NAME?</v>
      </c>
    </row>
    <row r="956" customFormat="false" ht="15.75" hidden="false" customHeight="true" outlineLevel="0" collapsed="false">
      <c r="D956" s="0" t="e">
        <v>#NAME?</v>
      </c>
      <c r="E956" s="0" t="e">
        <v>#NAME?</v>
      </c>
      <c r="F956" s="0" t="e">
        <v>#NAME?</v>
      </c>
      <c r="G956" s="0" t="e">
        <v>#NAME?</v>
      </c>
    </row>
    <row r="957" customFormat="false" ht="15.75" hidden="false" customHeight="true" outlineLevel="0" collapsed="false">
      <c r="D957" s="0" t="e">
        <v>#NAME?</v>
      </c>
      <c r="E957" s="0" t="e">
        <v>#NAME?</v>
      </c>
      <c r="F957" s="0" t="e">
        <v>#NAME?</v>
      </c>
      <c r="G957" s="0" t="e">
        <v>#NAME?</v>
      </c>
    </row>
    <row r="958" customFormat="false" ht="15.75" hidden="false" customHeight="true" outlineLevel="0" collapsed="false">
      <c r="D958" s="0" t="e">
        <v>#NAME?</v>
      </c>
      <c r="E958" s="0" t="e">
        <v>#NAME?</v>
      </c>
      <c r="F958" s="0" t="e">
        <v>#NAME?</v>
      </c>
      <c r="G958" s="0" t="e">
        <v>#NAME?</v>
      </c>
    </row>
    <row r="959" customFormat="false" ht="15.75" hidden="false" customHeight="true" outlineLevel="0" collapsed="false">
      <c r="D959" s="0" t="e">
        <v>#NAME?</v>
      </c>
      <c r="E959" s="0" t="e">
        <v>#NAME?</v>
      </c>
      <c r="F959" s="0" t="e">
        <v>#NAME?</v>
      </c>
      <c r="G959" s="0" t="e">
        <v>#NAME?</v>
      </c>
    </row>
    <row r="960" customFormat="false" ht="15.75" hidden="false" customHeight="true" outlineLevel="0" collapsed="false">
      <c r="D960" s="0" t="e">
        <v>#NAME?</v>
      </c>
      <c r="E960" s="0" t="e">
        <v>#NAME?</v>
      </c>
      <c r="F960" s="0" t="e">
        <v>#NAME?</v>
      </c>
      <c r="G960" s="0" t="e">
        <v>#NAME?</v>
      </c>
    </row>
    <row r="961" customFormat="false" ht="15.75" hidden="false" customHeight="true" outlineLevel="0" collapsed="false">
      <c r="D961" s="0" t="e">
        <v>#NAME?</v>
      </c>
      <c r="E961" s="0" t="e">
        <v>#NAME?</v>
      </c>
      <c r="F961" s="0" t="e">
        <v>#NAME?</v>
      </c>
      <c r="G961" s="0" t="e">
        <v>#NAME?</v>
      </c>
    </row>
    <row r="962" customFormat="false" ht="15.75" hidden="false" customHeight="true" outlineLevel="0" collapsed="false">
      <c r="D962" s="0" t="e">
        <v>#NAME?</v>
      </c>
      <c r="E962" s="0" t="e">
        <v>#NAME?</v>
      </c>
      <c r="F962" s="0" t="e">
        <v>#NAME?</v>
      </c>
      <c r="G962" s="0" t="e">
        <v>#NAME?</v>
      </c>
    </row>
    <row r="963" customFormat="false" ht="15.75" hidden="false" customHeight="true" outlineLevel="0" collapsed="false">
      <c r="D963" s="0" t="e">
        <v>#NAME?</v>
      </c>
      <c r="E963" s="0" t="e">
        <v>#NAME?</v>
      </c>
      <c r="F963" s="0" t="e">
        <v>#NAME?</v>
      </c>
      <c r="G963" s="0" t="e">
        <v>#NAME?</v>
      </c>
    </row>
    <row r="964" customFormat="false" ht="15.75" hidden="false" customHeight="true" outlineLevel="0" collapsed="false">
      <c r="D964" s="0" t="e">
        <v>#NAME?</v>
      </c>
      <c r="E964" s="0" t="e">
        <v>#NAME?</v>
      </c>
      <c r="F964" s="0" t="e">
        <v>#NAME?</v>
      </c>
      <c r="G964" s="0" t="e">
        <v>#NAME?</v>
      </c>
    </row>
    <row r="965" customFormat="false" ht="15.75" hidden="false" customHeight="true" outlineLevel="0" collapsed="false">
      <c r="D965" s="0" t="e">
        <v>#NAME?</v>
      </c>
      <c r="E965" s="0" t="e">
        <v>#NAME?</v>
      </c>
      <c r="F965" s="0" t="e">
        <v>#NAME?</v>
      </c>
      <c r="G965" s="0" t="e">
        <v>#NAME?</v>
      </c>
    </row>
    <row r="966" customFormat="false" ht="15.75" hidden="false" customHeight="true" outlineLevel="0" collapsed="false">
      <c r="D966" s="0" t="e">
        <v>#NAME?</v>
      </c>
      <c r="E966" s="0" t="e">
        <v>#NAME?</v>
      </c>
      <c r="F966" s="0" t="e">
        <v>#NAME?</v>
      </c>
      <c r="G966" s="0" t="e">
        <v>#NAME?</v>
      </c>
    </row>
    <row r="967" customFormat="false" ht="15.75" hidden="false" customHeight="true" outlineLevel="0" collapsed="false">
      <c r="D967" s="0" t="e">
        <v>#NAME?</v>
      </c>
      <c r="E967" s="0" t="e">
        <v>#NAME?</v>
      </c>
      <c r="F967" s="0" t="e">
        <v>#NAME?</v>
      </c>
      <c r="G967" s="0" t="e">
        <v>#NAME?</v>
      </c>
    </row>
    <row r="968" customFormat="false" ht="15.75" hidden="false" customHeight="true" outlineLevel="0" collapsed="false">
      <c r="D968" s="0" t="e">
        <v>#NAME?</v>
      </c>
      <c r="E968" s="0" t="e">
        <v>#NAME?</v>
      </c>
      <c r="F968" s="0" t="e">
        <v>#NAME?</v>
      </c>
      <c r="G968" s="0" t="e">
        <v>#NAME?</v>
      </c>
    </row>
    <row r="969" customFormat="false" ht="15.75" hidden="false" customHeight="true" outlineLevel="0" collapsed="false">
      <c r="D969" s="0" t="e">
        <v>#NAME?</v>
      </c>
      <c r="E969" s="0" t="e">
        <v>#NAME?</v>
      </c>
      <c r="F969" s="0" t="e">
        <v>#NAME?</v>
      </c>
      <c r="G969" s="0" t="e">
        <v>#NAME?</v>
      </c>
    </row>
    <row r="970" customFormat="false" ht="15.75" hidden="false" customHeight="true" outlineLevel="0" collapsed="false">
      <c r="D970" s="0" t="e">
        <v>#NAME?</v>
      </c>
      <c r="E970" s="0" t="e">
        <v>#NAME?</v>
      </c>
      <c r="F970" s="0" t="e">
        <v>#NAME?</v>
      </c>
      <c r="G970" s="0" t="e">
        <v>#NAME?</v>
      </c>
    </row>
    <row r="971" customFormat="false" ht="15.75" hidden="false" customHeight="true" outlineLevel="0" collapsed="false">
      <c r="D971" s="0" t="e">
        <v>#NAME?</v>
      </c>
      <c r="E971" s="0" t="e">
        <v>#NAME?</v>
      </c>
      <c r="F971" s="0" t="e">
        <v>#NAME?</v>
      </c>
      <c r="G971" s="0" t="e">
        <v>#NAME?</v>
      </c>
    </row>
    <row r="972" customFormat="false" ht="15.75" hidden="false" customHeight="true" outlineLevel="0" collapsed="false">
      <c r="D972" s="0" t="e">
        <v>#NAME?</v>
      </c>
      <c r="E972" s="0" t="e">
        <v>#NAME?</v>
      </c>
      <c r="F972" s="0" t="e">
        <v>#NAME?</v>
      </c>
      <c r="G972" s="0" t="e">
        <v>#NAME?</v>
      </c>
    </row>
    <row r="973" customFormat="false" ht="15.75" hidden="false" customHeight="true" outlineLevel="0" collapsed="false">
      <c r="D973" s="0" t="e">
        <v>#NAME?</v>
      </c>
      <c r="E973" s="0" t="e">
        <v>#NAME?</v>
      </c>
      <c r="F973" s="0" t="e">
        <v>#NAME?</v>
      </c>
      <c r="G973" s="0" t="e">
        <v>#NAME?</v>
      </c>
    </row>
    <row r="974" customFormat="false" ht="15.75" hidden="false" customHeight="true" outlineLevel="0" collapsed="false">
      <c r="D974" s="0" t="e">
        <v>#NAME?</v>
      </c>
      <c r="E974" s="0" t="e">
        <v>#NAME?</v>
      </c>
      <c r="F974" s="0" t="e">
        <v>#NAME?</v>
      </c>
      <c r="G974" s="0" t="e">
        <v>#NAME?</v>
      </c>
    </row>
    <row r="975" customFormat="false" ht="15.75" hidden="false" customHeight="true" outlineLevel="0" collapsed="false">
      <c r="D975" s="0" t="e">
        <v>#NAME?</v>
      </c>
      <c r="E975" s="0" t="e">
        <v>#NAME?</v>
      </c>
      <c r="F975" s="0" t="e">
        <v>#NAME?</v>
      </c>
      <c r="G975" s="0" t="e">
        <v>#NAME?</v>
      </c>
    </row>
    <row r="976" customFormat="false" ht="15.75" hidden="false" customHeight="true" outlineLevel="0" collapsed="false">
      <c r="D976" s="0" t="e">
        <v>#NAME?</v>
      </c>
      <c r="E976" s="0" t="e">
        <v>#NAME?</v>
      </c>
      <c r="F976" s="0" t="e">
        <v>#NAME?</v>
      </c>
      <c r="G976" s="0" t="e">
        <v>#NAME?</v>
      </c>
    </row>
    <row r="977" customFormat="false" ht="15.75" hidden="false" customHeight="true" outlineLevel="0" collapsed="false">
      <c r="D977" s="0" t="e">
        <v>#NAME?</v>
      </c>
      <c r="E977" s="0" t="e">
        <v>#NAME?</v>
      </c>
      <c r="F977" s="0" t="e">
        <v>#NAME?</v>
      </c>
      <c r="G977" s="0" t="e">
        <v>#NAME?</v>
      </c>
    </row>
    <row r="978" customFormat="false" ht="15.75" hidden="false" customHeight="true" outlineLevel="0" collapsed="false">
      <c r="D978" s="0" t="e">
        <v>#NAME?</v>
      </c>
      <c r="E978" s="0" t="e">
        <v>#NAME?</v>
      </c>
      <c r="F978" s="0" t="e">
        <v>#NAME?</v>
      </c>
      <c r="G978" s="0" t="e">
        <v>#NAME?</v>
      </c>
    </row>
    <row r="979" customFormat="false" ht="15.75" hidden="false" customHeight="true" outlineLevel="0" collapsed="false">
      <c r="D979" s="0" t="e">
        <v>#NAME?</v>
      </c>
      <c r="E979" s="0" t="e">
        <v>#NAME?</v>
      </c>
      <c r="F979" s="0" t="e">
        <v>#NAME?</v>
      </c>
      <c r="G979" s="0" t="e">
        <v>#NAME?</v>
      </c>
    </row>
    <row r="980" customFormat="false" ht="15.75" hidden="false" customHeight="true" outlineLevel="0" collapsed="false">
      <c r="D980" s="0" t="e">
        <v>#NAME?</v>
      </c>
      <c r="E980" s="0" t="e">
        <v>#NAME?</v>
      </c>
      <c r="F980" s="0" t="e">
        <v>#NAME?</v>
      </c>
      <c r="G980" s="0" t="e">
        <v>#NAME?</v>
      </c>
    </row>
    <row r="981" customFormat="false" ht="15.75" hidden="false" customHeight="true" outlineLevel="0" collapsed="false">
      <c r="D981" s="0" t="e">
        <v>#NAME?</v>
      </c>
      <c r="E981" s="0" t="e">
        <v>#NAME?</v>
      </c>
      <c r="F981" s="0" t="e">
        <v>#NAME?</v>
      </c>
      <c r="G981" s="0" t="e">
        <v>#NAME?</v>
      </c>
    </row>
    <row r="982" customFormat="false" ht="15.75" hidden="false" customHeight="true" outlineLevel="0" collapsed="false">
      <c r="D982" s="0" t="e">
        <v>#NAME?</v>
      </c>
      <c r="E982" s="0" t="e">
        <v>#NAME?</v>
      </c>
      <c r="F982" s="0" t="e">
        <v>#NAME?</v>
      </c>
      <c r="G982" s="0" t="e">
        <v>#NAME?</v>
      </c>
    </row>
    <row r="983" customFormat="false" ht="15.75" hidden="false" customHeight="true" outlineLevel="0" collapsed="false">
      <c r="D983" s="0" t="e">
        <v>#NAME?</v>
      </c>
      <c r="E983" s="0" t="e">
        <v>#NAME?</v>
      </c>
      <c r="F983" s="0" t="e">
        <v>#NAME?</v>
      </c>
      <c r="G983" s="0" t="e">
        <v>#NAME?</v>
      </c>
    </row>
    <row r="984" customFormat="false" ht="15.75" hidden="false" customHeight="true" outlineLevel="0" collapsed="false">
      <c r="D984" s="0" t="e">
        <v>#NAME?</v>
      </c>
      <c r="E984" s="0" t="e">
        <v>#NAME?</v>
      </c>
      <c r="F984" s="0" t="e">
        <v>#NAME?</v>
      </c>
      <c r="G984" s="0" t="e">
        <v>#NAME?</v>
      </c>
    </row>
    <row r="985" customFormat="false" ht="15.75" hidden="false" customHeight="true" outlineLevel="0" collapsed="false">
      <c r="D985" s="0" t="e">
        <v>#NAME?</v>
      </c>
      <c r="E985" s="0" t="e">
        <v>#NAME?</v>
      </c>
      <c r="F985" s="0" t="e">
        <v>#NAME?</v>
      </c>
      <c r="G985" s="0" t="e">
        <v>#NAME?</v>
      </c>
    </row>
    <row r="986" customFormat="false" ht="15.75" hidden="false" customHeight="true" outlineLevel="0" collapsed="false">
      <c r="D986" s="0" t="e">
        <v>#NAME?</v>
      </c>
      <c r="E986" s="0" t="e">
        <v>#NAME?</v>
      </c>
      <c r="F986" s="0" t="e">
        <v>#NAME?</v>
      </c>
      <c r="G986" s="0" t="e">
        <v>#NAME?</v>
      </c>
    </row>
    <row r="987" customFormat="false" ht="15.75" hidden="false" customHeight="true" outlineLevel="0" collapsed="false">
      <c r="D987" s="0" t="e">
        <v>#NAME?</v>
      </c>
      <c r="E987" s="0" t="e">
        <v>#NAME?</v>
      </c>
      <c r="F987" s="0" t="e">
        <v>#NAME?</v>
      </c>
      <c r="G987" s="0" t="e">
        <v>#NAME?</v>
      </c>
    </row>
    <row r="988" customFormat="false" ht="15.75" hidden="false" customHeight="true" outlineLevel="0" collapsed="false">
      <c r="D988" s="0" t="e">
        <v>#NAME?</v>
      </c>
      <c r="E988" s="0" t="e">
        <v>#NAME?</v>
      </c>
      <c r="F988" s="0" t="e">
        <v>#NAME?</v>
      </c>
      <c r="G988" s="0" t="e">
        <v>#NAME?</v>
      </c>
    </row>
    <row r="989" customFormat="false" ht="15.75" hidden="false" customHeight="true" outlineLevel="0" collapsed="false">
      <c r="D989" s="0" t="e">
        <v>#NAME?</v>
      </c>
      <c r="E989" s="0" t="e">
        <v>#NAME?</v>
      </c>
      <c r="F989" s="0" t="e">
        <v>#NAME?</v>
      </c>
      <c r="G989" s="0" t="e">
        <v>#NAME?</v>
      </c>
    </row>
    <row r="990" customFormat="false" ht="15.75" hidden="false" customHeight="true" outlineLevel="0" collapsed="false">
      <c r="D990" s="0" t="e">
        <v>#NAME?</v>
      </c>
      <c r="E990" s="0" t="e">
        <v>#NAME?</v>
      </c>
      <c r="F990" s="0" t="e">
        <v>#NAME?</v>
      </c>
      <c r="G990" s="0" t="e">
        <v>#NAME?</v>
      </c>
    </row>
    <row r="991" customFormat="false" ht="15.75" hidden="false" customHeight="true" outlineLevel="0" collapsed="false">
      <c r="D991" s="0" t="e">
        <v>#NAME?</v>
      </c>
      <c r="E991" s="0" t="e">
        <v>#NAME?</v>
      </c>
      <c r="F991" s="0" t="e">
        <v>#NAME?</v>
      </c>
      <c r="G991" s="0" t="e">
        <v>#NAME?</v>
      </c>
    </row>
    <row r="992" customFormat="false" ht="15.75" hidden="false" customHeight="true" outlineLevel="0" collapsed="false">
      <c r="D992" s="0" t="e">
        <v>#NAME?</v>
      </c>
      <c r="E992" s="0" t="e">
        <v>#NAME?</v>
      </c>
      <c r="F992" s="0" t="e">
        <v>#NAME?</v>
      </c>
      <c r="G992" s="0" t="e">
        <v>#NAME?</v>
      </c>
    </row>
    <row r="993" customFormat="false" ht="15.75" hidden="false" customHeight="true" outlineLevel="0" collapsed="false">
      <c r="D993" s="0" t="e">
        <v>#NAME?</v>
      </c>
      <c r="E993" s="0" t="e">
        <v>#NAME?</v>
      </c>
      <c r="F993" s="0" t="e">
        <v>#NAME?</v>
      </c>
      <c r="G993" s="0" t="e">
        <v>#NAME?</v>
      </c>
    </row>
    <row r="994" customFormat="false" ht="15.75" hidden="false" customHeight="true" outlineLevel="0" collapsed="false">
      <c r="D994" s="0" t="e">
        <v>#NAME?</v>
      </c>
      <c r="E994" s="0" t="e">
        <v>#NAME?</v>
      </c>
      <c r="F994" s="0" t="e">
        <v>#NAME?</v>
      </c>
      <c r="G994" s="0" t="e">
        <v>#NAME?</v>
      </c>
    </row>
    <row r="995" customFormat="false" ht="15.75" hidden="false" customHeight="true" outlineLevel="0" collapsed="false">
      <c r="D995" s="0" t="e">
        <v>#NAME?</v>
      </c>
      <c r="E995" s="0" t="e">
        <v>#NAME?</v>
      </c>
      <c r="F995" s="0" t="e">
        <v>#NAME?</v>
      </c>
      <c r="G995" s="0" t="e">
        <v>#NAME?</v>
      </c>
    </row>
    <row r="996" customFormat="false" ht="15.75" hidden="false" customHeight="true" outlineLevel="0" collapsed="false">
      <c r="D996" s="0" t="e">
        <v>#NAME?</v>
      </c>
      <c r="E996" s="0" t="e">
        <v>#NAME?</v>
      </c>
      <c r="F996" s="0" t="e">
        <v>#NAME?</v>
      </c>
      <c r="G996" s="0" t="e">
        <v>#NAME?</v>
      </c>
    </row>
    <row r="997" customFormat="false" ht="15.75" hidden="false" customHeight="true" outlineLevel="0" collapsed="false">
      <c r="D997" s="0" t="e">
        <v>#NAME?</v>
      </c>
      <c r="E997" s="0" t="e">
        <v>#NAME?</v>
      </c>
      <c r="F997" s="0" t="e">
        <v>#NAME?</v>
      </c>
      <c r="G997" s="0" t="e">
        <v>#NAME?</v>
      </c>
    </row>
    <row r="998" customFormat="false" ht="15.75" hidden="false" customHeight="true" outlineLevel="0" collapsed="false">
      <c r="D998" s="0" t="e">
        <v>#NAME?</v>
      </c>
      <c r="E998" s="0" t="e">
        <v>#NAME?</v>
      </c>
      <c r="F998" s="0" t="e">
        <v>#NAME?</v>
      </c>
      <c r="G998" s="0" t="e">
        <v>#NAME?</v>
      </c>
    </row>
    <row r="999" customFormat="false" ht="15.75" hidden="false" customHeight="true" outlineLevel="0" collapsed="false">
      <c r="D999" s="0" t="e">
        <v>#NAME?</v>
      </c>
      <c r="E999" s="0" t="e">
        <v>#NAME?</v>
      </c>
      <c r="F999" s="0" t="e">
        <v>#NAME?</v>
      </c>
      <c r="G999" s="0" t="e">
        <v>#NAME?</v>
      </c>
    </row>
    <row r="1000" customFormat="false" ht="15.75" hidden="false" customHeight="true" outlineLevel="0" collapsed="false">
      <c r="D1000" s="0" t="e">
        <v>#NAME?</v>
      </c>
      <c r="E1000" s="0" t="e">
        <v>#NAME?</v>
      </c>
      <c r="F1000" s="0" t="e">
        <v>#NAME?</v>
      </c>
      <c r="G1000" s="0" t="e">
        <v>#NAME?</v>
      </c>
    </row>
    <row r="1001" customFormat="false" ht="15.75" hidden="false" customHeight="true" outlineLevel="0" collapsed="false">
      <c r="D1001" s="0" t="e">
        <v>#NAME?</v>
      </c>
      <c r="E1001" s="0" t="e">
        <v>#NAME?</v>
      </c>
      <c r="F1001" s="0" t="e">
        <v>#NAME?</v>
      </c>
      <c r="G1001" s="0" t="e">
        <v>#NAME?</v>
      </c>
    </row>
    <row r="1002" customFormat="false" ht="15.75" hidden="false" customHeight="true" outlineLevel="0" collapsed="false">
      <c r="D1002" s="0" t="e">
        <v>#NAME?</v>
      </c>
      <c r="E1002" s="0" t="e">
        <v>#NAME?</v>
      </c>
      <c r="F1002" s="0" t="e">
        <v>#NAME?</v>
      </c>
      <c r="G1002" s="0" t="e">
        <v>#NAME?</v>
      </c>
    </row>
    <row r="1003" customFormat="false" ht="15.75" hidden="false" customHeight="true" outlineLevel="0" collapsed="false">
      <c r="D1003" s="0" t="e">
        <v>#NAME?</v>
      </c>
      <c r="E1003" s="0" t="e">
        <v>#NAME?</v>
      </c>
      <c r="F1003" s="0" t="e">
        <v>#NAME?</v>
      </c>
      <c r="G1003" s="0" t="e">
        <v>#NAME?</v>
      </c>
    </row>
    <row r="1004" customFormat="false" ht="15.75" hidden="false" customHeight="true" outlineLevel="0" collapsed="false">
      <c r="D1004" s="0" t="e">
        <v>#NAME?</v>
      </c>
      <c r="E1004" s="0" t="e">
        <v>#NAME?</v>
      </c>
      <c r="F1004" s="0" t="e">
        <v>#NAME?</v>
      </c>
      <c r="G1004" s="0" t="e">
        <v>#NAME?</v>
      </c>
    </row>
    <row r="1005" customFormat="false" ht="15.75" hidden="false" customHeight="true" outlineLevel="0" collapsed="false">
      <c r="D1005" s="0" t="e">
        <v>#NAME?</v>
      </c>
      <c r="E1005" s="0" t="e">
        <v>#NAME?</v>
      </c>
      <c r="F1005" s="0" t="e">
        <v>#NAME?</v>
      </c>
      <c r="G1005" s="0" t="e">
        <v>#NAME?</v>
      </c>
    </row>
    <row r="1006" customFormat="false" ht="15.75" hidden="false" customHeight="true" outlineLevel="0" collapsed="false">
      <c r="D1006" s="0" t="e">
        <v>#NAME?</v>
      </c>
      <c r="E1006" s="0" t="e">
        <v>#NAME?</v>
      </c>
      <c r="F1006" s="0" t="e">
        <v>#NAME?</v>
      </c>
      <c r="G1006" s="0" t="e">
        <v>#NAME?</v>
      </c>
    </row>
    <row r="1007" customFormat="false" ht="15.75" hidden="false" customHeight="true" outlineLevel="0" collapsed="false">
      <c r="D1007" s="0" t="e">
        <v>#NAME?</v>
      </c>
      <c r="E1007" s="0" t="e">
        <v>#NAME?</v>
      </c>
      <c r="F1007" s="0" t="e">
        <v>#NAME?</v>
      </c>
      <c r="G1007" s="0" t="e">
        <v>#NAME?</v>
      </c>
    </row>
    <row r="1008" customFormat="false" ht="15.75" hidden="false" customHeight="true" outlineLevel="0" collapsed="false">
      <c r="D1008" s="0" t="e">
        <v>#NAME?</v>
      </c>
      <c r="E1008" s="0" t="e">
        <v>#NAME?</v>
      </c>
      <c r="F1008" s="0" t="e">
        <v>#NAME?</v>
      </c>
      <c r="G1008" s="0" t="e">
        <v>#NAME?</v>
      </c>
    </row>
    <row r="1009" customFormat="false" ht="15.75" hidden="false" customHeight="true" outlineLevel="0" collapsed="false">
      <c r="D1009" s="0" t="e">
        <v>#NAME?</v>
      </c>
      <c r="E1009" s="0" t="e">
        <v>#NAME?</v>
      </c>
      <c r="F1009" s="0" t="e">
        <v>#NAME?</v>
      </c>
      <c r="G1009" s="0" t="e">
        <v>#NAME?</v>
      </c>
    </row>
    <row r="1010" customFormat="false" ht="15.75" hidden="false" customHeight="true" outlineLevel="0" collapsed="false">
      <c r="D1010" s="0" t="e">
        <v>#NAME?</v>
      </c>
      <c r="E1010" s="0" t="e">
        <v>#NAME?</v>
      </c>
      <c r="F1010" s="0" t="e">
        <v>#NAME?</v>
      </c>
      <c r="G1010" s="0" t="e">
        <v>#NAME?</v>
      </c>
    </row>
    <row r="1011" customFormat="false" ht="15.75" hidden="false" customHeight="true" outlineLevel="0" collapsed="false">
      <c r="D1011" s="0" t="e">
        <v>#NAME?</v>
      </c>
      <c r="E1011" s="0" t="e">
        <v>#NAME?</v>
      </c>
      <c r="F1011" s="0" t="e">
        <v>#NAME?</v>
      </c>
      <c r="G1011" s="0" t="e">
        <v>#NAME?</v>
      </c>
    </row>
    <row r="1012" customFormat="false" ht="15.75" hidden="false" customHeight="true" outlineLevel="0" collapsed="false">
      <c r="D1012" s="0" t="e">
        <v>#NAME?</v>
      </c>
      <c r="E1012" s="0" t="e">
        <v>#NAME?</v>
      </c>
      <c r="F1012" s="0" t="e">
        <v>#NAME?</v>
      </c>
      <c r="G1012" s="0" t="e">
        <v>#NAME?</v>
      </c>
    </row>
    <row r="1013" customFormat="false" ht="15.75" hidden="false" customHeight="true" outlineLevel="0" collapsed="false">
      <c r="D1013" s="0" t="e">
        <v>#NAME?</v>
      </c>
      <c r="E1013" s="0" t="e">
        <v>#NAME?</v>
      </c>
      <c r="F1013" s="0" t="e">
        <v>#NAME?</v>
      </c>
      <c r="G1013" s="0" t="e">
        <v>#NAME?</v>
      </c>
    </row>
    <row r="1014" customFormat="false" ht="15.75" hidden="false" customHeight="true" outlineLevel="0" collapsed="false">
      <c r="D1014" s="0" t="e">
        <v>#NAME?</v>
      </c>
      <c r="E1014" s="0" t="e">
        <v>#NAME?</v>
      </c>
      <c r="F1014" s="0" t="e">
        <v>#NAME?</v>
      </c>
      <c r="G1014" s="0" t="e">
        <v>#NAME?</v>
      </c>
    </row>
    <row r="1015" customFormat="false" ht="15.75" hidden="false" customHeight="true" outlineLevel="0" collapsed="false">
      <c r="D1015" s="0" t="e">
        <v>#NAME?</v>
      </c>
      <c r="E1015" s="0" t="e">
        <v>#NAME?</v>
      </c>
      <c r="F1015" s="0" t="e">
        <v>#NAME?</v>
      </c>
      <c r="G1015" s="0" t="e">
        <v>#NAME?</v>
      </c>
    </row>
    <row r="1016" customFormat="false" ht="15.75" hidden="false" customHeight="true" outlineLevel="0" collapsed="false">
      <c r="D1016" s="0" t="e">
        <v>#NAME?</v>
      </c>
      <c r="E1016" s="0" t="e">
        <v>#NAME?</v>
      </c>
      <c r="F1016" s="0" t="e">
        <v>#NAME?</v>
      </c>
      <c r="G1016" s="0" t="e">
        <v>#NAME?</v>
      </c>
    </row>
    <row r="1017" customFormat="false" ht="15.75" hidden="false" customHeight="true" outlineLevel="0" collapsed="false">
      <c r="D1017" s="0" t="e">
        <v>#NAME?</v>
      </c>
      <c r="E1017" s="0" t="e">
        <v>#NAME?</v>
      </c>
      <c r="F1017" s="0" t="e">
        <v>#NAME?</v>
      </c>
      <c r="G1017" s="0" t="e">
        <v>#NAME?</v>
      </c>
    </row>
    <row r="1018" customFormat="false" ht="15.75" hidden="false" customHeight="true" outlineLevel="0" collapsed="false">
      <c r="D1018" s="0" t="e">
        <v>#NAME?</v>
      </c>
      <c r="E1018" s="0" t="e">
        <v>#NAME?</v>
      </c>
      <c r="F1018" s="0" t="e">
        <v>#NAME?</v>
      </c>
      <c r="G1018" s="0" t="e">
        <v>#NAME?</v>
      </c>
    </row>
    <row r="1019" customFormat="false" ht="15.75" hidden="false" customHeight="true" outlineLevel="0" collapsed="false">
      <c r="D1019" s="0" t="e">
        <v>#NAME?</v>
      </c>
      <c r="E1019" s="0" t="e">
        <v>#NAME?</v>
      </c>
      <c r="F1019" s="0" t="e">
        <v>#NAME?</v>
      </c>
      <c r="G1019" s="0" t="e">
        <v>#NAME?</v>
      </c>
    </row>
    <row r="1020" customFormat="false" ht="15.75" hidden="false" customHeight="true" outlineLevel="0" collapsed="false">
      <c r="D1020" s="0" t="e">
        <v>#NAME?</v>
      </c>
      <c r="E1020" s="0" t="e">
        <v>#NAME?</v>
      </c>
      <c r="F1020" s="0" t="e">
        <v>#NAME?</v>
      </c>
      <c r="G1020" s="0" t="e">
        <v>#NAME?</v>
      </c>
    </row>
    <row r="1021" customFormat="false" ht="15.75" hidden="false" customHeight="true" outlineLevel="0" collapsed="false">
      <c r="D1021" s="0" t="e">
        <v>#NAME?</v>
      </c>
      <c r="E1021" s="0" t="e">
        <v>#NAME?</v>
      </c>
      <c r="F1021" s="0" t="e">
        <v>#NAME?</v>
      </c>
      <c r="G1021" s="0" t="e">
        <v>#NAME?</v>
      </c>
    </row>
    <row r="1022" customFormat="false" ht="15.75" hidden="false" customHeight="true" outlineLevel="0" collapsed="false">
      <c r="D1022" s="0" t="e">
        <v>#NAME?</v>
      </c>
      <c r="E1022" s="0" t="e">
        <v>#NAME?</v>
      </c>
      <c r="F1022" s="0" t="e">
        <v>#NAME?</v>
      </c>
      <c r="G1022" s="0" t="e">
        <v>#NAME?</v>
      </c>
    </row>
    <row r="1023" customFormat="false" ht="15.75" hidden="false" customHeight="true" outlineLevel="0" collapsed="false">
      <c r="D1023" s="0" t="e">
        <v>#NAME?</v>
      </c>
      <c r="E1023" s="0" t="e">
        <v>#NAME?</v>
      </c>
      <c r="F1023" s="0" t="e">
        <v>#NAME?</v>
      </c>
      <c r="G1023" s="0" t="e">
        <v>#NAME?</v>
      </c>
    </row>
    <row r="1024" customFormat="false" ht="15.75" hidden="false" customHeight="true" outlineLevel="0" collapsed="false">
      <c r="D1024" s="0" t="e">
        <v>#NAME?</v>
      </c>
      <c r="E1024" s="0" t="e">
        <v>#NAME?</v>
      </c>
      <c r="F1024" s="0" t="e">
        <v>#NAME?</v>
      </c>
      <c r="G1024" s="0" t="e">
        <v>#NAME?</v>
      </c>
    </row>
    <row r="1025" customFormat="false" ht="15.75" hidden="false" customHeight="true" outlineLevel="0" collapsed="false">
      <c r="D1025" s="0" t="e">
        <v>#NAME?</v>
      </c>
      <c r="E1025" s="0" t="e">
        <v>#NAME?</v>
      </c>
      <c r="F1025" s="0" t="e">
        <v>#NAME?</v>
      </c>
      <c r="G1025" s="0" t="e">
        <v>#NAME?</v>
      </c>
    </row>
    <row r="1026" customFormat="false" ht="15.75" hidden="false" customHeight="true" outlineLevel="0" collapsed="false">
      <c r="D1026" s="0" t="e">
        <v>#NAME?</v>
      </c>
      <c r="E1026" s="0" t="e">
        <v>#NAME?</v>
      </c>
      <c r="F1026" s="0" t="e">
        <v>#NAME?</v>
      </c>
      <c r="G1026" s="0" t="e">
        <v>#NAME?</v>
      </c>
    </row>
    <row r="1027" customFormat="false" ht="15.75" hidden="false" customHeight="true" outlineLevel="0" collapsed="false">
      <c r="D1027" s="0" t="e">
        <v>#NAME?</v>
      </c>
      <c r="E1027" s="0" t="e">
        <v>#NAME?</v>
      </c>
      <c r="F1027" s="0" t="e">
        <v>#NAME?</v>
      </c>
      <c r="G1027" s="0" t="e">
        <v>#NAME?</v>
      </c>
    </row>
    <row r="1028" customFormat="false" ht="15.75" hidden="false" customHeight="true" outlineLevel="0" collapsed="false">
      <c r="D1028" s="0" t="e">
        <v>#NAME?</v>
      </c>
      <c r="E1028" s="0" t="e">
        <v>#NAME?</v>
      </c>
      <c r="F1028" s="0" t="e">
        <v>#NAME?</v>
      </c>
      <c r="G1028" s="0" t="e">
        <v>#NAME?</v>
      </c>
    </row>
    <row r="1029" customFormat="false" ht="15.75" hidden="false" customHeight="true" outlineLevel="0" collapsed="false">
      <c r="D1029" s="0" t="e">
        <v>#NAME?</v>
      </c>
      <c r="E1029" s="0" t="e">
        <v>#NAME?</v>
      </c>
      <c r="F1029" s="0" t="e">
        <v>#NAME?</v>
      </c>
      <c r="G1029" s="0" t="e">
        <v>#NAME?</v>
      </c>
    </row>
    <row r="1030" customFormat="false" ht="15.75" hidden="false" customHeight="true" outlineLevel="0" collapsed="false">
      <c r="D1030" s="0" t="e">
        <v>#NAME?</v>
      </c>
      <c r="E1030" s="0" t="e">
        <v>#NAME?</v>
      </c>
      <c r="F1030" s="0" t="e">
        <v>#NAME?</v>
      </c>
      <c r="G1030" s="0" t="e">
        <v>#NAME?</v>
      </c>
    </row>
    <row r="1031" customFormat="false" ht="15.75" hidden="false" customHeight="true" outlineLevel="0" collapsed="false">
      <c r="D1031" s="0" t="e">
        <v>#NAME?</v>
      </c>
      <c r="E1031" s="0" t="e">
        <v>#NAME?</v>
      </c>
      <c r="F1031" s="0" t="e">
        <v>#NAME?</v>
      </c>
      <c r="G1031" s="0" t="e">
        <v>#NAME?</v>
      </c>
    </row>
  </sheetData>
  <mergeCells count="32">
    <mergeCell ref="A1:A9"/>
    <mergeCell ref="N1:N9"/>
    <mergeCell ref="D2:E2"/>
    <mergeCell ref="J2:L2"/>
    <mergeCell ref="P2:S2"/>
    <mergeCell ref="U2:X2"/>
    <mergeCell ref="Z2:AB2"/>
    <mergeCell ref="P3:S3"/>
    <mergeCell ref="U3:X3"/>
    <mergeCell ref="Z3:AB3"/>
    <mergeCell ref="C4:C5"/>
    <mergeCell ref="D4:D5"/>
    <mergeCell ref="P4:S4"/>
    <mergeCell ref="U4:X4"/>
    <mergeCell ref="Z4:AC4"/>
    <mergeCell ref="P5:S5"/>
    <mergeCell ref="U5:X5"/>
    <mergeCell ref="Z5:AB5"/>
    <mergeCell ref="P6:T6"/>
    <mergeCell ref="U6:X6"/>
    <mergeCell ref="Z6:AB6"/>
    <mergeCell ref="C7:D7"/>
    <mergeCell ref="J7:L7"/>
    <mergeCell ref="P7:S7"/>
    <mergeCell ref="U7:X7"/>
    <mergeCell ref="Z7:AB7"/>
    <mergeCell ref="P8:S8"/>
    <mergeCell ref="U8:X8"/>
    <mergeCell ref="P9:S9"/>
    <mergeCell ref="U9:X9"/>
    <mergeCell ref="C12:G26"/>
    <mergeCell ref="C28:G29"/>
  </mergeCells>
  <conditionalFormatting sqref="H31">
    <cfRule type="expression" priority="2" aboveAverage="0" equalAverage="0" bottom="0" percent="0" rank="0" text="" dxfId="0">
      <formula>NOT($C$7="Standard and boosted")</formula>
    </cfRule>
  </conditionalFormatting>
  <conditionalFormatting sqref="H32:H247">
    <cfRule type="expression" priority="3" aboveAverage="0" equalAverage="0" bottom="0" percent="0" rank="0" text="" dxfId="0">
      <formula>LEN(TRIM(H32))=0</formula>
    </cfRule>
  </conditionalFormatting>
  <conditionalFormatting sqref="C32:H249">
    <cfRule type="expression" priority="4" aboveAverage="0" equalAverage="0" bottom="0" percent="0" rank="0" text="" dxfId="1">
      <formula>$C$32:$C$249=1</formula>
    </cfRule>
  </conditionalFormatting>
  <conditionalFormatting sqref="C32:H249">
    <cfRule type="expression" priority="5" aboveAverage="0" equalAverage="0" bottom="0" percent="0" rank="0" text="" dxfId="2">
      <formula>$C$32:$C$249=(44/45)</formula>
    </cfRule>
  </conditionalFormatting>
  <conditionalFormatting sqref="C32:H249">
    <cfRule type="expression" priority="6" aboveAverage="0" equalAverage="0" bottom="0" percent="0" rank="0" text="" dxfId="3">
      <formula>$C$32:$C$249=(43/45)</formula>
    </cfRule>
  </conditionalFormatting>
  <conditionalFormatting sqref="C32:H249">
    <cfRule type="expression" priority="7" aboveAverage="0" equalAverage="0" bottom="0" percent="0" rank="0" text="" dxfId="4">
      <formula>$C$32:$C$249=(42/45)</formula>
    </cfRule>
  </conditionalFormatting>
  <conditionalFormatting sqref="C32:H249">
    <cfRule type="expression" priority="8" aboveAverage="0" equalAverage="0" bottom="0" percent="0" rank="0" text="" dxfId="5">
      <formula>$C$32:$C$249=(41/45)</formula>
    </cfRule>
  </conditionalFormatting>
  <conditionalFormatting sqref="C32:H249">
    <cfRule type="expression" priority="9" aboveAverage="0" equalAverage="0" bottom="0" percent="0" rank="0" text="" dxfId="6">
      <formula>$C$32:$C$249=(40/45)</formula>
    </cfRule>
  </conditionalFormatting>
  <conditionalFormatting sqref="C32:H249">
    <cfRule type="expression" priority="10" aboveAverage="0" equalAverage="0" bottom="0" percent="0" rank="0" text="" dxfId="7">
      <formula>$C$32:$C$249=(39/45)</formula>
    </cfRule>
  </conditionalFormatting>
  <conditionalFormatting sqref="C32:H249">
    <cfRule type="expression" priority="11" aboveAverage="0" equalAverage="0" bottom="0" percent="0" rank="0" text="" dxfId="8">
      <formula>$C$32:$C$249=(38/45)</formula>
    </cfRule>
  </conditionalFormatting>
  <conditionalFormatting sqref="C32:H249">
    <cfRule type="expression" priority="12" aboveAverage="0" equalAverage="0" bottom="0" percent="0" rank="0" text="" dxfId="9">
      <formula>$C$32:$C$249=(37/45)</formula>
    </cfRule>
  </conditionalFormatting>
  <conditionalFormatting sqref="C32:H249">
    <cfRule type="expression" priority="13" aboveAverage="0" equalAverage="0" bottom="0" percent="0" rank="0" text="" dxfId="10">
      <formula>$C$32:$C$249=(36/45)</formula>
    </cfRule>
  </conditionalFormatting>
  <conditionalFormatting sqref="C32:H249">
    <cfRule type="expression" priority="14" aboveAverage="0" equalAverage="0" bottom="0" percent="0" rank="0" text="" dxfId="11">
      <formula>$C$32:$C$249=(35/45)</formula>
    </cfRule>
  </conditionalFormatting>
  <conditionalFormatting sqref="C32:H249">
    <cfRule type="expression" priority="15" aboveAverage="0" equalAverage="0" bottom="0" percent="0" rank="0" text="" dxfId="12">
      <formula>$C$32:$C$249=(34/45)</formula>
    </cfRule>
  </conditionalFormatting>
  <conditionalFormatting sqref="C32:H249">
    <cfRule type="expression" priority="16" aboveAverage="0" equalAverage="0" bottom="0" percent="0" rank="0" text="" dxfId="13">
      <formula>$C$32:$C$249=(33/45)</formula>
    </cfRule>
  </conditionalFormatting>
  <conditionalFormatting sqref="C32:H249">
    <cfRule type="expression" priority="17" aboveAverage="0" equalAverage="0" bottom="0" percent="0" rank="0" text="" dxfId="0">
      <formula>$C$32:$C$249=(32/45)</formula>
    </cfRule>
  </conditionalFormatting>
  <conditionalFormatting sqref="C32:H249">
    <cfRule type="expression" priority="18" aboveAverage="0" equalAverage="0" bottom="0" percent="0" rank="0" text="" dxfId="1">
      <formula>$C$32:$C$249=(31/45)</formula>
    </cfRule>
  </conditionalFormatting>
  <conditionalFormatting sqref="C32:H249">
    <cfRule type="expression" priority="19" aboveAverage="0" equalAverage="0" bottom="0" percent="0" rank="0" text="" dxfId="2">
      <formula>$C$32:$C$249=(30/45)</formula>
    </cfRule>
  </conditionalFormatting>
  <dataValidations count="7">
    <dataValidation allowBlank="true" operator="between" showDropDown="false" showErrorMessage="true" showInputMessage="false" sqref="J2" type="list">
      <formula1>"CP table by minimum IV% [default],CP Table by minimum IV value,CP Table by minimum IV % and value"</formula1>
      <formula2>0</formula2>
    </dataValidation>
    <dataValidation allowBlank="true" operator="between" showDropDown="false" showErrorMessage="true" showInputMessage="false" sqref="D4" type="list">
      <formula1>"Yes,No"</formula1>
      <formula2>0</formula2>
    </dataValidation>
    <dataValidation allowBlank="true" operator="between" showDropDown="false" showErrorMessage="true" showInputMessage="false" sqref="K4" type="list">
      <formula1>'2.0.0 Raid Boss CP Helper'!$B$1:$B$16</formula1>
      <formula2>0</formula2>
    </dataValidation>
    <dataValidation allowBlank="true" operator="between" showDropDown="false" showErrorMessage="true" showInputMessage="false" sqref="K5" type="list">
      <formula1>"15,14,13,12,11,10"</formula1>
      <formula2>0</formula2>
    </dataValidation>
    <dataValidation allowBlank="true" operator="between" showDropDown="false" showErrorMessage="true" showInputMessage="false" sqref="C7" type="list">
      <formula1>"Standard (lv. 20) [default],Weather-boosted (lv. 25),Standard and boosted"</formula1>
      <formula2>0</formula2>
    </dataValidation>
    <dataValidation allowBlank="true" operator="between" showDropDown="false" showErrorMessage="true" showInputMessage="false" sqref="J7" type="list">
      <formula1>"Sort by total % first; then CP [default],Sort by CP"</formula1>
      <formula2>0</formula2>
    </dataValidation>
    <dataValidation allowBlank="true" operator="between" showDropDown="false" showErrorMessage="true" showInputMessage="false" sqref="D2" type="list">
      <formula1>'0.0.1 Pokémon Dex Data'!$E$3:$E254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20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3.71"/>
    <col collapsed="false" customWidth="true" hidden="false" outlineLevel="0" max="4" min="2" style="0" width="14.43"/>
    <col collapsed="false" customWidth="true" hidden="false" outlineLevel="0" max="6" min="5" style="0" width="3.71"/>
    <col collapsed="false" customWidth="true" hidden="false" outlineLevel="0" max="9" min="7" style="0" width="14.43"/>
    <col collapsed="false" customWidth="true" hidden="false" outlineLevel="0" max="11" min="10" style="0" width="3.71"/>
    <col collapsed="false" customWidth="true" hidden="false" outlineLevel="0" max="12" min="12" style="0" width="14.43"/>
    <col collapsed="false" customWidth="true" hidden="false" outlineLevel="0" max="13" min="13" style="0" width="10.12"/>
    <col collapsed="false" customWidth="true" hidden="false" outlineLevel="0" max="30" min="14" style="0" width="7.29"/>
    <col collapsed="false" customWidth="true" hidden="true" outlineLevel="0" max="31" min="31" style="0" width="18.71"/>
    <col collapsed="false" customWidth="true" hidden="false" outlineLevel="0" max="1025" min="32" style="0" width="14.43"/>
  </cols>
  <sheetData>
    <row r="1" customFormat="false" ht="15.75" hidden="false" customHeight="false" outlineLevel="0" collapsed="false">
      <c r="A1" s="206"/>
      <c r="B1" s="206"/>
      <c r="C1" s="206"/>
      <c r="D1" s="206"/>
      <c r="E1" s="207"/>
      <c r="F1" s="206"/>
      <c r="G1" s="206"/>
      <c r="H1" s="206"/>
      <c r="I1" s="206"/>
      <c r="J1" s="208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  <c r="AD1" s="209"/>
      <c r="AE1" s="210" t="n">
        <f aca="false" t="array" ref="AE1:AE1">INDEX('0.0.1 Pokémon Dex Data'!$S$3:$S201,MATCH(C5,'0.0.1 Pokémon Dex Data'!$E$3:$E201,0))</f>
        <v>1</v>
      </c>
    </row>
    <row r="2" customFormat="false" ht="15.75" hidden="false" customHeight="false" outlineLevel="0" collapsed="false">
      <c r="A2" s="206"/>
      <c r="B2" s="211" t="s">
        <v>121</v>
      </c>
      <c r="C2" s="211"/>
      <c r="D2" s="211"/>
      <c r="E2" s="207"/>
      <c r="F2" s="206"/>
      <c r="G2" s="211" t="s">
        <v>122</v>
      </c>
      <c r="H2" s="211"/>
      <c r="I2" s="211"/>
      <c r="J2" s="208"/>
      <c r="L2" s="212" t="s">
        <v>123</v>
      </c>
      <c r="M2" s="213" t="n">
        <v>20</v>
      </c>
      <c r="N2" s="214" t="s">
        <v>124</v>
      </c>
      <c r="O2" s="214"/>
      <c r="P2" s="215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16"/>
    </row>
    <row r="3" customFormat="false" ht="15.75" hidden="false" customHeight="false" outlineLevel="0" collapsed="false">
      <c r="A3" s="206"/>
      <c r="B3" s="211"/>
      <c r="C3" s="211"/>
      <c r="D3" s="211"/>
      <c r="E3" s="207"/>
      <c r="F3" s="206"/>
      <c r="G3" s="211"/>
      <c r="H3" s="211"/>
      <c r="I3" s="211"/>
      <c r="J3" s="208"/>
      <c r="L3" s="212" t="s">
        <v>125</v>
      </c>
      <c r="M3" s="13" t="n">
        <v>0</v>
      </c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  <c r="AD3" s="209"/>
      <c r="AE3" s="210" t="str">
        <f aca="false">IFERROR(__xludf.dummyfunction("IF(C18=""Yes"",TRANSPOSE(FILTER(INDIRECT(""'0.1.1 Pokémon GO Moves'!C""&amp;MATCH(INDEX('0.0.1 Pokémon Dex Data'!B3:B201,MATCH(C5,'0.0.1 Pokémon Dex Data'!E3:E201,0)),'0.1.1 Pokémon GO Moves'!A1:A201,0)&amp;"":R""&amp;MATCH(INDEX('0.0.1 Pokémon Dex Data'!B3:B201,MATC"&amp;"H(C5,'0.0.1 Pokémon Dex Data'!E3:E201,0)),'0.1.1 Pokémon GO Moves'!A1:A201,0)),NOT(ISBLANK(INDIRECT(""'0.1.1 Pokémon GO Moves'!C""&amp;MATCH(INDEX('0.0.1 Pokémon Dex Data'!B3:B201,MATCH(C5,'0.0.1 Pokémon Dex Data'!E3:E201,0)),'0.1.1 Pokémon GO Moves'!A1:A201,"&amp;"0)&amp;"":R""&amp;MATCH(INDEX('0.0.1 Pokémon Dex Data'!B3:B201,MATCH(C5,'0.0.1 Pokémon Dex Data'!E3:E201,0)),'0.1.1 Pokémon GO Moves'!A1:A201,0)))))),UNIQUE('0.1.2 Attack Dex (GO)'!A2:A201))"),"Counter")</f>
        <v>Counter</v>
      </c>
    </row>
    <row r="4" customFormat="false" ht="15.75" hidden="false" customHeight="false" outlineLevel="0" collapsed="false">
      <c r="A4" s="206"/>
      <c r="B4" s="206"/>
      <c r="C4" s="206"/>
      <c r="D4" s="206"/>
      <c r="E4" s="207"/>
      <c r="F4" s="206"/>
      <c r="G4" s="206"/>
      <c r="H4" s="206"/>
      <c r="I4" s="206"/>
      <c r="J4" s="208"/>
      <c r="K4" s="209"/>
      <c r="L4" s="209"/>
      <c r="M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  <c r="AD4" s="209"/>
      <c r="AE4" s="216" t="str">
        <f aca="false">IFERROR(__xludf.dummyfunction("""COMPUTED_VALUE"""),"Bullet Punch")</f>
        <v>Bullet Punch</v>
      </c>
    </row>
    <row r="5" customFormat="false" ht="15.75" hidden="false" customHeight="false" outlineLevel="0" collapsed="false">
      <c r="A5" s="217"/>
      <c r="B5" s="218" t="s">
        <v>126</v>
      </c>
      <c r="C5" s="22" t="s">
        <v>127</v>
      </c>
      <c r="D5" s="22"/>
      <c r="E5" s="219"/>
      <c r="F5" s="220"/>
      <c r="G5" s="221" t="s">
        <v>126</v>
      </c>
      <c r="H5" s="222" t="s">
        <v>128</v>
      </c>
      <c r="I5" s="222"/>
      <c r="J5" s="223"/>
      <c r="K5" s="224"/>
      <c r="L5" s="224"/>
      <c r="M5" s="225"/>
      <c r="N5" s="226" t="n">
        <f aca="true" t="array" ref="N5:AC5">TRANSPOSE(ROW(INDIRECT("N5:N"&amp;(20-$M$3)))-5+$M$3)</f>
        <v>0</v>
      </c>
      <c r="O5" s="226" t="n">
        <v>1</v>
      </c>
      <c r="P5" s="226" t="n">
        <v>2</v>
      </c>
      <c r="Q5" s="226" t="n">
        <v>3</v>
      </c>
      <c r="R5" s="226" t="n">
        <v>4</v>
      </c>
      <c r="S5" s="226" t="n">
        <v>5</v>
      </c>
      <c r="T5" s="226" t="n">
        <v>6</v>
      </c>
      <c r="U5" s="226" t="n">
        <v>7</v>
      </c>
      <c r="V5" s="226" t="n">
        <v>8</v>
      </c>
      <c r="W5" s="226" t="n">
        <v>9</v>
      </c>
      <c r="X5" s="226" t="n">
        <v>10</v>
      </c>
      <c r="Y5" s="226" t="n">
        <v>11</v>
      </c>
      <c r="Z5" s="226" t="n">
        <v>12</v>
      </c>
      <c r="AA5" s="226" t="n">
        <v>13</v>
      </c>
      <c r="AB5" s="226" t="n">
        <v>14</v>
      </c>
      <c r="AC5" s="226" t="n">
        <v>15</v>
      </c>
      <c r="AD5" s="224"/>
      <c r="AE5" s="227" t="str">
        <f aca="false">IFERROR(__xludf.dummyfunction("""COMPUTED_VALUE"""),"Heavy Slam")</f>
        <v>Heavy Slam</v>
      </c>
    </row>
    <row r="6" customFormat="false" ht="15.75" hidden="false" customHeight="false" outlineLevel="0" collapsed="false">
      <c r="A6" s="217"/>
      <c r="B6" s="228" t="s">
        <v>129</v>
      </c>
      <c r="C6" s="229" t="s">
        <v>92</v>
      </c>
      <c r="D6" s="217"/>
      <c r="E6" s="219"/>
      <c r="F6" s="220"/>
      <c r="G6" s="218" t="s">
        <v>130</v>
      </c>
      <c r="H6" s="13" t="s">
        <v>131</v>
      </c>
      <c r="I6" s="13"/>
      <c r="J6" s="223"/>
      <c r="K6" s="224"/>
      <c r="L6" s="224"/>
      <c r="M6" s="230" t="n">
        <f aca="false">IFERROR(__xludf.dummyfunction("FILTER('0.3.0 GO Calculation Values'!$A$2:$A$80,'0.3.0 GO Calculation Values'!A2:A80&gt;=M2)"),20)</f>
        <v>20</v>
      </c>
      <c r="N6" s="231" t="e">
        <f aca="false" t="array" ref="N6:N6">IF(OR(ISBLANK($M6),ISBLANK(N$5),$B$22="N/A"),,ROUNDDOWN(0.5*$I$194*(($C$14+N$5)/(ROUND(INDEX('0.0.1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6" s="231" t="e">
        <f aca="false" t="array" ref="O6:O6">IF(OR(ISBLANK($M6),ISBLANK(O$5),$B$22="N/A"),,ROUNDDOWN(0.5*$I$194*(($C$14+O$5)/(ROUND(INDEX('0.0.1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6" s="231" t="e">
        <f aca="false" t="array" ref="P6:P6">IF(OR(ISBLANK($M6),ISBLANK(P$5),$B$22="N/A"),,ROUNDDOWN(0.5*$I$194*(($C$14+P$5)/(ROUND(INDEX('0.0.1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6" s="231" t="e">
        <f aca="false" t="array" ref="Q6:Q6">IF(OR(ISBLANK($M6),ISBLANK(Q$5),$B$22="N/A"),,ROUNDDOWN(0.5*$I$194*(($C$14+Q$5)/(ROUND(INDEX('0.0.1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6" s="231" t="e">
        <f aca="false" t="array" ref="R6:R6">IF(OR(ISBLANK($M6),ISBLANK(R$5),$B$22="N/A"),,ROUNDDOWN(0.5*$I$194*(($C$14+R$5)/(ROUND(INDEX('0.0.1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6" s="231" t="e">
        <f aca="false" t="array" ref="S6:S6">IF(OR(ISBLANK($M6),ISBLANK(S$5),$B$22="N/A"),,ROUNDDOWN(0.5*$I$194*(($C$14+S$5)/(ROUND(INDEX('0.0.1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6" s="231" t="e">
        <f aca="false" t="array" ref="T6:T6">IF(OR(ISBLANK($M6),ISBLANK(T$5),$B$22="N/A"),,ROUNDDOWN(0.5*$I$194*(($C$14+T$5)/(ROUND(INDEX('0.0.1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6" s="231" t="e">
        <f aca="false" t="array" ref="U6:U6">IF(OR(ISBLANK($M6),ISBLANK(U$5),$B$22="N/A"),,ROUNDDOWN(0.5*$I$194*(($C$14+U$5)/(ROUND(INDEX('0.0.1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6" s="231" t="e">
        <f aca="false" t="array" ref="V6:V6">IF(OR(ISBLANK($M6),ISBLANK(V$5),$B$22="N/A"),,ROUNDDOWN(0.5*$I$194*(($C$14+V$5)/(ROUND(INDEX('0.0.1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6" s="231" t="e">
        <f aca="false" t="array" ref="W6:W6">IF(OR(ISBLANK($M6),ISBLANK(W$5),$B$22="N/A"),,ROUNDDOWN(0.5*$I$194*(($C$14+W$5)/(ROUND(INDEX('0.0.1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6" s="231" t="e">
        <f aca="false" t="array" ref="X6:X6">IF(OR(ISBLANK($M6),ISBLANK(X$5),$B$22="N/A"),,ROUNDDOWN(0.5*$I$194*(($C$14+X$5)/(ROUND(INDEX('0.0.1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6" s="231" t="e">
        <f aca="false" t="array" ref="Y6:Y6">IF(OR(ISBLANK($M6),ISBLANK(Y$5),$B$22="N/A"),,ROUNDDOWN(0.5*$I$194*(($C$14+Y$5)/(ROUND(INDEX('0.0.1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6" s="231" t="e">
        <f aca="false" t="array" ref="Z6:Z6">IF(OR(ISBLANK($M6),ISBLANK(Z$5),$B$22="N/A"),,ROUNDDOWN(0.5*$I$194*(($C$14+Z$5)/(ROUND(INDEX('0.0.1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6" s="231" t="e">
        <f aca="false" t="array" ref="AA6:AA6">IF(OR(ISBLANK($M6),ISBLANK(AA$5),$B$22="N/A"),,ROUNDDOWN(0.5*$I$194*(($C$14+AA$5)/(ROUND(INDEX('0.0.1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6" s="231" t="e">
        <f aca="false" t="array" ref="AB6:AB6">IF(OR(ISBLANK($M6),ISBLANK(AB$5),$B$22="N/A"),,ROUNDDOWN(0.5*$I$194*(($C$14+AB$5)/(ROUND(INDEX('0.0.1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6" s="231" t="e">
        <f aca="false" t="array" ref="AC6:AC6">IF(OR(ISBLANK($M6),ISBLANK(AC$5),$B$22="N/A"),,ROUNDDOWN(0.5*$I$194*(($C$14+AC$5)/(ROUND(INDEX('0.0.1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6" s="224"/>
      <c r="AE6" s="227" t="str">
        <f aca="false">IFERROR(__xludf.dummyfunction("""COMPUTED_VALUE"""),"Close Combat")</f>
        <v>Close Combat</v>
      </c>
    </row>
    <row r="7" customFormat="false" ht="15.75" hidden="false" customHeight="false" outlineLevel="0" collapsed="false">
      <c r="A7" s="206"/>
      <c r="B7" s="206"/>
      <c r="C7" s="217"/>
      <c r="D7" s="217"/>
      <c r="E7" s="232"/>
      <c r="F7" s="217"/>
      <c r="G7" s="217"/>
      <c r="H7" s="217"/>
      <c r="I7" s="217"/>
      <c r="J7" s="223"/>
      <c r="K7" s="224"/>
      <c r="L7" s="224"/>
      <c r="M7" s="230" t="n">
        <f aca="false">IFERROR(__xludf.dummyfunction("""COMPUTED_VALUE"""),20.5)</f>
        <v>20.5</v>
      </c>
      <c r="N7" s="231" t="e">
        <f aca="false" t="array" ref="N7:N7">IF(OR(ISBLANK($M7),ISBLANK(N$5),$B$22="N/A"),,ROUNDDOWN(0.5*$I$194*(($C$14+N$5)/(ROUND(INDEX('0.0.1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7" s="231" t="e">
        <f aca="false" t="array" ref="O7:O7">IF(OR(ISBLANK($M7),ISBLANK(O$5),$B$22="N/A"),,ROUNDDOWN(0.5*$I$194*(($C$14+O$5)/(ROUND(INDEX('0.0.1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7" s="231" t="e">
        <f aca="false" t="array" ref="P7:P7">IF(OR(ISBLANK($M7),ISBLANK(P$5),$B$22="N/A"),,ROUNDDOWN(0.5*$I$194*(($C$14+P$5)/(ROUND(INDEX('0.0.1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7" s="231" t="e">
        <f aca="false" t="array" ref="Q7:Q7">IF(OR(ISBLANK($M7),ISBLANK(Q$5),$B$22="N/A"),,ROUNDDOWN(0.5*$I$194*(($C$14+Q$5)/(ROUND(INDEX('0.0.1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7" s="231" t="e">
        <f aca="false" t="array" ref="R7:R7">IF(OR(ISBLANK($M7),ISBLANK(R$5),$B$22="N/A"),,ROUNDDOWN(0.5*$I$194*(($C$14+R$5)/(ROUND(INDEX('0.0.1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7" s="231" t="e">
        <f aca="false" t="array" ref="S7:S7">IF(OR(ISBLANK($M7),ISBLANK(S$5),$B$22="N/A"),,ROUNDDOWN(0.5*$I$194*(($C$14+S$5)/(ROUND(INDEX('0.0.1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7" s="231" t="e">
        <f aca="false" t="array" ref="T7:T7">IF(OR(ISBLANK($M7),ISBLANK(T$5),$B$22="N/A"),,ROUNDDOWN(0.5*$I$194*(($C$14+T$5)/(ROUND(INDEX('0.0.1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7" s="231" t="e">
        <f aca="false" t="array" ref="U7:U7">IF(OR(ISBLANK($M7),ISBLANK(U$5),$B$22="N/A"),,ROUNDDOWN(0.5*$I$194*(($C$14+U$5)/(ROUND(INDEX('0.0.1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7" s="231" t="e">
        <f aca="false" t="array" ref="V7:V7">IF(OR(ISBLANK($M7),ISBLANK(V$5),$B$22="N/A"),,ROUNDDOWN(0.5*$I$194*(($C$14+V$5)/(ROUND(INDEX('0.0.1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7" s="231" t="e">
        <f aca="false" t="array" ref="W7:W7">IF(OR(ISBLANK($M7),ISBLANK(W$5),$B$22="N/A"),,ROUNDDOWN(0.5*$I$194*(($C$14+W$5)/(ROUND(INDEX('0.0.1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7" s="231" t="e">
        <f aca="false" t="array" ref="X7:X7">IF(OR(ISBLANK($M7),ISBLANK(X$5),$B$22="N/A"),,ROUNDDOWN(0.5*$I$194*(($C$14+X$5)/(ROUND(INDEX('0.0.1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7" s="231" t="e">
        <f aca="false" t="array" ref="Y7:Y7">IF(OR(ISBLANK($M7),ISBLANK(Y$5),$B$22="N/A"),,ROUNDDOWN(0.5*$I$194*(($C$14+Y$5)/(ROUND(INDEX('0.0.1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7" s="231" t="e">
        <f aca="false" t="array" ref="Z7:Z7">IF(OR(ISBLANK($M7),ISBLANK(Z$5),$B$22="N/A"),,ROUNDDOWN(0.5*$I$194*(($C$14+Z$5)/(ROUND(INDEX('0.0.1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7" s="231" t="e">
        <f aca="false" t="array" ref="AA7:AA7">IF(OR(ISBLANK($M7),ISBLANK(AA$5),$B$22="N/A"),,ROUNDDOWN(0.5*$I$194*(($C$14+AA$5)/(ROUND(INDEX('0.0.1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7" s="231" t="e">
        <f aca="false" t="array" ref="AB7:AB7">IF(OR(ISBLANK($M7),ISBLANK(AB$5),$B$22="N/A"),,ROUNDDOWN(0.5*$I$194*(($C$14+AB$5)/(ROUND(INDEX('0.0.1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7" s="231" t="e">
        <f aca="false" t="array" ref="AC7:AC7">IF(OR(ISBLANK($M7),ISBLANK(AC$5),$B$22="N/A"),,ROUNDDOWN(0.5*$I$194*(($C$14+AC$5)/(ROUND(INDEX('0.0.1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7" s="224"/>
      <c r="AE7" s="227" t="str">
        <f aca="false">IFERROR(__xludf.dummyfunction("""COMPUTED_VALUE"""),"Dynamic Punch")</f>
        <v>Dynamic Punch</v>
      </c>
    </row>
    <row r="8" customFormat="false" ht="15.75" hidden="false" customHeight="false" outlineLevel="0" collapsed="false">
      <c r="A8" s="206"/>
      <c r="B8" s="233" t="e">
        <f aca="false" t="array" ref="B8:B8">image("https://play.pokemonshowdown.com/sprites/xyani/"&amp;INDEX('0.0.1 Pokémon Dex Data'!$AG$3:$AG201,MATCH(C5,'0.0.1 Pokémon Dex Data'!$E$3:$E201,0))&amp;".gif",3)</f>
        <v>#NAME?</v>
      </c>
      <c r="C8" s="233"/>
      <c r="D8" s="220"/>
      <c r="E8" s="232"/>
      <c r="F8" s="217"/>
      <c r="G8" s="217"/>
      <c r="H8" s="233" t="e">
        <f aca="false" t="array" ref="H8:H8">image("https://play.pokemonshowdown.com/sprites/xyani/"&amp;INDEX('0.0.1 Pokémon Dex Data'!$AG$3:$AG201,MATCH(H5,'0.0.1 Pokémon Dex Data'!$E$3:$E201,0))&amp;".gif",3)</f>
        <v>#N/A</v>
      </c>
      <c r="I8" s="233"/>
      <c r="J8" s="223"/>
      <c r="K8" s="224"/>
      <c r="L8" s="224"/>
      <c r="M8" s="230" t="n">
        <f aca="false">IFERROR(__xludf.dummyfunction("""COMPUTED_VALUE"""),21)</f>
        <v>21</v>
      </c>
      <c r="N8" s="231" t="e">
        <f aca="false" t="array" ref="N8:N8">IF(OR(ISBLANK($M8),ISBLANK(N$5),$B$22="N/A"),,ROUNDDOWN(0.5*$I$194*(($C$14+N$5)/(ROUND(INDEX('0.0.1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8" s="231" t="e">
        <f aca="false" t="array" ref="O8:O8">IF(OR(ISBLANK($M8),ISBLANK(O$5),$B$22="N/A"),,ROUNDDOWN(0.5*$I$194*(($C$14+O$5)/(ROUND(INDEX('0.0.1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8" s="231" t="e">
        <f aca="false" t="array" ref="P8:P8">IF(OR(ISBLANK($M8),ISBLANK(P$5),$B$22="N/A"),,ROUNDDOWN(0.5*$I$194*(($C$14+P$5)/(ROUND(INDEX('0.0.1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8" s="231" t="e">
        <f aca="false" t="array" ref="Q8:Q8">IF(OR(ISBLANK($M8),ISBLANK(Q$5),$B$22="N/A"),,ROUNDDOWN(0.5*$I$194*(($C$14+Q$5)/(ROUND(INDEX('0.0.1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8" s="231" t="e">
        <f aca="false" t="array" ref="R8:R8">IF(OR(ISBLANK($M8),ISBLANK(R$5),$B$22="N/A"),,ROUNDDOWN(0.5*$I$194*(($C$14+R$5)/(ROUND(INDEX('0.0.1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8" s="231" t="e">
        <f aca="false" t="array" ref="S8:S8">IF(OR(ISBLANK($M8),ISBLANK(S$5),$B$22="N/A"),,ROUNDDOWN(0.5*$I$194*(($C$14+S$5)/(ROUND(INDEX('0.0.1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8" s="231" t="e">
        <f aca="false" t="array" ref="T8:T8">IF(OR(ISBLANK($M8),ISBLANK(T$5),$B$22="N/A"),,ROUNDDOWN(0.5*$I$194*(($C$14+T$5)/(ROUND(INDEX('0.0.1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8" s="231" t="e">
        <f aca="false" t="array" ref="U8:U8">IF(OR(ISBLANK($M8),ISBLANK(U$5),$B$22="N/A"),,ROUNDDOWN(0.5*$I$194*(($C$14+U$5)/(ROUND(INDEX('0.0.1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8" s="231" t="e">
        <f aca="false" t="array" ref="V8:V8">IF(OR(ISBLANK($M8),ISBLANK(V$5),$B$22="N/A"),,ROUNDDOWN(0.5*$I$194*(($C$14+V$5)/(ROUND(INDEX('0.0.1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8" s="231" t="e">
        <f aca="false" t="array" ref="W8:W8">IF(OR(ISBLANK($M8),ISBLANK(W$5),$B$22="N/A"),,ROUNDDOWN(0.5*$I$194*(($C$14+W$5)/(ROUND(INDEX('0.0.1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8" s="231" t="e">
        <f aca="false" t="array" ref="X8:X8">IF(OR(ISBLANK($M8),ISBLANK(X$5),$B$22="N/A"),,ROUNDDOWN(0.5*$I$194*(($C$14+X$5)/(ROUND(INDEX('0.0.1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8" s="231" t="e">
        <f aca="false" t="array" ref="Y8:Y8">IF(OR(ISBLANK($M8),ISBLANK(Y$5),$B$22="N/A"),,ROUNDDOWN(0.5*$I$194*(($C$14+Y$5)/(ROUND(INDEX('0.0.1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8" s="231" t="e">
        <f aca="false" t="array" ref="Z8:Z8">IF(OR(ISBLANK($M8),ISBLANK(Z$5),$B$22="N/A"),,ROUNDDOWN(0.5*$I$194*(($C$14+Z$5)/(ROUND(INDEX('0.0.1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8" s="231" t="e">
        <f aca="false" t="array" ref="AA8:AA8">IF(OR(ISBLANK($M8),ISBLANK(AA$5),$B$22="N/A"),,ROUNDDOWN(0.5*$I$194*(($C$14+AA$5)/(ROUND(INDEX('0.0.1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8" s="231" t="e">
        <f aca="false" t="array" ref="AB8:AB8">IF(OR(ISBLANK($M8),ISBLANK(AB$5),$B$22="N/A"),,ROUNDDOWN(0.5*$I$194*(($C$14+AB$5)/(ROUND(INDEX('0.0.1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8" s="231" t="e">
        <f aca="false" t="array" ref="AC8:AC8">IF(OR(ISBLANK($M8),ISBLANK(AC$5),$B$22="N/A"),,ROUNDDOWN(0.5*$I$194*(($C$14+AC$5)/(ROUND(INDEX('0.0.1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8" s="224"/>
      <c r="AE8" s="227" t="str">
        <f aca="false">IFERROR(__xludf.dummyfunction("""COMPUTED_VALUE"""),"Karate Chop")</f>
        <v>Karate Chop</v>
      </c>
    </row>
    <row r="9" customFormat="false" ht="15.75" hidden="false" customHeight="false" outlineLevel="0" collapsed="false">
      <c r="A9" s="206"/>
      <c r="B9" s="233"/>
      <c r="C9" s="233"/>
      <c r="D9" s="220"/>
      <c r="E9" s="232"/>
      <c r="F9" s="217"/>
      <c r="G9" s="217"/>
      <c r="H9" s="233"/>
      <c r="I9" s="233"/>
      <c r="J9" s="223"/>
      <c r="K9" s="224"/>
      <c r="L9" s="224"/>
      <c r="M9" s="230" t="n">
        <f aca="false">IFERROR(__xludf.dummyfunction("""COMPUTED_VALUE"""),21.5)</f>
        <v>21.5</v>
      </c>
      <c r="N9" s="231" t="e">
        <f aca="false" t="array" ref="N9:N9">IF(OR(ISBLANK($M9),ISBLANK(N$5),$B$22="N/A"),,ROUNDDOWN(0.5*$I$194*(($C$14+N$5)/(ROUND(INDEX('0.0.1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9" s="231" t="e">
        <f aca="false" t="array" ref="O9:O9">IF(OR(ISBLANK($M9),ISBLANK(O$5),$B$22="N/A"),,ROUNDDOWN(0.5*$I$194*(($C$14+O$5)/(ROUND(INDEX('0.0.1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9" s="231" t="e">
        <f aca="false" t="array" ref="P9:P9">IF(OR(ISBLANK($M9),ISBLANK(P$5),$B$22="N/A"),,ROUNDDOWN(0.5*$I$194*(($C$14+P$5)/(ROUND(INDEX('0.0.1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9" s="231" t="e">
        <f aca="false" t="array" ref="Q9:Q9">IF(OR(ISBLANK($M9),ISBLANK(Q$5),$B$22="N/A"),,ROUNDDOWN(0.5*$I$194*(($C$14+Q$5)/(ROUND(INDEX('0.0.1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9" s="231" t="e">
        <f aca="false" t="array" ref="R9:R9">IF(OR(ISBLANK($M9),ISBLANK(R$5),$B$22="N/A"),,ROUNDDOWN(0.5*$I$194*(($C$14+R$5)/(ROUND(INDEX('0.0.1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9" s="231" t="e">
        <f aca="false" t="array" ref="S9:S9">IF(OR(ISBLANK($M9),ISBLANK(S$5),$B$22="N/A"),,ROUNDDOWN(0.5*$I$194*(($C$14+S$5)/(ROUND(INDEX('0.0.1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9" s="231" t="e">
        <f aca="false" t="array" ref="T9:T9">IF(OR(ISBLANK($M9),ISBLANK(T$5),$B$22="N/A"),,ROUNDDOWN(0.5*$I$194*(($C$14+T$5)/(ROUND(INDEX('0.0.1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9" s="231" t="e">
        <f aca="false" t="array" ref="U9:U9">IF(OR(ISBLANK($M9),ISBLANK(U$5),$B$22="N/A"),,ROUNDDOWN(0.5*$I$194*(($C$14+U$5)/(ROUND(INDEX('0.0.1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9" s="231" t="e">
        <f aca="false" t="array" ref="V9:V9">IF(OR(ISBLANK($M9),ISBLANK(V$5),$B$22="N/A"),,ROUNDDOWN(0.5*$I$194*(($C$14+V$5)/(ROUND(INDEX('0.0.1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9" s="231" t="e">
        <f aca="false" t="array" ref="W9:W9">IF(OR(ISBLANK($M9),ISBLANK(W$5),$B$22="N/A"),,ROUNDDOWN(0.5*$I$194*(($C$14+W$5)/(ROUND(INDEX('0.0.1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9" s="231" t="e">
        <f aca="false" t="array" ref="X9:X9">IF(OR(ISBLANK($M9),ISBLANK(X$5),$B$22="N/A"),,ROUNDDOWN(0.5*$I$194*(($C$14+X$5)/(ROUND(INDEX('0.0.1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9" s="231" t="e">
        <f aca="false" t="array" ref="Y9:Y9">IF(OR(ISBLANK($M9),ISBLANK(Y$5),$B$22="N/A"),,ROUNDDOWN(0.5*$I$194*(($C$14+Y$5)/(ROUND(INDEX('0.0.1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9" s="231" t="e">
        <f aca="false" t="array" ref="Z9:Z9">IF(OR(ISBLANK($M9),ISBLANK(Z$5),$B$22="N/A"),,ROUNDDOWN(0.5*$I$194*(($C$14+Z$5)/(ROUND(INDEX('0.0.1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9" s="231" t="e">
        <f aca="false" t="array" ref="AA9:AA9">IF(OR(ISBLANK($M9),ISBLANK(AA$5),$B$22="N/A"),,ROUNDDOWN(0.5*$I$194*(($C$14+AA$5)/(ROUND(INDEX('0.0.1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9" s="231" t="e">
        <f aca="false" t="array" ref="AB9:AB9">IF(OR(ISBLANK($M9),ISBLANK(AB$5),$B$22="N/A"),,ROUNDDOWN(0.5*$I$194*(($C$14+AB$5)/(ROUND(INDEX('0.0.1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9" s="231" t="e">
        <f aca="false" t="array" ref="AC9:AC9">IF(OR(ISBLANK($M9),ISBLANK(AC$5),$B$22="N/A"),,ROUNDDOWN(0.5*$I$194*(($C$14+AC$5)/(ROUND(INDEX('0.0.1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9" s="224"/>
      <c r="AE9" s="234" t="str">
        <f aca="false">IFERROR(__xludf.dummyfunction("""COMPUTED_VALUE"""),"Submission")</f>
        <v>Submission</v>
      </c>
    </row>
    <row r="10" customFormat="false" ht="15.75" hidden="false" customHeight="false" outlineLevel="0" collapsed="false">
      <c r="A10" s="206"/>
      <c r="B10" s="233"/>
      <c r="C10" s="233"/>
      <c r="D10" s="220"/>
      <c r="E10" s="232"/>
      <c r="F10" s="217"/>
      <c r="G10" s="217"/>
      <c r="H10" s="233"/>
      <c r="I10" s="233"/>
      <c r="J10" s="223"/>
      <c r="K10" s="224"/>
      <c r="L10" s="224"/>
      <c r="M10" s="230" t="n">
        <f aca="false">IFERROR(__xludf.dummyfunction("""COMPUTED_VALUE"""),22)</f>
        <v>22</v>
      </c>
      <c r="N10" s="231" t="e">
        <f aca="false" t="array" ref="N10:N10">IF(OR(ISBLANK($M10),ISBLANK(N$5),$B$22="N/A"),,ROUNDDOWN(0.5*$I$194*(($C$14+N$5)/(ROUND(INDEX('0.0.1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0" s="231" t="e">
        <f aca="false" t="array" ref="O10:O10">IF(OR(ISBLANK($M10),ISBLANK(O$5),$B$22="N/A"),,ROUNDDOWN(0.5*$I$194*(($C$14+O$5)/(ROUND(INDEX('0.0.1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0" s="231" t="e">
        <f aca="false" t="array" ref="P10:P10">IF(OR(ISBLANK($M10),ISBLANK(P$5),$B$22="N/A"),,ROUNDDOWN(0.5*$I$194*(($C$14+P$5)/(ROUND(INDEX('0.0.1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0" s="231" t="e">
        <f aca="false" t="array" ref="Q10:Q10">IF(OR(ISBLANK($M10),ISBLANK(Q$5),$B$22="N/A"),,ROUNDDOWN(0.5*$I$194*(($C$14+Q$5)/(ROUND(INDEX('0.0.1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0" s="231" t="e">
        <f aca="false" t="array" ref="R10:R10">IF(OR(ISBLANK($M10),ISBLANK(R$5),$B$22="N/A"),,ROUNDDOWN(0.5*$I$194*(($C$14+R$5)/(ROUND(INDEX('0.0.1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0" s="231" t="e">
        <f aca="false" t="array" ref="S10:S10">IF(OR(ISBLANK($M10),ISBLANK(S$5),$B$22="N/A"),,ROUNDDOWN(0.5*$I$194*(($C$14+S$5)/(ROUND(INDEX('0.0.1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0" s="231" t="e">
        <f aca="false" t="array" ref="T10:T10">IF(OR(ISBLANK($M10),ISBLANK(T$5),$B$22="N/A"),,ROUNDDOWN(0.5*$I$194*(($C$14+T$5)/(ROUND(INDEX('0.0.1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0" s="231" t="e">
        <f aca="false" t="array" ref="U10:U10">IF(OR(ISBLANK($M10),ISBLANK(U$5),$B$22="N/A"),,ROUNDDOWN(0.5*$I$194*(($C$14+U$5)/(ROUND(INDEX('0.0.1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0" s="231" t="e">
        <f aca="false" t="array" ref="V10:V10">IF(OR(ISBLANK($M10),ISBLANK(V$5),$B$22="N/A"),,ROUNDDOWN(0.5*$I$194*(($C$14+V$5)/(ROUND(INDEX('0.0.1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0" s="231" t="e">
        <f aca="false" t="array" ref="W10:W10">IF(OR(ISBLANK($M10),ISBLANK(W$5),$B$22="N/A"),,ROUNDDOWN(0.5*$I$194*(($C$14+W$5)/(ROUND(INDEX('0.0.1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0" s="231" t="e">
        <f aca="false" t="array" ref="X10:X10">IF(OR(ISBLANK($M10),ISBLANK(X$5),$B$22="N/A"),,ROUNDDOWN(0.5*$I$194*(($C$14+X$5)/(ROUND(INDEX('0.0.1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0" s="231" t="e">
        <f aca="false" t="array" ref="Y10:Y10">IF(OR(ISBLANK($M10),ISBLANK(Y$5),$B$22="N/A"),,ROUNDDOWN(0.5*$I$194*(($C$14+Y$5)/(ROUND(INDEX('0.0.1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0" s="231" t="e">
        <f aca="false" t="array" ref="Z10:Z10">IF(OR(ISBLANK($M10),ISBLANK(Z$5),$B$22="N/A"),,ROUNDDOWN(0.5*$I$194*(($C$14+Z$5)/(ROUND(INDEX('0.0.1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0" s="231" t="e">
        <f aca="false" t="array" ref="AA10:AA10">IF(OR(ISBLANK($M10),ISBLANK(AA$5),$B$22="N/A"),,ROUNDDOWN(0.5*$I$194*(($C$14+AA$5)/(ROUND(INDEX('0.0.1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0" s="231" t="e">
        <f aca="false" t="array" ref="AB10:AB10">IF(OR(ISBLANK($M10),ISBLANK(AB$5),$B$22="N/A"),,ROUNDDOWN(0.5*$I$194*(($C$14+AB$5)/(ROUND(INDEX('0.0.1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0" s="231" t="e">
        <f aca="false" t="array" ref="AC10:AC10">IF(OR(ISBLANK($M10),ISBLANK(AC$5),$B$22="N/A"),,ROUNDDOWN(0.5*$I$194*(($C$14+AC$5)/(ROUND(INDEX('0.0.1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0" s="224"/>
      <c r="AE10" s="234" t="str">
        <f aca="false">IFERROR(__xludf.dummyfunction("""COMPUTED_VALUE"""),"Stone Edge")</f>
        <v>Stone Edge</v>
      </c>
    </row>
    <row r="11" customFormat="false" ht="15.75" hidden="false" customHeight="false" outlineLevel="0" collapsed="false">
      <c r="A11" s="206"/>
      <c r="B11" s="233"/>
      <c r="C11" s="233"/>
      <c r="D11" s="220"/>
      <c r="E11" s="232"/>
      <c r="F11" s="217"/>
      <c r="G11" s="217"/>
      <c r="H11" s="233"/>
      <c r="I11" s="233"/>
      <c r="J11" s="223"/>
      <c r="K11" s="224"/>
      <c r="L11" s="224"/>
      <c r="M11" s="230" t="n">
        <f aca="false">IFERROR(__xludf.dummyfunction("""COMPUTED_VALUE"""),22.5)</f>
        <v>22.5</v>
      </c>
      <c r="N11" s="231" t="e">
        <f aca="false" t="array" ref="N11:N11">IF(OR(ISBLANK($M11),ISBLANK(N$5),$B$22="N/A"),,ROUNDDOWN(0.5*$I$194*(($C$14+N$5)/(ROUND(INDEX('0.0.1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1" s="231" t="e">
        <f aca="false" t="array" ref="O11:O11">IF(OR(ISBLANK($M11),ISBLANK(O$5),$B$22="N/A"),,ROUNDDOWN(0.5*$I$194*(($C$14+O$5)/(ROUND(INDEX('0.0.1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1" s="231" t="e">
        <f aca="false" t="array" ref="P11:P11">IF(OR(ISBLANK($M11),ISBLANK(P$5),$B$22="N/A"),,ROUNDDOWN(0.5*$I$194*(($C$14+P$5)/(ROUND(INDEX('0.0.1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1" s="231" t="e">
        <f aca="false" t="array" ref="Q11:Q11">IF(OR(ISBLANK($M11),ISBLANK(Q$5),$B$22="N/A"),,ROUNDDOWN(0.5*$I$194*(($C$14+Q$5)/(ROUND(INDEX('0.0.1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1" s="231" t="e">
        <f aca="false" t="array" ref="R11:R11">IF(OR(ISBLANK($M11),ISBLANK(R$5),$B$22="N/A"),,ROUNDDOWN(0.5*$I$194*(($C$14+R$5)/(ROUND(INDEX('0.0.1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1" s="231" t="e">
        <f aca="false" t="array" ref="S11:S11">IF(OR(ISBLANK($M11),ISBLANK(S$5),$B$22="N/A"),,ROUNDDOWN(0.5*$I$194*(($C$14+S$5)/(ROUND(INDEX('0.0.1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1" s="231" t="e">
        <f aca="false" t="array" ref="T11:T11">IF(OR(ISBLANK($M11),ISBLANK(T$5),$B$22="N/A"),,ROUNDDOWN(0.5*$I$194*(($C$14+T$5)/(ROUND(INDEX('0.0.1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1" s="231" t="e">
        <f aca="false" t="array" ref="U11:U11">IF(OR(ISBLANK($M11),ISBLANK(U$5),$B$22="N/A"),,ROUNDDOWN(0.5*$I$194*(($C$14+U$5)/(ROUND(INDEX('0.0.1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1" s="231" t="e">
        <f aca="false" t="array" ref="V11:V11">IF(OR(ISBLANK($M11),ISBLANK(V$5),$B$22="N/A"),,ROUNDDOWN(0.5*$I$194*(($C$14+V$5)/(ROUND(INDEX('0.0.1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1" s="231" t="e">
        <f aca="false" t="array" ref="W11:W11">IF(OR(ISBLANK($M11),ISBLANK(W$5),$B$22="N/A"),,ROUNDDOWN(0.5*$I$194*(($C$14+W$5)/(ROUND(INDEX('0.0.1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1" s="231" t="e">
        <f aca="false" t="array" ref="X11:X11">IF(OR(ISBLANK($M11),ISBLANK(X$5),$B$22="N/A"),,ROUNDDOWN(0.5*$I$194*(($C$14+X$5)/(ROUND(INDEX('0.0.1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1" s="231" t="e">
        <f aca="false" t="array" ref="Y11:Y11">IF(OR(ISBLANK($M11),ISBLANK(Y$5),$B$22="N/A"),,ROUNDDOWN(0.5*$I$194*(($C$14+Y$5)/(ROUND(INDEX('0.0.1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1" s="231" t="e">
        <f aca="false" t="array" ref="Z11:Z11">IF(OR(ISBLANK($M11),ISBLANK(Z$5),$B$22="N/A"),,ROUNDDOWN(0.5*$I$194*(($C$14+Z$5)/(ROUND(INDEX('0.0.1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1" s="231" t="e">
        <f aca="false" t="array" ref="AA11:AA11">IF(OR(ISBLANK($M11),ISBLANK(AA$5),$B$22="N/A"),,ROUNDDOWN(0.5*$I$194*(($C$14+AA$5)/(ROUND(INDEX('0.0.1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1" s="231" t="e">
        <f aca="false" t="array" ref="AB11:AB11">IF(OR(ISBLANK($M11),ISBLANK(AB$5),$B$22="N/A"),,ROUNDDOWN(0.5*$I$194*(($C$14+AB$5)/(ROUND(INDEX('0.0.1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1" s="231" t="e">
        <f aca="false" t="array" ref="AC11:AC11">IF(OR(ISBLANK($M11),ISBLANK(AC$5),$B$22="N/A"),,ROUNDDOWN(0.5*$I$194*(($C$14+AC$5)/(ROUND(INDEX('0.0.1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1" s="224"/>
      <c r="AE11" s="234" t="str">
        <f aca="false">IFERROR(__xludf.dummyfunction("""COMPUTED_VALUE"""),"Cross Chop")</f>
        <v>Cross Chop</v>
      </c>
    </row>
    <row r="12" customFormat="false" ht="15.75" hidden="false" customHeight="false" outlineLevel="0" collapsed="false">
      <c r="A12" s="217"/>
      <c r="B12" s="233"/>
      <c r="C12" s="233"/>
      <c r="D12" s="220"/>
      <c r="E12" s="232"/>
      <c r="F12" s="217"/>
      <c r="G12" s="217"/>
      <c r="H12" s="233"/>
      <c r="I12" s="233"/>
      <c r="J12" s="223"/>
      <c r="K12" s="224"/>
      <c r="L12" s="224"/>
      <c r="M12" s="230" t="n">
        <f aca="false">IFERROR(__xludf.dummyfunction("""COMPUTED_VALUE"""),23)</f>
        <v>23</v>
      </c>
      <c r="N12" s="231" t="e">
        <f aca="false" t="array" ref="N12:N12">IF(OR(ISBLANK($M12),ISBLANK(N$5),$B$22="N/A"),,ROUNDDOWN(0.5*$I$194*(($C$14+N$5)/(ROUND(INDEX('0.0.1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2" s="231" t="e">
        <f aca="false" t="array" ref="O12:O12">IF(OR(ISBLANK($M12),ISBLANK(O$5),$B$22="N/A"),,ROUNDDOWN(0.5*$I$194*(($C$14+O$5)/(ROUND(INDEX('0.0.1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2" s="231" t="e">
        <f aca="false" t="array" ref="P12:P12">IF(OR(ISBLANK($M12),ISBLANK(P$5),$B$22="N/A"),,ROUNDDOWN(0.5*$I$194*(($C$14+P$5)/(ROUND(INDEX('0.0.1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2" s="231" t="e">
        <f aca="false" t="array" ref="Q12:Q12">IF(OR(ISBLANK($M12),ISBLANK(Q$5),$B$22="N/A"),,ROUNDDOWN(0.5*$I$194*(($C$14+Q$5)/(ROUND(INDEX('0.0.1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2" s="231" t="e">
        <f aca="false" t="array" ref="R12:R12">IF(OR(ISBLANK($M12),ISBLANK(R$5),$B$22="N/A"),,ROUNDDOWN(0.5*$I$194*(($C$14+R$5)/(ROUND(INDEX('0.0.1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2" s="231" t="e">
        <f aca="false" t="array" ref="S12:S12">IF(OR(ISBLANK($M12),ISBLANK(S$5),$B$22="N/A"),,ROUNDDOWN(0.5*$I$194*(($C$14+S$5)/(ROUND(INDEX('0.0.1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2" s="231" t="e">
        <f aca="false" t="array" ref="T12:T12">IF(OR(ISBLANK($M12),ISBLANK(T$5),$B$22="N/A"),,ROUNDDOWN(0.5*$I$194*(($C$14+T$5)/(ROUND(INDEX('0.0.1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2" s="231" t="e">
        <f aca="false" t="array" ref="U12:U12">IF(OR(ISBLANK($M12),ISBLANK(U$5),$B$22="N/A"),,ROUNDDOWN(0.5*$I$194*(($C$14+U$5)/(ROUND(INDEX('0.0.1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2" s="231" t="e">
        <f aca="false" t="array" ref="V12:V12">IF(OR(ISBLANK($M12),ISBLANK(V$5),$B$22="N/A"),,ROUNDDOWN(0.5*$I$194*(($C$14+V$5)/(ROUND(INDEX('0.0.1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2" s="231" t="e">
        <f aca="false" t="array" ref="W12:W12">IF(OR(ISBLANK($M12),ISBLANK(W$5),$B$22="N/A"),,ROUNDDOWN(0.5*$I$194*(($C$14+W$5)/(ROUND(INDEX('0.0.1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2" s="231" t="e">
        <f aca="false" t="array" ref="X12:X12">IF(OR(ISBLANK($M12),ISBLANK(X$5),$B$22="N/A"),,ROUNDDOWN(0.5*$I$194*(($C$14+X$5)/(ROUND(INDEX('0.0.1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2" s="231" t="e">
        <f aca="false" t="array" ref="Y12:Y12">IF(OR(ISBLANK($M12),ISBLANK(Y$5),$B$22="N/A"),,ROUNDDOWN(0.5*$I$194*(($C$14+Y$5)/(ROUND(INDEX('0.0.1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2" s="231" t="e">
        <f aca="false" t="array" ref="Z12:Z12">IF(OR(ISBLANK($M12),ISBLANK(Z$5),$B$22="N/A"),,ROUNDDOWN(0.5*$I$194*(($C$14+Z$5)/(ROUND(INDEX('0.0.1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2" s="231" t="e">
        <f aca="false" t="array" ref="AA12:AA12">IF(OR(ISBLANK($M12),ISBLANK(AA$5),$B$22="N/A"),,ROUNDDOWN(0.5*$I$194*(($C$14+AA$5)/(ROUND(INDEX('0.0.1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2" s="231" t="e">
        <f aca="false" t="array" ref="AB12:AB12">IF(OR(ISBLANK($M12),ISBLANK(AB$5),$B$22="N/A"),,ROUNDDOWN(0.5*$I$194*(($C$14+AB$5)/(ROUND(INDEX('0.0.1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2" s="231" t="e">
        <f aca="false" t="array" ref="AC12:AC12">IF(OR(ISBLANK($M12),ISBLANK(AC$5),$B$22="N/A"),,ROUNDDOWN(0.5*$I$194*(($C$14+AC$5)/(ROUND(INDEX('0.0.1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2" s="224"/>
      <c r="AE12" s="234"/>
    </row>
    <row r="13" customFormat="false" ht="15.75" hidden="false" customHeight="false" outlineLevel="0" collapsed="false">
      <c r="A13" s="206"/>
      <c r="B13" s="235" t="str">
        <f aca="false" t="array" ref="B13:B13">UPPER(INDEX('0.0.1 Pokémon Dex Data'!$Q$3:$Q201,MATCH(C5,'0.0.1 Pokémon Dex Data'!$E$3:$E201,0)))</f>
        <v>FIGHTING</v>
      </c>
      <c r="C13" s="236" t="str">
        <f aca="false" t="array" ref="C13:C13">UPPER(INDEX('0.0.1 Pokémon Dex Data'!$R$3:$R201,MATCH(C5,'0.0.1 Pokémon Dex Data'!$E$3:$E201,0)))</f>
        <v/>
      </c>
      <c r="D13" s="220"/>
      <c r="E13" s="232"/>
      <c r="F13" s="217"/>
      <c r="G13" s="217"/>
      <c r="H13" s="235" t="e">
        <f aca="false" t="array" ref="H13:H13">UPPER(INDEX('0.0.1 Pokémon Dex Data'!$Q$3:$Q201,MATCH(H5,'0.0.1 Pokémon Dex Data'!$E$3:$E201,0)))</f>
        <v>#N/A</v>
      </c>
      <c r="I13" s="236" t="e">
        <f aca="false" t="array" ref="I13:I13">UPPER(INDEX('0.0.1 Pokémon Dex Data'!$R$3:$R201,MATCH(H5,'0.0.1 Pokémon Dex Data'!$E$3:$E201,0)))</f>
        <v>#N/A</v>
      </c>
      <c r="J13" s="223"/>
      <c r="K13" s="224"/>
      <c r="L13" s="224"/>
      <c r="M13" s="230" t="n">
        <f aca="false">IFERROR(__xludf.dummyfunction("""COMPUTED_VALUE"""),23.5)</f>
        <v>23.5</v>
      </c>
      <c r="N13" s="231" t="e">
        <f aca="false" t="array" ref="N13:N13">IF(OR(ISBLANK($M13),ISBLANK(N$5),$B$22="N/A"),,ROUNDDOWN(0.5*$I$194*(($C$14+N$5)/(ROUND(INDEX('0.0.1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3" s="231" t="e">
        <f aca="false" t="array" ref="O13:O13">IF(OR(ISBLANK($M13),ISBLANK(O$5),$B$22="N/A"),,ROUNDDOWN(0.5*$I$194*(($C$14+O$5)/(ROUND(INDEX('0.0.1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3" s="231" t="e">
        <f aca="false" t="array" ref="P13:P13">IF(OR(ISBLANK($M13),ISBLANK(P$5),$B$22="N/A"),,ROUNDDOWN(0.5*$I$194*(($C$14+P$5)/(ROUND(INDEX('0.0.1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3" s="231" t="e">
        <f aca="false" t="array" ref="Q13:Q13">IF(OR(ISBLANK($M13),ISBLANK(Q$5),$B$22="N/A"),,ROUNDDOWN(0.5*$I$194*(($C$14+Q$5)/(ROUND(INDEX('0.0.1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3" s="231" t="e">
        <f aca="false" t="array" ref="R13:R13">IF(OR(ISBLANK($M13),ISBLANK(R$5),$B$22="N/A"),,ROUNDDOWN(0.5*$I$194*(($C$14+R$5)/(ROUND(INDEX('0.0.1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3" s="231" t="e">
        <f aca="false" t="array" ref="S13:S13">IF(OR(ISBLANK($M13),ISBLANK(S$5),$B$22="N/A"),,ROUNDDOWN(0.5*$I$194*(($C$14+S$5)/(ROUND(INDEX('0.0.1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3" s="231" t="e">
        <f aca="false" t="array" ref="T13:T13">IF(OR(ISBLANK($M13),ISBLANK(T$5),$B$22="N/A"),,ROUNDDOWN(0.5*$I$194*(($C$14+T$5)/(ROUND(INDEX('0.0.1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3" s="231" t="e">
        <f aca="false" t="array" ref="U13:U13">IF(OR(ISBLANK($M13),ISBLANK(U$5),$B$22="N/A"),,ROUNDDOWN(0.5*$I$194*(($C$14+U$5)/(ROUND(INDEX('0.0.1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3" s="231" t="e">
        <f aca="false" t="array" ref="V13:V13">IF(OR(ISBLANK($M13),ISBLANK(V$5),$B$22="N/A"),,ROUNDDOWN(0.5*$I$194*(($C$14+V$5)/(ROUND(INDEX('0.0.1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3" s="231" t="e">
        <f aca="false" t="array" ref="W13:W13">IF(OR(ISBLANK($M13),ISBLANK(W$5),$B$22="N/A"),,ROUNDDOWN(0.5*$I$194*(($C$14+W$5)/(ROUND(INDEX('0.0.1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3" s="231" t="e">
        <f aca="false" t="array" ref="X13:X13">IF(OR(ISBLANK($M13),ISBLANK(X$5),$B$22="N/A"),,ROUNDDOWN(0.5*$I$194*(($C$14+X$5)/(ROUND(INDEX('0.0.1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3" s="231" t="e">
        <f aca="false" t="array" ref="Y13:Y13">IF(OR(ISBLANK($M13),ISBLANK(Y$5),$B$22="N/A"),,ROUNDDOWN(0.5*$I$194*(($C$14+Y$5)/(ROUND(INDEX('0.0.1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3" s="231" t="e">
        <f aca="false" t="array" ref="Z13:Z13">IF(OR(ISBLANK($M13),ISBLANK(Z$5),$B$22="N/A"),,ROUNDDOWN(0.5*$I$194*(($C$14+Z$5)/(ROUND(INDEX('0.0.1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3" s="231" t="e">
        <f aca="false" t="array" ref="AA13:AA13">IF(OR(ISBLANK($M13),ISBLANK(AA$5),$B$22="N/A"),,ROUNDDOWN(0.5*$I$194*(($C$14+AA$5)/(ROUND(INDEX('0.0.1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3" s="231" t="e">
        <f aca="false" t="array" ref="AB13:AB13">IF(OR(ISBLANK($M13),ISBLANK(AB$5),$B$22="N/A"),,ROUNDDOWN(0.5*$I$194*(($C$14+AB$5)/(ROUND(INDEX('0.0.1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3" s="231" t="e">
        <f aca="false" t="array" ref="AC13:AC13">IF(OR(ISBLANK($M13),ISBLANK(AC$5),$B$22="N/A"),,ROUNDDOWN(0.5*$I$194*(($C$14+AC$5)/(ROUND(INDEX('0.0.1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3" s="224"/>
      <c r="AE13" s="234"/>
    </row>
    <row r="14" customFormat="false" ht="15.75" hidden="false" customHeight="false" outlineLevel="0" collapsed="false">
      <c r="A14" s="206"/>
      <c r="B14" s="237" t="s">
        <v>132</v>
      </c>
      <c r="C14" s="238" t="n">
        <f aca="false" t="array" ref="C14:C14">ROUND(INDEX('0.0.1 Pokémon Dex Data'!$T$3:$T201,MATCH(C5,'0.0.1 Pokémon Dex Data'!$E$3:$E201,0))*IF(C6="No",1,AE1),0)</f>
        <v>234</v>
      </c>
      <c r="D14" s="220"/>
      <c r="E14" s="232"/>
      <c r="F14" s="217"/>
      <c r="G14" s="217"/>
      <c r="H14" s="237" t="s">
        <v>12</v>
      </c>
      <c r="I14" s="238" t="e">
        <f aca="false" t="array" ref="I14:I14">ROUNDDOWN((ROUND(INDEX('0.0.1 Pokémon Dex Data'!$T$3:$T201,MATCH(H5,'0.0.1 Pokémon Dex Data'!$E$3:$E201,0))*INDEX('0.0.1 Pokémon Dex Data'!$S$3:$S201,MATCH(H5,'0.0.1 Pokémon Dex Data'!$E$3:$E201,0)),0)+15)*INDEX('0.3.0 GO Calculation Values'!G2:G6,MATCH(H6,'0.3.0 GO Calculation Values'!F2:F6,0)),0)</f>
        <v>#N/A</v>
      </c>
      <c r="J14" s="223"/>
      <c r="K14" s="224"/>
      <c r="L14" s="224"/>
      <c r="M14" s="230" t="n">
        <f aca="false">IFERROR(__xludf.dummyfunction("""COMPUTED_VALUE"""),24)</f>
        <v>24</v>
      </c>
      <c r="N14" s="231" t="e">
        <f aca="false" t="array" ref="N14:N14">IF(OR(ISBLANK($M14),ISBLANK(N$5),$B$22="N/A"),,ROUNDDOWN(0.5*$I$194*(($C$14+N$5)/(ROUND(INDEX('0.0.1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4" s="231" t="e">
        <f aca="false" t="array" ref="O14:O14">IF(OR(ISBLANK($M14),ISBLANK(O$5),$B$22="N/A"),,ROUNDDOWN(0.5*$I$194*(($C$14+O$5)/(ROUND(INDEX('0.0.1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4" s="231" t="e">
        <f aca="false" t="array" ref="P14:P14">IF(OR(ISBLANK($M14),ISBLANK(P$5),$B$22="N/A"),,ROUNDDOWN(0.5*$I$194*(($C$14+P$5)/(ROUND(INDEX('0.0.1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4" s="231" t="e">
        <f aca="false" t="array" ref="Q14:Q14">IF(OR(ISBLANK($M14),ISBLANK(Q$5),$B$22="N/A"),,ROUNDDOWN(0.5*$I$194*(($C$14+Q$5)/(ROUND(INDEX('0.0.1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4" s="231" t="e">
        <f aca="false" t="array" ref="R14:R14">IF(OR(ISBLANK($M14),ISBLANK(R$5),$B$22="N/A"),,ROUNDDOWN(0.5*$I$194*(($C$14+R$5)/(ROUND(INDEX('0.0.1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4" s="231" t="e">
        <f aca="false" t="array" ref="S14:S14">IF(OR(ISBLANK($M14),ISBLANK(S$5),$B$22="N/A"),,ROUNDDOWN(0.5*$I$194*(($C$14+S$5)/(ROUND(INDEX('0.0.1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4" s="231" t="e">
        <f aca="false" t="array" ref="T14:T14">IF(OR(ISBLANK($M14),ISBLANK(T$5),$B$22="N/A"),,ROUNDDOWN(0.5*$I$194*(($C$14+T$5)/(ROUND(INDEX('0.0.1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4" s="231" t="e">
        <f aca="false" t="array" ref="U14:U14">IF(OR(ISBLANK($M14),ISBLANK(U$5),$B$22="N/A"),,ROUNDDOWN(0.5*$I$194*(($C$14+U$5)/(ROUND(INDEX('0.0.1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4" s="231" t="e">
        <f aca="false" t="array" ref="V14:V14">IF(OR(ISBLANK($M14),ISBLANK(V$5),$B$22="N/A"),,ROUNDDOWN(0.5*$I$194*(($C$14+V$5)/(ROUND(INDEX('0.0.1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4" s="231" t="e">
        <f aca="false" t="array" ref="W14:W14">IF(OR(ISBLANK($M14),ISBLANK(W$5),$B$22="N/A"),,ROUNDDOWN(0.5*$I$194*(($C$14+W$5)/(ROUND(INDEX('0.0.1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4" s="231" t="e">
        <f aca="false" t="array" ref="X14:X14">IF(OR(ISBLANK($M14),ISBLANK(X$5),$B$22="N/A"),,ROUNDDOWN(0.5*$I$194*(($C$14+X$5)/(ROUND(INDEX('0.0.1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4" s="231" t="e">
        <f aca="false" t="array" ref="Y14:Y14">IF(OR(ISBLANK($M14),ISBLANK(Y$5),$B$22="N/A"),,ROUNDDOWN(0.5*$I$194*(($C$14+Y$5)/(ROUND(INDEX('0.0.1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4" s="231" t="e">
        <f aca="false" t="array" ref="Z14:Z14">IF(OR(ISBLANK($M14),ISBLANK(Z$5),$B$22="N/A"),,ROUNDDOWN(0.5*$I$194*(($C$14+Z$5)/(ROUND(INDEX('0.0.1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4" s="231" t="e">
        <f aca="false" t="array" ref="AA14:AA14">IF(OR(ISBLANK($M14),ISBLANK(AA$5),$B$22="N/A"),,ROUNDDOWN(0.5*$I$194*(($C$14+AA$5)/(ROUND(INDEX('0.0.1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4" s="231" t="e">
        <f aca="false" t="array" ref="AB14:AB14">IF(OR(ISBLANK($M14),ISBLANK(AB$5),$B$22="N/A"),,ROUNDDOWN(0.5*$I$194*(($C$14+AB$5)/(ROUND(INDEX('0.0.1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4" s="231" t="e">
        <f aca="false" t="array" ref="AC14:AC14">IF(OR(ISBLANK($M14),ISBLANK(AC$5),$B$22="N/A"),,ROUNDDOWN(0.5*$I$194*(($C$14+AC$5)/(ROUND(INDEX('0.0.1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4" s="224"/>
      <c r="AE14" s="234"/>
    </row>
    <row r="15" customFormat="false" ht="15.75" hidden="false" customHeight="false" outlineLevel="0" collapsed="false">
      <c r="A15" s="206"/>
      <c r="B15" s="237" t="s">
        <v>133</v>
      </c>
      <c r="C15" s="238" t="n">
        <f aca="false" t="array" ref="C15:C15">ROUND(INDEX('0.0.1 Pokémon Dex Data'!$U$3:$U201,MATCH(C5,'0.0.1 Pokémon Dex Data'!$E$3:$E201,0))*IF(C6="No",1,AE1),0)</f>
        <v>159</v>
      </c>
      <c r="D15" s="220"/>
      <c r="E15" s="232"/>
      <c r="F15" s="217"/>
      <c r="G15" s="217"/>
      <c r="H15" s="237" t="s">
        <v>13</v>
      </c>
      <c r="I15" s="238" t="e">
        <f aca="false" t="array" ref="I15:I15">ROUNDDOWN((ROUND(INDEX('0.0.1 Pokémon Dex Data'!$U$3:$U201,MATCH(H5,'0.0.1 Pokémon Dex Data'!$E$3:$E201,0))*INDEX('0.0.1 Pokémon Dex Data'!$S$3:$S201,MATCH(H5,'0.0.1 Pokémon Dex Data'!$E$3:$E201,0)),0)+15)*INDEX('0.3.0 GO Calculation Values'!G2:G6,MATCH(H6,'0.3.0 GO Calculation Values'!F2:F6,0)),0)</f>
        <v>#N/A</v>
      </c>
      <c r="J15" s="223"/>
      <c r="K15" s="224"/>
      <c r="L15" s="224"/>
      <c r="M15" s="230" t="n">
        <f aca="false">IFERROR(__xludf.dummyfunction("""COMPUTED_VALUE"""),24.5)</f>
        <v>24.5</v>
      </c>
      <c r="N15" s="231" t="e">
        <f aca="false" t="array" ref="N15:N15">IF(OR(ISBLANK($M15),ISBLANK(N$5),$B$22="N/A"),,ROUNDDOWN(0.5*$I$194*(($C$14+N$5)/(ROUND(INDEX('0.0.1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5" s="231" t="e">
        <f aca="false" t="array" ref="O15:O15">IF(OR(ISBLANK($M15),ISBLANK(O$5),$B$22="N/A"),,ROUNDDOWN(0.5*$I$194*(($C$14+O$5)/(ROUND(INDEX('0.0.1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5" s="231" t="e">
        <f aca="false" t="array" ref="P15:P15">IF(OR(ISBLANK($M15),ISBLANK(P$5),$B$22="N/A"),,ROUNDDOWN(0.5*$I$194*(($C$14+P$5)/(ROUND(INDEX('0.0.1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5" s="231" t="e">
        <f aca="false" t="array" ref="Q15:Q15">IF(OR(ISBLANK($M15),ISBLANK(Q$5),$B$22="N/A"),,ROUNDDOWN(0.5*$I$194*(($C$14+Q$5)/(ROUND(INDEX('0.0.1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5" s="231" t="e">
        <f aca="false" t="array" ref="R15:R15">IF(OR(ISBLANK($M15),ISBLANK(R$5),$B$22="N/A"),,ROUNDDOWN(0.5*$I$194*(($C$14+R$5)/(ROUND(INDEX('0.0.1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5" s="231" t="e">
        <f aca="false" t="array" ref="S15:S15">IF(OR(ISBLANK($M15),ISBLANK(S$5),$B$22="N/A"),,ROUNDDOWN(0.5*$I$194*(($C$14+S$5)/(ROUND(INDEX('0.0.1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5" s="231" t="e">
        <f aca="false" t="array" ref="T15:T15">IF(OR(ISBLANK($M15),ISBLANK(T$5),$B$22="N/A"),,ROUNDDOWN(0.5*$I$194*(($C$14+T$5)/(ROUND(INDEX('0.0.1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5" s="231" t="e">
        <f aca="false" t="array" ref="U15:U15">IF(OR(ISBLANK($M15),ISBLANK(U$5),$B$22="N/A"),,ROUNDDOWN(0.5*$I$194*(($C$14+U$5)/(ROUND(INDEX('0.0.1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5" s="231" t="e">
        <f aca="false" t="array" ref="V15:V15">IF(OR(ISBLANK($M15),ISBLANK(V$5),$B$22="N/A"),,ROUNDDOWN(0.5*$I$194*(($C$14+V$5)/(ROUND(INDEX('0.0.1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5" s="231" t="e">
        <f aca="false" t="array" ref="W15:W15">IF(OR(ISBLANK($M15),ISBLANK(W$5),$B$22="N/A"),,ROUNDDOWN(0.5*$I$194*(($C$14+W$5)/(ROUND(INDEX('0.0.1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5" s="231" t="e">
        <f aca="false" t="array" ref="X15:X15">IF(OR(ISBLANK($M15),ISBLANK(X$5),$B$22="N/A"),,ROUNDDOWN(0.5*$I$194*(($C$14+X$5)/(ROUND(INDEX('0.0.1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5" s="231" t="e">
        <f aca="false" t="array" ref="Y15:Y15">IF(OR(ISBLANK($M15),ISBLANK(Y$5),$B$22="N/A"),,ROUNDDOWN(0.5*$I$194*(($C$14+Y$5)/(ROUND(INDEX('0.0.1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5" s="231" t="e">
        <f aca="false" t="array" ref="Z15:Z15">IF(OR(ISBLANK($M15),ISBLANK(Z$5),$B$22="N/A"),,ROUNDDOWN(0.5*$I$194*(($C$14+Z$5)/(ROUND(INDEX('0.0.1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5" s="231" t="e">
        <f aca="false" t="array" ref="AA15:AA15">IF(OR(ISBLANK($M15),ISBLANK(AA$5),$B$22="N/A"),,ROUNDDOWN(0.5*$I$194*(($C$14+AA$5)/(ROUND(INDEX('0.0.1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5" s="231" t="e">
        <f aca="false" t="array" ref="AB15:AB15">IF(OR(ISBLANK($M15),ISBLANK(AB$5),$B$22="N/A"),,ROUNDDOWN(0.5*$I$194*(($C$14+AB$5)/(ROUND(INDEX('0.0.1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5" s="231" t="e">
        <f aca="false" t="array" ref="AC15:AC15">IF(OR(ISBLANK($M15),ISBLANK(AC$5),$B$22="N/A"),,ROUNDDOWN(0.5*$I$194*(($C$14+AC$5)/(ROUND(INDEX('0.0.1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5" s="224"/>
      <c r="AE15" s="234"/>
    </row>
    <row r="16" customFormat="false" ht="15.75" hidden="false" customHeight="false" outlineLevel="0" collapsed="false">
      <c r="A16" s="206"/>
      <c r="B16" s="237" t="s">
        <v>134</v>
      </c>
      <c r="C16" s="238" t="n">
        <f aca="false" t="array" ref="C16:C16">ROUND(INDEX('0.0.1 Pokémon Dex Data'!$V$3:$V201,MATCH(C5,'0.0.1 Pokémon Dex Data'!$E$3:$E201,0))*IF(C6="No",1,AE1),0)</f>
        <v>207</v>
      </c>
      <c r="D16" s="220"/>
      <c r="E16" s="232"/>
      <c r="F16" s="217"/>
      <c r="G16" s="217"/>
      <c r="H16" s="237" t="s">
        <v>38</v>
      </c>
      <c r="I16" s="238" t="n">
        <f aca="false" t="array" ref="I16:I16">INDEX('0.3.0 GO Calculation Values'!H2:H6,MATCH(H6,'0.3.0 GO Calculation Values'!F2:F6,0))</f>
        <v>7500</v>
      </c>
      <c r="J16" s="223"/>
      <c r="K16" s="224"/>
      <c r="L16" s="224"/>
      <c r="M16" s="230" t="n">
        <f aca="false">IFERROR(__xludf.dummyfunction("""COMPUTED_VALUE"""),25)</f>
        <v>25</v>
      </c>
      <c r="N16" s="231" t="e">
        <f aca="false" t="array" ref="N16:N16">IF(OR(ISBLANK($M16),ISBLANK(N$5),$B$22="N/A"),,ROUNDDOWN(0.5*$I$194*(($C$14+N$5)/(ROUND(INDEX('0.0.1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6" s="231" t="e">
        <f aca="false" t="array" ref="O16:O16">IF(OR(ISBLANK($M16),ISBLANK(O$5),$B$22="N/A"),,ROUNDDOWN(0.5*$I$194*(($C$14+O$5)/(ROUND(INDEX('0.0.1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6" s="231" t="e">
        <f aca="false" t="array" ref="P16:P16">IF(OR(ISBLANK($M16),ISBLANK(P$5),$B$22="N/A"),,ROUNDDOWN(0.5*$I$194*(($C$14+P$5)/(ROUND(INDEX('0.0.1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6" s="231" t="e">
        <f aca="false" t="array" ref="Q16:Q16">IF(OR(ISBLANK($M16),ISBLANK(Q$5),$B$22="N/A"),,ROUNDDOWN(0.5*$I$194*(($C$14+Q$5)/(ROUND(INDEX('0.0.1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6" s="231" t="e">
        <f aca="false" t="array" ref="R16:R16">IF(OR(ISBLANK($M16),ISBLANK(R$5),$B$22="N/A"),,ROUNDDOWN(0.5*$I$194*(($C$14+R$5)/(ROUND(INDEX('0.0.1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6" s="231" t="e">
        <f aca="false" t="array" ref="S16:S16">IF(OR(ISBLANK($M16),ISBLANK(S$5),$B$22="N/A"),,ROUNDDOWN(0.5*$I$194*(($C$14+S$5)/(ROUND(INDEX('0.0.1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6" s="231" t="e">
        <f aca="false" t="array" ref="T16:T16">IF(OR(ISBLANK($M16),ISBLANK(T$5),$B$22="N/A"),,ROUNDDOWN(0.5*$I$194*(($C$14+T$5)/(ROUND(INDEX('0.0.1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6" s="231" t="e">
        <f aca="false" t="array" ref="U16:U16">IF(OR(ISBLANK($M16),ISBLANK(U$5),$B$22="N/A"),,ROUNDDOWN(0.5*$I$194*(($C$14+U$5)/(ROUND(INDEX('0.0.1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6" s="231" t="e">
        <f aca="false" t="array" ref="V16:V16">IF(OR(ISBLANK($M16),ISBLANK(V$5),$B$22="N/A"),,ROUNDDOWN(0.5*$I$194*(($C$14+V$5)/(ROUND(INDEX('0.0.1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6" s="231" t="e">
        <f aca="false" t="array" ref="W16:W16">IF(OR(ISBLANK($M16),ISBLANK(W$5),$B$22="N/A"),,ROUNDDOWN(0.5*$I$194*(($C$14+W$5)/(ROUND(INDEX('0.0.1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6" s="231" t="e">
        <f aca="false" t="array" ref="X16:X16">IF(OR(ISBLANK($M16),ISBLANK(X$5),$B$22="N/A"),,ROUNDDOWN(0.5*$I$194*(($C$14+X$5)/(ROUND(INDEX('0.0.1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6" s="231" t="e">
        <f aca="false" t="array" ref="Y16:Y16">IF(OR(ISBLANK($M16),ISBLANK(Y$5),$B$22="N/A"),,ROUNDDOWN(0.5*$I$194*(($C$14+Y$5)/(ROUND(INDEX('0.0.1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6" s="231" t="e">
        <f aca="false" t="array" ref="Z16:Z16">IF(OR(ISBLANK($M16),ISBLANK(Z$5),$B$22="N/A"),,ROUNDDOWN(0.5*$I$194*(($C$14+Z$5)/(ROUND(INDEX('0.0.1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6" s="231" t="e">
        <f aca="false" t="array" ref="AA16:AA16">IF(OR(ISBLANK($M16),ISBLANK(AA$5),$B$22="N/A"),,ROUNDDOWN(0.5*$I$194*(($C$14+AA$5)/(ROUND(INDEX('0.0.1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6" s="231" t="e">
        <f aca="false" t="array" ref="AB16:AB16">IF(OR(ISBLANK($M16),ISBLANK(AB$5),$B$22="N/A"),,ROUNDDOWN(0.5*$I$194*(($C$14+AB$5)/(ROUND(INDEX('0.0.1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6" s="231" t="e">
        <f aca="false" t="array" ref="AC16:AC16">IF(OR(ISBLANK($M16),ISBLANK(AC$5),$B$22="N/A"),,ROUNDDOWN(0.5*$I$194*(($C$14+AC$5)/(ROUND(INDEX('0.0.1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6" s="224"/>
      <c r="AE16" s="234"/>
    </row>
    <row r="17" customFormat="false" ht="15.75" hidden="false" customHeight="false" outlineLevel="0" collapsed="false">
      <c r="A17" s="206"/>
      <c r="B17" s="206"/>
      <c r="C17" s="217"/>
      <c r="D17" s="217"/>
      <c r="E17" s="232"/>
      <c r="F17" s="217"/>
      <c r="G17" s="217"/>
      <c r="H17" s="217"/>
      <c r="I17" s="217"/>
      <c r="J17" s="223"/>
      <c r="K17" s="224"/>
      <c r="L17" s="224"/>
      <c r="M17" s="230" t="n">
        <f aca="false">IFERROR(__xludf.dummyfunction("""COMPUTED_VALUE"""),25.5)</f>
        <v>25.5</v>
      </c>
      <c r="N17" s="231" t="e">
        <f aca="false" t="array" ref="N17:N17">IF(OR(ISBLANK($M17),ISBLANK(N$5),$B$22="N/A"),,ROUNDDOWN(0.5*$I$194*(($C$14+N$5)/(ROUND(INDEX('0.0.1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7" s="231" t="e">
        <f aca="false" t="array" ref="O17:O17">IF(OR(ISBLANK($M17),ISBLANK(O$5),$B$22="N/A"),,ROUNDDOWN(0.5*$I$194*(($C$14+O$5)/(ROUND(INDEX('0.0.1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7" s="231" t="e">
        <f aca="false" t="array" ref="P17:P17">IF(OR(ISBLANK($M17),ISBLANK(P$5),$B$22="N/A"),,ROUNDDOWN(0.5*$I$194*(($C$14+P$5)/(ROUND(INDEX('0.0.1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7" s="231" t="e">
        <f aca="false" t="array" ref="Q17:Q17">IF(OR(ISBLANK($M17),ISBLANK(Q$5),$B$22="N/A"),,ROUNDDOWN(0.5*$I$194*(($C$14+Q$5)/(ROUND(INDEX('0.0.1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7" s="231" t="e">
        <f aca="false" t="array" ref="R17:R17">IF(OR(ISBLANK($M17),ISBLANK(R$5),$B$22="N/A"),,ROUNDDOWN(0.5*$I$194*(($C$14+R$5)/(ROUND(INDEX('0.0.1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7" s="231" t="e">
        <f aca="false" t="array" ref="S17:S17">IF(OR(ISBLANK($M17),ISBLANK(S$5),$B$22="N/A"),,ROUNDDOWN(0.5*$I$194*(($C$14+S$5)/(ROUND(INDEX('0.0.1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7" s="231" t="e">
        <f aca="false" t="array" ref="T17:T17">IF(OR(ISBLANK($M17),ISBLANK(T$5),$B$22="N/A"),,ROUNDDOWN(0.5*$I$194*(($C$14+T$5)/(ROUND(INDEX('0.0.1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7" s="231" t="e">
        <f aca="false" t="array" ref="U17:U17">IF(OR(ISBLANK($M17),ISBLANK(U$5),$B$22="N/A"),,ROUNDDOWN(0.5*$I$194*(($C$14+U$5)/(ROUND(INDEX('0.0.1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7" s="231" t="e">
        <f aca="false" t="array" ref="V17:V17">IF(OR(ISBLANK($M17),ISBLANK(V$5),$B$22="N/A"),,ROUNDDOWN(0.5*$I$194*(($C$14+V$5)/(ROUND(INDEX('0.0.1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7" s="231" t="e">
        <f aca="false" t="array" ref="W17:W17">IF(OR(ISBLANK($M17),ISBLANK(W$5),$B$22="N/A"),,ROUNDDOWN(0.5*$I$194*(($C$14+W$5)/(ROUND(INDEX('0.0.1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7" s="231" t="e">
        <f aca="false" t="array" ref="X17:X17">IF(OR(ISBLANK($M17),ISBLANK(X$5),$B$22="N/A"),,ROUNDDOWN(0.5*$I$194*(($C$14+X$5)/(ROUND(INDEX('0.0.1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7" s="231" t="e">
        <f aca="false" t="array" ref="Y17:Y17">IF(OR(ISBLANK($M17),ISBLANK(Y$5),$B$22="N/A"),,ROUNDDOWN(0.5*$I$194*(($C$14+Y$5)/(ROUND(INDEX('0.0.1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7" s="231" t="e">
        <f aca="false" t="array" ref="Z17:Z17">IF(OR(ISBLANK($M17),ISBLANK(Z$5),$B$22="N/A"),,ROUNDDOWN(0.5*$I$194*(($C$14+Z$5)/(ROUND(INDEX('0.0.1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7" s="231" t="e">
        <f aca="false" t="array" ref="AA17:AA17">IF(OR(ISBLANK($M17),ISBLANK(AA$5),$B$22="N/A"),,ROUNDDOWN(0.5*$I$194*(($C$14+AA$5)/(ROUND(INDEX('0.0.1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7" s="231" t="e">
        <f aca="false" t="array" ref="AB17:AB17">IF(OR(ISBLANK($M17),ISBLANK(AB$5),$B$22="N/A"),,ROUNDDOWN(0.5*$I$194*(($C$14+AB$5)/(ROUND(INDEX('0.0.1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7" s="231" t="e">
        <f aca="false" t="array" ref="AC17:AC17">IF(OR(ISBLANK($M17),ISBLANK(AC$5),$B$22="N/A"),,ROUNDDOWN(0.5*$I$194*(($C$14+AC$5)/(ROUND(INDEX('0.0.1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7" s="224"/>
      <c r="AE17" s="234"/>
    </row>
    <row r="18" customFormat="false" ht="15.75" hidden="false" customHeight="true" outlineLevel="0" collapsed="false">
      <c r="A18" s="239"/>
      <c r="B18" s="240" t="s">
        <v>135</v>
      </c>
      <c r="C18" s="241" t="s">
        <v>92</v>
      </c>
      <c r="D18" s="217"/>
      <c r="E18" s="232"/>
      <c r="F18" s="217"/>
      <c r="G18" s="217"/>
      <c r="H18" s="217"/>
      <c r="I18" s="217"/>
      <c r="J18" s="223"/>
      <c r="K18" s="224"/>
      <c r="L18" s="224"/>
      <c r="M18" s="230" t="n">
        <f aca="false">IFERROR(__xludf.dummyfunction("""COMPUTED_VALUE"""),26)</f>
        <v>26</v>
      </c>
      <c r="N18" s="231" t="e">
        <f aca="false" t="array" ref="N18:N18">IF(OR(ISBLANK($M18),ISBLANK(N$5),$B$22="N/A"),,ROUNDDOWN(0.5*$I$194*(($C$14+N$5)/(ROUND(INDEX('0.0.1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8" s="231" t="e">
        <f aca="false" t="array" ref="O18:O18">IF(OR(ISBLANK($M18),ISBLANK(O$5),$B$22="N/A"),,ROUNDDOWN(0.5*$I$194*(($C$14+O$5)/(ROUND(INDEX('0.0.1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8" s="231" t="e">
        <f aca="false" t="array" ref="P18:P18">IF(OR(ISBLANK($M18),ISBLANK(P$5),$B$22="N/A"),,ROUNDDOWN(0.5*$I$194*(($C$14+P$5)/(ROUND(INDEX('0.0.1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8" s="231" t="e">
        <f aca="false" t="array" ref="Q18:Q18">IF(OR(ISBLANK($M18),ISBLANK(Q$5),$B$22="N/A"),,ROUNDDOWN(0.5*$I$194*(($C$14+Q$5)/(ROUND(INDEX('0.0.1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8" s="231" t="e">
        <f aca="false" t="array" ref="R18:R18">IF(OR(ISBLANK($M18),ISBLANK(R$5),$B$22="N/A"),,ROUNDDOWN(0.5*$I$194*(($C$14+R$5)/(ROUND(INDEX('0.0.1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8" s="231" t="e">
        <f aca="false" t="array" ref="S18:S18">IF(OR(ISBLANK($M18),ISBLANK(S$5),$B$22="N/A"),,ROUNDDOWN(0.5*$I$194*(($C$14+S$5)/(ROUND(INDEX('0.0.1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8" s="231" t="e">
        <f aca="false" t="array" ref="T18:T18">IF(OR(ISBLANK($M18),ISBLANK(T$5),$B$22="N/A"),,ROUNDDOWN(0.5*$I$194*(($C$14+T$5)/(ROUND(INDEX('0.0.1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8" s="231" t="e">
        <f aca="false" t="array" ref="U18:U18">IF(OR(ISBLANK($M18),ISBLANK(U$5),$B$22="N/A"),,ROUNDDOWN(0.5*$I$194*(($C$14+U$5)/(ROUND(INDEX('0.0.1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8" s="231" t="e">
        <f aca="false" t="array" ref="V18:V18">IF(OR(ISBLANK($M18),ISBLANK(V$5),$B$22="N/A"),,ROUNDDOWN(0.5*$I$194*(($C$14+V$5)/(ROUND(INDEX('0.0.1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8" s="231" t="e">
        <f aca="false" t="array" ref="W18:W18">IF(OR(ISBLANK($M18),ISBLANK(W$5),$B$22="N/A"),,ROUNDDOWN(0.5*$I$194*(($C$14+W$5)/(ROUND(INDEX('0.0.1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8" s="231" t="e">
        <f aca="false" t="array" ref="X18:X18">IF(OR(ISBLANK($M18),ISBLANK(X$5),$B$22="N/A"),,ROUNDDOWN(0.5*$I$194*(($C$14+X$5)/(ROUND(INDEX('0.0.1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8" s="231" t="e">
        <f aca="false" t="array" ref="Y18:Y18">IF(OR(ISBLANK($M18),ISBLANK(Y$5),$B$22="N/A"),,ROUNDDOWN(0.5*$I$194*(($C$14+Y$5)/(ROUND(INDEX('0.0.1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8" s="231" t="e">
        <f aca="false" t="array" ref="Z18:Z18">IF(OR(ISBLANK($M18),ISBLANK(Z$5),$B$22="N/A"),,ROUNDDOWN(0.5*$I$194*(($C$14+Z$5)/(ROUND(INDEX('0.0.1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8" s="231" t="e">
        <f aca="false" t="array" ref="AA18:AA18">IF(OR(ISBLANK($M18),ISBLANK(AA$5),$B$22="N/A"),,ROUNDDOWN(0.5*$I$194*(($C$14+AA$5)/(ROUND(INDEX('0.0.1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8" s="231" t="e">
        <f aca="false" t="array" ref="AB18:AB18">IF(OR(ISBLANK($M18),ISBLANK(AB$5),$B$22="N/A"),,ROUNDDOWN(0.5*$I$194*(($C$14+AB$5)/(ROUND(INDEX('0.0.1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8" s="231" t="e">
        <f aca="false" t="array" ref="AC18:AC18">IF(OR(ISBLANK($M18),ISBLANK(AC$5),$B$22="N/A"),,ROUNDDOWN(0.5*$I$194*(($C$14+AC$5)/(ROUND(INDEX('0.0.1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8" s="224"/>
      <c r="AE18" s="234"/>
    </row>
    <row r="19" customFormat="false" ht="15.75" hidden="false" customHeight="false" outlineLevel="0" collapsed="false">
      <c r="A19" s="239"/>
      <c r="B19" s="240"/>
      <c r="C19" s="241"/>
      <c r="D19" s="217"/>
      <c r="E19" s="232"/>
      <c r="F19" s="217"/>
      <c r="G19" s="217"/>
      <c r="H19" s="242" t="s">
        <v>136</v>
      </c>
      <c r="I19" s="242"/>
      <c r="J19" s="223"/>
      <c r="K19" s="224"/>
      <c r="L19" s="224"/>
      <c r="M19" s="230" t="n">
        <f aca="false">IFERROR(__xludf.dummyfunction("""COMPUTED_VALUE"""),26.5)</f>
        <v>26.5</v>
      </c>
      <c r="N19" s="231" t="e">
        <f aca="false" t="array" ref="N19:N19">IF(OR(ISBLANK($M19),ISBLANK(N$5),$B$22="N/A"),,ROUNDDOWN(0.5*$I$194*(($C$14+N$5)/(ROUND(INDEX('0.0.1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19" s="231" t="e">
        <f aca="false" t="array" ref="O19:O19">IF(OR(ISBLANK($M19),ISBLANK(O$5),$B$22="N/A"),,ROUNDDOWN(0.5*$I$194*(($C$14+O$5)/(ROUND(INDEX('0.0.1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19" s="231" t="e">
        <f aca="false" t="array" ref="P19:P19">IF(OR(ISBLANK($M19),ISBLANK(P$5),$B$22="N/A"),,ROUNDDOWN(0.5*$I$194*(($C$14+P$5)/(ROUND(INDEX('0.0.1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19" s="231" t="e">
        <f aca="false" t="array" ref="Q19:Q19">IF(OR(ISBLANK($M19),ISBLANK(Q$5),$B$22="N/A"),,ROUNDDOWN(0.5*$I$194*(($C$14+Q$5)/(ROUND(INDEX('0.0.1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19" s="231" t="e">
        <f aca="false" t="array" ref="R19:R19">IF(OR(ISBLANK($M19),ISBLANK(R$5),$B$22="N/A"),,ROUNDDOWN(0.5*$I$194*(($C$14+R$5)/(ROUND(INDEX('0.0.1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19" s="231" t="e">
        <f aca="false" t="array" ref="S19:S19">IF(OR(ISBLANK($M19),ISBLANK(S$5),$B$22="N/A"),,ROUNDDOWN(0.5*$I$194*(($C$14+S$5)/(ROUND(INDEX('0.0.1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19" s="231" t="e">
        <f aca="false" t="array" ref="T19:T19">IF(OR(ISBLANK($M19),ISBLANK(T$5),$B$22="N/A"),,ROUNDDOWN(0.5*$I$194*(($C$14+T$5)/(ROUND(INDEX('0.0.1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19" s="231" t="e">
        <f aca="false" t="array" ref="U19:U19">IF(OR(ISBLANK($M19),ISBLANK(U$5),$B$22="N/A"),,ROUNDDOWN(0.5*$I$194*(($C$14+U$5)/(ROUND(INDEX('0.0.1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19" s="231" t="e">
        <f aca="false" t="array" ref="V19:V19">IF(OR(ISBLANK($M19),ISBLANK(V$5),$B$22="N/A"),,ROUNDDOWN(0.5*$I$194*(($C$14+V$5)/(ROUND(INDEX('0.0.1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19" s="231" t="e">
        <f aca="false" t="array" ref="W19:W19">IF(OR(ISBLANK($M19),ISBLANK(W$5),$B$22="N/A"),,ROUNDDOWN(0.5*$I$194*(($C$14+W$5)/(ROUND(INDEX('0.0.1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19" s="231" t="e">
        <f aca="false" t="array" ref="X19:X19">IF(OR(ISBLANK($M19),ISBLANK(X$5),$B$22="N/A"),,ROUNDDOWN(0.5*$I$194*(($C$14+X$5)/(ROUND(INDEX('0.0.1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19" s="231" t="e">
        <f aca="false" t="array" ref="Y19:Y19">IF(OR(ISBLANK($M19),ISBLANK(Y$5),$B$22="N/A"),,ROUNDDOWN(0.5*$I$194*(($C$14+Y$5)/(ROUND(INDEX('0.0.1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19" s="231" t="e">
        <f aca="false" t="array" ref="Z19:Z19">IF(OR(ISBLANK($M19),ISBLANK(Z$5),$B$22="N/A"),,ROUNDDOWN(0.5*$I$194*(($C$14+Z$5)/(ROUND(INDEX('0.0.1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19" s="231" t="e">
        <f aca="false" t="array" ref="AA19:AA19">IF(OR(ISBLANK($M19),ISBLANK(AA$5),$B$22="N/A"),,ROUNDDOWN(0.5*$I$194*(($C$14+AA$5)/(ROUND(INDEX('0.0.1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19" s="231" t="e">
        <f aca="false" t="array" ref="AB19:AB19">IF(OR(ISBLANK($M19),ISBLANK(AB$5),$B$22="N/A"),,ROUNDDOWN(0.5*$I$194*(($C$14+AB$5)/(ROUND(INDEX('0.0.1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19" s="231" t="e">
        <f aca="false" t="array" ref="AC19:AC19">IF(OR(ISBLANK($M19),ISBLANK(AC$5),$B$22="N/A"),,ROUNDDOWN(0.5*$I$194*(($C$14+AC$5)/(ROUND(INDEX('0.0.1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Values'!$B$2:$B$80,MATCH($M19,'0.3.0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19" s="224"/>
      <c r="AE19" s="234"/>
    </row>
    <row r="20" customFormat="false" ht="15.75" hidden="false" customHeight="false" outlineLevel="0" collapsed="false">
      <c r="A20" s="206"/>
      <c r="B20" s="206"/>
      <c r="C20" s="217"/>
      <c r="D20" s="217"/>
      <c r="E20" s="232"/>
      <c r="F20" s="217"/>
      <c r="G20" s="217"/>
      <c r="H20" s="243" t="s">
        <v>137</v>
      </c>
      <c r="I20" s="243"/>
      <c r="J20" s="223"/>
      <c r="K20" s="224"/>
      <c r="L20" s="224"/>
      <c r="M20" s="230" t="n">
        <f aca="false">IFERROR(__xludf.dummyfunction("""COMPUTED_VALUE"""),27)</f>
        <v>27</v>
      </c>
      <c r="N20" s="231" t="e">
        <f aca="false" t="array" ref="N20:N20">IF(OR(ISBLANK($M20),ISBLANK(N$5),$B$22="N/A"),,ROUNDDOWN(0.5*$I$194*(($C$14+N$5)/(ROUND(INDEX('0.0.1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0" s="231" t="e">
        <f aca="false" t="array" ref="O20:O20">IF(OR(ISBLANK($M20),ISBLANK(O$5),$B$22="N/A"),,ROUNDDOWN(0.5*$I$194*(($C$14+O$5)/(ROUND(INDEX('0.0.1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0" s="231" t="e">
        <f aca="false" t="array" ref="P20:P20">IF(OR(ISBLANK($M20),ISBLANK(P$5),$B$22="N/A"),,ROUNDDOWN(0.5*$I$194*(($C$14+P$5)/(ROUND(INDEX('0.0.1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0" s="231" t="e">
        <f aca="false" t="array" ref="Q20:Q20">IF(OR(ISBLANK($M20),ISBLANK(Q$5),$B$22="N/A"),,ROUNDDOWN(0.5*$I$194*(($C$14+Q$5)/(ROUND(INDEX('0.0.1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0" s="231" t="e">
        <f aca="false" t="array" ref="R20:R20">IF(OR(ISBLANK($M20),ISBLANK(R$5),$B$22="N/A"),,ROUNDDOWN(0.5*$I$194*(($C$14+R$5)/(ROUND(INDEX('0.0.1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0" s="231" t="e">
        <f aca="false" t="array" ref="S20:S20">IF(OR(ISBLANK($M20),ISBLANK(S$5),$B$22="N/A"),,ROUNDDOWN(0.5*$I$194*(($C$14+S$5)/(ROUND(INDEX('0.0.1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0" s="231" t="e">
        <f aca="false" t="array" ref="T20:T20">IF(OR(ISBLANK($M20),ISBLANK(T$5),$B$22="N/A"),,ROUNDDOWN(0.5*$I$194*(($C$14+T$5)/(ROUND(INDEX('0.0.1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0" s="231" t="e">
        <f aca="false" t="array" ref="U20:U20">IF(OR(ISBLANK($M20),ISBLANK(U$5),$B$22="N/A"),,ROUNDDOWN(0.5*$I$194*(($C$14+U$5)/(ROUND(INDEX('0.0.1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0" s="231" t="e">
        <f aca="false" t="array" ref="V20:V20">IF(OR(ISBLANK($M20),ISBLANK(V$5),$B$22="N/A"),,ROUNDDOWN(0.5*$I$194*(($C$14+V$5)/(ROUND(INDEX('0.0.1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0" s="231" t="e">
        <f aca="false" t="array" ref="W20:W20">IF(OR(ISBLANK($M20),ISBLANK(W$5),$B$22="N/A"),,ROUNDDOWN(0.5*$I$194*(($C$14+W$5)/(ROUND(INDEX('0.0.1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0" s="231" t="e">
        <f aca="false" t="array" ref="X20:X20">IF(OR(ISBLANK($M20),ISBLANK(X$5),$B$22="N/A"),,ROUNDDOWN(0.5*$I$194*(($C$14+X$5)/(ROUND(INDEX('0.0.1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0" s="231" t="e">
        <f aca="false" t="array" ref="Y20:Y20">IF(OR(ISBLANK($M20),ISBLANK(Y$5),$B$22="N/A"),,ROUNDDOWN(0.5*$I$194*(($C$14+Y$5)/(ROUND(INDEX('0.0.1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0" s="231" t="e">
        <f aca="false" t="array" ref="Z20:Z20">IF(OR(ISBLANK($M20),ISBLANK(Z$5),$B$22="N/A"),,ROUNDDOWN(0.5*$I$194*(($C$14+Z$5)/(ROUND(INDEX('0.0.1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0" s="231" t="e">
        <f aca="false" t="array" ref="AA20:AA20">IF(OR(ISBLANK($M20),ISBLANK(AA$5),$B$22="N/A"),,ROUNDDOWN(0.5*$I$194*(($C$14+AA$5)/(ROUND(INDEX('0.0.1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0" s="231" t="e">
        <f aca="false" t="array" ref="AB20:AB20">IF(OR(ISBLANK($M20),ISBLANK(AB$5),$B$22="N/A"),,ROUNDDOWN(0.5*$I$194*(($C$14+AB$5)/(ROUND(INDEX('0.0.1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0" s="231" t="e">
        <f aca="false" t="array" ref="AC20:AC20">IF(OR(ISBLANK($M20),ISBLANK(AC$5),$B$22="N/A"),,ROUNDDOWN(0.5*$I$194*(($C$14+AC$5)/(ROUND(INDEX('0.0.1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0" s="224"/>
      <c r="AE20" s="234"/>
    </row>
    <row r="21" customFormat="false" ht="15.75" hidden="false" customHeight="false" outlineLevel="0" collapsed="false">
      <c r="A21" s="206"/>
      <c r="B21" s="242" t="s">
        <v>50</v>
      </c>
      <c r="C21" s="242"/>
      <c r="D21" s="220"/>
      <c r="E21" s="232"/>
      <c r="F21" s="217"/>
      <c r="G21" s="217"/>
      <c r="H21" s="243"/>
      <c r="I21" s="243"/>
      <c r="J21" s="223"/>
      <c r="K21" s="224"/>
      <c r="L21" s="224"/>
      <c r="M21" s="230" t="n">
        <f aca="false">IFERROR(__xludf.dummyfunction("""COMPUTED_VALUE"""),27.5)</f>
        <v>27.5</v>
      </c>
      <c r="N21" s="231" t="e">
        <f aca="false" t="array" ref="N21:N21">IF(OR(ISBLANK($M21),ISBLANK(N$5),$B$22="N/A"),,ROUNDDOWN(0.5*$I$194*(($C$14+N$5)/(ROUND(INDEX('0.0.1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1" s="231" t="e">
        <f aca="false" t="array" ref="O21:O21">IF(OR(ISBLANK($M21),ISBLANK(O$5),$B$22="N/A"),,ROUNDDOWN(0.5*$I$194*(($C$14+O$5)/(ROUND(INDEX('0.0.1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1" s="231" t="e">
        <f aca="false" t="array" ref="P21:P21">IF(OR(ISBLANK($M21),ISBLANK(P$5),$B$22="N/A"),,ROUNDDOWN(0.5*$I$194*(($C$14+P$5)/(ROUND(INDEX('0.0.1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1" s="231" t="e">
        <f aca="false" t="array" ref="Q21:Q21">IF(OR(ISBLANK($M21),ISBLANK(Q$5),$B$22="N/A"),,ROUNDDOWN(0.5*$I$194*(($C$14+Q$5)/(ROUND(INDEX('0.0.1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1" s="231" t="e">
        <f aca="false" t="array" ref="R21:R21">IF(OR(ISBLANK($M21),ISBLANK(R$5),$B$22="N/A"),,ROUNDDOWN(0.5*$I$194*(($C$14+R$5)/(ROUND(INDEX('0.0.1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1" s="231" t="e">
        <f aca="false" t="array" ref="S21:S21">IF(OR(ISBLANK($M21),ISBLANK(S$5),$B$22="N/A"),,ROUNDDOWN(0.5*$I$194*(($C$14+S$5)/(ROUND(INDEX('0.0.1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1" s="231" t="e">
        <f aca="false" t="array" ref="T21:T21">IF(OR(ISBLANK($M21),ISBLANK(T$5),$B$22="N/A"),,ROUNDDOWN(0.5*$I$194*(($C$14+T$5)/(ROUND(INDEX('0.0.1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1" s="231" t="e">
        <f aca="false" t="array" ref="U21:U21">IF(OR(ISBLANK($M21),ISBLANK(U$5),$B$22="N/A"),,ROUNDDOWN(0.5*$I$194*(($C$14+U$5)/(ROUND(INDEX('0.0.1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1" s="231" t="e">
        <f aca="false" t="array" ref="V21:V21">IF(OR(ISBLANK($M21),ISBLANK(V$5),$B$22="N/A"),,ROUNDDOWN(0.5*$I$194*(($C$14+V$5)/(ROUND(INDEX('0.0.1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1" s="231" t="e">
        <f aca="false" t="array" ref="W21:W21">IF(OR(ISBLANK($M21),ISBLANK(W$5),$B$22="N/A"),,ROUNDDOWN(0.5*$I$194*(($C$14+W$5)/(ROUND(INDEX('0.0.1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1" s="231" t="e">
        <f aca="false" t="array" ref="X21:X21">IF(OR(ISBLANK($M21),ISBLANK(X$5),$B$22="N/A"),,ROUNDDOWN(0.5*$I$194*(($C$14+X$5)/(ROUND(INDEX('0.0.1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1" s="231" t="e">
        <f aca="false" t="array" ref="Y21:Y21">IF(OR(ISBLANK($M21),ISBLANK(Y$5),$B$22="N/A"),,ROUNDDOWN(0.5*$I$194*(($C$14+Y$5)/(ROUND(INDEX('0.0.1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1" s="231" t="e">
        <f aca="false" t="array" ref="Z21:Z21">IF(OR(ISBLANK($M21),ISBLANK(Z$5),$B$22="N/A"),,ROUNDDOWN(0.5*$I$194*(($C$14+Z$5)/(ROUND(INDEX('0.0.1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1" s="231" t="e">
        <f aca="false" t="array" ref="AA21:AA21">IF(OR(ISBLANK($M21),ISBLANK(AA$5),$B$22="N/A"),,ROUNDDOWN(0.5*$I$194*(($C$14+AA$5)/(ROUND(INDEX('0.0.1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1" s="231" t="e">
        <f aca="false" t="array" ref="AB21:AB21">IF(OR(ISBLANK($M21),ISBLANK(AB$5),$B$22="N/A"),,ROUNDDOWN(0.5*$I$194*(($C$14+AB$5)/(ROUND(INDEX('0.0.1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1" s="231" t="e">
        <f aca="false" t="array" ref="AC21:AC21">IF(OR(ISBLANK($M21),ISBLANK(AC$5),$B$22="N/A"),,ROUNDDOWN(0.5*$I$194*(($C$14+AC$5)/(ROUND(INDEX('0.0.1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1" s="224"/>
      <c r="AE21" s="234"/>
    </row>
    <row r="22" customFormat="false" ht="15.75" hidden="false" customHeight="false" outlineLevel="0" collapsed="false">
      <c r="A22" s="206"/>
      <c r="B22" s="244" t="s">
        <v>138</v>
      </c>
      <c r="C22" s="244"/>
      <c r="D22" s="220"/>
      <c r="E22" s="232"/>
      <c r="F22" s="217"/>
      <c r="G22" s="217"/>
      <c r="H22" s="217"/>
      <c r="I22" s="217"/>
      <c r="J22" s="223"/>
      <c r="K22" s="224"/>
      <c r="L22" s="224"/>
      <c r="M22" s="230" t="n">
        <f aca="false">IFERROR(__xludf.dummyfunction("""COMPUTED_VALUE"""),28)</f>
        <v>28</v>
      </c>
      <c r="N22" s="231" t="e">
        <f aca="false" t="array" ref="N22:N22">IF(OR(ISBLANK($M22),ISBLANK(N$5),$B$22="N/A"),,ROUNDDOWN(0.5*$I$194*(($C$14+N$5)/(ROUND(INDEX('0.0.1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2" s="231" t="e">
        <f aca="false" t="array" ref="O22:O22">IF(OR(ISBLANK($M22),ISBLANK(O$5),$B$22="N/A"),,ROUNDDOWN(0.5*$I$194*(($C$14+O$5)/(ROUND(INDEX('0.0.1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2" s="231" t="e">
        <f aca="false" t="array" ref="P22:P22">IF(OR(ISBLANK($M22),ISBLANK(P$5),$B$22="N/A"),,ROUNDDOWN(0.5*$I$194*(($C$14+P$5)/(ROUND(INDEX('0.0.1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2" s="231" t="e">
        <f aca="false" t="array" ref="Q22:Q22">IF(OR(ISBLANK($M22),ISBLANK(Q$5),$B$22="N/A"),,ROUNDDOWN(0.5*$I$194*(($C$14+Q$5)/(ROUND(INDEX('0.0.1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2" s="231" t="e">
        <f aca="false" t="array" ref="R22:R22">IF(OR(ISBLANK($M22),ISBLANK(R$5),$B$22="N/A"),,ROUNDDOWN(0.5*$I$194*(($C$14+R$5)/(ROUND(INDEX('0.0.1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2" s="231" t="e">
        <f aca="false" t="array" ref="S22:S22">IF(OR(ISBLANK($M22),ISBLANK(S$5),$B$22="N/A"),,ROUNDDOWN(0.5*$I$194*(($C$14+S$5)/(ROUND(INDEX('0.0.1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2" s="231" t="e">
        <f aca="false" t="array" ref="T22:T22">IF(OR(ISBLANK($M22),ISBLANK(T$5),$B$22="N/A"),,ROUNDDOWN(0.5*$I$194*(($C$14+T$5)/(ROUND(INDEX('0.0.1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2" s="231" t="e">
        <f aca="false" t="array" ref="U22:U22">IF(OR(ISBLANK($M22),ISBLANK(U$5),$B$22="N/A"),,ROUNDDOWN(0.5*$I$194*(($C$14+U$5)/(ROUND(INDEX('0.0.1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2" s="231" t="e">
        <f aca="false" t="array" ref="V22:V22">IF(OR(ISBLANK($M22),ISBLANK(V$5),$B$22="N/A"),,ROUNDDOWN(0.5*$I$194*(($C$14+V$5)/(ROUND(INDEX('0.0.1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2" s="231" t="e">
        <f aca="false" t="array" ref="W22:W22">IF(OR(ISBLANK($M22),ISBLANK(W$5),$B$22="N/A"),,ROUNDDOWN(0.5*$I$194*(($C$14+W$5)/(ROUND(INDEX('0.0.1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2" s="231" t="e">
        <f aca="false" t="array" ref="X22:X22">IF(OR(ISBLANK($M22),ISBLANK(X$5),$B$22="N/A"),,ROUNDDOWN(0.5*$I$194*(($C$14+X$5)/(ROUND(INDEX('0.0.1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2" s="231" t="e">
        <f aca="false" t="array" ref="Y22:Y22">IF(OR(ISBLANK($M22),ISBLANK(Y$5),$B$22="N/A"),,ROUNDDOWN(0.5*$I$194*(($C$14+Y$5)/(ROUND(INDEX('0.0.1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2" s="231" t="e">
        <f aca="false" t="array" ref="Z22:Z22">IF(OR(ISBLANK($M22),ISBLANK(Z$5),$B$22="N/A"),,ROUNDDOWN(0.5*$I$194*(($C$14+Z$5)/(ROUND(INDEX('0.0.1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2" s="231" t="e">
        <f aca="false" t="array" ref="AA22:AA22">IF(OR(ISBLANK($M22),ISBLANK(AA$5),$B$22="N/A"),,ROUNDDOWN(0.5*$I$194*(($C$14+AA$5)/(ROUND(INDEX('0.0.1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2" s="231" t="e">
        <f aca="false" t="array" ref="AB22:AB22">IF(OR(ISBLANK($M22),ISBLANK(AB$5),$B$22="N/A"),,ROUNDDOWN(0.5*$I$194*(($C$14+AB$5)/(ROUND(INDEX('0.0.1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2" s="231" t="e">
        <f aca="false" t="array" ref="AC22:AC22">IF(OR(ISBLANK($M22),ISBLANK(AC$5),$B$22="N/A"),,ROUNDDOWN(0.5*$I$194*(($C$14+AC$5)/(ROUND(INDEX('0.0.1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2" s="224"/>
      <c r="AE22" s="234"/>
    </row>
    <row r="23" customFormat="false" ht="15.75" hidden="false" customHeight="false" outlineLevel="0" collapsed="false">
      <c r="A23" s="206"/>
      <c r="B23" s="244"/>
      <c r="C23" s="244"/>
      <c r="D23" s="220"/>
      <c r="E23" s="232"/>
      <c r="F23" s="217"/>
      <c r="G23" s="217"/>
      <c r="H23" s="217"/>
      <c r="I23" s="217"/>
      <c r="J23" s="223"/>
      <c r="K23" s="224"/>
      <c r="L23" s="224"/>
      <c r="M23" s="230" t="n">
        <f aca="false">IFERROR(__xludf.dummyfunction("""COMPUTED_VALUE"""),28.5)</f>
        <v>28.5</v>
      </c>
      <c r="N23" s="231" t="e">
        <f aca="false" t="array" ref="N23:N23">IF(OR(ISBLANK($M23),ISBLANK(N$5),$B$22="N/A"),,ROUNDDOWN(0.5*$I$194*(($C$14+N$5)/(ROUND(INDEX('0.0.1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3" s="231" t="e">
        <f aca="false" t="array" ref="O23:O23">IF(OR(ISBLANK($M23),ISBLANK(O$5),$B$22="N/A"),,ROUNDDOWN(0.5*$I$194*(($C$14+O$5)/(ROUND(INDEX('0.0.1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3" s="231" t="e">
        <f aca="false" t="array" ref="P23:P23">IF(OR(ISBLANK($M23),ISBLANK(P$5),$B$22="N/A"),,ROUNDDOWN(0.5*$I$194*(($C$14+P$5)/(ROUND(INDEX('0.0.1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3" s="231" t="e">
        <f aca="false" t="array" ref="Q23:Q23">IF(OR(ISBLANK($M23),ISBLANK(Q$5),$B$22="N/A"),,ROUNDDOWN(0.5*$I$194*(($C$14+Q$5)/(ROUND(INDEX('0.0.1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3" s="231" t="e">
        <f aca="false" t="array" ref="R23:R23">IF(OR(ISBLANK($M23),ISBLANK(R$5),$B$22="N/A"),,ROUNDDOWN(0.5*$I$194*(($C$14+R$5)/(ROUND(INDEX('0.0.1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3" s="231" t="e">
        <f aca="false" t="array" ref="S23:S23">IF(OR(ISBLANK($M23),ISBLANK(S$5),$B$22="N/A"),,ROUNDDOWN(0.5*$I$194*(($C$14+S$5)/(ROUND(INDEX('0.0.1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3" s="231" t="e">
        <f aca="false" t="array" ref="T23:T23">IF(OR(ISBLANK($M23),ISBLANK(T$5),$B$22="N/A"),,ROUNDDOWN(0.5*$I$194*(($C$14+T$5)/(ROUND(INDEX('0.0.1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3" s="231" t="e">
        <f aca="false" t="array" ref="U23:U23">IF(OR(ISBLANK($M23),ISBLANK(U$5),$B$22="N/A"),,ROUNDDOWN(0.5*$I$194*(($C$14+U$5)/(ROUND(INDEX('0.0.1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3" s="231" t="e">
        <f aca="false" t="array" ref="V23:V23">IF(OR(ISBLANK($M23),ISBLANK(V$5),$B$22="N/A"),,ROUNDDOWN(0.5*$I$194*(($C$14+V$5)/(ROUND(INDEX('0.0.1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3" s="231" t="e">
        <f aca="false" t="array" ref="W23:W23">IF(OR(ISBLANK($M23),ISBLANK(W$5),$B$22="N/A"),,ROUNDDOWN(0.5*$I$194*(($C$14+W$5)/(ROUND(INDEX('0.0.1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3" s="231" t="e">
        <f aca="false" t="array" ref="X23:X23">IF(OR(ISBLANK($M23),ISBLANK(X$5),$B$22="N/A"),,ROUNDDOWN(0.5*$I$194*(($C$14+X$5)/(ROUND(INDEX('0.0.1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3" s="231" t="e">
        <f aca="false" t="array" ref="Y23:Y23">IF(OR(ISBLANK($M23),ISBLANK(Y$5),$B$22="N/A"),,ROUNDDOWN(0.5*$I$194*(($C$14+Y$5)/(ROUND(INDEX('0.0.1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3" s="231" t="e">
        <f aca="false" t="array" ref="Z23:Z23">IF(OR(ISBLANK($M23),ISBLANK(Z$5),$B$22="N/A"),,ROUNDDOWN(0.5*$I$194*(($C$14+Z$5)/(ROUND(INDEX('0.0.1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3" s="231" t="e">
        <f aca="false" t="array" ref="AA23:AA23">IF(OR(ISBLANK($M23),ISBLANK(AA$5),$B$22="N/A"),,ROUNDDOWN(0.5*$I$194*(($C$14+AA$5)/(ROUND(INDEX('0.0.1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3" s="231" t="e">
        <f aca="false" t="array" ref="AB23:AB23">IF(OR(ISBLANK($M23),ISBLANK(AB$5),$B$22="N/A"),,ROUNDDOWN(0.5*$I$194*(($C$14+AB$5)/(ROUND(INDEX('0.0.1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3" s="231" t="e">
        <f aca="false" t="array" ref="AC23:AC23">IF(OR(ISBLANK($M23),ISBLANK(AC$5),$B$22="N/A"),,ROUNDDOWN(0.5*$I$194*(($C$14+AC$5)/(ROUND(INDEX('0.0.1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3" s="224"/>
      <c r="AE23" s="234"/>
    </row>
    <row r="24" customFormat="false" ht="15.75" hidden="false" customHeight="false" outlineLevel="0" collapsed="false">
      <c r="A24" s="206"/>
      <c r="B24" s="245" t="str">
        <f aca="false" t="array" ref="B24:B24">IF(B22="N/A",,UPPER(INDEX('0.1.2 Attack Dex (GO)'!B2:B201,MATCH(B22,'0.1.2 Attack Dex (GO)'!A2:A201,0))))</f>
        <v>FIGHTING</v>
      </c>
      <c r="C24" s="246" t="n">
        <f aca="false" t="array" ref="C24:C24">INDEX('0.3.1 Type Table'!U2:U20,MATCH(INDEX('0.1.2 Attack Dex (GO)'!B2:B201,MATCH(B22,'0.1.2 Attack Dex (GO)'!A2:A201,0)),'0.3.1 Type Table'!A2:A20,0))</f>
        <v>1</v>
      </c>
      <c r="D24" s="220"/>
      <c r="E24" s="232"/>
      <c r="F24" s="217"/>
      <c r="G24" s="217"/>
      <c r="H24" s="217"/>
      <c r="I24" s="217"/>
      <c r="J24" s="223"/>
      <c r="K24" s="224"/>
      <c r="L24" s="224"/>
      <c r="M24" s="230" t="n">
        <f aca="false">IFERROR(__xludf.dummyfunction("""COMPUTED_VALUE"""),29)</f>
        <v>29</v>
      </c>
      <c r="N24" s="231" t="e">
        <f aca="false" t="array" ref="N24:N24">IF(OR(ISBLANK($M24),ISBLANK(N$5),$B$22="N/A"),,ROUNDDOWN(0.5*$I$194*(($C$14+N$5)/(ROUND(INDEX('0.0.1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4" s="231" t="e">
        <f aca="false" t="array" ref="O24:O24">IF(OR(ISBLANK($M24),ISBLANK(O$5),$B$22="N/A"),,ROUNDDOWN(0.5*$I$194*(($C$14+O$5)/(ROUND(INDEX('0.0.1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4" s="231" t="e">
        <f aca="false" t="array" ref="P24:P24">IF(OR(ISBLANK($M24),ISBLANK(P$5),$B$22="N/A"),,ROUNDDOWN(0.5*$I$194*(($C$14+P$5)/(ROUND(INDEX('0.0.1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4" s="231" t="e">
        <f aca="false" t="array" ref="Q24:Q24">IF(OR(ISBLANK($M24),ISBLANK(Q$5),$B$22="N/A"),,ROUNDDOWN(0.5*$I$194*(($C$14+Q$5)/(ROUND(INDEX('0.0.1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4" s="231" t="e">
        <f aca="false" t="array" ref="R24:R24">IF(OR(ISBLANK($M24),ISBLANK(R$5),$B$22="N/A"),,ROUNDDOWN(0.5*$I$194*(($C$14+R$5)/(ROUND(INDEX('0.0.1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4" s="231" t="e">
        <f aca="false" t="array" ref="S24:S24">IF(OR(ISBLANK($M24),ISBLANK(S$5),$B$22="N/A"),,ROUNDDOWN(0.5*$I$194*(($C$14+S$5)/(ROUND(INDEX('0.0.1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4" s="231" t="e">
        <f aca="false" t="array" ref="T24:T24">IF(OR(ISBLANK($M24),ISBLANK(T$5),$B$22="N/A"),,ROUNDDOWN(0.5*$I$194*(($C$14+T$5)/(ROUND(INDEX('0.0.1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4" s="231" t="e">
        <f aca="false" t="array" ref="U24:U24">IF(OR(ISBLANK($M24),ISBLANK(U$5),$B$22="N/A"),,ROUNDDOWN(0.5*$I$194*(($C$14+U$5)/(ROUND(INDEX('0.0.1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4" s="231" t="e">
        <f aca="false" t="array" ref="V24:V24">IF(OR(ISBLANK($M24),ISBLANK(V$5),$B$22="N/A"),,ROUNDDOWN(0.5*$I$194*(($C$14+V$5)/(ROUND(INDEX('0.0.1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4" s="231" t="e">
        <f aca="false" t="array" ref="W24:W24">IF(OR(ISBLANK($M24),ISBLANK(W$5),$B$22="N/A"),,ROUNDDOWN(0.5*$I$194*(($C$14+W$5)/(ROUND(INDEX('0.0.1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4" s="231" t="e">
        <f aca="false" t="array" ref="X24:X24">IF(OR(ISBLANK($M24),ISBLANK(X$5),$B$22="N/A"),,ROUNDDOWN(0.5*$I$194*(($C$14+X$5)/(ROUND(INDEX('0.0.1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4" s="231" t="e">
        <f aca="false" t="array" ref="Y24:Y24">IF(OR(ISBLANK($M24),ISBLANK(Y$5),$B$22="N/A"),,ROUNDDOWN(0.5*$I$194*(($C$14+Y$5)/(ROUND(INDEX('0.0.1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4" s="231" t="e">
        <f aca="false" t="array" ref="Z24:Z24">IF(OR(ISBLANK($M24),ISBLANK(Z$5),$B$22="N/A"),,ROUNDDOWN(0.5*$I$194*(($C$14+Z$5)/(ROUND(INDEX('0.0.1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4" s="231" t="e">
        <f aca="false" t="array" ref="AA24:AA24">IF(OR(ISBLANK($M24),ISBLANK(AA$5),$B$22="N/A"),,ROUNDDOWN(0.5*$I$194*(($C$14+AA$5)/(ROUND(INDEX('0.0.1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4" s="231" t="e">
        <f aca="false" t="array" ref="AB24:AB24">IF(OR(ISBLANK($M24),ISBLANK(AB$5),$B$22="N/A"),,ROUNDDOWN(0.5*$I$194*(($C$14+AB$5)/(ROUND(INDEX('0.0.1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4" s="231" t="e">
        <f aca="false" t="array" ref="AC24:AC24">IF(OR(ISBLANK($M24),ISBLANK(AC$5),$B$22="N/A"),,ROUNDDOWN(0.5*$I$194*(($C$14+AC$5)/(ROUND(INDEX('0.0.1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4" s="224"/>
      <c r="AE24" s="234"/>
    </row>
    <row r="25" customFormat="false" ht="15.75" hidden="false" customHeight="false" outlineLevel="0" collapsed="false">
      <c r="A25" s="206"/>
      <c r="B25" s="245"/>
      <c r="C25" s="246"/>
      <c r="D25" s="220"/>
      <c r="E25" s="232"/>
      <c r="F25" s="217"/>
      <c r="G25" s="217"/>
      <c r="H25" s="217"/>
      <c r="I25" s="217"/>
      <c r="J25" s="223"/>
      <c r="K25" s="224"/>
      <c r="L25" s="224"/>
      <c r="M25" s="230" t="n">
        <f aca="false">IFERROR(__xludf.dummyfunction("""COMPUTED_VALUE"""),29.5)</f>
        <v>29.5</v>
      </c>
      <c r="N25" s="231" t="e">
        <f aca="false" t="array" ref="N25:N25">IF(OR(ISBLANK($M25),ISBLANK(N$5),$B$22="N/A"),,ROUNDDOWN(0.5*$I$194*(($C$14+N$5)/(ROUND(INDEX('0.0.1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5" s="231" t="e">
        <f aca="false" t="array" ref="O25:O25">IF(OR(ISBLANK($M25),ISBLANK(O$5),$B$22="N/A"),,ROUNDDOWN(0.5*$I$194*(($C$14+O$5)/(ROUND(INDEX('0.0.1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5" s="231" t="e">
        <f aca="false" t="array" ref="P25:P25">IF(OR(ISBLANK($M25),ISBLANK(P$5),$B$22="N/A"),,ROUNDDOWN(0.5*$I$194*(($C$14+P$5)/(ROUND(INDEX('0.0.1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5" s="231" t="e">
        <f aca="false" t="array" ref="Q25:Q25">IF(OR(ISBLANK($M25),ISBLANK(Q$5),$B$22="N/A"),,ROUNDDOWN(0.5*$I$194*(($C$14+Q$5)/(ROUND(INDEX('0.0.1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5" s="231" t="e">
        <f aca="false" t="array" ref="R25:R25">IF(OR(ISBLANK($M25),ISBLANK(R$5),$B$22="N/A"),,ROUNDDOWN(0.5*$I$194*(($C$14+R$5)/(ROUND(INDEX('0.0.1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5" s="231" t="e">
        <f aca="false" t="array" ref="S25:S25">IF(OR(ISBLANK($M25),ISBLANK(S$5),$B$22="N/A"),,ROUNDDOWN(0.5*$I$194*(($C$14+S$5)/(ROUND(INDEX('0.0.1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5" s="231" t="e">
        <f aca="false" t="array" ref="T25:T25">IF(OR(ISBLANK($M25),ISBLANK(T$5),$B$22="N/A"),,ROUNDDOWN(0.5*$I$194*(($C$14+T$5)/(ROUND(INDEX('0.0.1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5" s="231" t="e">
        <f aca="false" t="array" ref="U25:U25">IF(OR(ISBLANK($M25),ISBLANK(U$5),$B$22="N/A"),,ROUNDDOWN(0.5*$I$194*(($C$14+U$5)/(ROUND(INDEX('0.0.1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5" s="231" t="e">
        <f aca="false" t="array" ref="V25:V25">IF(OR(ISBLANK($M25),ISBLANK(V$5),$B$22="N/A"),,ROUNDDOWN(0.5*$I$194*(($C$14+V$5)/(ROUND(INDEX('0.0.1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5" s="231" t="e">
        <f aca="false" t="array" ref="W25:W25">IF(OR(ISBLANK($M25),ISBLANK(W$5),$B$22="N/A"),,ROUNDDOWN(0.5*$I$194*(($C$14+W$5)/(ROUND(INDEX('0.0.1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5" s="231" t="e">
        <f aca="false" t="array" ref="X25:X25">IF(OR(ISBLANK($M25),ISBLANK(X$5),$B$22="N/A"),,ROUNDDOWN(0.5*$I$194*(($C$14+X$5)/(ROUND(INDEX('0.0.1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5" s="231" t="e">
        <f aca="false" t="array" ref="Y25:Y25">IF(OR(ISBLANK($M25),ISBLANK(Y$5),$B$22="N/A"),,ROUNDDOWN(0.5*$I$194*(($C$14+Y$5)/(ROUND(INDEX('0.0.1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5" s="231" t="e">
        <f aca="false" t="array" ref="Z25:Z25">IF(OR(ISBLANK($M25),ISBLANK(Z$5),$B$22="N/A"),,ROUNDDOWN(0.5*$I$194*(($C$14+Z$5)/(ROUND(INDEX('0.0.1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5" s="231" t="e">
        <f aca="false" t="array" ref="AA25:AA25">IF(OR(ISBLANK($M25),ISBLANK(AA$5),$B$22="N/A"),,ROUNDDOWN(0.5*$I$194*(($C$14+AA$5)/(ROUND(INDEX('0.0.1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5" s="231" t="e">
        <f aca="false" t="array" ref="AB25:AB25">IF(OR(ISBLANK($M25),ISBLANK(AB$5),$B$22="N/A"),,ROUNDDOWN(0.5*$I$194*(($C$14+AB$5)/(ROUND(INDEX('0.0.1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5" s="231" t="e">
        <f aca="false" t="array" ref="AC25:AC25">IF(OR(ISBLANK($M25),ISBLANK(AC$5),$B$22="N/A"),,ROUNDDOWN(0.5*$I$194*(($C$14+AC$5)/(ROUND(INDEX('0.0.1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5" s="224"/>
      <c r="AE25" s="234"/>
    </row>
    <row r="26" customFormat="false" ht="15.75" hidden="false" customHeight="false" outlineLevel="0" collapsed="false">
      <c r="A26" s="206"/>
      <c r="B26" s="247" t="s">
        <v>54</v>
      </c>
      <c r="C26" s="248" t="s">
        <v>63</v>
      </c>
      <c r="D26" s="220"/>
      <c r="E26" s="232"/>
      <c r="F26" s="217"/>
      <c r="G26" s="217"/>
      <c r="H26" s="217"/>
      <c r="I26" s="217"/>
      <c r="J26" s="223"/>
      <c r="K26" s="224"/>
      <c r="L26" s="224"/>
      <c r="M26" s="230" t="n">
        <f aca="false">IFERROR(__xludf.dummyfunction("""COMPUTED_VALUE"""),30)</f>
        <v>30</v>
      </c>
      <c r="N26" s="231" t="e">
        <f aca="false" t="array" ref="N26:N26">IF(OR(ISBLANK($M26),ISBLANK(N$5),$B$22="N/A"),,ROUNDDOWN(0.5*$I$194*(($C$14+N$5)/(ROUND(INDEX('0.0.1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6" s="231" t="e">
        <f aca="false" t="array" ref="O26:O26">IF(OR(ISBLANK($M26),ISBLANK(O$5),$B$22="N/A"),,ROUNDDOWN(0.5*$I$194*(($C$14+O$5)/(ROUND(INDEX('0.0.1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6" s="231" t="e">
        <f aca="false" t="array" ref="P26:P26">IF(OR(ISBLANK($M26),ISBLANK(P$5),$B$22="N/A"),,ROUNDDOWN(0.5*$I$194*(($C$14+P$5)/(ROUND(INDEX('0.0.1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6" s="231" t="e">
        <f aca="false" t="array" ref="Q26:Q26">IF(OR(ISBLANK($M26),ISBLANK(Q$5),$B$22="N/A"),,ROUNDDOWN(0.5*$I$194*(($C$14+Q$5)/(ROUND(INDEX('0.0.1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6" s="231" t="e">
        <f aca="false" t="array" ref="R26:R26">IF(OR(ISBLANK($M26),ISBLANK(R$5),$B$22="N/A"),,ROUNDDOWN(0.5*$I$194*(($C$14+R$5)/(ROUND(INDEX('0.0.1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6" s="231" t="e">
        <f aca="false" t="array" ref="S26:S26">IF(OR(ISBLANK($M26),ISBLANK(S$5),$B$22="N/A"),,ROUNDDOWN(0.5*$I$194*(($C$14+S$5)/(ROUND(INDEX('0.0.1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6" s="231" t="e">
        <f aca="false" t="array" ref="T26:T26">IF(OR(ISBLANK($M26),ISBLANK(T$5),$B$22="N/A"),,ROUNDDOWN(0.5*$I$194*(($C$14+T$5)/(ROUND(INDEX('0.0.1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6" s="231" t="e">
        <f aca="false" t="array" ref="U26:U26">IF(OR(ISBLANK($M26),ISBLANK(U$5),$B$22="N/A"),,ROUNDDOWN(0.5*$I$194*(($C$14+U$5)/(ROUND(INDEX('0.0.1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6" s="231" t="e">
        <f aca="false" t="array" ref="V26:V26">IF(OR(ISBLANK($M26),ISBLANK(V$5),$B$22="N/A"),,ROUNDDOWN(0.5*$I$194*(($C$14+V$5)/(ROUND(INDEX('0.0.1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6" s="231" t="e">
        <f aca="false" t="array" ref="W26:W26">IF(OR(ISBLANK($M26),ISBLANK(W$5),$B$22="N/A"),,ROUNDDOWN(0.5*$I$194*(($C$14+W$5)/(ROUND(INDEX('0.0.1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6" s="231" t="e">
        <f aca="false" t="array" ref="X26:X26">IF(OR(ISBLANK($M26),ISBLANK(X$5),$B$22="N/A"),,ROUNDDOWN(0.5*$I$194*(($C$14+X$5)/(ROUND(INDEX('0.0.1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6" s="231" t="e">
        <f aca="false" t="array" ref="Y26:Y26">IF(OR(ISBLANK($M26),ISBLANK(Y$5),$B$22="N/A"),,ROUNDDOWN(0.5*$I$194*(($C$14+Y$5)/(ROUND(INDEX('0.0.1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6" s="231" t="e">
        <f aca="false" t="array" ref="Z26:Z26">IF(OR(ISBLANK($M26),ISBLANK(Z$5),$B$22="N/A"),,ROUNDDOWN(0.5*$I$194*(($C$14+Z$5)/(ROUND(INDEX('0.0.1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6" s="231" t="e">
        <f aca="false" t="array" ref="AA26:AA26">IF(OR(ISBLANK($M26),ISBLANK(AA$5),$B$22="N/A"),,ROUNDDOWN(0.5*$I$194*(($C$14+AA$5)/(ROUND(INDEX('0.0.1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6" s="231" t="e">
        <f aca="false" t="array" ref="AB26:AB26">IF(OR(ISBLANK($M26),ISBLANK(AB$5),$B$22="N/A"),,ROUNDDOWN(0.5*$I$194*(($C$14+AB$5)/(ROUND(INDEX('0.0.1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6" s="231" t="e">
        <f aca="false" t="array" ref="AC26:AC26">IF(OR(ISBLANK($M26),ISBLANK(AC$5),$B$22="N/A"),,ROUNDDOWN(0.5*$I$194*(($C$14+AC$5)/(ROUND(INDEX('0.0.1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6" s="224"/>
      <c r="AE26" s="234"/>
    </row>
    <row r="27" customFormat="false" ht="15.75" hidden="false" customHeight="false" outlineLevel="0" collapsed="false">
      <c r="A27" s="206"/>
      <c r="B27" s="247"/>
      <c r="C27" s="248"/>
      <c r="D27" s="220"/>
      <c r="E27" s="232"/>
      <c r="F27" s="217"/>
      <c r="G27" s="217"/>
      <c r="H27" s="217"/>
      <c r="I27" s="217"/>
      <c r="J27" s="223"/>
      <c r="K27" s="224"/>
      <c r="L27" s="224"/>
      <c r="M27" s="230" t="n">
        <f aca="false">IFERROR(__xludf.dummyfunction("""COMPUTED_VALUE"""),30.5)</f>
        <v>30.5</v>
      </c>
      <c r="N27" s="231" t="e">
        <f aca="false" t="array" ref="N27:N27">IF(OR(ISBLANK($M27),ISBLANK(N$5),$B$22="N/A"),,ROUNDDOWN(0.5*$I$194*(($C$14+N$5)/(ROUND(INDEX('0.0.1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7" s="231" t="e">
        <f aca="false" t="array" ref="O27:O27">IF(OR(ISBLANK($M27),ISBLANK(O$5),$B$22="N/A"),,ROUNDDOWN(0.5*$I$194*(($C$14+O$5)/(ROUND(INDEX('0.0.1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7" s="231" t="e">
        <f aca="false" t="array" ref="P27:P27">IF(OR(ISBLANK($M27),ISBLANK(P$5),$B$22="N/A"),,ROUNDDOWN(0.5*$I$194*(($C$14+P$5)/(ROUND(INDEX('0.0.1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7" s="231" t="e">
        <f aca="false" t="array" ref="Q27:Q27">IF(OR(ISBLANK($M27),ISBLANK(Q$5),$B$22="N/A"),,ROUNDDOWN(0.5*$I$194*(($C$14+Q$5)/(ROUND(INDEX('0.0.1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7" s="231" t="e">
        <f aca="false" t="array" ref="R27:R27">IF(OR(ISBLANK($M27),ISBLANK(R$5),$B$22="N/A"),,ROUNDDOWN(0.5*$I$194*(($C$14+R$5)/(ROUND(INDEX('0.0.1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7" s="231" t="e">
        <f aca="false" t="array" ref="S27:S27">IF(OR(ISBLANK($M27),ISBLANK(S$5),$B$22="N/A"),,ROUNDDOWN(0.5*$I$194*(($C$14+S$5)/(ROUND(INDEX('0.0.1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7" s="231" t="e">
        <f aca="false" t="array" ref="T27:T27">IF(OR(ISBLANK($M27),ISBLANK(T$5),$B$22="N/A"),,ROUNDDOWN(0.5*$I$194*(($C$14+T$5)/(ROUND(INDEX('0.0.1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7" s="231" t="e">
        <f aca="false" t="array" ref="U27:U27">IF(OR(ISBLANK($M27),ISBLANK(U$5),$B$22="N/A"),,ROUNDDOWN(0.5*$I$194*(($C$14+U$5)/(ROUND(INDEX('0.0.1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7" s="231" t="e">
        <f aca="false" t="array" ref="V27:V27">IF(OR(ISBLANK($M27),ISBLANK(V$5),$B$22="N/A"),,ROUNDDOWN(0.5*$I$194*(($C$14+V$5)/(ROUND(INDEX('0.0.1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7" s="231" t="e">
        <f aca="false" t="array" ref="W27:W27">IF(OR(ISBLANK($M27),ISBLANK(W$5),$B$22="N/A"),,ROUNDDOWN(0.5*$I$194*(($C$14+W$5)/(ROUND(INDEX('0.0.1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7" s="231" t="e">
        <f aca="false" t="array" ref="X27:X27">IF(OR(ISBLANK($M27),ISBLANK(X$5),$B$22="N/A"),,ROUNDDOWN(0.5*$I$194*(($C$14+X$5)/(ROUND(INDEX('0.0.1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7" s="231" t="e">
        <f aca="false" t="array" ref="Y27:Y27">IF(OR(ISBLANK($M27),ISBLANK(Y$5),$B$22="N/A"),,ROUNDDOWN(0.5*$I$194*(($C$14+Y$5)/(ROUND(INDEX('0.0.1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7" s="231" t="e">
        <f aca="false" t="array" ref="Z27:Z27">IF(OR(ISBLANK($M27),ISBLANK(Z$5),$B$22="N/A"),,ROUNDDOWN(0.5*$I$194*(($C$14+Z$5)/(ROUND(INDEX('0.0.1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7" s="231" t="e">
        <f aca="false" t="array" ref="AA27:AA27">IF(OR(ISBLANK($M27),ISBLANK(AA$5),$B$22="N/A"),,ROUNDDOWN(0.5*$I$194*(($C$14+AA$5)/(ROUND(INDEX('0.0.1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7" s="231" t="e">
        <f aca="false" t="array" ref="AB27:AB27">IF(OR(ISBLANK($M27),ISBLANK(AB$5),$B$22="N/A"),,ROUNDDOWN(0.5*$I$194*(($C$14+AB$5)/(ROUND(INDEX('0.0.1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7" s="231" t="e">
        <f aca="false" t="array" ref="AC27:AC27">IF(OR(ISBLANK($M27),ISBLANK(AC$5),$B$22="N/A"),,ROUNDDOWN(0.5*$I$194*(($C$14+AC$5)/(ROUND(INDEX('0.0.1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7" s="224"/>
      <c r="AE27" s="234"/>
    </row>
    <row r="28" customFormat="false" ht="15.75" hidden="false" customHeight="false" outlineLevel="0" collapsed="false">
      <c r="A28" s="206"/>
      <c r="B28" s="249" t="n">
        <f aca="false">IF(D195=0,"! Illegal move for "&amp;C5&amp;" !",)</f>
        <v>0</v>
      </c>
      <c r="C28" s="249"/>
      <c r="D28" s="220"/>
      <c r="E28" s="232"/>
      <c r="F28" s="217"/>
      <c r="G28" s="217"/>
      <c r="H28" s="217"/>
      <c r="I28" s="217"/>
      <c r="J28" s="223"/>
      <c r="K28" s="224"/>
      <c r="L28" s="224"/>
      <c r="M28" s="230" t="n">
        <f aca="false">IFERROR(__xludf.dummyfunction("""COMPUTED_VALUE"""),31)</f>
        <v>31</v>
      </c>
      <c r="N28" s="231" t="e">
        <f aca="false" t="array" ref="N28:N28">IF(OR(ISBLANK($M28),ISBLANK(N$5),$B$22="N/A"),,ROUNDDOWN(0.5*$I$194*(($C$14+N$5)/(ROUND(INDEX('0.0.1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8" s="231" t="e">
        <f aca="false" t="array" ref="O28:O28">IF(OR(ISBLANK($M28),ISBLANK(O$5),$B$22="N/A"),,ROUNDDOWN(0.5*$I$194*(($C$14+O$5)/(ROUND(INDEX('0.0.1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8" s="231" t="e">
        <f aca="false" t="array" ref="P28:P28">IF(OR(ISBLANK($M28),ISBLANK(P$5),$B$22="N/A"),,ROUNDDOWN(0.5*$I$194*(($C$14+P$5)/(ROUND(INDEX('0.0.1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8" s="231" t="e">
        <f aca="false" t="array" ref="Q28:Q28">IF(OR(ISBLANK($M28),ISBLANK(Q$5),$B$22="N/A"),,ROUNDDOWN(0.5*$I$194*(($C$14+Q$5)/(ROUND(INDEX('0.0.1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8" s="231" t="e">
        <f aca="false" t="array" ref="R28:R28">IF(OR(ISBLANK($M28),ISBLANK(R$5),$B$22="N/A"),,ROUNDDOWN(0.5*$I$194*(($C$14+R$5)/(ROUND(INDEX('0.0.1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8" s="231" t="e">
        <f aca="false" t="array" ref="S28:S28">IF(OR(ISBLANK($M28),ISBLANK(S$5),$B$22="N/A"),,ROUNDDOWN(0.5*$I$194*(($C$14+S$5)/(ROUND(INDEX('0.0.1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8" s="231" t="e">
        <f aca="false" t="array" ref="T28:T28">IF(OR(ISBLANK($M28),ISBLANK(T$5),$B$22="N/A"),,ROUNDDOWN(0.5*$I$194*(($C$14+T$5)/(ROUND(INDEX('0.0.1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8" s="231" t="e">
        <f aca="false" t="array" ref="U28:U28">IF(OR(ISBLANK($M28),ISBLANK(U$5),$B$22="N/A"),,ROUNDDOWN(0.5*$I$194*(($C$14+U$5)/(ROUND(INDEX('0.0.1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8" s="231" t="e">
        <f aca="false" t="array" ref="V28:V28">IF(OR(ISBLANK($M28),ISBLANK(V$5),$B$22="N/A"),,ROUNDDOWN(0.5*$I$194*(($C$14+V$5)/(ROUND(INDEX('0.0.1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8" s="231" t="e">
        <f aca="false" t="array" ref="W28:W28">IF(OR(ISBLANK($M28),ISBLANK(W$5),$B$22="N/A"),,ROUNDDOWN(0.5*$I$194*(($C$14+W$5)/(ROUND(INDEX('0.0.1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8" s="231" t="e">
        <f aca="false" t="array" ref="X28:X28">IF(OR(ISBLANK($M28),ISBLANK(X$5),$B$22="N/A"),,ROUNDDOWN(0.5*$I$194*(($C$14+X$5)/(ROUND(INDEX('0.0.1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8" s="231" t="e">
        <f aca="false" t="array" ref="Y28:Y28">IF(OR(ISBLANK($M28),ISBLANK(Y$5),$B$22="N/A"),,ROUNDDOWN(0.5*$I$194*(($C$14+Y$5)/(ROUND(INDEX('0.0.1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8" s="231" t="e">
        <f aca="false" t="array" ref="Z28:Z28">IF(OR(ISBLANK($M28),ISBLANK(Z$5),$B$22="N/A"),,ROUNDDOWN(0.5*$I$194*(($C$14+Z$5)/(ROUND(INDEX('0.0.1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8" s="231" t="e">
        <f aca="false" t="array" ref="AA28:AA28">IF(OR(ISBLANK($M28),ISBLANK(AA$5),$B$22="N/A"),,ROUNDDOWN(0.5*$I$194*(($C$14+AA$5)/(ROUND(INDEX('0.0.1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8" s="231" t="e">
        <f aca="false" t="array" ref="AB28:AB28">IF(OR(ISBLANK($M28),ISBLANK(AB$5),$B$22="N/A"),,ROUNDDOWN(0.5*$I$194*(($C$14+AB$5)/(ROUND(INDEX('0.0.1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8" s="231" t="e">
        <f aca="false" t="array" ref="AC28:AC28">IF(OR(ISBLANK($M28),ISBLANK(AC$5),$B$22="N/A"),,ROUNDDOWN(0.5*$I$194*(($C$14+AC$5)/(ROUND(INDEX('0.0.1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8" s="224"/>
      <c r="AE28" s="234"/>
    </row>
    <row r="29" customFormat="false" ht="15.75" hidden="false" customHeight="false" outlineLevel="0" collapsed="false">
      <c r="A29" s="206"/>
      <c r="B29" s="249"/>
      <c r="C29" s="249"/>
      <c r="D29" s="220"/>
      <c r="E29" s="232"/>
      <c r="F29" s="217"/>
      <c r="G29" s="217"/>
      <c r="H29" s="217"/>
      <c r="I29" s="217"/>
      <c r="J29" s="223"/>
      <c r="K29" s="224"/>
      <c r="L29" s="224"/>
      <c r="M29" s="230" t="n">
        <f aca="false">IFERROR(__xludf.dummyfunction("""COMPUTED_VALUE"""),31.5)</f>
        <v>31.5</v>
      </c>
      <c r="N29" s="231" t="e">
        <f aca="false" t="array" ref="N29:N29">IF(OR(ISBLANK($M29),ISBLANK(N$5),$B$22="N/A"),,ROUNDDOWN(0.5*$I$194*(($C$14+N$5)/(ROUND(INDEX('0.0.1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29" s="231" t="e">
        <f aca="false" t="array" ref="O29:O29">IF(OR(ISBLANK($M29),ISBLANK(O$5),$B$22="N/A"),,ROUNDDOWN(0.5*$I$194*(($C$14+O$5)/(ROUND(INDEX('0.0.1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29" s="231" t="e">
        <f aca="false" t="array" ref="P29:P29">IF(OR(ISBLANK($M29),ISBLANK(P$5),$B$22="N/A"),,ROUNDDOWN(0.5*$I$194*(($C$14+P$5)/(ROUND(INDEX('0.0.1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29" s="231" t="e">
        <f aca="false" t="array" ref="Q29:Q29">IF(OR(ISBLANK($M29),ISBLANK(Q$5),$B$22="N/A"),,ROUNDDOWN(0.5*$I$194*(($C$14+Q$5)/(ROUND(INDEX('0.0.1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29" s="231" t="e">
        <f aca="false" t="array" ref="R29:R29">IF(OR(ISBLANK($M29),ISBLANK(R$5),$B$22="N/A"),,ROUNDDOWN(0.5*$I$194*(($C$14+R$5)/(ROUND(INDEX('0.0.1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29" s="231" t="e">
        <f aca="false" t="array" ref="S29:S29">IF(OR(ISBLANK($M29),ISBLANK(S$5),$B$22="N/A"),,ROUNDDOWN(0.5*$I$194*(($C$14+S$5)/(ROUND(INDEX('0.0.1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29" s="231" t="e">
        <f aca="false" t="array" ref="T29:T29">IF(OR(ISBLANK($M29),ISBLANK(T$5),$B$22="N/A"),,ROUNDDOWN(0.5*$I$194*(($C$14+T$5)/(ROUND(INDEX('0.0.1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29" s="231" t="e">
        <f aca="false" t="array" ref="U29:U29">IF(OR(ISBLANK($M29),ISBLANK(U$5),$B$22="N/A"),,ROUNDDOWN(0.5*$I$194*(($C$14+U$5)/(ROUND(INDEX('0.0.1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29" s="231" t="e">
        <f aca="false" t="array" ref="V29:V29">IF(OR(ISBLANK($M29),ISBLANK(V$5),$B$22="N/A"),,ROUNDDOWN(0.5*$I$194*(($C$14+V$5)/(ROUND(INDEX('0.0.1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29" s="231" t="e">
        <f aca="false" t="array" ref="W29:W29">IF(OR(ISBLANK($M29),ISBLANK(W$5),$B$22="N/A"),,ROUNDDOWN(0.5*$I$194*(($C$14+W$5)/(ROUND(INDEX('0.0.1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29" s="231" t="e">
        <f aca="false" t="array" ref="X29:X29">IF(OR(ISBLANK($M29),ISBLANK(X$5),$B$22="N/A"),,ROUNDDOWN(0.5*$I$194*(($C$14+X$5)/(ROUND(INDEX('0.0.1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29" s="231" t="e">
        <f aca="false" t="array" ref="Y29:Y29">IF(OR(ISBLANK($M29),ISBLANK(Y$5),$B$22="N/A"),,ROUNDDOWN(0.5*$I$194*(($C$14+Y$5)/(ROUND(INDEX('0.0.1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29" s="231" t="e">
        <f aca="false" t="array" ref="Z29:Z29">IF(OR(ISBLANK($M29),ISBLANK(Z$5),$B$22="N/A"),,ROUNDDOWN(0.5*$I$194*(($C$14+Z$5)/(ROUND(INDEX('0.0.1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29" s="231" t="e">
        <f aca="false" t="array" ref="AA29:AA29">IF(OR(ISBLANK($M29),ISBLANK(AA$5),$B$22="N/A"),,ROUNDDOWN(0.5*$I$194*(($C$14+AA$5)/(ROUND(INDEX('0.0.1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29" s="231" t="e">
        <f aca="false" t="array" ref="AB29:AB29">IF(OR(ISBLANK($M29),ISBLANK(AB$5),$B$22="N/A"),,ROUNDDOWN(0.5*$I$194*(($C$14+AB$5)/(ROUND(INDEX('0.0.1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29" s="231" t="e">
        <f aca="false" t="array" ref="AC29:AC29">IF(OR(ISBLANK($M29),ISBLANK(AC$5),$B$22="N/A"),,ROUNDDOWN(0.5*$I$194*(($C$14+AC$5)/(ROUND(INDEX('0.0.1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Values'!$B$2:$B$80,MATCH($M29,'0.3.0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29" s="224"/>
      <c r="AE29" s="234"/>
    </row>
    <row r="30" customFormat="false" ht="15.75" hidden="false" customHeight="false" outlineLevel="0" collapsed="false">
      <c r="A30" s="206"/>
      <c r="B30" s="250" t="s">
        <v>139</v>
      </c>
      <c r="C30" s="251" t="s">
        <v>140</v>
      </c>
      <c r="D30" s="220"/>
      <c r="E30" s="232"/>
      <c r="F30" s="217"/>
      <c r="G30" s="217"/>
      <c r="H30" s="217"/>
      <c r="I30" s="217"/>
      <c r="J30" s="223"/>
      <c r="K30" s="224"/>
      <c r="L30" s="224"/>
      <c r="M30" s="230" t="n">
        <f aca="false">IFERROR(__xludf.dummyfunction("""COMPUTED_VALUE"""),32)</f>
        <v>32</v>
      </c>
      <c r="N30" s="231" t="e">
        <f aca="false" t="array" ref="N30:N30">IF(OR(ISBLANK($M30),ISBLANK(N$5),$B$22="N/A"),,ROUNDDOWN(0.5*$I$194*(($C$14+N$5)/(ROUND(INDEX('0.0.1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0" s="231" t="e">
        <f aca="false" t="array" ref="O30:O30">IF(OR(ISBLANK($M30),ISBLANK(O$5),$B$22="N/A"),,ROUNDDOWN(0.5*$I$194*(($C$14+O$5)/(ROUND(INDEX('0.0.1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0" s="231" t="e">
        <f aca="false" t="array" ref="P30:P30">IF(OR(ISBLANK($M30),ISBLANK(P$5),$B$22="N/A"),,ROUNDDOWN(0.5*$I$194*(($C$14+P$5)/(ROUND(INDEX('0.0.1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0" s="231" t="e">
        <f aca="false" t="array" ref="Q30:Q30">IF(OR(ISBLANK($M30),ISBLANK(Q$5),$B$22="N/A"),,ROUNDDOWN(0.5*$I$194*(($C$14+Q$5)/(ROUND(INDEX('0.0.1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0" s="231" t="e">
        <f aca="false" t="array" ref="R30:R30">IF(OR(ISBLANK($M30),ISBLANK(R$5),$B$22="N/A"),,ROUNDDOWN(0.5*$I$194*(($C$14+R$5)/(ROUND(INDEX('0.0.1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0" s="231" t="e">
        <f aca="false" t="array" ref="S30:S30">IF(OR(ISBLANK($M30),ISBLANK(S$5),$B$22="N/A"),,ROUNDDOWN(0.5*$I$194*(($C$14+S$5)/(ROUND(INDEX('0.0.1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0" s="231" t="e">
        <f aca="false" t="array" ref="T30:T30">IF(OR(ISBLANK($M30),ISBLANK(T$5),$B$22="N/A"),,ROUNDDOWN(0.5*$I$194*(($C$14+T$5)/(ROUND(INDEX('0.0.1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0" s="231" t="e">
        <f aca="false" t="array" ref="U30:U30">IF(OR(ISBLANK($M30),ISBLANK(U$5),$B$22="N/A"),,ROUNDDOWN(0.5*$I$194*(($C$14+U$5)/(ROUND(INDEX('0.0.1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0" s="231" t="e">
        <f aca="false" t="array" ref="V30:V30">IF(OR(ISBLANK($M30),ISBLANK(V$5),$B$22="N/A"),,ROUNDDOWN(0.5*$I$194*(($C$14+V$5)/(ROUND(INDEX('0.0.1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0" s="231" t="e">
        <f aca="false" t="array" ref="W30:W30">IF(OR(ISBLANK($M30),ISBLANK(W$5),$B$22="N/A"),,ROUNDDOWN(0.5*$I$194*(($C$14+W$5)/(ROUND(INDEX('0.0.1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0" s="231" t="e">
        <f aca="false" t="array" ref="X30:X30">IF(OR(ISBLANK($M30),ISBLANK(X$5),$B$22="N/A"),,ROUNDDOWN(0.5*$I$194*(($C$14+X$5)/(ROUND(INDEX('0.0.1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0" s="231" t="e">
        <f aca="false" t="array" ref="Y30:Y30">IF(OR(ISBLANK($M30),ISBLANK(Y$5),$B$22="N/A"),,ROUNDDOWN(0.5*$I$194*(($C$14+Y$5)/(ROUND(INDEX('0.0.1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0" s="231" t="e">
        <f aca="false" t="array" ref="Z30:Z30">IF(OR(ISBLANK($M30),ISBLANK(Z$5),$B$22="N/A"),,ROUNDDOWN(0.5*$I$194*(($C$14+Z$5)/(ROUND(INDEX('0.0.1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0" s="231" t="e">
        <f aca="false" t="array" ref="AA30:AA30">IF(OR(ISBLANK($M30),ISBLANK(AA$5),$B$22="N/A"),,ROUNDDOWN(0.5*$I$194*(($C$14+AA$5)/(ROUND(INDEX('0.0.1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0" s="231" t="e">
        <f aca="false" t="array" ref="AB30:AB30">IF(OR(ISBLANK($M30),ISBLANK(AB$5),$B$22="N/A"),,ROUNDDOWN(0.5*$I$194*(($C$14+AB$5)/(ROUND(INDEX('0.0.1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0" s="231" t="e">
        <f aca="false" t="array" ref="AC30:AC30">IF(OR(ISBLANK($M30),ISBLANK(AC$5),$B$22="N/A"),,ROUNDDOWN(0.5*$I$194*(($C$14+AC$5)/(ROUND(INDEX('0.0.1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0" s="224"/>
      <c r="AE30" s="234"/>
    </row>
    <row r="31" customFormat="false" ht="15.75" hidden="false" customHeight="false" outlineLevel="0" collapsed="false">
      <c r="A31" s="206"/>
      <c r="B31" s="252" t="str">
        <f aca="false">IF(N195&gt;1,I194&amp;" + "&amp;ROUND((N195-1)*I194,0),I194)</f>
        <v>12 + 2</v>
      </c>
      <c r="C31" s="253" t="str">
        <f aca="false" t="array" ref="C31:C31">IF(B22="N/A",,INDEX('0.1.2 Attack Dex (GO)'!H2:H201,MATCH(B22,'0.1.2 Attack Dex (GO)'!A2:A201,0))/1000&amp;"s")</f>
        <v>0.9s</v>
      </c>
      <c r="D31" s="217"/>
      <c r="E31" s="232"/>
      <c r="F31" s="217"/>
      <c r="G31" s="217"/>
      <c r="H31" s="217"/>
      <c r="I31" s="217"/>
      <c r="J31" s="223"/>
      <c r="K31" s="224"/>
      <c r="L31" s="224"/>
      <c r="M31" s="230" t="n">
        <f aca="false">IFERROR(__xludf.dummyfunction("""COMPUTED_VALUE"""),32.5)</f>
        <v>32.5</v>
      </c>
      <c r="N31" s="231" t="e">
        <f aca="false" t="array" ref="N31:N31">IF(OR(ISBLANK($M31),ISBLANK(N$5),$B$22="N/A"),,ROUNDDOWN(0.5*$I$194*(($C$14+N$5)/(ROUND(INDEX('0.0.1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1" s="231" t="e">
        <f aca="false" t="array" ref="O31:O31">IF(OR(ISBLANK($M31),ISBLANK(O$5),$B$22="N/A"),,ROUNDDOWN(0.5*$I$194*(($C$14+O$5)/(ROUND(INDEX('0.0.1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1" s="231" t="e">
        <f aca="false" t="array" ref="P31:P31">IF(OR(ISBLANK($M31),ISBLANK(P$5),$B$22="N/A"),,ROUNDDOWN(0.5*$I$194*(($C$14+P$5)/(ROUND(INDEX('0.0.1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1" s="231" t="e">
        <f aca="false" t="array" ref="Q31:Q31">IF(OR(ISBLANK($M31),ISBLANK(Q$5),$B$22="N/A"),,ROUNDDOWN(0.5*$I$194*(($C$14+Q$5)/(ROUND(INDEX('0.0.1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1" s="231" t="e">
        <f aca="false" t="array" ref="R31:R31">IF(OR(ISBLANK($M31),ISBLANK(R$5),$B$22="N/A"),,ROUNDDOWN(0.5*$I$194*(($C$14+R$5)/(ROUND(INDEX('0.0.1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1" s="231" t="e">
        <f aca="false" t="array" ref="S31:S31">IF(OR(ISBLANK($M31),ISBLANK(S$5),$B$22="N/A"),,ROUNDDOWN(0.5*$I$194*(($C$14+S$5)/(ROUND(INDEX('0.0.1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1" s="231" t="e">
        <f aca="false" t="array" ref="T31:T31">IF(OR(ISBLANK($M31),ISBLANK(T$5),$B$22="N/A"),,ROUNDDOWN(0.5*$I$194*(($C$14+T$5)/(ROUND(INDEX('0.0.1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1" s="231" t="e">
        <f aca="false" t="array" ref="U31:U31">IF(OR(ISBLANK($M31),ISBLANK(U$5),$B$22="N/A"),,ROUNDDOWN(0.5*$I$194*(($C$14+U$5)/(ROUND(INDEX('0.0.1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1" s="231" t="e">
        <f aca="false" t="array" ref="V31:V31">IF(OR(ISBLANK($M31),ISBLANK(V$5),$B$22="N/A"),,ROUNDDOWN(0.5*$I$194*(($C$14+V$5)/(ROUND(INDEX('0.0.1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1" s="231" t="e">
        <f aca="false" t="array" ref="W31:W31">IF(OR(ISBLANK($M31),ISBLANK(W$5),$B$22="N/A"),,ROUNDDOWN(0.5*$I$194*(($C$14+W$5)/(ROUND(INDEX('0.0.1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1" s="231" t="e">
        <f aca="false" t="array" ref="X31:X31">IF(OR(ISBLANK($M31),ISBLANK(X$5),$B$22="N/A"),,ROUNDDOWN(0.5*$I$194*(($C$14+X$5)/(ROUND(INDEX('0.0.1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1" s="231" t="e">
        <f aca="false" t="array" ref="Y31:Y31">IF(OR(ISBLANK($M31),ISBLANK(Y$5),$B$22="N/A"),,ROUNDDOWN(0.5*$I$194*(($C$14+Y$5)/(ROUND(INDEX('0.0.1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1" s="231" t="e">
        <f aca="false" t="array" ref="Z31:Z31">IF(OR(ISBLANK($M31),ISBLANK(Z$5),$B$22="N/A"),,ROUNDDOWN(0.5*$I$194*(($C$14+Z$5)/(ROUND(INDEX('0.0.1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1" s="231" t="e">
        <f aca="false" t="array" ref="AA31:AA31">IF(OR(ISBLANK($M31),ISBLANK(AA$5),$B$22="N/A"),,ROUNDDOWN(0.5*$I$194*(($C$14+AA$5)/(ROUND(INDEX('0.0.1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1" s="231" t="e">
        <f aca="false" t="array" ref="AB31:AB31">IF(OR(ISBLANK($M31),ISBLANK(AB$5),$B$22="N/A"),,ROUNDDOWN(0.5*$I$194*(($C$14+AB$5)/(ROUND(INDEX('0.0.1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1" s="231" t="e">
        <f aca="false" t="array" ref="AC31:AC31">IF(OR(ISBLANK($M31),ISBLANK(AC$5),$B$22="N/A"),,ROUNDDOWN(0.5*$I$194*(($C$14+AC$5)/(ROUND(INDEX('0.0.1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1" s="224"/>
      <c r="AE31" s="234"/>
    </row>
    <row r="32" customFormat="false" ht="15.75" hidden="false" customHeight="false" outlineLevel="0" collapsed="false">
      <c r="A32" s="206"/>
      <c r="B32" s="206"/>
      <c r="C32" s="217"/>
      <c r="D32" s="217"/>
      <c r="E32" s="232"/>
      <c r="F32" s="217"/>
      <c r="G32" s="217"/>
      <c r="H32" s="217"/>
      <c r="I32" s="217"/>
      <c r="J32" s="223"/>
      <c r="K32" s="224"/>
      <c r="L32" s="224"/>
      <c r="M32" s="230" t="n">
        <f aca="false">IFERROR(__xludf.dummyfunction("""COMPUTED_VALUE"""),33)</f>
        <v>33</v>
      </c>
      <c r="N32" s="231" t="e">
        <f aca="false" t="array" ref="N32:N32">IF(OR(ISBLANK($M32),ISBLANK(N$5),$B$22="N/A"),,ROUNDDOWN(0.5*$I$194*(($C$14+N$5)/(ROUND(INDEX('0.0.1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2" s="231" t="e">
        <f aca="false" t="array" ref="O32:O32">IF(OR(ISBLANK($M32),ISBLANK(O$5),$B$22="N/A"),,ROUNDDOWN(0.5*$I$194*(($C$14+O$5)/(ROUND(INDEX('0.0.1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2" s="231" t="e">
        <f aca="false" t="array" ref="P32:P32">IF(OR(ISBLANK($M32),ISBLANK(P$5),$B$22="N/A"),,ROUNDDOWN(0.5*$I$194*(($C$14+P$5)/(ROUND(INDEX('0.0.1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2" s="231" t="e">
        <f aca="false" t="array" ref="Q32:Q32">IF(OR(ISBLANK($M32),ISBLANK(Q$5),$B$22="N/A"),,ROUNDDOWN(0.5*$I$194*(($C$14+Q$5)/(ROUND(INDEX('0.0.1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2" s="231" t="e">
        <f aca="false" t="array" ref="R32:R32">IF(OR(ISBLANK($M32),ISBLANK(R$5),$B$22="N/A"),,ROUNDDOWN(0.5*$I$194*(($C$14+R$5)/(ROUND(INDEX('0.0.1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2" s="231" t="e">
        <f aca="false" t="array" ref="S32:S32">IF(OR(ISBLANK($M32),ISBLANK(S$5),$B$22="N/A"),,ROUNDDOWN(0.5*$I$194*(($C$14+S$5)/(ROUND(INDEX('0.0.1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2" s="231" t="e">
        <f aca="false" t="array" ref="T32:T32">IF(OR(ISBLANK($M32),ISBLANK(T$5),$B$22="N/A"),,ROUNDDOWN(0.5*$I$194*(($C$14+T$5)/(ROUND(INDEX('0.0.1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2" s="231" t="e">
        <f aca="false" t="array" ref="U32:U32">IF(OR(ISBLANK($M32),ISBLANK(U$5),$B$22="N/A"),,ROUNDDOWN(0.5*$I$194*(($C$14+U$5)/(ROUND(INDEX('0.0.1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2" s="231" t="e">
        <f aca="false" t="array" ref="V32:V32">IF(OR(ISBLANK($M32),ISBLANK(V$5),$B$22="N/A"),,ROUNDDOWN(0.5*$I$194*(($C$14+V$5)/(ROUND(INDEX('0.0.1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2" s="231" t="e">
        <f aca="false" t="array" ref="W32:W32">IF(OR(ISBLANK($M32),ISBLANK(W$5),$B$22="N/A"),,ROUNDDOWN(0.5*$I$194*(($C$14+W$5)/(ROUND(INDEX('0.0.1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2" s="231" t="e">
        <f aca="false" t="array" ref="X32:X32">IF(OR(ISBLANK($M32),ISBLANK(X$5),$B$22="N/A"),,ROUNDDOWN(0.5*$I$194*(($C$14+X$5)/(ROUND(INDEX('0.0.1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2" s="231" t="e">
        <f aca="false" t="array" ref="Y32:Y32">IF(OR(ISBLANK($M32),ISBLANK(Y$5),$B$22="N/A"),,ROUNDDOWN(0.5*$I$194*(($C$14+Y$5)/(ROUND(INDEX('0.0.1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2" s="231" t="e">
        <f aca="false" t="array" ref="Z32:Z32">IF(OR(ISBLANK($M32),ISBLANK(Z$5),$B$22="N/A"),,ROUNDDOWN(0.5*$I$194*(($C$14+Z$5)/(ROUND(INDEX('0.0.1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2" s="231" t="e">
        <f aca="false" t="array" ref="AA32:AA32">IF(OR(ISBLANK($M32),ISBLANK(AA$5),$B$22="N/A"),,ROUNDDOWN(0.5*$I$194*(($C$14+AA$5)/(ROUND(INDEX('0.0.1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2" s="231" t="e">
        <f aca="false" t="array" ref="AB32:AB32">IF(OR(ISBLANK($M32),ISBLANK(AB$5),$B$22="N/A"),,ROUNDDOWN(0.5*$I$194*(($C$14+AB$5)/(ROUND(INDEX('0.0.1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2" s="231" t="e">
        <f aca="false" t="array" ref="AC32:AC32">IF(OR(ISBLANK($M32),ISBLANK(AC$5),$B$22="N/A"),,ROUNDDOWN(0.5*$I$194*(($C$14+AC$5)/(ROUND(INDEX('0.0.1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2" s="224"/>
      <c r="AE32" s="234"/>
    </row>
    <row r="33" customFormat="false" ht="15.75" hidden="false" customHeight="false" outlineLevel="0" collapsed="false">
      <c r="A33" s="206"/>
      <c r="B33" s="206"/>
      <c r="C33" s="217"/>
      <c r="D33" s="217"/>
      <c r="E33" s="232"/>
      <c r="F33" s="217"/>
      <c r="G33" s="217"/>
      <c r="H33" s="217"/>
      <c r="I33" s="217"/>
      <c r="J33" s="223"/>
      <c r="K33" s="224"/>
      <c r="L33" s="224"/>
      <c r="M33" s="230" t="n">
        <f aca="false">IFERROR(__xludf.dummyfunction("""COMPUTED_VALUE"""),33.5)</f>
        <v>33.5</v>
      </c>
      <c r="N33" s="231" t="e">
        <f aca="false" t="array" ref="N33:N33">IF(OR(ISBLANK($M33),ISBLANK(N$5),$B$22="N/A"),,ROUNDDOWN(0.5*$I$194*(($C$14+N$5)/(ROUND(INDEX('0.0.1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3" s="231" t="e">
        <f aca="false" t="array" ref="O33:O33">IF(OR(ISBLANK($M33),ISBLANK(O$5),$B$22="N/A"),,ROUNDDOWN(0.5*$I$194*(($C$14+O$5)/(ROUND(INDEX('0.0.1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3" s="231" t="e">
        <f aca="false" t="array" ref="P33:P33">IF(OR(ISBLANK($M33),ISBLANK(P$5),$B$22="N/A"),,ROUNDDOWN(0.5*$I$194*(($C$14+P$5)/(ROUND(INDEX('0.0.1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3" s="231" t="e">
        <f aca="false" t="array" ref="Q33:Q33">IF(OR(ISBLANK($M33),ISBLANK(Q$5),$B$22="N/A"),,ROUNDDOWN(0.5*$I$194*(($C$14+Q$5)/(ROUND(INDEX('0.0.1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3" s="231" t="e">
        <f aca="false" t="array" ref="R33:R33">IF(OR(ISBLANK($M33),ISBLANK(R$5),$B$22="N/A"),,ROUNDDOWN(0.5*$I$194*(($C$14+R$5)/(ROUND(INDEX('0.0.1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3" s="231" t="e">
        <f aca="false" t="array" ref="S33:S33">IF(OR(ISBLANK($M33),ISBLANK(S$5),$B$22="N/A"),,ROUNDDOWN(0.5*$I$194*(($C$14+S$5)/(ROUND(INDEX('0.0.1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3" s="231" t="e">
        <f aca="false" t="array" ref="T33:T33">IF(OR(ISBLANK($M33),ISBLANK(T$5),$B$22="N/A"),,ROUNDDOWN(0.5*$I$194*(($C$14+T$5)/(ROUND(INDEX('0.0.1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3" s="231" t="e">
        <f aca="false" t="array" ref="U33:U33">IF(OR(ISBLANK($M33),ISBLANK(U$5),$B$22="N/A"),,ROUNDDOWN(0.5*$I$194*(($C$14+U$5)/(ROUND(INDEX('0.0.1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3" s="231" t="e">
        <f aca="false" t="array" ref="V33:V33">IF(OR(ISBLANK($M33),ISBLANK(V$5),$B$22="N/A"),,ROUNDDOWN(0.5*$I$194*(($C$14+V$5)/(ROUND(INDEX('0.0.1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3" s="231" t="e">
        <f aca="false" t="array" ref="W33:W33">IF(OR(ISBLANK($M33),ISBLANK(W$5),$B$22="N/A"),,ROUNDDOWN(0.5*$I$194*(($C$14+W$5)/(ROUND(INDEX('0.0.1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3" s="231" t="e">
        <f aca="false" t="array" ref="X33:X33">IF(OR(ISBLANK($M33),ISBLANK(X$5),$B$22="N/A"),,ROUNDDOWN(0.5*$I$194*(($C$14+X$5)/(ROUND(INDEX('0.0.1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3" s="231" t="e">
        <f aca="false" t="array" ref="Y33:Y33">IF(OR(ISBLANK($M33),ISBLANK(Y$5),$B$22="N/A"),,ROUNDDOWN(0.5*$I$194*(($C$14+Y$5)/(ROUND(INDEX('0.0.1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3" s="231" t="e">
        <f aca="false" t="array" ref="Z33:Z33">IF(OR(ISBLANK($M33),ISBLANK(Z$5),$B$22="N/A"),,ROUNDDOWN(0.5*$I$194*(($C$14+Z$5)/(ROUND(INDEX('0.0.1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3" s="231" t="e">
        <f aca="false" t="array" ref="AA33:AA33">IF(OR(ISBLANK($M33),ISBLANK(AA$5),$B$22="N/A"),,ROUNDDOWN(0.5*$I$194*(($C$14+AA$5)/(ROUND(INDEX('0.0.1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3" s="231" t="e">
        <f aca="false" t="array" ref="AB33:AB33">IF(OR(ISBLANK($M33),ISBLANK(AB$5),$B$22="N/A"),,ROUNDDOWN(0.5*$I$194*(($C$14+AB$5)/(ROUND(INDEX('0.0.1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3" s="231" t="e">
        <f aca="false" t="array" ref="AC33:AC33">IF(OR(ISBLANK($M33),ISBLANK(AC$5),$B$22="N/A"),,ROUNDDOWN(0.5*$I$194*(($C$14+AC$5)/(ROUND(INDEX('0.0.1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3" s="224"/>
      <c r="AE33" s="234"/>
    </row>
    <row r="34" customFormat="false" ht="15.75" hidden="false" customHeight="false" outlineLevel="0" collapsed="false">
      <c r="A34" s="206"/>
      <c r="B34" s="206"/>
      <c r="C34" s="217"/>
      <c r="D34" s="217"/>
      <c r="E34" s="232"/>
      <c r="F34" s="217"/>
      <c r="G34" s="217"/>
      <c r="H34" s="217"/>
      <c r="I34" s="217"/>
      <c r="J34" s="223"/>
      <c r="K34" s="224"/>
      <c r="L34" s="224"/>
      <c r="M34" s="230" t="n">
        <f aca="false">IFERROR(__xludf.dummyfunction("""COMPUTED_VALUE"""),34)</f>
        <v>34</v>
      </c>
      <c r="N34" s="231" t="e">
        <f aca="false" t="array" ref="N34:N34">IF(OR(ISBLANK($M34),ISBLANK(N$5),$B$22="N/A"),,ROUNDDOWN(0.5*$I$194*(($C$14+N$5)/(ROUND(INDEX('0.0.1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4" s="231" t="e">
        <f aca="false" t="array" ref="O34:O34">IF(OR(ISBLANK($M34),ISBLANK(O$5),$B$22="N/A"),,ROUNDDOWN(0.5*$I$194*(($C$14+O$5)/(ROUND(INDEX('0.0.1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4" s="231" t="e">
        <f aca="false" t="array" ref="P34:P34">IF(OR(ISBLANK($M34),ISBLANK(P$5),$B$22="N/A"),,ROUNDDOWN(0.5*$I$194*(($C$14+P$5)/(ROUND(INDEX('0.0.1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4" s="231" t="e">
        <f aca="false" t="array" ref="Q34:Q34">IF(OR(ISBLANK($M34),ISBLANK(Q$5),$B$22="N/A"),,ROUNDDOWN(0.5*$I$194*(($C$14+Q$5)/(ROUND(INDEX('0.0.1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4" s="231" t="e">
        <f aca="false" t="array" ref="R34:R34">IF(OR(ISBLANK($M34),ISBLANK(R$5),$B$22="N/A"),,ROUNDDOWN(0.5*$I$194*(($C$14+R$5)/(ROUND(INDEX('0.0.1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4" s="231" t="e">
        <f aca="false" t="array" ref="S34:S34">IF(OR(ISBLANK($M34),ISBLANK(S$5),$B$22="N/A"),,ROUNDDOWN(0.5*$I$194*(($C$14+S$5)/(ROUND(INDEX('0.0.1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4" s="231" t="e">
        <f aca="false" t="array" ref="T34:T34">IF(OR(ISBLANK($M34),ISBLANK(T$5),$B$22="N/A"),,ROUNDDOWN(0.5*$I$194*(($C$14+T$5)/(ROUND(INDEX('0.0.1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4" s="231" t="e">
        <f aca="false" t="array" ref="U34:U34">IF(OR(ISBLANK($M34),ISBLANK(U$5),$B$22="N/A"),,ROUNDDOWN(0.5*$I$194*(($C$14+U$5)/(ROUND(INDEX('0.0.1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4" s="231" t="e">
        <f aca="false" t="array" ref="V34:V34">IF(OR(ISBLANK($M34),ISBLANK(V$5),$B$22="N/A"),,ROUNDDOWN(0.5*$I$194*(($C$14+V$5)/(ROUND(INDEX('0.0.1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4" s="231" t="e">
        <f aca="false" t="array" ref="W34:W34">IF(OR(ISBLANK($M34),ISBLANK(W$5),$B$22="N/A"),,ROUNDDOWN(0.5*$I$194*(($C$14+W$5)/(ROUND(INDEX('0.0.1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4" s="231" t="e">
        <f aca="false" t="array" ref="X34:X34">IF(OR(ISBLANK($M34),ISBLANK(X$5),$B$22="N/A"),,ROUNDDOWN(0.5*$I$194*(($C$14+X$5)/(ROUND(INDEX('0.0.1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4" s="231" t="e">
        <f aca="false" t="array" ref="Y34:Y34">IF(OR(ISBLANK($M34),ISBLANK(Y$5),$B$22="N/A"),,ROUNDDOWN(0.5*$I$194*(($C$14+Y$5)/(ROUND(INDEX('0.0.1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4" s="231" t="e">
        <f aca="false" t="array" ref="Z34:Z34">IF(OR(ISBLANK($M34),ISBLANK(Z$5),$B$22="N/A"),,ROUNDDOWN(0.5*$I$194*(($C$14+Z$5)/(ROUND(INDEX('0.0.1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4" s="231" t="e">
        <f aca="false" t="array" ref="AA34:AA34">IF(OR(ISBLANK($M34),ISBLANK(AA$5),$B$22="N/A"),,ROUNDDOWN(0.5*$I$194*(($C$14+AA$5)/(ROUND(INDEX('0.0.1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4" s="231" t="e">
        <f aca="false" t="array" ref="AB34:AB34">IF(OR(ISBLANK($M34),ISBLANK(AB$5),$B$22="N/A"),,ROUNDDOWN(0.5*$I$194*(($C$14+AB$5)/(ROUND(INDEX('0.0.1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4" s="231" t="e">
        <f aca="false" t="array" ref="AC34:AC34">IF(OR(ISBLANK($M34),ISBLANK(AC$5),$B$22="N/A"),,ROUNDDOWN(0.5*$I$194*(($C$14+AC$5)/(ROUND(INDEX('0.0.1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4" s="224"/>
      <c r="AE34" s="234"/>
    </row>
    <row r="35" customFormat="false" ht="15.75" hidden="false" customHeight="false" outlineLevel="0" collapsed="false">
      <c r="A35" s="206"/>
      <c r="B35" s="206"/>
      <c r="C35" s="217"/>
      <c r="D35" s="217"/>
      <c r="E35" s="232"/>
      <c r="F35" s="217"/>
      <c r="G35" s="217"/>
      <c r="H35" s="217"/>
      <c r="I35" s="217"/>
      <c r="J35" s="223"/>
      <c r="K35" s="224"/>
      <c r="L35" s="224"/>
      <c r="M35" s="230" t="n">
        <f aca="false">IFERROR(__xludf.dummyfunction("""COMPUTED_VALUE"""),34.5)</f>
        <v>34.5</v>
      </c>
      <c r="N35" s="231" t="e">
        <f aca="false" t="array" ref="N35:N35">IF(OR(ISBLANK($M35),ISBLANK(N$5),$B$22="N/A"),,ROUNDDOWN(0.5*$I$194*(($C$14+N$5)/(ROUND(INDEX('0.0.1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5" s="231" t="e">
        <f aca="false" t="array" ref="O35:O35">IF(OR(ISBLANK($M35),ISBLANK(O$5),$B$22="N/A"),,ROUNDDOWN(0.5*$I$194*(($C$14+O$5)/(ROUND(INDEX('0.0.1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5" s="231" t="e">
        <f aca="false" t="array" ref="P35:P35">IF(OR(ISBLANK($M35),ISBLANK(P$5),$B$22="N/A"),,ROUNDDOWN(0.5*$I$194*(($C$14+P$5)/(ROUND(INDEX('0.0.1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5" s="231" t="e">
        <f aca="false" t="array" ref="Q35:Q35">IF(OR(ISBLANK($M35),ISBLANK(Q$5),$B$22="N/A"),,ROUNDDOWN(0.5*$I$194*(($C$14+Q$5)/(ROUND(INDEX('0.0.1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5" s="231" t="e">
        <f aca="false" t="array" ref="R35:R35">IF(OR(ISBLANK($M35),ISBLANK(R$5),$B$22="N/A"),,ROUNDDOWN(0.5*$I$194*(($C$14+R$5)/(ROUND(INDEX('0.0.1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5" s="231" t="e">
        <f aca="false" t="array" ref="S35:S35">IF(OR(ISBLANK($M35),ISBLANK(S$5),$B$22="N/A"),,ROUNDDOWN(0.5*$I$194*(($C$14+S$5)/(ROUND(INDEX('0.0.1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5" s="231" t="e">
        <f aca="false" t="array" ref="T35:T35">IF(OR(ISBLANK($M35),ISBLANK(T$5),$B$22="N/A"),,ROUNDDOWN(0.5*$I$194*(($C$14+T$5)/(ROUND(INDEX('0.0.1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5" s="231" t="e">
        <f aca="false" t="array" ref="U35:U35">IF(OR(ISBLANK($M35),ISBLANK(U$5),$B$22="N/A"),,ROUNDDOWN(0.5*$I$194*(($C$14+U$5)/(ROUND(INDEX('0.0.1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5" s="231" t="e">
        <f aca="false" t="array" ref="V35:V35">IF(OR(ISBLANK($M35),ISBLANK(V$5),$B$22="N/A"),,ROUNDDOWN(0.5*$I$194*(($C$14+V$5)/(ROUND(INDEX('0.0.1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5" s="231" t="e">
        <f aca="false" t="array" ref="W35:W35">IF(OR(ISBLANK($M35),ISBLANK(W$5),$B$22="N/A"),,ROUNDDOWN(0.5*$I$194*(($C$14+W$5)/(ROUND(INDEX('0.0.1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5" s="231" t="e">
        <f aca="false" t="array" ref="X35:X35">IF(OR(ISBLANK($M35),ISBLANK(X$5),$B$22="N/A"),,ROUNDDOWN(0.5*$I$194*(($C$14+X$5)/(ROUND(INDEX('0.0.1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5" s="231" t="e">
        <f aca="false" t="array" ref="Y35:Y35">IF(OR(ISBLANK($M35),ISBLANK(Y$5),$B$22="N/A"),,ROUNDDOWN(0.5*$I$194*(($C$14+Y$5)/(ROUND(INDEX('0.0.1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5" s="231" t="e">
        <f aca="false" t="array" ref="Z35:Z35">IF(OR(ISBLANK($M35),ISBLANK(Z$5),$B$22="N/A"),,ROUNDDOWN(0.5*$I$194*(($C$14+Z$5)/(ROUND(INDEX('0.0.1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5" s="231" t="e">
        <f aca="false" t="array" ref="AA35:AA35">IF(OR(ISBLANK($M35),ISBLANK(AA$5),$B$22="N/A"),,ROUNDDOWN(0.5*$I$194*(($C$14+AA$5)/(ROUND(INDEX('0.0.1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5" s="231" t="e">
        <f aca="false" t="array" ref="AB35:AB35">IF(OR(ISBLANK($M35),ISBLANK(AB$5),$B$22="N/A"),,ROUNDDOWN(0.5*$I$194*(($C$14+AB$5)/(ROUND(INDEX('0.0.1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5" s="231" t="e">
        <f aca="false" t="array" ref="AC35:AC35">IF(OR(ISBLANK($M35),ISBLANK(AC$5),$B$22="N/A"),,ROUNDDOWN(0.5*$I$194*(($C$14+AC$5)/(ROUND(INDEX('0.0.1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5" s="224"/>
      <c r="AE35" s="234"/>
    </row>
    <row r="36" customFormat="false" ht="15.75" hidden="false" customHeight="false" outlineLevel="0" collapsed="false">
      <c r="A36" s="206"/>
      <c r="B36" s="206"/>
      <c r="C36" s="217"/>
      <c r="D36" s="217"/>
      <c r="E36" s="232"/>
      <c r="F36" s="217"/>
      <c r="G36" s="217"/>
      <c r="H36" s="217"/>
      <c r="I36" s="217"/>
      <c r="J36" s="223"/>
      <c r="K36" s="224"/>
      <c r="L36" s="224"/>
      <c r="M36" s="230" t="n">
        <f aca="false">IFERROR(__xludf.dummyfunction("""COMPUTED_VALUE"""),35)</f>
        <v>35</v>
      </c>
      <c r="N36" s="231" t="e">
        <f aca="false" t="array" ref="N36:N36">IF(OR(ISBLANK($M36),ISBLANK(N$5),$B$22="N/A"),,ROUNDDOWN(0.5*$I$194*(($C$14+N$5)/(ROUND(INDEX('0.0.1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6" s="231" t="e">
        <f aca="false" t="array" ref="O36:O36">IF(OR(ISBLANK($M36),ISBLANK(O$5),$B$22="N/A"),,ROUNDDOWN(0.5*$I$194*(($C$14+O$5)/(ROUND(INDEX('0.0.1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6" s="231" t="e">
        <f aca="false" t="array" ref="P36:P36">IF(OR(ISBLANK($M36),ISBLANK(P$5),$B$22="N/A"),,ROUNDDOWN(0.5*$I$194*(($C$14+P$5)/(ROUND(INDEX('0.0.1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6" s="231" t="e">
        <f aca="false" t="array" ref="Q36:Q36">IF(OR(ISBLANK($M36),ISBLANK(Q$5),$B$22="N/A"),,ROUNDDOWN(0.5*$I$194*(($C$14+Q$5)/(ROUND(INDEX('0.0.1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6" s="231" t="e">
        <f aca="false" t="array" ref="R36:R36">IF(OR(ISBLANK($M36),ISBLANK(R$5),$B$22="N/A"),,ROUNDDOWN(0.5*$I$194*(($C$14+R$5)/(ROUND(INDEX('0.0.1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6" s="231" t="e">
        <f aca="false" t="array" ref="S36:S36">IF(OR(ISBLANK($M36),ISBLANK(S$5),$B$22="N/A"),,ROUNDDOWN(0.5*$I$194*(($C$14+S$5)/(ROUND(INDEX('0.0.1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6" s="231" t="e">
        <f aca="false" t="array" ref="T36:T36">IF(OR(ISBLANK($M36),ISBLANK(T$5),$B$22="N/A"),,ROUNDDOWN(0.5*$I$194*(($C$14+T$5)/(ROUND(INDEX('0.0.1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6" s="231" t="e">
        <f aca="false" t="array" ref="U36:U36">IF(OR(ISBLANK($M36),ISBLANK(U$5),$B$22="N/A"),,ROUNDDOWN(0.5*$I$194*(($C$14+U$5)/(ROUND(INDEX('0.0.1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6" s="231" t="e">
        <f aca="false" t="array" ref="V36:V36">IF(OR(ISBLANK($M36),ISBLANK(V$5),$B$22="N/A"),,ROUNDDOWN(0.5*$I$194*(($C$14+V$5)/(ROUND(INDEX('0.0.1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6" s="231" t="e">
        <f aca="false" t="array" ref="W36:W36">IF(OR(ISBLANK($M36),ISBLANK(W$5),$B$22="N/A"),,ROUNDDOWN(0.5*$I$194*(($C$14+W$5)/(ROUND(INDEX('0.0.1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6" s="231" t="e">
        <f aca="false" t="array" ref="X36:X36">IF(OR(ISBLANK($M36),ISBLANK(X$5),$B$22="N/A"),,ROUNDDOWN(0.5*$I$194*(($C$14+X$5)/(ROUND(INDEX('0.0.1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6" s="231" t="e">
        <f aca="false" t="array" ref="Y36:Y36">IF(OR(ISBLANK($M36),ISBLANK(Y$5),$B$22="N/A"),,ROUNDDOWN(0.5*$I$194*(($C$14+Y$5)/(ROUND(INDEX('0.0.1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6" s="231" t="e">
        <f aca="false" t="array" ref="Z36:Z36">IF(OR(ISBLANK($M36),ISBLANK(Z$5),$B$22="N/A"),,ROUNDDOWN(0.5*$I$194*(($C$14+Z$5)/(ROUND(INDEX('0.0.1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6" s="231" t="e">
        <f aca="false" t="array" ref="AA36:AA36">IF(OR(ISBLANK($M36),ISBLANK(AA$5),$B$22="N/A"),,ROUNDDOWN(0.5*$I$194*(($C$14+AA$5)/(ROUND(INDEX('0.0.1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6" s="231" t="e">
        <f aca="false" t="array" ref="AB36:AB36">IF(OR(ISBLANK($M36),ISBLANK(AB$5),$B$22="N/A"),,ROUNDDOWN(0.5*$I$194*(($C$14+AB$5)/(ROUND(INDEX('0.0.1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6" s="231" t="e">
        <f aca="false" t="array" ref="AC36:AC36">IF(OR(ISBLANK($M36),ISBLANK(AC$5),$B$22="N/A"),,ROUNDDOWN(0.5*$I$194*(($C$14+AC$5)/(ROUND(INDEX('0.0.1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6" s="224"/>
      <c r="AE36" s="234"/>
    </row>
    <row r="37" customFormat="false" ht="15.75" hidden="false" customHeight="false" outlineLevel="0" collapsed="false">
      <c r="A37" s="206"/>
      <c r="B37" s="206"/>
      <c r="C37" s="217"/>
      <c r="D37" s="217"/>
      <c r="E37" s="232"/>
      <c r="F37" s="217"/>
      <c r="G37" s="217"/>
      <c r="H37" s="217"/>
      <c r="I37" s="217"/>
      <c r="J37" s="223"/>
      <c r="K37" s="224"/>
      <c r="L37" s="224"/>
      <c r="M37" s="230" t="n">
        <f aca="false">IFERROR(__xludf.dummyfunction("""COMPUTED_VALUE"""),35.5)</f>
        <v>35.5</v>
      </c>
      <c r="N37" s="231" t="e">
        <f aca="false" t="array" ref="N37:N37">IF(OR(ISBLANK($M37),ISBLANK(N$5),$B$22="N/A"),,ROUNDDOWN(0.5*$I$194*(($C$14+N$5)/(ROUND(INDEX('0.0.1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7" s="231" t="e">
        <f aca="false" t="array" ref="O37:O37">IF(OR(ISBLANK($M37),ISBLANK(O$5),$B$22="N/A"),,ROUNDDOWN(0.5*$I$194*(($C$14+O$5)/(ROUND(INDEX('0.0.1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7" s="231" t="e">
        <f aca="false" t="array" ref="P37:P37">IF(OR(ISBLANK($M37),ISBLANK(P$5),$B$22="N/A"),,ROUNDDOWN(0.5*$I$194*(($C$14+P$5)/(ROUND(INDEX('0.0.1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7" s="231" t="e">
        <f aca="false" t="array" ref="Q37:Q37">IF(OR(ISBLANK($M37),ISBLANK(Q$5),$B$22="N/A"),,ROUNDDOWN(0.5*$I$194*(($C$14+Q$5)/(ROUND(INDEX('0.0.1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7" s="231" t="e">
        <f aca="false" t="array" ref="R37:R37">IF(OR(ISBLANK($M37),ISBLANK(R$5),$B$22="N/A"),,ROUNDDOWN(0.5*$I$194*(($C$14+R$5)/(ROUND(INDEX('0.0.1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7" s="231" t="e">
        <f aca="false" t="array" ref="S37:S37">IF(OR(ISBLANK($M37),ISBLANK(S$5),$B$22="N/A"),,ROUNDDOWN(0.5*$I$194*(($C$14+S$5)/(ROUND(INDEX('0.0.1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7" s="231" t="e">
        <f aca="false" t="array" ref="T37:T37">IF(OR(ISBLANK($M37),ISBLANK(T$5),$B$22="N/A"),,ROUNDDOWN(0.5*$I$194*(($C$14+T$5)/(ROUND(INDEX('0.0.1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7" s="231" t="e">
        <f aca="false" t="array" ref="U37:U37">IF(OR(ISBLANK($M37),ISBLANK(U$5),$B$22="N/A"),,ROUNDDOWN(0.5*$I$194*(($C$14+U$5)/(ROUND(INDEX('0.0.1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7" s="231" t="e">
        <f aca="false" t="array" ref="V37:V37">IF(OR(ISBLANK($M37),ISBLANK(V$5),$B$22="N/A"),,ROUNDDOWN(0.5*$I$194*(($C$14+V$5)/(ROUND(INDEX('0.0.1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7" s="231" t="e">
        <f aca="false" t="array" ref="W37:W37">IF(OR(ISBLANK($M37),ISBLANK(W$5),$B$22="N/A"),,ROUNDDOWN(0.5*$I$194*(($C$14+W$5)/(ROUND(INDEX('0.0.1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7" s="231" t="e">
        <f aca="false" t="array" ref="X37:X37">IF(OR(ISBLANK($M37),ISBLANK(X$5),$B$22="N/A"),,ROUNDDOWN(0.5*$I$194*(($C$14+X$5)/(ROUND(INDEX('0.0.1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7" s="231" t="e">
        <f aca="false" t="array" ref="Y37:Y37">IF(OR(ISBLANK($M37),ISBLANK(Y$5),$B$22="N/A"),,ROUNDDOWN(0.5*$I$194*(($C$14+Y$5)/(ROUND(INDEX('0.0.1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7" s="231" t="e">
        <f aca="false" t="array" ref="Z37:Z37">IF(OR(ISBLANK($M37),ISBLANK(Z$5),$B$22="N/A"),,ROUNDDOWN(0.5*$I$194*(($C$14+Z$5)/(ROUND(INDEX('0.0.1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7" s="231" t="e">
        <f aca="false" t="array" ref="AA37:AA37">IF(OR(ISBLANK($M37),ISBLANK(AA$5),$B$22="N/A"),,ROUNDDOWN(0.5*$I$194*(($C$14+AA$5)/(ROUND(INDEX('0.0.1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7" s="231" t="e">
        <f aca="false" t="array" ref="AB37:AB37">IF(OR(ISBLANK($M37),ISBLANK(AB$5),$B$22="N/A"),,ROUNDDOWN(0.5*$I$194*(($C$14+AB$5)/(ROUND(INDEX('0.0.1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7" s="231" t="e">
        <f aca="false" t="array" ref="AC37:AC37">IF(OR(ISBLANK($M37),ISBLANK(AC$5),$B$22="N/A"),,ROUNDDOWN(0.5*$I$194*(($C$14+AC$5)/(ROUND(INDEX('0.0.1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7" s="224"/>
      <c r="AE37" s="234"/>
    </row>
    <row r="38" customFormat="false" ht="15.75" hidden="false" customHeight="false" outlineLevel="0" collapsed="false">
      <c r="A38" s="206"/>
      <c r="B38" s="206"/>
      <c r="C38" s="217"/>
      <c r="D38" s="217"/>
      <c r="E38" s="232"/>
      <c r="F38" s="217"/>
      <c r="G38" s="217"/>
      <c r="H38" s="217"/>
      <c r="I38" s="217"/>
      <c r="J38" s="223"/>
      <c r="K38" s="224"/>
      <c r="L38" s="224"/>
      <c r="M38" s="230" t="n">
        <f aca="false">IFERROR(__xludf.dummyfunction("""COMPUTED_VALUE"""),36)</f>
        <v>36</v>
      </c>
      <c r="N38" s="231" t="e">
        <f aca="false" t="array" ref="N38:N38">IF(OR(ISBLANK($M38),ISBLANK(N$5),$B$22="N/A"),,ROUNDDOWN(0.5*$I$194*(($C$14+N$5)/(ROUND(INDEX('0.0.1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8" s="231" t="e">
        <f aca="false" t="array" ref="O38:O38">IF(OR(ISBLANK($M38),ISBLANK(O$5),$B$22="N/A"),,ROUNDDOWN(0.5*$I$194*(($C$14+O$5)/(ROUND(INDEX('0.0.1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8" s="231" t="e">
        <f aca="false" t="array" ref="P38:P38">IF(OR(ISBLANK($M38),ISBLANK(P$5),$B$22="N/A"),,ROUNDDOWN(0.5*$I$194*(($C$14+P$5)/(ROUND(INDEX('0.0.1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8" s="231" t="e">
        <f aca="false" t="array" ref="Q38:Q38">IF(OR(ISBLANK($M38),ISBLANK(Q$5),$B$22="N/A"),,ROUNDDOWN(0.5*$I$194*(($C$14+Q$5)/(ROUND(INDEX('0.0.1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8" s="231" t="e">
        <f aca="false" t="array" ref="R38:R38">IF(OR(ISBLANK($M38),ISBLANK(R$5),$B$22="N/A"),,ROUNDDOWN(0.5*$I$194*(($C$14+R$5)/(ROUND(INDEX('0.0.1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8" s="231" t="e">
        <f aca="false" t="array" ref="S38:S38">IF(OR(ISBLANK($M38),ISBLANK(S$5),$B$22="N/A"),,ROUNDDOWN(0.5*$I$194*(($C$14+S$5)/(ROUND(INDEX('0.0.1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8" s="231" t="e">
        <f aca="false" t="array" ref="T38:T38">IF(OR(ISBLANK($M38),ISBLANK(T$5),$B$22="N/A"),,ROUNDDOWN(0.5*$I$194*(($C$14+T$5)/(ROUND(INDEX('0.0.1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8" s="231" t="e">
        <f aca="false" t="array" ref="U38:U38">IF(OR(ISBLANK($M38),ISBLANK(U$5),$B$22="N/A"),,ROUNDDOWN(0.5*$I$194*(($C$14+U$5)/(ROUND(INDEX('0.0.1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8" s="231" t="e">
        <f aca="false" t="array" ref="V38:V38">IF(OR(ISBLANK($M38),ISBLANK(V$5),$B$22="N/A"),,ROUNDDOWN(0.5*$I$194*(($C$14+V$5)/(ROUND(INDEX('0.0.1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8" s="231" t="e">
        <f aca="false" t="array" ref="W38:W38">IF(OR(ISBLANK($M38),ISBLANK(W$5),$B$22="N/A"),,ROUNDDOWN(0.5*$I$194*(($C$14+W$5)/(ROUND(INDEX('0.0.1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8" s="231" t="e">
        <f aca="false" t="array" ref="X38:X38">IF(OR(ISBLANK($M38),ISBLANK(X$5),$B$22="N/A"),,ROUNDDOWN(0.5*$I$194*(($C$14+X$5)/(ROUND(INDEX('0.0.1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8" s="231" t="e">
        <f aca="false" t="array" ref="Y38:Y38">IF(OR(ISBLANK($M38),ISBLANK(Y$5),$B$22="N/A"),,ROUNDDOWN(0.5*$I$194*(($C$14+Y$5)/(ROUND(INDEX('0.0.1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8" s="231" t="e">
        <f aca="false" t="array" ref="Z38:Z38">IF(OR(ISBLANK($M38),ISBLANK(Z$5),$B$22="N/A"),,ROUNDDOWN(0.5*$I$194*(($C$14+Z$5)/(ROUND(INDEX('0.0.1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8" s="231" t="e">
        <f aca="false" t="array" ref="AA38:AA38">IF(OR(ISBLANK($M38),ISBLANK(AA$5),$B$22="N/A"),,ROUNDDOWN(0.5*$I$194*(($C$14+AA$5)/(ROUND(INDEX('0.0.1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8" s="231" t="e">
        <f aca="false" t="array" ref="AB38:AB38">IF(OR(ISBLANK($M38),ISBLANK(AB$5),$B$22="N/A"),,ROUNDDOWN(0.5*$I$194*(($C$14+AB$5)/(ROUND(INDEX('0.0.1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8" s="231" t="e">
        <f aca="false" t="array" ref="AC38:AC38">IF(OR(ISBLANK($M38),ISBLANK(AC$5),$B$22="N/A"),,ROUNDDOWN(0.5*$I$194*(($C$14+AC$5)/(ROUND(INDEX('0.0.1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8" s="224"/>
      <c r="AE38" s="234"/>
    </row>
    <row r="39" customFormat="false" ht="15.75" hidden="false" customHeight="false" outlineLevel="0" collapsed="false">
      <c r="A39" s="206"/>
      <c r="B39" s="206"/>
      <c r="C39" s="217"/>
      <c r="D39" s="217"/>
      <c r="E39" s="232"/>
      <c r="F39" s="217"/>
      <c r="G39" s="217"/>
      <c r="H39" s="217"/>
      <c r="I39" s="217"/>
      <c r="J39" s="223"/>
      <c r="K39" s="224"/>
      <c r="L39" s="224"/>
      <c r="M39" s="230" t="n">
        <f aca="false">IFERROR(__xludf.dummyfunction("""COMPUTED_VALUE"""),36.5)</f>
        <v>36.5</v>
      </c>
      <c r="N39" s="231" t="e">
        <f aca="false" t="array" ref="N39:N39">IF(OR(ISBLANK($M39),ISBLANK(N$5),$B$22="N/A"),,ROUNDDOWN(0.5*$I$194*(($C$14+N$5)/(ROUND(INDEX('0.0.1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39" s="231" t="e">
        <f aca="false" t="array" ref="O39:O39">IF(OR(ISBLANK($M39),ISBLANK(O$5),$B$22="N/A"),,ROUNDDOWN(0.5*$I$194*(($C$14+O$5)/(ROUND(INDEX('0.0.1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39" s="231" t="e">
        <f aca="false" t="array" ref="P39:P39">IF(OR(ISBLANK($M39),ISBLANK(P$5),$B$22="N/A"),,ROUNDDOWN(0.5*$I$194*(($C$14+P$5)/(ROUND(INDEX('0.0.1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39" s="231" t="e">
        <f aca="false" t="array" ref="Q39:Q39">IF(OR(ISBLANK($M39),ISBLANK(Q$5),$B$22="N/A"),,ROUNDDOWN(0.5*$I$194*(($C$14+Q$5)/(ROUND(INDEX('0.0.1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39" s="231" t="e">
        <f aca="false" t="array" ref="R39:R39">IF(OR(ISBLANK($M39),ISBLANK(R$5),$B$22="N/A"),,ROUNDDOWN(0.5*$I$194*(($C$14+R$5)/(ROUND(INDEX('0.0.1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39" s="231" t="e">
        <f aca="false" t="array" ref="S39:S39">IF(OR(ISBLANK($M39),ISBLANK(S$5),$B$22="N/A"),,ROUNDDOWN(0.5*$I$194*(($C$14+S$5)/(ROUND(INDEX('0.0.1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39" s="231" t="e">
        <f aca="false" t="array" ref="T39:T39">IF(OR(ISBLANK($M39),ISBLANK(T$5),$B$22="N/A"),,ROUNDDOWN(0.5*$I$194*(($C$14+T$5)/(ROUND(INDEX('0.0.1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39" s="231" t="e">
        <f aca="false" t="array" ref="U39:U39">IF(OR(ISBLANK($M39),ISBLANK(U$5),$B$22="N/A"),,ROUNDDOWN(0.5*$I$194*(($C$14+U$5)/(ROUND(INDEX('0.0.1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39" s="231" t="e">
        <f aca="false" t="array" ref="V39:V39">IF(OR(ISBLANK($M39),ISBLANK(V$5),$B$22="N/A"),,ROUNDDOWN(0.5*$I$194*(($C$14+V$5)/(ROUND(INDEX('0.0.1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39" s="231" t="e">
        <f aca="false" t="array" ref="W39:W39">IF(OR(ISBLANK($M39),ISBLANK(W$5),$B$22="N/A"),,ROUNDDOWN(0.5*$I$194*(($C$14+W$5)/(ROUND(INDEX('0.0.1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39" s="231" t="e">
        <f aca="false" t="array" ref="X39:X39">IF(OR(ISBLANK($M39),ISBLANK(X$5),$B$22="N/A"),,ROUNDDOWN(0.5*$I$194*(($C$14+X$5)/(ROUND(INDEX('0.0.1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39" s="231" t="e">
        <f aca="false" t="array" ref="Y39:Y39">IF(OR(ISBLANK($M39),ISBLANK(Y$5),$B$22="N/A"),,ROUNDDOWN(0.5*$I$194*(($C$14+Y$5)/(ROUND(INDEX('0.0.1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39" s="231" t="e">
        <f aca="false" t="array" ref="Z39:Z39">IF(OR(ISBLANK($M39),ISBLANK(Z$5),$B$22="N/A"),,ROUNDDOWN(0.5*$I$194*(($C$14+Z$5)/(ROUND(INDEX('0.0.1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39" s="231" t="e">
        <f aca="false" t="array" ref="AA39:AA39">IF(OR(ISBLANK($M39),ISBLANK(AA$5),$B$22="N/A"),,ROUNDDOWN(0.5*$I$194*(($C$14+AA$5)/(ROUND(INDEX('0.0.1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39" s="231" t="e">
        <f aca="false" t="array" ref="AB39:AB39">IF(OR(ISBLANK($M39),ISBLANK(AB$5),$B$22="N/A"),,ROUNDDOWN(0.5*$I$194*(($C$14+AB$5)/(ROUND(INDEX('0.0.1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39" s="231" t="e">
        <f aca="false" t="array" ref="AC39:AC39">IF(OR(ISBLANK($M39),ISBLANK(AC$5),$B$22="N/A"),,ROUNDDOWN(0.5*$I$194*(($C$14+AC$5)/(ROUND(INDEX('0.0.1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Values'!$B$2:$B$80,MATCH($M39,'0.3.0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39" s="224"/>
      <c r="AE39" s="234"/>
    </row>
    <row r="40" customFormat="false" ht="15.75" hidden="false" customHeight="false" outlineLevel="0" collapsed="false">
      <c r="A40" s="206"/>
      <c r="B40" s="206"/>
      <c r="C40" s="217"/>
      <c r="D40" s="217"/>
      <c r="E40" s="232"/>
      <c r="F40" s="217"/>
      <c r="G40" s="217"/>
      <c r="H40" s="217"/>
      <c r="I40" s="217"/>
      <c r="J40" s="223"/>
      <c r="K40" s="224"/>
      <c r="L40" s="224"/>
      <c r="M40" s="230" t="n">
        <f aca="false">IFERROR(__xludf.dummyfunction("""COMPUTED_VALUE"""),37)</f>
        <v>37</v>
      </c>
      <c r="N40" s="231" t="e">
        <f aca="false" t="array" ref="N40:N40">IF(OR(ISBLANK($M40),ISBLANK(N$5),$B$22="N/A"),,ROUNDDOWN(0.5*$I$194*(($C$14+N$5)/(ROUND(INDEX('0.0.1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0" s="231" t="e">
        <f aca="false" t="array" ref="O40:O40">IF(OR(ISBLANK($M40),ISBLANK(O$5),$B$22="N/A"),,ROUNDDOWN(0.5*$I$194*(($C$14+O$5)/(ROUND(INDEX('0.0.1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0" s="231" t="e">
        <f aca="false" t="array" ref="P40:P40">IF(OR(ISBLANK($M40),ISBLANK(P$5),$B$22="N/A"),,ROUNDDOWN(0.5*$I$194*(($C$14+P$5)/(ROUND(INDEX('0.0.1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0" s="231" t="e">
        <f aca="false" t="array" ref="Q40:Q40">IF(OR(ISBLANK($M40),ISBLANK(Q$5),$B$22="N/A"),,ROUNDDOWN(0.5*$I$194*(($C$14+Q$5)/(ROUND(INDEX('0.0.1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0" s="231" t="e">
        <f aca="false" t="array" ref="R40:R40">IF(OR(ISBLANK($M40),ISBLANK(R$5),$B$22="N/A"),,ROUNDDOWN(0.5*$I$194*(($C$14+R$5)/(ROUND(INDEX('0.0.1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0" s="231" t="e">
        <f aca="false" t="array" ref="S40:S40">IF(OR(ISBLANK($M40),ISBLANK(S$5),$B$22="N/A"),,ROUNDDOWN(0.5*$I$194*(($C$14+S$5)/(ROUND(INDEX('0.0.1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0" s="231" t="e">
        <f aca="false" t="array" ref="T40:T40">IF(OR(ISBLANK($M40),ISBLANK(T$5),$B$22="N/A"),,ROUNDDOWN(0.5*$I$194*(($C$14+T$5)/(ROUND(INDEX('0.0.1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0" s="231" t="e">
        <f aca="false" t="array" ref="U40:U40">IF(OR(ISBLANK($M40),ISBLANK(U$5),$B$22="N/A"),,ROUNDDOWN(0.5*$I$194*(($C$14+U$5)/(ROUND(INDEX('0.0.1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0" s="231" t="e">
        <f aca="false" t="array" ref="V40:V40">IF(OR(ISBLANK($M40),ISBLANK(V$5),$B$22="N/A"),,ROUNDDOWN(0.5*$I$194*(($C$14+V$5)/(ROUND(INDEX('0.0.1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0" s="231" t="e">
        <f aca="false" t="array" ref="W40:W40">IF(OR(ISBLANK($M40),ISBLANK(W$5),$B$22="N/A"),,ROUNDDOWN(0.5*$I$194*(($C$14+W$5)/(ROUND(INDEX('0.0.1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0" s="231" t="e">
        <f aca="false" t="array" ref="X40:X40">IF(OR(ISBLANK($M40),ISBLANK(X$5),$B$22="N/A"),,ROUNDDOWN(0.5*$I$194*(($C$14+X$5)/(ROUND(INDEX('0.0.1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0" s="231" t="e">
        <f aca="false" t="array" ref="Y40:Y40">IF(OR(ISBLANK($M40),ISBLANK(Y$5),$B$22="N/A"),,ROUNDDOWN(0.5*$I$194*(($C$14+Y$5)/(ROUND(INDEX('0.0.1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0" s="231" t="e">
        <f aca="false" t="array" ref="Z40:Z40">IF(OR(ISBLANK($M40),ISBLANK(Z$5),$B$22="N/A"),,ROUNDDOWN(0.5*$I$194*(($C$14+Z$5)/(ROUND(INDEX('0.0.1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0" s="231" t="e">
        <f aca="false" t="array" ref="AA40:AA40">IF(OR(ISBLANK($M40),ISBLANK(AA$5),$B$22="N/A"),,ROUNDDOWN(0.5*$I$194*(($C$14+AA$5)/(ROUND(INDEX('0.0.1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0" s="231" t="e">
        <f aca="false" t="array" ref="AB40:AB40">IF(OR(ISBLANK($M40),ISBLANK(AB$5),$B$22="N/A"),,ROUNDDOWN(0.5*$I$194*(($C$14+AB$5)/(ROUND(INDEX('0.0.1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0" s="231" t="e">
        <f aca="false" t="array" ref="AC40:AC40">IF(OR(ISBLANK($M40),ISBLANK(AC$5),$B$22="N/A"),,ROUNDDOWN(0.5*$I$194*(($C$14+AC$5)/(ROUND(INDEX('0.0.1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0" s="224"/>
      <c r="AE40" s="234"/>
    </row>
    <row r="41" customFormat="false" ht="15.75" hidden="false" customHeight="false" outlineLevel="0" collapsed="false">
      <c r="A41" s="206"/>
      <c r="B41" s="206"/>
      <c r="C41" s="217"/>
      <c r="D41" s="217"/>
      <c r="E41" s="232"/>
      <c r="F41" s="217"/>
      <c r="G41" s="217"/>
      <c r="H41" s="217"/>
      <c r="I41" s="217"/>
      <c r="J41" s="223"/>
      <c r="K41" s="224"/>
      <c r="L41" s="224"/>
      <c r="M41" s="230" t="n">
        <f aca="false">IFERROR(__xludf.dummyfunction("""COMPUTED_VALUE"""),37.5)</f>
        <v>37.5</v>
      </c>
      <c r="N41" s="231" t="e">
        <f aca="false" t="array" ref="N41:N41">IF(OR(ISBLANK($M41),ISBLANK(N$5),$B$22="N/A"),,ROUNDDOWN(0.5*$I$194*(($C$14+N$5)/(ROUND(INDEX('0.0.1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1" s="231" t="e">
        <f aca="false" t="array" ref="O41:O41">IF(OR(ISBLANK($M41),ISBLANK(O$5),$B$22="N/A"),,ROUNDDOWN(0.5*$I$194*(($C$14+O$5)/(ROUND(INDEX('0.0.1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1" s="231" t="e">
        <f aca="false" t="array" ref="P41:P41">IF(OR(ISBLANK($M41),ISBLANK(P$5),$B$22="N/A"),,ROUNDDOWN(0.5*$I$194*(($C$14+P$5)/(ROUND(INDEX('0.0.1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1" s="231" t="e">
        <f aca="false" t="array" ref="Q41:Q41">IF(OR(ISBLANK($M41),ISBLANK(Q$5),$B$22="N/A"),,ROUNDDOWN(0.5*$I$194*(($C$14+Q$5)/(ROUND(INDEX('0.0.1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1" s="231" t="e">
        <f aca="false" t="array" ref="R41:R41">IF(OR(ISBLANK($M41),ISBLANK(R$5),$B$22="N/A"),,ROUNDDOWN(0.5*$I$194*(($C$14+R$5)/(ROUND(INDEX('0.0.1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1" s="231" t="e">
        <f aca="false" t="array" ref="S41:S41">IF(OR(ISBLANK($M41),ISBLANK(S$5),$B$22="N/A"),,ROUNDDOWN(0.5*$I$194*(($C$14+S$5)/(ROUND(INDEX('0.0.1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1" s="231" t="e">
        <f aca="false" t="array" ref="T41:T41">IF(OR(ISBLANK($M41),ISBLANK(T$5),$B$22="N/A"),,ROUNDDOWN(0.5*$I$194*(($C$14+T$5)/(ROUND(INDEX('0.0.1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1" s="231" t="e">
        <f aca="false" t="array" ref="U41:U41">IF(OR(ISBLANK($M41),ISBLANK(U$5),$B$22="N/A"),,ROUNDDOWN(0.5*$I$194*(($C$14+U$5)/(ROUND(INDEX('0.0.1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1" s="231" t="e">
        <f aca="false" t="array" ref="V41:V41">IF(OR(ISBLANK($M41),ISBLANK(V$5),$B$22="N/A"),,ROUNDDOWN(0.5*$I$194*(($C$14+V$5)/(ROUND(INDEX('0.0.1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1" s="231" t="e">
        <f aca="false" t="array" ref="W41:W41">IF(OR(ISBLANK($M41),ISBLANK(W$5),$B$22="N/A"),,ROUNDDOWN(0.5*$I$194*(($C$14+W$5)/(ROUND(INDEX('0.0.1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1" s="231" t="e">
        <f aca="false" t="array" ref="X41:X41">IF(OR(ISBLANK($M41),ISBLANK(X$5),$B$22="N/A"),,ROUNDDOWN(0.5*$I$194*(($C$14+X$5)/(ROUND(INDEX('0.0.1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1" s="231" t="e">
        <f aca="false" t="array" ref="Y41:Y41">IF(OR(ISBLANK($M41),ISBLANK(Y$5),$B$22="N/A"),,ROUNDDOWN(0.5*$I$194*(($C$14+Y$5)/(ROUND(INDEX('0.0.1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1" s="231" t="e">
        <f aca="false" t="array" ref="Z41:Z41">IF(OR(ISBLANK($M41),ISBLANK(Z$5),$B$22="N/A"),,ROUNDDOWN(0.5*$I$194*(($C$14+Z$5)/(ROUND(INDEX('0.0.1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1" s="231" t="e">
        <f aca="false" t="array" ref="AA41:AA41">IF(OR(ISBLANK($M41),ISBLANK(AA$5),$B$22="N/A"),,ROUNDDOWN(0.5*$I$194*(($C$14+AA$5)/(ROUND(INDEX('0.0.1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1" s="231" t="e">
        <f aca="false" t="array" ref="AB41:AB41">IF(OR(ISBLANK($M41),ISBLANK(AB$5),$B$22="N/A"),,ROUNDDOWN(0.5*$I$194*(($C$14+AB$5)/(ROUND(INDEX('0.0.1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1" s="231" t="e">
        <f aca="false" t="array" ref="AC41:AC41">IF(OR(ISBLANK($M41),ISBLANK(AC$5),$B$22="N/A"),,ROUNDDOWN(0.5*$I$194*(($C$14+AC$5)/(ROUND(INDEX('0.0.1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1" s="224"/>
      <c r="AE41" s="234"/>
    </row>
    <row r="42" customFormat="false" ht="15.75" hidden="false" customHeight="false" outlineLevel="0" collapsed="false">
      <c r="A42" s="206"/>
      <c r="B42" s="206"/>
      <c r="C42" s="217"/>
      <c r="D42" s="217"/>
      <c r="E42" s="232"/>
      <c r="F42" s="217"/>
      <c r="G42" s="217"/>
      <c r="H42" s="217"/>
      <c r="I42" s="217"/>
      <c r="J42" s="223"/>
      <c r="K42" s="224"/>
      <c r="L42" s="224"/>
      <c r="M42" s="230" t="n">
        <f aca="false">IFERROR(__xludf.dummyfunction("""COMPUTED_VALUE"""),38)</f>
        <v>38</v>
      </c>
      <c r="N42" s="231" t="e">
        <f aca="false" t="array" ref="N42:N42">IF(OR(ISBLANK($M42),ISBLANK(N$5),$B$22="N/A"),,ROUNDDOWN(0.5*$I$194*(($C$14+N$5)/(ROUND(INDEX('0.0.1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2" s="231" t="e">
        <f aca="false" t="array" ref="O42:O42">IF(OR(ISBLANK($M42),ISBLANK(O$5),$B$22="N/A"),,ROUNDDOWN(0.5*$I$194*(($C$14+O$5)/(ROUND(INDEX('0.0.1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2" s="231" t="e">
        <f aca="false" t="array" ref="P42:P42">IF(OR(ISBLANK($M42),ISBLANK(P$5),$B$22="N/A"),,ROUNDDOWN(0.5*$I$194*(($C$14+P$5)/(ROUND(INDEX('0.0.1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2" s="231" t="e">
        <f aca="false" t="array" ref="Q42:Q42">IF(OR(ISBLANK($M42),ISBLANK(Q$5),$B$22="N/A"),,ROUNDDOWN(0.5*$I$194*(($C$14+Q$5)/(ROUND(INDEX('0.0.1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2" s="231" t="e">
        <f aca="false" t="array" ref="R42:R42">IF(OR(ISBLANK($M42),ISBLANK(R$5),$B$22="N/A"),,ROUNDDOWN(0.5*$I$194*(($C$14+R$5)/(ROUND(INDEX('0.0.1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2" s="231" t="e">
        <f aca="false" t="array" ref="S42:S42">IF(OR(ISBLANK($M42),ISBLANK(S$5),$B$22="N/A"),,ROUNDDOWN(0.5*$I$194*(($C$14+S$5)/(ROUND(INDEX('0.0.1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2" s="231" t="e">
        <f aca="false" t="array" ref="T42:T42">IF(OR(ISBLANK($M42),ISBLANK(T$5),$B$22="N/A"),,ROUNDDOWN(0.5*$I$194*(($C$14+T$5)/(ROUND(INDEX('0.0.1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2" s="231" t="e">
        <f aca="false" t="array" ref="U42:U42">IF(OR(ISBLANK($M42),ISBLANK(U$5),$B$22="N/A"),,ROUNDDOWN(0.5*$I$194*(($C$14+U$5)/(ROUND(INDEX('0.0.1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2" s="231" t="e">
        <f aca="false" t="array" ref="V42:V42">IF(OR(ISBLANK($M42),ISBLANK(V$5),$B$22="N/A"),,ROUNDDOWN(0.5*$I$194*(($C$14+V$5)/(ROUND(INDEX('0.0.1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2" s="231" t="e">
        <f aca="false" t="array" ref="W42:W42">IF(OR(ISBLANK($M42),ISBLANK(W$5),$B$22="N/A"),,ROUNDDOWN(0.5*$I$194*(($C$14+W$5)/(ROUND(INDEX('0.0.1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2" s="231" t="e">
        <f aca="false" t="array" ref="X42:X42">IF(OR(ISBLANK($M42),ISBLANK(X$5),$B$22="N/A"),,ROUNDDOWN(0.5*$I$194*(($C$14+X$5)/(ROUND(INDEX('0.0.1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2" s="231" t="e">
        <f aca="false" t="array" ref="Y42:Y42">IF(OR(ISBLANK($M42),ISBLANK(Y$5),$B$22="N/A"),,ROUNDDOWN(0.5*$I$194*(($C$14+Y$5)/(ROUND(INDEX('0.0.1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2" s="231" t="e">
        <f aca="false" t="array" ref="Z42:Z42">IF(OR(ISBLANK($M42),ISBLANK(Z$5),$B$22="N/A"),,ROUNDDOWN(0.5*$I$194*(($C$14+Z$5)/(ROUND(INDEX('0.0.1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2" s="231" t="e">
        <f aca="false" t="array" ref="AA42:AA42">IF(OR(ISBLANK($M42),ISBLANK(AA$5),$B$22="N/A"),,ROUNDDOWN(0.5*$I$194*(($C$14+AA$5)/(ROUND(INDEX('0.0.1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2" s="231" t="e">
        <f aca="false" t="array" ref="AB42:AB42">IF(OR(ISBLANK($M42),ISBLANK(AB$5),$B$22="N/A"),,ROUNDDOWN(0.5*$I$194*(($C$14+AB$5)/(ROUND(INDEX('0.0.1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2" s="231" t="e">
        <f aca="false" t="array" ref="AC42:AC42">IF(OR(ISBLANK($M42),ISBLANK(AC$5),$B$22="N/A"),,ROUNDDOWN(0.5*$I$194*(($C$14+AC$5)/(ROUND(INDEX('0.0.1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2" s="224"/>
      <c r="AE42" s="234"/>
    </row>
    <row r="43" customFormat="false" ht="15.75" hidden="false" customHeight="false" outlineLevel="0" collapsed="false">
      <c r="A43" s="206"/>
      <c r="B43" s="206"/>
      <c r="C43" s="217"/>
      <c r="D43" s="217"/>
      <c r="E43" s="232"/>
      <c r="F43" s="217"/>
      <c r="G43" s="217"/>
      <c r="H43" s="217"/>
      <c r="I43" s="217"/>
      <c r="J43" s="223"/>
      <c r="K43" s="224"/>
      <c r="L43" s="224"/>
      <c r="M43" s="230" t="n">
        <f aca="false">IFERROR(__xludf.dummyfunction("""COMPUTED_VALUE"""),38.5)</f>
        <v>38.5</v>
      </c>
      <c r="N43" s="231" t="e">
        <f aca="false" t="array" ref="N43:N43">IF(OR(ISBLANK($M43),ISBLANK(N$5),$B$22="N/A"),,ROUNDDOWN(0.5*$I$194*(($C$14+N$5)/(ROUND(INDEX('0.0.1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3" s="231" t="e">
        <f aca="false" t="array" ref="O43:O43">IF(OR(ISBLANK($M43),ISBLANK(O$5),$B$22="N/A"),,ROUNDDOWN(0.5*$I$194*(($C$14+O$5)/(ROUND(INDEX('0.0.1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3" s="231" t="e">
        <f aca="false" t="array" ref="P43:P43">IF(OR(ISBLANK($M43),ISBLANK(P$5),$B$22="N/A"),,ROUNDDOWN(0.5*$I$194*(($C$14+P$5)/(ROUND(INDEX('0.0.1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3" s="231" t="e">
        <f aca="false" t="array" ref="Q43:Q43">IF(OR(ISBLANK($M43),ISBLANK(Q$5),$B$22="N/A"),,ROUNDDOWN(0.5*$I$194*(($C$14+Q$5)/(ROUND(INDEX('0.0.1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3" s="231" t="e">
        <f aca="false" t="array" ref="R43:R43">IF(OR(ISBLANK($M43),ISBLANK(R$5),$B$22="N/A"),,ROUNDDOWN(0.5*$I$194*(($C$14+R$5)/(ROUND(INDEX('0.0.1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3" s="231" t="e">
        <f aca="false" t="array" ref="S43:S43">IF(OR(ISBLANK($M43),ISBLANK(S$5),$B$22="N/A"),,ROUNDDOWN(0.5*$I$194*(($C$14+S$5)/(ROUND(INDEX('0.0.1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3" s="231" t="e">
        <f aca="false" t="array" ref="T43:T43">IF(OR(ISBLANK($M43),ISBLANK(T$5),$B$22="N/A"),,ROUNDDOWN(0.5*$I$194*(($C$14+T$5)/(ROUND(INDEX('0.0.1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3" s="231" t="e">
        <f aca="false" t="array" ref="U43:U43">IF(OR(ISBLANK($M43),ISBLANK(U$5),$B$22="N/A"),,ROUNDDOWN(0.5*$I$194*(($C$14+U$5)/(ROUND(INDEX('0.0.1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3" s="231" t="e">
        <f aca="false" t="array" ref="V43:V43">IF(OR(ISBLANK($M43),ISBLANK(V$5),$B$22="N/A"),,ROUNDDOWN(0.5*$I$194*(($C$14+V$5)/(ROUND(INDEX('0.0.1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3" s="231" t="e">
        <f aca="false" t="array" ref="W43:W43">IF(OR(ISBLANK($M43),ISBLANK(W$5),$B$22="N/A"),,ROUNDDOWN(0.5*$I$194*(($C$14+W$5)/(ROUND(INDEX('0.0.1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3" s="231" t="e">
        <f aca="false" t="array" ref="X43:X43">IF(OR(ISBLANK($M43),ISBLANK(X$5),$B$22="N/A"),,ROUNDDOWN(0.5*$I$194*(($C$14+X$5)/(ROUND(INDEX('0.0.1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3" s="231" t="e">
        <f aca="false" t="array" ref="Y43:Y43">IF(OR(ISBLANK($M43),ISBLANK(Y$5),$B$22="N/A"),,ROUNDDOWN(0.5*$I$194*(($C$14+Y$5)/(ROUND(INDEX('0.0.1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3" s="231" t="e">
        <f aca="false" t="array" ref="Z43:Z43">IF(OR(ISBLANK($M43),ISBLANK(Z$5),$B$22="N/A"),,ROUNDDOWN(0.5*$I$194*(($C$14+Z$5)/(ROUND(INDEX('0.0.1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3" s="231" t="e">
        <f aca="false" t="array" ref="AA43:AA43">IF(OR(ISBLANK($M43),ISBLANK(AA$5),$B$22="N/A"),,ROUNDDOWN(0.5*$I$194*(($C$14+AA$5)/(ROUND(INDEX('0.0.1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3" s="231" t="e">
        <f aca="false" t="array" ref="AB43:AB43">IF(OR(ISBLANK($M43),ISBLANK(AB$5),$B$22="N/A"),,ROUNDDOWN(0.5*$I$194*(($C$14+AB$5)/(ROUND(INDEX('0.0.1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3" s="231" t="e">
        <f aca="false" t="array" ref="AC43:AC43">IF(OR(ISBLANK($M43),ISBLANK(AC$5),$B$22="N/A"),,ROUNDDOWN(0.5*$I$194*(($C$14+AC$5)/(ROUND(INDEX('0.0.1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3" s="224"/>
      <c r="AE43" s="234"/>
    </row>
    <row r="44" customFormat="false" ht="15.75" hidden="false" customHeight="false" outlineLevel="0" collapsed="false">
      <c r="A44" s="206"/>
      <c r="B44" s="206"/>
      <c r="C44" s="217"/>
      <c r="D44" s="217"/>
      <c r="E44" s="232"/>
      <c r="F44" s="217"/>
      <c r="G44" s="217"/>
      <c r="H44" s="217"/>
      <c r="I44" s="217"/>
      <c r="J44" s="223"/>
      <c r="K44" s="224"/>
      <c r="L44" s="224"/>
      <c r="M44" s="230" t="n">
        <f aca="false">IFERROR(__xludf.dummyfunction("""COMPUTED_VALUE"""),39)</f>
        <v>39</v>
      </c>
      <c r="N44" s="231" t="e">
        <f aca="false" t="array" ref="N44:N44">IF(OR(ISBLANK($M44),ISBLANK(N$5),$B$22="N/A"),,ROUNDDOWN(0.5*$I$194*(($C$14+N$5)/(ROUND(INDEX('0.0.1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4" s="231" t="e">
        <f aca="false" t="array" ref="O44:O44">IF(OR(ISBLANK($M44),ISBLANK(O$5),$B$22="N/A"),,ROUNDDOWN(0.5*$I$194*(($C$14+O$5)/(ROUND(INDEX('0.0.1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4" s="231" t="e">
        <f aca="false" t="array" ref="P44:P44">IF(OR(ISBLANK($M44),ISBLANK(P$5),$B$22="N/A"),,ROUNDDOWN(0.5*$I$194*(($C$14+P$5)/(ROUND(INDEX('0.0.1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4" s="231" t="e">
        <f aca="false" t="array" ref="Q44:Q44">IF(OR(ISBLANK($M44),ISBLANK(Q$5),$B$22="N/A"),,ROUNDDOWN(0.5*$I$194*(($C$14+Q$5)/(ROUND(INDEX('0.0.1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4" s="231" t="e">
        <f aca="false" t="array" ref="R44:R44">IF(OR(ISBLANK($M44),ISBLANK(R$5),$B$22="N/A"),,ROUNDDOWN(0.5*$I$194*(($C$14+R$5)/(ROUND(INDEX('0.0.1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4" s="231" t="e">
        <f aca="false" t="array" ref="S44:S44">IF(OR(ISBLANK($M44),ISBLANK(S$5),$B$22="N/A"),,ROUNDDOWN(0.5*$I$194*(($C$14+S$5)/(ROUND(INDEX('0.0.1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4" s="231" t="e">
        <f aca="false" t="array" ref="T44:T44">IF(OR(ISBLANK($M44),ISBLANK(T$5),$B$22="N/A"),,ROUNDDOWN(0.5*$I$194*(($C$14+T$5)/(ROUND(INDEX('0.0.1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4" s="231" t="e">
        <f aca="false" t="array" ref="U44:U44">IF(OR(ISBLANK($M44),ISBLANK(U$5),$B$22="N/A"),,ROUNDDOWN(0.5*$I$194*(($C$14+U$5)/(ROUND(INDEX('0.0.1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4" s="231" t="e">
        <f aca="false" t="array" ref="V44:V44">IF(OR(ISBLANK($M44),ISBLANK(V$5),$B$22="N/A"),,ROUNDDOWN(0.5*$I$194*(($C$14+V$5)/(ROUND(INDEX('0.0.1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4" s="231" t="e">
        <f aca="false" t="array" ref="W44:W44">IF(OR(ISBLANK($M44),ISBLANK(W$5),$B$22="N/A"),,ROUNDDOWN(0.5*$I$194*(($C$14+W$5)/(ROUND(INDEX('0.0.1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4" s="231" t="e">
        <f aca="false" t="array" ref="X44:X44">IF(OR(ISBLANK($M44),ISBLANK(X$5),$B$22="N/A"),,ROUNDDOWN(0.5*$I$194*(($C$14+X$5)/(ROUND(INDEX('0.0.1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4" s="231" t="e">
        <f aca="false" t="array" ref="Y44:Y44">IF(OR(ISBLANK($M44),ISBLANK(Y$5),$B$22="N/A"),,ROUNDDOWN(0.5*$I$194*(($C$14+Y$5)/(ROUND(INDEX('0.0.1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4" s="231" t="e">
        <f aca="false" t="array" ref="Z44:Z44">IF(OR(ISBLANK($M44),ISBLANK(Z$5),$B$22="N/A"),,ROUNDDOWN(0.5*$I$194*(($C$14+Z$5)/(ROUND(INDEX('0.0.1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4" s="231" t="e">
        <f aca="false" t="array" ref="AA44:AA44">IF(OR(ISBLANK($M44),ISBLANK(AA$5),$B$22="N/A"),,ROUNDDOWN(0.5*$I$194*(($C$14+AA$5)/(ROUND(INDEX('0.0.1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4" s="231" t="e">
        <f aca="false" t="array" ref="AB44:AB44">IF(OR(ISBLANK($M44),ISBLANK(AB$5),$B$22="N/A"),,ROUNDDOWN(0.5*$I$194*(($C$14+AB$5)/(ROUND(INDEX('0.0.1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4" s="231" t="e">
        <f aca="false" t="array" ref="AC44:AC44">IF(OR(ISBLANK($M44),ISBLANK(AC$5),$B$22="N/A"),,ROUNDDOWN(0.5*$I$194*(($C$14+AC$5)/(ROUND(INDEX('0.0.1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4" s="224"/>
      <c r="AE44" s="234"/>
    </row>
    <row r="45" customFormat="false" ht="15.75" hidden="false" customHeight="false" outlineLevel="0" collapsed="false">
      <c r="A45" s="206"/>
      <c r="B45" s="206"/>
      <c r="C45" s="217"/>
      <c r="D45" s="217"/>
      <c r="E45" s="232"/>
      <c r="F45" s="217"/>
      <c r="G45" s="217"/>
      <c r="H45" s="217"/>
      <c r="I45" s="217"/>
      <c r="J45" s="223"/>
      <c r="K45" s="224"/>
      <c r="L45" s="224"/>
      <c r="M45" s="230" t="n">
        <f aca="false">IFERROR(__xludf.dummyfunction("""COMPUTED_VALUE"""),39.5)</f>
        <v>39.5</v>
      </c>
      <c r="N45" s="231" t="e">
        <f aca="false" t="array" ref="N45:N45">IF(OR(ISBLANK($M45),ISBLANK(N$5),$B$22="N/A"),,ROUNDDOWN(0.5*$I$194*(($C$14+N$5)/(ROUND(INDEX('0.0.1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5" s="231" t="e">
        <f aca="false" t="array" ref="O45:O45">IF(OR(ISBLANK($M45),ISBLANK(O$5),$B$22="N/A"),,ROUNDDOWN(0.5*$I$194*(($C$14+O$5)/(ROUND(INDEX('0.0.1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5" s="231" t="e">
        <f aca="false" t="array" ref="P45:P45">IF(OR(ISBLANK($M45),ISBLANK(P$5),$B$22="N/A"),,ROUNDDOWN(0.5*$I$194*(($C$14+P$5)/(ROUND(INDEX('0.0.1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5" s="231" t="e">
        <f aca="false" t="array" ref="Q45:Q45">IF(OR(ISBLANK($M45),ISBLANK(Q$5),$B$22="N/A"),,ROUNDDOWN(0.5*$I$194*(($C$14+Q$5)/(ROUND(INDEX('0.0.1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5" s="231" t="e">
        <f aca="false" t="array" ref="R45:R45">IF(OR(ISBLANK($M45),ISBLANK(R$5),$B$22="N/A"),,ROUNDDOWN(0.5*$I$194*(($C$14+R$5)/(ROUND(INDEX('0.0.1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5" s="231" t="e">
        <f aca="false" t="array" ref="S45:S45">IF(OR(ISBLANK($M45),ISBLANK(S$5),$B$22="N/A"),,ROUNDDOWN(0.5*$I$194*(($C$14+S$5)/(ROUND(INDEX('0.0.1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5" s="231" t="e">
        <f aca="false" t="array" ref="T45:T45">IF(OR(ISBLANK($M45),ISBLANK(T$5),$B$22="N/A"),,ROUNDDOWN(0.5*$I$194*(($C$14+T$5)/(ROUND(INDEX('0.0.1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5" s="231" t="e">
        <f aca="false" t="array" ref="U45:U45">IF(OR(ISBLANK($M45),ISBLANK(U$5),$B$22="N/A"),,ROUNDDOWN(0.5*$I$194*(($C$14+U$5)/(ROUND(INDEX('0.0.1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5" s="231" t="e">
        <f aca="false" t="array" ref="V45:V45">IF(OR(ISBLANK($M45),ISBLANK(V$5),$B$22="N/A"),,ROUNDDOWN(0.5*$I$194*(($C$14+V$5)/(ROUND(INDEX('0.0.1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5" s="231" t="e">
        <f aca="false" t="array" ref="W45:W45">IF(OR(ISBLANK($M45),ISBLANK(W$5),$B$22="N/A"),,ROUNDDOWN(0.5*$I$194*(($C$14+W$5)/(ROUND(INDEX('0.0.1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5" s="231" t="e">
        <f aca="false" t="array" ref="X45:X45">IF(OR(ISBLANK($M45),ISBLANK(X$5),$B$22="N/A"),,ROUNDDOWN(0.5*$I$194*(($C$14+X$5)/(ROUND(INDEX('0.0.1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5" s="231" t="e">
        <f aca="false" t="array" ref="Y45:Y45">IF(OR(ISBLANK($M45),ISBLANK(Y$5),$B$22="N/A"),,ROUNDDOWN(0.5*$I$194*(($C$14+Y$5)/(ROUND(INDEX('0.0.1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5" s="231" t="e">
        <f aca="false" t="array" ref="Z45:Z45">IF(OR(ISBLANK($M45),ISBLANK(Z$5),$B$22="N/A"),,ROUNDDOWN(0.5*$I$194*(($C$14+Z$5)/(ROUND(INDEX('0.0.1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5" s="231" t="e">
        <f aca="false" t="array" ref="AA45:AA45">IF(OR(ISBLANK($M45),ISBLANK(AA$5),$B$22="N/A"),,ROUNDDOWN(0.5*$I$194*(($C$14+AA$5)/(ROUND(INDEX('0.0.1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5" s="231" t="e">
        <f aca="false" t="array" ref="AB45:AB45">IF(OR(ISBLANK($M45),ISBLANK(AB$5),$B$22="N/A"),,ROUNDDOWN(0.5*$I$194*(($C$14+AB$5)/(ROUND(INDEX('0.0.1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5" s="231" t="e">
        <f aca="false" t="array" ref="AC45:AC45">IF(OR(ISBLANK($M45),ISBLANK(AC$5),$B$22="N/A"),,ROUNDDOWN(0.5*$I$194*(($C$14+AC$5)/(ROUND(INDEX('0.0.1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5" s="224"/>
      <c r="AE45" s="234"/>
    </row>
    <row r="46" customFormat="false" ht="15.75" hidden="false" customHeight="false" outlineLevel="0" collapsed="false">
      <c r="A46" s="206"/>
      <c r="B46" s="206"/>
      <c r="C46" s="217"/>
      <c r="D46" s="217"/>
      <c r="E46" s="232"/>
      <c r="F46" s="217"/>
      <c r="G46" s="217"/>
      <c r="H46" s="217"/>
      <c r="I46" s="217"/>
      <c r="J46" s="223"/>
      <c r="K46" s="224"/>
      <c r="L46" s="224"/>
      <c r="M46" s="230" t="n">
        <f aca="false">IFERROR(__xludf.dummyfunction("""COMPUTED_VALUE"""),40)</f>
        <v>40</v>
      </c>
      <c r="N46" s="231" t="e">
        <f aca="false" t="array" ref="N46:N46">IF(OR(ISBLANK($M46),ISBLANK(N$5),$B$22="N/A"),,ROUNDDOWN(0.5*$I$194*(($C$14+N$5)/(ROUND(INDEX('0.0.1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O46" s="231" t="e">
        <f aca="false" t="array" ref="O46:O46">IF(OR(ISBLANK($M46),ISBLANK(O$5),$B$22="N/A"),,ROUNDDOWN(0.5*$I$194*(($C$14+O$5)/(ROUND(INDEX('0.0.1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P46" s="231" t="e">
        <f aca="false" t="array" ref="P46:P46">IF(OR(ISBLANK($M46),ISBLANK(P$5),$B$22="N/A"),,ROUNDDOWN(0.5*$I$194*(($C$14+P$5)/(ROUND(INDEX('0.0.1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Q46" s="231" t="e">
        <f aca="false" t="array" ref="Q46:Q46">IF(OR(ISBLANK($M46),ISBLANK(Q$5),$B$22="N/A"),,ROUNDDOWN(0.5*$I$194*(($C$14+Q$5)/(ROUND(INDEX('0.0.1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R46" s="231" t="e">
        <f aca="false" t="array" ref="R46:R46">IF(OR(ISBLANK($M46),ISBLANK(R$5),$B$22="N/A"),,ROUNDDOWN(0.5*$I$194*(($C$14+R$5)/(ROUND(INDEX('0.0.1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S46" s="231" t="e">
        <f aca="false" t="array" ref="S46:S46">IF(OR(ISBLANK($M46),ISBLANK(S$5),$B$22="N/A"),,ROUNDDOWN(0.5*$I$194*(($C$14+S$5)/(ROUND(INDEX('0.0.1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T46" s="231" t="e">
        <f aca="false" t="array" ref="T46:T46">IF(OR(ISBLANK($M46),ISBLANK(T$5),$B$22="N/A"),,ROUNDDOWN(0.5*$I$194*(($C$14+T$5)/(ROUND(INDEX('0.0.1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U46" s="231" t="e">
        <f aca="false" t="array" ref="U46:U46">IF(OR(ISBLANK($M46),ISBLANK(U$5),$B$22="N/A"),,ROUNDDOWN(0.5*$I$194*(($C$14+U$5)/(ROUND(INDEX('0.0.1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V46" s="231" t="e">
        <f aca="false" t="array" ref="V46:V46">IF(OR(ISBLANK($M46),ISBLANK(V$5),$B$22="N/A"),,ROUNDDOWN(0.5*$I$194*(($C$14+V$5)/(ROUND(INDEX('0.0.1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W46" s="231" t="e">
        <f aca="false" t="array" ref="W46:W46">IF(OR(ISBLANK($M46),ISBLANK(W$5),$B$22="N/A"),,ROUNDDOWN(0.5*$I$194*(($C$14+W$5)/(ROUND(INDEX('0.0.1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X46" s="231" t="e">
        <f aca="false" t="array" ref="X46:X46">IF(OR(ISBLANK($M46),ISBLANK(X$5),$B$22="N/A"),,ROUNDDOWN(0.5*$I$194*(($C$14+X$5)/(ROUND(INDEX('0.0.1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Y46" s="231" t="e">
        <f aca="false" t="array" ref="Y46:Y46">IF(OR(ISBLANK($M46),ISBLANK(Y$5),$B$22="N/A"),,ROUNDDOWN(0.5*$I$194*(($C$14+Y$5)/(ROUND(INDEX('0.0.1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Z46" s="231" t="e">
        <f aca="false" t="array" ref="Z46:Z46">IF(OR(ISBLANK($M46),ISBLANK(Z$5),$B$22="N/A"),,ROUNDDOWN(0.5*$I$194*(($C$14+Z$5)/(ROUND(INDEX('0.0.1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A46" s="231" t="e">
        <f aca="false" t="array" ref="AA46:AA46">IF(OR(ISBLANK($M46),ISBLANK(AA$5),$B$22="N/A"),,ROUNDDOWN(0.5*$I$194*(($C$14+AA$5)/(ROUND(INDEX('0.0.1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B46" s="231" t="e">
        <f aca="false" t="array" ref="AB46:AB46">IF(OR(ISBLANK($M46),ISBLANK(AB$5),$B$22="N/A"),,ROUNDDOWN(0.5*$I$194*(($C$14+AB$5)/(ROUND(INDEX('0.0.1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C46" s="231" t="e">
        <f aca="false" t="array" ref="AC46:AC46">IF(OR(ISBLANK($M46),ISBLANK(AC$5),$B$22="N/A"),,ROUNDDOWN(0.5*$I$194*(($C$14+AC$5)/(ROUND(INDEX('0.0.1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#N/A</v>
      </c>
      <c r="AD46" s="224"/>
      <c r="AE46" s="234"/>
    </row>
    <row r="47" customFormat="false" ht="15.75" hidden="false" customHeight="false" outlineLevel="0" collapsed="false">
      <c r="A47" s="206"/>
      <c r="B47" s="206"/>
      <c r="C47" s="217"/>
      <c r="D47" s="217"/>
      <c r="E47" s="232"/>
      <c r="F47" s="217"/>
      <c r="G47" s="217"/>
      <c r="H47" s="217"/>
      <c r="I47" s="217"/>
      <c r="J47" s="223"/>
      <c r="K47" s="224"/>
      <c r="L47" s="224"/>
      <c r="M47" s="230"/>
      <c r="N47" s="231" t="n">
        <f aca="false">IF(OR(ISBLANK($M47),ISBLANK(N$5),$B$22="N/A"),,ROUNDDOWN(0.5*$I$194*(($C$14+N$5)/(ROUND(INDEX('0.0.1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7" s="231" t="n">
        <f aca="false">IF(OR(ISBLANK($M47),ISBLANK(O$5),$B$22="N/A"),,ROUNDDOWN(0.5*$I$194*(($C$14+O$5)/(ROUND(INDEX('0.0.1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7" s="231" t="n">
        <f aca="false">IF(OR(ISBLANK($M47),ISBLANK(P$5),$B$22="N/A"),,ROUNDDOWN(0.5*$I$194*(($C$14+P$5)/(ROUND(INDEX('0.0.1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7" s="231" t="n">
        <f aca="false">IF(OR(ISBLANK($M47),ISBLANK(Q$5),$B$22="N/A"),,ROUNDDOWN(0.5*$I$194*(($C$14+Q$5)/(ROUND(INDEX('0.0.1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7" s="231" t="n">
        <f aca="false">IF(OR(ISBLANK($M47),ISBLANK(R$5),$B$22="N/A"),,ROUNDDOWN(0.5*$I$194*(($C$14+R$5)/(ROUND(INDEX('0.0.1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7" s="231" t="n">
        <f aca="false">IF(OR(ISBLANK($M47),ISBLANK(S$5),$B$22="N/A"),,ROUNDDOWN(0.5*$I$194*(($C$14+S$5)/(ROUND(INDEX('0.0.1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7" s="231" t="n">
        <f aca="false">IF(OR(ISBLANK($M47),ISBLANK(T$5),$B$22="N/A"),,ROUNDDOWN(0.5*$I$194*(($C$14+T$5)/(ROUND(INDEX('0.0.1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7" s="231" t="n">
        <f aca="false">IF(OR(ISBLANK($M47),ISBLANK(U$5),$B$22="N/A"),,ROUNDDOWN(0.5*$I$194*(($C$14+U$5)/(ROUND(INDEX('0.0.1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7" s="231" t="n">
        <f aca="false">IF(OR(ISBLANK($M47),ISBLANK(V$5),$B$22="N/A"),,ROUNDDOWN(0.5*$I$194*(($C$14+V$5)/(ROUND(INDEX('0.0.1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7" s="231" t="n">
        <f aca="false">IF(OR(ISBLANK($M47),ISBLANK(W$5),$B$22="N/A"),,ROUNDDOWN(0.5*$I$194*(($C$14+W$5)/(ROUND(INDEX('0.0.1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7" s="231" t="n">
        <f aca="false">IF(OR(ISBLANK($M47),ISBLANK(X$5),$B$22="N/A"),,ROUNDDOWN(0.5*$I$194*(($C$14+X$5)/(ROUND(INDEX('0.0.1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7" s="231" t="n">
        <f aca="false">IF(OR(ISBLANK($M47),ISBLANK(Y$5),$B$22="N/A"),,ROUNDDOWN(0.5*$I$194*(($C$14+Y$5)/(ROUND(INDEX('0.0.1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7" s="231" t="n">
        <f aca="false">IF(OR(ISBLANK($M47),ISBLANK(Z$5),$B$22="N/A"),,ROUNDDOWN(0.5*$I$194*(($C$14+Z$5)/(ROUND(INDEX('0.0.1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7" s="231" t="n">
        <f aca="false">IF(OR(ISBLANK($M47),ISBLANK(AA$5),$B$22="N/A"),,ROUNDDOWN(0.5*$I$194*(($C$14+AA$5)/(ROUND(INDEX('0.0.1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7" s="231" t="n">
        <f aca="false">IF(OR(ISBLANK($M47),ISBLANK(AB$5),$B$22="N/A"),,ROUNDDOWN(0.5*$I$194*(($C$14+AB$5)/(ROUND(INDEX('0.0.1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7" s="231" t="n">
        <f aca="false">IF(OR(ISBLANK($M47),ISBLANK(AC$5),$B$22="N/A"),,ROUNDDOWN(0.5*$I$194*(($C$14+AC$5)/(ROUND(INDEX('0.0.1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7" s="224"/>
      <c r="AE47" s="234"/>
    </row>
    <row r="48" customFormat="false" ht="15.75" hidden="false" customHeight="false" outlineLevel="0" collapsed="false">
      <c r="A48" s="206"/>
      <c r="B48" s="206"/>
      <c r="C48" s="217"/>
      <c r="D48" s="217"/>
      <c r="E48" s="232"/>
      <c r="F48" s="217"/>
      <c r="G48" s="217"/>
      <c r="H48" s="217"/>
      <c r="I48" s="217"/>
      <c r="J48" s="223"/>
      <c r="K48" s="224"/>
      <c r="L48" s="224"/>
      <c r="M48" s="230"/>
      <c r="N48" s="231" t="n">
        <f aca="false">IF(OR(ISBLANK($M48),ISBLANK(N$5),$B$22="N/A"),,ROUNDDOWN(0.5*$I$194*(($C$14+N$5)/(ROUND(INDEX('0.0.1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8" s="231" t="n">
        <f aca="false">IF(OR(ISBLANK($M48),ISBLANK(O$5),$B$22="N/A"),,ROUNDDOWN(0.5*$I$194*(($C$14+O$5)/(ROUND(INDEX('0.0.1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8" s="231" t="n">
        <f aca="false">IF(OR(ISBLANK($M48),ISBLANK(P$5),$B$22="N/A"),,ROUNDDOWN(0.5*$I$194*(($C$14+P$5)/(ROUND(INDEX('0.0.1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8" s="231" t="n">
        <f aca="false">IF(OR(ISBLANK($M48),ISBLANK(Q$5),$B$22="N/A"),,ROUNDDOWN(0.5*$I$194*(($C$14+Q$5)/(ROUND(INDEX('0.0.1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8" s="231" t="n">
        <f aca="false">IF(OR(ISBLANK($M48),ISBLANK(R$5),$B$22="N/A"),,ROUNDDOWN(0.5*$I$194*(($C$14+R$5)/(ROUND(INDEX('0.0.1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8" s="231" t="n">
        <f aca="false">IF(OR(ISBLANK($M48),ISBLANK(S$5),$B$22="N/A"),,ROUNDDOWN(0.5*$I$194*(($C$14+S$5)/(ROUND(INDEX('0.0.1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8" s="231" t="n">
        <f aca="false">IF(OR(ISBLANK($M48),ISBLANK(T$5),$B$22="N/A"),,ROUNDDOWN(0.5*$I$194*(($C$14+T$5)/(ROUND(INDEX('0.0.1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8" s="231" t="n">
        <f aca="false">IF(OR(ISBLANK($M48),ISBLANK(U$5),$B$22="N/A"),,ROUNDDOWN(0.5*$I$194*(($C$14+U$5)/(ROUND(INDEX('0.0.1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8" s="231" t="n">
        <f aca="false">IF(OR(ISBLANK($M48),ISBLANK(V$5),$B$22="N/A"),,ROUNDDOWN(0.5*$I$194*(($C$14+V$5)/(ROUND(INDEX('0.0.1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8" s="231" t="n">
        <f aca="false">IF(OR(ISBLANK($M48),ISBLANK(W$5),$B$22="N/A"),,ROUNDDOWN(0.5*$I$194*(($C$14+W$5)/(ROUND(INDEX('0.0.1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8" s="231" t="n">
        <f aca="false">IF(OR(ISBLANK($M48),ISBLANK(X$5),$B$22="N/A"),,ROUNDDOWN(0.5*$I$194*(($C$14+X$5)/(ROUND(INDEX('0.0.1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8" s="231" t="n">
        <f aca="false">IF(OR(ISBLANK($M48),ISBLANK(Y$5),$B$22="N/A"),,ROUNDDOWN(0.5*$I$194*(($C$14+Y$5)/(ROUND(INDEX('0.0.1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8" s="231" t="n">
        <f aca="false">IF(OR(ISBLANK($M48),ISBLANK(Z$5),$B$22="N/A"),,ROUNDDOWN(0.5*$I$194*(($C$14+Z$5)/(ROUND(INDEX('0.0.1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8" s="231" t="n">
        <f aca="false">IF(OR(ISBLANK($M48),ISBLANK(AA$5),$B$22="N/A"),,ROUNDDOWN(0.5*$I$194*(($C$14+AA$5)/(ROUND(INDEX('0.0.1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8" s="231" t="n">
        <f aca="false">IF(OR(ISBLANK($M48),ISBLANK(AB$5),$B$22="N/A"),,ROUNDDOWN(0.5*$I$194*(($C$14+AB$5)/(ROUND(INDEX('0.0.1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8" s="231" t="n">
        <f aca="false">IF(OR(ISBLANK($M48),ISBLANK(AC$5),$B$22="N/A"),,ROUNDDOWN(0.5*$I$194*(($C$14+AC$5)/(ROUND(INDEX('0.0.1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8" s="224"/>
      <c r="AE48" s="234"/>
    </row>
    <row r="49" customFormat="false" ht="15.75" hidden="false" customHeight="false" outlineLevel="0" collapsed="false">
      <c r="A49" s="206"/>
      <c r="B49" s="206"/>
      <c r="C49" s="217"/>
      <c r="D49" s="217"/>
      <c r="E49" s="232"/>
      <c r="F49" s="217"/>
      <c r="G49" s="217"/>
      <c r="H49" s="217"/>
      <c r="I49" s="217"/>
      <c r="J49" s="223"/>
      <c r="K49" s="224"/>
      <c r="L49" s="224"/>
      <c r="M49" s="230"/>
      <c r="N49" s="231" t="n">
        <f aca="false">IF(OR(ISBLANK($M49),ISBLANK(N$5),$B$22="N/A"),,ROUNDDOWN(0.5*$I$194*(($C$14+N$5)/(ROUND(INDEX('0.0.1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49" s="231" t="n">
        <f aca="false">IF(OR(ISBLANK($M49),ISBLANK(O$5),$B$22="N/A"),,ROUNDDOWN(0.5*$I$194*(($C$14+O$5)/(ROUND(INDEX('0.0.1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49" s="231" t="n">
        <f aca="false">IF(OR(ISBLANK($M49),ISBLANK(P$5),$B$22="N/A"),,ROUNDDOWN(0.5*$I$194*(($C$14+P$5)/(ROUND(INDEX('0.0.1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49" s="231" t="n">
        <f aca="false">IF(OR(ISBLANK($M49),ISBLANK(Q$5),$B$22="N/A"),,ROUNDDOWN(0.5*$I$194*(($C$14+Q$5)/(ROUND(INDEX('0.0.1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49" s="231" t="n">
        <f aca="false">IF(OR(ISBLANK($M49),ISBLANK(R$5),$B$22="N/A"),,ROUNDDOWN(0.5*$I$194*(($C$14+R$5)/(ROUND(INDEX('0.0.1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49" s="231" t="n">
        <f aca="false">IF(OR(ISBLANK($M49),ISBLANK(S$5),$B$22="N/A"),,ROUNDDOWN(0.5*$I$194*(($C$14+S$5)/(ROUND(INDEX('0.0.1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49" s="231" t="n">
        <f aca="false">IF(OR(ISBLANK($M49),ISBLANK(T$5),$B$22="N/A"),,ROUNDDOWN(0.5*$I$194*(($C$14+T$5)/(ROUND(INDEX('0.0.1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49" s="231" t="n">
        <f aca="false">IF(OR(ISBLANK($M49),ISBLANK(U$5),$B$22="N/A"),,ROUNDDOWN(0.5*$I$194*(($C$14+U$5)/(ROUND(INDEX('0.0.1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49" s="231" t="n">
        <f aca="false">IF(OR(ISBLANK($M49),ISBLANK(V$5),$B$22="N/A"),,ROUNDDOWN(0.5*$I$194*(($C$14+V$5)/(ROUND(INDEX('0.0.1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49" s="231" t="n">
        <f aca="false">IF(OR(ISBLANK($M49),ISBLANK(W$5),$B$22="N/A"),,ROUNDDOWN(0.5*$I$194*(($C$14+W$5)/(ROUND(INDEX('0.0.1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49" s="231" t="n">
        <f aca="false">IF(OR(ISBLANK($M49),ISBLANK(X$5),$B$22="N/A"),,ROUNDDOWN(0.5*$I$194*(($C$14+X$5)/(ROUND(INDEX('0.0.1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49" s="231" t="n">
        <f aca="false">IF(OR(ISBLANK($M49),ISBLANK(Y$5),$B$22="N/A"),,ROUNDDOWN(0.5*$I$194*(($C$14+Y$5)/(ROUND(INDEX('0.0.1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49" s="231" t="n">
        <f aca="false">IF(OR(ISBLANK($M49),ISBLANK(Z$5),$B$22="N/A"),,ROUNDDOWN(0.5*$I$194*(($C$14+Z$5)/(ROUND(INDEX('0.0.1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49" s="231" t="n">
        <f aca="false">IF(OR(ISBLANK($M49),ISBLANK(AA$5),$B$22="N/A"),,ROUNDDOWN(0.5*$I$194*(($C$14+AA$5)/(ROUND(INDEX('0.0.1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49" s="231" t="n">
        <f aca="false">IF(OR(ISBLANK($M49),ISBLANK(AB$5),$B$22="N/A"),,ROUNDDOWN(0.5*$I$194*(($C$14+AB$5)/(ROUND(INDEX('0.0.1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49" s="231" t="n">
        <f aca="false">IF(OR(ISBLANK($M49),ISBLANK(AC$5),$B$22="N/A"),,ROUNDDOWN(0.5*$I$194*(($C$14+AC$5)/(ROUND(INDEX('0.0.1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Values'!$B$2:$B$80,MATCH($M49,'0.3.0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49" s="224"/>
      <c r="AE49" s="234"/>
    </row>
    <row r="50" customFormat="false" ht="15.75" hidden="false" customHeight="false" outlineLevel="0" collapsed="false">
      <c r="A50" s="206"/>
      <c r="B50" s="206"/>
      <c r="C50" s="217"/>
      <c r="D50" s="217"/>
      <c r="E50" s="232"/>
      <c r="F50" s="217"/>
      <c r="G50" s="217"/>
      <c r="H50" s="217"/>
      <c r="I50" s="217"/>
      <c r="J50" s="223"/>
      <c r="K50" s="224"/>
      <c r="L50" s="224"/>
      <c r="M50" s="230"/>
      <c r="N50" s="231" t="n">
        <f aca="false">IF(OR(ISBLANK($M50),ISBLANK(N$5),$B$22="N/A"),,ROUNDDOWN(0.5*$I$194*(($C$14+N$5)/(ROUND(INDEX('0.0.1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0" s="231" t="n">
        <f aca="false">IF(OR(ISBLANK($M50),ISBLANK(O$5),$B$22="N/A"),,ROUNDDOWN(0.5*$I$194*(($C$14+O$5)/(ROUND(INDEX('0.0.1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0" s="231" t="n">
        <f aca="false">IF(OR(ISBLANK($M50),ISBLANK(P$5),$B$22="N/A"),,ROUNDDOWN(0.5*$I$194*(($C$14+P$5)/(ROUND(INDEX('0.0.1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0" s="231" t="n">
        <f aca="false">IF(OR(ISBLANK($M50),ISBLANK(Q$5),$B$22="N/A"),,ROUNDDOWN(0.5*$I$194*(($C$14+Q$5)/(ROUND(INDEX('0.0.1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0" s="231" t="n">
        <f aca="false">IF(OR(ISBLANK($M50),ISBLANK(R$5),$B$22="N/A"),,ROUNDDOWN(0.5*$I$194*(($C$14+R$5)/(ROUND(INDEX('0.0.1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0" s="231" t="n">
        <f aca="false">IF(OR(ISBLANK($M50),ISBLANK(S$5),$B$22="N/A"),,ROUNDDOWN(0.5*$I$194*(($C$14+S$5)/(ROUND(INDEX('0.0.1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0" s="231" t="n">
        <f aca="false">IF(OR(ISBLANK($M50),ISBLANK(T$5),$B$22="N/A"),,ROUNDDOWN(0.5*$I$194*(($C$14+T$5)/(ROUND(INDEX('0.0.1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0" s="231" t="n">
        <f aca="false">IF(OR(ISBLANK($M50),ISBLANK(U$5),$B$22="N/A"),,ROUNDDOWN(0.5*$I$194*(($C$14+U$5)/(ROUND(INDEX('0.0.1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0" s="231" t="n">
        <f aca="false">IF(OR(ISBLANK($M50),ISBLANK(V$5),$B$22="N/A"),,ROUNDDOWN(0.5*$I$194*(($C$14+V$5)/(ROUND(INDEX('0.0.1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0" s="231" t="n">
        <f aca="false">IF(OR(ISBLANK($M50),ISBLANK(W$5),$B$22="N/A"),,ROUNDDOWN(0.5*$I$194*(($C$14+W$5)/(ROUND(INDEX('0.0.1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0" s="231" t="n">
        <f aca="false">IF(OR(ISBLANK($M50),ISBLANK(X$5),$B$22="N/A"),,ROUNDDOWN(0.5*$I$194*(($C$14+X$5)/(ROUND(INDEX('0.0.1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0" s="231" t="n">
        <f aca="false">IF(OR(ISBLANK($M50),ISBLANK(Y$5),$B$22="N/A"),,ROUNDDOWN(0.5*$I$194*(($C$14+Y$5)/(ROUND(INDEX('0.0.1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0" s="231" t="n">
        <f aca="false">IF(OR(ISBLANK($M50),ISBLANK(Z$5),$B$22="N/A"),,ROUNDDOWN(0.5*$I$194*(($C$14+Z$5)/(ROUND(INDEX('0.0.1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0" s="231" t="n">
        <f aca="false">IF(OR(ISBLANK($M50),ISBLANK(AA$5),$B$22="N/A"),,ROUNDDOWN(0.5*$I$194*(($C$14+AA$5)/(ROUND(INDEX('0.0.1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0" s="231" t="n">
        <f aca="false">IF(OR(ISBLANK($M50),ISBLANK(AB$5),$B$22="N/A"),,ROUNDDOWN(0.5*$I$194*(($C$14+AB$5)/(ROUND(INDEX('0.0.1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0" s="231" t="n">
        <f aca="false">IF(OR(ISBLANK($M50),ISBLANK(AC$5),$B$22="N/A"),,ROUNDDOWN(0.5*$I$194*(($C$14+AC$5)/(ROUND(INDEX('0.0.1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0" s="224"/>
      <c r="AE50" s="234"/>
    </row>
    <row r="51" customFormat="false" ht="15.75" hidden="false" customHeight="false" outlineLevel="0" collapsed="false">
      <c r="A51" s="206"/>
      <c r="B51" s="206"/>
      <c r="C51" s="217"/>
      <c r="D51" s="217"/>
      <c r="E51" s="232"/>
      <c r="F51" s="217"/>
      <c r="G51" s="217"/>
      <c r="H51" s="217"/>
      <c r="I51" s="217"/>
      <c r="J51" s="223"/>
      <c r="K51" s="224"/>
      <c r="L51" s="224"/>
      <c r="M51" s="230"/>
      <c r="N51" s="231" t="n">
        <f aca="false">IF(OR(ISBLANK($M51),ISBLANK(N$5),$B$22="N/A"),,ROUNDDOWN(0.5*$I$194*(($C$14+N$5)/(ROUND(INDEX('0.0.1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1" s="231" t="n">
        <f aca="false">IF(OR(ISBLANK($M51),ISBLANK(O$5),$B$22="N/A"),,ROUNDDOWN(0.5*$I$194*(($C$14+O$5)/(ROUND(INDEX('0.0.1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1" s="231" t="n">
        <f aca="false">IF(OR(ISBLANK($M51),ISBLANK(P$5),$B$22="N/A"),,ROUNDDOWN(0.5*$I$194*(($C$14+P$5)/(ROUND(INDEX('0.0.1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1" s="231" t="n">
        <f aca="false">IF(OR(ISBLANK($M51),ISBLANK(Q$5),$B$22="N/A"),,ROUNDDOWN(0.5*$I$194*(($C$14+Q$5)/(ROUND(INDEX('0.0.1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1" s="231" t="n">
        <f aca="false">IF(OR(ISBLANK($M51),ISBLANK(R$5),$B$22="N/A"),,ROUNDDOWN(0.5*$I$194*(($C$14+R$5)/(ROUND(INDEX('0.0.1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1" s="231" t="n">
        <f aca="false">IF(OR(ISBLANK($M51),ISBLANK(S$5),$B$22="N/A"),,ROUNDDOWN(0.5*$I$194*(($C$14+S$5)/(ROUND(INDEX('0.0.1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1" s="231" t="n">
        <f aca="false">IF(OR(ISBLANK($M51),ISBLANK(T$5),$B$22="N/A"),,ROUNDDOWN(0.5*$I$194*(($C$14+T$5)/(ROUND(INDEX('0.0.1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1" s="231" t="n">
        <f aca="false">IF(OR(ISBLANK($M51),ISBLANK(U$5),$B$22="N/A"),,ROUNDDOWN(0.5*$I$194*(($C$14+U$5)/(ROUND(INDEX('0.0.1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1" s="231" t="n">
        <f aca="false">IF(OR(ISBLANK($M51),ISBLANK(V$5),$B$22="N/A"),,ROUNDDOWN(0.5*$I$194*(($C$14+V$5)/(ROUND(INDEX('0.0.1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1" s="231" t="n">
        <f aca="false">IF(OR(ISBLANK($M51),ISBLANK(W$5),$B$22="N/A"),,ROUNDDOWN(0.5*$I$194*(($C$14+W$5)/(ROUND(INDEX('0.0.1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1" s="231" t="n">
        <f aca="false">IF(OR(ISBLANK($M51),ISBLANK(X$5),$B$22="N/A"),,ROUNDDOWN(0.5*$I$194*(($C$14+X$5)/(ROUND(INDEX('0.0.1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1" s="231" t="n">
        <f aca="false">IF(OR(ISBLANK($M51),ISBLANK(Y$5),$B$22="N/A"),,ROUNDDOWN(0.5*$I$194*(($C$14+Y$5)/(ROUND(INDEX('0.0.1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1" s="231" t="n">
        <f aca="false">IF(OR(ISBLANK($M51),ISBLANK(Z$5),$B$22="N/A"),,ROUNDDOWN(0.5*$I$194*(($C$14+Z$5)/(ROUND(INDEX('0.0.1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1" s="231" t="n">
        <f aca="false">IF(OR(ISBLANK($M51),ISBLANK(AA$5),$B$22="N/A"),,ROUNDDOWN(0.5*$I$194*(($C$14+AA$5)/(ROUND(INDEX('0.0.1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1" s="231" t="n">
        <f aca="false">IF(OR(ISBLANK($M51),ISBLANK(AB$5),$B$22="N/A"),,ROUNDDOWN(0.5*$I$194*(($C$14+AB$5)/(ROUND(INDEX('0.0.1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1" s="231" t="n">
        <f aca="false">IF(OR(ISBLANK($M51),ISBLANK(AC$5),$B$22="N/A"),,ROUNDDOWN(0.5*$I$194*(($C$14+AC$5)/(ROUND(INDEX('0.0.1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1" s="224"/>
      <c r="AE51" s="234"/>
    </row>
    <row r="52" customFormat="false" ht="15.75" hidden="false" customHeight="false" outlineLevel="0" collapsed="false">
      <c r="A52" s="206"/>
      <c r="B52" s="206"/>
      <c r="C52" s="217"/>
      <c r="D52" s="217"/>
      <c r="E52" s="232"/>
      <c r="F52" s="217"/>
      <c r="G52" s="217"/>
      <c r="H52" s="217"/>
      <c r="I52" s="217"/>
      <c r="J52" s="223"/>
      <c r="K52" s="224"/>
      <c r="L52" s="224"/>
      <c r="M52" s="230"/>
      <c r="N52" s="231" t="n">
        <f aca="false">IF(OR(ISBLANK($M52),ISBLANK(N$5),$B$22="N/A"),,ROUNDDOWN(0.5*$I$194*(($C$14+N$5)/(ROUND(INDEX('0.0.1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2" s="231" t="n">
        <f aca="false">IF(OR(ISBLANK($M52),ISBLANK(O$5),$B$22="N/A"),,ROUNDDOWN(0.5*$I$194*(($C$14+O$5)/(ROUND(INDEX('0.0.1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2" s="231" t="n">
        <f aca="false">IF(OR(ISBLANK($M52),ISBLANK(P$5),$B$22="N/A"),,ROUNDDOWN(0.5*$I$194*(($C$14+P$5)/(ROUND(INDEX('0.0.1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2" s="231" t="n">
        <f aca="false">IF(OR(ISBLANK($M52),ISBLANK(Q$5),$B$22="N/A"),,ROUNDDOWN(0.5*$I$194*(($C$14+Q$5)/(ROUND(INDEX('0.0.1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2" s="231" t="n">
        <f aca="false">IF(OR(ISBLANK($M52),ISBLANK(R$5),$B$22="N/A"),,ROUNDDOWN(0.5*$I$194*(($C$14+R$5)/(ROUND(INDEX('0.0.1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2" s="231" t="n">
        <f aca="false">IF(OR(ISBLANK($M52),ISBLANK(S$5),$B$22="N/A"),,ROUNDDOWN(0.5*$I$194*(($C$14+S$5)/(ROUND(INDEX('0.0.1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2" s="231" t="n">
        <f aca="false">IF(OR(ISBLANK($M52),ISBLANK(T$5),$B$22="N/A"),,ROUNDDOWN(0.5*$I$194*(($C$14+T$5)/(ROUND(INDEX('0.0.1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2" s="231" t="n">
        <f aca="false">IF(OR(ISBLANK($M52),ISBLANK(U$5),$B$22="N/A"),,ROUNDDOWN(0.5*$I$194*(($C$14+U$5)/(ROUND(INDEX('0.0.1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2" s="231" t="n">
        <f aca="false">IF(OR(ISBLANK($M52),ISBLANK(V$5),$B$22="N/A"),,ROUNDDOWN(0.5*$I$194*(($C$14+V$5)/(ROUND(INDEX('0.0.1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2" s="231" t="n">
        <f aca="false">IF(OR(ISBLANK($M52),ISBLANK(W$5),$B$22="N/A"),,ROUNDDOWN(0.5*$I$194*(($C$14+W$5)/(ROUND(INDEX('0.0.1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2" s="231" t="n">
        <f aca="false">IF(OR(ISBLANK($M52),ISBLANK(X$5),$B$22="N/A"),,ROUNDDOWN(0.5*$I$194*(($C$14+X$5)/(ROUND(INDEX('0.0.1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2" s="231" t="n">
        <f aca="false">IF(OR(ISBLANK($M52),ISBLANK(Y$5),$B$22="N/A"),,ROUNDDOWN(0.5*$I$194*(($C$14+Y$5)/(ROUND(INDEX('0.0.1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2" s="231" t="n">
        <f aca="false">IF(OR(ISBLANK($M52),ISBLANK(Z$5),$B$22="N/A"),,ROUNDDOWN(0.5*$I$194*(($C$14+Z$5)/(ROUND(INDEX('0.0.1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2" s="231" t="n">
        <f aca="false">IF(OR(ISBLANK($M52),ISBLANK(AA$5),$B$22="N/A"),,ROUNDDOWN(0.5*$I$194*(($C$14+AA$5)/(ROUND(INDEX('0.0.1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2" s="231" t="n">
        <f aca="false">IF(OR(ISBLANK($M52),ISBLANK(AB$5),$B$22="N/A"),,ROUNDDOWN(0.5*$I$194*(($C$14+AB$5)/(ROUND(INDEX('0.0.1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2" s="231" t="n">
        <f aca="false">IF(OR(ISBLANK($M52),ISBLANK(AC$5),$B$22="N/A"),,ROUNDDOWN(0.5*$I$194*(($C$14+AC$5)/(ROUND(INDEX('0.0.1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2" s="224"/>
      <c r="AE52" s="234"/>
    </row>
    <row r="53" customFormat="false" ht="15.75" hidden="false" customHeight="false" outlineLevel="0" collapsed="false">
      <c r="A53" s="206"/>
      <c r="B53" s="206"/>
      <c r="C53" s="217"/>
      <c r="D53" s="217"/>
      <c r="E53" s="232"/>
      <c r="F53" s="217"/>
      <c r="G53" s="217"/>
      <c r="H53" s="217"/>
      <c r="I53" s="217"/>
      <c r="J53" s="223"/>
      <c r="K53" s="224"/>
      <c r="L53" s="224"/>
      <c r="M53" s="230"/>
      <c r="N53" s="231" t="n">
        <f aca="false">IF(OR(ISBLANK($M53),ISBLANK(N$5),$B$22="N/A"),,ROUNDDOWN(0.5*$I$194*(($C$14+N$5)/(ROUND(INDEX('0.0.1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3" s="231" t="n">
        <f aca="false">IF(OR(ISBLANK($M53),ISBLANK(O$5),$B$22="N/A"),,ROUNDDOWN(0.5*$I$194*(($C$14+O$5)/(ROUND(INDEX('0.0.1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3" s="231" t="n">
        <f aca="false">IF(OR(ISBLANK($M53),ISBLANK(P$5),$B$22="N/A"),,ROUNDDOWN(0.5*$I$194*(($C$14+P$5)/(ROUND(INDEX('0.0.1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3" s="231" t="n">
        <f aca="false">IF(OR(ISBLANK($M53),ISBLANK(Q$5),$B$22="N/A"),,ROUNDDOWN(0.5*$I$194*(($C$14+Q$5)/(ROUND(INDEX('0.0.1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3" s="231" t="n">
        <f aca="false">IF(OR(ISBLANK($M53),ISBLANK(R$5),$B$22="N/A"),,ROUNDDOWN(0.5*$I$194*(($C$14+R$5)/(ROUND(INDEX('0.0.1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3" s="231" t="n">
        <f aca="false">IF(OR(ISBLANK($M53),ISBLANK(S$5),$B$22="N/A"),,ROUNDDOWN(0.5*$I$194*(($C$14+S$5)/(ROUND(INDEX('0.0.1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3" s="231" t="n">
        <f aca="false">IF(OR(ISBLANK($M53),ISBLANK(T$5),$B$22="N/A"),,ROUNDDOWN(0.5*$I$194*(($C$14+T$5)/(ROUND(INDEX('0.0.1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3" s="231" t="n">
        <f aca="false">IF(OR(ISBLANK($M53),ISBLANK(U$5),$B$22="N/A"),,ROUNDDOWN(0.5*$I$194*(($C$14+U$5)/(ROUND(INDEX('0.0.1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3" s="231" t="n">
        <f aca="false">IF(OR(ISBLANK($M53),ISBLANK(V$5),$B$22="N/A"),,ROUNDDOWN(0.5*$I$194*(($C$14+V$5)/(ROUND(INDEX('0.0.1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3" s="231" t="n">
        <f aca="false">IF(OR(ISBLANK($M53),ISBLANK(W$5),$B$22="N/A"),,ROUNDDOWN(0.5*$I$194*(($C$14+W$5)/(ROUND(INDEX('0.0.1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3" s="231" t="n">
        <f aca="false">IF(OR(ISBLANK($M53),ISBLANK(X$5),$B$22="N/A"),,ROUNDDOWN(0.5*$I$194*(($C$14+X$5)/(ROUND(INDEX('0.0.1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3" s="231" t="n">
        <f aca="false">IF(OR(ISBLANK($M53),ISBLANK(Y$5),$B$22="N/A"),,ROUNDDOWN(0.5*$I$194*(($C$14+Y$5)/(ROUND(INDEX('0.0.1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3" s="231" t="n">
        <f aca="false">IF(OR(ISBLANK($M53),ISBLANK(Z$5),$B$22="N/A"),,ROUNDDOWN(0.5*$I$194*(($C$14+Z$5)/(ROUND(INDEX('0.0.1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3" s="231" t="n">
        <f aca="false">IF(OR(ISBLANK($M53),ISBLANK(AA$5),$B$22="N/A"),,ROUNDDOWN(0.5*$I$194*(($C$14+AA$5)/(ROUND(INDEX('0.0.1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3" s="231" t="n">
        <f aca="false">IF(OR(ISBLANK($M53),ISBLANK(AB$5),$B$22="N/A"),,ROUNDDOWN(0.5*$I$194*(($C$14+AB$5)/(ROUND(INDEX('0.0.1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3" s="231" t="n">
        <f aca="false">IF(OR(ISBLANK($M53),ISBLANK(AC$5),$B$22="N/A"),,ROUNDDOWN(0.5*$I$194*(($C$14+AC$5)/(ROUND(INDEX('0.0.1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3" s="224"/>
      <c r="AE53" s="234"/>
    </row>
    <row r="54" customFormat="false" ht="15.75" hidden="false" customHeight="false" outlineLevel="0" collapsed="false">
      <c r="A54" s="206"/>
      <c r="B54" s="206"/>
      <c r="C54" s="217"/>
      <c r="D54" s="217"/>
      <c r="E54" s="232"/>
      <c r="F54" s="217"/>
      <c r="G54" s="217"/>
      <c r="H54" s="217"/>
      <c r="I54" s="217"/>
      <c r="J54" s="223"/>
      <c r="K54" s="224"/>
      <c r="L54" s="224"/>
      <c r="M54" s="230"/>
      <c r="N54" s="231" t="n">
        <f aca="false">IF(OR(ISBLANK($M54),ISBLANK(N$5),$B$22="N/A"),,ROUNDDOWN(0.5*$I$194*(($C$14+N$5)/(ROUND(INDEX('0.0.1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4" s="231" t="n">
        <f aca="false">IF(OR(ISBLANK($M54),ISBLANK(O$5),$B$22="N/A"),,ROUNDDOWN(0.5*$I$194*(($C$14+O$5)/(ROUND(INDEX('0.0.1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4" s="231" t="n">
        <f aca="false">IF(OR(ISBLANK($M54),ISBLANK(P$5),$B$22="N/A"),,ROUNDDOWN(0.5*$I$194*(($C$14+P$5)/(ROUND(INDEX('0.0.1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4" s="231" t="n">
        <f aca="false">IF(OR(ISBLANK($M54),ISBLANK(Q$5),$B$22="N/A"),,ROUNDDOWN(0.5*$I$194*(($C$14+Q$5)/(ROUND(INDEX('0.0.1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4" s="231" t="n">
        <f aca="false">IF(OR(ISBLANK($M54),ISBLANK(R$5),$B$22="N/A"),,ROUNDDOWN(0.5*$I$194*(($C$14+R$5)/(ROUND(INDEX('0.0.1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4" s="231" t="n">
        <f aca="false">IF(OR(ISBLANK($M54),ISBLANK(S$5),$B$22="N/A"),,ROUNDDOWN(0.5*$I$194*(($C$14+S$5)/(ROUND(INDEX('0.0.1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4" s="231" t="n">
        <f aca="false">IF(OR(ISBLANK($M54),ISBLANK(T$5),$B$22="N/A"),,ROUNDDOWN(0.5*$I$194*(($C$14+T$5)/(ROUND(INDEX('0.0.1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4" s="231" t="n">
        <f aca="false">IF(OR(ISBLANK($M54),ISBLANK(U$5),$B$22="N/A"),,ROUNDDOWN(0.5*$I$194*(($C$14+U$5)/(ROUND(INDEX('0.0.1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4" s="231" t="n">
        <f aca="false">IF(OR(ISBLANK($M54),ISBLANK(V$5),$B$22="N/A"),,ROUNDDOWN(0.5*$I$194*(($C$14+V$5)/(ROUND(INDEX('0.0.1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4" s="231" t="n">
        <f aca="false">IF(OR(ISBLANK($M54),ISBLANK(W$5),$B$22="N/A"),,ROUNDDOWN(0.5*$I$194*(($C$14+W$5)/(ROUND(INDEX('0.0.1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4" s="231" t="n">
        <f aca="false">IF(OR(ISBLANK($M54),ISBLANK(X$5),$B$22="N/A"),,ROUNDDOWN(0.5*$I$194*(($C$14+X$5)/(ROUND(INDEX('0.0.1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4" s="231" t="n">
        <f aca="false">IF(OR(ISBLANK($M54),ISBLANK(Y$5),$B$22="N/A"),,ROUNDDOWN(0.5*$I$194*(($C$14+Y$5)/(ROUND(INDEX('0.0.1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4" s="231" t="n">
        <f aca="false">IF(OR(ISBLANK($M54),ISBLANK(Z$5),$B$22="N/A"),,ROUNDDOWN(0.5*$I$194*(($C$14+Z$5)/(ROUND(INDEX('0.0.1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4" s="231" t="n">
        <f aca="false">IF(OR(ISBLANK($M54),ISBLANK(AA$5),$B$22="N/A"),,ROUNDDOWN(0.5*$I$194*(($C$14+AA$5)/(ROUND(INDEX('0.0.1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4" s="231" t="n">
        <f aca="false">IF(OR(ISBLANK($M54),ISBLANK(AB$5),$B$22="N/A"),,ROUNDDOWN(0.5*$I$194*(($C$14+AB$5)/(ROUND(INDEX('0.0.1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4" s="231" t="n">
        <f aca="false">IF(OR(ISBLANK($M54),ISBLANK(AC$5),$B$22="N/A"),,ROUNDDOWN(0.5*$I$194*(($C$14+AC$5)/(ROUND(INDEX('0.0.1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4" s="224"/>
      <c r="AE54" s="234"/>
    </row>
    <row r="55" customFormat="false" ht="15.75" hidden="false" customHeight="false" outlineLevel="0" collapsed="false">
      <c r="A55" s="206"/>
      <c r="B55" s="206"/>
      <c r="C55" s="217"/>
      <c r="D55" s="217"/>
      <c r="E55" s="232"/>
      <c r="F55" s="217"/>
      <c r="G55" s="217"/>
      <c r="H55" s="217"/>
      <c r="I55" s="217"/>
      <c r="J55" s="223"/>
      <c r="K55" s="224"/>
      <c r="L55" s="224"/>
      <c r="M55" s="230"/>
      <c r="N55" s="231" t="n">
        <f aca="false">IF(OR(ISBLANK($M55),ISBLANK(N$5),$B$22="N/A"),,ROUNDDOWN(0.5*$I$194*(($C$14+N$5)/(ROUND(INDEX('0.0.1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5" s="231" t="n">
        <f aca="false">IF(OR(ISBLANK($M55),ISBLANK(O$5),$B$22="N/A"),,ROUNDDOWN(0.5*$I$194*(($C$14+O$5)/(ROUND(INDEX('0.0.1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5" s="231" t="n">
        <f aca="false">IF(OR(ISBLANK($M55),ISBLANK(P$5),$B$22="N/A"),,ROUNDDOWN(0.5*$I$194*(($C$14+P$5)/(ROUND(INDEX('0.0.1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5" s="231" t="n">
        <f aca="false">IF(OR(ISBLANK($M55),ISBLANK(Q$5),$B$22="N/A"),,ROUNDDOWN(0.5*$I$194*(($C$14+Q$5)/(ROUND(INDEX('0.0.1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5" s="231" t="n">
        <f aca="false">IF(OR(ISBLANK($M55),ISBLANK(R$5),$B$22="N/A"),,ROUNDDOWN(0.5*$I$194*(($C$14+R$5)/(ROUND(INDEX('0.0.1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5" s="231" t="n">
        <f aca="false">IF(OR(ISBLANK($M55),ISBLANK(S$5),$B$22="N/A"),,ROUNDDOWN(0.5*$I$194*(($C$14+S$5)/(ROUND(INDEX('0.0.1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5" s="231" t="n">
        <f aca="false">IF(OR(ISBLANK($M55),ISBLANK(T$5),$B$22="N/A"),,ROUNDDOWN(0.5*$I$194*(($C$14+T$5)/(ROUND(INDEX('0.0.1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5" s="231" t="n">
        <f aca="false">IF(OR(ISBLANK($M55),ISBLANK(U$5),$B$22="N/A"),,ROUNDDOWN(0.5*$I$194*(($C$14+U$5)/(ROUND(INDEX('0.0.1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5" s="231" t="n">
        <f aca="false">IF(OR(ISBLANK($M55),ISBLANK(V$5),$B$22="N/A"),,ROUNDDOWN(0.5*$I$194*(($C$14+V$5)/(ROUND(INDEX('0.0.1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5" s="231" t="n">
        <f aca="false">IF(OR(ISBLANK($M55),ISBLANK(W$5),$B$22="N/A"),,ROUNDDOWN(0.5*$I$194*(($C$14+W$5)/(ROUND(INDEX('0.0.1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5" s="231" t="n">
        <f aca="false">IF(OR(ISBLANK($M55),ISBLANK(X$5),$B$22="N/A"),,ROUNDDOWN(0.5*$I$194*(($C$14+X$5)/(ROUND(INDEX('0.0.1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5" s="231" t="n">
        <f aca="false">IF(OR(ISBLANK($M55),ISBLANK(Y$5),$B$22="N/A"),,ROUNDDOWN(0.5*$I$194*(($C$14+Y$5)/(ROUND(INDEX('0.0.1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5" s="231" t="n">
        <f aca="false">IF(OR(ISBLANK($M55),ISBLANK(Z$5),$B$22="N/A"),,ROUNDDOWN(0.5*$I$194*(($C$14+Z$5)/(ROUND(INDEX('0.0.1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5" s="231" t="n">
        <f aca="false">IF(OR(ISBLANK($M55),ISBLANK(AA$5),$B$22="N/A"),,ROUNDDOWN(0.5*$I$194*(($C$14+AA$5)/(ROUND(INDEX('0.0.1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5" s="231" t="n">
        <f aca="false">IF(OR(ISBLANK($M55),ISBLANK(AB$5),$B$22="N/A"),,ROUNDDOWN(0.5*$I$194*(($C$14+AB$5)/(ROUND(INDEX('0.0.1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5" s="231" t="n">
        <f aca="false">IF(OR(ISBLANK($M55),ISBLANK(AC$5),$B$22="N/A"),,ROUNDDOWN(0.5*$I$194*(($C$14+AC$5)/(ROUND(INDEX('0.0.1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5" s="224"/>
      <c r="AE55" s="234"/>
    </row>
    <row r="56" customFormat="false" ht="15.75" hidden="false" customHeight="false" outlineLevel="0" collapsed="false">
      <c r="A56" s="206"/>
      <c r="B56" s="206"/>
      <c r="C56" s="217"/>
      <c r="D56" s="217"/>
      <c r="E56" s="232"/>
      <c r="F56" s="217"/>
      <c r="G56" s="217"/>
      <c r="H56" s="217"/>
      <c r="I56" s="217"/>
      <c r="J56" s="223"/>
      <c r="K56" s="224"/>
      <c r="L56" s="224"/>
      <c r="M56" s="230"/>
      <c r="N56" s="231" t="n">
        <f aca="false">IF(OR(ISBLANK($M56),ISBLANK(N$5),$B$22="N/A"),,ROUNDDOWN(0.5*$I$194*(($C$14+N$5)/(ROUND(INDEX('0.0.1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6" s="231" t="n">
        <f aca="false">IF(OR(ISBLANK($M56),ISBLANK(O$5),$B$22="N/A"),,ROUNDDOWN(0.5*$I$194*(($C$14+O$5)/(ROUND(INDEX('0.0.1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6" s="231" t="n">
        <f aca="false">IF(OR(ISBLANK($M56),ISBLANK(P$5),$B$22="N/A"),,ROUNDDOWN(0.5*$I$194*(($C$14+P$5)/(ROUND(INDEX('0.0.1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6" s="231" t="n">
        <f aca="false">IF(OR(ISBLANK($M56),ISBLANK(Q$5),$B$22="N/A"),,ROUNDDOWN(0.5*$I$194*(($C$14+Q$5)/(ROUND(INDEX('0.0.1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6" s="231" t="n">
        <f aca="false">IF(OR(ISBLANK($M56),ISBLANK(R$5),$B$22="N/A"),,ROUNDDOWN(0.5*$I$194*(($C$14+R$5)/(ROUND(INDEX('0.0.1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6" s="231" t="n">
        <f aca="false">IF(OR(ISBLANK($M56),ISBLANK(S$5),$B$22="N/A"),,ROUNDDOWN(0.5*$I$194*(($C$14+S$5)/(ROUND(INDEX('0.0.1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6" s="231" t="n">
        <f aca="false">IF(OR(ISBLANK($M56),ISBLANK(T$5),$B$22="N/A"),,ROUNDDOWN(0.5*$I$194*(($C$14+T$5)/(ROUND(INDEX('0.0.1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6" s="231" t="n">
        <f aca="false">IF(OR(ISBLANK($M56),ISBLANK(U$5),$B$22="N/A"),,ROUNDDOWN(0.5*$I$194*(($C$14+U$5)/(ROUND(INDEX('0.0.1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6" s="231" t="n">
        <f aca="false">IF(OR(ISBLANK($M56),ISBLANK(V$5),$B$22="N/A"),,ROUNDDOWN(0.5*$I$194*(($C$14+V$5)/(ROUND(INDEX('0.0.1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6" s="231" t="n">
        <f aca="false">IF(OR(ISBLANK($M56),ISBLANK(W$5),$B$22="N/A"),,ROUNDDOWN(0.5*$I$194*(($C$14+W$5)/(ROUND(INDEX('0.0.1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6" s="231" t="n">
        <f aca="false">IF(OR(ISBLANK($M56),ISBLANK(X$5),$B$22="N/A"),,ROUNDDOWN(0.5*$I$194*(($C$14+X$5)/(ROUND(INDEX('0.0.1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6" s="231" t="n">
        <f aca="false">IF(OR(ISBLANK($M56),ISBLANK(Y$5),$B$22="N/A"),,ROUNDDOWN(0.5*$I$194*(($C$14+Y$5)/(ROUND(INDEX('0.0.1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6" s="231" t="n">
        <f aca="false">IF(OR(ISBLANK($M56),ISBLANK(Z$5),$B$22="N/A"),,ROUNDDOWN(0.5*$I$194*(($C$14+Z$5)/(ROUND(INDEX('0.0.1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6" s="231" t="n">
        <f aca="false">IF(OR(ISBLANK($M56),ISBLANK(AA$5),$B$22="N/A"),,ROUNDDOWN(0.5*$I$194*(($C$14+AA$5)/(ROUND(INDEX('0.0.1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6" s="231" t="n">
        <f aca="false">IF(OR(ISBLANK($M56),ISBLANK(AB$5),$B$22="N/A"),,ROUNDDOWN(0.5*$I$194*(($C$14+AB$5)/(ROUND(INDEX('0.0.1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6" s="231" t="n">
        <f aca="false">IF(OR(ISBLANK($M56),ISBLANK(AC$5),$B$22="N/A"),,ROUNDDOWN(0.5*$I$194*(($C$14+AC$5)/(ROUND(INDEX('0.0.1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6" s="224"/>
      <c r="AE56" s="234"/>
    </row>
    <row r="57" customFormat="false" ht="15.75" hidden="false" customHeight="false" outlineLevel="0" collapsed="false">
      <c r="A57" s="206"/>
      <c r="B57" s="206"/>
      <c r="C57" s="217"/>
      <c r="D57" s="217"/>
      <c r="E57" s="232"/>
      <c r="F57" s="217"/>
      <c r="G57" s="217"/>
      <c r="H57" s="217"/>
      <c r="I57" s="217"/>
      <c r="J57" s="223"/>
      <c r="K57" s="224"/>
      <c r="L57" s="224"/>
      <c r="M57" s="230"/>
      <c r="N57" s="231" t="n">
        <f aca="false">IF(OR(ISBLANK($M57),ISBLANK(N$5),$B$22="N/A"),,ROUNDDOWN(0.5*$I$194*(($C$14+N$5)/(ROUND(INDEX('0.0.1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7" s="231" t="n">
        <f aca="false">IF(OR(ISBLANK($M57),ISBLANK(O$5),$B$22="N/A"),,ROUNDDOWN(0.5*$I$194*(($C$14+O$5)/(ROUND(INDEX('0.0.1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7" s="231" t="n">
        <f aca="false">IF(OR(ISBLANK($M57),ISBLANK(P$5),$B$22="N/A"),,ROUNDDOWN(0.5*$I$194*(($C$14+P$5)/(ROUND(INDEX('0.0.1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7" s="231" t="n">
        <f aca="false">IF(OR(ISBLANK($M57),ISBLANK(Q$5),$B$22="N/A"),,ROUNDDOWN(0.5*$I$194*(($C$14+Q$5)/(ROUND(INDEX('0.0.1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7" s="231" t="n">
        <f aca="false">IF(OR(ISBLANK($M57),ISBLANK(R$5),$B$22="N/A"),,ROUNDDOWN(0.5*$I$194*(($C$14+R$5)/(ROUND(INDEX('0.0.1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7" s="231" t="n">
        <f aca="false">IF(OR(ISBLANK($M57),ISBLANK(S$5),$B$22="N/A"),,ROUNDDOWN(0.5*$I$194*(($C$14+S$5)/(ROUND(INDEX('0.0.1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7" s="231" t="n">
        <f aca="false">IF(OR(ISBLANK($M57),ISBLANK(T$5),$B$22="N/A"),,ROUNDDOWN(0.5*$I$194*(($C$14+T$5)/(ROUND(INDEX('0.0.1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7" s="231" t="n">
        <f aca="false">IF(OR(ISBLANK($M57),ISBLANK(U$5),$B$22="N/A"),,ROUNDDOWN(0.5*$I$194*(($C$14+U$5)/(ROUND(INDEX('0.0.1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7" s="231" t="n">
        <f aca="false">IF(OR(ISBLANK($M57),ISBLANK(V$5),$B$22="N/A"),,ROUNDDOWN(0.5*$I$194*(($C$14+V$5)/(ROUND(INDEX('0.0.1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7" s="231" t="n">
        <f aca="false">IF(OR(ISBLANK($M57),ISBLANK(W$5),$B$22="N/A"),,ROUNDDOWN(0.5*$I$194*(($C$14+W$5)/(ROUND(INDEX('0.0.1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7" s="231" t="n">
        <f aca="false">IF(OR(ISBLANK($M57),ISBLANK(X$5),$B$22="N/A"),,ROUNDDOWN(0.5*$I$194*(($C$14+X$5)/(ROUND(INDEX('0.0.1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7" s="231" t="n">
        <f aca="false">IF(OR(ISBLANK($M57),ISBLANK(Y$5),$B$22="N/A"),,ROUNDDOWN(0.5*$I$194*(($C$14+Y$5)/(ROUND(INDEX('0.0.1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7" s="231" t="n">
        <f aca="false">IF(OR(ISBLANK($M57),ISBLANK(Z$5),$B$22="N/A"),,ROUNDDOWN(0.5*$I$194*(($C$14+Z$5)/(ROUND(INDEX('0.0.1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7" s="231" t="n">
        <f aca="false">IF(OR(ISBLANK($M57),ISBLANK(AA$5),$B$22="N/A"),,ROUNDDOWN(0.5*$I$194*(($C$14+AA$5)/(ROUND(INDEX('0.0.1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7" s="231" t="n">
        <f aca="false">IF(OR(ISBLANK($M57),ISBLANK(AB$5),$B$22="N/A"),,ROUNDDOWN(0.5*$I$194*(($C$14+AB$5)/(ROUND(INDEX('0.0.1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7" s="231" t="n">
        <f aca="false">IF(OR(ISBLANK($M57),ISBLANK(AC$5),$B$22="N/A"),,ROUNDDOWN(0.5*$I$194*(($C$14+AC$5)/(ROUND(INDEX('0.0.1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7" s="224"/>
      <c r="AE57" s="234"/>
    </row>
    <row r="58" customFormat="false" ht="15.75" hidden="false" customHeight="false" outlineLevel="0" collapsed="false">
      <c r="A58" s="206"/>
      <c r="B58" s="206"/>
      <c r="C58" s="217"/>
      <c r="D58" s="217"/>
      <c r="E58" s="232"/>
      <c r="F58" s="217"/>
      <c r="G58" s="217"/>
      <c r="H58" s="217"/>
      <c r="I58" s="217"/>
      <c r="J58" s="223"/>
      <c r="K58" s="224"/>
      <c r="L58" s="224"/>
      <c r="M58" s="230"/>
      <c r="N58" s="231" t="n">
        <f aca="false">IF(OR(ISBLANK($M58),ISBLANK(N$5),$B$22="N/A"),,ROUNDDOWN(0.5*$I$194*(($C$14+N$5)/(ROUND(INDEX('0.0.1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8" s="231" t="n">
        <f aca="false">IF(OR(ISBLANK($M58),ISBLANK(O$5),$B$22="N/A"),,ROUNDDOWN(0.5*$I$194*(($C$14+O$5)/(ROUND(INDEX('0.0.1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8" s="231" t="n">
        <f aca="false">IF(OR(ISBLANK($M58),ISBLANK(P$5),$B$22="N/A"),,ROUNDDOWN(0.5*$I$194*(($C$14+P$5)/(ROUND(INDEX('0.0.1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8" s="231" t="n">
        <f aca="false">IF(OR(ISBLANK($M58),ISBLANK(Q$5),$B$22="N/A"),,ROUNDDOWN(0.5*$I$194*(($C$14+Q$5)/(ROUND(INDEX('0.0.1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8" s="231" t="n">
        <f aca="false">IF(OR(ISBLANK($M58),ISBLANK(R$5),$B$22="N/A"),,ROUNDDOWN(0.5*$I$194*(($C$14+R$5)/(ROUND(INDEX('0.0.1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8" s="231" t="n">
        <f aca="false">IF(OR(ISBLANK($M58),ISBLANK(S$5),$B$22="N/A"),,ROUNDDOWN(0.5*$I$194*(($C$14+S$5)/(ROUND(INDEX('0.0.1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8" s="231" t="n">
        <f aca="false">IF(OR(ISBLANK($M58),ISBLANK(T$5),$B$22="N/A"),,ROUNDDOWN(0.5*$I$194*(($C$14+T$5)/(ROUND(INDEX('0.0.1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8" s="231" t="n">
        <f aca="false">IF(OR(ISBLANK($M58),ISBLANK(U$5),$B$22="N/A"),,ROUNDDOWN(0.5*$I$194*(($C$14+U$5)/(ROUND(INDEX('0.0.1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8" s="231" t="n">
        <f aca="false">IF(OR(ISBLANK($M58),ISBLANK(V$5),$B$22="N/A"),,ROUNDDOWN(0.5*$I$194*(($C$14+V$5)/(ROUND(INDEX('0.0.1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8" s="231" t="n">
        <f aca="false">IF(OR(ISBLANK($M58),ISBLANK(W$5),$B$22="N/A"),,ROUNDDOWN(0.5*$I$194*(($C$14+W$5)/(ROUND(INDEX('0.0.1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8" s="231" t="n">
        <f aca="false">IF(OR(ISBLANK($M58),ISBLANK(X$5),$B$22="N/A"),,ROUNDDOWN(0.5*$I$194*(($C$14+X$5)/(ROUND(INDEX('0.0.1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8" s="231" t="n">
        <f aca="false">IF(OR(ISBLANK($M58),ISBLANK(Y$5),$B$22="N/A"),,ROUNDDOWN(0.5*$I$194*(($C$14+Y$5)/(ROUND(INDEX('0.0.1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8" s="231" t="n">
        <f aca="false">IF(OR(ISBLANK($M58),ISBLANK(Z$5),$B$22="N/A"),,ROUNDDOWN(0.5*$I$194*(($C$14+Z$5)/(ROUND(INDEX('0.0.1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8" s="231" t="n">
        <f aca="false">IF(OR(ISBLANK($M58),ISBLANK(AA$5),$B$22="N/A"),,ROUNDDOWN(0.5*$I$194*(($C$14+AA$5)/(ROUND(INDEX('0.0.1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8" s="231" t="n">
        <f aca="false">IF(OR(ISBLANK($M58),ISBLANK(AB$5),$B$22="N/A"),,ROUNDDOWN(0.5*$I$194*(($C$14+AB$5)/(ROUND(INDEX('0.0.1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8" s="231" t="n">
        <f aca="false">IF(OR(ISBLANK($M58),ISBLANK(AC$5),$B$22="N/A"),,ROUNDDOWN(0.5*$I$194*(($C$14+AC$5)/(ROUND(INDEX('0.0.1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8" s="224"/>
      <c r="AE58" s="234"/>
    </row>
    <row r="59" customFormat="false" ht="15.75" hidden="false" customHeight="false" outlineLevel="0" collapsed="false">
      <c r="A59" s="206"/>
      <c r="B59" s="206"/>
      <c r="C59" s="217"/>
      <c r="D59" s="217"/>
      <c r="E59" s="232"/>
      <c r="F59" s="217"/>
      <c r="G59" s="217"/>
      <c r="H59" s="217"/>
      <c r="I59" s="217"/>
      <c r="J59" s="223"/>
      <c r="K59" s="224"/>
      <c r="L59" s="224"/>
      <c r="M59" s="230"/>
      <c r="N59" s="231" t="n">
        <f aca="false">IF(OR(ISBLANK($M59),ISBLANK(N$5),$B$22="N/A"),,ROUNDDOWN(0.5*$I$194*(($C$14+N$5)/(ROUND(INDEX('0.0.1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59" s="231" t="n">
        <f aca="false">IF(OR(ISBLANK($M59),ISBLANK(O$5),$B$22="N/A"),,ROUNDDOWN(0.5*$I$194*(($C$14+O$5)/(ROUND(INDEX('0.0.1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59" s="231" t="n">
        <f aca="false">IF(OR(ISBLANK($M59),ISBLANK(P$5),$B$22="N/A"),,ROUNDDOWN(0.5*$I$194*(($C$14+P$5)/(ROUND(INDEX('0.0.1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59" s="231" t="n">
        <f aca="false">IF(OR(ISBLANK($M59),ISBLANK(Q$5),$B$22="N/A"),,ROUNDDOWN(0.5*$I$194*(($C$14+Q$5)/(ROUND(INDEX('0.0.1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59" s="231" t="n">
        <f aca="false">IF(OR(ISBLANK($M59),ISBLANK(R$5),$B$22="N/A"),,ROUNDDOWN(0.5*$I$194*(($C$14+R$5)/(ROUND(INDEX('0.0.1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59" s="231" t="n">
        <f aca="false">IF(OR(ISBLANK($M59),ISBLANK(S$5),$B$22="N/A"),,ROUNDDOWN(0.5*$I$194*(($C$14+S$5)/(ROUND(INDEX('0.0.1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59" s="231" t="n">
        <f aca="false">IF(OR(ISBLANK($M59),ISBLANK(T$5),$B$22="N/A"),,ROUNDDOWN(0.5*$I$194*(($C$14+T$5)/(ROUND(INDEX('0.0.1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59" s="231" t="n">
        <f aca="false">IF(OR(ISBLANK($M59),ISBLANK(U$5),$B$22="N/A"),,ROUNDDOWN(0.5*$I$194*(($C$14+U$5)/(ROUND(INDEX('0.0.1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59" s="231" t="n">
        <f aca="false">IF(OR(ISBLANK($M59),ISBLANK(V$5),$B$22="N/A"),,ROUNDDOWN(0.5*$I$194*(($C$14+V$5)/(ROUND(INDEX('0.0.1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59" s="231" t="n">
        <f aca="false">IF(OR(ISBLANK($M59),ISBLANK(W$5),$B$22="N/A"),,ROUNDDOWN(0.5*$I$194*(($C$14+W$5)/(ROUND(INDEX('0.0.1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59" s="231" t="n">
        <f aca="false">IF(OR(ISBLANK($M59),ISBLANK(X$5),$B$22="N/A"),,ROUNDDOWN(0.5*$I$194*(($C$14+X$5)/(ROUND(INDEX('0.0.1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59" s="231" t="n">
        <f aca="false">IF(OR(ISBLANK($M59),ISBLANK(Y$5),$B$22="N/A"),,ROUNDDOWN(0.5*$I$194*(($C$14+Y$5)/(ROUND(INDEX('0.0.1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59" s="231" t="n">
        <f aca="false">IF(OR(ISBLANK($M59),ISBLANK(Z$5),$B$22="N/A"),,ROUNDDOWN(0.5*$I$194*(($C$14+Z$5)/(ROUND(INDEX('0.0.1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59" s="231" t="n">
        <f aca="false">IF(OR(ISBLANK($M59),ISBLANK(AA$5),$B$22="N/A"),,ROUNDDOWN(0.5*$I$194*(($C$14+AA$5)/(ROUND(INDEX('0.0.1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59" s="231" t="n">
        <f aca="false">IF(OR(ISBLANK($M59),ISBLANK(AB$5),$B$22="N/A"),,ROUNDDOWN(0.5*$I$194*(($C$14+AB$5)/(ROUND(INDEX('0.0.1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59" s="231" t="n">
        <f aca="false">IF(OR(ISBLANK($M59),ISBLANK(AC$5),$B$22="N/A"),,ROUNDDOWN(0.5*$I$194*(($C$14+AC$5)/(ROUND(INDEX('0.0.1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Values'!$B$2:$B$80,MATCH($M59,'0.3.0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59" s="224"/>
      <c r="AE59" s="234"/>
    </row>
    <row r="60" customFormat="false" ht="15.75" hidden="false" customHeight="false" outlineLevel="0" collapsed="false">
      <c r="A60" s="206"/>
      <c r="B60" s="206"/>
      <c r="C60" s="217"/>
      <c r="D60" s="217"/>
      <c r="E60" s="232"/>
      <c r="F60" s="217"/>
      <c r="G60" s="217"/>
      <c r="H60" s="217"/>
      <c r="I60" s="217"/>
      <c r="J60" s="223"/>
      <c r="K60" s="224"/>
      <c r="L60" s="224"/>
      <c r="M60" s="230"/>
      <c r="N60" s="231" t="n">
        <f aca="false">IF(OR(ISBLANK($M60),ISBLANK(N$5),$B$22="N/A"),,ROUNDDOWN(0.5*$I$194*(($C$14+N$5)/(ROUND(INDEX('0.0.1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0" s="231" t="n">
        <f aca="false">IF(OR(ISBLANK($M60),ISBLANK(O$5),$B$22="N/A"),,ROUNDDOWN(0.5*$I$194*(($C$14+O$5)/(ROUND(INDEX('0.0.1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0" s="231" t="n">
        <f aca="false">IF(OR(ISBLANK($M60),ISBLANK(P$5),$B$22="N/A"),,ROUNDDOWN(0.5*$I$194*(($C$14+P$5)/(ROUND(INDEX('0.0.1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0" s="231" t="n">
        <f aca="false">IF(OR(ISBLANK($M60),ISBLANK(Q$5),$B$22="N/A"),,ROUNDDOWN(0.5*$I$194*(($C$14+Q$5)/(ROUND(INDEX('0.0.1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0" s="231" t="n">
        <f aca="false">IF(OR(ISBLANK($M60),ISBLANK(R$5),$B$22="N/A"),,ROUNDDOWN(0.5*$I$194*(($C$14+R$5)/(ROUND(INDEX('0.0.1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0" s="231" t="n">
        <f aca="false">IF(OR(ISBLANK($M60),ISBLANK(S$5),$B$22="N/A"),,ROUNDDOWN(0.5*$I$194*(($C$14+S$5)/(ROUND(INDEX('0.0.1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0" s="231" t="n">
        <f aca="false">IF(OR(ISBLANK($M60),ISBLANK(T$5),$B$22="N/A"),,ROUNDDOWN(0.5*$I$194*(($C$14+T$5)/(ROUND(INDEX('0.0.1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0" s="231" t="n">
        <f aca="false">IF(OR(ISBLANK($M60),ISBLANK(U$5),$B$22="N/A"),,ROUNDDOWN(0.5*$I$194*(($C$14+U$5)/(ROUND(INDEX('0.0.1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0" s="231" t="n">
        <f aca="false">IF(OR(ISBLANK($M60),ISBLANK(V$5),$B$22="N/A"),,ROUNDDOWN(0.5*$I$194*(($C$14+V$5)/(ROUND(INDEX('0.0.1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0" s="231" t="n">
        <f aca="false">IF(OR(ISBLANK($M60),ISBLANK(W$5),$B$22="N/A"),,ROUNDDOWN(0.5*$I$194*(($C$14+W$5)/(ROUND(INDEX('0.0.1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0" s="231" t="n">
        <f aca="false">IF(OR(ISBLANK($M60),ISBLANK(X$5),$B$22="N/A"),,ROUNDDOWN(0.5*$I$194*(($C$14+X$5)/(ROUND(INDEX('0.0.1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0" s="231" t="n">
        <f aca="false">IF(OR(ISBLANK($M60),ISBLANK(Y$5),$B$22="N/A"),,ROUNDDOWN(0.5*$I$194*(($C$14+Y$5)/(ROUND(INDEX('0.0.1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0" s="231" t="n">
        <f aca="false">IF(OR(ISBLANK($M60),ISBLANK(Z$5),$B$22="N/A"),,ROUNDDOWN(0.5*$I$194*(($C$14+Z$5)/(ROUND(INDEX('0.0.1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0" s="231" t="n">
        <f aca="false">IF(OR(ISBLANK($M60),ISBLANK(AA$5),$B$22="N/A"),,ROUNDDOWN(0.5*$I$194*(($C$14+AA$5)/(ROUND(INDEX('0.0.1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0" s="231" t="n">
        <f aca="false">IF(OR(ISBLANK($M60),ISBLANK(AB$5),$B$22="N/A"),,ROUNDDOWN(0.5*$I$194*(($C$14+AB$5)/(ROUND(INDEX('0.0.1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0" s="231" t="n">
        <f aca="false">IF(OR(ISBLANK($M60),ISBLANK(AC$5),$B$22="N/A"),,ROUNDDOWN(0.5*$I$194*(($C$14+AC$5)/(ROUND(INDEX('0.0.1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0" s="224"/>
      <c r="AE60" s="234"/>
    </row>
    <row r="61" customFormat="false" ht="15.75" hidden="false" customHeight="false" outlineLevel="0" collapsed="false">
      <c r="A61" s="206"/>
      <c r="B61" s="206"/>
      <c r="C61" s="217"/>
      <c r="D61" s="217"/>
      <c r="E61" s="232"/>
      <c r="F61" s="217"/>
      <c r="G61" s="217"/>
      <c r="H61" s="217"/>
      <c r="I61" s="217"/>
      <c r="J61" s="223"/>
      <c r="K61" s="224"/>
      <c r="L61" s="224"/>
      <c r="M61" s="230"/>
      <c r="N61" s="231" t="n">
        <f aca="false">IF(OR(ISBLANK($M61),ISBLANK(N$5),$B$22="N/A"),,ROUNDDOWN(0.5*$I$194*(($C$14+N$5)/(ROUND(INDEX('0.0.1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1" s="231" t="n">
        <f aca="false">IF(OR(ISBLANK($M61),ISBLANK(O$5),$B$22="N/A"),,ROUNDDOWN(0.5*$I$194*(($C$14+O$5)/(ROUND(INDEX('0.0.1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1" s="231" t="n">
        <f aca="false">IF(OR(ISBLANK($M61),ISBLANK(P$5),$B$22="N/A"),,ROUNDDOWN(0.5*$I$194*(($C$14+P$5)/(ROUND(INDEX('0.0.1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1" s="231" t="n">
        <f aca="false">IF(OR(ISBLANK($M61),ISBLANK(Q$5),$B$22="N/A"),,ROUNDDOWN(0.5*$I$194*(($C$14+Q$5)/(ROUND(INDEX('0.0.1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1" s="231" t="n">
        <f aca="false">IF(OR(ISBLANK($M61),ISBLANK(R$5),$B$22="N/A"),,ROUNDDOWN(0.5*$I$194*(($C$14+R$5)/(ROUND(INDEX('0.0.1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1" s="231" t="n">
        <f aca="false">IF(OR(ISBLANK($M61),ISBLANK(S$5),$B$22="N/A"),,ROUNDDOWN(0.5*$I$194*(($C$14+S$5)/(ROUND(INDEX('0.0.1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1" s="231" t="n">
        <f aca="false">IF(OR(ISBLANK($M61),ISBLANK(T$5),$B$22="N/A"),,ROUNDDOWN(0.5*$I$194*(($C$14+T$5)/(ROUND(INDEX('0.0.1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1" s="231" t="n">
        <f aca="false">IF(OR(ISBLANK($M61),ISBLANK(U$5),$B$22="N/A"),,ROUNDDOWN(0.5*$I$194*(($C$14+U$5)/(ROUND(INDEX('0.0.1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1" s="231" t="n">
        <f aca="false">IF(OR(ISBLANK($M61),ISBLANK(V$5),$B$22="N/A"),,ROUNDDOWN(0.5*$I$194*(($C$14+V$5)/(ROUND(INDEX('0.0.1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1" s="231" t="n">
        <f aca="false">IF(OR(ISBLANK($M61),ISBLANK(W$5),$B$22="N/A"),,ROUNDDOWN(0.5*$I$194*(($C$14+W$5)/(ROUND(INDEX('0.0.1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1" s="231" t="n">
        <f aca="false">IF(OR(ISBLANK($M61),ISBLANK(X$5),$B$22="N/A"),,ROUNDDOWN(0.5*$I$194*(($C$14+X$5)/(ROUND(INDEX('0.0.1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1" s="231" t="n">
        <f aca="false">IF(OR(ISBLANK($M61),ISBLANK(Y$5),$B$22="N/A"),,ROUNDDOWN(0.5*$I$194*(($C$14+Y$5)/(ROUND(INDEX('0.0.1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1" s="231" t="n">
        <f aca="false">IF(OR(ISBLANK($M61),ISBLANK(Z$5),$B$22="N/A"),,ROUNDDOWN(0.5*$I$194*(($C$14+Z$5)/(ROUND(INDEX('0.0.1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1" s="231" t="n">
        <f aca="false">IF(OR(ISBLANK($M61),ISBLANK(AA$5),$B$22="N/A"),,ROUNDDOWN(0.5*$I$194*(($C$14+AA$5)/(ROUND(INDEX('0.0.1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1" s="231" t="n">
        <f aca="false">IF(OR(ISBLANK($M61),ISBLANK(AB$5),$B$22="N/A"),,ROUNDDOWN(0.5*$I$194*(($C$14+AB$5)/(ROUND(INDEX('0.0.1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1" s="231" t="n">
        <f aca="false">IF(OR(ISBLANK($M61),ISBLANK(AC$5),$B$22="N/A"),,ROUNDDOWN(0.5*$I$194*(($C$14+AC$5)/(ROUND(INDEX('0.0.1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1" s="224"/>
      <c r="AE61" s="234"/>
    </row>
    <row r="62" customFormat="false" ht="15.75" hidden="false" customHeight="false" outlineLevel="0" collapsed="false">
      <c r="A62" s="206"/>
      <c r="B62" s="206"/>
      <c r="C62" s="217"/>
      <c r="D62" s="217"/>
      <c r="E62" s="232"/>
      <c r="F62" s="217"/>
      <c r="G62" s="217"/>
      <c r="H62" s="217"/>
      <c r="I62" s="217"/>
      <c r="J62" s="223"/>
      <c r="K62" s="224"/>
      <c r="L62" s="224"/>
      <c r="M62" s="230"/>
      <c r="N62" s="231" t="n">
        <f aca="false">IF(OR(ISBLANK($M62),ISBLANK(N$5),$B$22="N/A"),,ROUNDDOWN(0.5*$I$194*(($C$14+N$5)/(ROUND(INDEX('0.0.1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2" s="231" t="n">
        <f aca="false">IF(OR(ISBLANK($M62),ISBLANK(O$5),$B$22="N/A"),,ROUNDDOWN(0.5*$I$194*(($C$14+O$5)/(ROUND(INDEX('0.0.1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2" s="231" t="n">
        <f aca="false">IF(OR(ISBLANK($M62),ISBLANK(P$5),$B$22="N/A"),,ROUNDDOWN(0.5*$I$194*(($C$14+P$5)/(ROUND(INDEX('0.0.1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2" s="231" t="n">
        <f aca="false">IF(OR(ISBLANK($M62),ISBLANK(Q$5),$B$22="N/A"),,ROUNDDOWN(0.5*$I$194*(($C$14+Q$5)/(ROUND(INDEX('0.0.1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2" s="231" t="n">
        <f aca="false">IF(OR(ISBLANK($M62),ISBLANK(R$5),$B$22="N/A"),,ROUNDDOWN(0.5*$I$194*(($C$14+R$5)/(ROUND(INDEX('0.0.1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2" s="231" t="n">
        <f aca="false">IF(OR(ISBLANK($M62),ISBLANK(S$5),$B$22="N/A"),,ROUNDDOWN(0.5*$I$194*(($C$14+S$5)/(ROUND(INDEX('0.0.1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2" s="231" t="n">
        <f aca="false">IF(OR(ISBLANK($M62),ISBLANK(T$5),$B$22="N/A"),,ROUNDDOWN(0.5*$I$194*(($C$14+T$5)/(ROUND(INDEX('0.0.1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2" s="231" t="n">
        <f aca="false">IF(OR(ISBLANK($M62),ISBLANK(U$5),$B$22="N/A"),,ROUNDDOWN(0.5*$I$194*(($C$14+U$5)/(ROUND(INDEX('0.0.1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2" s="231" t="n">
        <f aca="false">IF(OR(ISBLANK($M62),ISBLANK(V$5),$B$22="N/A"),,ROUNDDOWN(0.5*$I$194*(($C$14+V$5)/(ROUND(INDEX('0.0.1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2" s="231" t="n">
        <f aca="false">IF(OR(ISBLANK($M62),ISBLANK(W$5),$B$22="N/A"),,ROUNDDOWN(0.5*$I$194*(($C$14+W$5)/(ROUND(INDEX('0.0.1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2" s="231" t="n">
        <f aca="false">IF(OR(ISBLANK($M62),ISBLANK(X$5),$B$22="N/A"),,ROUNDDOWN(0.5*$I$194*(($C$14+X$5)/(ROUND(INDEX('0.0.1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2" s="231" t="n">
        <f aca="false">IF(OR(ISBLANK($M62),ISBLANK(Y$5),$B$22="N/A"),,ROUNDDOWN(0.5*$I$194*(($C$14+Y$5)/(ROUND(INDEX('0.0.1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2" s="231" t="n">
        <f aca="false">IF(OR(ISBLANK($M62),ISBLANK(Z$5),$B$22="N/A"),,ROUNDDOWN(0.5*$I$194*(($C$14+Z$5)/(ROUND(INDEX('0.0.1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2" s="231" t="n">
        <f aca="false">IF(OR(ISBLANK($M62),ISBLANK(AA$5),$B$22="N/A"),,ROUNDDOWN(0.5*$I$194*(($C$14+AA$5)/(ROUND(INDEX('0.0.1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2" s="231" t="n">
        <f aca="false">IF(OR(ISBLANK($M62),ISBLANK(AB$5),$B$22="N/A"),,ROUNDDOWN(0.5*$I$194*(($C$14+AB$5)/(ROUND(INDEX('0.0.1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2" s="231" t="n">
        <f aca="false">IF(OR(ISBLANK($M62),ISBLANK(AC$5),$B$22="N/A"),,ROUNDDOWN(0.5*$I$194*(($C$14+AC$5)/(ROUND(INDEX('0.0.1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2" s="224"/>
      <c r="AE62" s="234"/>
    </row>
    <row r="63" customFormat="false" ht="15.75" hidden="false" customHeight="false" outlineLevel="0" collapsed="false">
      <c r="A63" s="206"/>
      <c r="B63" s="206"/>
      <c r="C63" s="217"/>
      <c r="D63" s="217"/>
      <c r="E63" s="232"/>
      <c r="F63" s="217"/>
      <c r="G63" s="217"/>
      <c r="H63" s="217"/>
      <c r="I63" s="217"/>
      <c r="J63" s="223"/>
      <c r="K63" s="224"/>
      <c r="L63" s="224"/>
      <c r="M63" s="230"/>
      <c r="N63" s="231" t="n">
        <f aca="false">IF(OR(ISBLANK($M63),ISBLANK(N$5),$B$22="N/A"),,ROUNDDOWN(0.5*$I$194*(($C$14+N$5)/(ROUND(INDEX('0.0.1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3" s="231" t="n">
        <f aca="false">IF(OR(ISBLANK($M63),ISBLANK(O$5),$B$22="N/A"),,ROUNDDOWN(0.5*$I$194*(($C$14+O$5)/(ROUND(INDEX('0.0.1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3" s="231" t="n">
        <f aca="false">IF(OR(ISBLANK($M63),ISBLANK(P$5),$B$22="N/A"),,ROUNDDOWN(0.5*$I$194*(($C$14+P$5)/(ROUND(INDEX('0.0.1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3" s="231" t="n">
        <f aca="false">IF(OR(ISBLANK($M63),ISBLANK(Q$5),$B$22="N/A"),,ROUNDDOWN(0.5*$I$194*(($C$14+Q$5)/(ROUND(INDEX('0.0.1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3" s="231" t="n">
        <f aca="false">IF(OR(ISBLANK($M63),ISBLANK(R$5),$B$22="N/A"),,ROUNDDOWN(0.5*$I$194*(($C$14+R$5)/(ROUND(INDEX('0.0.1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3" s="231" t="n">
        <f aca="false">IF(OR(ISBLANK($M63),ISBLANK(S$5),$B$22="N/A"),,ROUNDDOWN(0.5*$I$194*(($C$14+S$5)/(ROUND(INDEX('0.0.1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3" s="231" t="n">
        <f aca="false">IF(OR(ISBLANK($M63),ISBLANK(T$5),$B$22="N/A"),,ROUNDDOWN(0.5*$I$194*(($C$14+T$5)/(ROUND(INDEX('0.0.1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3" s="231" t="n">
        <f aca="false">IF(OR(ISBLANK($M63),ISBLANK(U$5),$B$22="N/A"),,ROUNDDOWN(0.5*$I$194*(($C$14+U$5)/(ROUND(INDEX('0.0.1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3" s="231" t="n">
        <f aca="false">IF(OR(ISBLANK($M63),ISBLANK(V$5),$B$22="N/A"),,ROUNDDOWN(0.5*$I$194*(($C$14+V$5)/(ROUND(INDEX('0.0.1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3" s="231" t="n">
        <f aca="false">IF(OR(ISBLANK($M63),ISBLANK(W$5),$B$22="N/A"),,ROUNDDOWN(0.5*$I$194*(($C$14+W$5)/(ROUND(INDEX('0.0.1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3" s="231" t="n">
        <f aca="false">IF(OR(ISBLANK($M63),ISBLANK(X$5),$B$22="N/A"),,ROUNDDOWN(0.5*$I$194*(($C$14+X$5)/(ROUND(INDEX('0.0.1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3" s="231" t="n">
        <f aca="false">IF(OR(ISBLANK($M63),ISBLANK(Y$5),$B$22="N/A"),,ROUNDDOWN(0.5*$I$194*(($C$14+Y$5)/(ROUND(INDEX('0.0.1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3" s="231" t="n">
        <f aca="false">IF(OR(ISBLANK($M63),ISBLANK(Z$5),$B$22="N/A"),,ROUNDDOWN(0.5*$I$194*(($C$14+Z$5)/(ROUND(INDEX('0.0.1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3" s="231" t="n">
        <f aca="false">IF(OR(ISBLANK($M63),ISBLANK(AA$5),$B$22="N/A"),,ROUNDDOWN(0.5*$I$194*(($C$14+AA$5)/(ROUND(INDEX('0.0.1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3" s="231" t="n">
        <f aca="false">IF(OR(ISBLANK($M63),ISBLANK(AB$5),$B$22="N/A"),,ROUNDDOWN(0.5*$I$194*(($C$14+AB$5)/(ROUND(INDEX('0.0.1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3" s="231" t="n">
        <f aca="false">IF(OR(ISBLANK($M63),ISBLANK(AC$5),$B$22="N/A"),,ROUNDDOWN(0.5*$I$194*(($C$14+AC$5)/(ROUND(INDEX('0.0.1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3" s="224"/>
      <c r="AE63" s="234"/>
    </row>
    <row r="64" customFormat="false" ht="15.75" hidden="false" customHeight="false" outlineLevel="0" collapsed="false">
      <c r="A64" s="206"/>
      <c r="B64" s="206"/>
      <c r="C64" s="217"/>
      <c r="D64" s="217"/>
      <c r="E64" s="232"/>
      <c r="F64" s="217"/>
      <c r="G64" s="217"/>
      <c r="H64" s="217"/>
      <c r="I64" s="217"/>
      <c r="J64" s="223"/>
      <c r="K64" s="224"/>
      <c r="L64" s="224"/>
      <c r="M64" s="230"/>
      <c r="N64" s="231" t="n">
        <f aca="false">IF(OR(ISBLANK($M64),ISBLANK(N$5),$B$22="N/A"),,ROUNDDOWN(0.5*$I$194*(($C$14+N$5)/(ROUND(INDEX('0.0.1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4" s="231" t="n">
        <f aca="false">IF(OR(ISBLANK($M64),ISBLANK(O$5),$B$22="N/A"),,ROUNDDOWN(0.5*$I$194*(($C$14+O$5)/(ROUND(INDEX('0.0.1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4" s="231" t="n">
        <f aca="false">IF(OR(ISBLANK($M64),ISBLANK(P$5),$B$22="N/A"),,ROUNDDOWN(0.5*$I$194*(($C$14+P$5)/(ROUND(INDEX('0.0.1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4" s="231" t="n">
        <f aca="false">IF(OR(ISBLANK($M64),ISBLANK(Q$5),$B$22="N/A"),,ROUNDDOWN(0.5*$I$194*(($C$14+Q$5)/(ROUND(INDEX('0.0.1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4" s="231" t="n">
        <f aca="false">IF(OR(ISBLANK($M64),ISBLANK(R$5),$B$22="N/A"),,ROUNDDOWN(0.5*$I$194*(($C$14+R$5)/(ROUND(INDEX('0.0.1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4" s="231" t="n">
        <f aca="false">IF(OR(ISBLANK($M64),ISBLANK(S$5),$B$22="N/A"),,ROUNDDOWN(0.5*$I$194*(($C$14+S$5)/(ROUND(INDEX('0.0.1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4" s="231" t="n">
        <f aca="false">IF(OR(ISBLANK($M64),ISBLANK(T$5),$B$22="N/A"),,ROUNDDOWN(0.5*$I$194*(($C$14+T$5)/(ROUND(INDEX('0.0.1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4" s="231" t="n">
        <f aca="false">IF(OR(ISBLANK($M64),ISBLANK(U$5),$B$22="N/A"),,ROUNDDOWN(0.5*$I$194*(($C$14+U$5)/(ROUND(INDEX('0.0.1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4" s="231" t="n">
        <f aca="false">IF(OR(ISBLANK($M64),ISBLANK(V$5),$B$22="N/A"),,ROUNDDOWN(0.5*$I$194*(($C$14+V$5)/(ROUND(INDEX('0.0.1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4" s="231" t="n">
        <f aca="false">IF(OR(ISBLANK($M64),ISBLANK(W$5),$B$22="N/A"),,ROUNDDOWN(0.5*$I$194*(($C$14+W$5)/(ROUND(INDEX('0.0.1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4" s="231" t="n">
        <f aca="false">IF(OR(ISBLANK($M64),ISBLANK(X$5),$B$22="N/A"),,ROUNDDOWN(0.5*$I$194*(($C$14+X$5)/(ROUND(INDEX('0.0.1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4" s="231" t="n">
        <f aca="false">IF(OR(ISBLANK($M64),ISBLANK(Y$5),$B$22="N/A"),,ROUNDDOWN(0.5*$I$194*(($C$14+Y$5)/(ROUND(INDEX('0.0.1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4" s="231" t="n">
        <f aca="false">IF(OR(ISBLANK($M64),ISBLANK(Z$5),$B$22="N/A"),,ROUNDDOWN(0.5*$I$194*(($C$14+Z$5)/(ROUND(INDEX('0.0.1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4" s="231" t="n">
        <f aca="false">IF(OR(ISBLANK($M64),ISBLANK(AA$5),$B$22="N/A"),,ROUNDDOWN(0.5*$I$194*(($C$14+AA$5)/(ROUND(INDEX('0.0.1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4" s="231" t="n">
        <f aca="false">IF(OR(ISBLANK($M64),ISBLANK(AB$5),$B$22="N/A"),,ROUNDDOWN(0.5*$I$194*(($C$14+AB$5)/(ROUND(INDEX('0.0.1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4" s="231" t="n">
        <f aca="false">IF(OR(ISBLANK($M64),ISBLANK(AC$5),$B$22="N/A"),,ROUNDDOWN(0.5*$I$194*(($C$14+AC$5)/(ROUND(INDEX('0.0.1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4" s="224"/>
      <c r="AE64" s="234"/>
    </row>
    <row r="65" customFormat="false" ht="15.75" hidden="false" customHeight="false" outlineLevel="0" collapsed="false">
      <c r="A65" s="206"/>
      <c r="B65" s="206"/>
      <c r="C65" s="217"/>
      <c r="D65" s="217"/>
      <c r="E65" s="232"/>
      <c r="F65" s="217"/>
      <c r="G65" s="217"/>
      <c r="H65" s="217"/>
      <c r="I65" s="217"/>
      <c r="J65" s="223"/>
      <c r="K65" s="224"/>
      <c r="L65" s="224"/>
      <c r="M65" s="230"/>
      <c r="N65" s="231" t="n">
        <f aca="false">IF(OR(ISBLANK($M65),ISBLANK(N$5),$B$22="N/A"),,ROUNDDOWN(0.5*$I$194*(($C$14+N$5)/(ROUND(INDEX('0.0.1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5" s="231" t="n">
        <f aca="false">IF(OR(ISBLANK($M65),ISBLANK(O$5),$B$22="N/A"),,ROUNDDOWN(0.5*$I$194*(($C$14+O$5)/(ROUND(INDEX('0.0.1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5" s="231" t="n">
        <f aca="false">IF(OR(ISBLANK($M65),ISBLANK(P$5),$B$22="N/A"),,ROUNDDOWN(0.5*$I$194*(($C$14+P$5)/(ROUND(INDEX('0.0.1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5" s="231" t="n">
        <f aca="false">IF(OR(ISBLANK($M65),ISBLANK(Q$5),$B$22="N/A"),,ROUNDDOWN(0.5*$I$194*(($C$14+Q$5)/(ROUND(INDEX('0.0.1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5" s="231" t="n">
        <f aca="false">IF(OR(ISBLANK($M65),ISBLANK(R$5),$B$22="N/A"),,ROUNDDOWN(0.5*$I$194*(($C$14+R$5)/(ROUND(INDEX('0.0.1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5" s="231" t="n">
        <f aca="false">IF(OR(ISBLANK($M65),ISBLANK(S$5),$B$22="N/A"),,ROUNDDOWN(0.5*$I$194*(($C$14+S$5)/(ROUND(INDEX('0.0.1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5" s="231" t="n">
        <f aca="false">IF(OR(ISBLANK($M65),ISBLANK(T$5),$B$22="N/A"),,ROUNDDOWN(0.5*$I$194*(($C$14+T$5)/(ROUND(INDEX('0.0.1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5" s="231" t="n">
        <f aca="false">IF(OR(ISBLANK($M65),ISBLANK(U$5),$B$22="N/A"),,ROUNDDOWN(0.5*$I$194*(($C$14+U$5)/(ROUND(INDEX('0.0.1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5" s="231" t="n">
        <f aca="false">IF(OR(ISBLANK($M65),ISBLANK(V$5),$B$22="N/A"),,ROUNDDOWN(0.5*$I$194*(($C$14+V$5)/(ROUND(INDEX('0.0.1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5" s="231" t="n">
        <f aca="false">IF(OR(ISBLANK($M65),ISBLANK(W$5),$B$22="N/A"),,ROUNDDOWN(0.5*$I$194*(($C$14+W$5)/(ROUND(INDEX('0.0.1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5" s="231" t="n">
        <f aca="false">IF(OR(ISBLANK($M65),ISBLANK(X$5),$B$22="N/A"),,ROUNDDOWN(0.5*$I$194*(($C$14+X$5)/(ROUND(INDEX('0.0.1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5" s="231" t="n">
        <f aca="false">IF(OR(ISBLANK($M65),ISBLANK(Y$5),$B$22="N/A"),,ROUNDDOWN(0.5*$I$194*(($C$14+Y$5)/(ROUND(INDEX('0.0.1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5" s="231" t="n">
        <f aca="false">IF(OR(ISBLANK($M65),ISBLANK(Z$5),$B$22="N/A"),,ROUNDDOWN(0.5*$I$194*(($C$14+Z$5)/(ROUND(INDEX('0.0.1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5" s="231" t="n">
        <f aca="false">IF(OR(ISBLANK($M65),ISBLANK(AA$5),$B$22="N/A"),,ROUNDDOWN(0.5*$I$194*(($C$14+AA$5)/(ROUND(INDEX('0.0.1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5" s="231" t="n">
        <f aca="false">IF(OR(ISBLANK($M65),ISBLANK(AB$5),$B$22="N/A"),,ROUNDDOWN(0.5*$I$194*(($C$14+AB$5)/(ROUND(INDEX('0.0.1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5" s="231" t="n">
        <f aca="false">IF(OR(ISBLANK($M65),ISBLANK(AC$5),$B$22="N/A"),,ROUNDDOWN(0.5*$I$194*(($C$14+AC$5)/(ROUND(INDEX('0.0.1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5" s="224"/>
      <c r="AE65" s="234"/>
    </row>
    <row r="66" customFormat="false" ht="15.75" hidden="false" customHeight="false" outlineLevel="0" collapsed="false">
      <c r="A66" s="206"/>
      <c r="B66" s="206"/>
      <c r="C66" s="217"/>
      <c r="D66" s="217"/>
      <c r="E66" s="232"/>
      <c r="F66" s="217"/>
      <c r="G66" s="217"/>
      <c r="H66" s="217"/>
      <c r="I66" s="217"/>
      <c r="J66" s="223"/>
      <c r="K66" s="224"/>
      <c r="L66" s="224"/>
      <c r="M66" s="230"/>
      <c r="N66" s="231" t="n">
        <f aca="false">IF(OR(ISBLANK($M66),ISBLANK(N$5),$B$22="N/A"),,ROUNDDOWN(0.5*$I$194*(($C$14+N$5)/(ROUND(INDEX('0.0.1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6" s="231" t="n">
        <f aca="false">IF(OR(ISBLANK($M66),ISBLANK(O$5),$B$22="N/A"),,ROUNDDOWN(0.5*$I$194*(($C$14+O$5)/(ROUND(INDEX('0.0.1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6" s="231" t="n">
        <f aca="false">IF(OR(ISBLANK($M66),ISBLANK(P$5),$B$22="N/A"),,ROUNDDOWN(0.5*$I$194*(($C$14+P$5)/(ROUND(INDEX('0.0.1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6" s="231" t="n">
        <f aca="false">IF(OR(ISBLANK($M66),ISBLANK(Q$5),$B$22="N/A"),,ROUNDDOWN(0.5*$I$194*(($C$14+Q$5)/(ROUND(INDEX('0.0.1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6" s="231" t="n">
        <f aca="false">IF(OR(ISBLANK($M66),ISBLANK(R$5),$B$22="N/A"),,ROUNDDOWN(0.5*$I$194*(($C$14+R$5)/(ROUND(INDEX('0.0.1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6" s="231" t="n">
        <f aca="false">IF(OR(ISBLANK($M66),ISBLANK(S$5),$B$22="N/A"),,ROUNDDOWN(0.5*$I$194*(($C$14+S$5)/(ROUND(INDEX('0.0.1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6" s="231" t="n">
        <f aca="false">IF(OR(ISBLANK($M66),ISBLANK(T$5),$B$22="N/A"),,ROUNDDOWN(0.5*$I$194*(($C$14+T$5)/(ROUND(INDEX('0.0.1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6" s="231" t="n">
        <f aca="false">IF(OR(ISBLANK($M66),ISBLANK(U$5),$B$22="N/A"),,ROUNDDOWN(0.5*$I$194*(($C$14+U$5)/(ROUND(INDEX('0.0.1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6" s="231" t="n">
        <f aca="false">IF(OR(ISBLANK($M66),ISBLANK(V$5),$B$22="N/A"),,ROUNDDOWN(0.5*$I$194*(($C$14+V$5)/(ROUND(INDEX('0.0.1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6" s="231" t="n">
        <f aca="false">IF(OR(ISBLANK($M66),ISBLANK(W$5),$B$22="N/A"),,ROUNDDOWN(0.5*$I$194*(($C$14+W$5)/(ROUND(INDEX('0.0.1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6" s="231" t="n">
        <f aca="false">IF(OR(ISBLANK($M66),ISBLANK(X$5),$B$22="N/A"),,ROUNDDOWN(0.5*$I$194*(($C$14+X$5)/(ROUND(INDEX('0.0.1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6" s="231" t="n">
        <f aca="false">IF(OR(ISBLANK($M66),ISBLANK(Y$5),$B$22="N/A"),,ROUNDDOWN(0.5*$I$194*(($C$14+Y$5)/(ROUND(INDEX('0.0.1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6" s="231" t="n">
        <f aca="false">IF(OR(ISBLANK($M66),ISBLANK(Z$5),$B$22="N/A"),,ROUNDDOWN(0.5*$I$194*(($C$14+Z$5)/(ROUND(INDEX('0.0.1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6" s="231" t="n">
        <f aca="false">IF(OR(ISBLANK($M66),ISBLANK(AA$5),$B$22="N/A"),,ROUNDDOWN(0.5*$I$194*(($C$14+AA$5)/(ROUND(INDEX('0.0.1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6" s="231" t="n">
        <f aca="false">IF(OR(ISBLANK($M66),ISBLANK(AB$5),$B$22="N/A"),,ROUNDDOWN(0.5*$I$194*(($C$14+AB$5)/(ROUND(INDEX('0.0.1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6" s="231" t="n">
        <f aca="false">IF(OR(ISBLANK($M66),ISBLANK(AC$5),$B$22="N/A"),,ROUNDDOWN(0.5*$I$194*(($C$14+AC$5)/(ROUND(INDEX('0.0.1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6" s="224"/>
      <c r="AE66" s="234"/>
    </row>
    <row r="67" customFormat="false" ht="15.75" hidden="false" customHeight="false" outlineLevel="0" collapsed="false">
      <c r="A67" s="206"/>
      <c r="B67" s="206"/>
      <c r="C67" s="217"/>
      <c r="D67" s="217"/>
      <c r="E67" s="232"/>
      <c r="F67" s="217"/>
      <c r="G67" s="217"/>
      <c r="H67" s="217"/>
      <c r="I67" s="217"/>
      <c r="J67" s="223"/>
      <c r="K67" s="224"/>
      <c r="L67" s="224"/>
      <c r="M67" s="230"/>
      <c r="N67" s="231" t="n">
        <f aca="false">IF(OR(ISBLANK($M67),ISBLANK(N$5),$B$22="N/A"),,ROUNDDOWN(0.5*$I$194*(($C$14+N$5)/(ROUND(INDEX('0.0.1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7" s="231" t="n">
        <f aca="false">IF(OR(ISBLANK($M67),ISBLANK(O$5),$B$22="N/A"),,ROUNDDOWN(0.5*$I$194*(($C$14+O$5)/(ROUND(INDEX('0.0.1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7" s="231" t="n">
        <f aca="false">IF(OR(ISBLANK($M67),ISBLANK(P$5),$B$22="N/A"),,ROUNDDOWN(0.5*$I$194*(($C$14+P$5)/(ROUND(INDEX('0.0.1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7" s="231" t="n">
        <f aca="false">IF(OR(ISBLANK($M67),ISBLANK(Q$5),$B$22="N/A"),,ROUNDDOWN(0.5*$I$194*(($C$14+Q$5)/(ROUND(INDEX('0.0.1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7" s="231" t="n">
        <f aca="false">IF(OR(ISBLANK($M67),ISBLANK(R$5),$B$22="N/A"),,ROUNDDOWN(0.5*$I$194*(($C$14+R$5)/(ROUND(INDEX('0.0.1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7" s="231" t="n">
        <f aca="false">IF(OR(ISBLANK($M67),ISBLANK(S$5),$B$22="N/A"),,ROUNDDOWN(0.5*$I$194*(($C$14+S$5)/(ROUND(INDEX('0.0.1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7" s="231" t="n">
        <f aca="false">IF(OR(ISBLANK($M67),ISBLANK(T$5),$B$22="N/A"),,ROUNDDOWN(0.5*$I$194*(($C$14+T$5)/(ROUND(INDEX('0.0.1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7" s="231" t="n">
        <f aca="false">IF(OR(ISBLANK($M67),ISBLANK(U$5),$B$22="N/A"),,ROUNDDOWN(0.5*$I$194*(($C$14+U$5)/(ROUND(INDEX('0.0.1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7" s="231" t="n">
        <f aca="false">IF(OR(ISBLANK($M67),ISBLANK(V$5),$B$22="N/A"),,ROUNDDOWN(0.5*$I$194*(($C$14+V$5)/(ROUND(INDEX('0.0.1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7" s="231" t="n">
        <f aca="false">IF(OR(ISBLANK($M67),ISBLANK(W$5),$B$22="N/A"),,ROUNDDOWN(0.5*$I$194*(($C$14+W$5)/(ROUND(INDEX('0.0.1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7" s="231" t="n">
        <f aca="false">IF(OR(ISBLANK($M67),ISBLANK(X$5),$B$22="N/A"),,ROUNDDOWN(0.5*$I$194*(($C$14+X$5)/(ROUND(INDEX('0.0.1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7" s="231" t="n">
        <f aca="false">IF(OR(ISBLANK($M67),ISBLANK(Y$5),$B$22="N/A"),,ROUNDDOWN(0.5*$I$194*(($C$14+Y$5)/(ROUND(INDEX('0.0.1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7" s="231" t="n">
        <f aca="false">IF(OR(ISBLANK($M67),ISBLANK(Z$5),$B$22="N/A"),,ROUNDDOWN(0.5*$I$194*(($C$14+Z$5)/(ROUND(INDEX('0.0.1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7" s="231" t="n">
        <f aca="false">IF(OR(ISBLANK($M67),ISBLANK(AA$5),$B$22="N/A"),,ROUNDDOWN(0.5*$I$194*(($C$14+AA$5)/(ROUND(INDEX('0.0.1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7" s="231" t="n">
        <f aca="false">IF(OR(ISBLANK($M67),ISBLANK(AB$5),$B$22="N/A"),,ROUNDDOWN(0.5*$I$194*(($C$14+AB$5)/(ROUND(INDEX('0.0.1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7" s="231" t="n">
        <f aca="false">IF(OR(ISBLANK($M67),ISBLANK(AC$5),$B$22="N/A"),,ROUNDDOWN(0.5*$I$194*(($C$14+AC$5)/(ROUND(INDEX('0.0.1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7" s="224"/>
      <c r="AE67" s="234"/>
    </row>
    <row r="68" customFormat="false" ht="15.75" hidden="false" customHeight="false" outlineLevel="0" collapsed="false">
      <c r="A68" s="206"/>
      <c r="B68" s="206"/>
      <c r="C68" s="217"/>
      <c r="D68" s="217"/>
      <c r="E68" s="232"/>
      <c r="F68" s="217"/>
      <c r="G68" s="217"/>
      <c r="H68" s="217"/>
      <c r="I68" s="217"/>
      <c r="J68" s="223"/>
      <c r="K68" s="224"/>
      <c r="L68" s="224"/>
      <c r="M68" s="230"/>
      <c r="N68" s="231" t="n">
        <f aca="false">IF(OR(ISBLANK($M68),ISBLANK(N$5),$B$22="N/A"),,ROUNDDOWN(0.5*$I$194*(($C$14+N$5)/(ROUND(INDEX('0.0.1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8" s="231" t="n">
        <f aca="false">IF(OR(ISBLANK($M68),ISBLANK(O$5),$B$22="N/A"),,ROUNDDOWN(0.5*$I$194*(($C$14+O$5)/(ROUND(INDEX('0.0.1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8" s="231" t="n">
        <f aca="false">IF(OR(ISBLANK($M68),ISBLANK(P$5),$B$22="N/A"),,ROUNDDOWN(0.5*$I$194*(($C$14+P$5)/(ROUND(INDEX('0.0.1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8" s="231" t="n">
        <f aca="false">IF(OR(ISBLANK($M68),ISBLANK(Q$5),$B$22="N/A"),,ROUNDDOWN(0.5*$I$194*(($C$14+Q$5)/(ROUND(INDEX('0.0.1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8" s="231" t="n">
        <f aca="false">IF(OR(ISBLANK($M68),ISBLANK(R$5),$B$22="N/A"),,ROUNDDOWN(0.5*$I$194*(($C$14+R$5)/(ROUND(INDEX('0.0.1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8" s="231" t="n">
        <f aca="false">IF(OR(ISBLANK($M68),ISBLANK(S$5),$B$22="N/A"),,ROUNDDOWN(0.5*$I$194*(($C$14+S$5)/(ROUND(INDEX('0.0.1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8" s="231" t="n">
        <f aca="false">IF(OR(ISBLANK($M68),ISBLANK(T$5),$B$22="N/A"),,ROUNDDOWN(0.5*$I$194*(($C$14+T$5)/(ROUND(INDEX('0.0.1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8" s="231" t="n">
        <f aca="false">IF(OR(ISBLANK($M68),ISBLANK(U$5),$B$22="N/A"),,ROUNDDOWN(0.5*$I$194*(($C$14+U$5)/(ROUND(INDEX('0.0.1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8" s="231" t="n">
        <f aca="false">IF(OR(ISBLANK($M68),ISBLANK(V$5),$B$22="N/A"),,ROUNDDOWN(0.5*$I$194*(($C$14+V$5)/(ROUND(INDEX('0.0.1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8" s="231" t="n">
        <f aca="false">IF(OR(ISBLANK($M68),ISBLANK(W$5),$B$22="N/A"),,ROUNDDOWN(0.5*$I$194*(($C$14+W$5)/(ROUND(INDEX('0.0.1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8" s="231" t="n">
        <f aca="false">IF(OR(ISBLANK($M68),ISBLANK(X$5),$B$22="N/A"),,ROUNDDOWN(0.5*$I$194*(($C$14+X$5)/(ROUND(INDEX('0.0.1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8" s="231" t="n">
        <f aca="false">IF(OR(ISBLANK($M68),ISBLANK(Y$5),$B$22="N/A"),,ROUNDDOWN(0.5*$I$194*(($C$14+Y$5)/(ROUND(INDEX('0.0.1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8" s="231" t="n">
        <f aca="false">IF(OR(ISBLANK($M68),ISBLANK(Z$5),$B$22="N/A"),,ROUNDDOWN(0.5*$I$194*(($C$14+Z$5)/(ROUND(INDEX('0.0.1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8" s="231" t="n">
        <f aca="false">IF(OR(ISBLANK($M68),ISBLANK(AA$5),$B$22="N/A"),,ROUNDDOWN(0.5*$I$194*(($C$14+AA$5)/(ROUND(INDEX('0.0.1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8" s="231" t="n">
        <f aca="false">IF(OR(ISBLANK($M68),ISBLANK(AB$5),$B$22="N/A"),,ROUNDDOWN(0.5*$I$194*(($C$14+AB$5)/(ROUND(INDEX('0.0.1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8" s="231" t="n">
        <f aca="false">IF(OR(ISBLANK($M68),ISBLANK(AC$5),$B$22="N/A"),,ROUNDDOWN(0.5*$I$194*(($C$14+AC$5)/(ROUND(INDEX('0.0.1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8" s="224"/>
      <c r="AE68" s="234"/>
    </row>
    <row r="69" customFormat="false" ht="15.75" hidden="false" customHeight="false" outlineLevel="0" collapsed="false">
      <c r="A69" s="206"/>
      <c r="B69" s="206"/>
      <c r="C69" s="217"/>
      <c r="D69" s="217"/>
      <c r="E69" s="232"/>
      <c r="F69" s="217"/>
      <c r="G69" s="217"/>
      <c r="H69" s="217"/>
      <c r="I69" s="217"/>
      <c r="J69" s="223"/>
      <c r="K69" s="224"/>
      <c r="L69" s="224"/>
      <c r="M69" s="230"/>
      <c r="N69" s="231" t="n">
        <f aca="false">IF(OR(ISBLANK($M69),ISBLANK(N$5),$B$22="N/A"),,ROUNDDOWN(0.5*$I$194*(($C$14+N$5)/(ROUND(INDEX('0.0.1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69" s="231" t="n">
        <f aca="false">IF(OR(ISBLANK($M69),ISBLANK(O$5),$B$22="N/A"),,ROUNDDOWN(0.5*$I$194*(($C$14+O$5)/(ROUND(INDEX('0.0.1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69" s="231" t="n">
        <f aca="false">IF(OR(ISBLANK($M69),ISBLANK(P$5),$B$22="N/A"),,ROUNDDOWN(0.5*$I$194*(($C$14+P$5)/(ROUND(INDEX('0.0.1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69" s="231" t="n">
        <f aca="false">IF(OR(ISBLANK($M69),ISBLANK(Q$5),$B$22="N/A"),,ROUNDDOWN(0.5*$I$194*(($C$14+Q$5)/(ROUND(INDEX('0.0.1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69" s="231" t="n">
        <f aca="false">IF(OR(ISBLANK($M69),ISBLANK(R$5),$B$22="N/A"),,ROUNDDOWN(0.5*$I$194*(($C$14+R$5)/(ROUND(INDEX('0.0.1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69" s="231" t="n">
        <f aca="false">IF(OR(ISBLANK($M69),ISBLANK(S$5),$B$22="N/A"),,ROUNDDOWN(0.5*$I$194*(($C$14+S$5)/(ROUND(INDEX('0.0.1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69" s="231" t="n">
        <f aca="false">IF(OR(ISBLANK($M69),ISBLANK(T$5),$B$22="N/A"),,ROUNDDOWN(0.5*$I$194*(($C$14+T$5)/(ROUND(INDEX('0.0.1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69" s="231" t="n">
        <f aca="false">IF(OR(ISBLANK($M69),ISBLANK(U$5),$B$22="N/A"),,ROUNDDOWN(0.5*$I$194*(($C$14+U$5)/(ROUND(INDEX('0.0.1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69" s="231" t="n">
        <f aca="false">IF(OR(ISBLANK($M69),ISBLANK(V$5),$B$22="N/A"),,ROUNDDOWN(0.5*$I$194*(($C$14+V$5)/(ROUND(INDEX('0.0.1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69" s="231" t="n">
        <f aca="false">IF(OR(ISBLANK($M69),ISBLANK(W$5),$B$22="N/A"),,ROUNDDOWN(0.5*$I$194*(($C$14+W$5)/(ROUND(INDEX('0.0.1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69" s="231" t="n">
        <f aca="false">IF(OR(ISBLANK($M69),ISBLANK(X$5),$B$22="N/A"),,ROUNDDOWN(0.5*$I$194*(($C$14+X$5)/(ROUND(INDEX('0.0.1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69" s="231" t="n">
        <f aca="false">IF(OR(ISBLANK($M69),ISBLANK(Y$5),$B$22="N/A"),,ROUNDDOWN(0.5*$I$194*(($C$14+Y$5)/(ROUND(INDEX('0.0.1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69" s="231" t="n">
        <f aca="false">IF(OR(ISBLANK($M69),ISBLANK(Z$5),$B$22="N/A"),,ROUNDDOWN(0.5*$I$194*(($C$14+Z$5)/(ROUND(INDEX('0.0.1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69" s="231" t="n">
        <f aca="false">IF(OR(ISBLANK($M69),ISBLANK(AA$5),$B$22="N/A"),,ROUNDDOWN(0.5*$I$194*(($C$14+AA$5)/(ROUND(INDEX('0.0.1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69" s="231" t="n">
        <f aca="false">IF(OR(ISBLANK($M69),ISBLANK(AB$5),$B$22="N/A"),,ROUNDDOWN(0.5*$I$194*(($C$14+AB$5)/(ROUND(INDEX('0.0.1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69" s="231" t="n">
        <f aca="false">IF(OR(ISBLANK($M69),ISBLANK(AC$5),$B$22="N/A"),,ROUNDDOWN(0.5*$I$194*(($C$14+AC$5)/(ROUND(INDEX('0.0.1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Values'!$B$2:$B$80,MATCH($M69,'0.3.0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69" s="224"/>
      <c r="AE69" s="234"/>
    </row>
    <row r="70" customFormat="false" ht="15.75" hidden="false" customHeight="false" outlineLevel="0" collapsed="false">
      <c r="A70" s="206"/>
      <c r="B70" s="206"/>
      <c r="C70" s="217"/>
      <c r="D70" s="217"/>
      <c r="E70" s="232"/>
      <c r="F70" s="217"/>
      <c r="G70" s="217"/>
      <c r="H70" s="217"/>
      <c r="I70" s="217"/>
      <c r="J70" s="223"/>
      <c r="K70" s="224"/>
      <c r="L70" s="224"/>
      <c r="M70" s="230"/>
      <c r="N70" s="231" t="n">
        <f aca="false">IF(OR(ISBLANK($M70),ISBLANK(N$5),$B$22="N/A"),,ROUNDDOWN(0.5*$I$194*(($C$14+N$5)/(ROUND(INDEX('0.0.1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0" s="231" t="n">
        <f aca="false">IF(OR(ISBLANK($M70),ISBLANK(O$5),$B$22="N/A"),,ROUNDDOWN(0.5*$I$194*(($C$14+O$5)/(ROUND(INDEX('0.0.1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0" s="231" t="n">
        <f aca="false">IF(OR(ISBLANK($M70),ISBLANK(P$5),$B$22="N/A"),,ROUNDDOWN(0.5*$I$194*(($C$14+P$5)/(ROUND(INDEX('0.0.1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0" s="231" t="n">
        <f aca="false">IF(OR(ISBLANK($M70),ISBLANK(Q$5),$B$22="N/A"),,ROUNDDOWN(0.5*$I$194*(($C$14+Q$5)/(ROUND(INDEX('0.0.1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0" s="231" t="n">
        <f aca="false">IF(OR(ISBLANK($M70),ISBLANK(R$5),$B$22="N/A"),,ROUNDDOWN(0.5*$I$194*(($C$14+R$5)/(ROUND(INDEX('0.0.1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0" s="231" t="n">
        <f aca="false">IF(OR(ISBLANK($M70),ISBLANK(S$5),$B$22="N/A"),,ROUNDDOWN(0.5*$I$194*(($C$14+S$5)/(ROUND(INDEX('0.0.1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0" s="231" t="n">
        <f aca="false">IF(OR(ISBLANK($M70),ISBLANK(T$5),$B$22="N/A"),,ROUNDDOWN(0.5*$I$194*(($C$14+T$5)/(ROUND(INDEX('0.0.1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0" s="231" t="n">
        <f aca="false">IF(OR(ISBLANK($M70),ISBLANK(U$5),$B$22="N/A"),,ROUNDDOWN(0.5*$I$194*(($C$14+U$5)/(ROUND(INDEX('0.0.1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0" s="231" t="n">
        <f aca="false">IF(OR(ISBLANK($M70),ISBLANK(V$5),$B$22="N/A"),,ROUNDDOWN(0.5*$I$194*(($C$14+V$5)/(ROUND(INDEX('0.0.1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0" s="231" t="n">
        <f aca="false">IF(OR(ISBLANK($M70),ISBLANK(W$5),$B$22="N/A"),,ROUNDDOWN(0.5*$I$194*(($C$14+W$5)/(ROUND(INDEX('0.0.1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0" s="231" t="n">
        <f aca="false">IF(OR(ISBLANK($M70),ISBLANK(X$5),$B$22="N/A"),,ROUNDDOWN(0.5*$I$194*(($C$14+X$5)/(ROUND(INDEX('0.0.1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0" s="231" t="n">
        <f aca="false">IF(OR(ISBLANK($M70),ISBLANK(Y$5),$B$22="N/A"),,ROUNDDOWN(0.5*$I$194*(($C$14+Y$5)/(ROUND(INDEX('0.0.1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0" s="231" t="n">
        <f aca="false">IF(OR(ISBLANK($M70),ISBLANK(Z$5),$B$22="N/A"),,ROUNDDOWN(0.5*$I$194*(($C$14+Z$5)/(ROUND(INDEX('0.0.1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0" s="231" t="n">
        <f aca="false">IF(OR(ISBLANK($M70),ISBLANK(AA$5),$B$22="N/A"),,ROUNDDOWN(0.5*$I$194*(($C$14+AA$5)/(ROUND(INDEX('0.0.1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0" s="231" t="n">
        <f aca="false">IF(OR(ISBLANK($M70),ISBLANK(AB$5),$B$22="N/A"),,ROUNDDOWN(0.5*$I$194*(($C$14+AB$5)/(ROUND(INDEX('0.0.1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0" s="231" t="n">
        <f aca="false">IF(OR(ISBLANK($M70),ISBLANK(AC$5),$B$22="N/A"),,ROUNDDOWN(0.5*$I$194*(($C$14+AC$5)/(ROUND(INDEX('0.0.1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0" s="224"/>
      <c r="AE70" s="234"/>
    </row>
    <row r="71" customFormat="false" ht="15.75" hidden="false" customHeight="false" outlineLevel="0" collapsed="false">
      <c r="A71" s="206"/>
      <c r="B71" s="206"/>
      <c r="C71" s="217"/>
      <c r="D71" s="217"/>
      <c r="E71" s="232"/>
      <c r="F71" s="217"/>
      <c r="G71" s="217"/>
      <c r="H71" s="217"/>
      <c r="I71" s="217"/>
      <c r="J71" s="223"/>
      <c r="K71" s="224"/>
      <c r="L71" s="224"/>
      <c r="M71" s="230"/>
      <c r="N71" s="231" t="n">
        <f aca="false">IF(OR(ISBLANK($M71),ISBLANK(N$5),$B$22="N/A"),,ROUNDDOWN(0.5*$I$194*(($C$14+N$5)/(ROUND(INDEX('0.0.1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1" s="231" t="n">
        <f aca="false">IF(OR(ISBLANK($M71),ISBLANK(O$5),$B$22="N/A"),,ROUNDDOWN(0.5*$I$194*(($C$14+O$5)/(ROUND(INDEX('0.0.1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1" s="231" t="n">
        <f aca="false">IF(OR(ISBLANK($M71),ISBLANK(P$5),$B$22="N/A"),,ROUNDDOWN(0.5*$I$194*(($C$14+P$5)/(ROUND(INDEX('0.0.1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1" s="231" t="n">
        <f aca="false">IF(OR(ISBLANK($M71),ISBLANK(Q$5),$B$22="N/A"),,ROUNDDOWN(0.5*$I$194*(($C$14+Q$5)/(ROUND(INDEX('0.0.1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1" s="231" t="n">
        <f aca="false">IF(OR(ISBLANK($M71),ISBLANK(R$5),$B$22="N/A"),,ROUNDDOWN(0.5*$I$194*(($C$14+R$5)/(ROUND(INDEX('0.0.1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1" s="231" t="n">
        <f aca="false">IF(OR(ISBLANK($M71),ISBLANK(S$5),$B$22="N/A"),,ROUNDDOWN(0.5*$I$194*(($C$14+S$5)/(ROUND(INDEX('0.0.1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1" s="231" t="n">
        <f aca="false">IF(OR(ISBLANK($M71),ISBLANK(T$5),$B$22="N/A"),,ROUNDDOWN(0.5*$I$194*(($C$14+T$5)/(ROUND(INDEX('0.0.1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1" s="231" t="n">
        <f aca="false">IF(OR(ISBLANK($M71),ISBLANK(U$5),$B$22="N/A"),,ROUNDDOWN(0.5*$I$194*(($C$14+U$5)/(ROUND(INDEX('0.0.1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1" s="231" t="n">
        <f aca="false">IF(OR(ISBLANK($M71),ISBLANK(V$5),$B$22="N/A"),,ROUNDDOWN(0.5*$I$194*(($C$14+V$5)/(ROUND(INDEX('0.0.1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1" s="231" t="n">
        <f aca="false">IF(OR(ISBLANK($M71),ISBLANK(W$5),$B$22="N/A"),,ROUNDDOWN(0.5*$I$194*(($C$14+W$5)/(ROUND(INDEX('0.0.1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1" s="231" t="n">
        <f aca="false">IF(OR(ISBLANK($M71),ISBLANK(X$5),$B$22="N/A"),,ROUNDDOWN(0.5*$I$194*(($C$14+X$5)/(ROUND(INDEX('0.0.1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1" s="231" t="n">
        <f aca="false">IF(OR(ISBLANK($M71),ISBLANK(Y$5),$B$22="N/A"),,ROUNDDOWN(0.5*$I$194*(($C$14+Y$5)/(ROUND(INDEX('0.0.1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1" s="231" t="n">
        <f aca="false">IF(OR(ISBLANK($M71),ISBLANK(Z$5),$B$22="N/A"),,ROUNDDOWN(0.5*$I$194*(($C$14+Z$5)/(ROUND(INDEX('0.0.1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1" s="231" t="n">
        <f aca="false">IF(OR(ISBLANK($M71),ISBLANK(AA$5),$B$22="N/A"),,ROUNDDOWN(0.5*$I$194*(($C$14+AA$5)/(ROUND(INDEX('0.0.1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1" s="231" t="n">
        <f aca="false">IF(OR(ISBLANK($M71),ISBLANK(AB$5),$B$22="N/A"),,ROUNDDOWN(0.5*$I$194*(($C$14+AB$5)/(ROUND(INDEX('0.0.1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1" s="231" t="n">
        <f aca="false">IF(OR(ISBLANK($M71),ISBLANK(AC$5),$B$22="N/A"),,ROUNDDOWN(0.5*$I$194*(($C$14+AC$5)/(ROUND(INDEX('0.0.1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1" s="224"/>
      <c r="AE71" s="234"/>
    </row>
    <row r="72" customFormat="false" ht="15.75" hidden="false" customHeight="false" outlineLevel="0" collapsed="false">
      <c r="A72" s="206"/>
      <c r="B72" s="206"/>
      <c r="C72" s="217"/>
      <c r="D72" s="217"/>
      <c r="E72" s="232"/>
      <c r="F72" s="217"/>
      <c r="G72" s="217"/>
      <c r="H72" s="217"/>
      <c r="I72" s="217"/>
      <c r="J72" s="223"/>
      <c r="K72" s="224"/>
      <c r="L72" s="224"/>
      <c r="M72" s="230"/>
      <c r="N72" s="231" t="n">
        <f aca="false">IF(OR(ISBLANK($M72),ISBLANK(N$5),$B$22="N/A"),,ROUNDDOWN(0.5*$I$194*(($C$14+N$5)/(ROUND(INDEX('0.0.1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2" s="231" t="n">
        <f aca="false">IF(OR(ISBLANK($M72),ISBLANK(O$5),$B$22="N/A"),,ROUNDDOWN(0.5*$I$194*(($C$14+O$5)/(ROUND(INDEX('0.0.1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2" s="231" t="n">
        <f aca="false">IF(OR(ISBLANK($M72),ISBLANK(P$5),$B$22="N/A"),,ROUNDDOWN(0.5*$I$194*(($C$14+P$5)/(ROUND(INDEX('0.0.1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2" s="231" t="n">
        <f aca="false">IF(OR(ISBLANK($M72),ISBLANK(Q$5),$B$22="N/A"),,ROUNDDOWN(0.5*$I$194*(($C$14+Q$5)/(ROUND(INDEX('0.0.1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2" s="231" t="n">
        <f aca="false">IF(OR(ISBLANK($M72),ISBLANK(R$5),$B$22="N/A"),,ROUNDDOWN(0.5*$I$194*(($C$14+R$5)/(ROUND(INDEX('0.0.1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2" s="231" t="n">
        <f aca="false">IF(OR(ISBLANK($M72),ISBLANK(S$5),$B$22="N/A"),,ROUNDDOWN(0.5*$I$194*(($C$14+S$5)/(ROUND(INDEX('0.0.1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2" s="231" t="n">
        <f aca="false">IF(OR(ISBLANK($M72),ISBLANK(T$5),$B$22="N/A"),,ROUNDDOWN(0.5*$I$194*(($C$14+T$5)/(ROUND(INDEX('0.0.1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2" s="231" t="n">
        <f aca="false">IF(OR(ISBLANK($M72),ISBLANK(U$5),$B$22="N/A"),,ROUNDDOWN(0.5*$I$194*(($C$14+U$5)/(ROUND(INDEX('0.0.1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2" s="231" t="n">
        <f aca="false">IF(OR(ISBLANK($M72),ISBLANK(V$5),$B$22="N/A"),,ROUNDDOWN(0.5*$I$194*(($C$14+V$5)/(ROUND(INDEX('0.0.1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2" s="231" t="n">
        <f aca="false">IF(OR(ISBLANK($M72),ISBLANK(W$5),$B$22="N/A"),,ROUNDDOWN(0.5*$I$194*(($C$14+W$5)/(ROUND(INDEX('0.0.1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2" s="231" t="n">
        <f aca="false">IF(OR(ISBLANK($M72),ISBLANK(X$5),$B$22="N/A"),,ROUNDDOWN(0.5*$I$194*(($C$14+X$5)/(ROUND(INDEX('0.0.1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2" s="231" t="n">
        <f aca="false">IF(OR(ISBLANK($M72),ISBLANK(Y$5),$B$22="N/A"),,ROUNDDOWN(0.5*$I$194*(($C$14+Y$5)/(ROUND(INDEX('0.0.1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2" s="231" t="n">
        <f aca="false">IF(OR(ISBLANK($M72),ISBLANK(Z$5),$B$22="N/A"),,ROUNDDOWN(0.5*$I$194*(($C$14+Z$5)/(ROUND(INDEX('0.0.1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2" s="231" t="n">
        <f aca="false">IF(OR(ISBLANK($M72),ISBLANK(AA$5),$B$22="N/A"),,ROUNDDOWN(0.5*$I$194*(($C$14+AA$5)/(ROUND(INDEX('0.0.1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2" s="231" t="n">
        <f aca="false">IF(OR(ISBLANK($M72),ISBLANK(AB$5),$B$22="N/A"),,ROUNDDOWN(0.5*$I$194*(($C$14+AB$5)/(ROUND(INDEX('0.0.1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2" s="231" t="n">
        <f aca="false">IF(OR(ISBLANK($M72),ISBLANK(AC$5),$B$22="N/A"),,ROUNDDOWN(0.5*$I$194*(($C$14+AC$5)/(ROUND(INDEX('0.0.1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2" s="224"/>
      <c r="AE72" s="234"/>
    </row>
    <row r="73" customFormat="false" ht="15.75" hidden="false" customHeight="false" outlineLevel="0" collapsed="false">
      <c r="A73" s="206"/>
      <c r="B73" s="206"/>
      <c r="C73" s="217"/>
      <c r="D73" s="217"/>
      <c r="E73" s="232"/>
      <c r="F73" s="217"/>
      <c r="G73" s="217"/>
      <c r="H73" s="217"/>
      <c r="I73" s="217"/>
      <c r="J73" s="223"/>
      <c r="K73" s="224"/>
      <c r="L73" s="224"/>
      <c r="M73" s="230"/>
      <c r="N73" s="231" t="n">
        <f aca="false">IF(OR(ISBLANK($M73),ISBLANK(N$5),$B$22="N/A"),,ROUNDDOWN(0.5*$I$194*(($C$14+N$5)/(ROUND(INDEX('0.0.1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3" s="231" t="n">
        <f aca="false">IF(OR(ISBLANK($M73),ISBLANK(O$5),$B$22="N/A"),,ROUNDDOWN(0.5*$I$194*(($C$14+O$5)/(ROUND(INDEX('0.0.1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3" s="231" t="n">
        <f aca="false">IF(OR(ISBLANK($M73),ISBLANK(P$5),$B$22="N/A"),,ROUNDDOWN(0.5*$I$194*(($C$14+P$5)/(ROUND(INDEX('0.0.1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3" s="231" t="n">
        <f aca="false">IF(OR(ISBLANK($M73),ISBLANK(Q$5),$B$22="N/A"),,ROUNDDOWN(0.5*$I$194*(($C$14+Q$5)/(ROUND(INDEX('0.0.1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3" s="231" t="n">
        <f aca="false">IF(OR(ISBLANK($M73),ISBLANK(R$5),$B$22="N/A"),,ROUNDDOWN(0.5*$I$194*(($C$14+R$5)/(ROUND(INDEX('0.0.1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3" s="231" t="n">
        <f aca="false">IF(OR(ISBLANK($M73),ISBLANK(S$5),$B$22="N/A"),,ROUNDDOWN(0.5*$I$194*(($C$14+S$5)/(ROUND(INDEX('0.0.1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3" s="231" t="n">
        <f aca="false">IF(OR(ISBLANK($M73),ISBLANK(T$5),$B$22="N/A"),,ROUNDDOWN(0.5*$I$194*(($C$14+T$5)/(ROUND(INDEX('0.0.1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3" s="231" t="n">
        <f aca="false">IF(OR(ISBLANK($M73),ISBLANK(U$5),$B$22="N/A"),,ROUNDDOWN(0.5*$I$194*(($C$14+U$5)/(ROUND(INDEX('0.0.1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3" s="231" t="n">
        <f aca="false">IF(OR(ISBLANK($M73),ISBLANK(V$5),$B$22="N/A"),,ROUNDDOWN(0.5*$I$194*(($C$14+V$5)/(ROUND(INDEX('0.0.1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3" s="231" t="n">
        <f aca="false">IF(OR(ISBLANK($M73),ISBLANK(W$5),$B$22="N/A"),,ROUNDDOWN(0.5*$I$194*(($C$14+W$5)/(ROUND(INDEX('0.0.1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3" s="231" t="n">
        <f aca="false">IF(OR(ISBLANK($M73),ISBLANK(X$5),$B$22="N/A"),,ROUNDDOWN(0.5*$I$194*(($C$14+X$5)/(ROUND(INDEX('0.0.1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3" s="231" t="n">
        <f aca="false">IF(OR(ISBLANK($M73),ISBLANK(Y$5),$B$22="N/A"),,ROUNDDOWN(0.5*$I$194*(($C$14+Y$5)/(ROUND(INDEX('0.0.1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3" s="231" t="n">
        <f aca="false">IF(OR(ISBLANK($M73),ISBLANK(Z$5),$B$22="N/A"),,ROUNDDOWN(0.5*$I$194*(($C$14+Z$5)/(ROUND(INDEX('0.0.1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3" s="231" t="n">
        <f aca="false">IF(OR(ISBLANK($M73),ISBLANK(AA$5),$B$22="N/A"),,ROUNDDOWN(0.5*$I$194*(($C$14+AA$5)/(ROUND(INDEX('0.0.1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3" s="231" t="n">
        <f aca="false">IF(OR(ISBLANK($M73),ISBLANK(AB$5),$B$22="N/A"),,ROUNDDOWN(0.5*$I$194*(($C$14+AB$5)/(ROUND(INDEX('0.0.1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3" s="231" t="n">
        <f aca="false">IF(OR(ISBLANK($M73),ISBLANK(AC$5),$B$22="N/A"),,ROUNDDOWN(0.5*$I$194*(($C$14+AC$5)/(ROUND(INDEX('0.0.1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3" s="224"/>
      <c r="AE73" s="234"/>
    </row>
    <row r="74" customFormat="false" ht="15.75" hidden="false" customHeight="false" outlineLevel="0" collapsed="false">
      <c r="A74" s="206"/>
      <c r="B74" s="206"/>
      <c r="C74" s="217"/>
      <c r="D74" s="217"/>
      <c r="E74" s="232"/>
      <c r="F74" s="217"/>
      <c r="G74" s="217"/>
      <c r="H74" s="217"/>
      <c r="I74" s="217"/>
      <c r="J74" s="223"/>
      <c r="K74" s="224"/>
      <c r="L74" s="224"/>
      <c r="M74" s="230"/>
      <c r="N74" s="231" t="n">
        <f aca="false">IF(OR(ISBLANK($M74),ISBLANK(N$5),$B$22="N/A"),,ROUNDDOWN(0.5*$I$194*(($C$14+N$5)/(ROUND(INDEX('0.0.1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4" s="231" t="n">
        <f aca="false">IF(OR(ISBLANK($M74),ISBLANK(O$5),$B$22="N/A"),,ROUNDDOWN(0.5*$I$194*(($C$14+O$5)/(ROUND(INDEX('0.0.1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4" s="231" t="n">
        <f aca="false">IF(OR(ISBLANK($M74),ISBLANK(P$5),$B$22="N/A"),,ROUNDDOWN(0.5*$I$194*(($C$14+P$5)/(ROUND(INDEX('0.0.1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4" s="231" t="n">
        <f aca="false">IF(OR(ISBLANK($M74),ISBLANK(Q$5),$B$22="N/A"),,ROUNDDOWN(0.5*$I$194*(($C$14+Q$5)/(ROUND(INDEX('0.0.1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4" s="231" t="n">
        <f aca="false">IF(OR(ISBLANK($M74),ISBLANK(R$5),$B$22="N/A"),,ROUNDDOWN(0.5*$I$194*(($C$14+R$5)/(ROUND(INDEX('0.0.1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4" s="231" t="n">
        <f aca="false">IF(OR(ISBLANK($M74),ISBLANK(S$5),$B$22="N/A"),,ROUNDDOWN(0.5*$I$194*(($C$14+S$5)/(ROUND(INDEX('0.0.1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4" s="231" t="n">
        <f aca="false">IF(OR(ISBLANK($M74),ISBLANK(T$5),$B$22="N/A"),,ROUNDDOWN(0.5*$I$194*(($C$14+T$5)/(ROUND(INDEX('0.0.1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4" s="231" t="n">
        <f aca="false">IF(OR(ISBLANK($M74),ISBLANK(U$5),$B$22="N/A"),,ROUNDDOWN(0.5*$I$194*(($C$14+U$5)/(ROUND(INDEX('0.0.1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4" s="231" t="n">
        <f aca="false">IF(OR(ISBLANK($M74),ISBLANK(V$5),$B$22="N/A"),,ROUNDDOWN(0.5*$I$194*(($C$14+V$5)/(ROUND(INDEX('0.0.1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4" s="231" t="n">
        <f aca="false">IF(OR(ISBLANK($M74),ISBLANK(W$5),$B$22="N/A"),,ROUNDDOWN(0.5*$I$194*(($C$14+W$5)/(ROUND(INDEX('0.0.1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4" s="231" t="n">
        <f aca="false">IF(OR(ISBLANK($M74),ISBLANK(X$5),$B$22="N/A"),,ROUNDDOWN(0.5*$I$194*(($C$14+X$5)/(ROUND(INDEX('0.0.1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4" s="231" t="n">
        <f aca="false">IF(OR(ISBLANK($M74),ISBLANK(Y$5),$B$22="N/A"),,ROUNDDOWN(0.5*$I$194*(($C$14+Y$5)/(ROUND(INDEX('0.0.1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4" s="231" t="n">
        <f aca="false">IF(OR(ISBLANK($M74),ISBLANK(Z$5),$B$22="N/A"),,ROUNDDOWN(0.5*$I$194*(($C$14+Z$5)/(ROUND(INDEX('0.0.1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4" s="231" t="n">
        <f aca="false">IF(OR(ISBLANK($M74),ISBLANK(AA$5),$B$22="N/A"),,ROUNDDOWN(0.5*$I$194*(($C$14+AA$5)/(ROUND(INDEX('0.0.1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4" s="231" t="n">
        <f aca="false">IF(OR(ISBLANK($M74),ISBLANK(AB$5),$B$22="N/A"),,ROUNDDOWN(0.5*$I$194*(($C$14+AB$5)/(ROUND(INDEX('0.0.1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4" s="231" t="n">
        <f aca="false">IF(OR(ISBLANK($M74),ISBLANK(AC$5),$B$22="N/A"),,ROUNDDOWN(0.5*$I$194*(($C$14+AC$5)/(ROUND(INDEX('0.0.1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4" s="224"/>
      <c r="AE74" s="234"/>
    </row>
    <row r="75" customFormat="false" ht="15.75" hidden="false" customHeight="false" outlineLevel="0" collapsed="false">
      <c r="A75" s="206"/>
      <c r="B75" s="206"/>
      <c r="C75" s="217"/>
      <c r="D75" s="217"/>
      <c r="E75" s="232"/>
      <c r="F75" s="217"/>
      <c r="G75" s="217"/>
      <c r="H75" s="217"/>
      <c r="I75" s="217"/>
      <c r="J75" s="223"/>
      <c r="K75" s="224"/>
      <c r="L75" s="224"/>
      <c r="M75" s="230"/>
      <c r="N75" s="231" t="n">
        <f aca="false">IF(OR(ISBLANK($M75),ISBLANK(N$5),$B$22="N/A"),,ROUNDDOWN(0.5*$I$194*(($C$14+N$5)/(ROUND(INDEX('0.0.1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5" s="231" t="n">
        <f aca="false">IF(OR(ISBLANK($M75),ISBLANK(O$5),$B$22="N/A"),,ROUNDDOWN(0.5*$I$194*(($C$14+O$5)/(ROUND(INDEX('0.0.1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5" s="231" t="n">
        <f aca="false">IF(OR(ISBLANK($M75),ISBLANK(P$5),$B$22="N/A"),,ROUNDDOWN(0.5*$I$194*(($C$14+P$5)/(ROUND(INDEX('0.0.1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5" s="231" t="n">
        <f aca="false">IF(OR(ISBLANK($M75),ISBLANK(Q$5),$B$22="N/A"),,ROUNDDOWN(0.5*$I$194*(($C$14+Q$5)/(ROUND(INDEX('0.0.1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5" s="231" t="n">
        <f aca="false">IF(OR(ISBLANK($M75),ISBLANK(R$5),$B$22="N/A"),,ROUNDDOWN(0.5*$I$194*(($C$14+R$5)/(ROUND(INDEX('0.0.1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5" s="231" t="n">
        <f aca="false">IF(OR(ISBLANK($M75),ISBLANK(S$5),$B$22="N/A"),,ROUNDDOWN(0.5*$I$194*(($C$14+S$5)/(ROUND(INDEX('0.0.1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5" s="231" t="n">
        <f aca="false">IF(OR(ISBLANK($M75),ISBLANK(T$5),$B$22="N/A"),,ROUNDDOWN(0.5*$I$194*(($C$14+T$5)/(ROUND(INDEX('0.0.1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5" s="231" t="n">
        <f aca="false">IF(OR(ISBLANK($M75),ISBLANK(U$5),$B$22="N/A"),,ROUNDDOWN(0.5*$I$194*(($C$14+U$5)/(ROUND(INDEX('0.0.1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5" s="231" t="n">
        <f aca="false">IF(OR(ISBLANK($M75),ISBLANK(V$5),$B$22="N/A"),,ROUNDDOWN(0.5*$I$194*(($C$14+V$5)/(ROUND(INDEX('0.0.1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5" s="231" t="n">
        <f aca="false">IF(OR(ISBLANK($M75),ISBLANK(W$5),$B$22="N/A"),,ROUNDDOWN(0.5*$I$194*(($C$14+W$5)/(ROUND(INDEX('0.0.1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5" s="231" t="n">
        <f aca="false">IF(OR(ISBLANK($M75),ISBLANK(X$5),$B$22="N/A"),,ROUNDDOWN(0.5*$I$194*(($C$14+X$5)/(ROUND(INDEX('0.0.1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5" s="231" t="n">
        <f aca="false">IF(OR(ISBLANK($M75),ISBLANK(Y$5),$B$22="N/A"),,ROUNDDOWN(0.5*$I$194*(($C$14+Y$5)/(ROUND(INDEX('0.0.1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5" s="231" t="n">
        <f aca="false">IF(OR(ISBLANK($M75),ISBLANK(Z$5),$B$22="N/A"),,ROUNDDOWN(0.5*$I$194*(($C$14+Z$5)/(ROUND(INDEX('0.0.1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5" s="231" t="n">
        <f aca="false">IF(OR(ISBLANK($M75),ISBLANK(AA$5),$B$22="N/A"),,ROUNDDOWN(0.5*$I$194*(($C$14+AA$5)/(ROUND(INDEX('0.0.1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5" s="231" t="n">
        <f aca="false">IF(OR(ISBLANK($M75),ISBLANK(AB$5),$B$22="N/A"),,ROUNDDOWN(0.5*$I$194*(($C$14+AB$5)/(ROUND(INDEX('0.0.1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5" s="231" t="n">
        <f aca="false">IF(OR(ISBLANK($M75),ISBLANK(AC$5),$B$22="N/A"),,ROUNDDOWN(0.5*$I$194*(($C$14+AC$5)/(ROUND(INDEX('0.0.1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Values'!$B$2:$B$80,MATCH($M75,'0.3.0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5" s="224"/>
      <c r="AE75" s="234"/>
    </row>
    <row r="76" customFormat="false" ht="15.75" hidden="false" customHeight="false" outlineLevel="0" collapsed="false">
      <c r="A76" s="206"/>
      <c r="B76" s="206"/>
      <c r="C76" s="217"/>
      <c r="D76" s="217"/>
      <c r="E76" s="232"/>
      <c r="F76" s="217"/>
      <c r="G76" s="217"/>
      <c r="H76" s="217"/>
      <c r="I76" s="217"/>
      <c r="J76" s="223"/>
      <c r="K76" s="224"/>
      <c r="L76" s="224"/>
      <c r="M76" s="230"/>
      <c r="N76" s="231" t="n">
        <f aca="false">IF(OR(ISBLANK($M76),ISBLANK(N$5),$B$22="N/A"),,ROUNDDOWN(0.5*$I$194*(($C$14+N$5)/(ROUND(INDEX('0.0.1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6" s="231" t="n">
        <f aca="false">IF(OR(ISBLANK($M76),ISBLANK(O$5),$B$22="N/A"),,ROUNDDOWN(0.5*$I$194*(($C$14+O$5)/(ROUND(INDEX('0.0.1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6" s="231" t="n">
        <f aca="false">IF(OR(ISBLANK($M76),ISBLANK(P$5),$B$22="N/A"),,ROUNDDOWN(0.5*$I$194*(($C$14+P$5)/(ROUND(INDEX('0.0.1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6" s="231" t="n">
        <f aca="false">IF(OR(ISBLANK($M76),ISBLANK(Q$5),$B$22="N/A"),,ROUNDDOWN(0.5*$I$194*(($C$14+Q$5)/(ROUND(INDEX('0.0.1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6" s="231" t="n">
        <f aca="false">IF(OR(ISBLANK($M76),ISBLANK(R$5),$B$22="N/A"),,ROUNDDOWN(0.5*$I$194*(($C$14+R$5)/(ROUND(INDEX('0.0.1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6" s="231" t="n">
        <f aca="false">IF(OR(ISBLANK($M76),ISBLANK(S$5),$B$22="N/A"),,ROUNDDOWN(0.5*$I$194*(($C$14+S$5)/(ROUND(INDEX('0.0.1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6" s="231" t="n">
        <f aca="false">IF(OR(ISBLANK($M76),ISBLANK(T$5),$B$22="N/A"),,ROUNDDOWN(0.5*$I$194*(($C$14+T$5)/(ROUND(INDEX('0.0.1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6" s="231" t="n">
        <f aca="false">IF(OR(ISBLANK($M76),ISBLANK(U$5),$B$22="N/A"),,ROUNDDOWN(0.5*$I$194*(($C$14+U$5)/(ROUND(INDEX('0.0.1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6" s="231" t="n">
        <f aca="false">IF(OR(ISBLANK($M76),ISBLANK(V$5),$B$22="N/A"),,ROUNDDOWN(0.5*$I$194*(($C$14+V$5)/(ROUND(INDEX('0.0.1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6" s="231" t="n">
        <f aca="false">IF(OR(ISBLANK($M76),ISBLANK(W$5),$B$22="N/A"),,ROUNDDOWN(0.5*$I$194*(($C$14+W$5)/(ROUND(INDEX('0.0.1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6" s="231" t="n">
        <f aca="false">IF(OR(ISBLANK($M76),ISBLANK(X$5),$B$22="N/A"),,ROUNDDOWN(0.5*$I$194*(($C$14+X$5)/(ROUND(INDEX('0.0.1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6" s="231" t="n">
        <f aca="false">IF(OR(ISBLANK($M76),ISBLANK(Y$5),$B$22="N/A"),,ROUNDDOWN(0.5*$I$194*(($C$14+Y$5)/(ROUND(INDEX('0.0.1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6" s="231" t="n">
        <f aca="false">IF(OR(ISBLANK($M76),ISBLANK(Z$5),$B$22="N/A"),,ROUNDDOWN(0.5*$I$194*(($C$14+Z$5)/(ROUND(INDEX('0.0.1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6" s="231" t="n">
        <f aca="false">IF(OR(ISBLANK($M76),ISBLANK(AA$5),$B$22="N/A"),,ROUNDDOWN(0.5*$I$194*(($C$14+AA$5)/(ROUND(INDEX('0.0.1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6" s="231" t="n">
        <f aca="false">IF(OR(ISBLANK($M76),ISBLANK(AB$5),$B$22="N/A"),,ROUNDDOWN(0.5*$I$194*(($C$14+AB$5)/(ROUND(INDEX('0.0.1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6" s="231" t="n">
        <f aca="false">IF(OR(ISBLANK($M76),ISBLANK(AC$5),$B$22="N/A"),,ROUNDDOWN(0.5*$I$194*(($C$14+AC$5)/(ROUND(INDEX('0.0.1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Values'!$B$2:$B$80,MATCH($M76,'0.3.0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6" s="224"/>
      <c r="AE76" s="234"/>
    </row>
    <row r="77" customFormat="false" ht="15.75" hidden="false" customHeight="false" outlineLevel="0" collapsed="false">
      <c r="A77" s="206"/>
      <c r="B77" s="206"/>
      <c r="C77" s="217"/>
      <c r="D77" s="217"/>
      <c r="E77" s="232"/>
      <c r="F77" s="217"/>
      <c r="G77" s="217"/>
      <c r="H77" s="217"/>
      <c r="I77" s="217"/>
      <c r="J77" s="223"/>
      <c r="K77" s="224"/>
      <c r="L77" s="224"/>
      <c r="M77" s="230"/>
      <c r="N77" s="231" t="n">
        <f aca="false">IF(OR(ISBLANK($M77),ISBLANK(N$5),$B$22="N/A"),,ROUNDDOWN(0.5*$I$194*(($C$14+N$5)/(ROUND(INDEX('0.0.1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7" s="231" t="n">
        <f aca="false">IF(OR(ISBLANK($M77),ISBLANK(O$5),$B$22="N/A"),,ROUNDDOWN(0.5*$I$194*(($C$14+O$5)/(ROUND(INDEX('0.0.1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7" s="231" t="n">
        <f aca="false">IF(OR(ISBLANK($M77),ISBLANK(P$5),$B$22="N/A"),,ROUNDDOWN(0.5*$I$194*(($C$14+P$5)/(ROUND(INDEX('0.0.1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7" s="231" t="n">
        <f aca="false">IF(OR(ISBLANK($M77),ISBLANK(Q$5),$B$22="N/A"),,ROUNDDOWN(0.5*$I$194*(($C$14+Q$5)/(ROUND(INDEX('0.0.1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7" s="231" t="n">
        <f aca="false">IF(OR(ISBLANK($M77),ISBLANK(R$5),$B$22="N/A"),,ROUNDDOWN(0.5*$I$194*(($C$14+R$5)/(ROUND(INDEX('0.0.1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7" s="231" t="n">
        <f aca="false">IF(OR(ISBLANK($M77),ISBLANK(S$5),$B$22="N/A"),,ROUNDDOWN(0.5*$I$194*(($C$14+S$5)/(ROUND(INDEX('0.0.1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7" s="231" t="n">
        <f aca="false">IF(OR(ISBLANK($M77),ISBLANK(T$5),$B$22="N/A"),,ROUNDDOWN(0.5*$I$194*(($C$14+T$5)/(ROUND(INDEX('0.0.1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7" s="231" t="n">
        <f aca="false">IF(OR(ISBLANK($M77),ISBLANK(U$5),$B$22="N/A"),,ROUNDDOWN(0.5*$I$194*(($C$14+U$5)/(ROUND(INDEX('0.0.1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7" s="231" t="n">
        <f aca="false">IF(OR(ISBLANK($M77),ISBLANK(V$5),$B$22="N/A"),,ROUNDDOWN(0.5*$I$194*(($C$14+V$5)/(ROUND(INDEX('0.0.1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7" s="231" t="n">
        <f aca="false">IF(OR(ISBLANK($M77),ISBLANK(W$5),$B$22="N/A"),,ROUNDDOWN(0.5*$I$194*(($C$14+W$5)/(ROUND(INDEX('0.0.1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7" s="231" t="n">
        <f aca="false">IF(OR(ISBLANK($M77),ISBLANK(X$5),$B$22="N/A"),,ROUNDDOWN(0.5*$I$194*(($C$14+X$5)/(ROUND(INDEX('0.0.1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7" s="231" t="n">
        <f aca="false">IF(OR(ISBLANK($M77),ISBLANK(Y$5),$B$22="N/A"),,ROUNDDOWN(0.5*$I$194*(($C$14+Y$5)/(ROUND(INDEX('0.0.1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7" s="231" t="n">
        <f aca="false">IF(OR(ISBLANK($M77),ISBLANK(Z$5),$B$22="N/A"),,ROUNDDOWN(0.5*$I$194*(($C$14+Z$5)/(ROUND(INDEX('0.0.1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7" s="231" t="n">
        <f aca="false">IF(OR(ISBLANK($M77),ISBLANK(AA$5),$B$22="N/A"),,ROUNDDOWN(0.5*$I$194*(($C$14+AA$5)/(ROUND(INDEX('0.0.1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7" s="231" t="n">
        <f aca="false">IF(OR(ISBLANK($M77),ISBLANK(AB$5),$B$22="N/A"),,ROUNDDOWN(0.5*$I$194*(($C$14+AB$5)/(ROUND(INDEX('0.0.1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7" s="231" t="n">
        <f aca="false">IF(OR(ISBLANK($M77),ISBLANK(AC$5),$B$22="N/A"),,ROUNDDOWN(0.5*$I$194*(($C$14+AC$5)/(ROUND(INDEX('0.0.1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Values'!$B$2:$B$80,MATCH($M77,'0.3.0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7" s="224"/>
      <c r="AE77" s="234"/>
    </row>
    <row r="78" customFormat="false" ht="15.75" hidden="false" customHeight="false" outlineLevel="0" collapsed="false">
      <c r="A78" s="206"/>
      <c r="B78" s="206"/>
      <c r="C78" s="217"/>
      <c r="D78" s="217"/>
      <c r="E78" s="232"/>
      <c r="F78" s="217"/>
      <c r="G78" s="217"/>
      <c r="H78" s="217"/>
      <c r="I78" s="217"/>
      <c r="J78" s="223"/>
      <c r="K78" s="224"/>
      <c r="L78" s="224"/>
      <c r="M78" s="230"/>
      <c r="N78" s="231" t="n">
        <f aca="false">IF(OR(ISBLANK($M78),ISBLANK(N$5),$B$22="N/A"),,ROUNDDOWN(0.5*$I$194*(($C$14+N$5)/(ROUND(INDEX('0.0.1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8" s="231" t="n">
        <f aca="false">IF(OR(ISBLANK($M78),ISBLANK(O$5),$B$22="N/A"),,ROUNDDOWN(0.5*$I$194*(($C$14+O$5)/(ROUND(INDEX('0.0.1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8" s="231" t="n">
        <f aca="false">IF(OR(ISBLANK($M78),ISBLANK(P$5),$B$22="N/A"),,ROUNDDOWN(0.5*$I$194*(($C$14+P$5)/(ROUND(INDEX('0.0.1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8" s="231" t="n">
        <f aca="false">IF(OR(ISBLANK($M78),ISBLANK(Q$5),$B$22="N/A"),,ROUNDDOWN(0.5*$I$194*(($C$14+Q$5)/(ROUND(INDEX('0.0.1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8" s="231" t="n">
        <f aca="false">IF(OR(ISBLANK($M78),ISBLANK(R$5),$B$22="N/A"),,ROUNDDOWN(0.5*$I$194*(($C$14+R$5)/(ROUND(INDEX('0.0.1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8" s="231" t="n">
        <f aca="false">IF(OR(ISBLANK($M78),ISBLANK(S$5),$B$22="N/A"),,ROUNDDOWN(0.5*$I$194*(($C$14+S$5)/(ROUND(INDEX('0.0.1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8" s="231" t="n">
        <f aca="false">IF(OR(ISBLANK($M78),ISBLANK(T$5),$B$22="N/A"),,ROUNDDOWN(0.5*$I$194*(($C$14+T$5)/(ROUND(INDEX('0.0.1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8" s="231" t="n">
        <f aca="false">IF(OR(ISBLANK($M78),ISBLANK(U$5),$B$22="N/A"),,ROUNDDOWN(0.5*$I$194*(($C$14+U$5)/(ROUND(INDEX('0.0.1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8" s="231" t="n">
        <f aca="false">IF(OR(ISBLANK($M78),ISBLANK(V$5),$B$22="N/A"),,ROUNDDOWN(0.5*$I$194*(($C$14+V$5)/(ROUND(INDEX('0.0.1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8" s="231" t="n">
        <f aca="false">IF(OR(ISBLANK($M78),ISBLANK(W$5),$B$22="N/A"),,ROUNDDOWN(0.5*$I$194*(($C$14+W$5)/(ROUND(INDEX('0.0.1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8" s="231" t="n">
        <f aca="false">IF(OR(ISBLANK($M78),ISBLANK(X$5),$B$22="N/A"),,ROUNDDOWN(0.5*$I$194*(($C$14+X$5)/(ROUND(INDEX('0.0.1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8" s="231" t="n">
        <f aca="false">IF(OR(ISBLANK($M78),ISBLANK(Y$5),$B$22="N/A"),,ROUNDDOWN(0.5*$I$194*(($C$14+Y$5)/(ROUND(INDEX('0.0.1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8" s="231" t="n">
        <f aca="false">IF(OR(ISBLANK($M78),ISBLANK(Z$5),$B$22="N/A"),,ROUNDDOWN(0.5*$I$194*(($C$14+Z$5)/(ROUND(INDEX('0.0.1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8" s="231" t="n">
        <f aca="false">IF(OR(ISBLANK($M78),ISBLANK(AA$5),$B$22="N/A"),,ROUNDDOWN(0.5*$I$194*(($C$14+AA$5)/(ROUND(INDEX('0.0.1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8" s="231" t="n">
        <f aca="false">IF(OR(ISBLANK($M78),ISBLANK(AB$5),$B$22="N/A"),,ROUNDDOWN(0.5*$I$194*(($C$14+AB$5)/(ROUND(INDEX('0.0.1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8" s="231" t="n">
        <f aca="false">IF(OR(ISBLANK($M78),ISBLANK(AC$5),$B$22="N/A"),,ROUNDDOWN(0.5*$I$194*(($C$14+AC$5)/(ROUND(INDEX('0.0.1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Values'!$B$2:$B$80,MATCH($M78,'0.3.0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8" s="224"/>
      <c r="AE78" s="234"/>
    </row>
    <row r="79" customFormat="false" ht="15.75" hidden="false" customHeight="false" outlineLevel="0" collapsed="false">
      <c r="A79" s="206"/>
      <c r="B79" s="206"/>
      <c r="C79" s="217"/>
      <c r="D79" s="217"/>
      <c r="E79" s="232"/>
      <c r="F79" s="217"/>
      <c r="G79" s="217"/>
      <c r="H79" s="217"/>
      <c r="I79" s="217"/>
      <c r="J79" s="223"/>
      <c r="K79" s="224"/>
      <c r="L79" s="224"/>
      <c r="M79" s="230"/>
      <c r="N79" s="231" t="n">
        <f aca="false">IF(OR(ISBLANK($M79),ISBLANK(N$5),$B$22="N/A"),,ROUNDDOWN(0.5*$I$194*(($C$14+N$5)/(ROUND(INDEX('0.0.1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79" s="231" t="n">
        <f aca="false">IF(OR(ISBLANK($M79),ISBLANK(O$5),$B$22="N/A"),,ROUNDDOWN(0.5*$I$194*(($C$14+O$5)/(ROUND(INDEX('0.0.1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79" s="231" t="n">
        <f aca="false">IF(OR(ISBLANK($M79),ISBLANK(P$5),$B$22="N/A"),,ROUNDDOWN(0.5*$I$194*(($C$14+P$5)/(ROUND(INDEX('0.0.1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79" s="231" t="n">
        <f aca="false">IF(OR(ISBLANK($M79),ISBLANK(Q$5),$B$22="N/A"),,ROUNDDOWN(0.5*$I$194*(($C$14+Q$5)/(ROUND(INDEX('0.0.1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79" s="231" t="n">
        <f aca="false">IF(OR(ISBLANK($M79),ISBLANK(R$5),$B$22="N/A"),,ROUNDDOWN(0.5*$I$194*(($C$14+R$5)/(ROUND(INDEX('0.0.1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79" s="231" t="n">
        <f aca="false">IF(OR(ISBLANK($M79),ISBLANK(S$5),$B$22="N/A"),,ROUNDDOWN(0.5*$I$194*(($C$14+S$5)/(ROUND(INDEX('0.0.1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79" s="231" t="n">
        <f aca="false">IF(OR(ISBLANK($M79),ISBLANK(T$5),$B$22="N/A"),,ROUNDDOWN(0.5*$I$194*(($C$14+T$5)/(ROUND(INDEX('0.0.1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79" s="231" t="n">
        <f aca="false">IF(OR(ISBLANK($M79),ISBLANK(U$5),$B$22="N/A"),,ROUNDDOWN(0.5*$I$194*(($C$14+U$5)/(ROUND(INDEX('0.0.1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79" s="231" t="n">
        <f aca="false">IF(OR(ISBLANK($M79),ISBLANK(V$5),$B$22="N/A"),,ROUNDDOWN(0.5*$I$194*(($C$14+V$5)/(ROUND(INDEX('0.0.1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79" s="231" t="n">
        <f aca="false">IF(OR(ISBLANK($M79),ISBLANK(W$5),$B$22="N/A"),,ROUNDDOWN(0.5*$I$194*(($C$14+W$5)/(ROUND(INDEX('0.0.1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79" s="231" t="n">
        <f aca="false">IF(OR(ISBLANK($M79),ISBLANK(X$5),$B$22="N/A"),,ROUNDDOWN(0.5*$I$194*(($C$14+X$5)/(ROUND(INDEX('0.0.1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79" s="231" t="n">
        <f aca="false">IF(OR(ISBLANK($M79),ISBLANK(Y$5),$B$22="N/A"),,ROUNDDOWN(0.5*$I$194*(($C$14+Y$5)/(ROUND(INDEX('0.0.1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79" s="231" t="n">
        <f aca="false">IF(OR(ISBLANK($M79),ISBLANK(Z$5),$B$22="N/A"),,ROUNDDOWN(0.5*$I$194*(($C$14+Z$5)/(ROUND(INDEX('0.0.1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79" s="231" t="n">
        <f aca="false">IF(OR(ISBLANK($M79),ISBLANK(AA$5),$B$22="N/A"),,ROUNDDOWN(0.5*$I$194*(($C$14+AA$5)/(ROUND(INDEX('0.0.1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79" s="231" t="n">
        <f aca="false">IF(OR(ISBLANK($M79),ISBLANK(AB$5),$B$22="N/A"),,ROUNDDOWN(0.5*$I$194*(($C$14+AB$5)/(ROUND(INDEX('0.0.1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79" s="231" t="n">
        <f aca="false">IF(OR(ISBLANK($M79),ISBLANK(AC$5),$B$22="N/A"),,ROUNDDOWN(0.5*$I$194*(($C$14+AC$5)/(ROUND(INDEX('0.0.1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Values'!$B$2:$B$80,MATCH($M79,'0.3.0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79" s="224"/>
      <c r="AE79" s="234"/>
    </row>
    <row r="80" customFormat="false" ht="15.75" hidden="false" customHeight="false" outlineLevel="0" collapsed="false">
      <c r="A80" s="206"/>
      <c r="B80" s="206"/>
      <c r="C80" s="217"/>
      <c r="D80" s="217"/>
      <c r="E80" s="232"/>
      <c r="F80" s="217"/>
      <c r="G80" s="217"/>
      <c r="H80" s="217"/>
      <c r="I80" s="217"/>
      <c r="J80" s="223"/>
      <c r="K80" s="224"/>
      <c r="L80" s="224"/>
      <c r="M80" s="230"/>
      <c r="N80" s="231" t="n">
        <f aca="false">IF(OR(ISBLANK($M80),ISBLANK(N$5),$B$22="N/A"),,ROUNDDOWN(0.5*$I$194*(($C$14+N$5)/(ROUND(INDEX('0.0.1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0" s="231" t="n">
        <f aca="false">IF(OR(ISBLANK($M80),ISBLANK(O$5),$B$22="N/A"),,ROUNDDOWN(0.5*$I$194*(($C$14+O$5)/(ROUND(INDEX('0.0.1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0" s="231" t="n">
        <f aca="false">IF(OR(ISBLANK($M80),ISBLANK(P$5),$B$22="N/A"),,ROUNDDOWN(0.5*$I$194*(($C$14+P$5)/(ROUND(INDEX('0.0.1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0" s="231" t="n">
        <f aca="false">IF(OR(ISBLANK($M80),ISBLANK(Q$5),$B$22="N/A"),,ROUNDDOWN(0.5*$I$194*(($C$14+Q$5)/(ROUND(INDEX('0.0.1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0" s="231" t="n">
        <f aca="false">IF(OR(ISBLANK($M80),ISBLANK(R$5),$B$22="N/A"),,ROUNDDOWN(0.5*$I$194*(($C$14+R$5)/(ROUND(INDEX('0.0.1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0" s="231" t="n">
        <f aca="false">IF(OR(ISBLANK($M80),ISBLANK(S$5),$B$22="N/A"),,ROUNDDOWN(0.5*$I$194*(($C$14+S$5)/(ROUND(INDEX('0.0.1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0" s="231" t="n">
        <f aca="false">IF(OR(ISBLANK($M80),ISBLANK(T$5),$B$22="N/A"),,ROUNDDOWN(0.5*$I$194*(($C$14+T$5)/(ROUND(INDEX('0.0.1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0" s="231" t="n">
        <f aca="false">IF(OR(ISBLANK($M80),ISBLANK(U$5),$B$22="N/A"),,ROUNDDOWN(0.5*$I$194*(($C$14+U$5)/(ROUND(INDEX('0.0.1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0" s="231" t="n">
        <f aca="false">IF(OR(ISBLANK($M80),ISBLANK(V$5),$B$22="N/A"),,ROUNDDOWN(0.5*$I$194*(($C$14+V$5)/(ROUND(INDEX('0.0.1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0" s="231" t="n">
        <f aca="false">IF(OR(ISBLANK($M80),ISBLANK(W$5),$B$22="N/A"),,ROUNDDOWN(0.5*$I$194*(($C$14+W$5)/(ROUND(INDEX('0.0.1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0" s="231" t="n">
        <f aca="false">IF(OR(ISBLANK($M80),ISBLANK(X$5),$B$22="N/A"),,ROUNDDOWN(0.5*$I$194*(($C$14+X$5)/(ROUND(INDEX('0.0.1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0" s="231" t="n">
        <f aca="false">IF(OR(ISBLANK($M80),ISBLANK(Y$5),$B$22="N/A"),,ROUNDDOWN(0.5*$I$194*(($C$14+Y$5)/(ROUND(INDEX('0.0.1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0" s="231" t="n">
        <f aca="false">IF(OR(ISBLANK($M80),ISBLANK(Z$5),$B$22="N/A"),,ROUNDDOWN(0.5*$I$194*(($C$14+Z$5)/(ROUND(INDEX('0.0.1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0" s="231" t="n">
        <f aca="false">IF(OR(ISBLANK($M80),ISBLANK(AA$5),$B$22="N/A"),,ROUNDDOWN(0.5*$I$194*(($C$14+AA$5)/(ROUND(INDEX('0.0.1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0" s="231" t="n">
        <f aca="false">IF(OR(ISBLANK($M80),ISBLANK(AB$5),$B$22="N/A"),,ROUNDDOWN(0.5*$I$194*(($C$14+AB$5)/(ROUND(INDEX('0.0.1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0" s="231" t="n">
        <f aca="false">IF(OR(ISBLANK($M80),ISBLANK(AC$5),$B$22="N/A"),,ROUNDDOWN(0.5*$I$194*(($C$14+AC$5)/(ROUND(INDEX('0.0.1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Values'!$B$2:$B$80,MATCH($M80,'0.3.0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0" s="224"/>
      <c r="AE80" s="234"/>
    </row>
    <row r="81" customFormat="false" ht="15.75" hidden="false" customHeight="false" outlineLevel="0" collapsed="false">
      <c r="A81" s="206"/>
      <c r="B81" s="206"/>
      <c r="C81" s="217"/>
      <c r="D81" s="217"/>
      <c r="E81" s="232"/>
      <c r="F81" s="217"/>
      <c r="G81" s="217"/>
      <c r="H81" s="217"/>
      <c r="I81" s="217"/>
      <c r="J81" s="223"/>
      <c r="K81" s="224"/>
      <c r="L81" s="224"/>
      <c r="M81" s="230"/>
      <c r="N81" s="231" t="n">
        <f aca="false">IF(OR(ISBLANK($M81),ISBLANK(N$5),$B$22="N/A"),,ROUNDDOWN(0.5*$I$194*(($C$14+N$5)/(ROUND(INDEX('0.0.1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1" s="231" t="n">
        <f aca="false">IF(OR(ISBLANK($M81),ISBLANK(O$5),$B$22="N/A"),,ROUNDDOWN(0.5*$I$194*(($C$14+O$5)/(ROUND(INDEX('0.0.1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1" s="231" t="n">
        <f aca="false">IF(OR(ISBLANK($M81),ISBLANK(P$5),$B$22="N/A"),,ROUNDDOWN(0.5*$I$194*(($C$14+P$5)/(ROUND(INDEX('0.0.1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1" s="231" t="n">
        <f aca="false">IF(OR(ISBLANK($M81),ISBLANK(Q$5),$B$22="N/A"),,ROUNDDOWN(0.5*$I$194*(($C$14+Q$5)/(ROUND(INDEX('0.0.1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1" s="231" t="n">
        <f aca="false">IF(OR(ISBLANK($M81),ISBLANK(R$5),$B$22="N/A"),,ROUNDDOWN(0.5*$I$194*(($C$14+R$5)/(ROUND(INDEX('0.0.1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1" s="231" t="n">
        <f aca="false">IF(OR(ISBLANK($M81),ISBLANK(S$5),$B$22="N/A"),,ROUNDDOWN(0.5*$I$194*(($C$14+S$5)/(ROUND(INDEX('0.0.1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1" s="231" t="n">
        <f aca="false">IF(OR(ISBLANK($M81),ISBLANK(T$5),$B$22="N/A"),,ROUNDDOWN(0.5*$I$194*(($C$14+T$5)/(ROUND(INDEX('0.0.1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1" s="231" t="n">
        <f aca="false">IF(OR(ISBLANK($M81),ISBLANK(U$5),$B$22="N/A"),,ROUNDDOWN(0.5*$I$194*(($C$14+U$5)/(ROUND(INDEX('0.0.1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1" s="231" t="n">
        <f aca="false">IF(OR(ISBLANK($M81),ISBLANK(V$5),$B$22="N/A"),,ROUNDDOWN(0.5*$I$194*(($C$14+V$5)/(ROUND(INDEX('0.0.1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1" s="231" t="n">
        <f aca="false">IF(OR(ISBLANK($M81),ISBLANK(W$5),$B$22="N/A"),,ROUNDDOWN(0.5*$I$194*(($C$14+W$5)/(ROUND(INDEX('0.0.1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1" s="231" t="n">
        <f aca="false">IF(OR(ISBLANK($M81),ISBLANK(X$5),$B$22="N/A"),,ROUNDDOWN(0.5*$I$194*(($C$14+X$5)/(ROUND(INDEX('0.0.1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1" s="231" t="n">
        <f aca="false">IF(OR(ISBLANK($M81),ISBLANK(Y$5),$B$22="N/A"),,ROUNDDOWN(0.5*$I$194*(($C$14+Y$5)/(ROUND(INDEX('0.0.1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1" s="231" t="n">
        <f aca="false">IF(OR(ISBLANK($M81),ISBLANK(Z$5),$B$22="N/A"),,ROUNDDOWN(0.5*$I$194*(($C$14+Z$5)/(ROUND(INDEX('0.0.1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1" s="231" t="n">
        <f aca="false">IF(OR(ISBLANK($M81),ISBLANK(AA$5),$B$22="N/A"),,ROUNDDOWN(0.5*$I$194*(($C$14+AA$5)/(ROUND(INDEX('0.0.1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1" s="231" t="n">
        <f aca="false">IF(OR(ISBLANK($M81),ISBLANK(AB$5),$B$22="N/A"),,ROUNDDOWN(0.5*$I$194*(($C$14+AB$5)/(ROUND(INDEX('0.0.1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1" s="231" t="n">
        <f aca="false">IF(OR(ISBLANK($M81),ISBLANK(AC$5),$B$22="N/A"),,ROUNDDOWN(0.5*$I$194*(($C$14+AC$5)/(ROUND(INDEX('0.0.1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Values'!$B$2:$B$80,MATCH($M81,'0.3.0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1" s="224"/>
      <c r="AE81" s="234"/>
    </row>
    <row r="82" customFormat="false" ht="15.75" hidden="false" customHeight="false" outlineLevel="0" collapsed="false">
      <c r="A82" s="206"/>
      <c r="B82" s="206"/>
      <c r="C82" s="217"/>
      <c r="D82" s="217"/>
      <c r="E82" s="232"/>
      <c r="F82" s="217"/>
      <c r="G82" s="217"/>
      <c r="H82" s="217"/>
      <c r="I82" s="217"/>
      <c r="J82" s="223"/>
      <c r="K82" s="224"/>
      <c r="L82" s="224"/>
      <c r="M82" s="230"/>
      <c r="N82" s="231" t="n">
        <f aca="false">IF(OR(ISBLANK($M82),ISBLANK(N$5),$B$22="N/A"),,ROUNDDOWN(0.5*$I$194*(($C$14+N$5)/(ROUND(INDEX('0.0.1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2" s="231" t="n">
        <f aca="false">IF(OR(ISBLANK($M82),ISBLANK(O$5),$B$22="N/A"),,ROUNDDOWN(0.5*$I$194*(($C$14+O$5)/(ROUND(INDEX('0.0.1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2" s="231" t="n">
        <f aca="false">IF(OR(ISBLANK($M82),ISBLANK(P$5),$B$22="N/A"),,ROUNDDOWN(0.5*$I$194*(($C$14+P$5)/(ROUND(INDEX('0.0.1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2" s="231" t="n">
        <f aca="false">IF(OR(ISBLANK($M82),ISBLANK(Q$5),$B$22="N/A"),,ROUNDDOWN(0.5*$I$194*(($C$14+Q$5)/(ROUND(INDEX('0.0.1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2" s="231" t="n">
        <f aca="false">IF(OR(ISBLANK($M82),ISBLANK(R$5),$B$22="N/A"),,ROUNDDOWN(0.5*$I$194*(($C$14+R$5)/(ROUND(INDEX('0.0.1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2" s="231" t="n">
        <f aca="false">IF(OR(ISBLANK($M82),ISBLANK(S$5),$B$22="N/A"),,ROUNDDOWN(0.5*$I$194*(($C$14+S$5)/(ROUND(INDEX('0.0.1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2" s="231" t="n">
        <f aca="false">IF(OR(ISBLANK($M82),ISBLANK(T$5),$B$22="N/A"),,ROUNDDOWN(0.5*$I$194*(($C$14+T$5)/(ROUND(INDEX('0.0.1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2" s="231" t="n">
        <f aca="false">IF(OR(ISBLANK($M82),ISBLANK(U$5),$B$22="N/A"),,ROUNDDOWN(0.5*$I$194*(($C$14+U$5)/(ROUND(INDEX('0.0.1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2" s="231" t="n">
        <f aca="false">IF(OR(ISBLANK($M82),ISBLANK(V$5),$B$22="N/A"),,ROUNDDOWN(0.5*$I$194*(($C$14+V$5)/(ROUND(INDEX('0.0.1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2" s="231" t="n">
        <f aca="false">IF(OR(ISBLANK($M82),ISBLANK(W$5),$B$22="N/A"),,ROUNDDOWN(0.5*$I$194*(($C$14+W$5)/(ROUND(INDEX('0.0.1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2" s="231" t="n">
        <f aca="false">IF(OR(ISBLANK($M82),ISBLANK(X$5),$B$22="N/A"),,ROUNDDOWN(0.5*$I$194*(($C$14+X$5)/(ROUND(INDEX('0.0.1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2" s="231" t="n">
        <f aca="false">IF(OR(ISBLANK($M82),ISBLANK(Y$5),$B$22="N/A"),,ROUNDDOWN(0.5*$I$194*(($C$14+Y$5)/(ROUND(INDEX('0.0.1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2" s="231" t="n">
        <f aca="false">IF(OR(ISBLANK($M82),ISBLANK(Z$5),$B$22="N/A"),,ROUNDDOWN(0.5*$I$194*(($C$14+Z$5)/(ROUND(INDEX('0.0.1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2" s="231" t="n">
        <f aca="false">IF(OR(ISBLANK($M82),ISBLANK(AA$5),$B$22="N/A"),,ROUNDDOWN(0.5*$I$194*(($C$14+AA$5)/(ROUND(INDEX('0.0.1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2" s="231" t="n">
        <f aca="false">IF(OR(ISBLANK($M82),ISBLANK(AB$5),$B$22="N/A"),,ROUNDDOWN(0.5*$I$194*(($C$14+AB$5)/(ROUND(INDEX('0.0.1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2" s="231" t="n">
        <f aca="false">IF(OR(ISBLANK($M82),ISBLANK(AC$5),$B$22="N/A"),,ROUNDDOWN(0.5*$I$194*(($C$14+AC$5)/(ROUND(INDEX('0.0.1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Values'!$B$2:$B$80,MATCH($M82,'0.3.0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2" s="224"/>
      <c r="AE82" s="234"/>
    </row>
    <row r="83" customFormat="false" ht="15.75" hidden="false" customHeight="false" outlineLevel="0" collapsed="false">
      <c r="A83" s="206"/>
      <c r="B83" s="206"/>
      <c r="C83" s="217"/>
      <c r="D83" s="217"/>
      <c r="E83" s="232"/>
      <c r="F83" s="217"/>
      <c r="G83" s="217"/>
      <c r="H83" s="217"/>
      <c r="I83" s="217"/>
      <c r="J83" s="223"/>
      <c r="K83" s="224"/>
      <c r="L83" s="224"/>
      <c r="M83" s="230"/>
      <c r="N83" s="231" t="n">
        <f aca="false">IF(OR(ISBLANK($M83),ISBLANK(N$5),$B$22="N/A"),,ROUNDDOWN(0.5*$I$194*(($C$14+N$5)/(ROUND(INDEX('0.0.1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3" s="231" t="n">
        <f aca="false">IF(OR(ISBLANK($M83),ISBLANK(O$5),$B$22="N/A"),,ROUNDDOWN(0.5*$I$194*(($C$14+O$5)/(ROUND(INDEX('0.0.1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3" s="231" t="n">
        <f aca="false">IF(OR(ISBLANK($M83),ISBLANK(P$5),$B$22="N/A"),,ROUNDDOWN(0.5*$I$194*(($C$14+P$5)/(ROUND(INDEX('0.0.1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3" s="231" t="n">
        <f aca="false">IF(OR(ISBLANK($M83),ISBLANK(Q$5),$B$22="N/A"),,ROUNDDOWN(0.5*$I$194*(($C$14+Q$5)/(ROUND(INDEX('0.0.1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3" s="231" t="n">
        <f aca="false">IF(OR(ISBLANK($M83),ISBLANK(R$5),$B$22="N/A"),,ROUNDDOWN(0.5*$I$194*(($C$14+R$5)/(ROUND(INDEX('0.0.1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3" s="231" t="n">
        <f aca="false">IF(OR(ISBLANK($M83),ISBLANK(S$5),$B$22="N/A"),,ROUNDDOWN(0.5*$I$194*(($C$14+S$5)/(ROUND(INDEX('0.0.1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3" s="231" t="n">
        <f aca="false">IF(OR(ISBLANK($M83),ISBLANK(T$5),$B$22="N/A"),,ROUNDDOWN(0.5*$I$194*(($C$14+T$5)/(ROUND(INDEX('0.0.1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3" s="231" t="n">
        <f aca="false">IF(OR(ISBLANK($M83),ISBLANK(U$5),$B$22="N/A"),,ROUNDDOWN(0.5*$I$194*(($C$14+U$5)/(ROUND(INDEX('0.0.1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3" s="231" t="n">
        <f aca="false">IF(OR(ISBLANK($M83),ISBLANK(V$5),$B$22="N/A"),,ROUNDDOWN(0.5*$I$194*(($C$14+V$5)/(ROUND(INDEX('0.0.1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3" s="231" t="n">
        <f aca="false">IF(OR(ISBLANK($M83),ISBLANK(W$5),$B$22="N/A"),,ROUNDDOWN(0.5*$I$194*(($C$14+W$5)/(ROUND(INDEX('0.0.1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3" s="231" t="n">
        <f aca="false">IF(OR(ISBLANK($M83),ISBLANK(X$5),$B$22="N/A"),,ROUNDDOWN(0.5*$I$194*(($C$14+X$5)/(ROUND(INDEX('0.0.1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3" s="231" t="n">
        <f aca="false">IF(OR(ISBLANK($M83),ISBLANK(Y$5),$B$22="N/A"),,ROUNDDOWN(0.5*$I$194*(($C$14+Y$5)/(ROUND(INDEX('0.0.1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3" s="231" t="n">
        <f aca="false">IF(OR(ISBLANK($M83),ISBLANK(Z$5),$B$22="N/A"),,ROUNDDOWN(0.5*$I$194*(($C$14+Z$5)/(ROUND(INDEX('0.0.1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3" s="231" t="n">
        <f aca="false">IF(OR(ISBLANK($M83),ISBLANK(AA$5),$B$22="N/A"),,ROUNDDOWN(0.5*$I$194*(($C$14+AA$5)/(ROUND(INDEX('0.0.1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3" s="231" t="n">
        <f aca="false">IF(OR(ISBLANK($M83),ISBLANK(AB$5),$B$22="N/A"),,ROUNDDOWN(0.5*$I$194*(($C$14+AB$5)/(ROUND(INDEX('0.0.1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3" s="231" t="n">
        <f aca="false">IF(OR(ISBLANK($M83),ISBLANK(AC$5),$B$22="N/A"),,ROUNDDOWN(0.5*$I$194*(($C$14+AC$5)/(ROUND(INDEX('0.0.1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Values'!$B$2:$B$80,MATCH($M83,'0.3.0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3" s="224"/>
      <c r="AE83" s="234"/>
    </row>
    <row r="84" customFormat="false" ht="15.75" hidden="false" customHeight="false" outlineLevel="0" collapsed="false">
      <c r="A84" s="206"/>
      <c r="B84" s="206"/>
      <c r="C84" s="217"/>
      <c r="D84" s="217"/>
      <c r="E84" s="232"/>
      <c r="F84" s="217"/>
      <c r="G84" s="217"/>
      <c r="H84" s="217"/>
      <c r="I84" s="217"/>
      <c r="J84" s="223"/>
      <c r="K84" s="224"/>
      <c r="L84" s="224"/>
      <c r="M84" s="230"/>
      <c r="N84" s="231" t="n">
        <f aca="false">IF(OR(ISBLANK($M84),ISBLANK(N$5),$B$22="N/A"),,ROUNDDOWN(0.5*$I$194*(($C$14+N$5)/(ROUND(INDEX('0.0.1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O84" s="231" t="n">
        <f aca="false">IF(OR(ISBLANK($M84),ISBLANK(O$5),$B$22="N/A"),,ROUNDDOWN(0.5*$I$194*(($C$14+O$5)/(ROUND(INDEX('0.0.1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P84" s="231" t="n">
        <f aca="false">IF(OR(ISBLANK($M84),ISBLANK(P$5),$B$22="N/A"),,ROUNDDOWN(0.5*$I$194*(($C$14+P$5)/(ROUND(INDEX('0.0.1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Q84" s="231" t="n">
        <f aca="false">IF(OR(ISBLANK($M84),ISBLANK(Q$5),$B$22="N/A"),,ROUNDDOWN(0.5*$I$194*(($C$14+Q$5)/(ROUND(INDEX('0.0.1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R84" s="231" t="n">
        <f aca="false">IF(OR(ISBLANK($M84),ISBLANK(R$5),$B$22="N/A"),,ROUNDDOWN(0.5*$I$194*(($C$14+R$5)/(ROUND(INDEX('0.0.1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S84" s="231" t="n">
        <f aca="false">IF(OR(ISBLANK($M84),ISBLANK(S$5),$B$22="N/A"),,ROUNDDOWN(0.5*$I$194*(($C$14+S$5)/(ROUND(INDEX('0.0.1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T84" s="231" t="n">
        <f aca="false">IF(OR(ISBLANK($M84),ISBLANK(T$5),$B$22="N/A"),,ROUNDDOWN(0.5*$I$194*(($C$14+T$5)/(ROUND(INDEX('0.0.1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U84" s="231" t="n">
        <f aca="false">IF(OR(ISBLANK($M84),ISBLANK(U$5),$B$22="N/A"),,ROUNDDOWN(0.5*$I$194*(($C$14+U$5)/(ROUND(INDEX('0.0.1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V84" s="231" t="n">
        <f aca="false">IF(OR(ISBLANK($M84),ISBLANK(V$5),$B$22="N/A"),,ROUNDDOWN(0.5*$I$194*(($C$14+V$5)/(ROUND(INDEX('0.0.1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W84" s="231" t="n">
        <f aca="false">IF(OR(ISBLANK($M84),ISBLANK(W$5),$B$22="N/A"),,ROUNDDOWN(0.5*$I$194*(($C$14+W$5)/(ROUND(INDEX('0.0.1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X84" s="231" t="n">
        <f aca="false">IF(OR(ISBLANK($M84),ISBLANK(X$5),$B$22="N/A"),,ROUNDDOWN(0.5*$I$194*(($C$14+X$5)/(ROUND(INDEX('0.0.1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Y84" s="231" t="n">
        <f aca="false">IF(OR(ISBLANK($M84),ISBLANK(Y$5),$B$22="N/A"),,ROUNDDOWN(0.5*$I$194*(($C$14+Y$5)/(ROUND(INDEX('0.0.1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Z84" s="231" t="n">
        <f aca="false">IF(OR(ISBLANK($M84),ISBLANK(Z$5),$B$22="N/A"),,ROUNDDOWN(0.5*$I$194*(($C$14+Z$5)/(ROUND(INDEX('0.0.1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A84" s="231" t="n">
        <f aca="false">IF(OR(ISBLANK($M84),ISBLANK(AA$5),$B$22="N/A"),,ROUNDDOWN(0.5*$I$194*(($C$14+AA$5)/(ROUND(INDEX('0.0.1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B84" s="231" t="n">
        <f aca="false">IF(OR(ISBLANK($M84),ISBLANK(AB$5),$B$22="N/A"),,ROUNDDOWN(0.5*$I$194*(($C$14+AB$5)/(ROUND(INDEX('0.0.1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C84" s="231" t="n">
        <f aca="false">IF(OR(ISBLANK($M84),ISBLANK(AC$5),$B$22="N/A"),,ROUNDDOWN(0.5*$I$194*(($C$14+AC$5)/(ROUND(INDEX('0.0.1 Pokémon Dex Data'!$U$3:$U201,MATCH($H$5,'0.0.1 Pokémon Dex Data'!$E$3:$E201,0))*INDEX('0.0.1 Pokémon Dex Data'!$S$3:$S201,MATCH($H$5,'0.0.1 Pokémon Dex Data'!$E$3:$E201,0)),0)+15)*(INDEX('0.3.0 GO Calculation Values'!$B$2:$B$80,MATCH($M84,'0.3.0 GO Calculation Values'!$A$2:$A$80,0))/INDEX('0.3.0 GO Calculation Values'!$G$2:$G$6,MATCH($H$6,'0.3.0 GO Calculation Values'!$F$2:$F$6,0))))*$N$195*IF(OR($B$24=$B$13,$B$24=$C$13),$N$194,1)*(INDEX($C$198:$U$198,MATCH($B$24,$C$197:$U$197,0))*INDEX($C$199:$U$199,MATCH($B$24,$C$197:$U$197,0))),0)+1)</f>
        <v>0</v>
      </c>
      <c r="AD84" s="224"/>
      <c r="AE84" s="234"/>
    </row>
    <row r="85" customFormat="false" ht="15.75" hidden="false" customHeight="false" outlineLevel="0" collapsed="false">
      <c r="A85" s="206"/>
      <c r="B85" s="206"/>
      <c r="C85" s="217"/>
      <c r="D85" s="217"/>
      <c r="E85" s="232"/>
      <c r="F85" s="217"/>
      <c r="G85" s="217"/>
      <c r="H85" s="217"/>
      <c r="I85" s="217"/>
      <c r="J85" s="223"/>
      <c r="K85" s="224"/>
      <c r="L85" s="224"/>
      <c r="M85" s="254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  <c r="AA85" s="225"/>
      <c r="AB85" s="225"/>
      <c r="AC85" s="225"/>
      <c r="AD85" s="224"/>
      <c r="AE85" s="234"/>
    </row>
    <row r="86" customFormat="false" ht="15.75" hidden="false" customHeight="false" outlineLevel="0" collapsed="false">
      <c r="A86" s="206"/>
      <c r="B86" s="206"/>
      <c r="C86" s="217"/>
      <c r="D86" s="217"/>
      <c r="E86" s="232"/>
      <c r="F86" s="217"/>
      <c r="G86" s="217"/>
      <c r="H86" s="217"/>
      <c r="I86" s="217"/>
      <c r="J86" s="223"/>
      <c r="K86" s="224"/>
      <c r="L86" s="224"/>
      <c r="M86" s="254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  <c r="AA86" s="225"/>
      <c r="AB86" s="225"/>
      <c r="AC86" s="225"/>
      <c r="AD86" s="224"/>
      <c r="AE86" s="234"/>
    </row>
    <row r="87" customFormat="false" ht="15.75" hidden="false" customHeight="false" outlineLevel="0" collapsed="false">
      <c r="A87" s="206"/>
      <c r="B87" s="206"/>
      <c r="C87" s="217"/>
      <c r="D87" s="217"/>
      <c r="E87" s="232"/>
      <c r="F87" s="217"/>
      <c r="G87" s="217"/>
      <c r="H87" s="217"/>
      <c r="I87" s="217"/>
      <c r="J87" s="223"/>
      <c r="K87" s="224"/>
      <c r="L87" s="224"/>
      <c r="M87" s="254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  <c r="AA87" s="225"/>
      <c r="AB87" s="225"/>
      <c r="AC87" s="225"/>
      <c r="AD87" s="224"/>
      <c r="AE87" s="234"/>
    </row>
    <row r="88" customFormat="false" ht="15.75" hidden="false" customHeight="false" outlineLevel="0" collapsed="false">
      <c r="A88" s="206"/>
      <c r="B88" s="206"/>
      <c r="C88" s="217"/>
      <c r="D88" s="217"/>
      <c r="E88" s="232"/>
      <c r="F88" s="217"/>
      <c r="G88" s="217"/>
      <c r="H88" s="217"/>
      <c r="I88" s="217"/>
      <c r="J88" s="223"/>
      <c r="K88" s="224"/>
      <c r="L88" s="224"/>
      <c r="M88" s="254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  <c r="AA88" s="225"/>
      <c r="AB88" s="225"/>
      <c r="AC88" s="225"/>
      <c r="AD88" s="224"/>
      <c r="AE88" s="224"/>
    </row>
    <row r="89" customFormat="false" ht="15.75" hidden="false" customHeight="false" outlineLevel="0" collapsed="false">
      <c r="A89" s="206"/>
      <c r="B89" s="206"/>
      <c r="C89" s="217"/>
      <c r="D89" s="217"/>
      <c r="E89" s="232"/>
      <c r="F89" s="217"/>
      <c r="G89" s="217"/>
      <c r="H89" s="217"/>
      <c r="I89" s="217"/>
      <c r="J89" s="223"/>
    </row>
    <row r="90" customFormat="false" ht="15.75" hidden="false" customHeight="false" outlineLevel="0" collapsed="false">
      <c r="A90" s="206"/>
      <c r="B90" s="206"/>
      <c r="C90" s="217"/>
      <c r="D90" s="217"/>
      <c r="E90" s="232"/>
      <c r="F90" s="217"/>
      <c r="G90" s="217"/>
      <c r="H90" s="217"/>
      <c r="I90" s="217"/>
      <c r="J90" s="223"/>
    </row>
    <row r="91" customFormat="false" ht="15.75" hidden="true" customHeight="false" outlineLevel="0" collapsed="false">
      <c r="A91" s="206"/>
      <c r="B91" s="206"/>
      <c r="C91" s="217"/>
      <c r="D91" s="217"/>
      <c r="E91" s="232"/>
      <c r="F91" s="217"/>
      <c r="G91" s="217"/>
      <c r="H91" s="217"/>
      <c r="I91" s="217"/>
      <c r="J91" s="223"/>
    </row>
    <row r="92" customFormat="false" ht="15.75" hidden="true" customHeight="false" outlineLevel="0" collapsed="false">
      <c r="A92" s="206"/>
      <c r="B92" s="206"/>
      <c r="C92" s="217"/>
      <c r="D92" s="217"/>
      <c r="E92" s="232"/>
      <c r="F92" s="217"/>
      <c r="G92" s="217"/>
      <c r="H92" s="217"/>
      <c r="I92" s="217"/>
      <c r="J92" s="223"/>
    </row>
    <row r="93" customFormat="false" ht="15.75" hidden="true" customHeight="false" outlineLevel="0" collapsed="false">
      <c r="A93" s="206"/>
      <c r="B93" s="206"/>
      <c r="C93" s="217"/>
      <c r="D93" s="217"/>
      <c r="E93" s="232"/>
      <c r="F93" s="217"/>
      <c r="G93" s="217"/>
      <c r="H93" s="217"/>
      <c r="I93" s="217"/>
      <c r="J93" s="223"/>
    </row>
    <row r="94" customFormat="false" ht="15.75" hidden="true" customHeight="false" outlineLevel="0" collapsed="false">
      <c r="A94" s="206"/>
      <c r="B94" s="206"/>
      <c r="C94" s="217"/>
      <c r="D94" s="217"/>
      <c r="E94" s="232"/>
      <c r="F94" s="217"/>
      <c r="G94" s="217"/>
      <c r="H94" s="217"/>
      <c r="I94" s="217"/>
      <c r="J94" s="223"/>
    </row>
    <row r="95" customFormat="false" ht="15.75" hidden="true" customHeight="false" outlineLevel="0" collapsed="false">
      <c r="A95" s="206"/>
      <c r="B95" s="206"/>
      <c r="C95" s="217"/>
      <c r="D95" s="217"/>
      <c r="E95" s="232"/>
      <c r="F95" s="217"/>
      <c r="G95" s="217"/>
      <c r="H95" s="217"/>
      <c r="I95" s="217"/>
      <c r="J95" s="223"/>
    </row>
    <row r="96" customFormat="false" ht="15.75" hidden="true" customHeight="false" outlineLevel="0" collapsed="false">
      <c r="A96" s="206"/>
      <c r="B96" s="206"/>
      <c r="C96" s="217"/>
      <c r="D96" s="217"/>
      <c r="E96" s="232"/>
      <c r="F96" s="217"/>
      <c r="G96" s="217"/>
      <c r="H96" s="217"/>
      <c r="I96" s="217"/>
      <c r="J96" s="223"/>
    </row>
    <row r="97" customFormat="false" ht="15.75" hidden="true" customHeight="false" outlineLevel="0" collapsed="false">
      <c r="A97" s="206"/>
      <c r="B97" s="206"/>
      <c r="C97" s="217"/>
      <c r="D97" s="217"/>
      <c r="E97" s="232"/>
      <c r="F97" s="217"/>
      <c r="G97" s="217"/>
      <c r="H97" s="217"/>
      <c r="I97" s="217"/>
      <c r="J97" s="223"/>
    </row>
    <row r="98" customFormat="false" ht="15.75" hidden="true" customHeight="false" outlineLevel="0" collapsed="false">
      <c r="A98" s="206"/>
      <c r="B98" s="206"/>
      <c r="C98" s="217"/>
      <c r="D98" s="217"/>
      <c r="E98" s="232"/>
      <c r="F98" s="217"/>
      <c r="G98" s="217"/>
      <c r="H98" s="217"/>
      <c r="I98" s="217"/>
      <c r="J98" s="223"/>
      <c r="K98" s="224"/>
      <c r="L98" s="224"/>
      <c r="M98" s="254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  <c r="AA98" s="225"/>
      <c r="AB98" s="225"/>
      <c r="AC98" s="225"/>
      <c r="AD98" s="224"/>
      <c r="AE98" s="224"/>
    </row>
    <row r="99" customFormat="false" ht="15.75" hidden="true" customHeight="false" outlineLevel="0" collapsed="false">
      <c r="A99" s="206"/>
      <c r="B99" s="206"/>
      <c r="C99" s="217"/>
      <c r="D99" s="217"/>
      <c r="E99" s="232"/>
      <c r="F99" s="217"/>
      <c r="G99" s="217"/>
      <c r="H99" s="217"/>
      <c r="I99" s="217"/>
      <c r="J99" s="223"/>
      <c r="K99" s="224"/>
      <c r="L99" s="224"/>
      <c r="M99" s="254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  <c r="AA99" s="225"/>
      <c r="AB99" s="225"/>
      <c r="AC99" s="225"/>
      <c r="AD99" s="224"/>
      <c r="AE99" s="224"/>
    </row>
    <row r="100" customFormat="false" ht="15.75" hidden="true" customHeight="false" outlineLevel="0" collapsed="false">
      <c r="A100" s="206"/>
      <c r="B100" s="206"/>
      <c r="C100" s="217"/>
      <c r="D100" s="217"/>
      <c r="E100" s="232"/>
      <c r="F100" s="217"/>
      <c r="G100" s="217"/>
      <c r="H100" s="217"/>
      <c r="I100" s="217"/>
      <c r="J100" s="223"/>
      <c r="K100" s="224"/>
      <c r="L100" s="224"/>
      <c r="M100" s="254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4"/>
      <c r="AE100" s="224"/>
    </row>
    <row r="101" customFormat="false" ht="15.75" hidden="true" customHeight="false" outlineLevel="0" collapsed="false">
      <c r="A101" s="206"/>
      <c r="B101" s="206"/>
      <c r="C101" s="217"/>
      <c r="D101" s="217"/>
      <c r="E101" s="232"/>
      <c r="F101" s="217"/>
      <c r="G101" s="217"/>
      <c r="H101" s="217"/>
      <c r="I101" s="217"/>
      <c r="J101" s="223"/>
      <c r="K101" s="224"/>
      <c r="L101" s="224"/>
      <c r="M101" s="254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4"/>
      <c r="AE101" s="224"/>
    </row>
    <row r="102" customFormat="false" ht="15.75" hidden="true" customHeight="false" outlineLevel="0" collapsed="false">
      <c r="A102" s="206"/>
      <c r="B102" s="206"/>
      <c r="C102" s="217"/>
      <c r="D102" s="217"/>
      <c r="E102" s="232"/>
      <c r="F102" s="217"/>
      <c r="G102" s="217"/>
      <c r="H102" s="217"/>
      <c r="I102" s="217"/>
      <c r="J102" s="223"/>
      <c r="K102" s="224"/>
      <c r="L102" s="224"/>
      <c r="M102" s="254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  <c r="AA102" s="225"/>
      <c r="AB102" s="225"/>
      <c r="AC102" s="225"/>
      <c r="AD102" s="224"/>
      <c r="AE102" s="224"/>
    </row>
    <row r="103" customFormat="false" ht="15.75" hidden="true" customHeight="false" outlineLevel="0" collapsed="false">
      <c r="A103" s="206"/>
      <c r="B103" s="206"/>
      <c r="C103" s="217"/>
      <c r="D103" s="217"/>
      <c r="E103" s="232"/>
      <c r="F103" s="217"/>
      <c r="G103" s="217"/>
      <c r="H103" s="217"/>
      <c r="I103" s="217"/>
      <c r="J103" s="223"/>
      <c r="K103" s="224"/>
      <c r="L103" s="224"/>
      <c r="M103" s="254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  <c r="AA103" s="225"/>
      <c r="AB103" s="225"/>
      <c r="AC103" s="225"/>
      <c r="AD103" s="224"/>
      <c r="AE103" s="224"/>
    </row>
    <row r="104" customFormat="false" ht="15.75" hidden="true" customHeight="false" outlineLevel="0" collapsed="false">
      <c r="A104" s="206"/>
      <c r="B104" s="206"/>
      <c r="C104" s="217"/>
      <c r="D104" s="217"/>
      <c r="E104" s="232"/>
      <c r="F104" s="217"/>
      <c r="G104" s="217"/>
      <c r="H104" s="217"/>
      <c r="I104" s="217"/>
      <c r="J104" s="223"/>
      <c r="K104" s="224"/>
      <c r="L104" s="224"/>
      <c r="M104" s="254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  <c r="AA104" s="225"/>
      <c r="AB104" s="225"/>
      <c r="AC104" s="225"/>
      <c r="AD104" s="224"/>
      <c r="AE104" s="224"/>
    </row>
    <row r="105" customFormat="false" ht="15.75" hidden="true" customHeight="false" outlineLevel="0" collapsed="false">
      <c r="A105" s="206"/>
      <c r="B105" s="206"/>
      <c r="C105" s="217"/>
      <c r="D105" s="217"/>
      <c r="E105" s="232"/>
      <c r="F105" s="217"/>
      <c r="G105" s="217"/>
      <c r="H105" s="217"/>
      <c r="I105" s="217"/>
      <c r="J105" s="223"/>
      <c r="K105" s="224"/>
      <c r="L105" s="224"/>
      <c r="M105" s="254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  <c r="AA105" s="225"/>
      <c r="AB105" s="225"/>
      <c r="AC105" s="225"/>
      <c r="AD105" s="224"/>
      <c r="AE105" s="224"/>
    </row>
    <row r="106" customFormat="false" ht="15.75" hidden="true" customHeight="false" outlineLevel="0" collapsed="false">
      <c r="A106" s="206"/>
      <c r="B106" s="206"/>
      <c r="C106" s="217"/>
      <c r="D106" s="217"/>
      <c r="E106" s="232"/>
      <c r="F106" s="217"/>
      <c r="G106" s="217"/>
      <c r="H106" s="217"/>
      <c r="I106" s="217"/>
      <c r="J106" s="223"/>
      <c r="K106" s="224"/>
      <c r="L106" s="224"/>
      <c r="M106" s="254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  <c r="AA106" s="225"/>
      <c r="AB106" s="225"/>
      <c r="AC106" s="225"/>
      <c r="AD106" s="224"/>
      <c r="AE106" s="224"/>
    </row>
    <row r="107" customFormat="false" ht="15.75" hidden="true" customHeight="false" outlineLevel="0" collapsed="false">
      <c r="A107" s="206"/>
      <c r="B107" s="206"/>
      <c r="C107" s="217"/>
      <c r="D107" s="217"/>
      <c r="E107" s="232"/>
      <c r="F107" s="217"/>
      <c r="G107" s="217"/>
      <c r="H107" s="217"/>
      <c r="I107" s="217"/>
      <c r="J107" s="223"/>
      <c r="K107" s="224"/>
      <c r="L107" s="224"/>
      <c r="M107" s="254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  <c r="AA107" s="225"/>
      <c r="AB107" s="225"/>
      <c r="AC107" s="225"/>
      <c r="AD107" s="224"/>
      <c r="AE107" s="224"/>
    </row>
    <row r="108" customFormat="false" ht="15.75" hidden="true" customHeight="false" outlineLevel="0" collapsed="false">
      <c r="A108" s="206"/>
      <c r="B108" s="206"/>
      <c r="C108" s="217"/>
      <c r="D108" s="217"/>
      <c r="E108" s="232"/>
      <c r="F108" s="217"/>
      <c r="G108" s="217"/>
      <c r="H108" s="217"/>
      <c r="I108" s="217"/>
      <c r="J108" s="223"/>
      <c r="K108" s="224"/>
      <c r="L108" s="224"/>
      <c r="M108" s="254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  <c r="AA108" s="225"/>
      <c r="AB108" s="225"/>
      <c r="AC108" s="225"/>
      <c r="AD108" s="224"/>
      <c r="AE108" s="224"/>
    </row>
    <row r="109" customFormat="false" ht="15.75" hidden="true" customHeight="false" outlineLevel="0" collapsed="false">
      <c r="A109" s="206"/>
      <c r="B109" s="206"/>
      <c r="C109" s="217"/>
      <c r="D109" s="217"/>
      <c r="E109" s="232"/>
      <c r="F109" s="217"/>
      <c r="G109" s="217"/>
      <c r="H109" s="217"/>
      <c r="I109" s="217"/>
      <c r="J109" s="223"/>
      <c r="K109" s="224"/>
      <c r="L109" s="224"/>
      <c r="M109" s="254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  <c r="AA109" s="225"/>
      <c r="AB109" s="225"/>
      <c r="AC109" s="225"/>
      <c r="AD109" s="224"/>
      <c r="AE109" s="224"/>
    </row>
    <row r="110" customFormat="false" ht="15.75" hidden="true" customHeight="false" outlineLevel="0" collapsed="false">
      <c r="A110" s="206"/>
      <c r="B110" s="206"/>
      <c r="C110" s="217"/>
      <c r="D110" s="217"/>
      <c r="E110" s="232"/>
      <c r="F110" s="217"/>
      <c r="G110" s="217"/>
      <c r="H110" s="217"/>
      <c r="I110" s="217"/>
      <c r="J110" s="223"/>
      <c r="K110" s="224"/>
      <c r="L110" s="224"/>
      <c r="M110" s="254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  <c r="AA110" s="225"/>
      <c r="AB110" s="225"/>
      <c r="AC110" s="225"/>
      <c r="AD110" s="224"/>
      <c r="AE110" s="224"/>
    </row>
    <row r="111" customFormat="false" ht="15.75" hidden="true" customHeight="false" outlineLevel="0" collapsed="false">
      <c r="A111" s="206"/>
      <c r="B111" s="206"/>
      <c r="C111" s="217"/>
      <c r="D111" s="217"/>
      <c r="E111" s="232"/>
      <c r="F111" s="217"/>
      <c r="G111" s="217"/>
      <c r="H111" s="217"/>
      <c r="I111" s="217"/>
      <c r="J111" s="223"/>
      <c r="K111" s="224"/>
      <c r="L111" s="224"/>
      <c r="M111" s="254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  <c r="AA111" s="225"/>
      <c r="AB111" s="225"/>
      <c r="AC111" s="225"/>
      <c r="AD111" s="224"/>
      <c r="AE111" s="224"/>
    </row>
    <row r="112" customFormat="false" ht="15.75" hidden="true" customHeight="false" outlineLevel="0" collapsed="false">
      <c r="A112" s="206"/>
      <c r="B112" s="206"/>
      <c r="C112" s="217"/>
      <c r="D112" s="217"/>
      <c r="E112" s="232"/>
      <c r="F112" s="217"/>
      <c r="G112" s="217"/>
      <c r="H112" s="217"/>
      <c r="I112" s="217"/>
      <c r="J112" s="223"/>
      <c r="K112" s="224"/>
      <c r="L112" s="224"/>
      <c r="M112" s="254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4"/>
      <c r="AE112" s="224"/>
    </row>
    <row r="113" customFormat="false" ht="15.75" hidden="true" customHeight="false" outlineLevel="0" collapsed="false">
      <c r="A113" s="206"/>
      <c r="B113" s="206"/>
      <c r="C113" s="217"/>
      <c r="D113" s="217"/>
      <c r="E113" s="232"/>
      <c r="F113" s="217"/>
      <c r="G113" s="217"/>
      <c r="H113" s="217"/>
      <c r="I113" s="217"/>
      <c r="J113" s="223"/>
      <c r="K113" s="224"/>
      <c r="L113" s="224"/>
      <c r="M113" s="254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4"/>
      <c r="AE113" s="224"/>
    </row>
    <row r="114" customFormat="false" ht="15.75" hidden="true" customHeight="false" outlineLevel="0" collapsed="false">
      <c r="A114" s="206"/>
      <c r="B114" s="206"/>
      <c r="C114" s="217"/>
      <c r="D114" s="217"/>
      <c r="E114" s="232"/>
      <c r="F114" s="217"/>
      <c r="G114" s="217"/>
      <c r="H114" s="217"/>
      <c r="I114" s="217"/>
      <c r="J114" s="223"/>
      <c r="K114" s="224"/>
      <c r="L114" s="224"/>
      <c r="M114" s="254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4"/>
      <c r="AE114" s="224"/>
    </row>
    <row r="115" customFormat="false" ht="15.75" hidden="true" customHeight="false" outlineLevel="0" collapsed="false">
      <c r="A115" s="206"/>
      <c r="B115" s="206"/>
      <c r="C115" s="217"/>
      <c r="D115" s="217"/>
      <c r="E115" s="232"/>
      <c r="F115" s="217"/>
      <c r="G115" s="217"/>
      <c r="H115" s="217"/>
      <c r="I115" s="217"/>
      <c r="J115" s="223"/>
      <c r="K115" s="224"/>
      <c r="L115" s="224"/>
      <c r="M115" s="254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4"/>
      <c r="AE115" s="224"/>
    </row>
    <row r="116" customFormat="false" ht="15.75" hidden="true" customHeight="false" outlineLevel="0" collapsed="false">
      <c r="A116" s="206"/>
      <c r="B116" s="206"/>
      <c r="C116" s="217"/>
      <c r="D116" s="217"/>
      <c r="E116" s="232"/>
      <c r="F116" s="217"/>
      <c r="G116" s="217"/>
      <c r="H116" s="217"/>
      <c r="I116" s="217"/>
      <c r="J116" s="223"/>
      <c r="K116" s="224"/>
      <c r="L116" s="224"/>
      <c r="M116" s="254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4"/>
      <c r="AE116" s="224"/>
    </row>
    <row r="117" customFormat="false" ht="15.75" hidden="true" customHeight="false" outlineLevel="0" collapsed="false">
      <c r="A117" s="206"/>
      <c r="B117" s="206"/>
      <c r="C117" s="217"/>
      <c r="D117" s="217"/>
      <c r="E117" s="232"/>
      <c r="F117" s="217"/>
      <c r="G117" s="217"/>
      <c r="H117" s="217"/>
      <c r="I117" s="217"/>
      <c r="J117" s="223"/>
      <c r="K117" s="224"/>
      <c r="L117" s="224"/>
      <c r="M117" s="254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4"/>
      <c r="AE117" s="224"/>
    </row>
    <row r="118" customFormat="false" ht="15.75" hidden="true" customHeight="false" outlineLevel="0" collapsed="false">
      <c r="A118" s="206"/>
      <c r="B118" s="206"/>
      <c r="C118" s="217"/>
      <c r="D118" s="217"/>
      <c r="E118" s="232"/>
      <c r="F118" s="217"/>
      <c r="G118" s="217"/>
      <c r="H118" s="217"/>
      <c r="I118" s="217"/>
      <c r="J118" s="223"/>
      <c r="K118" s="224"/>
      <c r="L118" s="224"/>
      <c r="M118" s="254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  <c r="AA118" s="225"/>
      <c r="AB118" s="225"/>
      <c r="AC118" s="225"/>
      <c r="AD118" s="224"/>
      <c r="AE118" s="224"/>
    </row>
    <row r="119" customFormat="false" ht="15.75" hidden="true" customHeight="false" outlineLevel="0" collapsed="false">
      <c r="A119" s="206"/>
      <c r="B119" s="206"/>
      <c r="C119" s="217"/>
      <c r="D119" s="217"/>
      <c r="E119" s="232"/>
      <c r="F119" s="217"/>
      <c r="G119" s="217"/>
      <c r="H119" s="217"/>
      <c r="I119" s="217"/>
      <c r="J119" s="223"/>
      <c r="K119" s="224"/>
      <c r="L119" s="224"/>
      <c r="M119" s="254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  <c r="AA119" s="225"/>
      <c r="AB119" s="225"/>
      <c r="AC119" s="225"/>
      <c r="AD119" s="224"/>
      <c r="AE119" s="224"/>
    </row>
    <row r="120" customFormat="false" ht="15.75" hidden="true" customHeight="false" outlineLevel="0" collapsed="false">
      <c r="A120" s="206"/>
      <c r="B120" s="206"/>
      <c r="C120" s="217"/>
      <c r="D120" s="217"/>
      <c r="E120" s="232"/>
      <c r="F120" s="217"/>
      <c r="G120" s="217"/>
      <c r="H120" s="217"/>
      <c r="I120" s="217"/>
      <c r="J120" s="223"/>
      <c r="K120" s="224"/>
      <c r="L120" s="224"/>
      <c r="M120" s="254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4"/>
      <c r="AE120" s="224"/>
    </row>
    <row r="121" customFormat="false" ht="15.75" hidden="true" customHeight="false" outlineLevel="0" collapsed="false">
      <c r="A121" s="206"/>
      <c r="B121" s="206"/>
      <c r="C121" s="217"/>
      <c r="D121" s="217"/>
      <c r="E121" s="232"/>
      <c r="F121" s="217"/>
      <c r="G121" s="217"/>
      <c r="H121" s="217"/>
      <c r="I121" s="217"/>
      <c r="J121" s="223"/>
      <c r="K121" s="224"/>
      <c r="L121" s="224"/>
      <c r="M121" s="254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4"/>
      <c r="AE121" s="224"/>
    </row>
    <row r="122" customFormat="false" ht="15.75" hidden="true" customHeight="false" outlineLevel="0" collapsed="false">
      <c r="A122" s="206"/>
      <c r="B122" s="206"/>
      <c r="C122" s="217"/>
      <c r="D122" s="217"/>
      <c r="E122" s="232"/>
      <c r="F122" s="217"/>
      <c r="G122" s="217"/>
      <c r="H122" s="217"/>
      <c r="I122" s="217"/>
      <c r="J122" s="223"/>
      <c r="K122" s="224"/>
      <c r="L122" s="224"/>
      <c r="M122" s="254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4"/>
      <c r="AE122" s="224"/>
    </row>
    <row r="123" customFormat="false" ht="15.75" hidden="true" customHeight="false" outlineLevel="0" collapsed="false">
      <c r="A123" s="206"/>
      <c r="B123" s="206"/>
      <c r="C123" s="217"/>
      <c r="D123" s="217"/>
      <c r="E123" s="232"/>
      <c r="F123" s="217"/>
      <c r="G123" s="217"/>
      <c r="H123" s="217"/>
      <c r="I123" s="217"/>
      <c r="J123" s="223"/>
      <c r="K123" s="224"/>
      <c r="L123" s="224"/>
      <c r="M123" s="254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4"/>
      <c r="AE123" s="224"/>
    </row>
    <row r="124" customFormat="false" ht="15.75" hidden="true" customHeight="false" outlineLevel="0" collapsed="false">
      <c r="A124" s="206"/>
      <c r="B124" s="206"/>
      <c r="C124" s="217"/>
      <c r="D124" s="217"/>
      <c r="E124" s="232"/>
      <c r="F124" s="217"/>
      <c r="G124" s="217"/>
      <c r="H124" s="217"/>
      <c r="I124" s="217"/>
      <c r="J124" s="223"/>
      <c r="K124" s="224"/>
      <c r="L124" s="224"/>
      <c r="M124" s="254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4"/>
      <c r="AE124" s="224"/>
    </row>
    <row r="125" customFormat="false" ht="15.75" hidden="true" customHeight="false" outlineLevel="0" collapsed="false">
      <c r="A125" s="206"/>
      <c r="B125" s="206"/>
      <c r="C125" s="217"/>
      <c r="D125" s="217"/>
      <c r="E125" s="232"/>
      <c r="F125" s="217"/>
      <c r="G125" s="217"/>
      <c r="H125" s="217"/>
      <c r="I125" s="217"/>
      <c r="J125" s="223"/>
      <c r="K125" s="224"/>
      <c r="L125" s="224"/>
      <c r="M125" s="254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4"/>
      <c r="AE125" s="224"/>
    </row>
    <row r="126" customFormat="false" ht="15.75" hidden="true" customHeight="false" outlineLevel="0" collapsed="false">
      <c r="A126" s="206"/>
      <c r="B126" s="206"/>
      <c r="C126" s="217"/>
      <c r="D126" s="217"/>
      <c r="E126" s="232"/>
      <c r="F126" s="217"/>
      <c r="G126" s="217"/>
      <c r="H126" s="217"/>
      <c r="I126" s="217"/>
      <c r="J126" s="223"/>
      <c r="K126" s="224"/>
      <c r="L126" s="224"/>
      <c r="M126" s="254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  <c r="AA126" s="225"/>
      <c r="AB126" s="225"/>
      <c r="AC126" s="225"/>
      <c r="AD126" s="224"/>
      <c r="AE126" s="224"/>
    </row>
    <row r="127" customFormat="false" ht="15.75" hidden="true" customHeight="false" outlineLevel="0" collapsed="false">
      <c r="A127" s="206"/>
      <c r="B127" s="206"/>
      <c r="C127" s="217"/>
      <c r="D127" s="217"/>
      <c r="E127" s="232"/>
      <c r="F127" s="217"/>
      <c r="G127" s="217"/>
      <c r="H127" s="217"/>
      <c r="I127" s="217"/>
      <c r="J127" s="223"/>
      <c r="K127" s="224"/>
      <c r="L127" s="224"/>
      <c r="M127" s="254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  <c r="AA127" s="225"/>
      <c r="AB127" s="225"/>
      <c r="AC127" s="225"/>
      <c r="AD127" s="224"/>
      <c r="AE127" s="224"/>
    </row>
    <row r="128" customFormat="false" ht="15.75" hidden="true" customHeight="false" outlineLevel="0" collapsed="false">
      <c r="A128" s="206"/>
      <c r="B128" s="206"/>
      <c r="C128" s="217"/>
      <c r="D128" s="217"/>
      <c r="E128" s="232"/>
      <c r="F128" s="217"/>
      <c r="G128" s="217"/>
      <c r="H128" s="217"/>
      <c r="I128" s="217"/>
      <c r="J128" s="223"/>
      <c r="K128" s="224"/>
      <c r="L128" s="224"/>
      <c r="M128" s="254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4"/>
      <c r="AE128" s="224"/>
    </row>
    <row r="129" customFormat="false" ht="15.75" hidden="true" customHeight="false" outlineLevel="0" collapsed="false">
      <c r="A129" s="206"/>
      <c r="B129" s="206"/>
      <c r="C129" s="217"/>
      <c r="D129" s="217"/>
      <c r="E129" s="232"/>
      <c r="F129" s="217"/>
      <c r="G129" s="217"/>
      <c r="H129" s="217"/>
      <c r="I129" s="217"/>
      <c r="J129" s="223"/>
      <c r="K129" s="224"/>
      <c r="L129" s="224"/>
      <c r="M129" s="254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4"/>
      <c r="AE129" s="224"/>
    </row>
    <row r="130" customFormat="false" ht="15.75" hidden="true" customHeight="false" outlineLevel="0" collapsed="false">
      <c r="A130" s="206"/>
      <c r="B130" s="206"/>
      <c r="C130" s="217"/>
      <c r="D130" s="217"/>
      <c r="E130" s="232"/>
      <c r="F130" s="217"/>
      <c r="G130" s="217"/>
      <c r="H130" s="217"/>
      <c r="I130" s="217"/>
      <c r="J130" s="223"/>
      <c r="K130" s="224"/>
      <c r="L130" s="224"/>
      <c r="M130" s="254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4"/>
      <c r="AE130" s="224"/>
    </row>
    <row r="131" customFormat="false" ht="15.75" hidden="true" customHeight="false" outlineLevel="0" collapsed="false">
      <c r="A131" s="206"/>
      <c r="B131" s="206"/>
      <c r="C131" s="217"/>
      <c r="D131" s="217"/>
      <c r="E131" s="232"/>
      <c r="F131" s="217"/>
      <c r="G131" s="217"/>
      <c r="H131" s="217"/>
      <c r="I131" s="217"/>
      <c r="J131" s="223"/>
      <c r="K131" s="224"/>
      <c r="L131" s="224"/>
      <c r="M131" s="254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4"/>
      <c r="AE131" s="224"/>
    </row>
    <row r="132" customFormat="false" ht="15.75" hidden="true" customHeight="false" outlineLevel="0" collapsed="false">
      <c r="A132" s="206"/>
      <c r="B132" s="206"/>
      <c r="C132" s="217"/>
      <c r="D132" s="217"/>
      <c r="E132" s="232"/>
      <c r="F132" s="217"/>
      <c r="G132" s="217"/>
      <c r="H132" s="217"/>
      <c r="I132" s="217"/>
      <c r="J132" s="223"/>
      <c r="K132" s="224"/>
      <c r="L132" s="224"/>
      <c r="M132" s="254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4"/>
      <c r="AE132" s="224"/>
    </row>
    <row r="133" customFormat="false" ht="15.75" hidden="true" customHeight="false" outlineLevel="0" collapsed="false">
      <c r="A133" s="206"/>
      <c r="B133" s="206"/>
      <c r="C133" s="217"/>
      <c r="D133" s="217"/>
      <c r="E133" s="232"/>
      <c r="F133" s="217"/>
      <c r="G133" s="217"/>
      <c r="H133" s="217"/>
      <c r="I133" s="217"/>
      <c r="J133" s="223"/>
      <c r="K133" s="224"/>
      <c r="L133" s="224"/>
      <c r="M133" s="254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4"/>
      <c r="AE133" s="224"/>
    </row>
    <row r="134" customFormat="false" ht="15.75" hidden="true" customHeight="false" outlineLevel="0" collapsed="false">
      <c r="A134" s="206"/>
      <c r="B134" s="206"/>
      <c r="C134" s="217"/>
      <c r="D134" s="217"/>
      <c r="E134" s="232"/>
      <c r="F134" s="217"/>
      <c r="G134" s="217"/>
      <c r="H134" s="217"/>
      <c r="I134" s="217"/>
      <c r="J134" s="223"/>
      <c r="K134" s="224"/>
      <c r="L134" s="224"/>
      <c r="M134" s="254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  <c r="AA134" s="225"/>
      <c r="AB134" s="225"/>
      <c r="AC134" s="225"/>
      <c r="AD134" s="224"/>
      <c r="AE134" s="224"/>
    </row>
    <row r="135" customFormat="false" ht="15.75" hidden="true" customHeight="false" outlineLevel="0" collapsed="false">
      <c r="A135" s="206"/>
      <c r="B135" s="206"/>
      <c r="C135" s="217"/>
      <c r="D135" s="217"/>
      <c r="E135" s="232"/>
      <c r="F135" s="217"/>
      <c r="G135" s="217"/>
      <c r="H135" s="217"/>
      <c r="I135" s="217"/>
      <c r="J135" s="223"/>
      <c r="K135" s="224"/>
      <c r="L135" s="224"/>
      <c r="M135" s="254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  <c r="AA135" s="225"/>
      <c r="AB135" s="225"/>
      <c r="AC135" s="225"/>
      <c r="AD135" s="224"/>
      <c r="AE135" s="224"/>
    </row>
    <row r="136" customFormat="false" ht="15.75" hidden="true" customHeight="false" outlineLevel="0" collapsed="false">
      <c r="A136" s="206"/>
      <c r="B136" s="206"/>
      <c r="C136" s="217"/>
      <c r="D136" s="217"/>
      <c r="E136" s="232"/>
      <c r="F136" s="217"/>
      <c r="G136" s="217"/>
      <c r="H136" s="217"/>
      <c r="I136" s="217"/>
      <c r="J136" s="223"/>
      <c r="K136" s="224"/>
      <c r="L136" s="224"/>
      <c r="M136" s="254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  <c r="AA136" s="225"/>
      <c r="AB136" s="225"/>
      <c r="AC136" s="225"/>
      <c r="AD136" s="224"/>
      <c r="AE136" s="224"/>
    </row>
    <row r="137" customFormat="false" ht="15.75" hidden="true" customHeight="false" outlineLevel="0" collapsed="false">
      <c r="A137" s="206"/>
      <c r="B137" s="206"/>
      <c r="C137" s="217"/>
      <c r="D137" s="217"/>
      <c r="E137" s="232"/>
      <c r="F137" s="217"/>
      <c r="G137" s="217"/>
      <c r="H137" s="217"/>
      <c r="I137" s="217"/>
      <c r="J137" s="223"/>
      <c r="K137" s="224"/>
      <c r="L137" s="224"/>
      <c r="M137" s="254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  <c r="AA137" s="225"/>
      <c r="AB137" s="225"/>
      <c r="AC137" s="225"/>
      <c r="AD137" s="224"/>
      <c r="AE137" s="224"/>
    </row>
    <row r="138" customFormat="false" ht="15.75" hidden="true" customHeight="false" outlineLevel="0" collapsed="false">
      <c r="A138" s="206"/>
      <c r="B138" s="206"/>
      <c r="C138" s="217"/>
      <c r="D138" s="217"/>
      <c r="E138" s="232"/>
      <c r="F138" s="217"/>
      <c r="G138" s="217"/>
      <c r="H138" s="217"/>
      <c r="I138" s="217"/>
      <c r="J138" s="223"/>
      <c r="K138" s="224"/>
      <c r="L138" s="224"/>
      <c r="M138" s="254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  <c r="AA138" s="225"/>
      <c r="AB138" s="225"/>
      <c r="AC138" s="225"/>
      <c r="AD138" s="224"/>
      <c r="AE138" s="224"/>
    </row>
    <row r="139" customFormat="false" ht="15.75" hidden="true" customHeight="false" outlineLevel="0" collapsed="false">
      <c r="A139" s="206"/>
      <c r="B139" s="206"/>
      <c r="C139" s="217"/>
      <c r="D139" s="217"/>
      <c r="E139" s="232"/>
      <c r="F139" s="217"/>
      <c r="G139" s="217"/>
      <c r="H139" s="217"/>
      <c r="I139" s="217"/>
      <c r="J139" s="223"/>
      <c r="K139" s="224"/>
      <c r="L139" s="224"/>
      <c r="M139" s="254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  <c r="AA139" s="225"/>
      <c r="AB139" s="225"/>
      <c r="AC139" s="225"/>
      <c r="AD139" s="224"/>
      <c r="AE139" s="224"/>
    </row>
    <row r="140" customFormat="false" ht="15.75" hidden="true" customHeight="false" outlineLevel="0" collapsed="false">
      <c r="A140" s="206"/>
      <c r="B140" s="206"/>
      <c r="C140" s="217"/>
      <c r="D140" s="217"/>
      <c r="E140" s="232"/>
      <c r="F140" s="217"/>
      <c r="G140" s="217"/>
      <c r="H140" s="217"/>
      <c r="I140" s="217"/>
      <c r="J140" s="223"/>
      <c r="K140" s="224"/>
      <c r="L140" s="224"/>
      <c r="M140" s="254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  <c r="AA140" s="225"/>
      <c r="AB140" s="225"/>
      <c r="AC140" s="225"/>
      <c r="AD140" s="224"/>
      <c r="AE140" s="224"/>
    </row>
    <row r="141" customFormat="false" ht="15.75" hidden="true" customHeight="false" outlineLevel="0" collapsed="false">
      <c r="A141" s="206"/>
      <c r="B141" s="206"/>
      <c r="C141" s="217"/>
      <c r="D141" s="217"/>
      <c r="E141" s="232"/>
      <c r="F141" s="217"/>
      <c r="G141" s="217"/>
      <c r="H141" s="217"/>
      <c r="I141" s="217"/>
      <c r="J141" s="223"/>
      <c r="K141" s="224"/>
      <c r="L141" s="224"/>
      <c r="M141" s="254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  <c r="AA141" s="225"/>
      <c r="AB141" s="225"/>
      <c r="AC141" s="225"/>
      <c r="AD141" s="224"/>
      <c r="AE141" s="224"/>
    </row>
    <row r="142" customFormat="false" ht="15.75" hidden="true" customHeight="false" outlineLevel="0" collapsed="false">
      <c r="A142" s="206"/>
      <c r="B142" s="206"/>
      <c r="C142" s="217"/>
      <c r="D142" s="217"/>
      <c r="E142" s="232"/>
      <c r="F142" s="217"/>
      <c r="G142" s="217"/>
      <c r="H142" s="217"/>
      <c r="I142" s="217"/>
      <c r="J142" s="223"/>
      <c r="K142" s="224"/>
      <c r="L142" s="224"/>
      <c r="M142" s="254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  <c r="AA142" s="225"/>
      <c r="AB142" s="225"/>
      <c r="AC142" s="225"/>
      <c r="AD142" s="224"/>
      <c r="AE142" s="224"/>
    </row>
    <row r="143" customFormat="false" ht="15.75" hidden="true" customHeight="false" outlineLevel="0" collapsed="false">
      <c r="A143" s="206"/>
      <c r="B143" s="206"/>
      <c r="C143" s="217"/>
      <c r="D143" s="217"/>
      <c r="E143" s="232"/>
      <c r="F143" s="217"/>
      <c r="G143" s="217"/>
      <c r="H143" s="217"/>
      <c r="I143" s="217"/>
      <c r="J143" s="223"/>
      <c r="K143" s="224"/>
      <c r="L143" s="224"/>
      <c r="M143" s="254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  <c r="AA143" s="225"/>
      <c r="AB143" s="225"/>
      <c r="AC143" s="225"/>
      <c r="AD143" s="224"/>
      <c r="AE143" s="224"/>
    </row>
    <row r="144" customFormat="false" ht="15.75" hidden="true" customHeight="false" outlineLevel="0" collapsed="false">
      <c r="A144" s="206"/>
      <c r="B144" s="206"/>
      <c r="C144" s="217"/>
      <c r="D144" s="217"/>
      <c r="E144" s="232"/>
      <c r="F144" s="217"/>
      <c r="G144" s="217"/>
      <c r="H144" s="217"/>
      <c r="I144" s="217"/>
      <c r="J144" s="223"/>
      <c r="K144" s="224"/>
      <c r="L144" s="224"/>
      <c r="M144" s="254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4"/>
      <c r="AE144" s="224"/>
    </row>
    <row r="145" customFormat="false" ht="15.75" hidden="true" customHeight="false" outlineLevel="0" collapsed="false">
      <c r="A145" s="206"/>
      <c r="B145" s="206"/>
      <c r="C145" s="217"/>
      <c r="D145" s="217"/>
      <c r="E145" s="232"/>
      <c r="F145" s="217"/>
      <c r="G145" s="217"/>
      <c r="H145" s="217"/>
      <c r="I145" s="217"/>
      <c r="J145" s="223"/>
      <c r="K145" s="224"/>
      <c r="L145" s="224"/>
      <c r="M145" s="254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4"/>
      <c r="AE145" s="224"/>
    </row>
    <row r="146" customFormat="false" ht="15.75" hidden="true" customHeight="false" outlineLevel="0" collapsed="false">
      <c r="A146" s="206"/>
      <c r="B146" s="206"/>
      <c r="C146" s="217"/>
      <c r="D146" s="217"/>
      <c r="E146" s="232"/>
      <c r="F146" s="217"/>
      <c r="G146" s="217"/>
      <c r="H146" s="217"/>
      <c r="I146" s="217"/>
      <c r="J146" s="223"/>
      <c r="K146" s="224"/>
      <c r="L146" s="224"/>
      <c r="M146" s="254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4"/>
      <c r="AE146" s="224"/>
    </row>
    <row r="147" customFormat="false" ht="15.75" hidden="true" customHeight="false" outlineLevel="0" collapsed="false">
      <c r="A147" s="206"/>
      <c r="B147" s="206"/>
      <c r="C147" s="217"/>
      <c r="D147" s="217"/>
      <c r="E147" s="232"/>
      <c r="F147" s="217"/>
      <c r="G147" s="217"/>
      <c r="H147" s="217"/>
      <c r="I147" s="217"/>
      <c r="J147" s="223"/>
      <c r="K147" s="224"/>
      <c r="L147" s="224"/>
      <c r="M147" s="254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4"/>
      <c r="AE147" s="224"/>
    </row>
    <row r="148" customFormat="false" ht="15.75" hidden="true" customHeight="false" outlineLevel="0" collapsed="false">
      <c r="A148" s="206"/>
      <c r="B148" s="206"/>
      <c r="C148" s="217"/>
      <c r="D148" s="217"/>
      <c r="E148" s="232"/>
      <c r="F148" s="217"/>
      <c r="G148" s="217"/>
      <c r="H148" s="217"/>
      <c r="I148" s="217"/>
      <c r="J148" s="223"/>
      <c r="K148" s="224"/>
      <c r="L148" s="224"/>
      <c r="M148" s="254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4"/>
      <c r="AE148" s="224"/>
    </row>
    <row r="149" customFormat="false" ht="15.75" hidden="true" customHeight="false" outlineLevel="0" collapsed="false">
      <c r="A149" s="206"/>
      <c r="B149" s="206"/>
      <c r="C149" s="217"/>
      <c r="D149" s="217"/>
      <c r="E149" s="232"/>
      <c r="F149" s="217"/>
      <c r="G149" s="217"/>
      <c r="H149" s="217"/>
      <c r="I149" s="217"/>
      <c r="J149" s="223"/>
      <c r="K149" s="224"/>
      <c r="L149" s="224"/>
      <c r="M149" s="254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4"/>
      <c r="AE149" s="224"/>
    </row>
    <row r="150" customFormat="false" ht="15.75" hidden="true" customHeight="false" outlineLevel="0" collapsed="false">
      <c r="A150" s="206"/>
      <c r="B150" s="206"/>
      <c r="C150" s="217"/>
      <c r="D150" s="217"/>
      <c r="E150" s="232"/>
      <c r="F150" s="217"/>
      <c r="G150" s="217"/>
      <c r="H150" s="217"/>
      <c r="I150" s="217"/>
      <c r="J150" s="223"/>
      <c r="K150" s="224"/>
      <c r="L150" s="224"/>
      <c r="M150" s="254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  <c r="AA150" s="225"/>
      <c r="AB150" s="225"/>
      <c r="AC150" s="225"/>
      <c r="AD150" s="224"/>
      <c r="AE150" s="224"/>
    </row>
    <row r="151" customFormat="false" ht="15.75" hidden="true" customHeight="false" outlineLevel="0" collapsed="false">
      <c r="A151" s="206"/>
      <c r="B151" s="206"/>
      <c r="C151" s="217"/>
      <c r="D151" s="217"/>
      <c r="E151" s="232"/>
      <c r="F151" s="217"/>
      <c r="G151" s="217"/>
      <c r="H151" s="217"/>
      <c r="I151" s="217"/>
      <c r="J151" s="223"/>
      <c r="K151" s="224"/>
      <c r="L151" s="224"/>
      <c r="M151" s="254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  <c r="AA151" s="225"/>
      <c r="AB151" s="225"/>
      <c r="AC151" s="225"/>
      <c r="AD151" s="224"/>
      <c r="AE151" s="224"/>
    </row>
    <row r="152" customFormat="false" ht="15.75" hidden="true" customHeight="false" outlineLevel="0" collapsed="false">
      <c r="A152" s="206"/>
      <c r="B152" s="206"/>
      <c r="C152" s="217"/>
      <c r="D152" s="217"/>
      <c r="E152" s="232"/>
      <c r="F152" s="217"/>
      <c r="G152" s="217"/>
      <c r="H152" s="217"/>
      <c r="I152" s="217"/>
      <c r="J152" s="223"/>
      <c r="K152" s="224"/>
      <c r="L152" s="224"/>
      <c r="M152" s="254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4"/>
      <c r="AE152" s="224"/>
    </row>
    <row r="153" customFormat="false" ht="15.75" hidden="true" customHeight="false" outlineLevel="0" collapsed="false">
      <c r="A153" s="206"/>
      <c r="B153" s="206"/>
      <c r="C153" s="217"/>
      <c r="D153" s="217"/>
      <c r="E153" s="232"/>
      <c r="F153" s="217"/>
      <c r="G153" s="217"/>
      <c r="H153" s="217"/>
      <c r="I153" s="217"/>
      <c r="J153" s="223"/>
      <c r="K153" s="224"/>
      <c r="L153" s="224"/>
      <c r="M153" s="254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4"/>
      <c r="AE153" s="224"/>
    </row>
    <row r="154" customFormat="false" ht="15.75" hidden="true" customHeight="false" outlineLevel="0" collapsed="false">
      <c r="A154" s="206"/>
      <c r="B154" s="206"/>
      <c r="C154" s="217"/>
      <c r="D154" s="217"/>
      <c r="E154" s="232"/>
      <c r="F154" s="217"/>
      <c r="G154" s="217"/>
      <c r="H154" s="217"/>
      <c r="I154" s="217"/>
      <c r="J154" s="223"/>
      <c r="K154" s="224"/>
      <c r="L154" s="224"/>
      <c r="M154" s="254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4"/>
      <c r="AE154" s="224"/>
    </row>
    <row r="155" customFormat="false" ht="15.75" hidden="true" customHeight="false" outlineLevel="0" collapsed="false">
      <c r="A155" s="206"/>
      <c r="B155" s="206"/>
      <c r="C155" s="217"/>
      <c r="D155" s="217"/>
      <c r="E155" s="232"/>
      <c r="F155" s="217"/>
      <c r="G155" s="217"/>
      <c r="H155" s="217"/>
      <c r="I155" s="217"/>
      <c r="J155" s="223"/>
      <c r="K155" s="224"/>
      <c r="L155" s="224"/>
      <c r="M155" s="254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4"/>
      <c r="AE155" s="224"/>
    </row>
    <row r="156" customFormat="false" ht="15.75" hidden="true" customHeight="false" outlineLevel="0" collapsed="false">
      <c r="A156" s="206"/>
      <c r="B156" s="206"/>
      <c r="C156" s="217"/>
      <c r="D156" s="217"/>
      <c r="E156" s="232"/>
      <c r="F156" s="217"/>
      <c r="G156" s="217"/>
      <c r="H156" s="217"/>
      <c r="I156" s="217"/>
      <c r="J156" s="223"/>
      <c r="K156" s="224"/>
      <c r="L156" s="224"/>
      <c r="M156" s="254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4"/>
      <c r="AE156" s="224"/>
    </row>
    <row r="157" customFormat="false" ht="15.75" hidden="true" customHeight="false" outlineLevel="0" collapsed="false">
      <c r="A157" s="206"/>
      <c r="B157" s="206"/>
      <c r="C157" s="217"/>
      <c r="D157" s="217"/>
      <c r="E157" s="232"/>
      <c r="F157" s="217"/>
      <c r="G157" s="217"/>
      <c r="H157" s="217"/>
      <c r="I157" s="217"/>
      <c r="J157" s="223"/>
      <c r="K157" s="224"/>
      <c r="L157" s="224"/>
      <c r="M157" s="254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4"/>
      <c r="AE157" s="224"/>
    </row>
    <row r="158" customFormat="false" ht="15.75" hidden="true" customHeight="false" outlineLevel="0" collapsed="false">
      <c r="A158" s="206"/>
      <c r="B158" s="206"/>
      <c r="C158" s="217"/>
      <c r="D158" s="217"/>
      <c r="E158" s="232"/>
      <c r="F158" s="217"/>
      <c r="G158" s="217"/>
      <c r="H158" s="217"/>
      <c r="I158" s="217"/>
      <c r="J158" s="223"/>
      <c r="K158" s="224"/>
      <c r="L158" s="224"/>
      <c r="M158" s="254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  <c r="AA158" s="225"/>
      <c r="AB158" s="225"/>
      <c r="AC158" s="225"/>
      <c r="AD158" s="224"/>
      <c r="AE158" s="224"/>
    </row>
    <row r="159" customFormat="false" ht="15.75" hidden="true" customHeight="false" outlineLevel="0" collapsed="false">
      <c r="A159" s="206"/>
      <c r="B159" s="206"/>
      <c r="C159" s="217"/>
      <c r="D159" s="217"/>
      <c r="E159" s="232"/>
      <c r="F159" s="217"/>
      <c r="G159" s="217"/>
      <c r="H159" s="217"/>
      <c r="I159" s="217"/>
      <c r="J159" s="223"/>
      <c r="K159" s="224"/>
      <c r="L159" s="224"/>
      <c r="M159" s="254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  <c r="AA159" s="225"/>
      <c r="AB159" s="225"/>
      <c r="AC159" s="225"/>
      <c r="AD159" s="224"/>
      <c r="AE159" s="224"/>
    </row>
    <row r="160" customFormat="false" ht="15.75" hidden="true" customHeight="false" outlineLevel="0" collapsed="false">
      <c r="A160" s="206"/>
      <c r="B160" s="206"/>
      <c r="C160" s="217"/>
      <c r="D160" s="217"/>
      <c r="E160" s="232"/>
      <c r="F160" s="217"/>
      <c r="G160" s="217"/>
      <c r="H160" s="217"/>
      <c r="I160" s="217"/>
      <c r="J160" s="223"/>
      <c r="K160" s="224"/>
      <c r="L160" s="224"/>
      <c r="M160" s="254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4"/>
      <c r="AE160" s="224"/>
    </row>
    <row r="161" customFormat="false" ht="15.75" hidden="true" customHeight="false" outlineLevel="0" collapsed="false">
      <c r="A161" s="206"/>
      <c r="B161" s="206"/>
      <c r="C161" s="217"/>
      <c r="D161" s="217"/>
      <c r="E161" s="232"/>
      <c r="F161" s="217"/>
      <c r="G161" s="217"/>
      <c r="H161" s="217"/>
      <c r="I161" s="217"/>
      <c r="J161" s="223"/>
      <c r="K161" s="224"/>
      <c r="L161" s="224"/>
      <c r="M161" s="254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4"/>
      <c r="AE161" s="224"/>
    </row>
    <row r="162" customFormat="false" ht="15.75" hidden="true" customHeight="false" outlineLevel="0" collapsed="false">
      <c r="A162" s="206"/>
      <c r="B162" s="206"/>
      <c r="C162" s="217"/>
      <c r="D162" s="217"/>
      <c r="E162" s="232"/>
      <c r="F162" s="217"/>
      <c r="G162" s="217"/>
      <c r="H162" s="217"/>
      <c r="I162" s="217"/>
      <c r="J162" s="223"/>
      <c r="K162" s="224"/>
      <c r="L162" s="224"/>
      <c r="M162" s="254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4"/>
      <c r="AE162" s="224"/>
    </row>
    <row r="163" customFormat="false" ht="15.75" hidden="true" customHeight="false" outlineLevel="0" collapsed="false">
      <c r="A163" s="206"/>
      <c r="B163" s="206"/>
      <c r="C163" s="217"/>
      <c r="D163" s="217"/>
      <c r="E163" s="232"/>
      <c r="F163" s="217"/>
      <c r="G163" s="217"/>
      <c r="H163" s="217"/>
      <c r="I163" s="217"/>
      <c r="J163" s="223"/>
      <c r="K163" s="224"/>
      <c r="L163" s="224"/>
      <c r="M163" s="254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4"/>
      <c r="AE163" s="224"/>
    </row>
    <row r="164" customFormat="false" ht="15.75" hidden="true" customHeight="false" outlineLevel="0" collapsed="false">
      <c r="A164" s="206"/>
      <c r="B164" s="206"/>
      <c r="C164" s="217"/>
      <c r="D164" s="217"/>
      <c r="E164" s="232"/>
      <c r="F164" s="217"/>
      <c r="G164" s="217"/>
      <c r="H164" s="217"/>
      <c r="I164" s="217"/>
      <c r="J164" s="223"/>
      <c r="K164" s="224"/>
      <c r="L164" s="224"/>
      <c r="M164" s="254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4"/>
      <c r="AE164" s="224"/>
    </row>
    <row r="165" customFormat="false" ht="15.75" hidden="true" customHeight="false" outlineLevel="0" collapsed="false">
      <c r="A165" s="206"/>
      <c r="B165" s="206"/>
      <c r="C165" s="217"/>
      <c r="D165" s="217"/>
      <c r="E165" s="232"/>
      <c r="F165" s="217"/>
      <c r="G165" s="217"/>
      <c r="H165" s="217"/>
      <c r="I165" s="217"/>
      <c r="J165" s="223"/>
      <c r="K165" s="224"/>
      <c r="L165" s="224"/>
      <c r="M165" s="254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4"/>
      <c r="AE165" s="224"/>
    </row>
    <row r="166" customFormat="false" ht="15.75" hidden="true" customHeight="false" outlineLevel="0" collapsed="false">
      <c r="A166" s="206"/>
      <c r="B166" s="206"/>
      <c r="C166" s="217"/>
      <c r="D166" s="217"/>
      <c r="E166" s="232"/>
      <c r="F166" s="217"/>
      <c r="G166" s="217"/>
      <c r="H166" s="217"/>
      <c r="I166" s="217"/>
      <c r="J166" s="223"/>
      <c r="K166" s="224"/>
      <c r="L166" s="224"/>
      <c r="M166" s="254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  <c r="AA166" s="225"/>
      <c r="AB166" s="225"/>
      <c r="AC166" s="225"/>
      <c r="AD166" s="224"/>
      <c r="AE166" s="224"/>
    </row>
    <row r="167" customFormat="false" ht="15.75" hidden="true" customHeight="false" outlineLevel="0" collapsed="false">
      <c r="A167" s="206"/>
      <c r="B167" s="206"/>
      <c r="C167" s="217"/>
      <c r="D167" s="217"/>
      <c r="E167" s="232"/>
      <c r="F167" s="217"/>
      <c r="G167" s="217"/>
      <c r="H167" s="217"/>
      <c r="I167" s="217"/>
      <c r="J167" s="223"/>
      <c r="K167" s="224"/>
      <c r="L167" s="224"/>
      <c r="M167" s="254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4"/>
      <c r="AE167" s="224"/>
    </row>
    <row r="168" customFormat="false" ht="15.75" hidden="true" customHeight="false" outlineLevel="0" collapsed="false">
      <c r="A168" s="206"/>
      <c r="B168" s="206"/>
      <c r="C168" s="217"/>
      <c r="D168" s="217"/>
      <c r="E168" s="232"/>
      <c r="F168" s="217"/>
      <c r="G168" s="217"/>
      <c r="H168" s="217"/>
      <c r="I168" s="217"/>
      <c r="J168" s="223"/>
      <c r="K168" s="224"/>
      <c r="L168" s="224"/>
      <c r="M168" s="254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  <c r="AA168" s="225"/>
      <c r="AB168" s="225"/>
      <c r="AC168" s="225"/>
      <c r="AD168" s="224"/>
      <c r="AE168" s="224"/>
    </row>
    <row r="169" customFormat="false" ht="15.75" hidden="true" customHeight="false" outlineLevel="0" collapsed="false">
      <c r="A169" s="206"/>
      <c r="B169" s="206"/>
      <c r="C169" s="217"/>
      <c r="D169" s="217"/>
      <c r="E169" s="232"/>
      <c r="F169" s="217"/>
      <c r="G169" s="217"/>
      <c r="H169" s="217"/>
      <c r="I169" s="217"/>
      <c r="J169" s="223"/>
      <c r="K169" s="224"/>
      <c r="L169" s="224"/>
      <c r="M169" s="254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4"/>
      <c r="AE169" s="224"/>
    </row>
    <row r="170" customFormat="false" ht="15.75" hidden="true" customHeight="false" outlineLevel="0" collapsed="false">
      <c r="A170" s="206"/>
      <c r="B170" s="206"/>
      <c r="C170" s="217"/>
      <c r="D170" s="217"/>
      <c r="E170" s="232"/>
      <c r="F170" s="217"/>
      <c r="G170" s="217"/>
      <c r="H170" s="217"/>
      <c r="I170" s="217"/>
      <c r="J170" s="223"/>
      <c r="K170" s="224"/>
      <c r="L170" s="224"/>
      <c r="M170" s="254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  <c r="AA170" s="225"/>
      <c r="AB170" s="225"/>
      <c r="AC170" s="225"/>
      <c r="AD170" s="224"/>
      <c r="AE170" s="224"/>
    </row>
    <row r="171" customFormat="false" ht="15.75" hidden="true" customHeight="false" outlineLevel="0" collapsed="false">
      <c r="A171" s="206"/>
      <c r="B171" s="206"/>
      <c r="C171" s="217"/>
      <c r="D171" s="217"/>
      <c r="E171" s="232"/>
      <c r="F171" s="217"/>
      <c r="G171" s="217"/>
      <c r="H171" s="217"/>
      <c r="I171" s="217"/>
      <c r="J171" s="223"/>
      <c r="K171" s="224"/>
      <c r="L171" s="224"/>
      <c r="M171" s="254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4"/>
      <c r="AE171" s="224"/>
    </row>
    <row r="172" customFormat="false" ht="15.75" hidden="true" customHeight="false" outlineLevel="0" collapsed="false">
      <c r="A172" s="206"/>
      <c r="B172" s="206"/>
      <c r="C172" s="217"/>
      <c r="D172" s="217"/>
      <c r="E172" s="232"/>
      <c r="F172" s="217"/>
      <c r="G172" s="217"/>
      <c r="H172" s="217"/>
      <c r="I172" s="217"/>
      <c r="J172" s="223"/>
      <c r="K172" s="224"/>
      <c r="L172" s="224"/>
      <c r="M172" s="254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  <c r="AA172" s="225"/>
      <c r="AB172" s="225"/>
      <c r="AC172" s="225"/>
      <c r="AD172" s="224"/>
      <c r="AE172" s="224"/>
    </row>
    <row r="173" customFormat="false" ht="15.75" hidden="true" customHeight="false" outlineLevel="0" collapsed="false">
      <c r="A173" s="206"/>
      <c r="B173" s="206"/>
      <c r="C173" s="217"/>
      <c r="D173" s="217"/>
      <c r="E173" s="232"/>
      <c r="F173" s="217"/>
      <c r="G173" s="217"/>
      <c r="H173" s="217"/>
      <c r="I173" s="217"/>
      <c r="J173" s="223"/>
      <c r="K173" s="224"/>
      <c r="L173" s="224"/>
      <c r="M173" s="254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4"/>
      <c r="AE173" s="224"/>
    </row>
    <row r="174" customFormat="false" ht="15.75" hidden="true" customHeight="false" outlineLevel="0" collapsed="false">
      <c r="A174" s="206"/>
      <c r="B174" s="206"/>
      <c r="C174" s="217"/>
      <c r="D174" s="217"/>
      <c r="E174" s="232"/>
      <c r="F174" s="217"/>
      <c r="G174" s="217"/>
      <c r="H174" s="217"/>
      <c r="I174" s="217"/>
      <c r="J174" s="223"/>
      <c r="K174" s="224"/>
      <c r="L174" s="224"/>
      <c r="M174" s="254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  <c r="AA174" s="225"/>
      <c r="AB174" s="225"/>
      <c r="AC174" s="225"/>
      <c r="AD174" s="224"/>
      <c r="AE174" s="224"/>
    </row>
    <row r="175" customFormat="false" ht="15.75" hidden="true" customHeight="false" outlineLevel="0" collapsed="false">
      <c r="A175" s="206"/>
      <c r="B175" s="206"/>
      <c r="C175" s="217"/>
      <c r="D175" s="217"/>
      <c r="E175" s="232"/>
      <c r="F175" s="217"/>
      <c r="G175" s="217"/>
      <c r="H175" s="217"/>
      <c r="I175" s="217"/>
      <c r="J175" s="223"/>
      <c r="K175" s="224"/>
      <c r="L175" s="224"/>
      <c r="M175" s="254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4"/>
      <c r="AE175" s="224"/>
    </row>
    <row r="176" customFormat="false" ht="15.75" hidden="true" customHeight="false" outlineLevel="0" collapsed="false">
      <c r="A176" s="206"/>
      <c r="B176" s="206"/>
      <c r="C176" s="217"/>
      <c r="D176" s="217"/>
      <c r="E176" s="232"/>
      <c r="F176" s="217"/>
      <c r="G176" s="217"/>
      <c r="H176" s="217"/>
      <c r="I176" s="217"/>
      <c r="J176" s="223"/>
      <c r="K176" s="224"/>
      <c r="L176" s="224"/>
      <c r="M176" s="254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  <c r="AA176" s="225"/>
      <c r="AB176" s="225"/>
      <c r="AC176" s="225"/>
      <c r="AD176" s="224"/>
      <c r="AE176" s="224"/>
    </row>
    <row r="177" customFormat="false" ht="15.75" hidden="true" customHeight="false" outlineLevel="0" collapsed="false">
      <c r="A177" s="206"/>
      <c r="B177" s="206"/>
      <c r="C177" s="217"/>
      <c r="D177" s="217"/>
      <c r="E177" s="232"/>
      <c r="F177" s="217"/>
      <c r="G177" s="217"/>
      <c r="H177" s="217"/>
      <c r="I177" s="217"/>
      <c r="J177" s="223"/>
      <c r="K177" s="224"/>
      <c r="L177" s="224"/>
      <c r="M177" s="254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4"/>
      <c r="AE177" s="224"/>
    </row>
    <row r="178" customFormat="false" ht="15.75" hidden="true" customHeight="false" outlineLevel="0" collapsed="false">
      <c r="A178" s="206"/>
      <c r="B178" s="206"/>
      <c r="C178" s="217"/>
      <c r="D178" s="217"/>
      <c r="E178" s="232"/>
      <c r="F178" s="217"/>
      <c r="G178" s="217"/>
      <c r="H178" s="217"/>
      <c r="I178" s="217"/>
      <c r="J178" s="223"/>
      <c r="K178" s="224"/>
      <c r="L178" s="224"/>
      <c r="M178" s="254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  <c r="AA178" s="225"/>
      <c r="AB178" s="225"/>
      <c r="AC178" s="225"/>
      <c r="AD178" s="224"/>
      <c r="AE178" s="224"/>
    </row>
    <row r="179" customFormat="false" ht="15.75" hidden="true" customHeight="false" outlineLevel="0" collapsed="false">
      <c r="A179" s="206"/>
      <c r="B179" s="206"/>
      <c r="C179" s="217"/>
      <c r="D179" s="217"/>
      <c r="E179" s="232"/>
      <c r="F179" s="217"/>
      <c r="G179" s="217"/>
      <c r="H179" s="217"/>
      <c r="I179" s="217"/>
      <c r="J179" s="223"/>
      <c r="K179" s="224"/>
      <c r="L179" s="224"/>
      <c r="M179" s="254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4"/>
      <c r="AE179" s="224"/>
    </row>
    <row r="180" customFormat="false" ht="15.75" hidden="true" customHeight="false" outlineLevel="0" collapsed="false">
      <c r="A180" s="206"/>
      <c r="B180" s="206"/>
      <c r="C180" s="217"/>
      <c r="D180" s="217"/>
      <c r="E180" s="232"/>
      <c r="F180" s="217"/>
      <c r="G180" s="217"/>
      <c r="H180" s="217"/>
      <c r="I180" s="217"/>
      <c r="J180" s="223"/>
      <c r="K180" s="224"/>
      <c r="L180" s="224"/>
      <c r="M180" s="254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  <c r="AA180" s="225"/>
      <c r="AB180" s="225"/>
      <c r="AC180" s="225"/>
      <c r="AD180" s="224"/>
      <c r="AE180" s="224"/>
    </row>
    <row r="181" customFormat="false" ht="15.75" hidden="true" customHeight="false" outlineLevel="0" collapsed="false">
      <c r="A181" s="206"/>
      <c r="B181" s="206"/>
      <c r="C181" s="217"/>
      <c r="D181" s="217"/>
      <c r="E181" s="232"/>
      <c r="F181" s="217"/>
      <c r="G181" s="217"/>
      <c r="H181" s="217"/>
      <c r="I181" s="217"/>
      <c r="J181" s="223"/>
      <c r="K181" s="224"/>
      <c r="L181" s="224"/>
      <c r="M181" s="254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4"/>
      <c r="AE181" s="224"/>
    </row>
    <row r="182" customFormat="false" ht="15.75" hidden="true" customHeight="false" outlineLevel="0" collapsed="false">
      <c r="A182" s="206"/>
      <c r="B182" s="206"/>
      <c r="C182" s="217"/>
      <c r="D182" s="217"/>
      <c r="E182" s="232"/>
      <c r="F182" s="217"/>
      <c r="G182" s="217"/>
      <c r="H182" s="217"/>
      <c r="I182" s="217"/>
      <c r="J182" s="223"/>
      <c r="K182" s="224"/>
      <c r="L182" s="224"/>
      <c r="M182" s="254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  <c r="AA182" s="225"/>
      <c r="AB182" s="225"/>
      <c r="AC182" s="225"/>
      <c r="AD182" s="224"/>
      <c r="AE182" s="224"/>
    </row>
    <row r="183" customFormat="false" ht="15.75" hidden="true" customHeight="false" outlineLevel="0" collapsed="false">
      <c r="A183" s="206"/>
      <c r="B183" s="206"/>
      <c r="C183" s="217"/>
      <c r="D183" s="217"/>
      <c r="E183" s="232"/>
      <c r="F183" s="217"/>
      <c r="G183" s="217"/>
      <c r="H183" s="217"/>
      <c r="I183" s="217"/>
      <c r="J183" s="223"/>
      <c r="K183" s="224"/>
      <c r="L183" s="224"/>
      <c r="M183" s="254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4"/>
      <c r="AE183" s="224"/>
    </row>
    <row r="184" customFormat="false" ht="15.75" hidden="true" customHeight="false" outlineLevel="0" collapsed="false">
      <c r="A184" s="206"/>
      <c r="B184" s="206"/>
      <c r="C184" s="217"/>
      <c r="D184" s="217"/>
      <c r="E184" s="232"/>
      <c r="F184" s="217"/>
      <c r="G184" s="217"/>
      <c r="H184" s="217"/>
      <c r="I184" s="217"/>
      <c r="J184" s="223"/>
      <c r="K184" s="224"/>
      <c r="L184" s="224"/>
      <c r="M184" s="254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  <c r="AA184" s="225"/>
      <c r="AB184" s="225"/>
      <c r="AC184" s="225"/>
      <c r="AD184" s="224"/>
      <c r="AE184" s="224"/>
    </row>
    <row r="185" customFormat="false" ht="15.75" hidden="true" customHeight="false" outlineLevel="0" collapsed="false">
      <c r="A185" s="206"/>
      <c r="B185" s="206"/>
      <c r="C185" s="217"/>
      <c r="D185" s="217"/>
      <c r="E185" s="232"/>
      <c r="F185" s="217"/>
      <c r="G185" s="217"/>
      <c r="H185" s="217"/>
      <c r="I185" s="217"/>
      <c r="J185" s="223"/>
      <c r="K185" s="224"/>
      <c r="L185" s="224"/>
      <c r="M185" s="254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4"/>
      <c r="AE185" s="224"/>
    </row>
    <row r="186" customFormat="false" ht="15.75" hidden="true" customHeight="false" outlineLevel="0" collapsed="false">
      <c r="A186" s="206"/>
      <c r="B186" s="206"/>
      <c r="C186" s="217"/>
      <c r="D186" s="217"/>
      <c r="E186" s="232"/>
      <c r="F186" s="217"/>
      <c r="G186" s="217"/>
      <c r="H186" s="217"/>
      <c r="I186" s="217"/>
      <c r="J186" s="223"/>
      <c r="K186" s="224"/>
      <c r="L186" s="224"/>
      <c r="M186" s="254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  <c r="AA186" s="225"/>
      <c r="AB186" s="225"/>
      <c r="AC186" s="225"/>
      <c r="AD186" s="224"/>
      <c r="AE186" s="224"/>
    </row>
    <row r="187" customFormat="false" ht="15.75" hidden="true" customHeight="false" outlineLevel="0" collapsed="false">
      <c r="A187" s="206"/>
      <c r="B187" s="206"/>
      <c r="C187" s="217"/>
      <c r="D187" s="217"/>
      <c r="E187" s="232"/>
      <c r="F187" s="217"/>
      <c r="G187" s="217"/>
      <c r="H187" s="217"/>
      <c r="I187" s="217"/>
      <c r="J187" s="223"/>
      <c r="K187" s="224"/>
      <c r="L187" s="224"/>
      <c r="M187" s="254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4"/>
      <c r="AE187" s="224"/>
    </row>
    <row r="188" customFormat="false" ht="15.75" hidden="true" customHeight="false" outlineLevel="0" collapsed="false">
      <c r="A188" s="206"/>
      <c r="B188" s="206"/>
      <c r="C188" s="217"/>
      <c r="D188" s="217"/>
      <c r="E188" s="232"/>
      <c r="F188" s="217"/>
      <c r="G188" s="217"/>
      <c r="H188" s="217"/>
      <c r="I188" s="217"/>
      <c r="J188" s="223"/>
      <c r="K188" s="224"/>
      <c r="L188" s="224"/>
      <c r="M188" s="254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  <c r="AA188" s="225"/>
      <c r="AB188" s="225"/>
      <c r="AC188" s="225"/>
      <c r="AD188" s="224"/>
      <c r="AE188" s="224"/>
    </row>
    <row r="189" customFormat="false" ht="15.75" hidden="true" customHeight="false" outlineLevel="0" collapsed="false">
      <c r="A189" s="206"/>
      <c r="B189" s="206"/>
      <c r="C189" s="217"/>
      <c r="D189" s="217"/>
      <c r="E189" s="232"/>
      <c r="F189" s="217"/>
      <c r="G189" s="217"/>
      <c r="H189" s="217"/>
      <c r="I189" s="217"/>
      <c r="J189" s="223"/>
      <c r="K189" s="224"/>
      <c r="L189" s="224"/>
      <c r="M189" s="254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4"/>
      <c r="AE189" s="224"/>
    </row>
    <row r="190" customFormat="false" ht="15.75" hidden="true" customHeight="false" outlineLevel="0" collapsed="false">
      <c r="A190" s="206"/>
      <c r="B190" s="206"/>
      <c r="C190" s="217"/>
      <c r="D190" s="217"/>
      <c r="E190" s="232"/>
      <c r="F190" s="217"/>
      <c r="G190" s="217"/>
      <c r="H190" s="217"/>
      <c r="I190" s="217"/>
      <c r="J190" s="223"/>
      <c r="K190" s="224"/>
      <c r="L190" s="224"/>
      <c r="M190" s="254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  <c r="AA190" s="225"/>
      <c r="AB190" s="225"/>
      <c r="AC190" s="225"/>
      <c r="AD190" s="224"/>
      <c r="AE190" s="224"/>
    </row>
    <row r="191" customFormat="false" ht="15.75" hidden="true" customHeight="false" outlineLevel="0" collapsed="false">
      <c r="A191" s="206"/>
      <c r="B191" s="206"/>
      <c r="C191" s="217"/>
      <c r="D191" s="217"/>
      <c r="E191" s="232"/>
      <c r="F191" s="217"/>
      <c r="G191" s="217"/>
      <c r="H191" s="217"/>
      <c r="I191" s="217"/>
      <c r="J191" s="223"/>
      <c r="K191" s="224"/>
      <c r="L191" s="224"/>
      <c r="M191" s="254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4"/>
      <c r="AE191" s="224"/>
    </row>
    <row r="192" customFormat="false" ht="15.75" hidden="true" customHeight="false" outlineLevel="0" collapsed="false">
      <c r="A192" s="206"/>
      <c r="B192" s="206"/>
      <c r="C192" s="217"/>
      <c r="D192" s="217"/>
      <c r="E192" s="232"/>
      <c r="F192" s="217"/>
      <c r="G192" s="217"/>
      <c r="H192" s="217"/>
      <c r="I192" s="217"/>
      <c r="J192" s="223"/>
      <c r="K192" s="224"/>
      <c r="L192" s="224"/>
      <c r="M192" s="254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  <c r="AA192" s="225"/>
      <c r="AB192" s="225"/>
      <c r="AC192" s="225"/>
      <c r="AD192" s="224"/>
      <c r="AE192" s="224"/>
    </row>
    <row r="193" customFormat="false" ht="15.75" hidden="true" customHeight="false" outlineLevel="0" collapsed="false">
      <c r="A193" s="255"/>
      <c r="B193" s="255"/>
      <c r="C193" s="256"/>
      <c r="D193" s="256"/>
      <c r="E193" s="256"/>
      <c r="F193" s="256"/>
      <c r="G193" s="256"/>
      <c r="H193" s="256"/>
      <c r="I193" s="256"/>
      <c r="J193" s="256"/>
      <c r="K193" s="256"/>
      <c r="L193" s="256"/>
      <c r="M193" s="257"/>
      <c r="N193" s="258"/>
      <c r="O193" s="258"/>
      <c r="P193" s="258"/>
      <c r="Q193" s="258"/>
      <c r="R193" s="258"/>
      <c r="S193" s="258"/>
      <c r="T193" s="258"/>
      <c r="U193" s="258"/>
      <c r="V193" s="258"/>
      <c r="W193" s="258"/>
      <c r="X193" s="258"/>
      <c r="Y193" s="258"/>
      <c r="Z193" s="258"/>
      <c r="AA193" s="258"/>
      <c r="AB193" s="258"/>
      <c r="AC193" s="258"/>
      <c r="AD193" s="256"/>
      <c r="AE193" s="256"/>
    </row>
    <row r="194" customFormat="false" ht="15.75" hidden="true" customHeight="false" outlineLevel="0" collapsed="false">
      <c r="A194" s="209"/>
      <c r="B194" s="224"/>
      <c r="C194" s="224" t="s">
        <v>141</v>
      </c>
      <c r="D194" s="224" t="n">
        <f aca="false" t="array" ref="D194:D194">IF(INDEX('0.1.2 Attack Dex (GO)'!C2:C201,MATCH(B22,'0.1.2 Attack Dex (GO)'!A2:A201,0))="Charge",1,0)</f>
        <v>0</v>
      </c>
      <c r="E194" s="224"/>
      <c r="F194" s="224"/>
      <c r="G194" s="224"/>
      <c r="H194" s="224" t="s">
        <v>139</v>
      </c>
      <c r="I194" s="259" t="n">
        <f aca="false" t="array" ref="I194:I194">IF(B22="N/A",,INDEX('0.1.2 Attack Dex (GO)'!E2:E201,MATCH(B22,'0.1.2 Attack Dex (GO)'!A2:A201,0)))</f>
        <v>12</v>
      </c>
      <c r="J194" s="224"/>
      <c r="K194" s="224"/>
      <c r="L194" s="224"/>
      <c r="M194" s="254" t="s">
        <v>142</v>
      </c>
      <c r="N194" s="225" t="n">
        <v>1.2</v>
      </c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  <c r="AA194" s="225"/>
      <c r="AB194" s="225"/>
      <c r="AC194" s="225"/>
      <c r="AD194" s="224"/>
      <c r="AE194" s="224"/>
    </row>
    <row r="195" customFormat="false" ht="15.75" hidden="true" customHeight="false" outlineLevel="0" collapsed="false">
      <c r="A195" s="209"/>
      <c r="C195" s="260" t="s">
        <v>143</v>
      </c>
      <c r="D195" s="0" t="n">
        <f aca="true" t="array" ref="D195:D195">COUNTIF(INDIRECT("'0.1.1 Pokémon GO Moves'!C"&amp;MATCH(INDEX('0.0.1 Pokémon Dex Data'!$B$3:$B201,MATCH(C5,'0.0.1 Pokémon Dex Data'!$E$3:$E201,0)),'0.1.1 Pokémon GO Moves'!A1:A201,0)&amp;":R"&amp;MATCH(INDEX('0.0.1 Pokémon Dex Data'!$B$3:$B201,MATCH(C5,'0.0.1 Pokémon Dex Data'!$E$3:$E201,0)),'0.1.1 Pokémon GO Moves'!A1:A201,0)),B22)</f>
        <v>1</v>
      </c>
      <c r="M195" s="254" t="s">
        <v>136</v>
      </c>
      <c r="N195" s="225" t="n">
        <f aca="false" t="array" ref="N195:N195">IF(H20="(Neutral)",1,IF(INDEX('0.3.1 Type Table'!B2:B19,MATCH(B24,'0.3.1 Type Table'!A2:A19,0))=H20,1.2,1))</f>
        <v>1.2</v>
      </c>
      <c r="V195" s="225"/>
      <c r="W195" s="225"/>
      <c r="X195" s="225"/>
      <c r="Y195" s="225"/>
      <c r="Z195" s="225"/>
      <c r="AA195" s="225"/>
      <c r="AB195" s="225"/>
      <c r="AC195" s="225"/>
      <c r="AD195" s="224"/>
      <c r="AE195" s="224"/>
    </row>
    <row r="196" customFormat="false" ht="15.75" hidden="true" customHeight="false" outlineLevel="0" collapsed="false">
      <c r="A196" s="209"/>
      <c r="V196" s="225"/>
      <c r="W196" s="225"/>
      <c r="X196" s="225"/>
      <c r="Y196" s="225"/>
      <c r="Z196" s="225"/>
      <c r="AA196" s="225"/>
      <c r="AB196" s="225"/>
      <c r="AC196" s="225"/>
      <c r="AD196" s="224"/>
      <c r="AE196" s="224"/>
    </row>
    <row r="197" customFormat="false" ht="15.75" hidden="true" customHeight="false" outlineLevel="0" collapsed="false">
      <c r="A197" s="209"/>
      <c r="B197" s="261"/>
      <c r="C197" s="261" t="s">
        <v>144</v>
      </c>
      <c r="D197" s="261" t="s">
        <v>145</v>
      </c>
      <c r="E197" s="261" t="s">
        <v>146</v>
      </c>
      <c r="F197" s="261" t="s">
        <v>147</v>
      </c>
      <c r="G197" s="261" t="s">
        <v>148</v>
      </c>
      <c r="H197" s="261" t="s">
        <v>149</v>
      </c>
      <c r="I197" s="261" t="s">
        <v>150</v>
      </c>
      <c r="J197" s="261" t="s">
        <v>151</v>
      </c>
      <c r="K197" s="261" t="s">
        <v>152</v>
      </c>
      <c r="L197" s="261" t="s">
        <v>153</v>
      </c>
      <c r="M197" s="261" t="s">
        <v>154</v>
      </c>
      <c r="N197" s="261" t="s">
        <v>155</v>
      </c>
      <c r="O197" s="261" t="s">
        <v>156</v>
      </c>
      <c r="P197" s="261" t="s">
        <v>157</v>
      </c>
      <c r="Q197" s="261" t="s">
        <v>158</v>
      </c>
      <c r="R197" s="261" t="s">
        <v>159</v>
      </c>
      <c r="S197" s="261" t="s">
        <v>160</v>
      </c>
      <c r="T197" s="261" t="s">
        <v>161</v>
      </c>
      <c r="U197" s="261" t="s">
        <v>162</v>
      </c>
      <c r="V197" s="225"/>
      <c r="W197" s="225"/>
      <c r="X197" s="225"/>
      <c r="Y197" s="225"/>
      <c r="Z197" s="225"/>
      <c r="AA197" s="225"/>
      <c r="AB197" s="225"/>
      <c r="AC197" s="225"/>
      <c r="AD197" s="224"/>
      <c r="AE197" s="224"/>
    </row>
    <row r="198" customFormat="false" ht="15.75" hidden="true" customHeight="false" outlineLevel="0" collapsed="false">
      <c r="A198" s="209"/>
      <c r="B198" s="261" t="e">
        <f aca="false">H13</f>
        <v>#N/A</v>
      </c>
      <c r="C198" s="262" t="e">
        <f aca="false" t="array" ref="C198:T198">INDEX('0.3.1 Type Table'!$C$2:$T$20,MATCH(B198,'0.3.1 Type Table'!$A$2:$A$20,0))</f>
        <v>#N/A</v>
      </c>
      <c r="D198" s="262" t="e">
        <v>#N/A</v>
      </c>
      <c r="E198" s="262" t="e">
        <v>#N/A</v>
      </c>
      <c r="F198" s="262" t="e">
        <v>#N/A</v>
      </c>
      <c r="G198" s="262" t="e">
        <v>#N/A</v>
      </c>
      <c r="H198" s="262" t="e">
        <v>#N/A</v>
      </c>
      <c r="I198" s="262" t="e">
        <v>#N/A</v>
      </c>
      <c r="J198" s="262" t="e">
        <v>#N/A</v>
      </c>
      <c r="K198" s="262" t="e">
        <v>#N/A</v>
      </c>
      <c r="L198" s="262" t="e">
        <v>#N/A</v>
      </c>
      <c r="M198" s="262" t="e">
        <v>#N/A</v>
      </c>
      <c r="N198" s="262" t="e">
        <v>#N/A</v>
      </c>
      <c r="O198" s="262" t="e">
        <v>#N/A</v>
      </c>
      <c r="P198" s="262" t="e">
        <v>#N/A</v>
      </c>
      <c r="Q198" s="262" t="e">
        <v>#N/A</v>
      </c>
      <c r="R198" s="262" t="e">
        <v>#N/A</v>
      </c>
      <c r="S198" s="262" t="e">
        <v>#N/A</v>
      </c>
      <c r="T198" s="262" t="e">
        <v>#N/A</v>
      </c>
      <c r="U198" s="262" t="n">
        <v>1</v>
      </c>
      <c r="V198" s="225"/>
      <c r="W198" s="225"/>
      <c r="X198" s="225"/>
      <c r="Y198" s="225"/>
      <c r="Z198" s="225"/>
      <c r="AA198" s="225"/>
      <c r="AB198" s="225"/>
      <c r="AC198" s="225"/>
      <c r="AD198" s="224"/>
      <c r="AE198" s="224"/>
    </row>
    <row r="199" customFormat="false" ht="15.75" hidden="true" customHeight="false" outlineLevel="0" collapsed="false">
      <c r="A199" s="209"/>
      <c r="B199" s="261" t="e">
        <f aca="false">IF(I13="","Empty",I13)</f>
        <v>#N/A</v>
      </c>
      <c r="C199" s="262" t="e">
        <f aca="false" t="array" ref="C199:T199">INDEX('0.3.1 Type Table'!$C$2:$T$20,MATCH(B199,'0.3.1 Type Table'!$A$2:$A$20,0))</f>
        <v>#N/A</v>
      </c>
      <c r="D199" s="262" t="e">
        <v>#N/A</v>
      </c>
      <c r="E199" s="262" t="e">
        <v>#N/A</v>
      </c>
      <c r="F199" s="262" t="e">
        <v>#N/A</v>
      </c>
      <c r="G199" s="262" t="e">
        <v>#N/A</v>
      </c>
      <c r="H199" s="262" t="e">
        <v>#N/A</v>
      </c>
      <c r="I199" s="262" t="e">
        <v>#N/A</v>
      </c>
      <c r="J199" s="262" t="e">
        <v>#N/A</v>
      </c>
      <c r="K199" s="262" t="e">
        <v>#N/A</v>
      </c>
      <c r="L199" s="262" t="e">
        <v>#N/A</v>
      </c>
      <c r="M199" s="262" t="e">
        <v>#N/A</v>
      </c>
      <c r="N199" s="262" t="e">
        <v>#N/A</v>
      </c>
      <c r="O199" s="262" t="e">
        <v>#N/A</v>
      </c>
      <c r="P199" s="262" t="e">
        <v>#N/A</v>
      </c>
      <c r="Q199" s="262" t="e">
        <v>#N/A</v>
      </c>
      <c r="R199" s="262" t="e">
        <v>#N/A</v>
      </c>
      <c r="S199" s="262" t="e">
        <v>#N/A</v>
      </c>
      <c r="T199" s="262" t="e">
        <v>#N/A</v>
      </c>
      <c r="U199" s="262" t="n">
        <v>1</v>
      </c>
      <c r="V199" s="225"/>
      <c r="W199" s="225"/>
      <c r="X199" s="225"/>
      <c r="Y199" s="225"/>
      <c r="Z199" s="225"/>
      <c r="AA199" s="225"/>
      <c r="AB199" s="225"/>
      <c r="AC199" s="225"/>
      <c r="AD199" s="224"/>
      <c r="AE199" s="224"/>
    </row>
    <row r="200" customFormat="false" ht="15.75" hidden="true" customHeight="false" outlineLevel="0" collapsed="false"/>
    <row r="201" customFormat="false" ht="15.75" hidden="true" customHeight="false" outlineLevel="0" collapsed="false"/>
  </sheetData>
  <mergeCells count="19">
    <mergeCell ref="B2:D3"/>
    <mergeCell ref="G2:I3"/>
    <mergeCell ref="N2:O2"/>
    <mergeCell ref="C5:D5"/>
    <mergeCell ref="H5:I5"/>
    <mergeCell ref="H6:I6"/>
    <mergeCell ref="B8:C12"/>
    <mergeCell ref="H8:I12"/>
    <mergeCell ref="B18:B19"/>
    <mergeCell ref="C18:C19"/>
    <mergeCell ref="H19:I19"/>
    <mergeCell ref="H20:I21"/>
    <mergeCell ref="B21:C21"/>
    <mergeCell ref="B22:C23"/>
    <mergeCell ref="B24:B25"/>
    <mergeCell ref="C24:C25"/>
    <mergeCell ref="B26:B27"/>
    <mergeCell ref="C26:C27"/>
    <mergeCell ref="B28:C29"/>
  </mergeCells>
  <conditionalFormatting sqref="B26">
    <cfRule type="expression" priority="2" aboveAverage="0" equalAverage="0" bottom="0" percent="0" rank="0" text="" dxfId="0">
      <formula>($D$194=0)</formula>
    </cfRule>
  </conditionalFormatting>
  <conditionalFormatting sqref="C26">
    <cfRule type="expression" priority="3" aboveAverage="0" equalAverage="0" bottom="0" percent="0" rank="0" text="" dxfId="0">
      <formula>($D$194=1)</formula>
    </cfRule>
  </conditionalFormatting>
  <conditionalFormatting sqref="N6:AC84">
    <cfRule type="colorScale" priority="4">
      <colorScale>
        <cfvo type="min" val="0"/>
        <cfvo type="max" val="0"/>
        <color rgb="FFFCE5CD"/>
        <color rgb="FFB45F06"/>
      </colorScale>
    </cfRule>
  </conditionalFormatting>
  <conditionalFormatting sqref="B28:C28">
    <cfRule type="expression" priority="5" aboveAverage="0" equalAverage="0" bottom="0" percent="0" rank="0" text="" dxfId="1">
      <formula>LEN(TRIM(B28))&gt;0</formula>
    </cfRule>
  </conditionalFormatting>
  <conditionalFormatting sqref="B6:C6">
    <cfRule type="expression" priority="6" aboveAverage="0" equalAverage="0" bottom="0" percent="0" rank="0" text="" dxfId="2">
      <formula>NOT(AND($AE$1&gt;=0,$AE$1&lt;1))</formula>
    </cfRule>
  </conditionalFormatting>
  <dataValidations count="8">
    <dataValidation allowBlank="true" operator="between" showDropDown="false" showErrorMessage="true" showInputMessage="false" sqref="M3" type="list">
      <formula1>"0,1,2,3,4,5,6,7,8,9,10,11,12,13,14,15"</formula1>
      <formula2>0</formula2>
    </dataValidation>
    <dataValidation allowBlank="true" operator="between" showDropDown="false" showErrorMessage="true" showInputMessage="false" sqref="C18" type="list">
      <formula1>"Yes,No"</formula1>
      <formula2>0</formula2>
    </dataValidation>
    <dataValidation allowBlank="true" operator="between" showDropDown="false" showErrorMessage="true" showInputMessage="false" sqref="H20" type="list">
      <formula1>"(Neutral),Sunny / Clear,Partly Cloudy,Cloudy,Rainy,Windy,Snow,Fog"</formula1>
      <formula2>0</formula2>
    </dataValidation>
    <dataValidation allowBlank="true" operator="between" showDropDown="false" showErrorMessage="true" showInputMessage="false" sqref="M2" type="list">
      <formula1>'0.3.0 GO Calculation Values'!$A$2:$A$80</formula1>
      <formula2>0</formula2>
    </dataValidation>
    <dataValidation allowBlank="true" operator="between" showDropDown="false" showErrorMessage="true" showInputMessage="false" sqref="C5 H5" type="list">
      <formula1>'0.0.1 Pokémon Dex Data'!$E$3:$E201</formula1>
      <formula2>0</formula2>
    </dataValidation>
    <dataValidation allowBlank="true" operator="between" showDropDown="false" showErrorMessage="true" showInputMessage="false" sqref="H6" type="list">
      <formula1>'0.3.0 GO Calculation Values'!$F$2:$F$6</formula1>
      <formula2>0</formula2>
    </dataValidation>
    <dataValidation allowBlank="true" operator="between" showDropDown="false" showErrorMessage="true" showInputMessage="false" sqref="B22" type="list">
      <formula1>'Raid Breakpoint Calculator'!$AE$3:$AE$192</formula1>
      <formula2>0</formula2>
    </dataValidation>
    <dataValidation allowBlank="true" operator="between" showDropDown="false" showErrorMessage="false" showInputMessage="false" sqref="C6" type="list">
      <formula1>"Yes,No"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99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N10" activeCellId="0" sqref="N10"/>
    </sheetView>
  </sheetViews>
  <sheetFormatPr defaultRowHeight="15.75" zeroHeight="false" outlineLevelRow="0" outlineLevelCol="0"/>
  <cols>
    <col collapsed="false" customWidth="true" hidden="false" outlineLevel="0" max="1" min="1" style="0" width="10.86"/>
    <col collapsed="false" customWidth="true" hidden="false" outlineLevel="0" max="2" min="2" style="0" width="2.31"/>
    <col collapsed="false" customWidth="true" hidden="false" outlineLevel="0" max="4" min="3" style="0" width="14.43"/>
    <col collapsed="false" customWidth="true" hidden="false" outlineLevel="0" max="5" min="5" style="0" width="15.88"/>
    <col collapsed="false" customWidth="true" hidden="false" outlineLevel="0" max="6" min="6" style="0" width="14.43"/>
    <col collapsed="false" customWidth="true" hidden="false" outlineLevel="0" max="7" min="7" style="0" width="7.29"/>
    <col collapsed="false" customWidth="true" hidden="false" outlineLevel="0" max="9" min="8" style="0" width="14.43"/>
    <col collapsed="false" customWidth="true" hidden="false" outlineLevel="0" max="10" min="10" style="0" width="15.88"/>
    <col collapsed="false" customWidth="true" hidden="false" outlineLevel="0" max="11" min="11" style="0" width="6.57"/>
    <col collapsed="false" customWidth="true" hidden="false" outlineLevel="0" max="12" min="12" style="0" width="8"/>
    <col collapsed="false" customWidth="true" hidden="false" outlineLevel="0" max="13" min="13" style="0" width="7.29"/>
    <col collapsed="false" customWidth="true" hidden="false" outlineLevel="0" max="14" min="14" style="0" width="14.43"/>
    <col collapsed="false" customWidth="true" hidden="false" outlineLevel="0" max="15" min="15" style="0" width="2.31"/>
    <col collapsed="false" customWidth="true" hidden="false" outlineLevel="0" max="1025" min="16" style="0" width="14.43"/>
  </cols>
  <sheetData>
    <row r="1" customFormat="false" ht="15.75" hidden="false" customHeight="false" outlineLevel="0" collapsed="false">
      <c r="A1" s="165"/>
      <c r="B1" s="165"/>
      <c r="C1" s="165"/>
      <c r="D1" s="165"/>
      <c r="E1" s="165"/>
      <c r="F1" s="165"/>
      <c r="G1" s="165"/>
      <c r="H1" s="165"/>
      <c r="I1" s="165"/>
      <c r="J1" s="165"/>
      <c r="K1" s="165"/>
      <c r="L1" s="165"/>
      <c r="M1" s="165"/>
      <c r="N1" s="165"/>
      <c r="O1" s="165"/>
      <c r="P1" s="165"/>
    </row>
    <row r="2" customFormat="false" ht="18.75" hidden="false" customHeight="true" outlineLevel="0" collapsed="false">
      <c r="A2" s="165"/>
      <c r="B2" s="165"/>
      <c r="C2" s="163"/>
      <c r="D2" s="263" t="s">
        <v>163</v>
      </c>
      <c r="E2" s="264" t="s">
        <v>164</v>
      </c>
      <c r="F2" s="264"/>
      <c r="G2" s="264"/>
      <c r="H2" s="264"/>
      <c r="I2" s="264"/>
      <c r="J2" s="264"/>
      <c r="K2" s="264"/>
      <c r="L2" s="264"/>
      <c r="M2" s="264"/>
      <c r="N2" s="165"/>
      <c r="O2" s="165"/>
      <c r="P2" s="165"/>
    </row>
    <row r="3" customFormat="false" ht="18.75" hidden="false" customHeight="true" outlineLevel="0" collapsed="false">
      <c r="A3" s="165"/>
      <c r="B3" s="165"/>
      <c r="C3" s="165"/>
      <c r="D3" s="265"/>
      <c r="E3" s="266"/>
      <c r="F3" s="266"/>
      <c r="G3" s="266"/>
      <c r="H3" s="266"/>
      <c r="I3" s="266"/>
      <c r="J3" s="266"/>
      <c r="K3" s="266"/>
      <c r="L3" s="266"/>
      <c r="M3" s="267"/>
      <c r="N3" s="165"/>
      <c r="O3" s="165"/>
      <c r="P3" s="165"/>
    </row>
    <row r="4" customFormat="false" ht="18.75" hidden="false" customHeight="true" outlineLevel="0" collapsed="false">
      <c r="A4" s="268"/>
      <c r="B4" s="268"/>
      <c r="C4" s="268"/>
      <c r="D4" s="269"/>
      <c r="E4" s="270" t="s">
        <v>165</v>
      </c>
      <c r="F4" s="271" t="s">
        <v>166</v>
      </c>
      <c r="G4" s="271"/>
      <c r="H4" s="271"/>
      <c r="I4" s="271"/>
      <c r="J4" s="271"/>
      <c r="K4" s="272"/>
      <c r="L4" s="272"/>
      <c r="M4" s="273"/>
      <c r="N4" s="268"/>
      <c r="O4" s="268"/>
      <c r="P4" s="268"/>
    </row>
    <row r="5" customFormat="false" ht="18.75" hidden="false" customHeight="true" outlineLevel="0" collapsed="false">
      <c r="A5" s="268"/>
      <c r="B5" s="268"/>
      <c r="C5" s="268"/>
      <c r="D5" s="274"/>
      <c r="E5" s="272"/>
      <c r="F5" s="272"/>
      <c r="G5" s="272"/>
      <c r="H5" s="275"/>
      <c r="I5" s="272"/>
      <c r="J5" s="272"/>
      <c r="K5" s="272"/>
      <c r="L5" s="272"/>
      <c r="M5" s="273"/>
      <c r="N5" s="268"/>
      <c r="O5" s="268"/>
      <c r="P5" s="268"/>
    </row>
    <row r="6" customFormat="false" ht="7.5" hidden="false" customHeight="true" outlineLevel="0" collapsed="false">
      <c r="A6" s="268"/>
      <c r="B6" s="268"/>
      <c r="C6" s="268"/>
      <c r="D6" s="276"/>
      <c r="E6" s="277"/>
      <c r="F6" s="277"/>
      <c r="G6" s="278"/>
      <c r="H6" s="279"/>
      <c r="I6" s="280"/>
      <c r="J6" s="281"/>
      <c r="K6" s="281"/>
      <c r="L6" s="281"/>
      <c r="M6" s="282"/>
      <c r="N6" s="268"/>
      <c r="O6" s="268"/>
      <c r="P6" s="268"/>
    </row>
    <row r="7" customFormat="false" ht="18.75" hidden="false" customHeight="true" outlineLevel="0" collapsed="false">
      <c r="A7" s="268"/>
      <c r="B7" s="268"/>
      <c r="C7" s="283" t="s">
        <v>167</v>
      </c>
      <c r="D7" s="284" t="s">
        <v>168</v>
      </c>
      <c r="E7" s="285" t="s">
        <v>169</v>
      </c>
      <c r="F7" s="285"/>
      <c r="G7" s="285"/>
      <c r="H7" s="268"/>
      <c r="I7" s="286" t="s">
        <v>170</v>
      </c>
      <c r="J7" s="286"/>
      <c r="K7" s="286"/>
      <c r="L7" s="287" t="s">
        <v>171</v>
      </c>
      <c r="M7" s="287"/>
      <c r="N7" s="288" t="s">
        <v>167</v>
      </c>
      <c r="O7" s="268"/>
      <c r="P7" s="268"/>
    </row>
    <row r="8" customFormat="false" ht="18.75" hidden="false" customHeight="true" outlineLevel="0" collapsed="false">
      <c r="A8" s="268"/>
      <c r="B8" s="268"/>
      <c r="C8" s="268"/>
      <c r="D8" s="289"/>
      <c r="E8" s="290"/>
      <c r="F8" s="290"/>
      <c r="G8" s="291"/>
      <c r="H8" s="268"/>
      <c r="I8" s="292"/>
      <c r="J8" s="293"/>
      <c r="K8" s="293"/>
      <c r="L8" s="293"/>
      <c r="M8" s="294"/>
      <c r="N8" s="268"/>
      <c r="O8" s="268"/>
      <c r="P8" s="268"/>
    </row>
    <row r="9" customFormat="false" ht="18.75" hidden="false" customHeight="true" outlineLevel="0" collapsed="false">
      <c r="A9" s="268"/>
      <c r="B9" s="268"/>
      <c r="C9" s="268"/>
      <c r="D9" s="295" t="s">
        <v>172</v>
      </c>
      <c r="E9" s="296" t="s">
        <v>173</v>
      </c>
      <c r="F9" s="271" t="s">
        <v>156</v>
      </c>
      <c r="G9" s="297"/>
      <c r="H9" s="268"/>
      <c r="I9" s="271" t="s">
        <v>172</v>
      </c>
      <c r="J9" s="298" t="s">
        <v>12</v>
      </c>
      <c r="K9" s="271" t="s">
        <v>174</v>
      </c>
      <c r="L9" s="299" t="n">
        <v>200</v>
      </c>
      <c r="M9" s="294"/>
      <c r="N9" s="268"/>
      <c r="O9" s="268"/>
      <c r="P9" s="268"/>
    </row>
    <row r="10" customFormat="false" ht="18.75" hidden="false" customHeight="true" outlineLevel="0" collapsed="false">
      <c r="A10" s="268"/>
      <c r="B10" s="268"/>
      <c r="C10" s="268"/>
      <c r="D10" s="295" t="s">
        <v>167</v>
      </c>
      <c r="E10" s="296" t="s">
        <v>175</v>
      </c>
      <c r="F10" s="271" t="s">
        <v>144</v>
      </c>
      <c r="G10" s="297"/>
      <c r="H10" s="268"/>
      <c r="I10" s="271" t="s">
        <v>172</v>
      </c>
      <c r="J10" s="298" t="s">
        <v>13</v>
      </c>
      <c r="K10" s="271" t="s">
        <v>174</v>
      </c>
      <c r="L10" s="299" t="n">
        <v>200</v>
      </c>
      <c r="M10" s="294"/>
      <c r="N10" s="268"/>
      <c r="O10" s="268"/>
      <c r="P10" s="268"/>
    </row>
    <row r="11" customFormat="false" ht="18.75" hidden="false" customHeight="true" outlineLevel="0" collapsed="false">
      <c r="A11" s="268"/>
      <c r="B11" s="268"/>
      <c r="C11" s="268"/>
      <c r="D11" s="295" t="s">
        <v>167</v>
      </c>
      <c r="E11" s="296" t="s">
        <v>176</v>
      </c>
      <c r="F11" s="271" t="s">
        <v>144</v>
      </c>
      <c r="G11" s="297"/>
      <c r="H11" s="268"/>
      <c r="I11" s="271" t="s">
        <v>172</v>
      </c>
      <c r="J11" s="298" t="s">
        <v>38</v>
      </c>
      <c r="K11" s="271" t="s">
        <v>174</v>
      </c>
      <c r="L11" s="299" t="n">
        <v>200</v>
      </c>
      <c r="M11" s="294"/>
      <c r="N11" s="268"/>
      <c r="O11" s="268"/>
      <c r="P11" s="268"/>
    </row>
    <row r="12" customFormat="false" ht="7.5" hidden="false" customHeight="true" outlineLevel="0" collapsed="false">
      <c r="A12" s="268"/>
      <c r="B12" s="268"/>
      <c r="C12" s="268"/>
      <c r="D12" s="300"/>
      <c r="E12" s="301"/>
      <c r="F12" s="301"/>
      <c r="G12" s="302"/>
      <c r="H12" s="303"/>
      <c r="I12" s="304"/>
      <c r="J12" s="305"/>
      <c r="K12" s="305"/>
      <c r="L12" s="305"/>
      <c r="M12" s="306"/>
      <c r="N12" s="268"/>
      <c r="O12" s="268"/>
      <c r="P12" s="268"/>
    </row>
    <row r="13" customFormat="false" ht="7.5" hidden="false" customHeight="true" outlineLevel="0" collapsed="false">
      <c r="A13" s="268"/>
      <c r="B13" s="268"/>
      <c r="C13" s="268"/>
      <c r="D13" s="307"/>
      <c r="E13" s="308"/>
      <c r="F13" s="308"/>
      <c r="G13" s="308"/>
      <c r="H13" s="308"/>
      <c r="I13" s="308"/>
      <c r="J13" s="308"/>
      <c r="K13" s="308"/>
      <c r="L13" s="308"/>
      <c r="M13" s="309"/>
      <c r="N13" s="268"/>
      <c r="O13" s="268"/>
      <c r="P13" s="268"/>
    </row>
    <row r="14" customFormat="false" ht="18.75" hidden="false" customHeight="true" outlineLevel="0" collapsed="false">
      <c r="A14" s="310"/>
      <c r="B14" s="310"/>
      <c r="C14" s="283" t="s">
        <v>172</v>
      </c>
      <c r="D14" s="284" t="s">
        <v>177</v>
      </c>
      <c r="E14" s="311" t="s">
        <v>178</v>
      </c>
      <c r="F14" s="311"/>
      <c r="G14" s="311"/>
      <c r="H14" s="311"/>
      <c r="I14" s="311"/>
      <c r="J14" s="311"/>
      <c r="K14" s="311"/>
      <c r="L14" s="311"/>
      <c r="M14" s="311"/>
      <c r="N14" s="268"/>
      <c r="O14" s="268"/>
      <c r="P14" s="268"/>
    </row>
    <row r="15" customFormat="false" ht="18.75" hidden="false" customHeight="true" outlineLevel="0" collapsed="false">
      <c r="A15" s="268"/>
      <c r="B15" s="268"/>
      <c r="C15" s="268"/>
      <c r="D15" s="312"/>
      <c r="E15" s="313"/>
      <c r="F15" s="313"/>
      <c r="G15" s="313"/>
      <c r="H15" s="313"/>
      <c r="I15" s="313"/>
      <c r="J15" s="313"/>
      <c r="K15" s="313"/>
      <c r="L15" s="313"/>
      <c r="M15" s="314"/>
      <c r="N15" s="268"/>
      <c r="O15" s="268"/>
      <c r="P15" s="268"/>
    </row>
    <row r="16" customFormat="false" ht="18.75" hidden="false" customHeight="true" outlineLevel="0" collapsed="false">
      <c r="A16" s="268"/>
      <c r="B16" s="268"/>
      <c r="C16" s="268"/>
      <c r="D16" s="315" t="s">
        <v>167</v>
      </c>
      <c r="E16" s="316" t="s">
        <v>179</v>
      </c>
      <c r="F16" s="316"/>
      <c r="G16" s="317"/>
      <c r="H16" s="313"/>
      <c r="I16" s="283" t="s">
        <v>172</v>
      </c>
      <c r="J16" s="316" t="s">
        <v>180</v>
      </c>
      <c r="K16" s="316"/>
      <c r="L16" s="316"/>
      <c r="M16" s="314"/>
      <c r="N16" s="268"/>
      <c r="O16" s="268"/>
      <c r="P16" s="268"/>
    </row>
    <row r="17" customFormat="false" ht="18.75" hidden="false" customHeight="true" outlineLevel="0" collapsed="false">
      <c r="A17" s="268"/>
      <c r="B17" s="268"/>
      <c r="C17" s="268"/>
      <c r="D17" s="312"/>
      <c r="E17" s="313"/>
      <c r="F17" s="313"/>
      <c r="G17" s="313"/>
      <c r="H17" s="313"/>
      <c r="I17" s="313"/>
      <c r="J17" s="313"/>
      <c r="K17" s="313"/>
      <c r="L17" s="313"/>
      <c r="M17" s="314"/>
      <c r="N17" s="268"/>
      <c r="O17" s="268"/>
      <c r="P17" s="268"/>
    </row>
    <row r="18" customFormat="false" ht="18.75" hidden="false" customHeight="true" outlineLevel="0" collapsed="false">
      <c r="A18" s="268"/>
      <c r="B18" s="268"/>
      <c r="C18" s="268"/>
      <c r="D18" s="312"/>
      <c r="E18" s="318" t="s">
        <v>4</v>
      </c>
      <c r="F18" s="318"/>
      <c r="G18" s="319"/>
      <c r="H18" s="313"/>
      <c r="I18" s="313"/>
      <c r="J18" s="318" t="s">
        <v>4</v>
      </c>
      <c r="K18" s="318"/>
      <c r="L18" s="318"/>
      <c r="M18" s="314"/>
      <c r="N18" s="268"/>
      <c r="O18" s="268"/>
      <c r="P18" s="268"/>
    </row>
    <row r="19" customFormat="false" ht="18.75" hidden="false" customHeight="true" outlineLevel="0" collapsed="false">
      <c r="A19" s="268"/>
      <c r="B19" s="268"/>
      <c r="C19" s="268"/>
      <c r="D19" s="312"/>
      <c r="E19" s="320" t="s">
        <v>181</v>
      </c>
      <c r="F19" s="320"/>
      <c r="G19" s="319"/>
      <c r="H19" s="313"/>
      <c r="I19" s="313"/>
      <c r="J19" s="320" t="s">
        <v>181</v>
      </c>
      <c r="K19" s="320"/>
      <c r="L19" s="320"/>
      <c r="M19" s="314"/>
      <c r="N19" s="268"/>
      <c r="O19" s="268"/>
      <c r="P19" s="268"/>
    </row>
    <row r="20" customFormat="false" ht="18.75" hidden="false" customHeight="true" outlineLevel="0" collapsed="false">
      <c r="A20" s="268"/>
      <c r="B20" s="268"/>
      <c r="C20" s="268"/>
      <c r="D20" s="312"/>
      <c r="E20" s="321" t="s">
        <v>182</v>
      </c>
      <c r="F20" s="321"/>
      <c r="G20" s="319"/>
      <c r="H20" s="313"/>
      <c r="I20" s="313"/>
      <c r="J20" s="321" t="s">
        <v>182</v>
      </c>
      <c r="K20" s="321"/>
      <c r="L20" s="321"/>
      <c r="M20" s="314"/>
      <c r="N20" s="268"/>
      <c r="O20" s="268"/>
      <c r="P20" s="268"/>
    </row>
    <row r="21" customFormat="false" ht="18.75" hidden="false" customHeight="true" outlineLevel="0" collapsed="false">
      <c r="A21" s="268"/>
      <c r="B21" s="268"/>
      <c r="C21" s="268"/>
      <c r="D21" s="312"/>
      <c r="E21" s="322" t="s">
        <v>183</v>
      </c>
      <c r="F21" s="322"/>
      <c r="G21" s="323"/>
      <c r="H21" s="313"/>
      <c r="I21" s="313"/>
      <c r="J21" s="322" t="s">
        <v>184</v>
      </c>
      <c r="K21" s="322"/>
      <c r="L21" s="322"/>
      <c r="M21" s="314"/>
      <c r="N21" s="268"/>
      <c r="O21" s="268"/>
      <c r="P21" s="268"/>
    </row>
    <row r="22" customFormat="false" ht="18.75" hidden="false" customHeight="true" outlineLevel="0" collapsed="false">
      <c r="A22" s="268"/>
      <c r="B22" s="268"/>
      <c r="C22" s="268"/>
      <c r="D22" s="312"/>
      <c r="E22" s="322"/>
      <c r="F22" s="322"/>
      <c r="G22" s="323"/>
      <c r="H22" s="313"/>
      <c r="I22" s="313"/>
      <c r="J22" s="322"/>
      <c r="K22" s="322"/>
      <c r="L22" s="322"/>
      <c r="M22" s="314"/>
      <c r="N22" s="268"/>
      <c r="O22" s="268"/>
      <c r="P22" s="268"/>
    </row>
    <row r="23" customFormat="false" ht="15.75" hidden="false" customHeight="false" outlineLevel="0" collapsed="false">
      <c r="A23" s="165"/>
      <c r="B23" s="165"/>
      <c r="C23" s="165"/>
      <c r="D23" s="324"/>
      <c r="E23" s="325"/>
      <c r="F23" s="325"/>
      <c r="G23" s="325"/>
      <c r="H23" s="325"/>
      <c r="I23" s="325"/>
      <c r="J23" s="325"/>
      <c r="K23" s="325"/>
      <c r="L23" s="325"/>
      <c r="M23" s="326"/>
      <c r="N23" s="165"/>
      <c r="O23" s="165"/>
      <c r="P23" s="165"/>
    </row>
    <row r="24" customFormat="false" ht="15.75" hidden="false" customHeight="false" outlineLevel="0" collapsed="false">
      <c r="A24" s="165"/>
      <c r="B24" s="165"/>
      <c r="C24" s="165"/>
      <c r="D24" s="327" t="s">
        <v>185</v>
      </c>
      <c r="E24" s="328" t="s">
        <v>186</v>
      </c>
      <c r="F24" s="329" t="s">
        <v>187</v>
      </c>
      <c r="G24" s="329"/>
      <c r="H24" s="329"/>
      <c r="I24" s="329"/>
      <c r="J24" s="329"/>
      <c r="K24" s="329"/>
      <c r="L24" s="329"/>
      <c r="M24" s="326"/>
      <c r="N24" s="165"/>
      <c r="O24" s="165"/>
      <c r="P24" s="165"/>
    </row>
    <row r="25" customFormat="false" ht="15.75" hidden="false" customHeight="false" outlineLevel="0" collapsed="false">
      <c r="A25" s="165"/>
      <c r="B25" s="165"/>
      <c r="C25" s="165"/>
      <c r="D25" s="324"/>
      <c r="E25" s="330" t="s">
        <v>188</v>
      </c>
      <c r="F25" s="331" t="s">
        <v>189</v>
      </c>
      <c r="G25" s="331"/>
      <c r="H25" s="331"/>
      <c r="I25" s="331"/>
      <c r="J25" s="331"/>
      <c r="K25" s="331"/>
      <c r="L25" s="332"/>
      <c r="M25" s="326"/>
      <c r="N25" s="165"/>
      <c r="O25" s="165"/>
      <c r="P25" s="165"/>
    </row>
    <row r="26" customFormat="false" ht="15.75" hidden="false" customHeight="false" outlineLevel="0" collapsed="false">
      <c r="A26" s="165"/>
      <c r="B26" s="165"/>
      <c r="C26" s="165"/>
      <c r="D26" s="324"/>
      <c r="E26" s="333" t="s">
        <v>190</v>
      </c>
      <c r="F26" s="334" t="s">
        <v>191</v>
      </c>
      <c r="G26" s="334"/>
      <c r="H26" s="334"/>
      <c r="I26" s="334"/>
      <c r="J26" s="334"/>
      <c r="K26" s="334"/>
      <c r="L26" s="334"/>
      <c r="M26" s="326"/>
      <c r="N26" s="165"/>
      <c r="O26" s="165"/>
      <c r="P26" s="165"/>
    </row>
    <row r="27" customFormat="false" ht="7.5" hidden="false" customHeight="true" outlineLevel="0" collapsed="false">
      <c r="A27" s="165"/>
      <c r="B27" s="165"/>
      <c r="C27" s="165"/>
      <c r="D27" s="335"/>
      <c r="E27" s="336"/>
      <c r="F27" s="336"/>
      <c r="G27" s="336"/>
      <c r="H27" s="336"/>
      <c r="I27" s="336"/>
      <c r="J27" s="336"/>
      <c r="K27" s="336"/>
      <c r="L27" s="336"/>
      <c r="M27" s="337"/>
      <c r="N27" s="165"/>
      <c r="O27" s="165"/>
      <c r="P27" s="165"/>
    </row>
    <row r="28" customFormat="false" ht="7.5" hidden="false" customHeight="true" outlineLevel="0" collapsed="false">
      <c r="A28" s="165"/>
      <c r="B28" s="338"/>
      <c r="C28" s="339"/>
      <c r="D28" s="339"/>
      <c r="E28" s="339"/>
      <c r="F28" s="339"/>
      <c r="G28" s="339"/>
      <c r="H28" s="339"/>
      <c r="I28" s="339"/>
      <c r="J28" s="339"/>
      <c r="K28" s="339"/>
      <c r="L28" s="339"/>
      <c r="M28" s="339"/>
      <c r="N28" s="339"/>
      <c r="O28" s="340"/>
      <c r="P28" s="165"/>
    </row>
    <row r="29" customFormat="false" ht="37.5" hidden="false" customHeight="true" outlineLevel="0" collapsed="false">
      <c r="A29" s="341"/>
      <c r="B29" s="342"/>
      <c r="C29" s="343" t="str">
        <f aca="false">"RESULTS ("&amp;COUNTA('3.0.0 Reverse Search Helper'!AC2:AC99)&amp;")"</f>
        <v>RESULTS (98)</v>
      </c>
      <c r="D29" s="343"/>
      <c r="E29" s="343"/>
      <c r="F29" s="343"/>
      <c r="G29" s="343"/>
      <c r="H29" s="343"/>
      <c r="I29" s="343"/>
      <c r="J29" s="343"/>
      <c r="K29" s="343"/>
      <c r="L29" s="343"/>
      <c r="M29" s="343"/>
      <c r="N29" s="343"/>
      <c r="O29" s="344"/>
      <c r="P29" s="341"/>
    </row>
    <row r="30" customFormat="false" ht="7.5" hidden="false" customHeight="true" outlineLevel="0" collapsed="false">
      <c r="A30" s="341"/>
      <c r="B30" s="342"/>
      <c r="C30" s="345"/>
      <c r="D30" s="345"/>
      <c r="E30" s="345"/>
      <c r="F30" s="345"/>
      <c r="G30" s="345"/>
      <c r="H30" s="345"/>
      <c r="I30" s="345"/>
      <c r="J30" s="345"/>
      <c r="K30" s="345"/>
      <c r="L30" s="345"/>
      <c r="M30" s="345"/>
      <c r="N30" s="345"/>
      <c r="O30" s="344"/>
      <c r="P30" s="341"/>
    </row>
    <row r="31" customFormat="false" ht="15.75" hidden="false" customHeight="false" outlineLevel="0" collapsed="false">
      <c r="A31" s="165"/>
      <c r="B31" s="346"/>
      <c r="C31" s="347" t="str">
        <f aca="false">IFERROR(__xludf.dummyfunction("IF(ISNA(FILTER('3.0.0 Reverse Search Helper'!$AC$2:$AC99,NOT(ISBLANK('3.0.0 Reverse Search Helper'!$AC$2:$AC99)))),""No matches found"",LEFT('3.0.0 Reverse Search Helper'!A2,(LEN('3.0.0 Reverse Search Helper'!A2)-2)))"),"Fearow, Rapidash, Dunsparce")</f>
        <v>Fearow, Rapidash, Dunsparce</v>
      </c>
      <c r="D31" s="347"/>
      <c r="E31" s="347"/>
      <c r="F31" s="347"/>
      <c r="G31" s="347"/>
      <c r="H31" s="347"/>
      <c r="I31" s="347"/>
      <c r="J31" s="347"/>
      <c r="K31" s="347"/>
      <c r="L31" s="347"/>
      <c r="M31" s="347"/>
      <c r="N31" s="347"/>
      <c r="O31" s="348"/>
      <c r="P31" s="165"/>
    </row>
    <row r="32" customFormat="false" ht="15.75" hidden="false" customHeight="false" outlineLevel="0" collapsed="false">
      <c r="A32" s="165"/>
      <c r="B32" s="346"/>
      <c r="C32" s="347"/>
      <c r="D32" s="347"/>
      <c r="E32" s="347"/>
      <c r="F32" s="347"/>
      <c r="G32" s="347"/>
      <c r="H32" s="347"/>
      <c r="I32" s="347"/>
      <c r="J32" s="347"/>
      <c r="K32" s="347"/>
      <c r="L32" s="347"/>
      <c r="M32" s="347"/>
      <c r="N32" s="347"/>
      <c r="O32" s="348"/>
      <c r="P32" s="165"/>
    </row>
    <row r="33" customFormat="false" ht="15.75" hidden="false" customHeight="false" outlineLevel="0" collapsed="false">
      <c r="A33" s="165"/>
      <c r="B33" s="346"/>
      <c r="C33" s="347"/>
      <c r="D33" s="347"/>
      <c r="E33" s="347"/>
      <c r="F33" s="347"/>
      <c r="G33" s="347"/>
      <c r="H33" s="347"/>
      <c r="I33" s="347"/>
      <c r="J33" s="347"/>
      <c r="K33" s="347"/>
      <c r="L33" s="347"/>
      <c r="M33" s="347"/>
      <c r="N33" s="347"/>
      <c r="O33" s="348"/>
      <c r="P33" s="165"/>
    </row>
    <row r="34" customFormat="false" ht="15.75" hidden="false" customHeight="false" outlineLevel="0" collapsed="false">
      <c r="A34" s="165"/>
      <c r="B34" s="346"/>
      <c r="C34" s="347"/>
      <c r="D34" s="347"/>
      <c r="E34" s="347"/>
      <c r="F34" s="347"/>
      <c r="G34" s="347"/>
      <c r="H34" s="347"/>
      <c r="I34" s="347"/>
      <c r="J34" s="347"/>
      <c r="K34" s="347"/>
      <c r="L34" s="347"/>
      <c r="M34" s="347"/>
      <c r="N34" s="347"/>
      <c r="O34" s="348"/>
      <c r="P34" s="164"/>
    </row>
    <row r="35" customFormat="false" ht="15.75" hidden="false" customHeight="false" outlineLevel="0" collapsed="false">
      <c r="A35" s="165"/>
      <c r="B35" s="346"/>
      <c r="C35" s="347"/>
      <c r="D35" s="347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8"/>
      <c r="P35" s="165"/>
    </row>
    <row r="36" customFormat="false" ht="15.75" hidden="false" customHeight="false" outlineLevel="0" collapsed="false">
      <c r="A36" s="165"/>
      <c r="B36" s="346"/>
      <c r="C36" s="347"/>
      <c r="D36" s="347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8"/>
      <c r="P36" s="165"/>
    </row>
    <row r="37" customFormat="false" ht="15.75" hidden="false" customHeight="false" outlineLevel="0" collapsed="false">
      <c r="A37" s="165"/>
      <c r="B37" s="346"/>
      <c r="C37" s="347"/>
      <c r="D37" s="347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8"/>
      <c r="P37" s="165"/>
    </row>
    <row r="38" customFormat="false" ht="15.75" hidden="false" customHeight="false" outlineLevel="0" collapsed="false">
      <c r="A38" s="165"/>
      <c r="B38" s="346"/>
      <c r="C38" s="347"/>
      <c r="D38" s="347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8"/>
      <c r="P38" s="165"/>
    </row>
    <row r="39" customFormat="false" ht="15.75" hidden="false" customHeight="false" outlineLevel="0" collapsed="false">
      <c r="A39" s="165"/>
      <c r="B39" s="346"/>
      <c r="C39" s="347"/>
      <c r="D39" s="347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8"/>
      <c r="P39" s="165"/>
    </row>
    <row r="40" customFormat="false" ht="15.75" hidden="false" customHeight="false" outlineLevel="0" collapsed="false">
      <c r="A40" s="165"/>
      <c r="B40" s="346"/>
      <c r="C40" s="347"/>
      <c r="D40" s="347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8"/>
      <c r="P40" s="165"/>
    </row>
    <row r="41" customFormat="false" ht="15.75" hidden="false" customHeight="false" outlineLevel="0" collapsed="false">
      <c r="A41" s="165"/>
      <c r="B41" s="346"/>
      <c r="C41" s="347"/>
      <c r="D41" s="347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8"/>
      <c r="P41" s="165"/>
    </row>
    <row r="42" customFormat="false" ht="15.75" hidden="false" customHeight="false" outlineLevel="0" collapsed="false">
      <c r="A42" s="165"/>
      <c r="B42" s="346"/>
      <c r="C42" s="347"/>
      <c r="D42" s="347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8"/>
      <c r="P42" s="165"/>
    </row>
    <row r="43" customFormat="false" ht="15.75" hidden="false" customHeight="false" outlineLevel="0" collapsed="false">
      <c r="A43" s="165"/>
      <c r="B43" s="346"/>
      <c r="C43" s="347"/>
      <c r="D43" s="347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8"/>
      <c r="P43" s="165"/>
    </row>
    <row r="44" customFormat="false" ht="15.75" hidden="false" customHeight="false" outlineLevel="0" collapsed="false">
      <c r="A44" s="165"/>
      <c r="B44" s="346"/>
      <c r="C44" s="347"/>
      <c r="D44" s="347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8"/>
      <c r="P44" s="165"/>
    </row>
    <row r="45" customFormat="false" ht="15.75" hidden="false" customHeight="false" outlineLevel="0" collapsed="false">
      <c r="A45" s="165"/>
      <c r="B45" s="346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8"/>
      <c r="P45" s="165"/>
    </row>
    <row r="46" customFormat="false" ht="15.75" hidden="false" customHeight="false" outlineLevel="0" collapsed="false">
      <c r="A46" s="165"/>
      <c r="B46" s="346"/>
      <c r="C46" s="347"/>
      <c r="D46" s="347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8"/>
      <c r="P46" s="165"/>
    </row>
    <row r="47" customFormat="false" ht="15.75" hidden="false" customHeight="false" outlineLevel="0" collapsed="false">
      <c r="A47" s="165"/>
      <c r="B47" s="346"/>
      <c r="C47" s="347"/>
      <c r="D47" s="347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8"/>
      <c r="P47" s="165"/>
    </row>
    <row r="48" customFormat="false" ht="15.75" hidden="false" customHeight="false" outlineLevel="0" collapsed="false">
      <c r="A48" s="165"/>
      <c r="B48" s="346"/>
      <c r="C48" s="347"/>
      <c r="D48" s="347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8"/>
      <c r="P48" s="165"/>
    </row>
    <row r="49" customFormat="false" ht="15.75" hidden="false" customHeight="false" outlineLevel="0" collapsed="false">
      <c r="A49" s="165"/>
      <c r="B49" s="346"/>
      <c r="C49" s="347"/>
      <c r="D49" s="347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8"/>
      <c r="P49" s="165"/>
    </row>
    <row r="50" customFormat="false" ht="15.75" hidden="false" customHeight="false" outlineLevel="0" collapsed="false">
      <c r="A50" s="165"/>
      <c r="B50" s="346"/>
      <c r="C50" s="347"/>
      <c r="D50" s="347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8"/>
      <c r="P50" s="165"/>
    </row>
    <row r="51" customFormat="false" ht="15.75" hidden="false" customHeight="false" outlineLevel="0" collapsed="false">
      <c r="A51" s="165"/>
      <c r="B51" s="346"/>
      <c r="C51" s="347"/>
      <c r="D51" s="347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8"/>
      <c r="P51" s="165"/>
    </row>
    <row r="52" customFormat="false" ht="15.75" hidden="false" customHeight="false" outlineLevel="0" collapsed="false">
      <c r="A52" s="165"/>
      <c r="B52" s="346"/>
      <c r="C52" s="347"/>
      <c r="D52" s="347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8"/>
      <c r="P52" s="165"/>
    </row>
    <row r="53" customFormat="false" ht="15.75" hidden="false" customHeight="false" outlineLevel="0" collapsed="false">
      <c r="A53" s="165"/>
      <c r="B53" s="346"/>
      <c r="C53" s="347"/>
      <c r="D53" s="347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8"/>
      <c r="P53" s="165"/>
    </row>
    <row r="54" customFormat="false" ht="15.75" hidden="false" customHeight="false" outlineLevel="0" collapsed="false">
      <c r="A54" s="165"/>
      <c r="B54" s="346"/>
      <c r="C54" s="347"/>
      <c r="D54" s="347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8"/>
      <c r="P54" s="165"/>
    </row>
    <row r="55" customFormat="false" ht="15.75" hidden="false" customHeight="false" outlineLevel="0" collapsed="false">
      <c r="A55" s="165"/>
      <c r="B55" s="346"/>
      <c r="C55" s="347"/>
      <c r="D55" s="347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8"/>
      <c r="P55" s="165"/>
    </row>
    <row r="56" customFormat="false" ht="15.75" hidden="false" customHeight="false" outlineLevel="0" collapsed="false">
      <c r="A56" s="165"/>
      <c r="B56" s="346"/>
      <c r="C56" s="347"/>
      <c r="D56" s="347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8"/>
      <c r="P56" s="165"/>
    </row>
    <row r="57" customFormat="false" ht="15.75" hidden="false" customHeight="false" outlineLevel="0" collapsed="false">
      <c r="A57" s="165"/>
      <c r="B57" s="346"/>
      <c r="C57" s="347"/>
      <c r="D57" s="347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8"/>
      <c r="P57" s="165"/>
    </row>
    <row r="58" customFormat="false" ht="15.75" hidden="false" customHeight="false" outlineLevel="0" collapsed="false">
      <c r="A58" s="165"/>
      <c r="B58" s="346"/>
      <c r="C58" s="347"/>
      <c r="D58" s="347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8"/>
      <c r="P58" s="165"/>
    </row>
    <row r="59" customFormat="false" ht="15.75" hidden="false" customHeight="false" outlineLevel="0" collapsed="false">
      <c r="A59" s="165"/>
      <c r="B59" s="346"/>
      <c r="C59" s="347"/>
      <c r="D59" s="347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8"/>
      <c r="P59" s="165"/>
    </row>
    <row r="60" customFormat="false" ht="15.75" hidden="false" customHeight="false" outlineLevel="0" collapsed="false">
      <c r="A60" s="165"/>
      <c r="B60" s="346"/>
      <c r="C60" s="347"/>
      <c r="D60" s="347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8"/>
      <c r="P60" s="165"/>
    </row>
    <row r="61" customFormat="false" ht="15.75" hidden="false" customHeight="false" outlineLevel="0" collapsed="false">
      <c r="A61" s="165"/>
      <c r="B61" s="346"/>
      <c r="C61" s="347"/>
      <c r="D61" s="347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8"/>
      <c r="P61" s="165"/>
    </row>
    <row r="62" customFormat="false" ht="15.75" hidden="false" customHeight="false" outlineLevel="0" collapsed="false">
      <c r="A62" s="165"/>
      <c r="B62" s="346"/>
      <c r="C62" s="347"/>
      <c r="D62" s="347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8"/>
      <c r="P62" s="165"/>
    </row>
    <row r="63" customFormat="false" ht="15.75" hidden="false" customHeight="false" outlineLevel="0" collapsed="false">
      <c r="A63" s="165"/>
      <c r="B63" s="346"/>
      <c r="C63" s="347"/>
      <c r="D63" s="347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8"/>
      <c r="P63" s="165"/>
    </row>
    <row r="64" customFormat="false" ht="15.75" hidden="false" customHeight="false" outlineLevel="0" collapsed="false">
      <c r="A64" s="165"/>
      <c r="B64" s="346"/>
      <c r="C64" s="347"/>
      <c r="D64" s="347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8"/>
      <c r="P64" s="165"/>
    </row>
    <row r="65" customFormat="false" ht="15.75" hidden="false" customHeight="false" outlineLevel="0" collapsed="false">
      <c r="A65" s="165"/>
      <c r="B65" s="346"/>
      <c r="C65" s="347"/>
      <c r="D65" s="347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8"/>
      <c r="P65" s="165"/>
    </row>
    <row r="66" customFormat="false" ht="15.75" hidden="false" customHeight="false" outlineLevel="0" collapsed="false">
      <c r="A66" s="165"/>
      <c r="B66" s="346"/>
      <c r="C66" s="347"/>
      <c r="D66" s="347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8"/>
      <c r="P66" s="165"/>
    </row>
    <row r="67" customFormat="false" ht="15.75" hidden="false" customHeight="false" outlineLevel="0" collapsed="false">
      <c r="A67" s="165"/>
      <c r="B67" s="346"/>
      <c r="C67" s="347"/>
      <c r="D67" s="347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8"/>
      <c r="P67" s="165"/>
    </row>
    <row r="68" customFormat="false" ht="15.75" hidden="false" customHeight="false" outlineLevel="0" collapsed="false">
      <c r="A68" s="165"/>
      <c r="B68" s="346"/>
      <c r="C68" s="347"/>
      <c r="D68" s="347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8"/>
      <c r="P68" s="165"/>
    </row>
    <row r="69" customFormat="false" ht="15.75" hidden="false" customHeight="false" outlineLevel="0" collapsed="false">
      <c r="A69" s="165"/>
      <c r="B69" s="346"/>
      <c r="C69" s="347"/>
      <c r="D69" s="347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8"/>
      <c r="P69" s="165"/>
    </row>
    <row r="70" customFormat="false" ht="15.75" hidden="false" customHeight="false" outlineLevel="0" collapsed="false">
      <c r="A70" s="165"/>
      <c r="B70" s="346"/>
      <c r="C70" s="347"/>
      <c r="D70" s="347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8"/>
      <c r="P70" s="165"/>
    </row>
    <row r="71" customFormat="false" ht="15.75" hidden="false" customHeight="false" outlineLevel="0" collapsed="false">
      <c r="A71" s="165"/>
      <c r="B71" s="346"/>
      <c r="C71" s="347"/>
      <c r="D71" s="347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8"/>
      <c r="P71" s="165"/>
    </row>
    <row r="72" customFormat="false" ht="15.75" hidden="false" customHeight="false" outlineLevel="0" collapsed="false">
      <c r="A72" s="165"/>
      <c r="B72" s="346"/>
      <c r="C72" s="347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8"/>
      <c r="P72" s="165"/>
    </row>
    <row r="73" customFormat="false" ht="15.75" hidden="false" customHeight="false" outlineLevel="0" collapsed="false">
      <c r="A73" s="165"/>
      <c r="B73" s="346"/>
      <c r="C73" s="347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8"/>
      <c r="P73" s="165"/>
    </row>
    <row r="74" customFormat="false" ht="15.75" hidden="false" customHeight="false" outlineLevel="0" collapsed="false">
      <c r="A74" s="165"/>
      <c r="B74" s="346"/>
      <c r="C74" s="347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8"/>
      <c r="P74" s="165"/>
    </row>
    <row r="75" customFormat="false" ht="15.75" hidden="false" customHeight="false" outlineLevel="0" collapsed="false">
      <c r="A75" s="165"/>
      <c r="B75" s="346"/>
      <c r="C75" s="347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8"/>
      <c r="P75" s="165"/>
    </row>
    <row r="76" customFormat="false" ht="15.75" hidden="false" customHeight="false" outlineLevel="0" collapsed="false">
      <c r="A76" s="165"/>
      <c r="B76" s="346"/>
      <c r="C76" s="347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8"/>
      <c r="P76" s="165"/>
    </row>
    <row r="77" customFormat="false" ht="15.75" hidden="false" customHeight="false" outlineLevel="0" collapsed="false">
      <c r="A77" s="165"/>
      <c r="B77" s="346"/>
      <c r="C77" s="347"/>
      <c r="D77" s="347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8"/>
      <c r="P77" s="165"/>
    </row>
    <row r="78" customFormat="false" ht="15.75" hidden="false" customHeight="false" outlineLevel="0" collapsed="false">
      <c r="A78" s="165"/>
      <c r="B78" s="346"/>
      <c r="C78" s="347"/>
      <c r="D78" s="347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8"/>
      <c r="P78" s="165"/>
    </row>
    <row r="79" customFormat="false" ht="15.75" hidden="false" customHeight="false" outlineLevel="0" collapsed="false">
      <c r="A79" s="165"/>
      <c r="B79" s="346"/>
      <c r="C79" s="347"/>
      <c r="D79" s="347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8"/>
      <c r="P79" s="165"/>
    </row>
    <row r="80" customFormat="false" ht="15.75" hidden="false" customHeight="false" outlineLevel="0" collapsed="false">
      <c r="A80" s="165"/>
      <c r="B80" s="346"/>
      <c r="C80" s="347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8"/>
      <c r="P80" s="165"/>
    </row>
    <row r="81" customFormat="false" ht="15.75" hidden="false" customHeight="false" outlineLevel="0" collapsed="false">
      <c r="A81" s="165"/>
      <c r="B81" s="346"/>
      <c r="C81" s="347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8"/>
      <c r="P81" s="165"/>
    </row>
    <row r="82" customFormat="false" ht="15.75" hidden="false" customHeight="false" outlineLevel="0" collapsed="false">
      <c r="A82" s="165"/>
      <c r="B82" s="346"/>
      <c r="C82" s="347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8"/>
      <c r="P82" s="165"/>
    </row>
    <row r="83" customFormat="false" ht="15.75" hidden="false" customHeight="false" outlineLevel="0" collapsed="false">
      <c r="A83" s="165"/>
      <c r="B83" s="346"/>
      <c r="C83" s="347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8"/>
      <c r="P83" s="165"/>
    </row>
    <row r="84" customFormat="false" ht="15.75" hidden="false" customHeight="false" outlineLevel="0" collapsed="false">
      <c r="A84" s="165"/>
      <c r="B84" s="346"/>
      <c r="C84" s="347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8"/>
      <c r="P84" s="165"/>
    </row>
    <row r="85" customFormat="false" ht="15.75" hidden="false" customHeight="false" outlineLevel="0" collapsed="false">
      <c r="A85" s="165"/>
      <c r="B85" s="346"/>
      <c r="C85" s="347"/>
      <c r="D85" s="347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8"/>
      <c r="P85" s="165"/>
    </row>
    <row r="86" customFormat="false" ht="15.75" hidden="false" customHeight="false" outlineLevel="0" collapsed="false">
      <c r="A86" s="165"/>
      <c r="B86" s="346"/>
      <c r="C86" s="347"/>
      <c r="D86" s="347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8"/>
      <c r="P86" s="165"/>
    </row>
    <row r="87" customFormat="false" ht="15.75" hidden="false" customHeight="false" outlineLevel="0" collapsed="false">
      <c r="A87" s="165"/>
      <c r="B87" s="346"/>
      <c r="C87" s="347"/>
      <c r="D87" s="347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8"/>
      <c r="P87" s="165"/>
    </row>
    <row r="88" customFormat="false" ht="15.75" hidden="false" customHeight="false" outlineLevel="0" collapsed="false">
      <c r="A88" s="165"/>
      <c r="B88" s="346"/>
      <c r="C88" s="347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8"/>
      <c r="P88" s="165"/>
    </row>
    <row r="89" customFormat="false" ht="15.75" hidden="false" customHeight="false" outlineLevel="0" collapsed="false">
      <c r="A89" s="165"/>
      <c r="B89" s="346"/>
      <c r="C89" s="347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8"/>
      <c r="P89" s="165"/>
    </row>
    <row r="90" customFormat="false" ht="15.75" hidden="false" customHeight="false" outlineLevel="0" collapsed="false">
      <c r="A90" s="165"/>
      <c r="B90" s="346"/>
      <c r="C90" s="347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8"/>
      <c r="P90" s="165"/>
    </row>
    <row r="91" customFormat="false" ht="15.75" hidden="false" customHeight="false" outlineLevel="0" collapsed="false">
      <c r="A91" s="165"/>
      <c r="B91" s="346"/>
      <c r="C91" s="347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8"/>
      <c r="P91" s="165"/>
    </row>
    <row r="92" customFormat="false" ht="15.75" hidden="false" customHeight="false" outlineLevel="0" collapsed="false">
      <c r="A92" s="165"/>
      <c r="B92" s="346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8"/>
      <c r="P92" s="165"/>
    </row>
    <row r="93" customFormat="false" ht="15.75" hidden="false" customHeight="false" outlineLevel="0" collapsed="false">
      <c r="A93" s="165"/>
      <c r="B93" s="346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8"/>
      <c r="P93" s="165"/>
    </row>
    <row r="94" customFormat="false" ht="15.75" hidden="false" customHeight="false" outlineLevel="0" collapsed="false">
      <c r="A94" s="165"/>
      <c r="B94" s="346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8"/>
      <c r="P94" s="165"/>
    </row>
    <row r="95" customFormat="false" ht="15.75" hidden="false" customHeight="false" outlineLevel="0" collapsed="false">
      <c r="A95" s="165"/>
      <c r="B95" s="346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8"/>
      <c r="P95" s="165"/>
    </row>
    <row r="96" customFormat="false" ht="15.75" hidden="false" customHeight="false" outlineLevel="0" collapsed="false">
      <c r="A96" s="165"/>
      <c r="B96" s="346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8"/>
      <c r="P96" s="165"/>
    </row>
    <row r="97" customFormat="false" ht="15.75" hidden="false" customHeight="false" outlineLevel="0" collapsed="false">
      <c r="A97" s="165"/>
      <c r="B97" s="349"/>
      <c r="C97" s="350"/>
      <c r="D97" s="350"/>
      <c r="E97" s="350"/>
      <c r="F97" s="350"/>
      <c r="G97" s="350"/>
      <c r="H97" s="350"/>
      <c r="I97" s="350"/>
      <c r="J97" s="350"/>
      <c r="K97" s="350"/>
      <c r="L97" s="350"/>
      <c r="M97" s="350"/>
      <c r="N97" s="350"/>
      <c r="O97" s="351"/>
      <c r="P97" s="165"/>
    </row>
    <row r="98" customFormat="false" ht="15.75" hidden="false" customHeight="false" outlineLevel="0" collapsed="false">
      <c r="A98" s="165"/>
      <c r="B98" s="165"/>
      <c r="C98" s="165"/>
      <c r="D98" s="165"/>
      <c r="E98" s="165"/>
      <c r="F98" s="165"/>
      <c r="G98" s="165"/>
      <c r="H98" s="165"/>
      <c r="I98" s="165"/>
      <c r="J98" s="165"/>
      <c r="K98" s="165"/>
      <c r="L98" s="165"/>
      <c r="M98" s="165"/>
      <c r="N98" s="165"/>
      <c r="O98" s="165"/>
      <c r="P98" s="165"/>
    </row>
    <row r="99" customFormat="false" ht="15.75" hidden="false" customHeight="false" outlineLevel="0" collapsed="false">
      <c r="A99" s="165"/>
      <c r="B99" s="165"/>
      <c r="C99" s="165"/>
      <c r="D99" s="165"/>
      <c r="E99" s="165"/>
      <c r="F99" s="165"/>
      <c r="G99" s="165"/>
      <c r="H99" s="165"/>
      <c r="I99" s="165"/>
      <c r="J99" s="165"/>
      <c r="K99" s="165"/>
      <c r="L99" s="165"/>
      <c r="M99" s="165"/>
      <c r="N99" s="165"/>
      <c r="O99" s="165"/>
      <c r="P99" s="165"/>
    </row>
  </sheetData>
  <mergeCells count="21">
    <mergeCell ref="E2:M2"/>
    <mergeCell ref="F4:J4"/>
    <mergeCell ref="E7:G7"/>
    <mergeCell ref="I7:K7"/>
    <mergeCell ref="L7:M7"/>
    <mergeCell ref="E14:M14"/>
    <mergeCell ref="E16:F16"/>
    <mergeCell ref="J16:L16"/>
    <mergeCell ref="E18:F18"/>
    <mergeCell ref="J18:L18"/>
    <mergeCell ref="E19:F19"/>
    <mergeCell ref="J19:L19"/>
    <mergeCell ref="E20:F20"/>
    <mergeCell ref="J20:L20"/>
    <mergeCell ref="E21:F22"/>
    <mergeCell ref="J21:L22"/>
    <mergeCell ref="F24:L24"/>
    <mergeCell ref="F25:K25"/>
    <mergeCell ref="F26:L26"/>
    <mergeCell ref="C29:N29"/>
    <mergeCell ref="C31:N96"/>
  </mergeCells>
  <conditionalFormatting sqref="D9:D11 F9:F11">
    <cfRule type="expression" priority="2" aboveAverage="0" equalAverage="0" bottom="0" percent="0" rank="0" text="" dxfId="0">
      <formula>$C$7="Disable"</formula>
    </cfRule>
  </conditionalFormatting>
  <conditionalFormatting sqref="F9">
    <cfRule type="expression" priority="3" aboveAverage="0" equalAverage="0" bottom="0" percent="0" rank="0" text="" dxfId="0">
      <formula>$D$9="Disable"</formula>
    </cfRule>
  </conditionalFormatting>
  <conditionalFormatting sqref="F10">
    <cfRule type="expression" priority="4" aboveAverage="0" equalAverage="0" bottom="0" percent="0" rank="0" text="" dxfId="0">
      <formula>$D$10="Disable"</formula>
    </cfRule>
  </conditionalFormatting>
  <conditionalFormatting sqref="F11">
    <cfRule type="expression" priority="5" aboveAverage="0" equalAverage="0" bottom="0" percent="0" rank="0" text="" dxfId="0">
      <formula>$D$11="Disable"</formula>
    </cfRule>
  </conditionalFormatting>
  <conditionalFormatting sqref="I9:I11 K9:L11">
    <cfRule type="expression" priority="6" aboveAverage="0" equalAverage="0" bottom="0" percent="0" rank="0" text="" dxfId="0">
      <formula>$N$7="Disable"</formula>
    </cfRule>
  </conditionalFormatting>
  <conditionalFormatting sqref="K9:L9">
    <cfRule type="expression" priority="7" aboveAverage="0" equalAverage="0" bottom="0" percent="0" rank="0" text="" dxfId="0">
      <formula>$I$9="Disable"</formula>
    </cfRule>
  </conditionalFormatting>
  <conditionalFormatting sqref="K10:L10">
    <cfRule type="expression" priority="8" aboveAverage="0" equalAverage="0" bottom="0" percent="0" rank="0" text="" dxfId="0">
      <formula>$I$10="Disable"</formula>
    </cfRule>
  </conditionalFormatting>
  <conditionalFormatting sqref="K11:L11">
    <cfRule type="expression" priority="9" aboveAverage="0" equalAverage="0" bottom="0" percent="0" rank="0" text="" dxfId="0">
      <formula>$I$11="Disable"</formula>
    </cfRule>
  </conditionalFormatting>
  <conditionalFormatting sqref="D16 I16">
    <cfRule type="expression" priority="10" aboveAverage="0" equalAverage="0" bottom="0" percent="0" rank="0" text="" dxfId="0">
      <formula>$C$14="Disable"</formula>
    </cfRule>
  </conditionalFormatting>
  <conditionalFormatting sqref="E18:F22 J18:L22">
    <cfRule type="expression" priority="11" aboveAverage="0" equalAverage="0" bottom="0" percent="0" rank="0" text="" dxfId="1">
      <formula>$C$14="Disable"</formula>
    </cfRule>
  </conditionalFormatting>
  <conditionalFormatting sqref="E18:F22">
    <cfRule type="expression" priority="12" aboveAverage="0" equalAverage="0" bottom="0" percent="0" rank="0" text="" dxfId="1">
      <formula>$D$16="Disable"</formula>
    </cfRule>
  </conditionalFormatting>
  <conditionalFormatting sqref="J18:L22">
    <cfRule type="expression" priority="13" aboveAverage="0" equalAverage="0" bottom="0" percent="0" rank="0" text="" dxfId="1">
      <formula>$I$16="Disable"</formula>
    </cfRule>
  </conditionalFormatting>
  <dataValidations count="11">
    <dataValidation allowBlank="true" operator="between" showDropDown="false" showErrorMessage="true" showInputMessage="false" sqref="E11" type="list">
      <formula1>"Resists:,Neutral to:"</formula1>
      <formula2>0</formula2>
    </dataValidation>
    <dataValidation allowBlank="true" operator="between" showDropDown="false" showErrorMessage="true" showInputMessage="false" sqref="C7 N7 D9:D11 I9:I11 C14 D16 I16" type="list">
      <formula1>"Enable,Disable"</formula1>
      <formula2>0</formula2>
    </dataValidation>
    <dataValidation allowBlank="true" operator="between" prompt="Enter a number between 0 and 402" showDropDown="true" showErrorMessage="true" showInputMessage="true" sqref="L10" type="decimal">
      <formula1>0</formula1>
      <formula2>402</formula2>
    </dataValidation>
    <dataValidation allowBlank="true" operator="between" showDropDown="false" showErrorMessage="true" showInputMessage="false" sqref="E21" type="list">
      <formula1>'3.0.0 Reverse Search Helper'!$C$3:$C$951</formula1>
      <formula2>0</formula2>
    </dataValidation>
    <dataValidation allowBlank="true" operator="between" showDropDown="false" showErrorMessage="true" showInputMessage="false" sqref="F4" type="list">
      <formula1>"Base forms only [default],Base Pokémon and permanent formes only,All (including temporary formes)"</formula1>
      <formula2>0</formula2>
    </dataValidation>
    <dataValidation allowBlank="true" operator="between" showDropDown="false" showErrorMessage="true" showInputMessage="false" sqref="J21" type="list">
      <formula1>'3.0.0 Reverse Search Helper'!$D$3:$D$951</formula1>
      <formula2>0</formula2>
    </dataValidation>
    <dataValidation allowBlank="true" operator="between" prompt="Enter a number between 0 and 414" showDropDown="true" showErrorMessage="true" showInputMessage="true" sqref="L9" type="decimal">
      <formula1>0</formula1>
      <formula2>414</formula2>
    </dataValidation>
    <dataValidation allowBlank="true" operator="between" prompt="Enter a number between 0 and 510" showDropDown="true" showErrorMessage="true" showInputMessage="true" sqref="L11" type="decimal">
      <formula1>0</formula1>
      <formula2>510</formula2>
    </dataValidation>
    <dataValidation allowBlank="true" operator="between" showDropDown="false" showErrorMessage="true" showInputMessage="false" sqref="E19 J19" type="list">
      <formula1>"can,could,might be able to"</formula1>
      <formula2>0</formula2>
    </dataValidation>
    <dataValidation allowBlank="true" operator="between" showDropDown="false" showErrorMessage="true" showInputMessage="false" sqref="F9:F11" type="list">
      <formula1>'0.3.1 Type Table'!$A$2:$A$19</formula1>
      <formula2>0</formula2>
    </dataValidation>
    <dataValidation allowBlank="true" operator="between" showDropDown="false" showErrorMessage="true" showInputMessage="false" sqref="K9:K11" type="list">
      <formula1>"≥,≤,＝"</formula1>
      <formula2>0</formula2>
    </dataValidation>
  </dataValidation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H9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152" activePane="bottomLeft" state="frozen"/>
      <selection pane="topLeft" activeCell="A1" activeCellId="0" sqref="A1"/>
      <selection pane="bottomLeft" activeCell="C164" activeCellId="0" sqref="C164"/>
    </sheetView>
  </sheetViews>
  <sheetFormatPr defaultRowHeight="15.75" zeroHeight="false" outlineLevelRow="0" outlineLevelCol="0"/>
  <cols>
    <col collapsed="false" customWidth="true" hidden="false" outlineLevel="0" max="2" min="1" style="0" width="3.98"/>
    <col collapsed="false" customWidth="true" hidden="false" outlineLevel="0" max="5" min="3" style="0" width="14.43"/>
    <col collapsed="false" customWidth="true" hidden="false" outlineLevel="0" max="6" min="6" style="0" width="12.71"/>
    <col collapsed="false" customWidth="true" hidden="false" outlineLevel="0" max="7" min="7" style="0" width="14.43"/>
    <col collapsed="false" customWidth="true" hidden="false" outlineLevel="0" max="9" min="8" style="0" width="8.86"/>
    <col collapsed="false" customWidth="true" hidden="false" outlineLevel="0" max="10" min="10" style="0" width="7.29"/>
    <col collapsed="false" customWidth="true" hidden="false" outlineLevel="0" max="18" min="11" style="0" width="14.43"/>
    <col collapsed="false" customWidth="true" hidden="false" outlineLevel="0" max="19" min="19" style="0" width="5.29"/>
    <col collapsed="false" customWidth="true" hidden="false" outlineLevel="0" max="22" min="20" style="0" width="14.43"/>
    <col collapsed="false" customWidth="true" hidden="false" outlineLevel="0" max="23" min="23" style="0" width="6.71"/>
    <col collapsed="false" customWidth="true" hidden="false" outlineLevel="0" max="26" min="24" style="0" width="14.43"/>
    <col collapsed="false" customWidth="true" hidden="false" outlineLevel="0" max="29" min="27" style="0" width="9.59"/>
    <col collapsed="false" customWidth="true" hidden="false" outlineLevel="0" max="1025" min="30" style="0" width="14.43"/>
  </cols>
  <sheetData>
    <row r="1" customFormat="false" ht="15.75" hidden="false" customHeight="false" outlineLevel="0" collapsed="false">
      <c r="A1" s="352" t="s">
        <v>192</v>
      </c>
      <c r="B1" s="352"/>
      <c r="C1" s="353" t="s">
        <v>193</v>
      </c>
      <c r="D1" s="353"/>
      <c r="E1" s="353"/>
      <c r="F1" s="353" t="s">
        <v>194</v>
      </c>
      <c r="G1" s="354"/>
      <c r="H1" s="354"/>
      <c r="I1" s="354"/>
      <c r="J1" s="355"/>
      <c r="K1" s="352" t="s">
        <v>195</v>
      </c>
      <c r="L1" s="352"/>
      <c r="M1" s="352"/>
      <c r="N1" s="352"/>
      <c r="O1" s="352"/>
      <c r="P1" s="352"/>
      <c r="Q1" s="352" t="s">
        <v>196</v>
      </c>
      <c r="R1" s="352"/>
      <c r="S1" s="352" t="s">
        <v>197</v>
      </c>
      <c r="T1" s="352"/>
      <c r="U1" s="352"/>
      <c r="V1" s="352"/>
      <c r="W1" s="352" t="s">
        <v>198</v>
      </c>
      <c r="X1" s="352"/>
      <c r="Y1" s="352"/>
      <c r="Z1" s="352"/>
      <c r="AA1" s="352"/>
      <c r="AB1" s="352"/>
      <c r="AC1" s="352"/>
      <c r="AD1" s="352"/>
      <c r="AE1" s="352"/>
      <c r="AF1" s="356" t="s">
        <v>199</v>
      </c>
      <c r="AG1" s="356"/>
      <c r="AH1" s="356"/>
    </row>
    <row r="2" customFormat="false" ht="15.75" hidden="false" customHeight="false" outlineLevel="0" collapsed="false">
      <c r="A2" s="261" t="s">
        <v>200</v>
      </c>
      <c r="B2" s="261" t="s">
        <v>201</v>
      </c>
      <c r="C2" s="357" t="s">
        <v>193</v>
      </c>
      <c r="D2" s="357" t="s">
        <v>202</v>
      </c>
      <c r="E2" s="358" t="s">
        <v>203</v>
      </c>
      <c r="F2" s="357" t="s">
        <v>10</v>
      </c>
      <c r="G2" s="357" t="s">
        <v>8</v>
      </c>
      <c r="H2" s="357" t="s">
        <v>204</v>
      </c>
      <c r="I2" s="357" t="s">
        <v>205</v>
      </c>
      <c r="J2" s="261" t="s">
        <v>206</v>
      </c>
      <c r="K2" s="357" t="s">
        <v>207</v>
      </c>
      <c r="L2" s="357" t="s">
        <v>208</v>
      </c>
      <c r="M2" s="357" t="s">
        <v>209</v>
      </c>
      <c r="N2" s="357" t="s">
        <v>210</v>
      </c>
      <c r="O2" s="357" t="s">
        <v>211</v>
      </c>
      <c r="P2" s="357" t="s">
        <v>212</v>
      </c>
      <c r="Q2" s="359" t="s">
        <v>51</v>
      </c>
      <c r="R2" s="359" t="s">
        <v>213</v>
      </c>
      <c r="S2" s="359" t="s">
        <v>214</v>
      </c>
      <c r="T2" s="359" t="s">
        <v>215</v>
      </c>
      <c r="U2" s="359" t="s">
        <v>216</v>
      </c>
      <c r="V2" s="359" t="s">
        <v>32</v>
      </c>
      <c r="W2" s="360" t="s">
        <v>217</v>
      </c>
      <c r="X2" s="261" t="s">
        <v>218</v>
      </c>
      <c r="Y2" s="360" t="s">
        <v>24</v>
      </c>
      <c r="Z2" s="360" t="s">
        <v>219</v>
      </c>
      <c r="AA2" s="360" t="s">
        <v>220</v>
      </c>
      <c r="AB2" s="262" t="s">
        <v>23</v>
      </c>
      <c r="AC2" s="360" t="s">
        <v>221</v>
      </c>
      <c r="AD2" s="360" t="s">
        <v>222</v>
      </c>
      <c r="AE2" s="360" t="s">
        <v>223</v>
      </c>
      <c r="AF2" s="360" t="s">
        <v>224</v>
      </c>
      <c r="AG2" s="360" t="s">
        <v>225</v>
      </c>
      <c r="AH2" s="360" t="s">
        <v>226</v>
      </c>
    </row>
    <row r="3" customFormat="false" ht="15.75" hidden="false" customHeight="false" outlineLevel="0" collapsed="false">
      <c r="A3" s="262" t="n">
        <v>1</v>
      </c>
      <c r="B3" s="361" t="n">
        <v>1</v>
      </c>
      <c r="C3" s="261" t="s">
        <v>227</v>
      </c>
      <c r="D3" s="261" t="s">
        <v>60</v>
      </c>
      <c r="E3" s="362" t="s">
        <v>227</v>
      </c>
      <c r="F3" s="261" t="s">
        <v>228</v>
      </c>
      <c r="G3" s="261" t="s">
        <v>229</v>
      </c>
      <c r="H3" s="261" t="n">
        <v>0</v>
      </c>
      <c r="I3" s="261" t="n">
        <v>1</v>
      </c>
      <c r="J3" s="361" t="n">
        <v>0</v>
      </c>
      <c r="K3" s="262" t="n">
        <v>45</v>
      </c>
      <c r="L3" s="262" t="n">
        <v>49</v>
      </c>
      <c r="M3" s="262" t="n">
        <v>49</v>
      </c>
      <c r="N3" s="262" t="n">
        <v>65</v>
      </c>
      <c r="O3" s="262" t="n">
        <v>65</v>
      </c>
      <c r="P3" s="361" t="n">
        <v>45</v>
      </c>
      <c r="Q3" s="261" t="s">
        <v>155</v>
      </c>
      <c r="R3" s="261" t="s">
        <v>147</v>
      </c>
      <c r="S3" s="363" t="n">
        <f aca="false" t="array" ref="S3:S3">IF(COUNTIF('0.3.0 GO Calculation Values'!$J$2:$J$99,C3),(INDEX('0.3.0 GO Calculation Values'!$K$2:$K$99,MATCH(C3,'0.3.0 GO Calculation Values'!$J$2:$J$99,0))),1)</f>
        <v>1</v>
      </c>
      <c r="T3" s="262" t="n">
        <f aca="false">ROUND(ROUND(2*((7/8)*MAX(L3,N3)+(1/8)*MIN(L3,N3)),0)*(1+(P3-75)/500),0)</f>
        <v>118</v>
      </c>
      <c r="U3" s="262" t="n">
        <f aca="false">ROUND(ROUND(2*((5/8)*MAX(M3,O3)+(3/8)*MIN(M3,O3)),0)*(1+(P3-75)/500),0)</f>
        <v>111</v>
      </c>
      <c r="V3" s="361" t="n">
        <f aca="false">ROUNDDOWN(K3*1.75+50,0)</f>
        <v>128</v>
      </c>
      <c r="W3" s="261" t="n">
        <v>1</v>
      </c>
      <c r="X3" s="261" t="s">
        <v>60</v>
      </c>
      <c r="Y3" s="364" t="s">
        <v>227</v>
      </c>
      <c r="Z3" s="364" t="n">
        <v>3</v>
      </c>
      <c r="AA3" s="364"/>
      <c r="AB3" s="365" t="n">
        <v>5</v>
      </c>
      <c r="AC3" s="364"/>
      <c r="AD3" s="364" t="n">
        <v>0</v>
      </c>
      <c r="AE3" s="366"/>
      <c r="AF3" s="364" t="s">
        <v>230</v>
      </c>
      <c r="AG3" s="364" t="s">
        <v>230</v>
      </c>
      <c r="AH3" s="366" t="s">
        <v>230</v>
      </c>
    </row>
    <row r="4" customFormat="false" ht="15.75" hidden="false" customHeight="false" outlineLevel="0" collapsed="false">
      <c r="A4" s="262" t="n">
        <v>2</v>
      </c>
      <c r="B4" s="361" t="n">
        <v>2</v>
      </c>
      <c r="C4" s="261" t="s">
        <v>231</v>
      </c>
      <c r="D4" s="261" t="s">
        <v>60</v>
      </c>
      <c r="E4" s="362" t="s">
        <v>231</v>
      </c>
      <c r="F4" s="261" t="s">
        <v>228</v>
      </c>
      <c r="G4" s="261" t="s">
        <v>229</v>
      </c>
      <c r="H4" s="261" t="n">
        <v>0</v>
      </c>
      <c r="I4" s="261" t="n">
        <v>2</v>
      </c>
      <c r="J4" s="361" t="n">
        <v>0</v>
      </c>
      <c r="K4" s="262" t="n">
        <v>60</v>
      </c>
      <c r="L4" s="262" t="n">
        <v>62</v>
      </c>
      <c r="M4" s="262" t="n">
        <v>63</v>
      </c>
      <c r="N4" s="262" t="n">
        <v>80</v>
      </c>
      <c r="O4" s="262" t="n">
        <v>80</v>
      </c>
      <c r="P4" s="361" t="n">
        <v>60</v>
      </c>
      <c r="Q4" s="261" t="s">
        <v>155</v>
      </c>
      <c r="R4" s="261" t="s">
        <v>147</v>
      </c>
      <c r="S4" s="363" t="n">
        <f aca="false" t="array" ref="S4:S4">IF(COUNTIF('0.3.0 GO Calculation Values'!$J$2:$J$99,C4),(INDEX('0.3.0 GO Calculation Values'!$K$2:$K$99,MATCH(C4,'0.3.0 GO Calculation Values'!$J$2:$J$99,0))),1)</f>
        <v>1</v>
      </c>
      <c r="T4" s="262" t="n">
        <f aca="false">ROUND(ROUND(2*((7/8)*MAX(L4,N4)+(1/8)*MIN(L4,N4)),0)*(1+(P4-75)/500),0)</f>
        <v>151</v>
      </c>
      <c r="U4" s="262" t="n">
        <f aca="false">ROUND(ROUND(2*((5/8)*MAX(M4,O4)+(3/8)*MIN(M4,O4)),0)*(1+(P4-75)/500),0)</f>
        <v>143</v>
      </c>
      <c r="V4" s="361" t="n">
        <f aca="false">ROUNDDOWN(K4*1.75+50,0)</f>
        <v>155</v>
      </c>
      <c r="W4" s="261" t="n">
        <v>1</v>
      </c>
      <c r="X4" s="261" t="s">
        <v>227</v>
      </c>
      <c r="Y4" s="364" t="s">
        <v>227</v>
      </c>
      <c r="Z4" s="364" t="n">
        <v>3</v>
      </c>
      <c r="AA4" s="364"/>
      <c r="AB4" s="365" t="n">
        <v>5</v>
      </c>
      <c r="AC4" s="364"/>
      <c r="AD4" s="364" t="n">
        <v>25</v>
      </c>
      <c r="AE4" s="366"/>
      <c r="AF4" s="364" t="s">
        <v>232</v>
      </c>
      <c r="AG4" s="364" t="s">
        <v>232</v>
      </c>
      <c r="AH4" s="366" t="s">
        <v>232</v>
      </c>
    </row>
    <row r="5" customFormat="false" ht="15.75" hidden="false" customHeight="false" outlineLevel="0" collapsed="false">
      <c r="A5" s="262" t="n">
        <v>3</v>
      </c>
      <c r="B5" s="361" t="n">
        <v>3</v>
      </c>
      <c r="C5" s="261" t="s">
        <v>233</v>
      </c>
      <c r="D5" s="261" t="s">
        <v>7</v>
      </c>
      <c r="E5" s="367" t="s">
        <v>233</v>
      </c>
      <c r="F5" s="261" t="s">
        <v>228</v>
      </c>
      <c r="G5" s="261" t="s">
        <v>229</v>
      </c>
      <c r="H5" s="261" t="n">
        <v>0</v>
      </c>
      <c r="I5" s="261" t="n">
        <v>3</v>
      </c>
      <c r="J5" s="361" t="n">
        <v>1</v>
      </c>
      <c r="K5" s="262" t="n">
        <v>80</v>
      </c>
      <c r="L5" s="262" t="n">
        <v>82</v>
      </c>
      <c r="M5" s="262" t="n">
        <v>83</v>
      </c>
      <c r="N5" s="262" t="n">
        <v>100</v>
      </c>
      <c r="O5" s="262" t="n">
        <v>100</v>
      </c>
      <c r="P5" s="361" t="n">
        <v>80</v>
      </c>
      <c r="Q5" s="261" t="s">
        <v>155</v>
      </c>
      <c r="R5" s="261" t="s">
        <v>147</v>
      </c>
      <c r="S5" s="363" t="n">
        <f aca="false" t="array" ref="S5:S5">IF(COUNTIF('0.3.0 GO Calculation Values'!$J$2:$J$99,C5),(INDEX('0.3.0 GO Calculation Values'!$K$2:$K$99,MATCH(C5,'0.3.0 GO Calculation Values'!$J$2:$J$99,0))),1)</f>
        <v>1</v>
      </c>
      <c r="T5" s="262" t="n">
        <f aca="false">ROUND(ROUND(2*((7/8)*MAX(L5,N5)+(1/8)*MIN(L5,N5)),0)*(1+(P5-75)/500),0)</f>
        <v>198</v>
      </c>
      <c r="U5" s="262" t="n">
        <f aca="false">ROUND(ROUND(2*((5/8)*MAX(M5,O5)+(3/8)*MIN(M5,O5)),0)*(1+(P5-75)/500),0)</f>
        <v>189</v>
      </c>
      <c r="V5" s="361" t="n">
        <f aca="false">ROUNDDOWN(K5*1.75+50,0)</f>
        <v>190</v>
      </c>
      <c r="W5" s="261" t="n">
        <v>1</v>
      </c>
      <c r="X5" s="261" t="s">
        <v>231</v>
      </c>
      <c r="Y5" s="364" t="s">
        <v>227</v>
      </c>
      <c r="Z5" s="364" t="n">
        <v>3</v>
      </c>
      <c r="AA5" s="364"/>
      <c r="AB5" s="365" t="n">
        <v>5</v>
      </c>
      <c r="AC5" s="364"/>
      <c r="AD5" s="364" t="n">
        <v>100</v>
      </c>
      <c r="AE5" s="366"/>
      <c r="AF5" s="364" t="s">
        <v>234</v>
      </c>
      <c r="AG5" s="364" t="s">
        <v>234</v>
      </c>
      <c r="AH5" s="366" t="s">
        <v>234</v>
      </c>
    </row>
    <row r="6" customFormat="false" ht="15.75" hidden="false" customHeight="false" outlineLevel="0" collapsed="false">
      <c r="A6" s="262" t="n">
        <v>3</v>
      </c>
      <c r="B6" s="361" t="n">
        <v>4</v>
      </c>
      <c r="C6" s="261" t="s">
        <v>233</v>
      </c>
      <c r="D6" s="261" t="s">
        <v>235</v>
      </c>
      <c r="E6" s="358" t="s">
        <v>236</v>
      </c>
      <c r="F6" s="261" t="s">
        <v>237</v>
      </c>
      <c r="G6" s="261" t="s">
        <v>229</v>
      </c>
      <c r="H6" s="261" t="n">
        <v>2</v>
      </c>
      <c r="I6" s="261" t="n">
        <v>3</v>
      </c>
      <c r="J6" s="361" t="n">
        <v>1</v>
      </c>
      <c r="K6" s="262" t="n">
        <v>80</v>
      </c>
      <c r="L6" s="262" t="n">
        <v>100</v>
      </c>
      <c r="M6" s="262" t="n">
        <v>123</v>
      </c>
      <c r="N6" s="262" t="n">
        <v>122</v>
      </c>
      <c r="O6" s="262" t="n">
        <v>120</v>
      </c>
      <c r="P6" s="361" t="n">
        <v>80</v>
      </c>
      <c r="Q6" s="261" t="s">
        <v>155</v>
      </c>
      <c r="R6" s="261" t="s">
        <v>147</v>
      </c>
      <c r="S6" s="363" t="n">
        <f aca="false" t="array" ref="S6:S6">IF(COUNTIF('0.3.0 GO Calculation Values'!$J$2:$J$99,C6),(INDEX('0.3.0 GO Calculation Values'!$K$2:$K$99,MATCH(C6,'0.3.0 GO Calculation Values'!$J$2:$J$99,0))),1)</f>
        <v>1</v>
      </c>
      <c r="T6" s="262" t="n">
        <f aca="false">ROUND(ROUND(2*((7/8)*MAX(L6,N6)+(1/8)*MIN(L6,N6)),0)*(1+(P6-75)/500),0)</f>
        <v>241</v>
      </c>
      <c r="U6" s="262" t="n">
        <f aca="false">ROUND(ROUND(2*((5/8)*MAX(M6,O6)+(3/8)*MIN(M6,O6)),0)*(1+(P6-75)/500),0)</f>
        <v>246</v>
      </c>
      <c r="V6" s="361" t="n">
        <f aca="false">ROUNDDOWN(K6*1.75+50,0)</f>
        <v>190</v>
      </c>
      <c r="W6" s="261" t="n">
        <v>0</v>
      </c>
      <c r="X6" s="261" t="s">
        <v>233</v>
      </c>
      <c r="Y6" s="364" t="s">
        <v>227</v>
      </c>
      <c r="Z6" s="364" t="n">
        <v>3</v>
      </c>
      <c r="AA6" s="364"/>
      <c r="AB6" s="365" t="n">
        <v>5</v>
      </c>
      <c r="AC6" s="364"/>
      <c r="AD6" s="364" t="n">
        <v>100</v>
      </c>
      <c r="AE6" s="366"/>
      <c r="AF6" s="364" t="s">
        <v>238</v>
      </c>
      <c r="AG6" s="364" t="s">
        <v>238</v>
      </c>
      <c r="AH6" s="366" t="s">
        <v>238</v>
      </c>
    </row>
    <row r="7" customFormat="false" ht="15.75" hidden="false" customHeight="false" outlineLevel="0" collapsed="false">
      <c r="A7" s="262" t="n">
        <v>4</v>
      </c>
      <c r="B7" s="361" t="n">
        <v>5</v>
      </c>
      <c r="C7" s="261" t="s">
        <v>239</v>
      </c>
      <c r="D7" s="261" t="s">
        <v>60</v>
      </c>
      <c r="E7" s="362" t="s">
        <v>239</v>
      </c>
      <c r="F7" s="261" t="s">
        <v>228</v>
      </c>
      <c r="G7" s="261" t="s">
        <v>229</v>
      </c>
      <c r="H7" s="261" t="n">
        <v>0</v>
      </c>
      <c r="I7" s="261" t="n">
        <v>1</v>
      </c>
      <c r="J7" s="361" t="n">
        <v>0</v>
      </c>
      <c r="K7" s="262" t="n">
        <v>39</v>
      </c>
      <c r="L7" s="262" t="n">
        <v>52</v>
      </c>
      <c r="M7" s="262" t="n">
        <v>43</v>
      </c>
      <c r="N7" s="262" t="n">
        <v>60</v>
      </c>
      <c r="O7" s="262" t="n">
        <v>50</v>
      </c>
      <c r="P7" s="361" t="n">
        <v>65</v>
      </c>
      <c r="Q7" s="261" t="s">
        <v>153</v>
      </c>
      <c r="R7" s="261"/>
      <c r="S7" s="363" t="n">
        <f aca="false" t="array" ref="S7:S7">IF(COUNTIF('0.3.0 GO Calculation Values'!$J$2:$J$99,C7),(INDEX('0.3.0 GO Calculation Values'!$K$2:$K$99,MATCH(C7,'0.3.0 GO Calculation Values'!$J$2:$J$99,0))),1)</f>
        <v>1</v>
      </c>
      <c r="T7" s="262" t="n">
        <f aca="false">ROUND(ROUND(2*((7/8)*MAX(L7,N7)+(1/8)*MIN(L7,N7)),0)*(1+(P7-75)/500),0)</f>
        <v>116</v>
      </c>
      <c r="U7" s="262" t="n">
        <f aca="false">ROUND(ROUND(2*((5/8)*MAX(M7,O7)+(3/8)*MIN(M7,O7)),0)*(1+(P7-75)/500),0)</f>
        <v>93</v>
      </c>
      <c r="V7" s="361" t="n">
        <f aca="false">ROUNDDOWN(K7*1.75+50,0)</f>
        <v>118</v>
      </c>
      <c r="W7" s="261" t="n">
        <v>1</v>
      </c>
      <c r="X7" s="261" t="s">
        <v>60</v>
      </c>
      <c r="Y7" s="364" t="s">
        <v>239</v>
      </c>
      <c r="Z7" s="364" t="n">
        <v>3</v>
      </c>
      <c r="AA7" s="364"/>
      <c r="AB7" s="365" t="n">
        <v>5</v>
      </c>
      <c r="AC7" s="364"/>
      <c r="AD7" s="364" t="n">
        <v>0</v>
      </c>
      <c r="AE7" s="366"/>
      <c r="AF7" s="364" t="s">
        <v>240</v>
      </c>
      <c r="AG7" s="364" t="s">
        <v>240</v>
      </c>
      <c r="AH7" s="366" t="s">
        <v>240</v>
      </c>
    </row>
    <row r="8" customFormat="false" ht="15.75" hidden="false" customHeight="false" outlineLevel="0" collapsed="false">
      <c r="A8" s="262" t="n">
        <v>5</v>
      </c>
      <c r="B8" s="361" t="n">
        <v>6</v>
      </c>
      <c r="C8" s="261" t="s">
        <v>241</v>
      </c>
      <c r="D8" s="261" t="s">
        <v>60</v>
      </c>
      <c r="E8" s="362" t="s">
        <v>241</v>
      </c>
      <c r="F8" s="261" t="s">
        <v>228</v>
      </c>
      <c r="G8" s="261" t="s">
        <v>229</v>
      </c>
      <c r="H8" s="261" t="n">
        <v>0</v>
      </c>
      <c r="I8" s="261" t="n">
        <v>2</v>
      </c>
      <c r="J8" s="361" t="n">
        <v>0</v>
      </c>
      <c r="K8" s="262" t="n">
        <v>58</v>
      </c>
      <c r="L8" s="262" t="n">
        <v>64</v>
      </c>
      <c r="M8" s="262" t="n">
        <v>58</v>
      </c>
      <c r="N8" s="262" t="n">
        <v>80</v>
      </c>
      <c r="O8" s="262" t="n">
        <v>65</v>
      </c>
      <c r="P8" s="361" t="n">
        <v>80</v>
      </c>
      <c r="Q8" s="261" t="s">
        <v>153</v>
      </c>
      <c r="R8" s="261"/>
      <c r="S8" s="363" t="n">
        <f aca="false" t="array" ref="S8:S8">IF(COUNTIF('0.3.0 GO Calculation Values'!$J$2:$J$99,C8),(INDEX('0.3.0 GO Calculation Values'!$K$2:$K$99,MATCH(C8,'0.3.0 GO Calculation Values'!$J$2:$J$99,0))),1)</f>
        <v>1</v>
      </c>
      <c r="T8" s="262" t="n">
        <f aca="false">ROUND(ROUND(2*((7/8)*MAX(L8,N8)+(1/8)*MIN(L8,N8)),0)*(1+(P8-75)/500),0)</f>
        <v>158</v>
      </c>
      <c r="U8" s="262" t="n">
        <f aca="false">ROUND(ROUND(2*((5/8)*MAX(M8,O8)+(3/8)*MIN(M8,O8)),0)*(1+(P8-75)/500),0)</f>
        <v>126</v>
      </c>
      <c r="V8" s="361" t="n">
        <f aca="false">ROUNDDOWN(K8*1.75+50,0)</f>
        <v>151</v>
      </c>
      <c r="W8" s="261" t="n">
        <v>1</v>
      </c>
      <c r="X8" s="261" t="s">
        <v>239</v>
      </c>
      <c r="Y8" s="364" t="s">
        <v>239</v>
      </c>
      <c r="Z8" s="364" t="n">
        <v>3</v>
      </c>
      <c r="AA8" s="364"/>
      <c r="AB8" s="365" t="n">
        <v>5</v>
      </c>
      <c r="AC8" s="364"/>
      <c r="AD8" s="364" t="n">
        <v>25</v>
      </c>
      <c r="AE8" s="366"/>
      <c r="AF8" s="364" t="s">
        <v>242</v>
      </c>
      <c r="AG8" s="364" t="s">
        <v>242</v>
      </c>
      <c r="AH8" s="366" t="s">
        <v>242</v>
      </c>
    </row>
    <row r="9" customFormat="false" ht="15.75" hidden="false" customHeight="false" outlineLevel="0" collapsed="false">
      <c r="A9" s="262" t="n">
        <v>6</v>
      </c>
      <c r="B9" s="361" t="n">
        <v>7</v>
      </c>
      <c r="C9" s="261" t="s">
        <v>243</v>
      </c>
      <c r="D9" s="261" t="s">
        <v>7</v>
      </c>
      <c r="E9" s="367" t="s">
        <v>243</v>
      </c>
      <c r="F9" s="261" t="s">
        <v>228</v>
      </c>
      <c r="G9" s="261" t="s">
        <v>229</v>
      </c>
      <c r="H9" s="261" t="n">
        <v>0</v>
      </c>
      <c r="I9" s="261" t="n">
        <v>3</v>
      </c>
      <c r="J9" s="361" t="n">
        <v>1</v>
      </c>
      <c r="K9" s="262" t="n">
        <v>78</v>
      </c>
      <c r="L9" s="262" t="n">
        <v>84</v>
      </c>
      <c r="M9" s="262" t="n">
        <v>78</v>
      </c>
      <c r="N9" s="262" t="n">
        <v>109</v>
      </c>
      <c r="O9" s="262" t="n">
        <v>85</v>
      </c>
      <c r="P9" s="361" t="n">
        <v>100</v>
      </c>
      <c r="Q9" s="261" t="s">
        <v>153</v>
      </c>
      <c r="R9" s="261" t="s">
        <v>146</v>
      </c>
      <c r="S9" s="363" t="n">
        <f aca="false" t="array" ref="S9:S9">IF(COUNTIF('0.3.0 GO Calculation Values'!$J$2:$J$99,C9),(INDEX('0.3.0 GO Calculation Values'!$K$2:$K$99,MATCH(C9,'0.3.0 GO Calculation Values'!$J$2:$J$99,0))),1)</f>
        <v>1</v>
      </c>
      <c r="T9" s="262" t="n">
        <f aca="false">ROUND(ROUND(2*((7/8)*MAX(L9,N9)+(1/8)*MIN(L9,N9)),0)*(1+(P9-75)/500),0)</f>
        <v>223</v>
      </c>
      <c r="U9" s="262" t="n">
        <f aca="false">ROUND(ROUND(2*((5/8)*MAX(M9,O9)+(3/8)*MIN(M9,O9)),0)*(1+(P9-75)/500),0)</f>
        <v>173</v>
      </c>
      <c r="V9" s="361" t="n">
        <f aca="false">ROUNDDOWN(K9*1.75+50,0)</f>
        <v>186</v>
      </c>
      <c r="W9" s="261" t="n">
        <v>1</v>
      </c>
      <c r="X9" s="261" t="s">
        <v>241</v>
      </c>
      <c r="Y9" s="364" t="s">
        <v>239</v>
      </c>
      <c r="Z9" s="364" t="n">
        <v>3</v>
      </c>
      <c r="AA9" s="364"/>
      <c r="AB9" s="365" t="n">
        <v>5</v>
      </c>
      <c r="AC9" s="364"/>
      <c r="AD9" s="364" t="n">
        <v>100</v>
      </c>
      <c r="AE9" s="366"/>
      <c r="AF9" s="364" t="s">
        <v>244</v>
      </c>
      <c r="AG9" s="364" t="s">
        <v>244</v>
      </c>
      <c r="AH9" s="366" t="s">
        <v>244</v>
      </c>
    </row>
    <row r="10" customFormat="false" ht="15.75" hidden="false" customHeight="false" outlineLevel="0" collapsed="false">
      <c r="A10" s="262" t="n">
        <v>6</v>
      </c>
      <c r="B10" s="361" t="n">
        <v>8</v>
      </c>
      <c r="C10" s="261" t="s">
        <v>243</v>
      </c>
      <c r="D10" s="261" t="s">
        <v>245</v>
      </c>
      <c r="E10" s="358" t="s">
        <v>246</v>
      </c>
      <c r="F10" s="261" t="s">
        <v>237</v>
      </c>
      <c r="G10" s="261" t="s">
        <v>229</v>
      </c>
      <c r="H10" s="261" t="n">
        <v>2</v>
      </c>
      <c r="I10" s="261" t="n">
        <v>3</v>
      </c>
      <c r="J10" s="361" t="n">
        <v>1</v>
      </c>
      <c r="K10" s="262" t="n">
        <v>78</v>
      </c>
      <c r="L10" s="262" t="n">
        <v>130</v>
      </c>
      <c r="M10" s="262" t="n">
        <v>111</v>
      </c>
      <c r="N10" s="262" t="n">
        <v>130</v>
      </c>
      <c r="O10" s="262" t="n">
        <v>85</v>
      </c>
      <c r="P10" s="361" t="n">
        <v>100</v>
      </c>
      <c r="Q10" s="261" t="s">
        <v>153</v>
      </c>
      <c r="R10" s="261" t="s">
        <v>159</v>
      </c>
      <c r="S10" s="363" t="n">
        <f aca="false" t="array" ref="S10:S10">IF(COUNTIF('0.3.0 GO Calculation Values'!$J$2:$J$99,C10),(INDEX('0.3.0 GO Calculation Values'!$K$2:$K$99,MATCH(C10,'0.3.0 GO Calculation Values'!$J$2:$J$99,0))),1)</f>
        <v>1</v>
      </c>
      <c r="T10" s="262" t="n">
        <f aca="false">ROUND(ROUND(2*((7/8)*MAX(L10,N10)+(1/8)*MIN(L10,N10)),0)*(1+(P10-75)/500),0)</f>
        <v>273</v>
      </c>
      <c r="U10" s="262" t="n">
        <f aca="false">ROUND(ROUND(2*((5/8)*MAX(M10,O10)+(3/8)*MIN(M10,O10)),0)*(1+(P10-75)/500),0)</f>
        <v>213</v>
      </c>
      <c r="V10" s="361" t="n">
        <f aca="false">ROUNDDOWN(K10*1.75+50,0)</f>
        <v>186</v>
      </c>
      <c r="W10" s="261" t="n">
        <v>0</v>
      </c>
      <c r="X10" s="261" t="s">
        <v>243</v>
      </c>
      <c r="Y10" s="364" t="s">
        <v>239</v>
      </c>
      <c r="Z10" s="364" t="n">
        <v>3</v>
      </c>
      <c r="AA10" s="364"/>
      <c r="AB10" s="365" t="n">
        <v>5</v>
      </c>
      <c r="AC10" s="364"/>
      <c r="AD10" s="364" t="n">
        <v>100</v>
      </c>
      <c r="AE10" s="366"/>
      <c r="AF10" s="261" t="s">
        <v>247</v>
      </c>
      <c r="AG10" s="261" t="s">
        <v>248</v>
      </c>
      <c r="AH10" s="362" t="s">
        <v>247</v>
      </c>
    </row>
    <row r="11" customFormat="false" ht="15.75" hidden="false" customHeight="false" outlineLevel="0" collapsed="false">
      <c r="A11" s="262" t="n">
        <v>6</v>
      </c>
      <c r="B11" s="361" t="n">
        <v>9</v>
      </c>
      <c r="C11" s="261" t="s">
        <v>243</v>
      </c>
      <c r="D11" s="261" t="s">
        <v>249</v>
      </c>
      <c r="E11" s="358" t="s">
        <v>250</v>
      </c>
      <c r="F11" s="261" t="s">
        <v>237</v>
      </c>
      <c r="G11" s="261" t="s">
        <v>229</v>
      </c>
      <c r="H11" s="261" t="n">
        <v>2</v>
      </c>
      <c r="I11" s="261" t="n">
        <v>3</v>
      </c>
      <c r="J11" s="361" t="n">
        <v>1</v>
      </c>
      <c r="K11" s="262" t="n">
        <v>78</v>
      </c>
      <c r="L11" s="262" t="n">
        <v>104</v>
      </c>
      <c r="M11" s="262" t="n">
        <v>78</v>
      </c>
      <c r="N11" s="262" t="n">
        <v>159</v>
      </c>
      <c r="O11" s="262" t="n">
        <v>115</v>
      </c>
      <c r="P11" s="361" t="n">
        <v>100</v>
      </c>
      <c r="Q11" s="261" t="s">
        <v>153</v>
      </c>
      <c r="R11" s="261" t="s">
        <v>146</v>
      </c>
      <c r="S11" s="363" t="n">
        <f aca="false" t="array" ref="S11:S11">IF(COUNTIF('0.3.0 GO Calculation Values'!$J$2:$J$99,C11),(INDEX('0.3.0 GO Calculation Values'!$K$2:$K$99,MATCH(C11,'0.3.0 GO Calculation Values'!$J$2:$J$99,0))),1)</f>
        <v>1</v>
      </c>
      <c r="T11" s="262" t="n">
        <f aca="false">ROUND(ROUND(2*((7/8)*MAX(L11,N11)+(1/8)*MIN(L11,N11)),0)*(1+(P11-75)/500),0)</f>
        <v>319</v>
      </c>
      <c r="U11" s="262" t="n">
        <f aca="false">ROUND(ROUND(2*((5/8)*MAX(M11,O11)+(3/8)*MIN(M11,O11)),0)*(1+(P11-75)/500),0)</f>
        <v>212</v>
      </c>
      <c r="V11" s="361" t="n">
        <f aca="false">ROUNDDOWN(K11*1.75+50,0)</f>
        <v>186</v>
      </c>
      <c r="W11" s="261" t="n">
        <v>0</v>
      </c>
      <c r="X11" s="261" t="s">
        <v>243</v>
      </c>
      <c r="Y11" s="364" t="s">
        <v>239</v>
      </c>
      <c r="Z11" s="364" t="n">
        <v>3</v>
      </c>
      <c r="AA11" s="364"/>
      <c r="AB11" s="365" t="n">
        <v>5</v>
      </c>
      <c r="AC11" s="364"/>
      <c r="AD11" s="364" t="n">
        <v>100</v>
      </c>
      <c r="AE11" s="366"/>
      <c r="AF11" s="261" t="s">
        <v>251</v>
      </c>
      <c r="AG11" s="261" t="s">
        <v>252</v>
      </c>
      <c r="AH11" s="362" t="s">
        <v>251</v>
      </c>
    </row>
    <row r="12" customFormat="false" ht="15.75" hidden="false" customHeight="false" outlineLevel="0" collapsed="false">
      <c r="A12" s="262" t="n">
        <v>7</v>
      </c>
      <c r="B12" s="361" t="n">
        <v>10</v>
      </c>
      <c r="C12" s="261" t="s">
        <v>253</v>
      </c>
      <c r="D12" s="261" t="s">
        <v>60</v>
      </c>
      <c r="E12" s="362" t="s">
        <v>253</v>
      </c>
      <c r="F12" s="261" t="s">
        <v>228</v>
      </c>
      <c r="G12" s="261" t="s">
        <v>229</v>
      </c>
      <c r="H12" s="261" t="n">
        <v>0</v>
      </c>
      <c r="I12" s="261" t="n">
        <v>1</v>
      </c>
      <c r="J12" s="361" t="n">
        <v>0</v>
      </c>
      <c r="K12" s="262" t="n">
        <v>44</v>
      </c>
      <c r="L12" s="262" t="n">
        <v>48</v>
      </c>
      <c r="M12" s="262" t="n">
        <v>65</v>
      </c>
      <c r="N12" s="262" t="n">
        <v>50</v>
      </c>
      <c r="O12" s="262" t="n">
        <v>64</v>
      </c>
      <c r="P12" s="361" t="n">
        <v>43</v>
      </c>
      <c r="Q12" s="261" t="s">
        <v>154</v>
      </c>
      <c r="R12" s="261"/>
      <c r="S12" s="363" t="n">
        <f aca="false" t="array" ref="S12:S12">IF(COUNTIF('0.3.0 GO Calculation Values'!$J$2:$J$99,C12),(INDEX('0.3.0 GO Calculation Values'!$K$2:$K$99,MATCH(C12,'0.3.0 GO Calculation Values'!$J$2:$J$99,0))),1)</f>
        <v>1</v>
      </c>
      <c r="T12" s="262" t="n">
        <f aca="false">ROUND(ROUND(2*((7/8)*MAX(L12,N12)+(1/8)*MIN(L12,N12)),0)*(1+(P12-75)/500),0)</f>
        <v>94</v>
      </c>
      <c r="U12" s="262" t="n">
        <f aca="false">ROUND(ROUND(2*((5/8)*MAX(M12,O12)+(3/8)*MIN(M12,O12)),0)*(1+(P12-75)/500),0)</f>
        <v>121</v>
      </c>
      <c r="V12" s="361" t="n">
        <f aca="false">ROUNDDOWN(K12*1.75+50,0)</f>
        <v>127</v>
      </c>
      <c r="W12" s="261" t="n">
        <v>1</v>
      </c>
      <c r="X12" s="261" t="s">
        <v>60</v>
      </c>
      <c r="Y12" s="364" t="s">
        <v>253</v>
      </c>
      <c r="Z12" s="364" t="n">
        <v>3</v>
      </c>
      <c r="AA12" s="364"/>
      <c r="AB12" s="365" t="n">
        <v>5</v>
      </c>
      <c r="AC12" s="364"/>
      <c r="AD12" s="364" t="n">
        <v>0</v>
      </c>
      <c r="AE12" s="366"/>
      <c r="AF12" s="364" t="s">
        <v>254</v>
      </c>
      <c r="AG12" s="364" t="s">
        <v>254</v>
      </c>
      <c r="AH12" s="366" t="s">
        <v>254</v>
      </c>
    </row>
    <row r="13" customFormat="false" ht="15.75" hidden="false" customHeight="false" outlineLevel="0" collapsed="false">
      <c r="A13" s="262" t="n">
        <v>8</v>
      </c>
      <c r="B13" s="361" t="n">
        <v>11</v>
      </c>
      <c r="C13" s="261" t="s">
        <v>255</v>
      </c>
      <c r="D13" s="261" t="s">
        <v>60</v>
      </c>
      <c r="E13" s="362" t="s">
        <v>255</v>
      </c>
      <c r="F13" s="261" t="s">
        <v>228</v>
      </c>
      <c r="G13" s="261" t="s">
        <v>229</v>
      </c>
      <c r="H13" s="261" t="n">
        <v>0</v>
      </c>
      <c r="I13" s="261" t="n">
        <v>2</v>
      </c>
      <c r="J13" s="361" t="n">
        <v>0</v>
      </c>
      <c r="K13" s="262" t="n">
        <v>59</v>
      </c>
      <c r="L13" s="262" t="n">
        <v>63</v>
      </c>
      <c r="M13" s="262" t="n">
        <v>80</v>
      </c>
      <c r="N13" s="262" t="n">
        <v>65</v>
      </c>
      <c r="O13" s="262" t="n">
        <v>80</v>
      </c>
      <c r="P13" s="361" t="n">
        <v>58</v>
      </c>
      <c r="Q13" s="261" t="s">
        <v>154</v>
      </c>
      <c r="R13" s="261"/>
      <c r="S13" s="363" t="n">
        <f aca="false" t="array" ref="S13:S13">IF(COUNTIF('0.3.0 GO Calculation Values'!$J$2:$J$99,C13),(INDEX('0.3.0 GO Calculation Values'!$K$2:$K$99,MATCH(C13,'0.3.0 GO Calculation Values'!$J$2:$J$99,0))),1)</f>
        <v>1</v>
      </c>
      <c r="T13" s="262" t="n">
        <f aca="false">ROUND(ROUND(2*((7/8)*MAX(L13,N13)+(1/8)*MIN(L13,N13)),0)*(1+(P13-75)/500),0)</f>
        <v>126</v>
      </c>
      <c r="U13" s="262" t="n">
        <f aca="false">ROUND(ROUND(2*((5/8)*MAX(M13,O13)+(3/8)*MIN(M13,O13)),0)*(1+(P13-75)/500),0)</f>
        <v>155</v>
      </c>
      <c r="V13" s="361" t="n">
        <f aca="false">ROUNDDOWN(K13*1.75+50,0)</f>
        <v>153</v>
      </c>
      <c r="W13" s="261" t="n">
        <v>1</v>
      </c>
      <c r="X13" s="261" t="s">
        <v>253</v>
      </c>
      <c r="Y13" s="364" t="s">
        <v>253</v>
      </c>
      <c r="Z13" s="364" t="n">
        <v>3</v>
      </c>
      <c r="AA13" s="364"/>
      <c r="AB13" s="365" t="n">
        <v>5</v>
      </c>
      <c r="AC13" s="364"/>
      <c r="AD13" s="364" t="n">
        <v>25</v>
      </c>
      <c r="AE13" s="366"/>
      <c r="AF13" s="364" t="s">
        <v>256</v>
      </c>
      <c r="AG13" s="364" t="s">
        <v>256</v>
      </c>
      <c r="AH13" s="366" t="s">
        <v>256</v>
      </c>
    </row>
    <row r="14" customFormat="false" ht="15.75" hidden="false" customHeight="false" outlineLevel="0" collapsed="false">
      <c r="A14" s="262" t="n">
        <v>9</v>
      </c>
      <c r="B14" s="361" t="n">
        <v>12</v>
      </c>
      <c r="C14" s="261" t="s">
        <v>257</v>
      </c>
      <c r="D14" s="261" t="s">
        <v>7</v>
      </c>
      <c r="E14" s="367" t="s">
        <v>257</v>
      </c>
      <c r="F14" s="261" t="s">
        <v>228</v>
      </c>
      <c r="G14" s="261" t="s">
        <v>229</v>
      </c>
      <c r="H14" s="261" t="n">
        <v>0</v>
      </c>
      <c r="I14" s="261" t="n">
        <v>3</v>
      </c>
      <c r="J14" s="361" t="n">
        <v>1</v>
      </c>
      <c r="K14" s="262" t="n">
        <v>79</v>
      </c>
      <c r="L14" s="262" t="n">
        <v>83</v>
      </c>
      <c r="M14" s="262" t="n">
        <v>100</v>
      </c>
      <c r="N14" s="262" t="n">
        <v>85</v>
      </c>
      <c r="O14" s="262" t="n">
        <v>105</v>
      </c>
      <c r="P14" s="361" t="n">
        <v>78</v>
      </c>
      <c r="Q14" s="261" t="s">
        <v>154</v>
      </c>
      <c r="R14" s="261"/>
      <c r="S14" s="363" t="n">
        <f aca="false" t="array" ref="S14:S14">IF(COUNTIF('0.3.0 GO Calculation Values'!$J$2:$J$99,C14),(INDEX('0.3.0 GO Calculation Values'!$K$2:$K$99,MATCH(C14,'0.3.0 GO Calculation Values'!$J$2:$J$99,0))),1)</f>
        <v>1</v>
      </c>
      <c r="T14" s="262" t="n">
        <f aca="false">ROUND(ROUND(2*((7/8)*MAX(L14,N14)+(1/8)*MIN(L14,N14)),0)*(1+(P14-75)/500),0)</f>
        <v>171</v>
      </c>
      <c r="U14" s="262" t="n">
        <f aca="false">ROUND(ROUND(2*((5/8)*MAX(M14,O14)+(3/8)*MIN(M14,O14)),0)*(1+(P14-75)/500),0)</f>
        <v>207</v>
      </c>
      <c r="V14" s="361" t="n">
        <f aca="false">ROUNDDOWN(K14*1.75+50,0)</f>
        <v>188</v>
      </c>
      <c r="W14" s="261" t="n">
        <v>1</v>
      </c>
      <c r="X14" s="261" t="s">
        <v>255</v>
      </c>
      <c r="Y14" s="364" t="s">
        <v>253</v>
      </c>
      <c r="Z14" s="364" t="n">
        <v>3</v>
      </c>
      <c r="AA14" s="364"/>
      <c r="AB14" s="365" t="n">
        <v>5</v>
      </c>
      <c r="AC14" s="364"/>
      <c r="AD14" s="364" t="n">
        <v>100</v>
      </c>
      <c r="AE14" s="366"/>
      <c r="AF14" s="364" t="s">
        <v>258</v>
      </c>
      <c r="AG14" s="364" t="s">
        <v>258</v>
      </c>
      <c r="AH14" s="366" t="s">
        <v>258</v>
      </c>
    </row>
    <row r="15" customFormat="false" ht="15.75" hidden="false" customHeight="false" outlineLevel="0" collapsed="false">
      <c r="A15" s="262" t="n">
        <v>9</v>
      </c>
      <c r="B15" s="361" t="n">
        <v>13</v>
      </c>
      <c r="C15" s="261" t="s">
        <v>257</v>
      </c>
      <c r="D15" s="261" t="s">
        <v>259</v>
      </c>
      <c r="E15" s="358" t="s">
        <v>260</v>
      </c>
      <c r="F15" s="261" t="s">
        <v>237</v>
      </c>
      <c r="G15" s="261" t="s">
        <v>229</v>
      </c>
      <c r="H15" s="261" t="n">
        <v>2</v>
      </c>
      <c r="I15" s="261" t="n">
        <v>3</v>
      </c>
      <c r="J15" s="361" t="n">
        <v>1</v>
      </c>
      <c r="K15" s="262" t="n">
        <v>79</v>
      </c>
      <c r="L15" s="262" t="n">
        <v>103</v>
      </c>
      <c r="M15" s="262" t="n">
        <v>120</v>
      </c>
      <c r="N15" s="262" t="n">
        <v>135</v>
      </c>
      <c r="O15" s="262" t="n">
        <v>115</v>
      </c>
      <c r="P15" s="361" t="n">
        <v>78</v>
      </c>
      <c r="Q15" s="261" t="s">
        <v>154</v>
      </c>
      <c r="R15" s="261"/>
      <c r="S15" s="363" t="n">
        <f aca="false" t="array" ref="S15:S15">IF(COUNTIF('0.3.0 GO Calculation Values'!$J$2:$J$99,C15),(INDEX('0.3.0 GO Calculation Values'!$K$2:$K$99,MATCH(C15,'0.3.0 GO Calculation Values'!$J$2:$J$99,0))),1)</f>
        <v>1</v>
      </c>
      <c r="T15" s="262" t="n">
        <f aca="false">ROUND(ROUND(2*((7/8)*MAX(L15,N15)+(1/8)*MIN(L15,N15)),0)*(1+(P15-75)/500),0)</f>
        <v>264</v>
      </c>
      <c r="U15" s="262" t="n">
        <f aca="false">ROUND(ROUND(2*((5/8)*MAX(M15,O15)+(3/8)*MIN(M15,O15)),0)*(1+(P15-75)/500),0)</f>
        <v>237</v>
      </c>
      <c r="V15" s="361" t="n">
        <f aca="false">ROUNDDOWN(K15*1.75+50,0)</f>
        <v>188</v>
      </c>
      <c r="W15" s="261" t="n">
        <v>0</v>
      </c>
      <c r="X15" s="261" t="s">
        <v>257</v>
      </c>
      <c r="Y15" s="364" t="s">
        <v>253</v>
      </c>
      <c r="Z15" s="364" t="n">
        <v>3</v>
      </c>
      <c r="AA15" s="364"/>
      <c r="AB15" s="365" t="n">
        <v>5</v>
      </c>
      <c r="AC15" s="364"/>
      <c r="AD15" s="364" t="n">
        <v>100</v>
      </c>
      <c r="AE15" s="366"/>
      <c r="AF15" s="364" t="s">
        <v>261</v>
      </c>
      <c r="AG15" s="364" t="s">
        <v>261</v>
      </c>
      <c r="AH15" s="366" t="s">
        <v>261</v>
      </c>
    </row>
    <row r="16" customFormat="false" ht="15.75" hidden="false" customHeight="false" outlineLevel="0" collapsed="false">
      <c r="A16" s="262" t="n">
        <v>10</v>
      </c>
      <c r="B16" s="361" t="n">
        <v>14</v>
      </c>
      <c r="C16" s="261" t="s">
        <v>262</v>
      </c>
      <c r="D16" s="261" t="s">
        <v>60</v>
      </c>
      <c r="E16" s="362" t="s">
        <v>262</v>
      </c>
      <c r="F16" s="261" t="s">
        <v>228</v>
      </c>
      <c r="G16" s="261" t="s">
        <v>144</v>
      </c>
      <c r="H16" s="261" t="n">
        <v>0</v>
      </c>
      <c r="I16" s="261" t="n">
        <v>1</v>
      </c>
      <c r="J16" s="361" t="n">
        <v>0</v>
      </c>
      <c r="K16" s="262" t="n">
        <v>45</v>
      </c>
      <c r="L16" s="262" t="n">
        <v>30</v>
      </c>
      <c r="M16" s="262" t="n">
        <v>35</v>
      </c>
      <c r="N16" s="262" t="n">
        <v>20</v>
      </c>
      <c r="O16" s="262" t="n">
        <v>20</v>
      </c>
      <c r="P16" s="361" t="n">
        <v>45</v>
      </c>
      <c r="Q16" s="261" t="s">
        <v>150</v>
      </c>
      <c r="R16" s="261"/>
      <c r="S16" s="363" t="n">
        <f aca="false" t="array" ref="S16:S16">IF(COUNTIF('0.3.0 GO Calculation Values'!$J$2:$J$99,C16),(INDEX('0.3.0 GO Calculation Values'!$K$2:$K$99,MATCH(C16,'0.3.0 GO Calculation Values'!$J$2:$J$99,0))),1)</f>
        <v>1</v>
      </c>
      <c r="T16" s="262" t="n">
        <f aca="false">ROUND(ROUND(2*((7/8)*MAX(L16,N16)+(1/8)*MIN(L16,N16)),0)*(1+(P16-75)/500),0)</f>
        <v>55</v>
      </c>
      <c r="U16" s="262" t="n">
        <f aca="false">ROUND(ROUND(2*((5/8)*MAX(M16,O16)+(3/8)*MIN(M16,O16)),0)*(1+(P16-75)/500),0)</f>
        <v>55</v>
      </c>
      <c r="V16" s="361" t="n">
        <f aca="false">ROUNDDOWN(K16*1.75+50,0)</f>
        <v>128</v>
      </c>
      <c r="W16" s="261" t="n">
        <v>1</v>
      </c>
      <c r="X16" s="261" t="s">
        <v>60</v>
      </c>
      <c r="Y16" s="364" t="s">
        <v>262</v>
      </c>
      <c r="Z16" s="364" t="n">
        <v>1</v>
      </c>
      <c r="AA16" s="364"/>
      <c r="AB16" s="365" t="s">
        <v>60</v>
      </c>
      <c r="AC16" s="364"/>
      <c r="AD16" s="364" t="n">
        <v>0</v>
      </c>
      <c r="AE16" s="366"/>
      <c r="AF16" s="364" t="s">
        <v>263</v>
      </c>
      <c r="AG16" s="364" t="s">
        <v>263</v>
      </c>
      <c r="AH16" s="366" t="s">
        <v>263</v>
      </c>
    </row>
    <row r="17" customFormat="false" ht="15.75" hidden="false" customHeight="false" outlineLevel="0" collapsed="false">
      <c r="A17" s="262" t="n">
        <v>11</v>
      </c>
      <c r="B17" s="361" t="n">
        <v>15</v>
      </c>
      <c r="C17" s="261" t="s">
        <v>264</v>
      </c>
      <c r="D17" s="261" t="s">
        <v>60</v>
      </c>
      <c r="E17" s="362" t="s">
        <v>264</v>
      </c>
      <c r="F17" s="261" t="s">
        <v>228</v>
      </c>
      <c r="G17" s="261" t="s">
        <v>144</v>
      </c>
      <c r="H17" s="261" t="n">
        <v>0</v>
      </c>
      <c r="I17" s="261" t="n">
        <v>2</v>
      </c>
      <c r="J17" s="361" t="n">
        <v>0</v>
      </c>
      <c r="K17" s="262" t="n">
        <v>50</v>
      </c>
      <c r="L17" s="262" t="n">
        <v>20</v>
      </c>
      <c r="M17" s="262" t="n">
        <v>55</v>
      </c>
      <c r="N17" s="262" t="n">
        <v>25</v>
      </c>
      <c r="O17" s="262" t="n">
        <v>25</v>
      </c>
      <c r="P17" s="361" t="n">
        <v>30</v>
      </c>
      <c r="Q17" s="261" t="s">
        <v>150</v>
      </c>
      <c r="R17" s="261"/>
      <c r="S17" s="363" t="n">
        <f aca="false" t="array" ref="S17:S17">IF(COUNTIF('0.3.0 GO Calculation Values'!$J$2:$J$99,C17),(INDEX('0.3.0 GO Calculation Values'!$K$2:$K$99,MATCH(C17,'0.3.0 GO Calculation Values'!$J$2:$J$99,0))),1)</f>
        <v>1</v>
      </c>
      <c r="T17" s="262" t="n">
        <f aca="false">ROUND(ROUND(2*((7/8)*MAX(L17,N17)+(1/8)*MIN(L17,N17)),0)*(1+(P17-75)/500),0)</f>
        <v>45</v>
      </c>
      <c r="U17" s="262" t="n">
        <f aca="false">ROUND(ROUND(2*((5/8)*MAX(M17,O17)+(3/8)*MIN(M17,O17)),0)*(1+(P17-75)/500),0)</f>
        <v>80</v>
      </c>
      <c r="V17" s="361" t="n">
        <f aca="false">ROUNDDOWN(K17*1.75+50,0)</f>
        <v>137</v>
      </c>
      <c r="W17" s="261" t="n">
        <v>1</v>
      </c>
      <c r="X17" s="261" t="s">
        <v>262</v>
      </c>
      <c r="Y17" s="364" t="s">
        <v>262</v>
      </c>
      <c r="Z17" s="364" t="n">
        <v>1</v>
      </c>
      <c r="AA17" s="364"/>
      <c r="AB17" s="365" t="s">
        <v>60</v>
      </c>
      <c r="AC17" s="364"/>
      <c r="AD17" s="364" t="n">
        <v>12</v>
      </c>
      <c r="AE17" s="366"/>
      <c r="AF17" s="364" t="s">
        <v>265</v>
      </c>
      <c r="AG17" s="364" t="s">
        <v>265</v>
      </c>
      <c r="AH17" s="366" t="s">
        <v>265</v>
      </c>
    </row>
    <row r="18" customFormat="false" ht="15.75" hidden="false" customHeight="false" outlineLevel="0" collapsed="false">
      <c r="A18" s="262" t="n">
        <v>12</v>
      </c>
      <c r="B18" s="361" t="n">
        <v>16</v>
      </c>
      <c r="C18" s="261" t="s">
        <v>266</v>
      </c>
      <c r="D18" s="261" t="s">
        <v>60</v>
      </c>
      <c r="E18" s="362" t="s">
        <v>266</v>
      </c>
      <c r="F18" s="261" t="s">
        <v>228</v>
      </c>
      <c r="G18" s="261" t="s">
        <v>144</v>
      </c>
      <c r="H18" s="261" t="n">
        <v>0</v>
      </c>
      <c r="I18" s="261" t="n">
        <v>3</v>
      </c>
      <c r="J18" s="361" t="n">
        <v>1</v>
      </c>
      <c r="K18" s="262" t="n">
        <v>60</v>
      </c>
      <c r="L18" s="262" t="n">
        <v>45</v>
      </c>
      <c r="M18" s="262" t="n">
        <v>50</v>
      </c>
      <c r="N18" s="262" t="n">
        <v>90</v>
      </c>
      <c r="O18" s="262" t="n">
        <v>80</v>
      </c>
      <c r="P18" s="361" t="n">
        <v>70</v>
      </c>
      <c r="Q18" s="261" t="s">
        <v>150</v>
      </c>
      <c r="R18" s="261" t="s">
        <v>146</v>
      </c>
      <c r="S18" s="363" t="n">
        <f aca="false" t="array" ref="S18:S18">IF(COUNTIF('0.3.0 GO Calculation Values'!$J$2:$J$99,C18),(INDEX('0.3.0 GO Calculation Values'!$K$2:$K$99,MATCH(C18,'0.3.0 GO Calculation Values'!$J$2:$J$99,0))),1)</f>
        <v>1</v>
      </c>
      <c r="T18" s="262" t="n">
        <f aca="false">ROUND(ROUND(2*((7/8)*MAX(L18,N18)+(1/8)*MIN(L18,N18)),0)*(1+(P18-75)/500),0)</f>
        <v>167</v>
      </c>
      <c r="U18" s="262" t="n">
        <f aca="false">ROUND(ROUND(2*((5/8)*MAX(M18,O18)+(3/8)*MIN(M18,O18)),0)*(1+(P18-75)/500),0)</f>
        <v>137</v>
      </c>
      <c r="V18" s="361" t="n">
        <f aca="false">ROUNDDOWN(K18*1.75+50,0)</f>
        <v>155</v>
      </c>
      <c r="W18" s="261" t="n">
        <v>1</v>
      </c>
      <c r="X18" s="261" t="s">
        <v>264</v>
      </c>
      <c r="Y18" s="364" t="s">
        <v>262</v>
      </c>
      <c r="Z18" s="364" t="n">
        <v>1</v>
      </c>
      <c r="AA18" s="364"/>
      <c r="AB18" s="365" t="s">
        <v>60</v>
      </c>
      <c r="AC18" s="364"/>
      <c r="AD18" s="364" t="n">
        <v>50</v>
      </c>
      <c r="AE18" s="366"/>
      <c r="AF18" s="364" t="s">
        <v>267</v>
      </c>
      <c r="AG18" s="364" t="s">
        <v>267</v>
      </c>
      <c r="AH18" s="366" t="s">
        <v>267</v>
      </c>
    </row>
    <row r="19" customFormat="false" ht="15.75" hidden="false" customHeight="false" outlineLevel="0" collapsed="false">
      <c r="A19" s="262" t="n">
        <v>13</v>
      </c>
      <c r="B19" s="361" t="n">
        <v>17</v>
      </c>
      <c r="C19" s="261" t="s">
        <v>268</v>
      </c>
      <c r="D19" s="261" t="s">
        <v>60</v>
      </c>
      <c r="E19" s="362" t="s">
        <v>268</v>
      </c>
      <c r="F19" s="261" t="s">
        <v>228</v>
      </c>
      <c r="G19" s="261" t="s">
        <v>144</v>
      </c>
      <c r="H19" s="261" t="n">
        <v>0</v>
      </c>
      <c r="I19" s="261" t="n">
        <v>1</v>
      </c>
      <c r="J19" s="361" t="n">
        <v>0</v>
      </c>
      <c r="K19" s="262" t="n">
        <v>40</v>
      </c>
      <c r="L19" s="262" t="n">
        <v>35</v>
      </c>
      <c r="M19" s="262" t="n">
        <v>30</v>
      </c>
      <c r="N19" s="262" t="n">
        <v>20</v>
      </c>
      <c r="O19" s="262" t="n">
        <v>20</v>
      </c>
      <c r="P19" s="361" t="n">
        <v>50</v>
      </c>
      <c r="Q19" s="261" t="s">
        <v>150</v>
      </c>
      <c r="R19" s="261" t="s">
        <v>147</v>
      </c>
      <c r="S19" s="363" t="n">
        <f aca="false" t="array" ref="S19:S19">IF(COUNTIF('0.3.0 GO Calculation Values'!$J$2:$J$99,C19),(INDEX('0.3.0 GO Calculation Values'!$K$2:$K$99,MATCH(C19,'0.3.0 GO Calculation Values'!$J$2:$J$99,0))),1)</f>
        <v>1</v>
      </c>
      <c r="T19" s="262" t="n">
        <f aca="false">ROUND(ROUND(2*((7/8)*MAX(L19,N19)+(1/8)*MIN(L19,N19)),0)*(1+(P19-75)/500),0)</f>
        <v>63</v>
      </c>
      <c r="U19" s="262" t="n">
        <f aca="false">ROUND(ROUND(2*((5/8)*MAX(M19,O19)+(3/8)*MIN(M19,O19)),0)*(1+(P19-75)/500),0)</f>
        <v>50</v>
      </c>
      <c r="V19" s="361" t="n">
        <f aca="false">ROUNDDOWN(K19*1.75+50,0)</f>
        <v>120</v>
      </c>
      <c r="W19" s="261" t="n">
        <v>1</v>
      </c>
      <c r="X19" s="261" t="s">
        <v>60</v>
      </c>
      <c r="Y19" s="364" t="s">
        <v>268</v>
      </c>
      <c r="Z19" s="364" t="n">
        <v>1</v>
      </c>
      <c r="AA19" s="364"/>
      <c r="AB19" s="365" t="s">
        <v>60</v>
      </c>
      <c r="AC19" s="364"/>
      <c r="AD19" s="364" t="n">
        <v>0</v>
      </c>
      <c r="AE19" s="366"/>
      <c r="AF19" s="364" t="s">
        <v>269</v>
      </c>
      <c r="AG19" s="364" t="s">
        <v>269</v>
      </c>
      <c r="AH19" s="366" t="s">
        <v>269</v>
      </c>
    </row>
    <row r="20" customFormat="false" ht="15.75" hidden="false" customHeight="false" outlineLevel="0" collapsed="false">
      <c r="A20" s="262" t="n">
        <v>14</v>
      </c>
      <c r="B20" s="361" t="n">
        <v>18</v>
      </c>
      <c r="C20" s="261" t="s">
        <v>270</v>
      </c>
      <c r="D20" s="261" t="s">
        <v>60</v>
      </c>
      <c r="E20" s="362" t="s">
        <v>270</v>
      </c>
      <c r="F20" s="261" t="s">
        <v>228</v>
      </c>
      <c r="G20" s="261" t="s">
        <v>144</v>
      </c>
      <c r="H20" s="261" t="n">
        <v>0</v>
      </c>
      <c r="I20" s="261" t="n">
        <v>2</v>
      </c>
      <c r="J20" s="361" t="n">
        <v>0</v>
      </c>
      <c r="K20" s="262" t="n">
        <v>45</v>
      </c>
      <c r="L20" s="262" t="n">
        <v>25</v>
      </c>
      <c r="M20" s="262" t="n">
        <v>50</v>
      </c>
      <c r="N20" s="262" t="n">
        <v>25</v>
      </c>
      <c r="O20" s="262" t="n">
        <v>25</v>
      </c>
      <c r="P20" s="361" t="n">
        <v>35</v>
      </c>
      <c r="Q20" s="261" t="s">
        <v>150</v>
      </c>
      <c r="R20" s="261" t="s">
        <v>147</v>
      </c>
      <c r="S20" s="363" t="n">
        <f aca="false" t="array" ref="S20:S20">IF(COUNTIF('0.3.0 GO Calculation Values'!$J$2:$J$99,C20),(INDEX('0.3.0 GO Calculation Values'!$K$2:$K$99,MATCH(C20,'0.3.0 GO Calculation Values'!$J$2:$J$99,0))),1)</f>
        <v>1</v>
      </c>
      <c r="T20" s="262" t="n">
        <f aca="false">ROUND(ROUND(2*((7/8)*MAX(L20,N20)+(1/8)*MIN(L20,N20)),0)*(1+(P20-75)/500),0)</f>
        <v>46</v>
      </c>
      <c r="U20" s="262" t="n">
        <f aca="false">ROUND(ROUND(2*((5/8)*MAX(M20,O20)+(3/8)*MIN(M20,O20)),0)*(1+(P20-75)/500),0)</f>
        <v>75</v>
      </c>
      <c r="V20" s="361" t="n">
        <f aca="false">ROUNDDOWN(K20*1.75+50,0)</f>
        <v>128</v>
      </c>
      <c r="W20" s="261" t="n">
        <v>1</v>
      </c>
      <c r="X20" s="261" t="s">
        <v>268</v>
      </c>
      <c r="Y20" s="364" t="s">
        <v>268</v>
      </c>
      <c r="Z20" s="364" t="n">
        <v>1</v>
      </c>
      <c r="AA20" s="364"/>
      <c r="AB20" s="365" t="s">
        <v>60</v>
      </c>
      <c r="AC20" s="364"/>
      <c r="AD20" s="364" t="n">
        <v>12</v>
      </c>
      <c r="AE20" s="366"/>
      <c r="AF20" s="364" t="s">
        <v>271</v>
      </c>
      <c r="AG20" s="364" t="s">
        <v>271</v>
      </c>
      <c r="AH20" s="366" t="s">
        <v>271</v>
      </c>
    </row>
    <row r="21" customFormat="false" ht="15.75" hidden="false" customHeight="false" outlineLevel="0" collapsed="false">
      <c r="A21" s="262" t="n">
        <v>15</v>
      </c>
      <c r="B21" s="361" t="n">
        <v>19</v>
      </c>
      <c r="C21" s="261" t="s">
        <v>272</v>
      </c>
      <c r="D21" s="261" t="s">
        <v>7</v>
      </c>
      <c r="E21" s="367" t="s">
        <v>272</v>
      </c>
      <c r="F21" s="261" t="s">
        <v>228</v>
      </c>
      <c r="G21" s="261" t="s">
        <v>144</v>
      </c>
      <c r="H21" s="261" t="n">
        <v>0</v>
      </c>
      <c r="I21" s="261" t="n">
        <v>3</v>
      </c>
      <c r="J21" s="361" t="n">
        <v>1</v>
      </c>
      <c r="K21" s="262" t="n">
        <v>65</v>
      </c>
      <c r="L21" s="262" t="n">
        <v>90</v>
      </c>
      <c r="M21" s="262" t="n">
        <v>40</v>
      </c>
      <c r="N21" s="262" t="n">
        <v>45</v>
      </c>
      <c r="O21" s="262" t="n">
        <v>80</v>
      </c>
      <c r="P21" s="361" t="n">
        <v>75</v>
      </c>
      <c r="Q21" s="261" t="s">
        <v>150</v>
      </c>
      <c r="R21" s="261" t="s">
        <v>147</v>
      </c>
      <c r="S21" s="363" t="n">
        <f aca="false" t="array" ref="S21:S21">IF(COUNTIF('0.3.0 GO Calculation Values'!$J$2:$J$99,C21),(INDEX('0.3.0 GO Calculation Values'!$K$2:$K$99,MATCH(C21,'0.3.0 GO Calculation Values'!$J$2:$J$99,0))),1)</f>
        <v>1</v>
      </c>
      <c r="T21" s="262" t="n">
        <f aca="false">ROUND(ROUND(2*((7/8)*MAX(L21,N21)+(1/8)*MIN(L21,N21)),0)*(1+(P21-75)/500),0)</f>
        <v>169</v>
      </c>
      <c r="U21" s="262" t="n">
        <f aca="false">ROUND(ROUND(2*((5/8)*MAX(M21,O21)+(3/8)*MIN(M21,O21)),0)*(1+(P21-75)/500),0)</f>
        <v>130</v>
      </c>
      <c r="V21" s="361" t="n">
        <f aca="false">ROUNDDOWN(K21*1.75+50,0)</f>
        <v>163</v>
      </c>
      <c r="W21" s="261" t="n">
        <v>1</v>
      </c>
      <c r="X21" s="261" t="s">
        <v>270</v>
      </c>
      <c r="Y21" s="364" t="s">
        <v>268</v>
      </c>
      <c r="Z21" s="364" t="n">
        <v>1</v>
      </c>
      <c r="AA21" s="364"/>
      <c r="AB21" s="365" t="s">
        <v>60</v>
      </c>
      <c r="AC21" s="364"/>
      <c r="AD21" s="364" t="n">
        <v>50</v>
      </c>
      <c r="AE21" s="366"/>
      <c r="AF21" s="364" t="s">
        <v>273</v>
      </c>
      <c r="AG21" s="364" t="s">
        <v>273</v>
      </c>
      <c r="AH21" s="366" t="s">
        <v>273</v>
      </c>
    </row>
    <row r="22" customFormat="false" ht="15.75" hidden="false" customHeight="false" outlineLevel="0" collapsed="false">
      <c r="A22" s="262" t="n">
        <v>15</v>
      </c>
      <c r="B22" s="361" t="n">
        <v>20</v>
      </c>
      <c r="C22" s="261" t="s">
        <v>272</v>
      </c>
      <c r="D22" s="261" t="s">
        <v>274</v>
      </c>
      <c r="E22" s="358" t="s">
        <v>275</v>
      </c>
      <c r="F22" s="261" t="s">
        <v>237</v>
      </c>
      <c r="G22" s="261" t="s">
        <v>144</v>
      </c>
      <c r="H22" s="261" t="n">
        <v>2</v>
      </c>
      <c r="I22" s="261" t="n">
        <v>3</v>
      </c>
      <c r="J22" s="361" t="n">
        <v>1</v>
      </c>
      <c r="K22" s="262" t="n">
        <v>65</v>
      </c>
      <c r="L22" s="262" t="n">
        <v>150</v>
      </c>
      <c r="M22" s="262" t="n">
        <v>40</v>
      </c>
      <c r="N22" s="262" t="n">
        <v>15</v>
      </c>
      <c r="O22" s="262" t="n">
        <v>80</v>
      </c>
      <c r="P22" s="361" t="n">
        <v>145</v>
      </c>
      <c r="Q22" s="261" t="s">
        <v>150</v>
      </c>
      <c r="R22" s="261" t="s">
        <v>147</v>
      </c>
      <c r="S22" s="363" t="n">
        <f aca="false" t="array" ref="S22:S22">IF(COUNTIF('0.3.0 GO Calculation Values'!$J$2:$J$99,C22),(INDEX('0.3.0 GO Calculation Values'!$K$2:$K$99,MATCH(C22,'0.3.0 GO Calculation Values'!$J$2:$J$99,0))),1)</f>
        <v>1</v>
      </c>
      <c r="T22" s="262" t="n">
        <f aca="false">ROUND(ROUND(2*((7/8)*MAX(L22,N22)+(1/8)*MIN(L22,N22)),0)*(1+(P22-75)/500),0)</f>
        <v>303</v>
      </c>
      <c r="U22" s="262" t="n">
        <f aca="false">ROUND(ROUND(2*((5/8)*MAX(M22,O22)+(3/8)*MIN(M22,O22)),0)*(1+(P22-75)/500),0)</f>
        <v>148</v>
      </c>
      <c r="V22" s="361" t="n">
        <f aca="false">ROUNDDOWN(K22*1.75+50,0)</f>
        <v>163</v>
      </c>
      <c r="W22" s="261" t="n">
        <v>0</v>
      </c>
      <c r="X22" s="261" t="s">
        <v>272</v>
      </c>
      <c r="Y22" s="364" t="s">
        <v>268</v>
      </c>
      <c r="Z22" s="364" t="n">
        <v>1</v>
      </c>
      <c r="AA22" s="364"/>
      <c r="AB22" s="365" t="s">
        <v>60</v>
      </c>
      <c r="AC22" s="364"/>
      <c r="AD22" s="364" t="n">
        <v>50</v>
      </c>
      <c r="AE22" s="366"/>
      <c r="AF22" s="364" t="s">
        <v>276</v>
      </c>
      <c r="AG22" s="364" t="s">
        <v>276</v>
      </c>
      <c r="AH22" s="366" t="s">
        <v>276</v>
      </c>
    </row>
    <row r="23" customFormat="false" ht="15.75" hidden="false" customHeight="false" outlineLevel="0" collapsed="false">
      <c r="A23" s="262" t="n">
        <v>16</v>
      </c>
      <c r="B23" s="361" t="n">
        <v>21</v>
      </c>
      <c r="C23" s="261" t="s">
        <v>277</v>
      </c>
      <c r="D23" s="261" t="s">
        <v>60</v>
      </c>
      <c r="E23" s="362" t="s">
        <v>277</v>
      </c>
      <c r="F23" s="261" t="s">
        <v>228</v>
      </c>
      <c r="G23" s="261" t="s">
        <v>144</v>
      </c>
      <c r="H23" s="261" t="n">
        <v>0</v>
      </c>
      <c r="I23" s="261" t="n">
        <v>1</v>
      </c>
      <c r="J23" s="361" t="n">
        <v>0</v>
      </c>
      <c r="K23" s="262" t="n">
        <v>40</v>
      </c>
      <c r="L23" s="262" t="n">
        <v>45</v>
      </c>
      <c r="M23" s="262" t="n">
        <v>40</v>
      </c>
      <c r="N23" s="262" t="n">
        <v>35</v>
      </c>
      <c r="O23" s="262" t="n">
        <v>35</v>
      </c>
      <c r="P23" s="361" t="n">
        <v>56</v>
      </c>
      <c r="Q23" s="261" t="s">
        <v>144</v>
      </c>
      <c r="R23" s="261" t="s">
        <v>146</v>
      </c>
      <c r="S23" s="363" t="n">
        <f aca="false" t="array" ref="S23:S23">IF(COUNTIF('0.3.0 GO Calculation Values'!$J$2:$J$99,C23),(INDEX('0.3.0 GO Calculation Values'!$K$2:$K$99,MATCH(C23,'0.3.0 GO Calculation Values'!$J$2:$J$99,0))),1)</f>
        <v>1</v>
      </c>
      <c r="T23" s="262" t="n">
        <f aca="false">ROUND(ROUND(2*((7/8)*MAX(L23,N23)+(1/8)*MIN(L23,N23)),0)*(1+(P23-75)/500),0)</f>
        <v>85</v>
      </c>
      <c r="U23" s="262" t="n">
        <f aca="false">ROUND(ROUND(2*((5/8)*MAX(M23,O23)+(3/8)*MIN(M23,O23)),0)*(1+(P23-75)/500),0)</f>
        <v>73</v>
      </c>
      <c r="V23" s="361" t="n">
        <f aca="false">ROUNDDOWN(K23*1.75+50,0)</f>
        <v>120</v>
      </c>
      <c r="W23" s="261" t="n">
        <v>1</v>
      </c>
      <c r="X23" s="261" t="s">
        <v>60</v>
      </c>
      <c r="Y23" s="364" t="s">
        <v>277</v>
      </c>
      <c r="Z23" s="364" t="n">
        <v>1</v>
      </c>
      <c r="AA23" s="364"/>
      <c r="AB23" s="365" t="s">
        <v>60</v>
      </c>
      <c r="AC23" s="364"/>
      <c r="AD23" s="364" t="n">
        <v>0</v>
      </c>
      <c r="AE23" s="366"/>
      <c r="AF23" s="364" t="s">
        <v>278</v>
      </c>
      <c r="AG23" s="364" t="s">
        <v>278</v>
      </c>
      <c r="AH23" s="366" t="s">
        <v>278</v>
      </c>
    </row>
    <row r="24" customFormat="false" ht="15.75" hidden="false" customHeight="false" outlineLevel="0" collapsed="false">
      <c r="A24" s="262" t="n">
        <v>17</v>
      </c>
      <c r="B24" s="361" t="n">
        <v>22</v>
      </c>
      <c r="C24" s="261" t="s">
        <v>279</v>
      </c>
      <c r="D24" s="261" t="s">
        <v>60</v>
      </c>
      <c r="E24" s="362" t="s">
        <v>279</v>
      </c>
      <c r="F24" s="261" t="s">
        <v>228</v>
      </c>
      <c r="G24" s="261" t="s">
        <v>144</v>
      </c>
      <c r="H24" s="261" t="n">
        <v>0</v>
      </c>
      <c r="I24" s="261" t="n">
        <v>2</v>
      </c>
      <c r="J24" s="361" t="n">
        <v>0</v>
      </c>
      <c r="K24" s="262" t="n">
        <v>63</v>
      </c>
      <c r="L24" s="262" t="n">
        <v>60</v>
      </c>
      <c r="M24" s="262" t="n">
        <v>55</v>
      </c>
      <c r="N24" s="262" t="n">
        <v>50</v>
      </c>
      <c r="O24" s="262" t="n">
        <v>50</v>
      </c>
      <c r="P24" s="361" t="n">
        <v>71</v>
      </c>
      <c r="Q24" s="261" t="s">
        <v>144</v>
      </c>
      <c r="R24" s="261" t="s">
        <v>146</v>
      </c>
      <c r="S24" s="363" t="n">
        <f aca="false" t="array" ref="S24:S24">IF(COUNTIF('0.3.0 GO Calculation Values'!$J$2:$J$99,C24),(INDEX('0.3.0 GO Calculation Values'!$K$2:$K$99,MATCH(C24,'0.3.0 GO Calculation Values'!$J$2:$J$99,0))),1)</f>
        <v>1</v>
      </c>
      <c r="T24" s="262" t="n">
        <f aca="false">ROUND(ROUND(2*((7/8)*MAX(L24,N24)+(1/8)*MIN(L24,N24)),0)*(1+(P24-75)/500),0)</f>
        <v>117</v>
      </c>
      <c r="U24" s="262" t="n">
        <f aca="false">ROUND(ROUND(2*((5/8)*MAX(M24,O24)+(3/8)*MIN(M24,O24)),0)*(1+(P24-75)/500),0)</f>
        <v>105</v>
      </c>
      <c r="V24" s="361" t="n">
        <f aca="false">ROUNDDOWN(K24*1.75+50,0)</f>
        <v>160</v>
      </c>
      <c r="W24" s="261" t="n">
        <v>1</v>
      </c>
      <c r="X24" s="261" t="s">
        <v>277</v>
      </c>
      <c r="Y24" s="364" t="s">
        <v>277</v>
      </c>
      <c r="Z24" s="364" t="n">
        <v>1</v>
      </c>
      <c r="AA24" s="364"/>
      <c r="AB24" s="365" t="s">
        <v>60</v>
      </c>
      <c r="AC24" s="364"/>
      <c r="AD24" s="364" t="n">
        <v>12</v>
      </c>
      <c r="AE24" s="366"/>
      <c r="AF24" s="364" t="s">
        <v>280</v>
      </c>
      <c r="AG24" s="364" t="s">
        <v>280</v>
      </c>
      <c r="AH24" s="366" t="s">
        <v>280</v>
      </c>
    </row>
    <row r="25" customFormat="false" ht="15.75" hidden="false" customHeight="false" outlineLevel="0" collapsed="false">
      <c r="A25" s="262" t="n">
        <v>18</v>
      </c>
      <c r="B25" s="361" t="n">
        <v>23</v>
      </c>
      <c r="C25" s="261" t="s">
        <v>281</v>
      </c>
      <c r="D25" s="261" t="s">
        <v>7</v>
      </c>
      <c r="E25" s="367" t="s">
        <v>281</v>
      </c>
      <c r="F25" s="261" t="s">
        <v>228</v>
      </c>
      <c r="G25" s="261" t="s">
        <v>144</v>
      </c>
      <c r="H25" s="261" t="n">
        <v>0</v>
      </c>
      <c r="I25" s="261" t="n">
        <v>3</v>
      </c>
      <c r="J25" s="361" t="n">
        <v>1</v>
      </c>
      <c r="K25" s="262" t="n">
        <v>83</v>
      </c>
      <c r="L25" s="262" t="n">
        <v>80</v>
      </c>
      <c r="M25" s="262" t="n">
        <v>75</v>
      </c>
      <c r="N25" s="262" t="n">
        <v>70</v>
      </c>
      <c r="O25" s="262" t="n">
        <v>70</v>
      </c>
      <c r="P25" s="361" t="n">
        <v>101</v>
      </c>
      <c r="Q25" s="261" t="s">
        <v>144</v>
      </c>
      <c r="R25" s="261" t="s">
        <v>146</v>
      </c>
      <c r="S25" s="363" t="n">
        <f aca="false" t="array" ref="S25:S25">IF(COUNTIF('0.3.0 GO Calculation Values'!$J$2:$J$99,C25),(INDEX('0.3.0 GO Calculation Values'!$K$2:$K$99,MATCH(C25,'0.3.0 GO Calculation Values'!$J$2:$J$99,0))),1)</f>
        <v>1</v>
      </c>
      <c r="T25" s="262" t="n">
        <f aca="false">ROUND(ROUND(2*((7/8)*MAX(L25,N25)+(1/8)*MIN(L25,N25)),0)*(1+(P25-75)/500),0)</f>
        <v>166</v>
      </c>
      <c r="U25" s="262" t="n">
        <f aca="false">ROUND(ROUND(2*((5/8)*MAX(M25,O25)+(3/8)*MIN(M25,O25)),0)*(1+(P25-75)/500),0)</f>
        <v>154</v>
      </c>
      <c r="V25" s="361" t="n">
        <f aca="false">ROUNDDOWN(K25*1.75+50,0)</f>
        <v>195</v>
      </c>
      <c r="W25" s="261" t="n">
        <v>1</v>
      </c>
      <c r="X25" s="261" t="s">
        <v>279</v>
      </c>
      <c r="Y25" s="364" t="s">
        <v>277</v>
      </c>
      <c r="Z25" s="364" t="n">
        <v>1</v>
      </c>
      <c r="AA25" s="364"/>
      <c r="AB25" s="365" t="s">
        <v>60</v>
      </c>
      <c r="AC25" s="364"/>
      <c r="AD25" s="364" t="n">
        <v>50</v>
      </c>
      <c r="AE25" s="366"/>
      <c r="AF25" s="364" t="s">
        <v>282</v>
      </c>
      <c r="AG25" s="364" t="s">
        <v>282</v>
      </c>
      <c r="AH25" s="366" t="s">
        <v>282</v>
      </c>
    </row>
    <row r="26" customFormat="false" ht="15.75" hidden="false" customHeight="false" outlineLevel="0" collapsed="false">
      <c r="A26" s="262" t="n">
        <v>18</v>
      </c>
      <c r="B26" s="361" t="n">
        <v>24</v>
      </c>
      <c r="C26" s="261" t="s">
        <v>281</v>
      </c>
      <c r="D26" s="261" t="s">
        <v>283</v>
      </c>
      <c r="E26" s="358" t="s">
        <v>284</v>
      </c>
      <c r="F26" s="261" t="s">
        <v>237</v>
      </c>
      <c r="G26" s="261" t="s">
        <v>144</v>
      </c>
      <c r="H26" s="261" t="n">
        <v>2</v>
      </c>
      <c r="I26" s="261" t="n">
        <v>3</v>
      </c>
      <c r="J26" s="361" t="n">
        <v>1</v>
      </c>
      <c r="K26" s="262" t="n">
        <v>83</v>
      </c>
      <c r="L26" s="262" t="n">
        <v>80</v>
      </c>
      <c r="M26" s="262" t="n">
        <v>80</v>
      </c>
      <c r="N26" s="262" t="n">
        <v>135</v>
      </c>
      <c r="O26" s="262" t="n">
        <v>80</v>
      </c>
      <c r="P26" s="361" t="n">
        <v>121</v>
      </c>
      <c r="Q26" s="261" t="s">
        <v>144</v>
      </c>
      <c r="R26" s="261" t="s">
        <v>146</v>
      </c>
      <c r="S26" s="363" t="n">
        <f aca="false" t="array" ref="S26:S26">IF(COUNTIF('0.3.0 GO Calculation Values'!$J$2:$J$99,C26),(INDEX('0.3.0 GO Calculation Values'!$K$2:$K$99,MATCH(C26,'0.3.0 GO Calculation Values'!$J$2:$J$99,0))),1)</f>
        <v>1</v>
      </c>
      <c r="T26" s="262" t="n">
        <f aca="false">ROUND(ROUND(2*((7/8)*MAX(L26,N26)+(1/8)*MIN(L26,N26)),0)*(1+(P26-75)/500),0)</f>
        <v>280</v>
      </c>
      <c r="U26" s="262" t="n">
        <f aca="false">ROUND(ROUND(2*((5/8)*MAX(M26,O26)+(3/8)*MIN(M26,O26)),0)*(1+(P26-75)/500),0)</f>
        <v>175</v>
      </c>
      <c r="V26" s="361" t="n">
        <f aca="false">ROUNDDOWN(K26*1.75+50,0)</f>
        <v>195</v>
      </c>
      <c r="W26" s="261" t="n">
        <v>0</v>
      </c>
      <c r="X26" s="261" t="s">
        <v>281</v>
      </c>
      <c r="Y26" s="364" t="s">
        <v>277</v>
      </c>
      <c r="Z26" s="364" t="n">
        <v>1</v>
      </c>
      <c r="AA26" s="364"/>
      <c r="AB26" s="365" t="s">
        <v>60</v>
      </c>
      <c r="AC26" s="364"/>
      <c r="AD26" s="364" t="n">
        <v>50</v>
      </c>
      <c r="AE26" s="366"/>
      <c r="AF26" s="364" t="s">
        <v>285</v>
      </c>
      <c r="AG26" s="364" t="s">
        <v>285</v>
      </c>
      <c r="AH26" s="366" t="s">
        <v>285</v>
      </c>
    </row>
    <row r="27" customFormat="false" ht="15.75" hidden="false" customHeight="false" outlineLevel="0" collapsed="false">
      <c r="A27" s="262" t="n">
        <v>19</v>
      </c>
      <c r="B27" s="361" t="n">
        <v>25</v>
      </c>
      <c r="C27" s="261" t="s">
        <v>286</v>
      </c>
      <c r="D27" s="261" t="s">
        <v>7</v>
      </c>
      <c r="E27" s="367" t="s">
        <v>286</v>
      </c>
      <c r="F27" s="261" t="s">
        <v>228</v>
      </c>
      <c r="G27" s="261" t="s">
        <v>144</v>
      </c>
      <c r="H27" s="261" t="n">
        <v>0</v>
      </c>
      <c r="I27" s="261" t="n">
        <v>1</v>
      </c>
      <c r="J27" s="361" t="n">
        <v>0</v>
      </c>
      <c r="K27" s="262" t="n">
        <v>30</v>
      </c>
      <c r="L27" s="262" t="n">
        <v>56</v>
      </c>
      <c r="M27" s="262" t="n">
        <v>35</v>
      </c>
      <c r="N27" s="262" t="n">
        <v>25</v>
      </c>
      <c r="O27" s="262" t="n">
        <v>35</v>
      </c>
      <c r="P27" s="361" t="n">
        <v>72</v>
      </c>
      <c r="Q27" s="261" t="s">
        <v>144</v>
      </c>
      <c r="R27" s="261"/>
      <c r="S27" s="363" t="n">
        <f aca="false" t="array" ref="S27:S27">IF(COUNTIF('0.3.0 GO Calculation Values'!$J$2:$J$99,C27),(INDEX('0.3.0 GO Calculation Values'!$K$2:$K$99,MATCH(C27,'0.3.0 GO Calculation Values'!$J$2:$J$99,0))),1)</f>
        <v>1</v>
      </c>
      <c r="T27" s="262" t="n">
        <f aca="false">ROUND(ROUND(2*((7/8)*MAX(L27,N27)+(1/8)*MIN(L27,N27)),0)*(1+(P27-75)/500),0)</f>
        <v>103</v>
      </c>
      <c r="U27" s="262" t="n">
        <f aca="false">ROUND(ROUND(2*((5/8)*MAX(M27,O27)+(3/8)*MIN(M27,O27)),0)*(1+(P27-75)/500),0)</f>
        <v>70</v>
      </c>
      <c r="V27" s="361" t="n">
        <f aca="false">ROUNDDOWN(K27*1.75+50,0)</f>
        <v>102</v>
      </c>
      <c r="W27" s="261" t="n">
        <v>1</v>
      </c>
      <c r="X27" s="261" t="s">
        <v>60</v>
      </c>
      <c r="Y27" s="364" t="s">
        <v>286</v>
      </c>
      <c r="Z27" s="364" t="n">
        <v>1</v>
      </c>
      <c r="AA27" s="364"/>
      <c r="AB27" s="365" t="s">
        <v>60</v>
      </c>
      <c r="AC27" s="364"/>
      <c r="AD27" s="364" t="n">
        <v>0</v>
      </c>
      <c r="AE27" s="366"/>
      <c r="AF27" s="364" t="s">
        <v>287</v>
      </c>
      <c r="AG27" s="364" t="s">
        <v>287</v>
      </c>
      <c r="AH27" s="366" t="s">
        <v>287</v>
      </c>
    </row>
    <row r="28" customFormat="false" ht="15.75" hidden="false" customHeight="false" outlineLevel="0" collapsed="false">
      <c r="A28" s="262" t="n">
        <v>19</v>
      </c>
      <c r="B28" s="361" t="n">
        <v>26</v>
      </c>
      <c r="C28" s="261" t="s">
        <v>286</v>
      </c>
      <c r="D28" s="261" t="s">
        <v>288</v>
      </c>
      <c r="E28" s="358" t="s">
        <v>289</v>
      </c>
      <c r="F28" s="261" t="s">
        <v>290</v>
      </c>
      <c r="G28" s="261" t="s">
        <v>144</v>
      </c>
      <c r="H28" s="261" t="n">
        <v>1</v>
      </c>
      <c r="I28" s="261" t="n">
        <v>1</v>
      </c>
      <c r="J28" s="361" t="n">
        <v>0</v>
      </c>
      <c r="K28" s="262" t="n">
        <v>30</v>
      </c>
      <c r="L28" s="262" t="n">
        <v>56</v>
      </c>
      <c r="M28" s="262" t="n">
        <v>35</v>
      </c>
      <c r="N28" s="262" t="n">
        <v>25</v>
      </c>
      <c r="O28" s="262" t="n">
        <v>35</v>
      </c>
      <c r="P28" s="361" t="n">
        <v>72</v>
      </c>
      <c r="Q28" s="261" t="s">
        <v>160</v>
      </c>
      <c r="R28" s="261" t="s">
        <v>144</v>
      </c>
      <c r="S28" s="363" t="n">
        <f aca="false" t="array" ref="S28:S28">IF(COUNTIF('0.3.0 GO Calculation Values'!$J$2:$J$99,C28),(INDEX('0.3.0 GO Calculation Values'!$K$2:$K$99,MATCH(C28,'0.3.0 GO Calculation Values'!$J$2:$J$99,0))),1)</f>
        <v>1</v>
      </c>
      <c r="T28" s="262" t="n">
        <f aca="false">ROUND(ROUND(2*((7/8)*MAX(L28,N28)+(1/8)*MIN(L28,N28)),0)*(1+(P28-75)/500),0)</f>
        <v>103</v>
      </c>
      <c r="U28" s="262" t="n">
        <f aca="false">ROUND(ROUND(2*((5/8)*MAX(M28,O28)+(3/8)*MIN(M28,O28)),0)*(1+(P28-75)/500),0)</f>
        <v>70</v>
      </c>
      <c r="V28" s="361" t="n">
        <f aca="false">ROUNDDOWN(K28*1.75+50,0)</f>
        <v>102</v>
      </c>
      <c r="W28" s="261" t="n">
        <v>0</v>
      </c>
      <c r="X28" s="261" t="s">
        <v>60</v>
      </c>
      <c r="Y28" s="364" t="s">
        <v>286</v>
      </c>
      <c r="Z28" s="364" t="n">
        <v>1</v>
      </c>
      <c r="AA28" s="364"/>
      <c r="AB28" s="365"/>
      <c r="AC28" s="364"/>
      <c r="AD28" s="364" t="n">
        <v>0</v>
      </c>
      <c r="AE28" s="366"/>
      <c r="AF28" s="364" t="s">
        <v>291</v>
      </c>
      <c r="AG28" s="261" t="s">
        <v>292</v>
      </c>
      <c r="AH28" s="362" t="s">
        <v>292</v>
      </c>
    </row>
    <row r="29" customFormat="false" ht="15.75" hidden="false" customHeight="false" outlineLevel="0" collapsed="false">
      <c r="A29" s="262" t="n">
        <v>20</v>
      </c>
      <c r="B29" s="361" t="n">
        <v>27</v>
      </c>
      <c r="C29" s="261" t="s">
        <v>293</v>
      </c>
      <c r="D29" s="261" t="s">
        <v>7</v>
      </c>
      <c r="E29" s="367" t="s">
        <v>293</v>
      </c>
      <c r="F29" s="261" t="s">
        <v>228</v>
      </c>
      <c r="G29" s="261" t="s">
        <v>144</v>
      </c>
      <c r="H29" s="261" t="n">
        <v>0</v>
      </c>
      <c r="I29" s="261" t="n">
        <v>2</v>
      </c>
      <c r="J29" s="361" t="n">
        <v>1</v>
      </c>
      <c r="K29" s="262" t="n">
        <v>55</v>
      </c>
      <c r="L29" s="262" t="n">
        <v>81</v>
      </c>
      <c r="M29" s="262" t="n">
        <v>60</v>
      </c>
      <c r="N29" s="262" t="n">
        <v>50</v>
      </c>
      <c r="O29" s="262" t="n">
        <v>70</v>
      </c>
      <c r="P29" s="361" t="n">
        <v>97</v>
      </c>
      <c r="Q29" s="261" t="s">
        <v>144</v>
      </c>
      <c r="R29" s="261"/>
      <c r="S29" s="363" t="n">
        <f aca="false" t="array" ref="S29:S29">IF(COUNTIF('0.3.0 GO Calculation Values'!$J$2:$J$99,C29),(INDEX('0.3.0 GO Calculation Values'!$K$2:$K$99,MATCH(C29,'0.3.0 GO Calculation Values'!$J$2:$J$99,0))),1)</f>
        <v>1</v>
      </c>
      <c r="T29" s="262" t="n">
        <f aca="false">ROUND(ROUND(2*((7/8)*MAX(L29,N29)+(1/8)*MIN(L29,N29)),0)*(1+(P29-75)/500),0)</f>
        <v>161</v>
      </c>
      <c r="U29" s="262" t="n">
        <f aca="false">ROUND(ROUND(2*((5/8)*MAX(M29,O29)+(3/8)*MIN(M29,O29)),0)*(1+(P29-75)/500),0)</f>
        <v>139</v>
      </c>
      <c r="V29" s="361" t="n">
        <f aca="false">ROUNDDOWN(K29*1.75+50,0)</f>
        <v>146</v>
      </c>
      <c r="W29" s="261" t="n">
        <v>1</v>
      </c>
      <c r="X29" s="261" t="s">
        <v>286</v>
      </c>
      <c r="Y29" s="364" t="s">
        <v>286</v>
      </c>
      <c r="Z29" s="364" t="n">
        <v>1</v>
      </c>
      <c r="AA29" s="364"/>
      <c r="AB29" s="365" t="s">
        <v>60</v>
      </c>
      <c r="AC29" s="364"/>
      <c r="AD29" s="364" t="n">
        <v>25</v>
      </c>
      <c r="AE29" s="366"/>
      <c r="AF29" s="364" t="s">
        <v>294</v>
      </c>
      <c r="AG29" s="364" t="s">
        <v>294</v>
      </c>
      <c r="AH29" s="366" t="s">
        <v>294</v>
      </c>
    </row>
    <row r="30" customFormat="false" ht="15.75" hidden="false" customHeight="false" outlineLevel="0" collapsed="false">
      <c r="A30" s="262" t="n">
        <v>20</v>
      </c>
      <c r="B30" s="361" t="n">
        <v>28</v>
      </c>
      <c r="C30" s="261" t="s">
        <v>293</v>
      </c>
      <c r="D30" s="261" t="s">
        <v>288</v>
      </c>
      <c r="E30" s="358" t="s">
        <v>295</v>
      </c>
      <c r="F30" s="261" t="s">
        <v>290</v>
      </c>
      <c r="G30" s="261" t="s">
        <v>144</v>
      </c>
      <c r="H30" s="261" t="n">
        <v>1</v>
      </c>
      <c r="I30" s="261" t="n">
        <v>2</v>
      </c>
      <c r="J30" s="361" t="n">
        <v>1</v>
      </c>
      <c r="K30" s="262" t="n">
        <v>75</v>
      </c>
      <c r="L30" s="262" t="n">
        <v>71</v>
      </c>
      <c r="M30" s="262" t="n">
        <v>70</v>
      </c>
      <c r="N30" s="262" t="n">
        <v>40</v>
      </c>
      <c r="O30" s="262" t="n">
        <v>80</v>
      </c>
      <c r="P30" s="361" t="n">
        <v>77</v>
      </c>
      <c r="Q30" s="261" t="s">
        <v>160</v>
      </c>
      <c r="R30" s="261" t="s">
        <v>144</v>
      </c>
      <c r="S30" s="363" t="n">
        <f aca="false" t="array" ref="S30:S30">IF(COUNTIF('0.3.0 GO Calculation Values'!$J$2:$J$99,C30),(INDEX('0.3.0 GO Calculation Values'!$K$2:$K$99,MATCH(C30,'0.3.0 GO Calculation Values'!$J$2:$J$99,0))),1)</f>
        <v>1</v>
      </c>
      <c r="T30" s="262" t="n">
        <f aca="false">ROUND(ROUND(2*((7/8)*MAX(L30,N30)+(1/8)*MIN(L30,N30)),0)*(1+(P30-75)/500),0)</f>
        <v>135</v>
      </c>
      <c r="U30" s="262" t="n">
        <f aca="false">ROUND(ROUND(2*((5/8)*MAX(M30,O30)+(3/8)*MIN(M30,O30)),0)*(1+(P30-75)/500),0)</f>
        <v>154</v>
      </c>
      <c r="V30" s="361" t="n">
        <f aca="false">ROUNDDOWN(K30*1.75+50,0)</f>
        <v>181</v>
      </c>
      <c r="W30" s="261" t="n">
        <v>0</v>
      </c>
      <c r="X30" s="261" t="s">
        <v>286</v>
      </c>
      <c r="Y30" s="364" t="s">
        <v>286</v>
      </c>
      <c r="Z30" s="364" t="n">
        <v>1</v>
      </c>
      <c r="AA30" s="364"/>
      <c r="AB30" s="365"/>
      <c r="AC30" s="364"/>
      <c r="AD30" s="364" t="n">
        <v>25</v>
      </c>
      <c r="AE30" s="366"/>
      <c r="AF30" s="364" t="s">
        <v>296</v>
      </c>
      <c r="AG30" s="261" t="s">
        <v>297</v>
      </c>
      <c r="AH30" s="362" t="s">
        <v>297</v>
      </c>
    </row>
    <row r="31" customFormat="false" ht="15.75" hidden="false" customHeight="false" outlineLevel="0" collapsed="false">
      <c r="A31" s="262" t="n">
        <v>21</v>
      </c>
      <c r="B31" s="361" t="n">
        <v>29</v>
      </c>
      <c r="C31" s="261" t="s">
        <v>298</v>
      </c>
      <c r="D31" s="261" t="s">
        <v>60</v>
      </c>
      <c r="E31" s="362" t="s">
        <v>298</v>
      </c>
      <c r="F31" s="261" t="s">
        <v>228</v>
      </c>
      <c r="G31" s="261" t="s">
        <v>144</v>
      </c>
      <c r="H31" s="261" t="n">
        <v>0</v>
      </c>
      <c r="I31" s="261" t="n">
        <v>1</v>
      </c>
      <c r="J31" s="361" t="n">
        <v>0</v>
      </c>
      <c r="K31" s="262" t="n">
        <v>40</v>
      </c>
      <c r="L31" s="262" t="n">
        <v>60</v>
      </c>
      <c r="M31" s="262" t="n">
        <v>30</v>
      </c>
      <c r="N31" s="262" t="n">
        <v>31</v>
      </c>
      <c r="O31" s="262" t="n">
        <v>31</v>
      </c>
      <c r="P31" s="361" t="n">
        <v>70</v>
      </c>
      <c r="Q31" s="261" t="s">
        <v>144</v>
      </c>
      <c r="R31" s="261" t="s">
        <v>146</v>
      </c>
      <c r="S31" s="363" t="n">
        <f aca="false" t="array" ref="S31:S31">IF(COUNTIF('0.3.0 GO Calculation Values'!$J$2:$J$99,C31),(INDEX('0.3.0 GO Calculation Values'!$K$2:$K$99,MATCH(C31,'0.3.0 GO Calculation Values'!$J$2:$J$99,0))),1)</f>
        <v>1</v>
      </c>
      <c r="T31" s="262" t="n">
        <f aca="false">ROUND(ROUND(2*((7/8)*MAX(L31,N31)+(1/8)*MIN(L31,N31)),0)*(1+(P31-75)/500),0)</f>
        <v>112</v>
      </c>
      <c r="U31" s="262" t="n">
        <f aca="false">ROUND(ROUND(2*((5/8)*MAX(M31,O31)+(3/8)*MIN(M31,O31)),0)*(1+(P31-75)/500),0)</f>
        <v>60</v>
      </c>
      <c r="V31" s="361" t="n">
        <f aca="false">ROUNDDOWN(K31*1.75+50,0)</f>
        <v>120</v>
      </c>
      <c r="W31" s="261" t="n">
        <v>1</v>
      </c>
      <c r="X31" s="261" t="s">
        <v>60</v>
      </c>
      <c r="Y31" s="364" t="s">
        <v>298</v>
      </c>
      <c r="Z31" s="364" t="n">
        <v>1</v>
      </c>
      <c r="AA31" s="364"/>
      <c r="AB31" s="365" t="s">
        <v>60</v>
      </c>
      <c r="AC31" s="364"/>
      <c r="AD31" s="364" t="n">
        <v>0</v>
      </c>
      <c r="AE31" s="366"/>
      <c r="AF31" s="364" t="s">
        <v>299</v>
      </c>
      <c r="AG31" s="364" t="s">
        <v>299</v>
      </c>
      <c r="AH31" s="366" t="s">
        <v>299</v>
      </c>
    </row>
    <row r="32" customFormat="false" ht="15.75" hidden="false" customHeight="false" outlineLevel="0" collapsed="false">
      <c r="A32" s="262" t="n">
        <v>22</v>
      </c>
      <c r="B32" s="361" t="n">
        <v>30</v>
      </c>
      <c r="C32" s="261" t="s">
        <v>300</v>
      </c>
      <c r="D32" s="261" t="s">
        <v>60</v>
      </c>
      <c r="E32" s="362" t="s">
        <v>300</v>
      </c>
      <c r="F32" s="261" t="s">
        <v>228</v>
      </c>
      <c r="G32" s="261" t="s">
        <v>144</v>
      </c>
      <c r="H32" s="261" t="n">
        <v>0</v>
      </c>
      <c r="I32" s="261" t="n">
        <v>2</v>
      </c>
      <c r="J32" s="361" t="n">
        <v>1</v>
      </c>
      <c r="K32" s="262" t="n">
        <v>65</v>
      </c>
      <c r="L32" s="262" t="n">
        <v>90</v>
      </c>
      <c r="M32" s="262" t="n">
        <v>65</v>
      </c>
      <c r="N32" s="262" t="n">
        <v>61</v>
      </c>
      <c r="O32" s="262" t="n">
        <v>61</v>
      </c>
      <c r="P32" s="361" t="n">
        <v>100</v>
      </c>
      <c r="Q32" s="261" t="s">
        <v>144</v>
      </c>
      <c r="R32" s="261" t="s">
        <v>146</v>
      </c>
      <c r="S32" s="363" t="n">
        <f aca="false" t="array" ref="S32:S32">IF(COUNTIF('0.3.0 GO Calculation Values'!$J$2:$J$99,C32),(INDEX('0.3.0 GO Calculation Values'!$K$2:$K$99,MATCH(C32,'0.3.0 GO Calculation Values'!$J$2:$J$99,0))),1)</f>
        <v>1</v>
      </c>
      <c r="T32" s="262" t="n">
        <f aca="false">ROUND(ROUND(2*((7/8)*MAX(L32,N32)+(1/8)*MIN(L32,N32)),0)*(1+(P32-75)/500),0)</f>
        <v>182</v>
      </c>
      <c r="U32" s="262" t="n">
        <f aca="false">ROUND(ROUND(2*((5/8)*MAX(M32,O32)+(3/8)*MIN(M32,O32)),0)*(1+(P32-75)/500),0)</f>
        <v>133</v>
      </c>
      <c r="V32" s="361" t="n">
        <f aca="false">ROUNDDOWN(K32*1.75+50,0)</f>
        <v>163</v>
      </c>
      <c r="W32" s="261" t="n">
        <v>1</v>
      </c>
      <c r="X32" s="261" t="s">
        <v>298</v>
      </c>
      <c r="Y32" s="364" t="s">
        <v>298</v>
      </c>
      <c r="Z32" s="364" t="n">
        <v>1</v>
      </c>
      <c r="AA32" s="364"/>
      <c r="AB32" s="365" t="s">
        <v>60</v>
      </c>
      <c r="AC32" s="364"/>
      <c r="AD32" s="364" t="n">
        <v>50</v>
      </c>
      <c r="AE32" s="366"/>
      <c r="AF32" s="364" t="s">
        <v>301</v>
      </c>
      <c r="AG32" s="364" t="s">
        <v>301</v>
      </c>
      <c r="AH32" s="366" t="s">
        <v>301</v>
      </c>
    </row>
    <row r="33" customFormat="false" ht="15.75" hidden="false" customHeight="false" outlineLevel="0" collapsed="false">
      <c r="A33" s="262" t="n">
        <v>23</v>
      </c>
      <c r="B33" s="361" t="n">
        <v>31</v>
      </c>
      <c r="C33" s="261" t="s">
        <v>302</v>
      </c>
      <c r="D33" s="261" t="s">
        <v>60</v>
      </c>
      <c r="E33" s="362" t="s">
        <v>302</v>
      </c>
      <c r="F33" s="261" t="s">
        <v>228</v>
      </c>
      <c r="G33" s="261" t="s">
        <v>144</v>
      </c>
      <c r="H33" s="261" t="n">
        <v>0</v>
      </c>
      <c r="I33" s="261" t="n">
        <v>1</v>
      </c>
      <c r="J33" s="361" t="n">
        <v>0</v>
      </c>
      <c r="K33" s="262" t="n">
        <v>35</v>
      </c>
      <c r="L33" s="262" t="n">
        <v>60</v>
      </c>
      <c r="M33" s="262" t="n">
        <v>44</v>
      </c>
      <c r="N33" s="262" t="n">
        <v>40</v>
      </c>
      <c r="O33" s="262" t="n">
        <v>54</v>
      </c>
      <c r="P33" s="361" t="n">
        <v>55</v>
      </c>
      <c r="Q33" s="261" t="s">
        <v>147</v>
      </c>
      <c r="R33" s="261"/>
      <c r="S33" s="363" t="n">
        <f aca="false" t="array" ref="S33:S33">IF(COUNTIF('0.3.0 GO Calculation Values'!$J$2:$J$99,C33),(INDEX('0.3.0 GO Calculation Values'!$K$2:$K$99,MATCH(C33,'0.3.0 GO Calculation Values'!$J$2:$J$99,0))),1)</f>
        <v>1</v>
      </c>
      <c r="T33" s="262" t="n">
        <f aca="false">ROUND(ROUND(2*((7/8)*MAX(L33,N33)+(1/8)*MIN(L33,N33)),0)*(1+(P33-75)/500),0)</f>
        <v>110</v>
      </c>
      <c r="U33" s="262" t="n">
        <f aca="false">ROUND(ROUND(2*((5/8)*MAX(M33,O33)+(3/8)*MIN(M33,O33)),0)*(1+(P33-75)/500),0)</f>
        <v>97</v>
      </c>
      <c r="V33" s="361" t="n">
        <f aca="false">ROUNDDOWN(K33*1.75+50,0)</f>
        <v>111</v>
      </c>
      <c r="W33" s="261" t="n">
        <v>1</v>
      </c>
      <c r="X33" s="261" t="s">
        <v>60</v>
      </c>
      <c r="Y33" s="364" t="s">
        <v>302</v>
      </c>
      <c r="Z33" s="364" t="n">
        <v>3</v>
      </c>
      <c r="AA33" s="364"/>
      <c r="AB33" s="365" t="s">
        <v>60</v>
      </c>
      <c r="AC33" s="364"/>
      <c r="AD33" s="364" t="n">
        <v>0</v>
      </c>
      <c r="AE33" s="366"/>
      <c r="AF33" s="364" t="s">
        <v>303</v>
      </c>
      <c r="AG33" s="364" t="s">
        <v>303</v>
      </c>
      <c r="AH33" s="366" t="s">
        <v>303</v>
      </c>
    </row>
    <row r="34" customFormat="false" ht="15.75" hidden="false" customHeight="false" outlineLevel="0" collapsed="false">
      <c r="A34" s="262" t="n">
        <v>24</v>
      </c>
      <c r="B34" s="361" t="n">
        <v>32</v>
      </c>
      <c r="C34" s="261" t="s">
        <v>304</v>
      </c>
      <c r="D34" s="261" t="s">
        <v>60</v>
      </c>
      <c r="E34" s="362" t="s">
        <v>304</v>
      </c>
      <c r="F34" s="261" t="s">
        <v>228</v>
      </c>
      <c r="G34" s="261" t="s">
        <v>144</v>
      </c>
      <c r="H34" s="261" t="n">
        <v>0</v>
      </c>
      <c r="I34" s="261" t="n">
        <v>2</v>
      </c>
      <c r="J34" s="361" t="n">
        <v>1</v>
      </c>
      <c r="K34" s="262" t="n">
        <v>60</v>
      </c>
      <c r="L34" s="262" t="n">
        <v>85</v>
      </c>
      <c r="M34" s="262" t="n">
        <v>69</v>
      </c>
      <c r="N34" s="262" t="n">
        <v>65</v>
      </c>
      <c r="O34" s="262" t="n">
        <v>79</v>
      </c>
      <c r="P34" s="361" t="n">
        <v>80</v>
      </c>
      <c r="Q34" s="261" t="s">
        <v>147</v>
      </c>
      <c r="R34" s="261"/>
      <c r="S34" s="363" t="n">
        <f aca="false" t="array" ref="S34:S34">IF(COUNTIF('0.3.0 GO Calculation Values'!$J$2:$J$99,C34),(INDEX('0.3.0 GO Calculation Values'!$K$2:$K$99,MATCH(C34,'0.3.0 GO Calculation Values'!$J$2:$J$99,0))),1)</f>
        <v>1</v>
      </c>
      <c r="T34" s="262" t="n">
        <f aca="false">ROUND(ROUND(2*((7/8)*MAX(L34,N34)+(1/8)*MIN(L34,N34)),0)*(1+(P34-75)/500),0)</f>
        <v>167</v>
      </c>
      <c r="U34" s="262" t="n">
        <f aca="false">ROUND(ROUND(2*((5/8)*MAX(M34,O34)+(3/8)*MIN(M34,O34)),0)*(1+(P34-75)/500),0)</f>
        <v>153</v>
      </c>
      <c r="V34" s="361" t="n">
        <f aca="false">ROUNDDOWN(K34*1.75+50,0)</f>
        <v>155</v>
      </c>
      <c r="W34" s="261" t="n">
        <v>1</v>
      </c>
      <c r="X34" s="261" t="s">
        <v>302</v>
      </c>
      <c r="Y34" s="364" t="s">
        <v>302</v>
      </c>
      <c r="Z34" s="364" t="n">
        <v>3</v>
      </c>
      <c r="AA34" s="364"/>
      <c r="AB34" s="365" t="s">
        <v>60</v>
      </c>
      <c r="AC34" s="364"/>
      <c r="AD34" s="364" t="n">
        <v>50</v>
      </c>
      <c r="AE34" s="366"/>
      <c r="AF34" s="364" t="s">
        <v>305</v>
      </c>
      <c r="AG34" s="364" t="s">
        <v>305</v>
      </c>
      <c r="AH34" s="366" t="s">
        <v>305</v>
      </c>
    </row>
    <row r="35" customFormat="false" ht="15.75" hidden="false" customHeight="false" outlineLevel="0" collapsed="false">
      <c r="A35" s="262" t="n">
        <v>25</v>
      </c>
      <c r="B35" s="361" t="n">
        <v>33</v>
      </c>
      <c r="C35" s="261" t="s">
        <v>306</v>
      </c>
      <c r="D35" s="261" t="s">
        <v>60</v>
      </c>
      <c r="E35" s="362" t="s">
        <v>306</v>
      </c>
      <c r="F35" s="261" t="s">
        <v>228</v>
      </c>
      <c r="G35" s="261" t="s">
        <v>144</v>
      </c>
      <c r="H35" s="261" t="n">
        <v>0</v>
      </c>
      <c r="I35" s="261" t="n">
        <v>2</v>
      </c>
      <c r="J35" s="361" t="n">
        <v>0</v>
      </c>
      <c r="K35" s="262" t="n">
        <v>35</v>
      </c>
      <c r="L35" s="262" t="n">
        <v>55</v>
      </c>
      <c r="M35" s="262" t="n">
        <v>40</v>
      </c>
      <c r="N35" s="262" t="n">
        <v>50</v>
      </c>
      <c r="O35" s="262" t="n">
        <v>50</v>
      </c>
      <c r="P35" s="361" t="n">
        <v>90</v>
      </c>
      <c r="Q35" s="261" t="s">
        <v>156</v>
      </c>
      <c r="R35" s="261"/>
      <c r="S35" s="363" t="n">
        <f aca="false" t="array" ref="S35:S35">IF(COUNTIF('0.3.0 GO Calculation Values'!$J$2:$J$99,C35),(INDEX('0.3.0 GO Calculation Values'!$K$2:$K$99,MATCH(C35,'0.3.0 GO Calculation Values'!$J$2:$J$99,0))),1)</f>
        <v>1</v>
      </c>
      <c r="T35" s="262" t="n">
        <f aca="false">ROUND(ROUND(2*((7/8)*MAX(L35,N35)+(1/8)*MIN(L35,N35)),0)*(1+(P35-75)/500),0)</f>
        <v>112</v>
      </c>
      <c r="U35" s="262" t="n">
        <f aca="false">ROUND(ROUND(2*((5/8)*MAX(M35,O35)+(3/8)*MIN(M35,O35)),0)*(1+(P35-75)/500),0)</f>
        <v>96</v>
      </c>
      <c r="V35" s="361" t="n">
        <f aca="false">ROUNDDOWN(K35*1.75+50,0)</f>
        <v>111</v>
      </c>
      <c r="W35" s="261" t="n">
        <v>1</v>
      </c>
      <c r="X35" s="261" t="s">
        <v>307</v>
      </c>
      <c r="Y35" s="364" t="s">
        <v>306</v>
      </c>
      <c r="Z35" s="364" t="n">
        <v>1</v>
      </c>
      <c r="AA35" s="261" t="n">
        <v>42956</v>
      </c>
      <c r="AB35" s="365" t="n">
        <v>2</v>
      </c>
      <c r="AC35" s="364"/>
      <c r="AD35" s="364" t="n">
        <v>25</v>
      </c>
      <c r="AE35" s="366"/>
      <c r="AF35" s="364" t="s">
        <v>308</v>
      </c>
      <c r="AG35" s="364" t="s">
        <v>308</v>
      </c>
      <c r="AH35" s="366" t="s">
        <v>308</v>
      </c>
    </row>
    <row r="36" customFormat="false" ht="15.75" hidden="false" customHeight="false" outlineLevel="0" collapsed="false">
      <c r="A36" s="262" t="n">
        <v>26</v>
      </c>
      <c r="B36" s="361" t="n">
        <v>34</v>
      </c>
      <c r="C36" s="261" t="s">
        <v>309</v>
      </c>
      <c r="D36" s="261" t="s">
        <v>7</v>
      </c>
      <c r="E36" s="367" t="s">
        <v>309</v>
      </c>
      <c r="F36" s="261" t="s">
        <v>228</v>
      </c>
      <c r="G36" s="261" t="s">
        <v>144</v>
      </c>
      <c r="H36" s="261" t="n">
        <v>0</v>
      </c>
      <c r="I36" s="261" t="n">
        <v>3</v>
      </c>
      <c r="J36" s="361" t="n">
        <v>1</v>
      </c>
      <c r="K36" s="262" t="n">
        <v>60</v>
      </c>
      <c r="L36" s="262" t="n">
        <v>90</v>
      </c>
      <c r="M36" s="262" t="n">
        <v>55</v>
      </c>
      <c r="N36" s="262" t="n">
        <v>90</v>
      </c>
      <c r="O36" s="262" t="n">
        <v>80</v>
      </c>
      <c r="P36" s="361" t="n">
        <v>110</v>
      </c>
      <c r="Q36" s="261" t="s">
        <v>156</v>
      </c>
      <c r="R36" s="261"/>
      <c r="S36" s="363" t="n">
        <f aca="false" t="array" ref="S36:S36">IF(COUNTIF('0.3.0 GO Calculation Values'!$J$2:$J$99,C36),(INDEX('0.3.0 GO Calculation Values'!$K$2:$K$99,MATCH(C36,'0.3.0 GO Calculation Values'!$J$2:$J$99,0))),1)</f>
        <v>1</v>
      </c>
      <c r="T36" s="262" t="n">
        <f aca="false">ROUND(ROUND(2*((7/8)*MAX(L36,N36)+(1/8)*MIN(L36,N36)),0)*(1+(P36-75)/500),0)</f>
        <v>193</v>
      </c>
      <c r="U36" s="262" t="n">
        <f aca="false">ROUND(ROUND(2*((5/8)*MAX(M36,O36)+(3/8)*MIN(M36,O36)),0)*(1+(P36-75)/500),0)</f>
        <v>151</v>
      </c>
      <c r="V36" s="361" t="n">
        <f aca="false">ROUNDDOWN(K36*1.75+50,0)</f>
        <v>155</v>
      </c>
      <c r="W36" s="261" t="n">
        <v>1</v>
      </c>
      <c r="X36" s="261" t="s">
        <v>306</v>
      </c>
      <c r="Y36" s="364" t="s">
        <v>306</v>
      </c>
      <c r="Z36" s="364" t="n">
        <v>1</v>
      </c>
      <c r="AA36" s="261" t="n">
        <v>42956</v>
      </c>
      <c r="AB36" s="365" t="n">
        <v>2</v>
      </c>
      <c r="AC36" s="364"/>
      <c r="AD36" s="364" t="n">
        <v>50</v>
      </c>
      <c r="AE36" s="366"/>
      <c r="AF36" s="364" t="s">
        <v>310</v>
      </c>
      <c r="AG36" s="364" t="s">
        <v>310</v>
      </c>
      <c r="AH36" s="366" t="s">
        <v>310</v>
      </c>
    </row>
    <row r="37" customFormat="false" ht="15.75" hidden="false" customHeight="false" outlineLevel="0" collapsed="false">
      <c r="A37" s="262" t="n">
        <v>26</v>
      </c>
      <c r="B37" s="361" t="n">
        <v>35</v>
      </c>
      <c r="C37" s="261" t="s">
        <v>309</v>
      </c>
      <c r="D37" s="261" t="s">
        <v>288</v>
      </c>
      <c r="E37" s="358" t="s">
        <v>311</v>
      </c>
      <c r="F37" s="261" t="s">
        <v>290</v>
      </c>
      <c r="G37" s="261" t="s">
        <v>144</v>
      </c>
      <c r="H37" s="261" t="n">
        <v>1</v>
      </c>
      <c r="I37" s="261" t="n">
        <v>3</v>
      </c>
      <c r="J37" s="361" t="n">
        <v>1</v>
      </c>
      <c r="K37" s="262" t="n">
        <v>60</v>
      </c>
      <c r="L37" s="262" t="n">
        <v>85</v>
      </c>
      <c r="M37" s="262" t="n">
        <v>50</v>
      </c>
      <c r="N37" s="262" t="n">
        <v>95</v>
      </c>
      <c r="O37" s="262" t="n">
        <v>85</v>
      </c>
      <c r="P37" s="361" t="n">
        <v>110</v>
      </c>
      <c r="Q37" s="261" t="s">
        <v>156</v>
      </c>
      <c r="R37" s="261" t="s">
        <v>157</v>
      </c>
      <c r="S37" s="363" t="n">
        <f aca="false" t="array" ref="S37:S37">IF(COUNTIF('0.3.0 GO Calculation Values'!$J$2:$J$99,C37),(INDEX('0.3.0 GO Calculation Values'!$K$2:$K$99,MATCH(C37,'0.3.0 GO Calculation Values'!$J$2:$J$99,0))),1)</f>
        <v>1</v>
      </c>
      <c r="T37" s="262" t="n">
        <f aca="false">ROUND(ROUND(2*((7/8)*MAX(L37,N37)+(1/8)*MIN(L37,N37)),0)*(1+(P37-75)/500),0)</f>
        <v>201</v>
      </c>
      <c r="U37" s="262" t="n">
        <f aca="false">ROUND(ROUND(2*((5/8)*MAX(M37,O37)+(3/8)*MIN(M37,O37)),0)*(1+(P37-75)/500),0)</f>
        <v>154</v>
      </c>
      <c r="V37" s="361" t="n">
        <f aca="false">ROUNDDOWN(K37*1.75+50,0)</f>
        <v>155</v>
      </c>
      <c r="W37" s="261" t="n">
        <v>0</v>
      </c>
      <c r="X37" s="261" t="s">
        <v>306</v>
      </c>
      <c r="Y37" s="364" t="s">
        <v>306</v>
      </c>
      <c r="Z37" s="364" t="n">
        <v>1</v>
      </c>
      <c r="AA37" s="364"/>
      <c r="AB37" s="365"/>
      <c r="AC37" s="364"/>
      <c r="AD37" s="364" t="n">
        <v>50</v>
      </c>
      <c r="AE37" s="366"/>
      <c r="AF37" s="364" t="s">
        <v>312</v>
      </c>
      <c r="AG37" s="261" t="s">
        <v>313</v>
      </c>
      <c r="AH37" s="362" t="s">
        <v>313</v>
      </c>
    </row>
    <row r="38" customFormat="false" ht="15.75" hidden="false" customHeight="false" outlineLevel="0" collapsed="false">
      <c r="A38" s="262" t="n">
        <v>27</v>
      </c>
      <c r="B38" s="361" t="n">
        <v>36</v>
      </c>
      <c r="C38" s="261" t="s">
        <v>314</v>
      </c>
      <c r="D38" s="261" t="s">
        <v>7</v>
      </c>
      <c r="E38" s="367" t="s">
        <v>314</v>
      </c>
      <c r="F38" s="261" t="s">
        <v>228</v>
      </c>
      <c r="G38" s="261" t="s">
        <v>144</v>
      </c>
      <c r="H38" s="261" t="n">
        <v>0</v>
      </c>
      <c r="I38" s="261" t="n">
        <v>1</v>
      </c>
      <c r="J38" s="361" t="n">
        <v>0</v>
      </c>
      <c r="K38" s="262" t="n">
        <v>50</v>
      </c>
      <c r="L38" s="262" t="n">
        <v>75</v>
      </c>
      <c r="M38" s="262" t="n">
        <v>85</v>
      </c>
      <c r="N38" s="262" t="n">
        <v>20</v>
      </c>
      <c r="O38" s="262" t="n">
        <v>30</v>
      </c>
      <c r="P38" s="361" t="n">
        <v>40</v>
      </c>
      <c r="Q38" s="261" t="s">
        <v>148</v>
      </c>
      <c r="R38" s="261"/>
      <c r="S38" s="363" t="n">
        <f aca="false" t="array" ref="S38:S38">IF(COUNTIF('0.3.0 GO Calculation Values'!$J$2:$J$99,C38),(INDEX('0.3.0 GO Calculation Values'!$K$2:$K$99,MATCH(C38,'0.3.0 GO Calculation Values'!$J$2:$J$99,0))),1)</f>
        <v>1</v>
      </c>
      <c r="T38" s="262" t="n">
        <f aca="false">ROUND(ROUND(2*((7/8)*MAX(L38,N38)+(1/8)*MIN(L38,N38)),0)*(1+(P38-75)/500),0)</f>
        <v>126</v>
      </c>
      <c r="U38" s="262" t="n">
        <f aca="false">ROUND(ROUND(2*((5/8)*MAX(M38,O38)+(3/8)*MIN(M38,O38)),0)*(1+(P38-75)/500),0)</f>
        <v>120</v>
      </c>
      <c r="V38" s="361" t="n">
        <f aca="false">ROUNDDOWN(K38*1.75+50,0)</f>
        <v>137</v>
      </c>
      <c r="W38" s="261" t="n">
        <v>1</v>
      </c>
      <c r="X38" s="261" t="s">
        <v>60</v>
      </c>
      <c r="Y38" s="364" t="s">
        <v>314</v>
      </c>
      <c r="Z38" s="364" t="n">
        <v>3</v>
      </c>
      <c r="AA38" s="364"/>
      <c r="AB38" s="365" t="s">
        <v>60</v>
      </c>
      <c r="AC38" s="364"/>
      <c r="AD38" s="364" t="n">
        <v>0</v>
      </c>
      <c r="AE38" s="366"/>
      <c r="AF38" s="364" t="s">
        <v>315</v>
      </c>
      <c r="AG38" s="364" t="s">
        <v>315</v>
      </c>
      <c r="AH38" s="366" t="s">
        <v>315</v>
      </c>
    </row>
    <row r="39" customFormat="false" ht="15.75" hidden="false" customHeight="false" outlineLevel="0" collapsed="false">
      <c r="A39" s="262" t="n">
        <v>27</v>
      </c>
      <c r="B39" s="361" t="n">
        <v>37</v>
      </c>
      <c r="C39" s="261" t="s">
        <v>314</v>
      </c>
      <c r="D39" s="261" t="s">
        <v>288</v>
      </c>
      <c r="E39" s="358" t="s">
        <v>316</v>
      </c>
      <c r="F39" s="261" t="s">
        <v>290</v>
      </c>
      <c r="G39" s="261" t="s">
        <v>144</v>
      </c>
      <c r="H39" s="261" t="n">
        <v>1</v>
      </c>
      <c r="I39" s="261" t="n">
        <v>1</v>
      </c>
      <c r="J39" s="361" t="n">
        <v>0</v>
      </c>
      <c r="K39" s="262" t="n">
        <v>50</v>
      </c>
      <c r="L39" s="262" t="n">
        <v>75</v>
      </c>
      <c r="M39" s="262" t="n">
        <v>90</v>
      </c>
      <c r="N39" s="262" t="n">
        <v>10</v>
      </c>
      <c r="O39" s="262" t="n">
        <v>35</v>
      </c>
      <c r="P39" s="361" t="n">
        <v>40</v>
      </c>
      <c r="Q39" s="261" t="s">
        <v>158</v>
      </c>
      <c r="R39" s="261" t="s">
        <v>152</v>
      </c>
      <c r="S39" s="363" t="n">
        <f aca="false" t="array" ref="S39:S39">IF(COUNTIF('0.3.0 GO Calculation Values'!$J$2:$J$99,C39),(INDEX('0.3.0 GO Calculation Values'!$K$2:$K$99,MATCH(C39,'0.3.0 GO Calculation Values'!$J$2:$J$99,0))),1)</f>
        <v>1</v>
      </c>
      <c r="T39" s="262" t="n">
        <f aca="false">ROUND(ROUND(2*((7/8)*MAX(L39,N39)+(1/8)*MIN(L39,N39)),0)*(1+(P39-75)/500),0)</f>
        <v>125</v>
      </c>
      <c r="U39" s="262" t="n">
        <f aca="false">ROUND(ROUND(2*((5/8)*MAX(M39,O39)+(3/8)*MIN(M39,O39)),0)*(1+(P39-75)/500),0)</f>
        <v>129</v>
      </c>
      <c r="V39" s="361" t="n">
        <f aca="false">ROUNDDOWN(K39*1.75+50,0)</f>
        <v>137</v>
      </c>
      <c r="W39" s="261" t="n">
        <v>0</v>
      </c>
      <c r="X39" s="261" t="s">
        <v>60</v>
      </c>
      <c r="Y39" s="364" t="s">
        <v>314</v>
      </c>
      <c r="Z39" s="364" t="n">
        <v>3</v>
      </c>
      <c r="AA39" s="364"/>
      <c r="AB39" s="365"/>
      <c r="AC39" s="364"/>
      <c r="AD39" s="364" t="n">
        <v>0</v>
      </c>
      <c r="AE39" s="366"/>
      <c r="AF39" s="364" t="s">
        <v>317</v>
      </c>
      <c r="AG39" s="261" t="s">
        <v>318</v>
      </c>
      <c r="AH39" s="362" t="s">
        <v>318</v>
      </c>
    </row>
    <row r="40" customFormat="false" ht="15.75" hidden="false" customHeight="false" outlineLevel="0" collapsed="false">
      <c r="A40" s="262" t="n">
        <v>28</v>
      </c>
      <c r="B40" s="361" t="n">
        <v>38</v>
      </c>
      <c r="C40" s="261" t="s">
        <v>319</v>
      </c>
      <c r="D40" s="261" t="s">
        <v>7</v>
      </c>
      <c r="E40" s="367" t="s">
        <v>319</v>
      </c>
      <c r="F40" s="261" t="s">
        <v>228</v>
      </c>
      <c r="G40" s="261" t="s">
        <v>144</v>
      </c>
      <c r="H40" s="261" t="n">
        <v>0</v>
      </c>
      <c r="I40" s="261" t="n">
        <v>2</v>
      </c>
      <c r="J40" s="361" t="n">
        <v>1</v>
      </c>
      <c r="K40" s="262" t="n">
        <v>75</v>
      </c>
      <c r="L40" s="262" t="n">
        <v>100</v>
      </c>
      <c r="M40" s="262" t="n">
        <v>110</v>
      </c>
      <c r="N40" s="262" t="n">
        <v>45</v>
      </c>
      <c r="O40" s="262" t="n">
        <v>55</v>
      </c>
      <c r="P40" s="361" t="n">
        <v>65</v>
      </c>
      <c r="Q40" s="261" t="s">
        <v>148</v>
      </c>
      <c r="R40" s="261"/>
      <c r="S40" s="363" t="n">
        <f aca="false" t="array" ref="S40:S40">IF(COUNTIF('0.3.0 GO Calculation Values'!$J$2:$J$99,C40),(INDEX('0.3.0 GO Calculation Values'!$K$2:$K$99,MATCH(C40,'0.3.0 GO Calculation Values'!$J$2:$J$99,0))),1)</f>
        <v>1</v>
      </c>
      <c r="T40" s="262" t="n">
        <f aca="false">ROUND(ROUND(2*((7/8)*MAX(L40,N40)+(1/8)*MIN(L40,N40)),0)*(1+(P40-75)/500),0)</f>
        <v>182</v>
      </c>
      <c r="U40" s="262" t="n">
        <f aca="false">ROUND(ROUND(2*((5/8)*MAX(M40,O40)+(3/8)*MIN(M40,O40)),0)*(1+(P40-75)/500),0)</f>
        <v>175</v>
      </c>
      <c r="V40" s="361" t="n">
        <f aca="false">ROUNDDOWN(K40*1.75+50,0)</f>
        <v>181</v>
      </c>
      <c r="W40" s="261" t="n">
        <v>1</v>
      </c>
      <c r="X40" s="261" t="s">
        <v>314</v>
      </c>
      <c r="Y40" s="364" t="s">
        <v>314</v>
      </c>
      <c r="Z40" s="364" t="n">
        <v>3</v>
      </c>
      <c r="AA40" s="364"/>
      <c r="AB40" s="365" t="s">
        <v>60</v>
      </c>
      <c r="AC40" s="364"/>
      <c r="AD40" s="364" t="n">
        <v>50</v>
      </c>
      <c r="AE40" s="366"/>
      <c r="AF40" s="364" t="s">
        <v>320</v>
      </c>
      <c r="AG40" s="364" t="s">
        <v>320</v>
      </c>
      <c r="AH40" s="366" t="s">
        <v>320</v>
      </c>
    </row>
    <row r="41" customFormat="false" ht="15.75" hidden="false" customHeight="false" outlineLevel="0" collapsed="false">
      <c r="A41" s="262" t="n">
        <v>28</v>
      </c>
      <c r="B41" s="361" t="n">
        <v>39</v>
      </c>
      <c r="C41" s="261" t="s">
        <v>319</v>
      </c>
      <c r="D41" s="261" t="s">
        <v>288</v>
      </c>
      <c r="E41" s="358" t="s">
        <v>321</v>
      </c>
      <c r="F41" s="261" t="s">
        <v>290</v>
      </c>
      <c r="G41" s="261" t="s">
        <v>144</v>
      </c>
      <c r="H41" s="261" t="n">
        <v>1</v>
      </c>
      <c r="I41" s="261" t="n">
        <v>2</v>
      </c>
      <c r="J41" s="361" t="n">
        <v>1</v>
      </c>
      <c r="K41" s="262" t="n">
        <v>75</v>
      </c>
      <c r="L41" s="262" t="n">
        <v>100</v>
      </c>
      <c r="M41" s="262" t="n">
        <v>120</v>
      </c>
      <c r="N41" s="262" t="n">
        <v>25</v>
      </c>
      <c r="O41" s="262" t="n">
        <v>65</v>
      </c>
      <c r="P41" s="361" t="n">
        <v>65</v>
      </c>
      <c r="Q41" s="261" t="s">
        <v>158</v>
      </c>
      <c r="R41" s="261" t="s">
        <v>152</v>
      </c>
      <c r="S41" s="363" t="n">
        <f aca="false" t="array" ref="S41:S41">IF(COUNTIF('0.3.0 GO Calculation Values'!$J$2:$J$99,C41),(INDEX('0.3.0 GO Calculation Values'!$K$2:$K$99,MATCH(C41,'0.3.0 GO Calculation Values'!$J$2:$J$99,0))),1)</f>
        <v>1</v>
      </c>
      <c r="T41" s="262" t="n">
        <f aca="false">ROUND(ROUND(2*((7/8)*MAX(L41,N41)+(1/8)*MIN(L41,N41)),0)*(1+(P41-75)/500),0)</f>
        <v>177</v>
      </c>
      <c r="U41" s="262" t="n">
        <f aca="false">ROUND(ROUND(2*((5/8)*MAX(M41,O41)+(3/8)*MIN(M41,O41)),0)*(1+(P41-75)/500),0)</f>
        <v>195</v>
      </c>
      <c r="V41" s="361" t="n">
        <f aca="false">ROUNDDOWN(K41*1.75+50,0)</f>
        <v>181</v>
      </c>
      <c r="W41" s="261" t="n">
        <v>0</v>
      </c>
      <c r="X41" s="261" t="s">
        <v>314</v>
      </c>
      <c r="Y41" s="364" t="s">
        <v>314</v>
      </c>
      <c r="Z41" s="364" t="n">
        <v>3</v>
      </c>
      <c r="AA41" s="364"/>
      <c r="AB41" s="365"/>
      <c r="AC41" s="364"/>
      <c r="AD41" s="364" t="n">
        <v>50</v>
      </c>
      <c r="AE41" s="366"/>
      <c r="AF41" s="364" t="s">
        <v>322</v>
      </c>
      <c r="AG41" s="261" t="s">
        <v>323</v>
      </c>
      <c r="AH41" s="362" t="s">
        <v>323</v>
      </c>
    </row>
    <row r="42" customFormat="false" ht="15.75" hidden="false" customHeight="false" outlineLevel="0" collapsed="false">
      <c r="A42" s="262" t="n">
        <v>29</v>
      </c>
      <c r="B42" s="361" t="n">
        <v>40</v>
      </c>
      <c r="C42" s="261" t="s">
        <v>324</v>
      </c>
      <c r="D42" s="261" t="s">
        <v>60</v>
      </c>
      <c r="E42" s="362" t="s">
        <v>324</v>
      </c>
      <c r="F42" s="261" t="s">
        <v>228</v>
      </c>
      <c r="G42" s="261" t="s">
        <v>144</v>
      </c>
      <c r="H42" s="261" t="n">
        <v>0</v>
      </c>
      <c r="I42" s="261" t="n">
        <v>1</v>
      </c>
      <c r="J42" s="361" t="n">
        <v>0</v>
      </c>
      <c r="K42" s="262" t="n">
        <v>55</v>
      </c>
      <c r="L42" s="262" t="n">
        <v>47</v>
      </c>
      <c r="M42" s="262" t="n">
        <v>52</v>
      </c>
      <c r="N42" s="262" t="n">
        <v>40</v>
      </c>
      <c r="O42" s="262" t="n">
        <v>40</v>
      </c>
      <c r="P42" s="361" t="n">
        <v>41</v>
      </c>
      <c r="Q42" s="261" t="s">
        <v>147</v>
      </c>
      <c r="R42" s="261"/>
      <c r="S42" s="363" t="n">
        <f aca="false" t="array" ref="S42:S42">IF(COUNTIF('0.3.0 GO Calculation Values'!$J$2:$J$99,C42),(INDEX('0.3.0 GO Calculation Values'!$K$2:$K$99,MATCH(C42,'0.3.0 GO Calculation Values'!$J$2:$J$99,0))),1)</f>
        <v>1</v>
      </c>
      <c r="T42" s="262" t="n">
        <f aca="false">ROUND(ROUND(2*((7/8)*MAX(L42,N42)+(1/8)*MIN(L42,N42)),0)*(1+(P42-75)/500),0)</f>
        <v>86</v>
      </c>
      <c r="U42" s="262" t="n">
        <f aca="false">ROUND(ROUND(2*((5/8)*MAX(M42,O42)+(3/8)*MIN(M42,O42)),0)*(1+(P42-75)/500),0)</f>
        <v>89</v>
      </c>
      <c r="V42" s="361" t="n">
        <f aca="false">ROUNDDOWN(K42*1.75+50,0)</f>
        <v>146</v>
      </c>
      <c r="W42" s="261" t="n">
        <v>1</v>
      </c>
      <c r="X42" s="261" t="s">
        <v>60</v>
      </c>
      <c r="Y42" s="364" t="s">
        <v>324</v>
      </c>
      <c r="Z42" s="364" t="n">
        <v>3</v>
      </c>
      <c r="AA42" s="364"/>
      <c r="AB42" s="365" t="s">
        <v>60</v>
      </c>
      <c r="AC42" s="364"/>
      <c r="AD42" s="364" t="n">
        <v>0</v>
      </c>
      <c r="AE42" s="366"/>
      <c r="AF42" s="261" t="s">
        <v>325</v>
      </c>
      <c r="AG42" s="261" t="s">
        <v>325</v>
      </c>
      <c r="AH42" s="362" t="s">
        <v>325</v>
      </c>
    </row>
    <row r="43" customFormat="false" ht="15.75" hidden="false" customHeight="false" outlineLevel="0" collapsed="false">
      <c r="A43" s="262" t="n">
        <v>30</v>
      </c>
      <c r="B43" s="361" t="n">
        <v>41</v>
      </c>
      <c r="C43" s="261" t="s">
        <v>326</v>
      </c>
      <c r="D43" s="261" t="s">
        <v>60</v>
      </c>
      <c r="E43" s="362" t="s">
        <v>326</v>
      </c>
      <c r="F43" s="261" t="s">
        <v>228</v>
      </c>
      <c r="G43" s="261" t="s">
        <v>144</v>
      </c>
      <c r="H43" s="261" t="n">
        <v>0</v>
      </c>
      <c r="I43" s="261" t="n">
        <v>2</v>
      </c>
      <c r="J43" s="361" t="n">
        <v>0</v>
      </c>
      <c r="K43" s="262" t="n">
        <v>70</v>
      </c>
      <c r="L43" s="262" t="n">
        <v>62</v>
      </c>
      <c r="M43" s="262" t="n">
        <v>67</v>
      </c>
      <c r="N43" s="262" t="n">
        <v>55</v>
      </c>
      <c r="O43" s="262" t="n">
        <v>55</v>
      </c>
      <c r="P43" s="361" t="n">
        <v>56</v>
      </c>
      <c r="Q43" s="261" t="s">
        <v>147</v>
      </c>
      <c r="R43" s="261"/>
      <c r="S43" s="363" t="n">
        <f aca="false" t="array" ref="S43:S43">IF(COUNTIF('0.3.0 GO Calculation Values'!$J$2:$J$99,C43),(INDEX('0.3.0 GO Calculation Values'!$K$2:$K$99,MATCH(C43,'0.3.0 GO Calculation Values'!$J$2:$J$99,0))),1)</f>
        <v>1</v>
      </c>
      <c r="T43" s="262" t="n">
        <f aca="false">ROUND(ROUND(2*((7/8)*MAX(L43,N43)+(1/8)*MIN(L43,N43)),0)*(1+(P43-75)/500),0)</f>
        <v>117</v>
      </c>
      <c r="U43" s="262" t="n">
        <f aca="false">ROUND(ROUND(2*((5/8)*MAX(M43,O43)+(3/8)*MIN(M43,O43)),0)*(1+(P43-75)/500),0)</f>
        <v>120</v>
      </c>
      <c r="V43" s="361" t="n">
        <f aca="false">ROUNDDOWN(K43*1.75+50,0)</f>
        <v>172</v>
      </c>
      <c r="W43" s="261" t="n">
        <v>1</v>
      </c>
      <c r="X43" s="261" t="s">
        <v>324</v>
      </c>
      <c r="Y43" s="364" t="s">
        <v>324</v>
      </c>
      <c r="Z43" s="364" t="n">
        <v>3</v>
      </c>
      <c r="AA43" s="364"/>
      <c r="AB43" s="365" t="s">
        <v>60</v>
      </c>
      <c r="AC43" s="364"/>
      <c r="AD43" s="364" t="n">
        <v>25</v>
      </c>
      <c r="AE43" s="366"/>
      <c r="AF43" s="364" t="s">
        <v>327</v>
      </c>
      <c r="AG43" s="364" t="s">
        <v>327</v>
      </c>
      <c r="AH43" s="366" t="s">
        <v>327</v>
      </c>
    </row>
    <row r="44" customFormat="false" ht="15.75" hidden="false" customHeight="false" outlineLevel="0" collapsed="false">
      <c r="A44" s="262" t="n">
        <v>31</v>
      </c>
      <c r="B44" s="361" t="n">
        <v>42</v>
      </c>
      <c r="C44" s="261" t="s">
        <v>328</v>
      </c>
      <c r="D44" s="261" t="s">
        <v>60</v>
      </c>
      <c r="E44" s="362" t="s">
        <v>328</v>
      </c>
      <c r="F44" s="261" t="s">
        <v>228</v>
      </c>
      <c r="G44" s="261" t="s">
        <v>144</v>
      </c>
      <c r="H44" s="261" t="n">
        <v>0</v>
      </c>
      <c r="I44" s="261" t="n">
        <v>3</v>
      </c>
      <c r="J44" s="361" t="n">
        <v>1</v>
      </c>
      <c r="K44" s="262" t="n">
        <v>90</v>
      </c>
      <c r="L44" s="262" t="n">
        <v>92</v>
      </c>
      <c r="M44" s="262" t="n">
        <v>87</v>
      </c>
      <c r="N44" s="262" t="n">
        <v>75</v>
      </c>
      <c r="O44" s="262" t="n">
        <v>85</v>
      </c>
      <c r="P44" s="361" t="n">
        <v>76</v>
      </c>
      <c r="Q44" s="261" t="s">
        <v>147</v>
      </c>
      <c r="R44" s="261" t="s">
        <v>148</v>
      </c>
      <c r="S44" s="363" t="n">
        <f aca="false" t="array" ref="S44:S44">IF(COUNTIF('0.3.0 GO Calculation Values'!$J$2:$J$99,C44),(INDEX('0.3.0 GO Calculation Values'!$K$2:$K$99,MATCH(C44,'0.3.0 GO Calculation Values'!$J$2:$J$99,0))),1)</f>
        <v>1</v>
      </c>
      <c r="T44" s="262" t="n">
        <f aca="false">ROUND(ROUND(2*((7/8)*MAX(L44,N44)+(1/8)*MIN(L44,N44)),0)*(1+(P44-75)/500),0)</f>
        <v>180</v>
      </c>
      <c r="U44" s="262" t="n">
        <f aca="false">ROUND(ROUND(2*((5/8)*MAX(M44,O44)+(3/8)*MIN(M44,O44)),0)*(1+(P44-75)/500),0)</f>
        <v>173</v>
      </c>
      <c r="V44" s="361" t="n">
        <f aca="false">ROUNDDOWN(K44*1.75+50,0)</f>
        <v>207</v>
      </c>
      <c r="W44" s="261" t="n">
        <v>1</v>
      </c>
      <c r="X44" s="261" t="s">
        <v>326</v>
      </c>
      <c r="Y44" s="364" t="s">
        <v>324</v>
      </c>
      <c r="Z44" s="364" t="n">
        <v>3</v>
      </c>
      <c r="AA44" s="364"/>
      <c r="AB44" s="365" t="s">
        <v>60</v>
      </c>
      <c r="AC44" s="364"/>
      <c r="AD44" s="364" t="n">
        <v>100</v>
      </c>
      <c r="AE44" s="366"/>
      <c r="AF44" s="364" t="s">
        <v>329</v>
      </c>
      <c r="AG44" s="364" t="s">
        <v>329</v>
      </c>
      <c r="AH44" s="366" t="s">
        <v>329</v>
      </c>
    </row>
    <row r="45" customFormat="false" ht="15.75" hidden="false" customHeight="false" outlineLevel="0" collapsed="false">
      <c r="A45" s="262" t="n">
        <v>32</v>
      </c>
      <c r="B45" s="361" t="n">
        <v>43</v>
      </c>
      <c r="C45" s="261" t="s">
        <v>330</v>
      </c>
      <c r="D45" s="261" t="s">
        <v>60</v>
      </c>
      <c r="E45" s="362" t="s">
        <v>330</v>
      </c>
      <c r="F45" s="261" t="s">
        <v>228</v>
      </c>
      <c r="G45" s="261" t="s">
        <v>144</v>
      </c>
      <c r="H45" s="261" t="n">
        <v>0</v>
      </c>
      <c r="I45" s="261" t="n">
        <v>1</v>
      </c>
      <c r="J45" s="361" t="n">
        <v>0</v>
      </c>
      <c r="K45" s="262" t="n">
        <v>46</v>
      </c>
      <c r="L45" s="262" t="n">
        <v>57</v>
      </c>
      <c r="M45" s="262" t="n">
        <v>40</v>
      </c>
      <c r="N45" s="262" t="n">
        <v>40</v>
      </c>
      <c r="O45" s="262" t="n">
        <v>40</v>
      </c>
      <c r="P45" s="361" t="n">
        <v>50</v>
      </c>
      <c r="Q45" s="261" t="s">
        <v>147</v>
      </c>
      <c r="R45" s="261"/>
      <c r="S45" s="363" t="n">
        <f aca="false" t="array" ref="S45:S45">IF(COUNTIF('0.3.0 GO Calculation Values'!$J$2:$J$99,C45),(INDEX('0.3.0 GO Calculation Values'!$K$2:$K$99,MATCH(C45,'0.3.0 GO Calculation Values'!$J$2:$J$99,0))),1)</f>
        <v>1</v>
      </c>
      <c r="T45" s="262" t="n">
        <f aca="false">ROUND(ROUND(2*((7/8)*MAX(L45,N45)+(1/8)*MIN(L45,N45)),0)*(1+(P45-75)/500),0)</f>
        <v>105</v>
      </c>
      <c r="U45" s="262" t="n">
        <f aca="false">ROUND(ROUND(2*((5/8)*MAX(M45,O45)+(3/8)*MIN(M45,O45)),0)*(1+(P45-75)/500),0)</f>
        <v>76</v>
      </c>
      <c r="V45" s="361" t="n">
        <f aca="false">ROUNDDOWN(K45*1.75+50,0)</f>
        <v>130</v>
      </c>
      <c r="W45" s="261" t="n">
        <v>1</v>
      </c>
      <c r="X45" s="261" t="s">
        <v>60</v>
      </c>
      <c r="Y45" s="364" t="s">
        <v>330</v>
      </c>
      <c r="Z45" s="364" t="n">
        <v>3</v>
      </c>
      <c r="AA45" s="364"/>
      <c r="AB45" s="365" t="s">
        <v>60</v>
      </c>
      <c r="AC45" s="364"/>
      <c r="AD45" s="364" t="n">
        <v>0</v>
      </c>
      <c r="AE45" s="366"/>
      <c r="AF45" s="261" t="s">
        <v>331</v>
      </c>
      <c r="AG45" s="261" t="s">
        <v>331</v>
      </c>
      <c r="AH45" s="362" t="s">
        <v>331</v>
      </c>
    </row>
    <row r="46" customFormat="false" ht="15.75" hidden="false" customHeight="false" outlineLevel="0" collapsed="false">
      <c r="A46" s="262" t="n">
        <v>33</v>
      </c>
      <c r="B46" s="361" t="n">
        <v>44</v>
      </c>
      <c r="C46" s="261" t="s">
        <v>332</v>
      </c>
      <c r="D46" s="261" t="s">
        <v>60</v>
      </c>
      <c r="E46" s="362" t="s">
        <v>332</v>
      </c>
      <c r="F46" s="261" t="s">
        <v>228</v>
      </c>
      <c r="G46" s="261" t="s">
        <v>144</v>
      </c>
      <c r="H46" s="261" t="n">
        <v>0</v>
      </c>
      <c r="I46" s="261" t="n">
        <v>2</v>
      </c>
      <c r="J46" s="361" t="n">
        <v>0</v>
      </c>
      <c r="K46" s="262" t="n">
        <v>61</v>
      </c>
      <c r="L46" s="262" t="n">
        <v>72</v>
      </c>
      <c r="M46" s="262" t="n">
        <v>57</v>
      </c>
      <c r="N46" s="262" t="n">
        <v>55</v>
      </c>
      <c r="O46" s="262" t="n">
        <v>55</v>
      </c>
      <c r="P46" s="361" t="n">
        <v>65</v>
      </c>
      <c r="Q46" s="261" t="s">
        <v>147</v>
      </c>
      <c r="R46" s="261"/>
      <c r="S46" s="363" t="n">
        <f aca="false" t="array" ref="S46:S46">IF(COUNTIF('0.3.0 GO Calculation Values'!$J$2:$J$99,C46),(INDEX('0.3.0 GO Calculation Values'!$K$2:$K$99,MATCH(C46,'0.3.0 GO Calculation Values'!$J$2:$J$99,0))),1)</f>
        <v>1</v>
      </c>
      <c r="T46" s="262" t="n">
        <f aca="false">ROUND(ROUND(2*((7/8)*MAX(L46,N46)+(1/8)*MIN(L46,N46)),0)*(1+(P46-75)/500),0)</f>
        <v>137</v>
      </c>
      <c r="U46" s="262" t="n">
        <f aca="false">ROUND(ROUND(2*((5/8)*MAX(M46,O46)+(3/8)*MIN(M46,O46)),0)*(1+(P46-75)/500),0)</f>
        <v>111</v>
      </c>
      <c r="V46" s="361" t="n">
        <f aca="false">ROUNDDOWN(K46*1.75+50,0)</f>
        <v>156</v>
      </c>
      <c r="W46" s="261" t="n">
        <v>1</v>
      </c>
      <c r="X46" s="261" t="s">
        <v>330</v>
      </c>
      <c r="Y46" s="364" t="s">
        <v>330</v>
      </c>
      <c r="Z46" s="364" t="n">
        <v>3</v>
      </c>
      <c r="AA46" s="364"/>
      <c r="AB46" s="365" t="s">
        <v>60</v>
      </c>
      <c r="AC46" s="364"/>
      <c r="AD46" s="364" t="n">
        <v>25</v>
      </c>
      <c r="AE46" s="366"/>
      <c r="AF46" s="364" t="s">
        <v>333</v>
      </c>
      <c r="AG46" s="364" t="s">
        <v>333</v>
      </c>
      <c r="AH46" s="366" t="s">
        <v>333</v>
      </c>
    </row>
    <row r="47" customFormat="false" ht="15.75" hidden="false" customHeight="false" outlineLevel="0" collapsed="false">
      <c r="A47" s="262" t="n">
        <v>34</v>
      </c>
      <c r="B47" s="361" t="n">
        <v>45</v>
      </c>
      <c r="C47" s="261" t="s">
        <v>334</v>
      </c>
      <c r="D47" s="261" t="s">
        <v>60</v>
      </c>
      <c r="E47" s="362" t="s">
        <v>334</v>
      </c>
      <c r="F47" s="261" t="s">
        <v>228</v>
      </c>
      <c r="G47" s="261" t="s">
        <v>144</v>
      </c>
      <c r="H47" s="261" t="n">
        <v>0</v>
      </c>
      <c r="I47" s="261" t="n">
        <v>3</v>
      </c>
      <c r="J47" s="361" t="n">
        <v>1</v>
      </c>
      <c r="K47" s="262" t="n">
        <v>81</v>
      </c>
      <c r="L47" s="262" t="n">
        <v>102</v>
      </c>
      <c r="M47" s="262" t="n">
        <v>77</v>
      </c>
      <c r="N47" s="262" t="n">
        <v>85</v>
      </c>
      <c r="O47" s="262" t="n">
        <v>75</v>
      </c>
      <c r="P47" s="361" t="n">
        <v>85</v>
      </c>
      <c r="Q47" s="261" t="s">
        <v>147</v>
      </c>
      <c r="R47" s="261" t="s">
        <v>148</v>
      </c>
      <c r="S47" s="363" t="n">
        <f aca="false" t="array" ref="S47:S47">IF(COUNTIF('0.3.0 GO Calculation Values'!$J$2:$J$99,C47),(INDEX('0.3.0 GO Calculation Values'!$K$2:$K$99,MATCH(C47,'0.3.0 GO Calculation Values'!$J$2:$J$99,0))),1)</f>
        <v>1</v>
      </c>
      <c r="T47" s="262" t="n">
        <f aca="false">ROUND(ROUND(2*((7/8)*MAX(L47,N47)+(1/8)*MIN(L47,N47)),0)*(1+(P47-75)/500),0)</f>
        <v>204</v>
      </c>
      <c r="U47" s="262" t="n">
        <f aca="false">ROUND(ROUND(2*((5/8)*MAX(M47,O47)+(3/8)*MIN(M47,O47)),0)*(1+(P47-75)/500),0)</f>
        <v>156</v>
      </c>
      <c r="V47" s="361" t="n">
        <f aca="false">ROUNDDOWN(K47*1.75+50,0)</f>
        <v>191</v>
      </c>
      <c r="W47" s="261" t="n">
        <v>1</v>
      </c>
      <c r="X47" s="261" t="s">
        <v>332</v>
      </c>
      <c r="Y47" s="364" t="s">
        <v>330</v>
      </c>
      <c r="Z47" s="364" t="n">
        <v>3</v>
      </c>
      <c r="AA47" s="364"/>
      <c r="AB47" s="365" t="s">
        <v>60</v>
      </c>
      <c r="AC47" s="364"/>
      <c r="AD47" s="364" t="n">
        <v>100</v>
      </c>
      <c r="AE47" s="366"/>
      <c r="AF47" s="364" t="s">
        <v>335</v>
      </c>
      <c r="AG47" s="364" t="s">
        <v>335</v>
      </c>
      <c r="AH47" s="366" t="s">
        <v>335</v>
      </c>
    </row>
    <row r="48" customFormat="false" ht="15.75" hidden="false" customHeight="false" outlineLevel="0" collapsed="false">
      <c r="A48" s="262" t="n">
        <v>35</v>
      </c>
      <c r="B48" s="361" t="n">
        <v>46</v>
      </c>
      <c r="C48" s="261" t="s">
        <v>336</v>
      </c>
      <c r="D48" s="261" t="s">
        <v>60</v>
      </c>
      <c r="E48" s="362" t="s">
        <v>336</v>
      </c>
      <c r="F48" s="261" t="s">
        <v>228</v>
      </c>
      <c r="G48" s="261" t="s">
        <v>144</v>
      </c>
      <c r="H48" s="261" t="n">
        <v>0</v>
      </c>
      <c r="I48" s="261" t="n">
        <v>2</v>
      </c>
      <c r="J48" s="361" t="n">
        <v>0</v>
      </c>
      <c r="K48" s="262" t="n">
        <v>70</v>
      </c>
      <c r="L48" s="262" t="n">
        <v>45</v>
      </c>
      <c r="M48" s="262" t="n">
        <v>48</v>
      </c>
      <c r="N48" s="262" t="n">
        <v>60</v>
      </c>
      <c r="O48" s="262" t="n">
        <v>65</v>
      </c>
      <c r="P48" s="361" t="n">
        <v>35</v>
      </c>
      <c r="Q48" s="261" t="s">
        <v>161</v>
      </c>
      <c r="R48" s="261"/>
      <c r="S48" s="363" t="n">
        <f aca="false" t="array" ref="S48:S48">IF(COUNTIF('0.3.0 GO Calculation Values'!$J$2:$J$99,C48),(INDEX('0.3.0 GO Calculation Values'!$K$2:$K$99,MATCH(C48,'0.3.0 GO Calculation Values'!$J$2:$J$99,0))),1)</f>
        <v>1</v>
      </c>
      <c r="T48" s="262" t="n">
        <f aca="false">ROUND(ROUND(2*((7/8)*MAX(L48,N48)+(1/8)*MIN(L48,N48)),0)*(1+(P48-75)/500),0)</f>
        <v>107</v>
      </c>
      <c r="U48" s="262" t="n">
        <f aca="false">ROUND(ROUND(2*((5/8)*MAX(M48,O48)+(3/8)*MIN(M48,O48)),0)*(1+(P48-75)/500),0)</f>
        <v>108</v>
      </c>
      <c r="V48" s="361" t="n">
        <f aca="false">ROUNDDOWN(K48*1.75+50,0)</f>
        <v>172</v>
      </c>
      <c r="W48" s="261" t="n">
        <v>1</v>
      </c>
      <c r="X48" s="261" t="s">
        <v>337</v>
      </c>
      <c r="Y48" s="364" t="s">
        <v>336</v>
      </c>
      <c r="Z48" s="364" t="n">
        <v>1</v>
      </c>
      <c r="AA48" s="364"/>
      <c r="AB48" s="365" t="n">
        <v>2</v>
      </c>
      <c r="AC48" s="364"/>
      <c r="AD48" s="364" t="n">
        <v>25</v>
      </c>
      <c r="AE48" s="366"/>
      <c r="AF48" s="364" t="s">
        <v>338</v>
      </c>
      <c r="AG48" s="364" t="s">
        <v>338</v>
      </c>
      <c r="AH48" s="366" t="s">
        <v>338</v>
      </c>
    </row>
    <row r="49" customFormat="false" ht="15.75" hidden="false" customHeight="false" outlineLevel="0" collapsed="false">
      <c r="A49" s="262" t="n">
        <v>36</v>
      </c>
      <c r="B49" s="361" t="n">
        <v>47</v>
      </c>
      <c r="C49" s="261" t="s">
        <v>339</v>
      </c>
      <c r="D49" s="261" t="s">
        <v>60</v>
      </c>
      <c r="E49" s="362" t="s">
        <v>339</v>
      </c>
      <c r="F49" s="261" t="s">
        <v>228</v>
      </c>
      <c r="G49" s="261" t="s">
        <v>144</v>
      </c>
      <c r="H49" s="261" t="n">
        <v>0</v>
      </c>
      <c r="I49" s="261" t="n">
        <v>3</v>
      </c>
      <c r="J49" s="361" t="n">
        <v>1</v>
      </c>
      <c r="K49" s="262" t="n">
        <v>95</v>
      </c>
      <c r="L49" s="262" t="n">
        <v>70</v>
      </c>
      <c r="M49" s="262" t="n">
        <v>73</v>
      </c>
      <c r="N49" s="262" t="n">
        <v>95</v>
      </c>
      <c r="O49" s="262" t="n">
        <v>90</v>
      </c>
      <c r="P49" s="361" t="n">
        <v>60</v>
      </c>
      <c r="Q49" s="261" t="s">
        <v>161</v>
      </c>
      <c r="R49" s="261"/>
      <c r="S49" s="363" t="n">
        <f aca="false" t="array" ref="S49:S49">IF(COUNTIF('0.3.0 GO Calculation Values'!$J$2:$J$99,C49),(INDEX('0.3.0 GO Calculation Values'!$K$2:$K$99,MATCH(C49,'0.3.0 GO Calculation Values'!$J$2:$J$99,0))),1)</f>
        <v>1</v>
      </c>
      <c r="T49" s="262" t="n">
        <f aca="false">ROUND(ROUND(2*((7/8)*MAX(L49,N49)+(1/8)*MIN(L49,N49)),0)*(1+(P49-75)/500),0)</f>
        <v>178</v>
      </c>
      <c r="U49" s="262" t="n">
        <f aca="false">ROUND(ROUND(2*((5/8)*MAX(M49,O49)+(3/8)*MIN(M49,O49)),0)*(1+(P49-75)/500),0)</f>
        <v>162</v>
      </c>
      <c r="V49" s="361" t="n">
        <f aca="false">ROUNDDOWN(K49*1.75+50,0)</f>
        <v>216</v>
      </c>
      <c r="W49" s="261" t="n">
        <v>1</v>
      </c>
      <c r="X49" s="261" t="s">
        <v>336</v>
      </c>
      <c r="Y49" s="364" t="s">
        <v>336</v>
      </c>
      <c r="Z49" s="364" t="n">
        <v>1</v>
      </c>
      <c r="AA49" s="364"/>
      <c r="AB49" s="365" t="n">
        <v>2</v>
      </c>
      <c r="AC49" s="364"/>
      <c r="AD49" s="364" t="n">
        <v>50</v>
      </c>
      <c r="AE49" s="366"/>
      <c r="AF49" s="364" t="s">
        <v>340</v>
      </c>
      <c r="AG49" s="364" t="s">
        <v>340</v>
      </c>
      <c r="AH49" s="366" t="s">
        <v>340</v>
      </c>
    </row>
    <row r="50" customFormat="false" ht="15.75" hidden="false" customHeight="false" outlineLevel="0" collapsed="false">
      <c r="A50" s="262" t="n">
        <v>37</v>
      </c>
      <c r="B50" s="361" t="n">
        <v>48</v>
      </c>
      <c r="C50" s="261" t="s">
        <v>341</v>
      </c>
      <c r="D50" s="261" t="s">
        <v>7</v>
      </c>
      <c r="E50" s="367" t="s">
        <v>341</v>
      </c>
      <c r="F50" s="261" t="s">
        <v>228</v>
      </c>
      <c r="G50" s="261" t="s">
        <v>144</v>
      </c>
      <c r="H50" s="261" t="n">
        <v>0</v>
      </c>
      <c r="I50" s="261" t="n">
        <v>1</v>
      </c>
      <c r="J50" s="361" t="n">
        <v>0</v>
      </c>
      <c r="K50" s="262" t="n">
        <v>38</v>
      </c>
      <c r="L50" s="262" t="n">
        <v>41</v>
      </c>
      <c r="M50" s="262" t="n">
        <v>40</v>
      </c>
      <c r="N50" s="262" t="n">
        <v>50</v>
      </c>
      <c r="O50" s="262" t="n">
        <v>65</v>
      </c>
      <c r="P50" s="361" t="n">
        <v>65</v>
      </c>
      <c r="Q50" s="261" t="s">
        <v>153</v>
      </c>
      <c r="R50" s="261"/>
      <c r="S50" s="363" t="n">
        <f aca="false" t="array" ref="S50:S50">IF(COUNTIF('0.3.0 GO Calculation Values'!$J$2:$J$99,C50),(INDEX('0.3.0 GO Calculation Values'!$K$2:$K$99,MATCH(C50,'0.3.0 GO Calculation Values'!$J$2:$J$99,0))),1)</f>
        <v>1</v>
      </c>
      <c r="T50" s="262" t="n">
        <f aca="false">ROUND(ROUND(2*((7/8)*MAX(L50,N50)+(1/8)*MIN(L50,N50)),0)*(1+(P50-75)/500),0)</f>
        <v>96</v>
      </c>
      <c r="U50" s="262" t="n">
        <f aca="false">ROUND(ROUND(2*((5/8)*MAX(M50,O50)+(3/8)*MIN(M50,O50)),0)*(1+(P50-75)/500),0)</f>
        <v>109</v>
      </c>
      <c r="V50" s="361" t="n">
        <f aca="false">ROUNDDOWN(K50*1.75+50,0)</f>
        <v>116</v>
      </c>
      <c r="W50" s="261" t="n">
        <v>1</v>
      </c>
      <c r="X50" s="261" t="s">
        <v>60</v>
      </c>
      <c r="Y50" s="364" t="s">
        <v>341</v>
      </c>
      <c r="Z50" s="364" t="n">
        <v>3</v>
      </c>
      <c r="AA50" s="364"/>
      <c r="AB50" s="365" t="s">
        <v>60</v>
      </c>
      <c r="AC50" s="364"/>
      <c r="AD50" s="364" t="n">
        <v>0</v>
      </c>
      <c r="AE50" s="366"/>
      <c r="AF50" s="364" t="s">
        <v>342</v>
      </c>
      <c r="AG50" s="364" t="s">
        <v>342</v>
      </c>
      <c r="AH50" s="366" t="s">
        <v>342</v>
      </c>
    </row>
    <row r="51" customFormat="false" ht="15.75" hidden="false" customHeight="false" outlineLevel="0" collapsed="false">
      <c r="A51" s="262" t="n">
        <v>37</v>
      </c>
      <c r="B51" s="361" t="n">
        <v>49</v>
      </c>
      <c r="C51" s="261" t="s">
        <v>341</v>
      </c>
      <c r="D51" s="261" t="s">
        <v>288</v>
      </c>
      <c r="E51" s="358" t="s">
        <v>343</v>
      </c>
      <c r="F51" s="261" t="s">
        <v>290</v>
      </c>
      <c r="G51" s="261" t="s">
        <v>144</v>
      </c>
      <c r="H51" s="261" t="n">
        <v>1</v>
      </c>
      <c r="I51" s="261" t="n">
        <v>1</v>
      </c>
      <c r="J51" s="361" t="n">
        <v>0</v>
      </c>
      <c r="K51" s="262" t="n">
        <v>38</v>
      </c>
      <c r="L51" s="262" t="n">
        <v>41</v>
      </c>
      <c r="M51" s="262" t="n">
        <v>40</v>
      </c>
      <c r="N51" s="262" t="n">
        <v>50</v>
      </c>
      <c r="O51" s="262" t="n">
        <v>65</v>
      </c>
      <c r="P51" s="361" t="n">
        <v>65</v>
      </c>
      <c r="Q51" s="261" t="s">
        <v>158</v>
      </c>
      <c r="R51" s="261"/>
      <c r="S51" s="363" t="n">
        <f aca="false" t="array" ref="S51:S51">IF(COUNTIF('0.3.0 GO Calculation Values'!$J$2:$J$99,C51),(INDEX('0.3.0 GO Calculation Values'!$K$2:$K$99,MATCH(C51,'0.3.0 GO Calculation Values'!$J$2:$J$99,0))),1)</f>
        <v>1</v>
      </c>
      <c r="T51" s="262" t="n">
        <f aca="false">ROUND(ROUND(2*((7/8)*MAX(L51,N51)+(1/8)*MIN(L51,N51)),0)*(1+(P51-75)/500),0)</f>
        <v>96</v>
      </c>
      <c r="U51" s="262" t="n">
        <f aca="false">ROUND(ROUND(2*((5/8)*MAX(M51,O51)+(3/8)*MIN(M51,O51)),0)*(1+(P51-75)/500),0)</f>
        <v>109</v>
      </c>
      <c r="V51" s="361" t="n">
        <f aca="false">ROUNDDOWN(K51*1.75+50,0)</f>
        <v>116</v>
      </c>
      <c r="W51" s="261" t="n">
        <v>0</v>
      </c>
      <c r="X51" s="261" t="s">
        <v>60</v>
      </c>
      <c r="Y51" s="364" t="s">
        <v>341</v>
      </c>
      <c r="Z51" s="364" t="n">
        <v>3</v>
      </c>
      <c r="AA51" s="364"/>
      <c r="AB51" s="365"/>
      <c r="AC51" s="364"/>
      <c r="AD51" s="364" t="n">
        <v>0</v>
      </c>
      <c r="AE51" s="366"/>
      <c r="AF51" s="364" t="s">
        <v>344</v>
      </c>
      <c r="AG51" s="261" t="s">
        <v>345</v>
      </c>
      <c r="AH51" s="362" t="s">
        <v>345</v>
      </c>
    </row>
    <row r="52" customFormat="false" ht="15.75" hidden="false" customHeight="false" outlineLevel="0" collapsed="false">
      <c r="A52" s="262" t="n">
        <v>38</v>
      </c>
      <c r="B52" s="361" t="n">
        <v>50</v>
      </c>
      <c r="C52" s="261" t="s">
        <v>346</v>
      </c>
      <c r="D52" s="261" t="s">
        <v>7</v>
      </c>
      <c r="E52" s="367" t="s">
        <v>346</v>
      </c>
      <c r="F52" s="261" t="s">
        <v>228</v>
      </c>
      <c r="G52" s="261" t="s">
        <v>144</v>
      </c>
      <c r="H52" s="261" t="n">
        <v>0</v>
      </c>
      <c r="I52" s="261" t="n">
        <v>2</v>
      </c>
      <c r="J52" s="361" t="n">
        <v>1</v>
      </c>
      <c r="K52" s="262" t="n">
        <v>73</v>
      </c>
      <c r="L52" s="262" t="n">
        <v>76</v>
      </c>
      <c r="M52" s="262" t="n">
        <v>75</v>
      </c>
      <c r="N52" s="262" t="n">
        <v>81</v>
      </c>
      <c r="O52" s="262" t="n">
        <v>100</v>
      </c>
      <c r="P52" s="361" t="n">
        <v>100</v>
      </c>
      <c r="Q52" s="261" t="s">
        <v>153</v>
      </c>
      <c r="R52" s="261"/>
      <c r="S52" s="363" t="n">
        <f aca="false" t="array" ref="S52:S52">IF(COUNTIF('0.3.0 GO Calculation Values'!$J$2:$J$99,C52),(INDEX('0.3.0 GO Calculation Values'!$K$2:$K$99,MATCH(C52,'0.3.0 GO Calculation Values'!$J$2:$J$99,0))),1)</f>
        <v>1</v>
      </c>
      <c r="T52" s="262" t="n">
        <f aca="false">ROUND(ROUND(2*((7/8)*MAX(L52,N52)+(1/8)*MIN(L52,N52)),0)*(1+(P52-75)/500),0)</f>
        <v>169</v>
      </c>
      <c r="U52" s="262" t="n">
        <f aca="false">ROUND(ROUND(2*((5/8)*MAX(M52,O52)+(3/8)*MIN(M52,O52)),0)*(1+(P52-75)/500),0)</f>
        <v>190</v>
      </c>
      <c r="V52" s="361" t="n">
        <f aca="false">ROUNDDOWN(K52*1.75+50,0)</f>
        <v>177</v>
      </c>
      <c r="W52" s="261" t="n">
        <v>1</v>
      </c>
      <c r="X52" s="261" t="s">
        <v>341</v>
      </c>
      <c r="Y52" s="364" t="s">
        <v>341</v>
      </c>
      <c r="Z52" s="364" t="n">
        <v>3</v>
      </c>
      <c r="AA52" s="364"/>
      <c r="AB52" s="365" t="s">
        <v>60</v>
      </c>
      <c r="AC52" s="364"/>
      <c r="AD52" s="364" t="n">
        <v>50</v>
      </c>
      <c r="AE52" s="366"/>
      <c r="AF52" s="364" t="s">
        <v>347</v>
      </c>
      <c r="AG52" s="364" t="s">
        <v>347</v>
      </c>
      <c r="AH52" s="366" t="s">
        <v>347</v>
      </c>
    </row>
    <row r="53" customFormat="false" ht="15.75" hidden="false" customHeight="false" outlineLevel="0" collapsed="false">
      <c r="A53" s="262" t="n">
        <v>38</v>
      </c>
      <c r="B53" s="361" t="n">
        <v>51</v>
      </c>
      <c r="C53" s="261" t="s">
        <v>346</v>
      </c>
      <c r="D53" s="261" t="s">
        <v>288</v>
      </c>
      <c r="E53" s="358" t="s">
        <v>348</v>
      </c>
      <c r="F53" s="261" t="s">
        <v>290</v>
      </c>
      <c r="G53" s="261" t="s">
        <v>144</v>
      </c>
      <c r="H53" s="261" t="n">
        <v>1</v>
      </c>
      <c r="I53" s="261" t="n">
        <v>2</v>
      </c>
      <c r="J53" s="361" t="n">
        <v>1</v>
      </c>
      <c r="K53" s="262" t="n">
        <v>73</v>
      </c>
      <c r="L53" s="262" t="n">
        <v>67</v>
      </c>
      <c r="M53" s="262" t="n">
        <v>75</v>
      </c>
      <c r="N53" s="262" t="n">
        <v>81</v>
      </c>
      <c r="O53" s="262" t="n">
        <v>100</v>
      </c>
      <c r="P53" s="361" t="n">
        <v>109</v>
      </c>
      <c r="Q53" s="261" t="s">
        <v>158</v>
      </c>
      <c r="R53" s="261" t="s">
        <v>161</v>
      </c>
      <c r="S53" s="363" t="n">
        <f aca="false" t="array" ref="S53:S53">IF(COUNTIF('0.3.0 GO Calculation Values'!$J$2:$J$99,C53),(INDEX('0.3.0 GO Calculation Values'!$K$2:$K$99,MATCH(C53,'0.3.0 GO Calculation Values'!$J$2:$J$99,0))),1)</f>
        <v>1</v>
      </c>
      <c r="T53" s="262" t="n">
        <f aca="false">ROUND(ROUND(2*((7/8)*MAX(L53,N53)+(1/8)*MIN(L53,N53)),0)*(1+(P53-75)/500),0)</f>
        <v>170</v>
      </c>
      <c r="U53" s="262" t="n">
        <f aca="false">ROUND(ROUND(2*((5/8)*MAX(M53,O53)+(3/8)*MIN(M53,O53)),0)*(1+(P53-75)/500),0)</f>
        <v>193</v>
      </c>
      <c r="V53" s="361" t="n">
        <f aca="false">ROUNDDOWN(K53*1.75+50,0)</f>
        <v>177</v>
      </c>
      <c r="W53" s="261" t="n">
        <v>0</v>
      </c>
      <c r="X53" s="261" t="s">
        <v>341</v>
      </c>
      <c r="Y53" s="364" t="s">
        <v>341</v>
      </c>
      <c r="Z53" s="364" t="n">
        <v>3</v>
      </c>
      <c r="AA53" s="364"/>
      <c r="AB53" s="365"/>
      <c r="AC53" s="364"/>
      <c r="AD53" s="364" t="n">
        <v>50</v>
      </c>
      <c r="AE53" s="366"/>
      <c r="AF53" s="364" t="s">
        <v>349</v>
      </c>
      <c r="AG53" s="261" t="s">
        <v>350</v>
      </c>
      <c r="AH53" s="362" t="s">
        <v>350</v>
      </c>
    </row>
    <row r="54" customFormat="false" ht="15.75" hidden="false" customHeight="false" outlineLevel="0" collapsed="false">
      <c r="A54" s="262" t="n">
        <v>39</v>
      </c>
      <c r="B54" s="361" t="n">
        <v>52</v>
      </c>
      <c r="C54" s="261" t="s">
        <v>351</v>
      </c>
      <c r="D54" s="261" t="s">
        <v>60</v>
      </c>
      <c r="E54" s="362" t="s">
        <v>351</v>
      </c>
      <c r="F54" s="261" t="s">
        <v>228</v>
      </c>
      <c r="G54" s="261" t="s">
        <v>144</v>
      </c>
      <c r="H54" s="261" t="n">
        <v>0</v>
      </c>
      <c r="I54" s="261" t="n">
        <v>2</v>
      </c>
      <c r="J54" s="361" t="n">
        <v>0</v>
      </c>
      <c r="K54" s="262" t="n">
        <v>115</v>
      </c>
      <c r="L54" s="262" t="n">
        <v>45</v>
      </c>
      <c r="M54" s="262" t="n">
        <v>20</v>
      </c>
      <c r="N54" s="262" t="n">
        <v>45</v>
      </c>
      <c r="O54" s="262" t="n">
        <v>25</v>
      </c>
      <c r="P54" s="361" t="n">
        <v>20</v>
      </c>
      <c r="Q54" s="261" t="s">
        <v>144</v>
      </c>
      <c r="R54" s="261" t="s">
        <v>161</v>
      </c>
      <c r="S54" s="363" t="n">
        <f aca="false" t="array" ref="S54:S54">IF(COUNTIF('0.3.0 GO Calculation Values'!$J$2:$J$99,C54),(INDEX('0.3.0 GO Calculation Values'!$K$2:$K$99,MATCH(C54,'0.3.0 GO Calculation Values'!$J$2:$J$99,0))),1)</f>
        <v>1</v>
      </c>
      <c r="T54" s="262" t="n">
        <f aca="false">ROUND(ROUND(2*((7/8)*MAX(L54,N54)+(1/8)*MIN(L54,N54)),0)*(1+(P54-75)/500),0)</f>
        <v>80</v>
      </c>
      <c r="U54" s="262" t="n">
        <f aca="false">ROUND(ROUND(2*((5/8)*MAX(M54,O54)+(3/8)*MIN(M54,O54)),0)*(1+(P54-75)/500),0)</f>
        <v>41</v>
      </c>
      <c r="V54" s="361" t="n">
        <f aca="false">ROUNDDOWN(K54*1.75+50,0)</f>
        <v>251</v>
      </c>
      <c r="W54" s="261" t="n">
        <v>1</v>
      </c>
      <c r="X54" s="261" t="s">
        <v>352</v>
      </c>
      <c r="Y54" s="364" t="s">
        <v>351</v>
      </c>
      <c r="Z54" s="364" t="n">
        <v>1</v>
      </c>
      <c r="AA54" s="364"/>
      <c r="AB54" s="365" t="n">
        <v>2</v>
      </c>
      <c r="AC54" s="364"/>
      <c r="AD54" s="364" t="n">
        <v>25</v>
      </c>
      <c r="AE54" s="366"/>
      <c r="AF54" s="364" t="s">
        <v>353</v>
      </c>
      <c r="AG54" s="364" t="s">
        <v>353</v>
      </c>
      <c r="AH54" s="366" t="s">
        <v>353</v>
      </c>
    </row>
    <row r="55" customFormat="false" ht="15.75" hidden="false" customHeight="false" outlineLevel="0" collapsed="false">
      <c r="A55" s="262" t="n">
        <v>40</v>
      </c>
      <c r="B55" s="361" t="n">
        <v>53</v>
      </c>
      <c r="C55" s="261" t="s">
        <v>354</v>
      </c>
      <c r="D55" s="261" t="s">
        <v>60</v>
      </c>
      <c r="E55" s="362" t="s">
        <v>354</v>
      </c>
      <c r="F55" s="261" t="s">
        <v>228</v>
      </c>
      <c r="G55" s="261" t="s">
        <v>144</v>
      </c>
      <c r="H55" s="261" t="n">
        <v>0</v>
      </c>
      <c r="I55" s="261" t="n">
        <v>3</v>
      </c>
      <c r="J55" s="361" t="n">
        <v>1</v>
      </c>
      <c r="K55" s="262" t="n">
        <v>140</v>
      </c>
      <c r="L55" s="262" t="n">
        <v>70</v>
      </c>
      <c r="M55" s="262" t="n">
        <v>45</v>
      </c>
      <c r="N55" s="262" t="n">
        <v>85</v>
      </c>
      <c r="O55" s="262" t="n">
        <v>50</v>
      </c>
      <c r="P55" s="361" t="n">
        <v>45</v>
      </c>
      <c r="Q55" s="261" t="s">
        <v>144</v>
      </c>
      <c r="R55" s="261" t="s">
        <v>161</v>
      </c>
      <c r="S55" s="363" t="n">
        <f aca="false" t="array" ref="S55:S55">IF(COUNTIF('0.3.0 GO Calculation Values'!$J$2:$J$99,C55),(INDEX('0.3.0 GO Calculation Values'!$K$2:$K$99,MATCH(C55,'0.3.0 GO Calculation Values'!$J$2:$J$99,0))),1)</f>
        <v>1</v>
      </c>
      <c r="T55" s="262" t="n">
        <f aca="false">ROUND(ROUND(2*((7/8)*MAX(L55,N55)+(1/8)*MIN(L55,N55)),0)*(1+(P55-75)/500),0)</f>
        <v>156</v>
      </c>
      <c r="U55" s="262" t="n">
        <f aca="false">ROUND(ROUND(2*((5/8)*MAX(M55,O55)+(3/8)*MIN(M55,O55)),0)*(1+(P55-75)/500),0)</f>
        <v>90</v>
      </c>
      <c r="V55" s="361" t="n">
        <f aca="false">ROUNDDOWN(K55*1.75+50,0)</f>
        <v>295</v>
      </c>
      <c r="W55" s="261" t="n">
        <v>1</v>
      </c>
      <c r="X55" s="261" t="s">
        <v>351</v>
      </c>
      <c r="Y55" s="364" t="s">
        <v>351</v>
      </c>
      <c r="Z55" s="364" t="n">
        <v>1</v>
      </c>
      <c r="AA55" s="364"/>
      <c r="AB55" s="365" t="n">
        <v>2</v>
      </c>
      <c r="AC55" s="364"/>
      <c r="AD55" s="364" t="n">
        <v>50</v>
      </c>
      <c r="AE55" s="366"/>
      <c r="AF55" s="364" t="s">
        <v>355</v>
      </c>
      <c r="AG55" s="364" t="s">
        <v>355</v>
      </c>
      <c r="AH55" s="366" t="s">
        <v>355</v>
      </c>
    </row>
    <row r="56" customFormat="false" ht="15.75" hidden="false" customHeight="false" outlineLevel="0" collapsed="false">
      <c r="A56" s="262" t="n">
        <v>41</v>
      </c>
      <c r="B56" s="361" t="n">
        <v>54</v>
      </c>
      <c r="C56" s="261" t="s">
        <v>356</v>
      </c>
      <c r="D56" s="261" t="s">
        <v>60</v>
      </c>
      <c r="E56" s="362" t="s">
        <v>356</v>
      </c>
      <c r="F56" s="261" t="s">
        <v>228</v>
      </c>
      <c r="G56" s="261" t="s">
        <v>144</v>
      </c>
      <c r="H56" s="261" t="n">
        <v>0</v>
      </c>
      <c r="I56" s="261" t="n">
        <v>1</v>
      </c>
      <c r="J56" s="361" t="n">
        <v>0</v>
      </c>
      <c r="K56" s="262" t="n">
        <v>40</v>
      </c>
      <c r="L56" s="262" t="n">
        <v>45</v>
      </c>
      <c r="M56" s="262" t="n">
        <v>35</v>
      </c>
      <c r="N56" s="262" t="n">
        <v>30</v>
      </c>
      <c r="O56" s="262" t="n">
        <v>40</v>
      </c>
      <c r="P56" s="361" t="n">
        <v>55</v>
      </c>
      <c r="Q56" s="261" t="s">
        <v>147</v>
      </c>
      <c r="R56" s="261" t="s">
        <v>146</v>
      </c>
      <c r="S56" s="363" t="n">
        <f aca="false" t="array" ref="S56:S56">IF(COUNTIF('0.3.0 GO Calculation Values'!$J$2:$J$99,C56),(INDEX('0.3.0 GO Calculation Values'!$K$2:$K$99,MATCH(C56,'0.3.0 GO Calculation Values'!$J$2:$J$99,0))),1)</f>
        <v>1</v>
      </c>
      <c r="T56" s="262" t="n">
        <f aca="false">ROUND(ROUND(2*((7/8)*MAX(L56,N56)+(1/8)*MIN(L56,N56)),0)*(1+(P56-75)/500),0)</f>
        <v>83</v>
      </c>
      <c r="U56" s="262" t="n">
        <f aca="false">ROUND(ROUND(2*((5/8)*MAX(M56,O56)+(3/8)*MIN(M56,O56)),0)*(1+(P56-75)/500),0)</f>
        <v>73</v>
      </c>
      <c r="V56" s="361" t="n">
        <f aca="false">ROUNDDOWN(K56*1.75+50,0)</f>
        <v>120</v>
      </c>
      <c r="W56" s="261" t="n">
        <v>1</v>
      </c>
      <c r="X56" s="261" t="s">
        <v>60</v>
      </c>
      <c r="Y56" s="364" t="s">
        <v>356</v>
      </c>
      <c r="Z56" s="364" t="n">
        <v>1</v>
      </c>
      <c r="AA56" s="364"/>
      <c r="AB56" s="365" t="s">
        <v>60</v>
      </c>
      <c r="AC56" s="364"/>
      <c r="AD56" s="364" t="n">
        <v>0</v>
      </c>
      <c r="AE56" s="366"/>
      <c r="AF56" s="364" t="s">
        <v>357</v>
      </c>
      <c r="AG56" s="364" t="s">
        <v>357</v>
      </c>
      <c r="AH56" s="366" t="s">
        <v>357</v>
      </c>
    </row>
    <row r="57" customFormat="false" ht="15.75" hidden="false" customHeight="false" outlineLevel="0" collapsed="false">
      <c r="A57" s="262" t="n">
        <v>42</v>
      </c>
      <c r="B57" s="361" t="n">
        <v>55</v>
      </c>
      <c r="C57" s="261" t="s">
        <v>358</v>
      </c>
      <c r="D57" s="261" t="s">
        <v>60</v>
      </c>
      <c r="E57" s="362" t="s">
        <v>358</v>
      </c>
      <c r="F57" s="261" t="s">
        <v>228</v>
      </c>
      <c r="G57" s="261" t="s">
        <v>144</v>
      </c>
      <c r="H57" s="261" t="n">
        <v>0</v>
      </c>
      <c r="I57" s="261" t="n">
        <v>2</v>
      </c>
      <c r="J57" s="361" t="n">
        <v>1</v>
      </c>
      <c r="K57" s="262" t="n">
        <v>75</v>
      </c>
      <c r="L57" s="262" t="n">
        <v>80</v>
      </c>
      <c r="M57" s="262" t="n">
        <v>70</v>
      </c>
      <c r="N57" s="262" t="n">
        <v>65</v>
      </c>
      <c r="O57" s="262" t="n">
        <v>75</v>
      </c>
      <c r="P57" s="361" t="n">
        <v>90</v>
      </c>
      <c r="Q57" s="261" t="s">
        <v>147</v>
      </c>
      <c r="R57" s="261" t="s">
        <v>146</v>
      </c>
      <c r="S57" s="363" t="n">
        <f aca="false" t="array" ref="S57:S57">IF(COUNTIF('0.3.0 GO Calculation Values'!$J$2:$J$99,C57),(INDEX('0.3.0 GO Calculation Values'!$K$2:$K$99,MATCH(C57,'0.3.0 GO Calculation Values'!$J$2:$J$99,0))),1)</f>
        <v>1</v>
      </c>
      <c r="T57" s="262" t="n">
        <f aca="false">ROUND(ROUND(2*((7/8)*MAX(L57,N57)+(1/8)*MIN(L57,N57)),0)*(1+(P57-75)/500),0)</f>
        <v>161</v>
      </c>
      <c r="U57" s="262" t="n">
        <f aca="false">ROUND(ROUND(2*((5/8)*MAX(M57,O57)+(3/8)*MIN(M57,O57)),0)*(1+(P57-75)/500),0)</f>
        <v>150</v>
      </c>
      <c r="V57" s="361" t="n">
        <f aca="false">ROUNDDOWN(K57*1.75+50,0)</f>
        <v>181</v>
      </c>
      <c r="W57" s="261" t="n">
        <v>1</v>
      </c>
      <c r="X57" s="261" t="s">
        <v>356</v>
      </c>
      <c r="Y57" s="364" t="s">
        <v>356</v>
      </c>
      <c r="Z57" s="364" t="n">
        <v>1</v>
      </c>
      <c r="AA57" s="364"/>
      <c r="AB57" s="365" t="s">
        <v>60</v>
      </c>
      <c r="AC57" s="364"/>
      <c r="AD57" s="364" t="n">
        <v>25</v>
      </c>
      <c r="AE57" s="366"/>
      <c r="AF57" s="364" t="s">
        <v>359</v>
      </c>
      <c r="AG57" s="364" t="s">
        <v>359</v>
      </c>
      <c r="AH57" s="366" t="s">
        <v>359</v>
      </c>
    </row>
    <row r="58" customFormat="false" ht="15.75" hidden="false" customHeight="false" outlineLevel="0" collapsed="false">
      <c r="A58" s="262" t="n">
        <v>43</v>
      </c>
      <c r="B58" s="361" t="n">
        <v>56</v>
      </c>
      <c r="C58" s="261" t="s">
        <v>360</v>
      </c>
      <c r="D58" s="261" t="s">
        <v>60</v>
      </c>
      <c r="E58" s="362" t="s">
        <v>360</v>
      </c>
      <c r="F58" s="261" t="s">
        <v>228</v>
      </c>
      <c r="G58" s="261" t="s">
        <v>144</v>
      </c>
      <c r="H58" s="261" t="n">
        <v>0</v>
      </c>
      <c r="I58" s="261" t="n">
        <v>1</v>
      </c>
      <c r="J58" s="361" t="n">
        <v>0</v>
      </c>
      <c r="K58" s="262" t="n">
        <v>45</v>
      </c>
      <c r="L58" s="262" t="n">
        <v>50</v>
      </c>
      <c r="M58" s="262" t="n">
        <v>55</v>
      </c>
      <c r="N58" s="262" t="n">
        <v>75</v>
      </c>
      <c r="O58" s="262" t="n">
        <v>65</v>
      </c>
      <c r="P58" s="361" t="n">
        <v>30</v>
      </c>
      <c r="Q58" s="261" t="s">
        <v>155</v>
      </c>
      <c r="R58" s="261" t="s">
        <v>147</v>
      </c>
      <c r="S58" s="363" t="n">
        <f aca="false" t="array" ref="S58:S58">IF(COUNTIF('0.3.0 GO Calculation Values'!$J$2:$J$99,C58),(INDEX('0.3.0 GO Calculation Values'!$K$2:$K$99,MATCH(C58,'0.3.0 GO Calculation Values'!$J$2:$J$99,0))),1)</f>
        <v>1</v>
      </c>
      <c r="T58" s="262" t="n">
        <f aca="false">ROUND(ROUND(2*((7/8)*MAX(L58,N58)+(1/8)*MIN(L58,N58)),0)*(1+(P58-75)/500),0)</f>
        <v>131</v>
      </c>
      <c r="U58" s="262" t="n">
        <f aca="false">ROUND(ROUND(2*((5/8)*MAX(M58,O58)+(3/8)*MIN(M58,O58)),0)*(1+(P58-75)/500),0)</f>
        <v>112</v>
      </c>
      <c r="V58" s="361" t="n">
        <f aca="false">ROUNDDOWN(K58*1.75+50,0)</f>
        <v>128</v>
      </c>
      <c r="W58" s="261" t="n">
        <v>1</v>
      </c>
      <c r="X58" s="261" t="s">
        <v>60</v>
      </c>
      <c r="Y58" s="364" t="s">
        <v>360</v>
      </c>
      <c r="Z58" s="364" t="n">
        <v>3</v>
      </c>
      <c r="AA58" s="364"/>
      <c r="AB58" s="365" t="n">
        <v>2</v>
      </c>
      <c r="AC58" s="364"/>
      <c r="AD58" s="364" t="n">
        <v>0</v>
      </c>
      <c r="AE58" s="366"/>
      <c r="AF58" s="364" t="s">
        <v>361</v>
      </c>
      <c r="AG58" s="364" t="s">
        <v>361</v>
      </c>
      <c r="AH58" s="366" t="s">
        <v>361</v>
      </c>
    </row>
    <row r="59" customFormat="false" ht="15.75" hidden="false" customHeight="false" outlineLevel="0" collapsed="false">
      <c r="A59" s="262" t="n">
        <v>44</v>
      </c>
      <c r="B59" s="361" t="n">
        <v>57</v>
      </c>
      <c r="C59" s="261" t="s">
        <v>362</v>
      </c>
      <c r="D59" s="261" t="s">
        <v>60</v>
      </c>
      <c r="E59" s="362" t="s">
        <v>362</v>
      </c>
      <c r="F59" s="261" t="s">
        <v>228</v>
      </c>
      <c r="G59" s="261" t="s">
        <v>144</v>
      </c>
      <c r="H59" s="261" t="n">
        <v>0</v>
      </c>
      <c r="I59" s="261" t="n">
        <v>2</v>
      </c>
      <c r="J59" s="361" t="n">
        <v>0</v>
      </c>
      <c r="K59" s="262" t="n">
        <v>60</v>
      </c>
      <c r="L59" s="262" t="n">
        <v>65</v>
      </c>
      <c r="M59" s="262" t="n">
        <v>70</v>
      </c>
      <c r="N59" s="262" t="n">
        <v>85</v>
      </c>
      <c r="O59" s="262" t="n">
        <v>75</v>
      </c>
      <c r="P59" s="361" t="n">
        <v>40</v>
      </c>
      <c r="Q59" s="261" t="s">
        <v>155</v>
      </c>
      <c r="R59" s="261" t="s">
        <v>147</v>
      </c>
      <c r="S59" s="363" t="n">
        <f aca="false" t="array" ref="S59:S59">IF(COUNTIF('0.3.0 GO Calculation Values'!$J$2:$J$99,C59),(INDEX('0.3.0 GO Calculation Values'!$K$2:$K$99,MATCH(C59,'0.3.0 GO Calculation Values'!$J$2:$J$99,0))),1)</f>
        <v>1</v>
      </c>
      <c r="T59" s="262" t="n">
        <f aca="false">ROUND(ROUND(2*((7/8)*MAX(L59,N59)+(1/8)*MIN(L59,N59)),0)*(1+(P59-75)/500),0)</f>
        <v>153</v>
      </c>
      <c r="U59" s="262" t="n">
        <f aca="false">ROUND(ROUND(2*((5/8)*MAX(M59,O59)+(3/8)*MIN(M59,O59)),0)*(1+(P59-75)/500),0)</f>
        <v>136</v>
      </c>
      <c r="V59" s="361" t="n">
        <f aca="false">ROUNDDOWN(K59*1.75+50,0)</f>
        <v>155</v>
      </c>
      <c r="W59" s="261" t="n">
        <v>1</v>
      </c>
      <c r="X59" s="261" t="s">
        <v>360</v>
      </c>
      <c r="Y59" s="364" t="s">
        <v>360</v>
      </c>
      <c r="Z59" s="364" t="n">
        <v>3</v>
      </c>
      <c r="AA59" s="364"/>
      <c r="AB59" s="365" t="n">
        <v>2</v>
      </c>
      <c r="AC59" s="364"/>
      <c r="AD59" s="364" t="n">
        <v>25</v>
      </c>
      <c r="AE59" s="366"/>
      <c r="AF59" s="364" t="s">
        <v>363</v>
      </c>
      <c r="AG59" s="364" t="s">
        <v>363</v>
      </c>
      <c r="AH59" s="366" t="s">
        <v>363</v>
      </c>
    </row>
    <row r="60" customFormat="false" ht="15.75" hidden="false" customHeight="false" outlineLevel="0" collapsed="false">
      <c r="A60" s="262" t="n">
        <v>45</v>
      </c>
      <c r="B60" s="361" t="n">
        <v>58</v>
      </c>
      <c r="C60" s="261" t="s">
        <v>364</v>
      </c>
      <c r="D60" s="261" t="s">
        <v>60</v>
      </c>
      <c r="E60" s="362" t="s">
        <v>364</v>
      </c>
      <c r="F60" s="261" t="s">
        <v>228</v>
      </c>
      <c r="G60" s="261" t="s">
        <v>144</v>
      </c>
      <c r="H60" s="261" t="n">
        <v>0</v>
      </c>
      <c r="I60" s="261" t="n">
        <v>3</v>
      </c>
      <c r="J60" s="361" t="n">
        <v>1</v>
      </c>
      <c r="K60" s="262" t="n">
        <v>75</v>
      </c>
      <c r="L60" s="262" t="n">
        <v>80</v>
      </c>
      <c r="M60" s="262" t="n">
        <v>85</v>
      </c>
      <c r="N60" s="262" t="n">
        <v>110</v>
      </c>
      <c r="O60" s="262" t="n">
        <v>90</v>
      </c>
      <c r="P60" s="361" t="n">
        <v>50</v>
      </c>
      <c r="Q60" s="261" t="s">
        <v>155</v>
      </c>
      <c r="R60" s="261" t="s">
        <v>147</v>
      </c>
      <c r="S60" s="363" t="n">
        <f aca="false" t="array" ref="S60:S60">IF(COUNTIF('0.3.0 GO Calculation Values'!$J$2:$J$99,C60),(INDEX('0.3.0 GO Calculation Values'!$K$2:$K$99,MATCH(C60,'0.3.0 GO Calculation Values'!$J$2:$J$99,0))),1)</f>
        <v>1</v>
      </c>
      <c r="T60" s="262" t="n">
        <f aca="false">ROUND(ROUND(2*((7/8)*MAX(L60,N60)+(1/8)*MIN(L60,N60)),0)*(1+(P60-75)/500),0)</f>
        <v>202</v>
      </c>
      <c r="U60" s="262" t="n">
        <f aca="false">ROUND(ROUND(2*((5/8)*MAX(M60,O60)+(3/8)*MIN(M60,O60)),0)*(1+(P60-75)/500),0)</f>
        <v>167</v>
      </c>
      <c r="V60" s="361" t="n">
        <f aca="false">ROUNDDOWN(K60*1.75+50,0)</f>
        <v>181</v>
      </c>
      <c r="W60" s="261" t="n">
        <v>1</v>
      </c>
      <c r="X60" s="261" t="s">
        <v>362</v>
      </c>
      <c r="Y60" s="364" t="s">
        <v>360</v>
      </c>
      <c r="Z60" s="364" t="n">
        <v>3</v>
      </c>
      <c r="AA60" s="364"/>
      <c r="AB60" s="365" t="n">
        <v>2</v>
      </c>
      <c r="AC60" s="364"/>
      <c r="AD60" s="364" t="n">
        <v>100</v>
      </c>
      <c r="AE60" s="366"/>
      <c r="AF60" s="364" t="s">
        <v>365</v>
      </c>
      <c r="AG60" s="364" t="s">
        <v>365</v>
      </c>
      <c r="AH60" s="366" t="s">
        <v>365</v>
      </c>
    </row>
    <row r="61" customFormat="false" ht="15.75" hidden="false" customHeight="false" outlineLevel="0" collapsed="false">
      <c r="A61" s="262" t="n">
        <v>46</v>
      </c>
      <c r="B61" s="361" t="n">
        <v>59</v>
      </c>
      <c r="C61" s="261" t="s">
        <v>366</v>
      </c>
      <c r="D61" s="261" t="s">
        <v>60</v>
      </c>
      <c r="E61" s="362" t="s">
        <v>366</v>
      </c>
      <c r="F61" s="261" t="s">
        <v>228</v>
      </c>
      <c r="G61" s="261" t="s">
        <v>144</v>
      </c>
      <c r="H61" s="261" t="n">
        <v>0</v>
      </c>
      <c r="I61" s="261" t="n">
        <v>1</v>
      </c>
      <c r="J61" s="361" t="n">
        <v>0</v>
      </c>
      <c r="K61" s="262" t="n">
        <v>35</v>
      </c>
      <c r="L61" s="262" t="n">
        <v>70</v>
      </c>
      <c r="M61" s="262" t="n">
        <v>55</v>
      </c>
      <c r="N61" s="262" t="n">
        <v>45</v>
      </c>
      <c r="O61" s="262" t="n">
        <v>55</v>
      </c>
      <c r="P61" s="361" t="n">
        <v>25</v>
      </c>
      <c r="Q61" s="261" t="s">
        <v>150</v>
      </c>
      <c r="R61" s="261" t="s">
        <v>155</v>
      </c>
      <c r="S61" s="363" t="n">
        <f aca="false" t="array" ref="S61:S61">IF(COUNTIF('0.3.0 GO Calculation Values'!$J$2:$J$99,C61),(INDEX('0.3.0 GO Calculation Values'!$K$2:$K$99,MATCH(C61,'0.3.0 GO Calculation Values'!$J$2:$J$99,0))),1)</f>
        <v>1</v>
      </c>
      <c r="T61" s="262" t="n">
        <f aca="false">ROUND(ROUND(2*((7/8)*MAX(L61,N61)+(1/8)*MIN(L61,N61)),0)*(1+(P61-75)/500),0)</f>
        <v>121</v>
      </c>
      <c r="U61" s="262" t="n">
        <f aca="false">ROUND(ROUND(2*((5/8)*MAX(M61,O61)+(3/8)*MIN(M61,O61)),0)*(1+(P61-75)/500),0)</f>
        <v>99</v>
      </c>
      <c r="V61" s="361" t="n">
        <f aca="false">ROUNDDOWN(K61*1.75+50,0)</f>
        <v>111</v>
      </c>
      <c r="W61" s="261" t="n">
        <v>1</v>
      </c>
      <c r="X61" s="261" t="s">
        <v>60</v>
      </c>
      <c r="Y61" s="364" t="s">
        <v>366</v>
      </c>
      <c r="Z61" s="364" t="n">
        <v>3</v>
      </c>
      <c r="AA61" s="364"/>
      <c r="AB61" s="365" t="s">
        <v>60</v>
      </c>
      <c r="AC61" s="364"/>
      <c r="AD61" s="364" t="n">
        <v>0</v>
      </c>
      <c r="AE61" s="366"/>
      <c r="AF61" s="364" t="s">
        <v>367</v>
      </c>
      <c r="AG61" s="364" t="s">
        <v>367</v>
      </c>
      <c r="AH61" s="366" t="s">
        <v>367</v>
      </c>
    </row>
    <row r="62" customFormat="false" ht="15.75" hidden="false" customHeight="false" outlineLevel="0" collapsed="false">
      <c r="A62" s="262" t="n">
        <v>47</v>
      </c>
      <c r="B62" s="361" t="n">
        <v>60</v>
      </c>
      <c r="C62" s="261" t="s">
        <v>368</v>
      </c>
      <c r="D62" s="261" t="s">
        <v>60</v>
      </c>
      <c r="E62" s="362" t="s">
        <v>368</v>
      </c>
      <c r="F62" s="261" t="s">
        <v>228</v>
      </c>
      <c r="G62" s="261" t="s">
        <v>144</v>
      </c>
      <c r="H62" s="261" t="n">
        <v>0</v>
      </c>
      <c r="I62" s="261" t="n">
        <v>2</v>
      </c>
      <c r="J62" s="361" t="n">
        <v>1</v>
      </c>
      <c r="K62" s="262" t="n">
        <v>60</v>
      </c>
      <c r="L62" s="262" t="n">
        <v>95</v>
      </c>
      <c r="M62" s="262" t="n">
        <v>80</v>
      </c>
      <c r="N62" s="262" t="n">
        <v>60</v>
      </c>
      <c r="O62" s="262" t="n">
        <v>80</v>
      </c>
      <c r="P62" s="361" t="n">
        <v>30</v>
      </c>
      <c r="Q62" s="261" t="s">
        <v>150</v>
      </c>
      <c r="R62" s="261" t="s">
        <v>155</v>
      </c>
      <c r="S62" s="363" t="n">
        <f aca="false" t="array" ref="S62:S62">IF(COUNTIF('0.3.0 GO Calculation Values'!$J$2:$J$99,C62),(INDEX('0.3.0 GO Calculation Values'!$K$2:$K$99,MATCH(C62,'0.3.0 GO Calculation Values'!$J$2:$J$99,0))),1)</f>
        <v>1</v>
      </c>
      <c r="T62" s="262" t="n">
        <f aca="false">ROUND(ROUND(2*((7/8)*MAX(L62,N62)+(1/8)*MIN(L62,N62)),0)*(1+(P62-75)/500),0)</f>
        <v>165</v>
      </c>
      <c r="U62" s="262" t="n">
        <f aca="false">ROUND(ROUND(2*((5/8)*MAX(M62,O62)+(3/8)*MIN(M62,O62)),0)*(1+(P62-75)/500),0)</f>
        <v>146</v>
      </c>
      <c r="V62" s="361" t="n">
        <f aca="false">ROUNDDOWN(K62*1.75+50,0)</f>
        <v>155</v>
      </c>
      <c r="W62" s="261" t="n">
        <v>1</v>
      </c>
      <c r="X62" s="261" t="s">
        <v>366</v>
      </c>
      <c r="Y62" s="364" t="s">
        <v>366</v>
      </c>
      <c r="Z62" s="364" t="n">
        <v>3</v>
      </c>
      <c r="AA62" s="364"/>
      <c r="AB62" s="365" t="s">
        <v>60</v>
      </c>
      <c r="AC62" s="364"/>
      <c r="AD62" s="364" t="n">
        <v>50</v>
      </c>
      <c r="AE62" s="366"/>
      <c r="AF62" s="364" t="s">
        <v>369</v>
      </c>
      <c r="AG62" s="364" t="s">
        <v>369</v>
      </c>
      <c r="AH62" s="366" t="s">
        <v>369</v>
      </c>
    </row>
    <row r="63" customFormat="false" ht="15.75" hidden="false" customHeight="false" outlineLevel="0" collapsed="false">
      <c r="A63" s="262" t="n">
        <v>48</v>
      </c>
      <c r="B63" s="361" t="n">
        <v>61</v>
      </c>
      <c r="C63" s="261" t="s">
        <v>370</v>
      </c>
      <c r="D63" s="261" t="s">
        <v>60</v>
      </c>
      <c r="E63" s="362" t="s">
        <v>370</v>
      </c>
      <c r="F63" s="261" t="s">
        <v>228</v>
      </c>
      <c r="G63" s="261" t="s">
        <v>144</v>
      </c>
      <c r="H63" s="261" t="n">
        <v>0</v>
      </c>
      <c r="I63" s="261" t="n">
        <v>1</v>
      </c>
      <c r="J63" s="361" t="n">
        <v>0</v>
      </c>
      <c r="K63" s="262" t="n">
        <v>60</v>
      </c>
      <c r="L63" s="262" t="n">
        <v>55</v>
      </c>
      <c r="M63" s="262" t="n">
        <v>50</v>
      </c>
      <c r="N63" s="262" t="n">
        <v>40</v>
      </c>
      <c r="O63" s="262" t="n">
        <v>55</v>
      </c>
      <c r="P63" s="361" t="n">
        <v>45</v>
      </c>
      <c r="Q63" s="261" t="s">
        <v>150</v>
      </c>
      <c r="R63" s="261" t="s">
        <v>147</v>
      </c>
      <c r="S63" s="363" t="n">
        <f aca="false" t="array" ref="S63:S63">IF(COUNTIF('0.3.0 GO Calculation Values'!$J$2:$J$99,C63),(INDEX('0.3.0 GO Calculation Values'!$K$2:$K$99,MATCH(C63,'0.3.0 GO Calculation Values'!$J$2:$J$99,0))),1)</f>
        <v>1</v>
      </c>
      <c r="T63" s="262" t="n">
        <f aca="false">ROUND(ROUND(2*((7/8)*MAX(L63,N63)+(1/8)*MIN(L63,N63)),0)*(1+(P63-75)/500),0)</f>
        <v>100</v>
      </c>
      <c r="U63" s="262" t="n">
        <f aca="false">ROUND(ROUND(2*((5/8)*MAX(M63,O63)+(3/8)*MIN(M63,O63)),0)*(1+(P63-75)/500),0)</f>
        <v>100</v>
      </c>
      <c r="V63" s="361" t="n">
        <f aca="false">ROUNDDOWN(K63*1.75+50,0)</f>
        <v>155</v>
      </c>
      <c r="W63" s="261" t="n">
        <v>1</v>
      </c>
      <c r="X63" s="261" t="s">
        <v>60</v>
      </c>
      <c r="Y63" s="364" t="s">
        <v>370</v>
      </c>
      <c r="Z63" s="364" t="n">
        <v>3</v>
      </c>
      <c r="AA63" s="364"/>
      <c r="AB63" s="365" t="s">
        <v>60</v>
      </c>
      <c r="AC63" s="364"/>
      <c r="AD63" s="364" t="n">
        <v>0</v>
      </c>
      <c r="AE63" s="366"/>
      <c r="AF63" s="364" t="s">
        <v>371</v>
      </c>
      <c r="AG63" s="364" t="s">
        <v>371</v>
      </c>
      <c r="AH63" s="366" t="s">
        <v>371</v>
      </c>
    </row>
    <row r="64" customFormat="false" ht="15.75" hidden="false" customHeight="false" outlineLevel="0" collapsed="false">
      <c r="A64" s="262" t="n">
        <v>49</v>
      </c>
      <c r="B64" s="361" t="n">
        <v>62</v>
      </c>
      <c r="C64" s="261" t="s">
        <v>372</v>
      </c>
      <c r="D64" s="261" t="s">
        <v>60</v>
      </c>
      <c r="E64" s="362" t="s">
        <v>372</v>
      </c>
      <c r="F64" s="261" t="s">
        <v>228</v>
      </c>
      <c r="G64" s="261" t="s">
        <v>144</v>
      </c>
      <c r="H64" s="261" t="n">
        <v>0</v>
      </c>
      <c r="I64" s="261" t="n">
        <v>2</v>
      </c>
      <c r="J64" s="361" t="n">
        <v>1</v>
      </c>
      <c r="K64" s="262" t="n">
        <v>70</v>
      </c>
      <c r="L64" s="262" t="n">
        <v>65</v>
      </c>
      <c r="M64" s="262" t="n">
        <v>60</v>
      </c>
      <c r="N64" s="262" t="n">
        <v>90</v>
      </c>
      <c r="O64" s="262" t="n">
        <v>75</v>
      </c>
      <c r="P64" s="361" t="n">
        <v>90</v>
      </c>
      <c r="Q64" s="261" t="s">
        <v>150</v>
      </c>
      <c r="R64" s="261" t="s">
        <v>147</v>
      </c>
      <c r="S64" s="363" t="n">
        <f aca="false" t="array" ref="S64:S64">IF(COUNTIF('0.3.0 GO Calculation Values'!$J$2:$J$99,C64),(INDEX('0.3.0 GO Calculation Values'!$K$2:$K$99,MATCH(C64,'0.3.0 GO Calculation Values'!$J$2:$J$99,0))),1)</f>
        <v>1</v>
      </c>
      <c r="T64" s="262" t="n">
        <f aca="false">ROUND(ROUND(2*((7/8)*MAX(L64,N64)+(1/8)*MIN(L64,N64)),0)*(1+(P64-75)/500),0)</f>
        <v>179</v>
      </c>
      <c r="U64" s="262" t="n">
        <f aca="false">ROUND(ROUND(2*((5/8)*MAX(M64,O64)+(3/8)*MIN(M64,O64)),0)*(1+(P64-75)/500),0)</f>
        <v>143</v>
      </c>
      <c r="V64" s="361" t="n">
        <f aca="false">ROUNDDOWN(K64*1.75+50,0)</f>
        <v>172</v>
      </c>
      <c r="W64" s="261" t="n">
        <v>1</v>
      </c>
      <c r="X64" s="261" t="s">
        <v>370</v>
      </c>
      <c r="Y64" s="364" t="s">
        <v>370</v>
      </c>
      <c r="Z64" s="364" t="n">
        <v>3</v>
      </c>
      <c r="AA64" s="364"/>
      <c r="AB64" s="365" t="s">
        <v>60</v>
      </c>
      <c r="AC64" s="364"/>
      <c r="AD64" s="364" t="n">
        <v>50</v>
      </c>
      <c r="AE64" s="366"/>
      <c r="AF64" s="364" t="s">
        <v>373</v>
      </c>
      <c r="AG64" s="364" t="s">
        <v>373</v>
      </c>
      <c r="AH64" s="366" t="s">
        <v>373</v>
      </c>
    </row>
    <row r="65" customFormat="false" ht="15.75" hidden="false" customHeight="false" outlineLevel="0" collapsed="false">
      <c r="A65" s="262" t="n">
        <v>50</v>
      </c>
      <c r="B65" s="361" t="n">
        <v>63</v>
      </c>
      <c r="C65" s="261" t="s">
        <v>374</v>
      </c>
      <c r="D65" s="261" t="s">
        <v>7</v>
      </c>
      <c r="E65" s="367" t="s">
        <v>374</v>
      </c>
      <c r="F65" s="261" t="s">
        <v>228</v>
      </c>
      <c r="G65" s="261" t="s">
        <v>144</v>
      </c>
      <c r="H65" s="261" t="n">
        <v>0</v>
      </c>
      <c r="I65" s="261" t="n">
        <v>1</v>
      </c>
      <c r="J65" s="361" t="n">
        <v>0</v>
      </c>
      <c r="K65" s="262" t="n">
        <v>10</v>
      </c>
      <c r="L65" s="262" t="n">
        <v>55</v>
      </c>
      <c r="M65" s="262" t="n">
        <v>25</v>
      </c>
      <c r="N65" s="262" t="n">
        <v>35</v>
      </c>
      <c r="O65" s="262" t="n">
        <v>45</v>
      </c>
      <c r="P65" s="361" t="n">
        <v>95</v>
      </c>
      <c r="Q65" s="261" t="s">
        <v>148</v>
      </c>
      <c r="R65" s="261"/>
      <c r="S65" s="363" t="n">
        <f aca="false" t="array" ref="S65:S65">IF(COUNTIF('0.3.0 GO Calculation Values'!$J$2:$J$99,C65),(INDEX('0.3.0 GO Calculation Values'!$K$2:$K$99,MATCH(C65,'0.3.0 GO Calculation Values'!$J$2:$J$99,0))),1)</f>
        <v>1</v>
      </c>
      <c r="T65" s="262" t="n">
        <f aca="false">ROUND(ROUND(2*((7/8)*MAX(L65,N65)+(1/8)*MIN(L65,N65)),0)*(1+(P65-75)/500),0)</f>
        <v>109</v>
      </c>
      <c r="U65" s="262" t="n">
        <f aca="false">ROUND(ROUND(2*((5/8)*MAX(M65,O65)+(3/8)*MIN(M65,O65)),0)*(1+(P65-75)/500),0)</f>
        <v>78</v>
      </c>
      <c r="V65" s="361" t="n">
        <f aca="false">ROUNDDOWN(K65*1.75+50,0)</f>
        <v>67</v>
      </c>
      <c r="W65" s="261" t="n">
        <v>1</v>
      </c>
      <c r="X65" s="261" t="s">
        <v>60</v>
      </c>
      <c r="Y65" s="364" t="s">
        <v>374</v>
      </c>
      <c r="Z65" s="364" t="n">
        <v>3</v>
      </c>
      <c r="AA65" s="364"/>
      <c r="AB65" s="365" t="s">
        <v>60</v>
      </c>
      <c r="AC65" s="364"/>
      <c r="AD65" s="364" t="n">
        <v>0</v>
      </c>
      <c r="AE65" s="366"/>
      <c r="AF65" s="364" t="s">
        <v>375</v>
      </c>
      <c r="AG65" s="364" t="s">
        <v>375</v>
      </c>
      <c r="AH65" s="366" t="s">
        <v>375</v>
      </c>
    </row>
    <row r="66" customFormat="false" ht="15.75" hidden="false" customHeight="false" outlineLevel="0" collapsed="false">
      <c r="A66" s="262" t="n">
        <v>50</v>
      </c>
      <c r="B66" s="361" t="n">
        <v>64</v>
      </c>
      <c r="C66" s="261" t="s">
        <v>374</v>
      </c>
      <c r="D66" s="261" t="s">
        <v>288</v>
      </c>
      <c r="E66" s="358" t="s">
        <v>376</v>
      </c>
      <c r="F66" s="261" t="s">
        <v>290</v>
      </c>
      <c r="G66" s="261" t="s">
        <v>144</v>
      </c>
      <c r="H66" s="261" t="n">
        <v>1</v>
      </c>
      <c r="I66" s="261" t="n">
        <v>1</v>
      </c>
      <c r="J66" s="361" t="n">
        <v>0</v>
      </c>
      <c r="K66" s="262" t="n">
        <v>10</v>
      </c>
      <c r="L66" s="262" t="n">
        <v>55</v>
      </c>
      <c r="M66" s="262" t="n">
        <v>30</v>
      </c>
      <c r="N66" s="262" t="n">
        <v>35</v>
      </c>
      <c r="O66" s="262" t="n">
        <v>45</v>
      </c>
      <c r="P66" s="361" t="n">
        <v>90</v>
      </c>
      <c r="Q66" s="261" t="s">
        <v>148</v>
      </c>
      <c r="R66" s="261" t="s">
        <v>152</v>
      </c>
      <c r="S66" s="363" t="n">
        <f aca="false" t="array" ref="S66:S66">IF(COUNTIF('0.3.0 GO Calculation Values'!$J$2:$J$99,C66),(INDEX('0.3.0 GO Calculation Values'!$K$2:$K$99,MATCH(C66,'0.3.0 GO Calculation Values'!$J$2:$J$99,0))),1)</f>
        <v>1</v>
      </c>
      <c r="T66" s="262" t="n">
        <f aca="false">ROUND(ROUND(2*((7/8)*MAX(L66,N66)+(1/8)*MIN(L66,N66)),0)*(1+(P66-75)/500),0)</f>
        <v>108</v>
      </c>
      <c r="U66" s="262" t="n">
        <f aca="false">ROUND(ROUND(2*((5/8)*MAX(M66,O66)+(3/8)*MIN(M66,O66)),0)*(1+(P66-75)/500),0)</f>
        <v>81</v>
      </c>
      <c r="V66" s="361" t="n">
        <f aca="false">ROUNDDOWN(K66*1.75+50,0)</f>
        <v>67</v>
      </c>
      <c r="W66" s="261" t="n">
        <v>0</v>
      </c>
      <c r="X66" s="261" t="s">
        <v>60</v>
      </c>
      <c r="Y66" s="364" t="s">
        <v>374</v>
      </c>
      <c r="Z66" s="364" t="n">
        <v>3</v>
      </c>
      <c r="AA66" s="364"/>
      <c r="AB66" s="365"/>
      <c r="AC66" s="364"/>
      <c r="AD66" s="364" t="n">
        <v>0</v>
      </c>
      <c r="AE66" s="366"/>
      <c r="AF66" s="364" t="s">
        <v>377</v>
      </c>
      <c r="AG66" s="261" t="s">
        <v>378</v>
      </c>
      <c r="AH66" s="362" t="s">
        <v>378</v>
      </c>
    </row>
    <row r="67" customFormat="false" ht="15.75" hidden="false" customHeight="false" outlineLevel="0" collapsed="false">
      <c r="A67" s="262" t="n">
        <v>51</v>
      </c>
      <c r="B67" s="361" t="n">
        <v>65</v>
      </c>
      <c r="C67" s="261" t="s">
        <v>379</v>
      </c>
      <c r="D67" s="261" t="s">
        <v>7</v>
      </c>
      <c r="E67" s="367" t="s">
        <v>379</v>
      </c>
      <c r="F67" s="261" t="s">
        <v>228</v>
      </c>
      <c r="G67" s="261" t="s">
        <v>144</v>
      </c>
      <c r="H67" s="261" t="n">
        <v>0</v>
      </c>
      <c r="I67" s="261" t="n">
        <v>2</v>
      </c>
      <c r="J67" s="361" t="n">
        <v>1</v>
      </c>
      <c r="K67" s="262" t="n">
        <v>35</v>
      </c>
      <c r="L67" s="262" t="n">
        <v>80</v>
      </c>
      <c r="M67" s="262" t="n">
        <v>50</v>
      </c>
      <c r="N67" s="262" t="n">
        <v>50</v>
      </c>
      <c r="O67" s="262" t="n">
        <v>70</v>
      </c>
      <c r="P67" s="361" t="n">
        <v>120</v>
      </c>
      <c r="Q67" s="261" t="s">
        <v>148</v>
      </c>
      <c r="R67" s="261"/>
      <c r="S67" s="363" t="n">
        <f aca="false" t="array" ref="S67:S67">IF(COUNTIF('0.3.0 GO Calculation Values'!$J$2:$J$99,C67),(INDEX('0.3.0 GO Calculation Values'!$K$2:$K$99,MATCH(C67,'0.3.0 GO Calculation Values'!$J$2:$J$99,0))),1)</f>
        <v>1</v>
      </c>
      <c r="T67" s="262" t="n">
        <f aca="false">ROUND(ROUND(2*((7/8)*MAX(L67,N67)+(1/8)*MIN(L67,N67)),0)*(1+(P67-75)/500),0)</f>
        <v>167</v>
      </c>
      <c r="U67" s="262" t="n">
        <f aca="false">ROUND(ROUND(2*((5/8)*MAX(M67,O67)+(3/8)*MIN(M67,O67)),0)*(1+(P67-75)/500),0)</f>
        <v>136</v>
      </c>
      <c r="V67" s="361" t="n">
        <f aca="false">ROUNDDOWN(K67*1.75+50,0)</f>
        <v>111</v>
      </c>
      <c r="W67" s="261" t="n">
        <v>1</v>
      </c>
      <c r="X67" s="261" t="s">
        <v>374</v>
      </c>
      <c r="Y67" s="364" t="s">
        <v>374</v>
      </c>
      <c r="Z67" s="364" t="n">
        <v>3</v>
      </c>
      <c r="AA67" s="364"/>
      <c r="AB67" s="365" t="s">
        <v>60</v>
      </c>
      <c r="AC67" s="364"/>
      <c r="AD67" s="364" t="n">
        <v>50</v>
      </c>
      <c r="AE67" s="366"/>
      <c r="AF67" s="364" t="s">
        <v>380</v>
      </c>
      <c r="AG67" s="364" t="s">
        <v>380</v>
      </c>
      <c r="AH67" s="366" t="s">
        <v>380</v>
      </c>
    </row>
    <row r="68" customFormat="false" ht="15.75" hidden="false" customHeight="false" outlineLevel="0" collapsed="false">
      <c r="A68" s="262" t="n">
        <v>51</v>
      </c>
      <c r="B68" s="361" t="n">
        <v>66</v>
      </c>
      <c r="C68" s="261" t="s">
        <v>379</v>
      </c>
      <c r="D68" s="261" t="s">
        <v>288</v>
      </c>
      <c r="E68" s="358" t="s">
        <v>381</v>
      </c>
      <c r="F68" s="261" t="s">
        <v>290</v>
      </c>
      <c r="G68" s="261" t="s">
        <v>144</v>
      </c>
      <c r="H68" s="261" t="n">
        <v>1</v>
      </c>
      <c r="I68" s="261" t="n">
        <v>2</v>
      </c>
      <c r="J68" s="361" t="n">
        <v>1</v>
      </c>
      <c r="K68" s="262" t="n">
        <v>35</v>
      </c>
      <c r="L68" s="262" t="n">
        <v>100</v>
      </c>
      <c r="M68" s="262" t="n">
        <v>60</v>
      </c>
      <c r="N68" s="262" t="n">
        <v>50</v>
      </c>
      <c r="O68" s="262" t="n">
        <v>70</v>
      </c>
      <c r="P68" s="361" t="n">
        <v>110</v>
      </c>
      <c r="Q68" s="261" t="s">
        <v>148</v>
      </c>
      <c r="R68" s="261" t="s">
        <v>152</v>
      </c>
      <c r="S68" s="363" t="n">
        <f aca="false" t="array" ref="S68:S68">IF(COUNTIF('0.3.0 GO Calculation Values'!$J$2:$J$99,C68),(INDEX('0.3.0 GO Calculation Values'!$K$2:$K$99,MATCH(C68,'0.3.0 GO Calculation Values'!$J$2:$J$99,0))),1)</f>
        <v>1</v>
      </c>
      <c r="T68" s="262" t="n">
        <f aca="false">ROUND(ROUND(2*((7/8)*MAX(L68,N68)+(1/8)*MIN(L68,N68)),0)*(1+(P68-75)/500),0)</f>
        <v>201</v>
      </c>
      <c r="U68" s="262" t="n">
        <f aca="false">ROUND(ROUND(2*((5/8)*MAX(M68,O68)+(3/8)*MIN(M68,O68)),0)*(1+(P68-75)/500),0)</f>
        <v>142</v>
      </c>
      <c r="V68" s="361" t="n">
        <f aca="false">ROUNDDOWN(K68*1.75+50,0)</f>
        <v>111</v>
      </c>
      <c r="W68" s="261" t="n">
        <v>0</v>
      </c>
      <c r="X68" s="261" t="s">
        <v>374</v>
      </c>
      <c r="Y68" s="364" t="s">
        <v>374</v>
      </c>
      <c r="Z68" s="364" t="n">
        <v>3</v>
      </c>
      <c r="AA68" s="364"/>
      <c r="AB68" s="365"/>
      <c r="AC68" s="364"/>
      <c r="AD68" s="364" t="n">
        <v>50</v>
      </c>
      <c r="AE68" s="366"/>
      <c r="AF68" s="364" t="s">
        <v>382</v>
      </c>
      <c r="AG68" s="261" t="s">
        <v>383</v>
      </c>
      <c r="AH68" s="362" t="s">
        <v>383</v>
      </c>
    </row>
    <row r="69" customFormat="false" ht="15.75" hidden="false" customHeight="false" outlineLevel="0" collapsed="false">
      <c r="A69" s="262" t="n">
        <v>52</v>
      </c>
      <c r="B69" s="361" t="n">
        <v>67</v>
      </c>
      <c r="C69" s="261" t="s">
        <v>384</v>
      </c>
      <c r="D69" s="261" t="s">
        <v>7</v>
      </c>
      <c r="E69" s="367" t="s">
        <v>384</v>
      </c>
      <c r="F69" s="261" t="s">
        <v>228</v>
      </c>
      <c r="G69" s="261" t="s">
        <v>144</v>
      </c>
      <c r="H69" s="261" t="n">
        <v>0</v>
      </c>
      <c r="I69" s="261" t="n">
        <v>1</v>
      </c>
      <c r="J69" s="361" t="n">
        <v>0</v>
      </c>
      <c r="K69" s="262" t="n">
        <v>40</v>
      </c>
      <c r="L69" s="262" t="n">
        <v>45</v>
      </c>
      <c r="M69" s="262" t="n">
        <v>35</v>
      </c>
      <c r="N69" s="262" t="n">
        <v>40</v>
      </c>
      <c r="O69" s="262" t="n">
        <v>40</v>
      </c>
      <c r="P69" s="361" t="n">
        <v>90</v>
      </c>
      <c r="Q69" s="261" t="s">
        <v>144</v>
      </c>
      <c r="R69" s="261"/>
      <c r="S69" s="363" t="n">
        <f aca="false" t="array" ref="S69:S69">IF(COUNTIF('0.3.0 GO Calculation Values'!$J$2:$J$99,C69),(INDEX('0.3.0 GO Calculation Values'!$K$2:$K$99,MATCH(C69,'0.3.0 GO Calculation Values'!$J$2:$J$99,0))),1)</f>
        <v>1</v>
      </c>
      <c r="T69" s="262" t="n">
        <f aca="false">ROUND(ROUND(2*((7/8)*MAX(L69,N69)+(1/8)*MIN(L69,N69)),0)*(1+(P69-75)/500),0)</f>
        <v>92</v>
      </c>
      <c r="U69" s="262" t="n">
        <f aca="false">ROUND(ROUND(2*((5/8)*MAX(M69,O69)+(3/8)*MIN(M69,O69)),0)*(1+(P69-75)/500),0)</f>
        <v>78</v>
      </c>
      <c r="V69" s="361" t="n">
        <f aca="false">ROUNDDOWN(K69*1.75+50,0)</f>
        <v>120</v>
      </c>
      <c r="W69" s="261" t="n">
        <v>1</v>
      </c>
      <c r="X69" s="261" t="s">
        <v>60</v>
      </c>
      <c r="Y69" s="364" t="s">
        <v>384</v>
      </c>
      <c r="Z69" s="364" t="n">
        <v>3</v>
      </c>
      <c r="AA69" s="364"/>
      <c r="AB69" s="365" t="s">
        <v>60</v>
      </c>
      <c r="AC69" s="364"/>
      <c r="AD69" s="364" t="n">
        <v>0</v>
      </c>
      <c r="AE69" s="366"/>
      <c r="AF69" s="364" t="s">
        <v>385</v>
      </c>
      <c r="AG69" s="364" t="s">
        <v>385</v>
      </c>
      <c r="AH69" s="366" t="s">
        <v>385</v>
      </c>
    </row>
    <row r="70" customFormat="false" ht="15.75" hidden="false" customHeight="false" outlineLevel="0" collapsed="false">
      <c r="A70" s="262" t="n">
        <v>52</v>
      </c>
      <c r="B70" s="361" t="n">
        <v>68</v>
      </c>
      <c r="C70" s="261" t="s">
        <v>384</v>
      </c>
      <c r="D70" s="261" t="s">
        <v>288</v>
      </c>
      <c r="E70" s="358" t="s">
        <v>386</v>
      </c>
      <c r="F70" s="261" t="s">
        <v>290</v>
      </c>
      <c r="G70" s="261" t="s">
        <v>144</v>
      </c>
      <c r="H70" s="261" t="n">
        <v>1</v>
      </c>
      <c r="I70" s="261" t="n">
        <v>1</v>
      </c>
      <c r="J70" s="361" t="n">
        <v>0</v>
      </c>
      <c r="K70" s="262" t="n">
        <v>40</v>
      </c>
      <c r="L70" s="262" t="n">
        <v>35</v>
      </c>
      <c r="M70" s="262" t="n">
        <v>35</v>
      </c>
      <c r="N70" s="262" t="n">
        <v>50</v>
      </c>
      <c r="O70" s="262" t="n">
        <v>40</v>
      </c>
      <c r="P70" s="361" t="n">
        <v>90</v>
      </c>
      <c r="Q70" s="261" t="s">
        <v>160</v>
      </c>
      <c r="R70" s="261"/>
      <c r="S70" s="363" t="n">
        <f aca="false" t="array" ref="S70:S70">IF(COUNTIF('0.3.0 GO Calculation Values'!$J$2:$J$99,C70),(INDEX('0.3.0 GO Calculation Values'!$K$2:$K$99,MATCH(C70,'0.3.0 GO Calculation Values'!$J$2:$J$99,0))),1)</f>
        <v>1</v>
      </c>
      <c r="T70" s="262" t="n">
        <f aca="false">ROUND(ROUND(2*((7/8)*MAX(L70,N70)+(1/8)*MIN(L70,N70)),0)*(1+(P70-75)/500),0)</f>
        <v>99</v>
      </c>
      <c r="U70" s="262" t="n">
        <f aca="false">ROUND(ROUND(2*((5/8)*MAX(M70,O70)+(3/8)*MIN(M70,O70)),0)*(1+(P70-75)/500),0)</f>
        <v>78</v>
      </c>
      <c r="V70" s="361" t="n">
        <f aca="false">ROUNDDOWN(K70*1.75+50,0)</f>
        <v>120</v>
      </c>
      <c r="W70" s="261" t="n">
        <v>0</v>
      </c>
      <c r="X70" s="261" t="s">
        <v>60</v>
      </c>
      <c r="Y70" s="364" t="s">
        <v>384</v>
      </c>
      <c r="Z70" s="364" t="n">
        <v>3</v>
      </c>
      <c r="AA70" s="364"/>
      <c r="AB70" s="365"/>
      <c r="AC70" s="364"/>
      <c r="AD70" s="364" t="n">
        <v>0</v>
      </c>
      <c r="AE70" s="366"/>
      <c r="AF70" s="364" t="s">
        <v>387</v>
      </c>
      <c r="AG70" s="261" t="s">
        <v>388</v>
      </c>
      <c r="AH70" s="362" t="s">
        <v>388</v>
      </c>
    </row>
    <row r="71" customFormat="false" ht="15.75" hidden="false" customHeight="false" outlineLevel="0" collapsed="false">
      <c r="A71" s="262" t="n">
        <v>53</v>
      </c>
      <c r="B71" s="361" t="n">
        <v>69</v>
      </c>
      <c r="C71" s="261" t="s">
        <v>389</v>
      </c>
      <c r="D71" s="261" t="s">
        <v>7</v>
      </c>
      <c r="E71" s="367" t="s">
        <v>389</v>
      </c>
      <c r="F71" s="261" t="s">
        <v>228</v>
      </c>
      <c r="G71" s="261" t="s">
        <v>144</v>
      </c>
      <c r="H71" s="261" t="n">
        <v>0</v>
      </c>
      <c r="I71" s="261" t="n">
        <v>2</v>
      </c>
      <c r="J71" s="361" t="n">
        <v>1</v>
      </c>
      <c r="K71" s="262" t="n">
        <v>65</v>
      </c>
      <c r="L71" s="262" t="n">
        <v>70</v>
      </c>
      <c r="M71" s="262" t="n">
        <v>60</v>
      </c>
      <c r="N71" s="262" t="n">
        <v>65</v>
      </c>
      <c r="O71" s="262" t="n">
        <v>65</v>
      </c>
      <c r="P71" s="361" t="n">
        <v>115</v>
      </c>
      <c r="Q71" s="261" t="s">
        <v>144</v>
      </c>
      <c r="R71" s="261"/>
      <c r="S71" s="363" t="n">
        <f aca="false" t="array" ref="S71:S71">IF(COUNTIF('0.3.0 GO Calculation Values'!$J$2:$J$99,C71),(INDEX('0.3.0 GO Calculation Values'!$K$2:$K$99,MATCH(C71,'0.3.0 GO Calculation Values'!$J$2:$J$99,0))),1)</f>
        <v>1</v>
      </c>
      <c r="T71" s="262" t="n">
        <f aca="false">ROUND(ROUND(2*((7/8)*MAX(L71,N71)+(1/8)*MIN(L71,N71)),0)*(1+(P71-75)/500),0)</f>
        <v>150</v>
      </c>
      <c r="U71" s="262" t="n">
        <f aca="false">ROUND(ROUND(2*((5/8)*MAX(M71,O71)+(3/8)*MIN(M71,O71)),0)*(1+(P71-75)/500),0)</f>
        <v>136</v>
      </c>
      <c r="V71" s="361" t="n">
        <f aca="false">ROUNDDOWN(K71*1.75+50,0)</f>
        <v>163</v>
      </c>
      <c r="W71" s="261" t="n">
        <v>1</v>
      </c>
      <c r="X71" s="261" t="s">
        <v>384</v>
      </c>
      <c r="Y71" s="364" t="s">
        <v>384</v>
      </c>
      <c r="Z71" s="364" t="n">
        <v>3</v>
      </c>
      <c r="AA71" s="364"/>
      <c r="AB71" s="365" t="s">
        <v>60</v>
      </c>
      <c r="AC71" s="364"/>
      <c r="AD71" s="364" t="n">
        <v>50</v>
      </c>
      <c r="AE71" s="366"/>
      <c r="AF71" s="364" t="s">
        <v>390</v>
      </c>
      <c r="AG71" s="364" t="s">
        <v>390</v>
      </c>
      <c r="AH71" s="366" t="s">
        <v>390</v>
      </c>
    </row>
    <row r="72" customFormat="false" ht="15.75" hidden="false" customHeight="false" outlineLevel="0" collapsed="false">
      <c r="A72" s="262" t="n">
        <v>53</v>
      </c>
      <c r="B72" s="361" t="n">
        <v>70</v>
      </c>
      <c r="C72" s="261" t="s">
        <v>389</v>
      </c>
      <c r="D72" s="261" t="s">
        <v>288</v>
      </c>
      <c r="E72" s="358" t="s">
        <v>391</v>
      </c>
      <c r="F72" s="261" t="s">
        <v>290</v>
      </c>
      <c r="G72" s="261" t="s">
        <v>144</v>
      </c>
      <c r="H72" s="261" t="n">
        <v>1</v>
      </c>
      <c r="I72" s="261" t="n">
        <v>2</v>
      </c>
      <c r="J72" s="361" t="n">
        <v>1</v>
      </c>
      <c r="K72" s="262" t="n">
        <v>65</v>
      </c>
      <c r="L72" s="262" t="n">
        <v>60</v>
      </c>
      <c r="M72" s="262" t="n">
        <v>60</v>
      </c>
      <c r="N72" s="262" t="n">
        <v>75</v>
      </c>
      <c r="O72" s="262" t="n">
        <v>65</v>
      </c>
      <c r="P72" s="361" t="n">
        <v>115</v>
      </c>
      <c r="Q72" s="261" t="s">
        <v>160</v>
      </c>
      <c r="R72" s="261"/>
      <c r="S72" s="363" t="n">
        <f aca="false" t="array" ref="S72:S72">IF(COUNTIF('0.3.0 GO Calculation Values'!$J$2:$J$99,C72),(INDEX('0.3.0 GO Calculation Values'!$K$2:$K$99,MATCH(C72,'0.3.0 GO Calculation Values'!$J$2:$J$99,0))),1)</f>
        <v>1</v>
      </c>
      <c r="T72" s="262" t="n">
        <f aca="false">ROUND(ROUND(2*((7/8)*MAX(L72,N72)+(1/8)*MIN(L72,N72)),0)*(1+(P72-75)/500),0)</f>
        <v>158</v>
      </c>
      <c r="U72" s="262" t="n">
        <f aca="false">ROUND(ROUND(2*((5/8)*MAX(M72,O72)+(3/8)*MIN(M72,O72)),0)*(1+(P72-75)/500),0)</f>
        <v>136</v>
      </c>
      <c r="V72" s="361" t="n">
        <f aca="false">ROUNDDOWN(K72*1.75+50,0)</f>
        <v>163</v>
      </c>
      <c r="W72" s="261" t="n">
        <v>0</v>
      </c>
      <c r="X72" s="261" t="s">
        <v>384</v>
      </c>
      <c r="Y72" s="364" t="s">
        <v>384</v>
      </c>
      <c r="Z72" s="364" t="n">
        <v>3</v>
      </c>
      <c r="AA72" s="364"/>
      <c r="AB72" s="365"/>
      <c r="AC72" s="364"/>
      <c r="AD72" s="364" t="n">
        <v>50</v>
      </c>
      <c r="AE72" s="366"/>
      <c r="AF72" s="364" t="s">
        <v>392</v>
      </c>
      <c r="AG72" s="261" t="s">
        <v>393</v>
      </c>
      <c r="AH72" s="362" t="s">
        <v>393</v>
      </c>
    </row>
    <row r="73" customFormat="false" ht="15.75" hidden="false" customHeight="false" outlineLevel="0" collapsed="false">
      <c r="A73" s="262" t="n">
        <v>54</v>
      </c>
      <c r="B73" s="361" t="n">
        <v>71</v>
      </c>
      <c r="C73" s="261" t="s">
        <v>394</v>
      </c>
      <c r="D73" s="261" t="s">
        <v>60</v>
      </c>
      <c r="E73" s="362" t="s">
        <v>394</v>
      </c>
      <c r="F73" s="261" t="s">
        <v>228</v>
      </c>
      <c r="G73" s="261" t="s">
        <v>144</v>
      </c>
      <c r="H73" s="261" t="n">
        <v>0</v>
      </c>
      <c r="I73" s="261" t="n">
        <v>1</v>
      </c>
      <c r="J73" s="361" t="n">
        <v>0</v>
      </c>
      <c r="K73" s="262" t="n">
        <v>50</v>
      </c>
      <c r="L73" s="262" t="n">
        <v>52</v>
      </c>
      <c r="M73" s="262" t="n">
        <v>48</v>
      </c>
      <c r="N73" s="262" t="n">
        <v>65</v>
      </c>
      <c r="O73" s="262" t="n">
        <v>50</v>
      </c>
      <c r="P73" s="361" t="n">
        <v>55</v>
      </c>
      <c r="Q73" s="261" t="s">
        <v>154</v>
      </c>
      <c r="R73" s="261"/>
      <c r="S73" s="363" t="n">
        <f aca="false" t="array" ref="S73:S73">IF(COUNTIF('0.3.0 GO Calculation Values'!$J$2:$J$99,C73),(INDEX('0.3.0 GO Calculation Values'!$K$2:$K$99,MATCH(C73,'0.3.0 GO Calculation Values'!$J$2:$J$99,0))),1)</f>
        <v>1</v>
      </c>
      <c r="T73" s="262" t="n">
        <f aca="false">ROUND(ROUND(2*((7/8)*MAX(L73,N73)+(1/8)*MIN(L73,N73)),0)*(1+(P73-75)/500),0)</f>
        <v>122</v>
      </c>
      <c r="U73" s="262" t="n">
        <f aca="false">ROUND(ROUND(2*((5/8)*MAX(M73,O73)+(3/8)*MIN(M73,O73)),0)*(1+(P73-75)/500),0)</f>
        <v>95</v>
      </c>
      <c r="V73" s="361" t="n">
        <f aca="false">ROUNDDOWN(K73*1.75+50,0)</f>
        <v>137</v>
      </c>
      <c r="W73" s="261" t="n">
        <v>1</v>
      </c>
      <c r="X73" s="261" t="s">
        <v>60</v>
      </c>
      <c r="Y73" s="364" t="s">
        <v>394</v>
      </c>
      <c r="Z73" s="364" t="n">
        <v>3</v>
      </c>
      <c r="AA73" s="364"/>
      <c r="AB73" s="365" t="s">
        <v>60</v>
      </c>
      <c r="AC73" s="364"/>
      <c r="AD73" s="364" t="n">
        <v>0</v>
      </c>
      <c r="AE73" s="366"/>
      <c r="AF73" s="364" t="s">
        <v>395</v>
      </c>
      <c r="AG73" s="364" t="s">
        <v>395</v>
      </c>
      <c r="AH73" s="366" t="s">
        <v>395</v>
      </c>
    </row>
    <row r="74" customFormat="false" ht="15.75" hidden="false" customHeight="false" outlineLevel="0" collapsed="false">
      <c r="A74" s="262" t="n">
        <v>55</v>
      </c>
      <c r="B74" s="361" t="n">
        <v>72</v>
      </c>
      <c r="C74" s="261" t="s">
        <v>396</v>
      </c>
      <c r="D74" s="261" t="s">
        <v>60</v>
      </c>
      <c r="E74" s="362" t="s">
        <v>396</v>
      </c>
      <c r="F74" s="261" t="s">
        <v>228</v>
      </c>
      <c r="G74" s="261" t="s">
        <v>144</v>
      </c>
      <c r="H74" s="261" t="n">
        <v>0</v>
      </c>
      <c r="I74" s="261" t="n">
        <v>2</v>
      </c>
      <c r="J74" s="361" t="n">
        <v>1</v>
      </c>
      <c r="K74" s="262" t="n">
        <v>80</v>
      </c>
      <c r="L74" s="262" t="n">
        <v>82</v>
      </c>
      <c r="M74" s="262" t="n">
        <v>78</v>
      </c>
      <c r="N74" s="262" t="n">
        <v>95</v>
      </c>
      <c r="O74" s="262" t="n">
        <v>80</v>
      </c>
      <c r="P74" s="361" t="n">
        <v>85</v>
      </c>
      <c r="Q74" s="261" t="s">
        <v>154</v>
      </c>
      <c r="R74" s="261"/>
      <c r="S74" s="363" t="n">
        <f aca="false" t="array" ref="S74:S74">IF(COUNTIF('0.3.0 GO Calculation Values'!$J$2:$J$99,C74),(INDEX('0.3.0 GO Calculation Values'!$K$2:$K$99,MATCH(C74,'0.3.0 GO Calculation Values'!$J$2:$J$99,0))),1)</f>
        <v>1</v>
      </c>
      <c r="T74" s="262" t="n">
        <f aca="false">ROUND(ROUND(2*((7/8)*MAX(L74,N74)+(1/8)*MIN(L74,N74)),0)*(1+(P74-75)/500),0)</f>
        <v>191</v>
      </c>
      <c r="U74" s="262" t="n">
        <f aca="false">ROUND(ROUND(2*((5/8)*MAX(M74,O74)+(3/8)*MIN(M74,O74)),0)*(1+(P74-75)/500),0)</f>
        <v>162</v>
      </c>
      <c r="V74" s="361" t="n">
        <f aca="false">ROUNDDOWN(K74*1.75+50,0)</f>
        <v>190</v>
      </c>
      <c r="W74" s="261" t="n">
        <v>1</v>
      </c>
      <c r="X74" s="261" t="s">
        <v>394</v>
      </c>
      <c r="Y74" s="364" t="s">
        <v>394</v>
      </c>
      <c r="Z74" s="364" t="n">
        <v>3</v>
      </c>
      <c r="AA74" s="364"/>
      <c r="AB74" s="365" t="s">
        <v>60</v>
      </c>
      <c r="AC74" s="364"/>
      <c r="AD74" s="364" t="n">
        <v>50</v>
      </c>
      <c r="AE74" s="366"/>
      <c r="AF74" s="364" t="s">
        <v>397</v>
      </c>
      <c r="AG74" s="364" t="s">
        <v>397</v>
      </c>
      <c r="AH74" s="366" t="s">
        <v>397</v>
      </c>
    </row>
    <row r="75" customFormat="false" ht="15.75" hidden="false" customHeight="false" outlineLevel="0" collapsed="false">
      <c r="A75" s="262" t="n">
        <v>56</v>
      </c>
      <c r="B75" s="361" t="n">
        <v>73</v>
      </c>
      <c r="C75" s="261" t="s">
        <v>398</v>
      </c>
      <c r="D75" s="261" t="s">
        <v>60</v>
      </c>
      <c r="E75" s="362" t="s">
        <v>398</v>
      </c>
      <c r="F75" s="261" t="s">
        <v>228</v>
      </c>
      <c r="G75" s="261" t="s">
        <v>144</v>
      </c>
      <c r="H75" s="261" t="n">
        <v>0</v>
      </c>
      <c r="I75" s="261" t="n">
        <v>1</v>
      </c>
      <c r="J75" s="361" t="n">
        <v>0</v>
      </c>
      <c r="K75" s="262" t="n">
        <v>40</v>
      </c>
      <c r="L75" s="262" t="n">
        <v>80</v>
      </c>
      <c r="M75" s="262" t="n">
        <v>35</v>
      </c>
      <c r="N75" s="262" t="n">
        <v>35</v>
      </c>
      <c r="O75" s="262" t="n">
        <v>45</v>
      </c>
      <c r="P75" s="361" t="n">
        <v>70</v>
      </c>
      <c r="Q75" s="261" t="s">
        <v>145</v>
      </c>
      <c r="R75" s="261"/>
      <c r="S75" s="363" t="n">
        <f aca="false" t="array" ref="S75:S75">IF(COUNTIF('0.3.0 GO Calculation Values'!$J$2:$J$99,C75),(INDEX('0.3.0 GO Calculation Values'!$K$2:$K$99,MATCH(C75,'0.3.0 GO Calculation Values'!$J$2:$J$99,0))),1)</f>
        <v>1</v>
      </c>
      <c r="T75" s="262" t="n">
        <f aca="false">ROUND(ROUND(2*((7/8)*MAX(L75,N75)+(1/8)*MIN(L75,N75)),0)*(1+(P75-75)/500),0)</f>
        <v>148</v>
      </c>
      <c r="U75" s="262" t="n">
        <f aca="false">ROUND(ROUND(2*((5/8)*MAX(M75,O75)+(3/8)*MIN(M75,O75)),0)*(1+(P75-75)/500),0)</f>
        <v>82</v>
      </c>
      <c r="V75" s="361" t="n">
        <f aca="false">ROUNDDOWN(K75*1.75+50,0)</f>
        <v>120</v>
      </c>
      <c r="W75" s="261" t="n">
        <v>1</v>
      </c>
      <c r="X75" s="261" t="s">
        <v>60</v>
      </c>
      <c r="Y75" s="364" t="s">
        <v>398</v>
      </c>
      <c r="Z75" s="364" t="n">
        <v>3</v>
      </c>
      <c r="AA75" s="364"/>
      <c r="AB75" s="365" t="s">
        <v>60</v>
      </c>
      <c r="AC75" s="364"/>
      <c r="AD75" s="364" t="n">
        <v>0</v>
      </c>
      <c r="AE75" s="366"/>
      <c r="AF75" s="364" t="s">
        <v>399</v>
      </c>
      <c r="AG75" s="364" t="s">
        <v>399</v>
      </c>
      <c r="AH75" s="366" t="s">
        <v>399</v>
      </c>
    </row>
    <row r="76" customFormat="false" ht="15.75" hidden="false" customHeight="false" outlineLevel="0" collapsed="false">
      <c r="A76" s="262" t="n">
        <v>57</v>
      </c>
      <c r="B76" s="361" t="n">
        <v>74</v>
      </c>
      <c r="C76" s="261" t="s">
        <v>400</v>
      </c>
      <c r="D76" s="261" t="s">
        <v>60</v>
      </c>
      <c r="E76" s="362" t="s">
        <v>400</v>
      </c>
      <c r="F76" s="261" t="s">
        <v>228</v>
      </c>
      <c r="G76" s="261" t="s">
        <v>144</v>
      </c>
      <c r="H76" s="261" t="n">
        <v>0</v>
      </c>
      <c r="I76" s="261" t="n">
        <v>2</v>
      </c>
      <c r="J76" s="361" t="n">
        <v>1</v>
      </c>
      <c r="K76" s="262" t="n">
        <v>65</v>
      </c>
      <c r="L76" s="262" t="n">
        <v>105</v>
      </c>
      <c r="M76" s="262" t="n">
        <v>60</v>
      </c>
      <c r="N76" s="262" t="n">
        <v>60</v>
      </c>
      <c r="O76" s="262" t="n">
        <v>70</v>
      </c>
      <c r="P76" s="361" t="n">
        <v>95</v>
      </c>
      <c r="Q76" s="261" t="s">
        <v>145</v>
      </c>
      <c r="R76" s="261"/>
      <c r="S76" s="363" t="n">
        <f aca="false" t="array" ref="S76:S76">IF(COUNTIF('0.3.0 GO Calculation Values'!$J$2:$J$99,C76),(INDEX('0.3.0 GO Calculation Values'!$K$2:$K$99,MATCH(C76,'0.3.0 GO Calculation Values'!$J$2:$J$99,0))),1)</f>
        <v>1</v>
      </c>
      <c r="T76" s="262" t="n">
        <f aca="false">ROUND(ROUND(2*((7/8)*MAX(L76,N76)+(1/8)*MIN(L76,N76)),0)*(1+(P76-75)/500),0)</f>
        <v>207</v>
      </c>
      <c r="U76" s="262" t="n">
        <f aca="false">ROUND(ROUND(2*((5/8)*MAX(M76,O76)+(3/8)*MIN(M76,O76)),0)*(1+(P76-75)/500),0)</f>
        <v>138</v>
      </c>
      <c r="V76" s="361" t="n">
        <f aca="false">ROUNDDOWN(K76*1.75+50,0)</f>
        <v>163</v>
      </c>
      <c r="W76" s="261" t="n">
        <v>1</v>
      </c>
      <c r="X76" s="261" t="s">
        <v>398</v>
      </c>
      <c r="Y76" s="364" t="s">
        <v>398</v>
      </c>
      <c r="Z76" s="364" t="n">
        <v>3</v>
      </c>
      <c r="AA76" s="364"/>
      <c r="AB76" s="365" t="s">
        <v>60</v>
      </c>
      <c r="AC76" s="364"/>
      <c r="AD76" s="364" t="n">
        <v>50</v>
      </c>
      <c r="AE76" s="366"/>
      <c r="AF76" s="364" t="s">
        <v>401</v>
      </c>
      <c r="AG76" s="364" t="s">
        <v>401</v>
      </c>
      <c r="AH76" s="366" t="s">
        <v>401</v>
      </c>
    </row>
    <row r="77" customFormat="false" ht="15.75" hidden="false" customHeight="false" outlineLevel="0" collapsed="false">
      <c r="A77" s="262" t="n">
        <v>58</v>
      </c>
      <c r="B77" s="361" t="n">
        <v>75</v>
      </c>
      <c r="C77" s="261" t="s">
        <v>402</v>
      </c>
      <c r="D77" s="261" t="s">
        <v>60</v>
      </c>
      <c r="E77" s="362" t="s">
        <v>402</v>
      </c>
      <c r="F77" s="261" t="s">
        <v>228</v>
      </c>
      <c r="G77" s="261" t="s">
        <v>144</v>
      </c>
      <c r="H77" s="261" t="n">
        <v>0</v>
      </c>
      <c r="I77" s="261" t="n">
        <v>1</v>
      </c>
      <c r="J77" s="361" t="n">
        <v>0</v>
      </c>
      <c r="K77" s="262" t="n">
        <v>55</v>
      </c>
      <c r="L77" s="262" t="n">
        <v>70</v>
      </c>
      <c r="M77" s="262" t="n">
        <v>45</v>
      </c>
      <c r="N77" s="262" t="n">
        <v>70</v>
      </c>
      <c r="O77" s="262" t="n">
        <v>50</v>
      </c>
      <c r="P77" s="361" t="n">
        <v>60</v>
      </c>
      <c r="Q77" s="261" t="s">
        <v>153</v>
      </c>
      <c r="R77" s="261"/>
      <c r="S77" s="363" t="n">
        <f aca="false" t="array" ref="S77:S77">IF(COUNTIF('0.3.0 GO Calculation Values'!$J$2:$J$99,C77),(INDEX('0.3.0 GO Calculation Values'!$K$2:$K$99,MATCH(C77,'0.3.0 GO Calculation Values'!$J$2:$J$99,0))),1)</f>
        <v>1</v>
      </c>
      <c r="T77" s="262" t="n">
        <f aca="false">ROUND(ROUND(2*((7/8)*MAX(L77,N77)+(1/8)*MIN(L77,N77)),0)*(1+(P77-75)/500),0)</f>
        <v>136</v>
      </c>
      <c r="U77" s="262" t="n">
        <f aca="false">ROUND(ROUND(2*((5/8)*MAX(M77,O77)+(3/8)*MIN(M77,O77)),0)*(1+(P77-75)/500),0)</f>
        <v>93</v>
      </c>
      <c r="V77" s="361" t="n">
        <f aca="false">ROUNDDOWN(K77*1.75+50,0)</f>
        <v>146</v>
      </c>
      <c r="W77" s="261" t="n">
        <v>1</v>
      </c>
      <c r="X77" s="261" t="s">
        <v>60</v>
      </c>
      <c r="Y77" s="364" t="s">
        <v>402</v>
      </c>
      <c r="Z77" s="364" t="n">
        <v>3</v>
      </c>
      <c r="AA77" s="364"/>
      <c r="AB77" s="365" t="n">
        <v>5</v>
      </c>
      <c r="AC77" s="364"/>
      <c r="AD77" s="364" t="n">
        <v>0</v>
      </c>
      <c r="AE77" s="366"/>
      <c r="AF77" s="364" t="s">
        <v>403</v>
      </c>
      <c r="AG77" s="364" t="s">
        <v>403</v>
      </c>
      <c r="AH77" s="366" t="s">
        <v>403</v>
      </c>
    </row>
    <row r="78" customFormat="false" ht="15.75" hidden="false" customHeight="false" outlineLevel="0" collapsed="false">
      <c r="A78" s="262" t="n">
        <v>59</v>
      </c>
      <c r="B78" s="361" t="n">
        <v>76</v>
      </c>
      <c r="C78" s="261" t="s">
        <v>404</v>
      </c>
      <c r="D78" s="261" t="s">
        <v>60</v>
      </c>
      <c r="E78" s="362" t="s">
        <v>404</v>
      </c>
      <c r="F78" s="261" t="s">
        <v>228</v>
      </c>
      <c r="G78" s="261" t="s">
        <v>144</v>
      </c>
      <c r="H78" s="261" t="n">
        <v>0</v>
      </c>
      <c r="I78" s="261" t="n">
        <v>2</v>
      </c>
      <c r="J78" s="361" t="n">
        <v>1</v>
      </c>
      <c r="K78" s="262" t="n">
        <v>90</v>
      </c>
      <c r="L78" s="262" t="n">
        <v>110</v>
      </c>
      <c r="M78" s="262" t="n">
        <v>80</v>
      </c>
      <c r="N78" s="262" t="n">
        <v>100</v>
      </c>
      <c r="O78" s="262" t="n">
        <v>80</v>
      </c>
      <c r="P78" s="361" t="n">
        <v>95</v>
      </c>
      <c r="Q78" s="261" t="s">
        <v>153</v>
      </c>
      <c r="R78" s="261"/>
      <c r="S78" s="363" t="n">
        <f aca="false" t="array" ref="S78:S78">IF(COUNTIF('0.3.0 GO Calculation Values'!$J$2:$J$99,C78),(INDEX('0.3.0 GO Calculation Values'!$K$2:$K$99,MATCH(C78,'0.3.0 GO Calculation Values'!$J$2:$J$99,0))),1)</f>
        <v>1</v>
      </c>
      <c r="T78" s="262" t="n">
        <f aca="false">ROUND(ROUND(2*((7/8)*MAX(L78,N78)+(1/8)*MIN(L78,N78)),0)*(1+(P78-75)/500),0)</f>
        <v>227</v>
      </c>
      <c r="U78" s="262" t="n">
        <f aca="false">ROUND(ROUND(2*((5/8)*MAX(M78,O78)+(3/8)*MIN(M78,O78)),0)*(1+(P78-75)/500),0)</f>
        <v>166</v>
      </c>
      <c r="V78" s="361" t="n">
        <f aca="false">ROUNDDOWN(K78*1.75+50,0)</f>
        <v>207</v>
      </c>
      <c r="W78" s="261" t="n">
        <v>1</v>
      </c>
      <c r="X78" s="261" t="s">
        <v>402</v>
      </c>
      <c r="Y78" s="364" t="s">
        <v>402</v>
      </c>
      <c r="Z78" s="364" t="n">
        <v>3</v>
      </c>
      <c r="AA78" s="364"/>
      <c r="AB78" s="365" t="n">
        <v>5</v>
      </c>
      <c r="AC78" s="364"/>
      <c r="AD78" s="364" t="n">
        <v>50</v>
      </c>
      <c r="AE78" s="366"/>
      <c r="AF78" s="364" t="s">
        <v>405</v>
      </c>
      <c r="AG78" s="364" t="s">
        <v>405</v>
      </c>
      <c r="AH78" s="366" t="s">
        <v>405</v>
      </c>
    </row>
    <row r="79" customFormat="false" ht="15.75" hidden="false" customHeight="false" outlineLevel="0" collapsed="false">
      <c r="A79" s="262" t="n">
        <v>60</v>
      </c>
      <c r="B79" s="361" t="n">
        <v>77</v>
      </c>
      <c r="C79" s="261" t="s">
        <v>406</v>
      </c>
      <c r="D79" s="261" t="s">
        <v>60</v>
      </c>
      <c r="E79" s="362" t="s">
        <v>406</v>
      </c>
      <c r="F79" s="261" t="s">
        <v>228</v>
      </c>
      <c r="G79" s="261" t="s">
        <v>144</v>
      </c>
      <c r="H79" s="261" t="n">
        <v>0</v>
      </c>
      <c r="I79" s="261" t="n">
        <v>1</v>
      </c>
      <c r="J79" s="361" t="n">
        <v>0</v>
      </c>
      <c r="K79" s="262" t="n">
        <v>40</v>
      </c>
      <c r="L79" s="262" t="n">
        <v>50</v>
      </c>
      <c r="M79" s="262" t="n">
        <v>40</v>
      </c>
      <c r="N79" s="262" t="n">
        <v>40</v>
      </c>
      <c r="O79" s="262" t="n">
        <v>40</v>
      </c>
      <c r="P79" s="361" t="n">
        <v>90</v>
      </c>
      <c r="Q79" s="261" t="s">
        <v>154</v>
      </c>
      <c r="R79" s="261"/>
      <c r="S79" s="363" t="n">
        <f aca="false" t="array" ref="S79:S79">IF(COUNTIF('0.3.0 GO Calculation Values'!$J$2:$J$99,C79),(INDEX('0.3.0 GO Calculation Values'!$K$2:$K$99,MATCH(C79,'0.3.0 GO Calculation Values'!$J$2:$J$99,0))),1)</f>
        <v>1</v>
      </c>
      <c r="T79" s="262" t="n">
        <f aca="false">ROUND(ROUND(2*((7/8)*MAX(L79,N79)+(1/8)*MIN(L79,N79)),0)*(1+(P79-75)/500),0)</f>
        <v>101</v>
      </c>
      <c r="U79" s="262" t="n">
        <f aca="false">ROUND(ROUND(2*((5/8)*MAX(M79,O79)+(3/8)*MIN(M79,O79)),0)*(1+(P79-75)/500),0)</f>
        <v>82</v>
      </c>
      <c r="V79" s="361" t="n">
        <f aca="false">ROUNDDOWN(K79*1.75+50,0)</f>
        <v>120</v>
      </c>
      <c r="W79" s="261" t="n">
        <v>1</v>
      </c>
      <c r="X79" s="261" t="s">
        <v>60</v>
      </c>
      <c r="Y79" s="261" t="s">
        <v>406</v>
      </c>
      <c r="Z79" s="364" t="n">
        <v>3</v>
      </c>
      <c r="AA79" s="364"/>
      <c r="AB79" s="365" t="s">
        <v>60</v>
      </c>
      <c r="AC79" s="364"/>
      <c r="AD79" s="364" t="n">
        <v>0</v>
      </c>
      <c r="AE79" s="366"/>
      <c r="AF79" s="364" t="s">
        <v>407</v>
      </c>
      <c r="AG79" s="364" t="s">
        <v>407</v>
      </c>
      <c r="AH79" s="366" t="s">
        <v>407</v>
      </c>
    </row>
    <row r="80" customFormat="false" ht="15.75" hidden="false" customHeight="false" outlineLevel="0" collapsed="false">
      <c r="A80" s="262" t="n">
        <v>61</v>
      </c>
      <c r="B80" s="361" t="n">
        <v>78</v>
      </c>
      <c r="C80" s="261" t="s">
        <v>408</v>
      </c>
      <c r="D80" s="261" t="s">
        <v>60</v>
      </c>
      <c r="E80" s="362" t="s">
        <v>408</v>
      </c>
      <c r="F80" s="261" t="s">
        <v>228</v>
      </c>
      <c r="G80" s="261" t="s">
        <v>144</v>
      </c>
      <c r="H80" s="261" t="n">
        <v>0</v>
      </c>
      <c r="I80" s="261" t="n">
        <v>2</v>
      </c>
      <c r="J80" s="361" t="n">
        <v>0</v>
      </c>
      <c r="K80" s="262" t="n">
        <v>65</v>
      </c>
      <c r="L80" s="262" t="n">
        <v>65</v>
      </c>
      <c r="M80" s="262" t="n">
        <v>65</v>
      </c>
      <c r="N80" s="262" t="n">
        <v>50</v>
      </c>
      <c r="O80" s="262" t="n">
        <v>50</v>
      </c>
      <c r="P80" s="361" t="n">
        <v>90</v>
      </c>
      <c r="Q80" s="261" t="s">
        <v>154</v>
      </c>
      <c r="R80" s="261"/>
      <c r="S80" s="363" t="n">
        <f aca="false" t="array" ref="S80:S80">IF(COUNTIF('0.3.0 GO Calculation Values'!$J$2:$J$99,C80),(INDEX('0.3.0 GO Calculation Values'!$K$2:$K$99,MATCH(C80,'0.3.0 GO Calculation Values'!$J$2:$J$99,0))),1)</f>
        <v>1</v>
      </c>
      <c r="T80" s="262" t="n">
        <f aca="false">ROUND(ROUND(2*((7/8)*MAX(L80,N80)+(1/8)*MIN(L80,N80)),0)*(1+(P80-75)/500),0)</f>
        <v>130</v>
      </c>
      <c r="U80" s="262" t="n">
        <f aca="false">ROUND(ROUND(2*((5/8)*MAX(M80,O80)+(3/8)*MIN(M80,O80)),0)*(1+(P80-75)/500),0)</f>
        <v>123</v>
      </c>
      <c r="V80" s="361" t="n">
        <f aca="false">ROUNDDOWN(K80*1.75+50,0)</f>
        <v>163</v>
      </c>
      <c r="W80" s="261" t="n">
        <v>1</v>
      </c>
      <c r="X80" s="261" t="s">
        <v>406</v>
      </c>
      <c r="Y80" s="261" t="s">
        <v>406</v>
      </c>
      <c r="Z80" s="364" t="n">
        <v>3</v>
      </c>
      <c r="AA80" s="364"/>
      <c r="AB80" s="365" t="s">
        <v>60</v>
      </c>
      <c r="AC80" s="364"/>
      <c r="AD80" s="364" t="n">
        <v>25</v>
      </c>
      <c r="AE80" s="366"/>
      <c r="AF80" s="364" t="s">
        <v>409</v>
      </c>
      <c r="AG80" s="364" t="s">
        <v>409</v>
      </c>
      <c r="AH80" s="366" t="s">
        <v>409</v>
      </c>
    </row>
    <row r="81" customFormat="false" ht="15.75" hidden="false" customHeight="false" outlineLevel="0" collapsed="false">
      <c r="A81" s="262" t="n">
        <v>62</v>
      </c>
      <c r="B81" s="361" t="n">
        <v>79</v>
      </c>
      <c r="C81" s="261" t="s">
        <v>410</v>
      </c>
      <c r="D81" s="261" t="s">
        <v>60</v>
      </c>
      <c r="E81" s="362" t="s">
        <v>410</v>
      </c>
      <c r="F81" s="261" t="s">
        <v>228</v>
      </c>
      <c r="G81" s="261" t="s">
        <v>144</v>
      </c>
      <c r="H81" s="261" t="n">
        <v>0</v>
      </c>
      <c r="I81" s="261" t="n">
        <v>3</v>
      </c>
      <c r="J81" s="361" t="n">
        <v>1</v>
      </c>
      <c r="K81" s="262" t="n">
        <v>90</v>
      </c>
      <c r="L81" s="262" t="n">
        <v>95</v>
      </c>
      <c r="M81" s="262" t="n">
        <v>95</v>
      </c>
      <c r="N81" s="262" t="n">
        <v>70</v>
      </c>
      <c r="O81" s="262" t="n">
        <v>90</v>
      </c>
      <c r="P81" s="361" t="n">
        <v>70</v>
      </c>
      <c r="Q81" s="261" t="s">
        <v>154</v>
      </c>
      <c r="R81" s="261" t="s">
        <v>145</v>
      </c>
      <c r="S81" s="363" t="n">
        <f aca="false" t="array" ref="S81:S81">IF(COUNTIF('0.3.0 GO Calculation Values'!$J$2:$J$99,C81),(INDEX('0.3.0 GO Calculation Values'!$K$2:$K$99,MATCH(C81,'0.3.0 GO Calculation Values'!$J$2:$J$99,0))),1)</f>
        <v>1</v>
      </c>
      <c r="T81" s="262" t="n">
        <f aca="false">ROUND(ROUND(2*((7/8)*MAX(L81,N81)+(1/8)*MIN(L81,N81)),0)*(1+(P81-75)/500),0)</f>
        <v>182</v>
      </c>
      <c r="U81" s="262" t="n">
        <f aca="false">ROUND(ROUND(2*((5/8)*MAX(M81,O81)+(3/8)*MIN(M81,O81)),0)*(1+(P81-75)/500),0)</f>
        <v>184</v>
      </c>
      <c r="V81" s="361" t="n">
        <f aca="false">ROUNDDOWN(K81*1.75+50,0)</f>
        <v>207</v>
      </c>
      <c r="W81" s="261" t="n">
        <v>1</v>
      </c>
      <c r="X81" s="261" t="s">
        <v>408</v>
      </c>
      <c r="Y81" s="261" t="s">
        <v>406</v>
      </c>
      <c r="Z81" s="364" t="n">
        <v>3</v>
      </c>
      <c r="AA81" s="364"/>
      <c r="AB81" s="365" t="s">
        <v>60</v>
      </c>
      <c r="AC81" s="364"/>
      <c r="AD81" s="364" t="n">
        <v>100</v>
      </c>
      <c r="AE81" s="366"/>
      <c r="AF81" s="364" t="s">
        <v>411</v>
      </c>
      <c r="AG81" s="364" t="s">
        <v>411</v>
      </c>
      <c r="AH81" s="366" t="s">
        <v>411</v>
      </c>
    </row>
    <row r="82" customFormat="false" ht="15.75" hidden="false" customHeight="false" outlineLevel="0" collapsed="false">
      <c r="A82" s="262" t="n">
        <v>63</v>
      </c>
      <c r="B82" s="361" t="n">
        <v>80</v>
      </c>
      <c r="C82" s="261" t="s">
        <v>412</v>
      </c>
      <c r="D82" s="261" t="s">
        <v>60</v>
      </c>
      <c r="E82" s="362" t="s">
        <v>412</v>
      </c>
      <c r="F82" s="261" t="s">
        <v>228</v>
      </c>
      <c r="G82" s="261" t="s">
        <v>144</v>
      </c>
      <c r="H82" s="261" t="n">
        <v>0</v>
      </c>
      <c r="I82" s="261" t="n">
        <v>1</v>
      </c>
      <c r="J82" s="361" t="n">
        <v>0</v>
      </c>
      <c r="K82" s="262" t="n">
        <v>25</v>
      </c>
      <c r="L82" s="262" t="n">
        <v>20</v>
      </c>
      <c r="M82" s="262" t="n">
        <v>15</v>
      </c>
      <c r="N82" s="262" t="n">
        <v>105</v>
      </c>
      <c r="O82" s="262" t="n">
        <v>55</v>
      </c>
      <c r="P82" s="361" t="n">
        <v>90</v>
      </c>
      <c r="Q82" s="261" t="s">
        <v>157</v>
      </c>
      <c r="R82" s="261"/>
      <c r="S82" s="363" t="n">
        <f aca="false" t="array" ref="S82:S82">IF(COUNTIF('0.3.0 GO Calculation Values'!$J$2:$J$99,C82),(INDEX('0.3.0 GO Calculation Values'!$K$2:$K$99,MATCH(C82,'0.3.0 GO Calculation Values'!$J$2:$J$99,0))),1)</f>
        <v>1</v>
      </c>
      <c r="T82" s="262" t="n">
        <f aca="false">ROUND(ROUND(2*((7/8)*MAX(L82,N82)+(1/8)*MIN(L82,N82)),0)*(1+(P82-75)/500),0)</f>
        <v>195</v>
      </c>
      <c r="U82" s="262" t="n">
        <f aca="false">ROUND(ROUND(2*((5/8)*MAX(M82,O82)+(3/8)*MIN(M82,O82)),0)*(1+(P82-75)/500),0)</f>
        <v>82</v>
      </c>
      <c r="V82" s="361" t="n">
        <f aca="false">ROUNDDOWN(K82*1.75+50,0)</f>
        <v>93</v>
      </c>
      <c r="W82" s="261" t="n">
        <v>1</v>
      </c>
      <c r="X82" s="261" t="s">
        <v>60</v>
      </c>
      <c r="Y82" s="364" t="s">
        <v>412</v>
      </c>
      <c r="Z82" s="364" t="n">
        <v>3</v>
      </c>
      <c r="AA82" s="364"/>
      <c r="AB82" s="365" t="n">
        <v>2</v>
      </c>
      <c r="AC82" s="364"/>
      <c r="AD82" s="364" t="n">
        <v>0</v>
      </c>
      <c r="AE82" s="366"/>
      <c r="AF82" s="364" t="s">
        <v>413</v>
      </c>
      <c r="AG82" s="364" t="s">
        <v>413</v>
      </c>
      <c r="AH82" s="366" t="s">
        <v>413</v>
      </c>
    </row>
    <row r="83" customFormat="false" ht="15.75" hidden="false" customHeight="false" outlineLevel="0" collapsed="false">
      <c r="A83" s="262" t="n">
        <v>64</v>
      </c>
      <c r="B83" s="361" t="n">
        <v>81</v>
      </c>
      <c r="C83" s="261" t="s">
        <v>414</v>
      </c>
      <c r="D83" s="261" t="s">
        <v>60</v>
      </c>
      <c r="E83" s="362" t="s">
        <v>414</v>
      </c>
      <c r="F83" s="261" t="s">
        <v>228</v>
      </c>
      <c r="G83" s="261" t="s">
        <v>144</v>
      </c>
      <c r="H83" s="261" t="n">
        <v>0</v>
      </c>
      <c r="I83" s="261" t="n">
        <v>2</v>
      </c>
      <c r="J83" s="361" t="n">
        <v>0</v>
      </c>
      <c r="K83" s="262" t="n">
        <v>40</v>
      </c>
      <c r="L83" s="262" t="n">
        <v>35</v>
      </c>
      <c r="M83" s="262" t="n">
        <v>30</v>
      </c>
      <c r="N83" s="262" t="n">
        <v>120</v>
      </c>
      <c r="O83" s="262" t="n">
        <v>70</v>
      </c>
      <c r="P83" s="361" t="n">
        <v>105</v>
      </c>
      <c r="Q83" s="261" t="s">
        <v>157</v>
      </c>
      <c r="R83" s="261"/>
      <c r="S83" s="363" t="n">
        <f aca="false" t="array" ref="S83:S83">IF(COUNTIF('0.3.0 GO Calculation Values'!$J$2:$J$99,C83),(INDEX('0.3.0 GO Calculation Values'!$K$2:$K$99,MATCH(C83,'0.3.0 GO Calculation Values'!$J$2:$J$99,0))),1)</f>
        <v>1</v>
      </c>
      <c r="T83" s="262" t="n">
        <f aca="false">ROUND(ROUND(2*((7/8)*MAX(L83,N83)+(1/8)*MIN(L83,N83)),0)*(1+(P83-75)/500),0)</f>
        <v>232</v>
      </c>
      <c r="U83" s="262" t="n">
        <f aca="false">ROUND(ROUND(2*((5/8)*MAX(M83,O83)+(3/8)*MIN(M83,O83)),0)*(1+(P83-75)/500),0)</f>
        <v>117</v>
      </c>
      <c r="V83" s="361" t="n">
        <f aca="false">ROUNDDOWN(K83*1.75+50,0)</f>
        <v>120</v>
      </c>
      <c r="W83" s="261" t="n">
        <v>1</v>
      </c>
      <c r="X83" s="261" t="s">
        <v>412</v>
      </c>
      <c r="Y83" s="364" t="s">
        <v>412</v>
      </c>
      <c r="Z83" s="364" t="n">
        <v>3</v>
      </c>
      <c r="AA83" s="364"/>
      <c r="AB83" s="365" t="n">
        <v>2</v>
      </c>
      <c r="AC83" s="364"/>
      <c r="AD83" s="364" t="n">
        <v>25</v>
      </c>
      <c r="AE83" s="366"/>
      <c r="AF83" s="364" t="s">
        <v>415</v>
      </c>
      <c r="AG83" s="364" t="s">
        <v>415</v>
      </c>
      <c r="AH83" s="366" t="s">
        <v>415</v>
      </c>
    </row>
    <row r="84" customFormat="false" ht="15.75" hidden="false" customHeight="false" outlineLevel="0" collapsed="false">
      <c r="A84" s="262" t="n">
        <v>65</v>
      </c>
      <c r="B84" s="361" t="n">
        <v>82</v>
      </c>
      <c r="C84" s="261" t="s">
        <v>416</v>
      </c>
      <c r="D84" s="261" t="s">
        <v>7</v>
      </c>
      <c r="E84" s="367" t="s">
        <v>416</v>
      </c>
      <c r="F84" s="261" t="s">
        <v>228</v>
      </c>
      <c r="G84" s="261" t="s">
        <v>144</v>
      </c>
      <c r="H84" s="261" t="n">
        <v>0</v>
      </c>
      <c r="I84" s="261" t="n">
        <v>3</v>
      </c>
      <c r="J84" s="361" t="n">
        <v>1</v>
      </c>
      <c r="K84" s="262" t="n">
        <v>55</v>
      </c>
      <c r="L84" s="262" t="n">
        <v>50</v>
      </c>
      <c r="M84" s="262" t="n">
        <v>45</v>
      </c>
      <c r="N84" s="262" t="n">
        <v>135</v>
      </c>
      <c r="O84" s="262" t="n">
        <v>95</v>
      </c>
      <c r="P84" s="361" t="n">
        <v>120</v>
      </c>
      <c r="Q84" s="261" t="s">
        <v>157</v>
      </c>
      <c r="R84" s="261"/>
      <c r="S84" s="363" t="n">
        <f aca="false" t="array" ref="S84:S84">IF(COUNTIF('0.3.0 GO Calculation Values'!$J$2:$J$99,C84),(INDEX('0.3.0 GO Calculation Values'!$K$2:$K$99,MATCH(C84,'0.3.0 GO Calculation Values'!$J$2:$J$99,0))),1)</f>
        <v>1</v>
      </c>
      <c r="T84" s="262" t="n">
        <f aca="false">ROUND(ROUND(2*((7/8)*MAX(L84,N84)+(1/8)*MIN(L84,N84)),0)*(1+(P84-75)/500),0)</f>
        <v>271</v>
      </c>
      <c r="U84" s="262" t="n">
        <f aca="false">ROUND(ROUND(2*((5/8)*MAX(M84,O84)+(3/8)*MIN(M84,O84)),0)*(1+(P84-75)/500),0)</f>
        <v>167</v>
      </c>
      <c r="V84" s="361" t="n">
        <f aca="false">ROUNDDOWN(K84*1.75+50,0)</f>
        <v>146</v>
      </c>
      <c r="W84" s="261" t="n">
        <v>1</v>
      </c>
      <c r="X84" s="261" t="s">
        <v>414</v>
      </c>
      <c r="Y84" s="364" t="s">
        <v>412</v>
      </c>
      <c r="Z84" s="364" t="n">
        <v>3</v>
      </c>
      <c r="AA84" s="364"/>
      <c r="AB84" s="365" t="n">
        <v>2</v>
      </c>
      <c r="AC84" s="364"/>
      <c r="AD84" s="364" t="n">
        <v>100</v>
      </c>
      <c r="AE84" s="366"/>
      <c r="AF84" s="364" t="s">
        <v>417</v>
      </c>
      <c r="AG84" s="364" t="s">
        <v>417</v>
      </c>
      <c r="AH84" s="366" t="s">
        <v>417</v>
      </c>
    </row>
    <row r="85" customFormat="false" ht="15.75" hidden="false" customHeight="false" outlineLevel="0" collapsed="false">
      <c r="A85" s="262" t="n">
        <v>65</v>
      </c>
      <c r="B85" s="361" t="n">
        <v>83</v>
      </c>
      <c r="C85" s="261" t="s">
        <v>416</v>
      </c>
      <c r="D85" s="261" t="s">
        <v>418</v>
      </c>
      <c r="E85" s="358" t="s">
        <v>419</v>
      </c>
      <c r="F85" s="261" t="s">
        <v>237</v>
      </c>
      <c r="G85" s="261" t="s">
        <v>144</v>
      </c>
      <c r="H85" s="261" t="n">
        <v>2</v>
      </c>
      <c r="I85" s="261" t="n">
        <v>3</v>
      </c>
      <c r="J85" s="361" t="n">
        <v>1</v>
      </c>
      <c r="K85" s="262" t="n">
        <v>55</v>
      </c>
      <c r="L85" s="262" t="n">
        <v>50</v>
      </c>
      <c r="M85" s="262" t="n">
        <v>65</v>
      </c>
      <c r="N85" s="262" t="n">
        <v>175</v>
      </c>
      <c r="O85" s="262" t="n">
        <v>105</v>
      </c>
      <c r="P85" s="361" t="n">
        <v>150</v>
      </c>
      <c r="Q85" s="261" t="s">
        <v>157</v>
      </c>
      <c r="R85" s="261"/>
      <c r="S85" s="363" t="n">
        <f aca="false" t="array" ref="S85:S85">IF(COUNTIF('0.3.0 GO Calculation Values'!$J$2:$J$99,C85),(INDEX('0.3.0 GO Calculation Values'!$K$2:$K$99,MATCH(C85,'0.3.0 GO Calculation Values'!$J$2:$J$99,0))),1)</f>
        <v>1</v>
      </c>
      <c r="T85" s="262" t="n">
        <f aca="false">ROUND(ROUND(2*((7/8)*MAX(L85,N85)+(1/8)*MIN(L85,N85)),0)*(1+(P85-75)/500),0)</f>
        <v>367</v>
      </c>
      <c r="U85" s="262" t="n">
        <f aca="false">ROUND(ROUND(2*((5/8)*MAX(M85,O85)+(3/8)*MIN(M85,O85)),0)*(1+(P85-75)/500),0)</f>
        <v>207</v>
      </c>
      <c r="V85" s="361" t="n">
        <f aca="false">ROUNDDOWN(K85*1.75+50,0)</f>
        <v>146</v>
      </c>
      <c r="W85" s="261" t="n">
        <v>0</v>
      </c>
      <c r="X85" s="261" t="s">
        <v>416</v>
      </c>
      <c r="Y85" s="364" t="s">
        <v>412</v>
      </c>
      <c r="Z85" s="364" t="n">
        <v>3</v>
      </c>
      <c r="AA85" s="364"/>
      <c r="AB85" s="365" t="n">
        <v>2</v>
      </c>
      <c r="AC85" s="364"/>
      <c r="AD85" s="364" t="n">
        <v>100</v>
      </c>
      <c r="AE85" s="366"/>
      <c r="AF85" s="364" t="s">
        <v>420</v>
      </c>
      <c r="AG85" s="364" t="s">
        <v>420</v>
      </c>
      <c r="AH85" s="366" t="s">
        <v>420</v>
      </c>
    </row>
    <row r="86" customFormat="false" ht="15.75" hidden="false" customHeight="false" outlineLevel="0" collapsed="false">
      <c r="A86" s="262" t="n">
        <v>66</v>
      </c>
      <c r="B86" s="361" t="n">
        <v>84</v>
      </c>
      <c r="C86" s="261" t="s">
        <v>421</v>
      </c>
      <c r="D86" s="261" t="s">
        <v>60</v>
      </c>
      <c r="E86" s="362" t="s">
        <v>421</v>
      </c>
      <c r="F86" s="261" t="s">
        <v>228</v>
      </c>
      <c r="G86" s="261" t="s">
        <v>144</v>
      </c>
      <c r="H86" s="261" t="n">
        <v>0</v>
      </c>
      <c r="I86" s="261" t="n">
        <v>1</v>
      </c>
      <c r="J86" s="361" t="n">
        <v>0</v>
      </c>
      <c r="K86" s="262" t="n">
        <v>70</v>
      </c>
      <c r="L86" s="262" t="n">
        <v>80</v>
      </c>
      <c r="M86" s="262" t="n">
        <v>50</v>
      </c>
      <c r="N86" s="262" t="n">
        <v>35</v>
      </c>
      <c r="O86" s="262" t="n">
        <v>35</v>
      </c>
      <c r="P86" s="361" t="n">
        <v>35</v>
      </c>
      <c r="Q86" s="261" t="s">
        <v>145</v>
      </c>
      <c r="R86" s="261"/>
      <c r="S86" s="363" t="n">
        <f aca="false" t="array" ref="S86:S86">IF(COUNTIF('0.3.0 GO Calculation Values'!$J$2:$J$99,C86),(INDEX('0.3.0 GO Calculation Values'!$K$2:$K$99,MATCH(C86,'0.3.0 GO Calculation Values'!$J$2:$J$99,0))),1)</f>
        <v>1</v>
      </c>
      <c r="T86" s="262" t="n">
        <f aca="false">ROUND(ROUND(2*((7/8)*MAX(L86,N86)+(1/8)*MIN(L86,N86)),0)*(1+(P86-75)/500),0)</f>
        <v>137</v>
      </c>
      <c r="U86" s="262" t="n">
        <f aca="false">ROUND(ROUND(2*((5/8)*MAX(M86,O86)+(3/8)*MIN(M86,O86)),0)*(1+(P86-75)/500),0)</f>
        <v>82</v>
      </c>
      <c r="V86" s="361" t="n">
        <f aca="false">ROUNDDOWN(K86*1.75+50,0)</f>
        <v>172</v>
      </c>
      <c r="W86" s="261" t="n">
        <v>1</v>
      </c>
      <c r="X86" s="261" t="s">
        <v>60</v>
      </c>
      <c r="Y86" s="364" t="s">
        <v>421</v>
      </c>
      <c r="Z86" s="364" t="n">
        <v>3</v>
      </c>
      <c r="AA86" s="364"/>
      <c r="AB86" s="365" t="n">
        <v>2</v>
      </c>
      <c r="AC86" s="364"/>
      <c r="AD86" s="364" t="n">
        <v>0</v>
      </c>
      <c r="AE86" s="366"/>
      <c r="AF86" s="364" t="s">
        <v>422</v>
      </c>
      <c r="AG86" s="364" t="s">
        <v>422</v>
      </c>
      <c r="AH86" s="366" t="s">
        <v>422</v>
      </c>
    </row>
    <row r="87" customFormat="false" ht="15.75" hidden="false" customHeight="false" outlineLevel="0" collapsed="false">
      <c r="A87" s="262" t="n">
        <v>67</v>
      </c>
      <c r="B87" s="361" t="n">
        <v>85</v>
      </c>
      <c r="C87" s="261" t="s">
        <v>423</v>
      </c>
      <c r="D87" s="261" t="s">
        <v>60</v>
      </c>
      <c r="E87" s="362" t="s">
        <v>423</v>
      </c>
      <c r="F87" s="261" t="s">
        <v>228</v>
      </c>
      <c r="G87" s="261" t="s">
        <v>144</v>
      </c>
      <c r="H87" s="261" t="n">
        <v>0</v>
      </c>
      <c r="I87" s="261" t="n">
        <v>2</v>
      </c>
      <c r="J87" s="361" t="n">
        <v>0</v>
      </c>
      <c r="K87" s="262" t="n">
        <v>80</v>
      </c>
      <c r="L87" s="262" t="n">
        <v>100</v>
      </c>
      <c r="M87" s="262" t="n">
        <v>70</v>
      </c>
      <c r="N87" s="262" t="n">
        <v>50</v>
      </c>
      <c r="O87" s="262" t="n">
        <v>60</v>
      </c>
      <c r="P87" s="361" t="n">
        <v>45</v>
      </c>
      <c r="Q87" s="261" t="s">
        <v>145</v>
      </c>
      <c r="R87" s="261"/>
      <c r="S87" s="363" t="n">
        <f aca="false" t="array" ref="S87:S87">IF(COUNTIF('0.3.0 GO Calculation Values'!$J$2:$J$99,C87),(INDEX('0.3.0 GO Calculation Values'!$K$2:$K$99,MATCH(C87,'0.3.0 GO Calculation Values'!$J$2:$J$99,0))),1)</f>
        <v>1</v>
      </c>
      <c r="T87" s="262" t="n">
        <f aca="false">ROUND(ROUND(2*((7/8)*MAX(L87,N87)+(1/8)*MIN(L87,N87)),0)*(1+(P87-75)/500),0)</f>
        <v>177</v>
      </c>
      <c r="U87" s="262" t="n">
        <f aca="false">ROUND(ROUND(2*((5/8)*MAX(M87,O87)+(3/8)*MIN(M87,O87)),0)*(1+(P87-75)/500),0)</f>
        <v>125</v>
      </c>
      <c r="V87" s="361" t="n">
        <f aca="false">ROUNDDOWN(K87*1.75+50,0)</f>
        <v>190</v>
      </c>
      <c r="W87" s="261" t="n">
        <v>1</v>
      </c>
      <c r="X87" s="261" t="s">
        <v>421</v>
      </c>
      <c r="Y87" s="364" t="s">
        <v>421</v>
      </c>
      <c r="Z87" s="364" t="n">
        <v>3</v>
      </c>
      <c r="AA87" s="364"/>
      <c r="AB87" s="365" t="n">
        <v>2</v>
      </c>
      <c r="AC87" s="364"/>
      <c r="AD87" s="364" t="n">
        <v>25</v>
      </c>
      <c r="AE87" s="366"/>
      <c r="AF87" s="364" t="s">
        <v>424</v>
      </c>
      <c r="AG87" s="364" t="s">
        <v>424</v>
      </c>
      <c r="AH87" s="366" t="s">
        <v>424</v>
      </c>
    </row>
    <row r="88" customFormat="false" ht="15.75" hidden="false" customHeight="false" outlineLevel="0" collapsed="false">
      <c r="A88" s="262" t="n">
        <v>68</v>
      </c>
      <c r="B88" s="361" t="n">
        <v>86</v>
      </c>
      <c r="C88" s="261" t="s">
        <v>127</v>
      </c>
      <c r="D88" s="261" t="s">
        <v>60</v>
      </c>
      <c r="E88" s="362" t="s">
        <v>127</v>
      </c>
      <c r="F88" s="261" t="s">
        <v>228</v>
      </c>
      <c r="G88" s="261" t="s">
        <v>144</v>
      </c>
      <c r="H88" s="261" t="n">
        <v>0</v>
      </c>
      <c r="I88" s="261" t="n">
        <v>3</v>
      </c>
      <c r="J88" s="361" t="n">
        <v>1</v>
      </c>
      <c r="K88" s="262" t="n">
        <v>90</v>
      </c>
      <c r="L88" s="262" t="n">
        <v>130</v>
      </c>
      <c r="M88" s="262" t="n">
        <v>80</v>
      </c>
      <c r="N88" s="262" t="n">
        <v>65</v>
      </c>
      <c r="O88" s="262" t="n">
        <v>85</v>
      </c>
      <c r="P88" s="361" t="n">
        <v>55</v>
      </c>
      <c r="Q88" s="261" t="s">
        <v>145</v>
      </c>
      <c r="R88" s="261"/>
      <c r="S88" s="363" t="n">
        <f aca="false" t="array" ref="S88:S88">IF(COUNTIF('0.3.0 GO Calculation Values'!$J$2:$J$99,C88),(INDEX('0.3.0 GO Calculation Values'!$K$2:$K$99,MATCH(C88,'0.3.0 GO Calculation Values'!$J$2:$J$99,0))),1)</f>
        <v>1</v>
      </c>
      <c r="T88" s="262" t="n">
        <f aca="false">ROUND(ROUND(2*((7/8)*MAX(L88,N88)+(1/8)*MIN(L88,N88)),0)*(1+(P88-75)/500),0)</f>
        <v>234</v>
      </c>
      <c r="U88" s="262" t="n">
        <f aca="false">ROUND(ROUND(2*((5/8)*MAX(M88,O88)+(3/8)*MIN(M88,O88)),0)*(1+(P88-75)/500),0)</f>
        <v>159</v>
      </c>
      <c r="V88" s="361" t="n">
        <f aca="false">ROUNDDOWN(K88*1.75+50,0)</f>
        <v>207</v>
      </c>
      <c r="W88" s="261" t="n">
        <v>1</v>
      </c>
      <c r="X88" s="261" t="s">
        <v>423</v>
      </c>
      <c r="Y88" s="364" t="s">
        <v>421</v>
      </c>
      <c r="Z88" s="364" t="n">
        <v>3</v>
      </c>
      <c r="AA88" s="364"/>
      <c r="AB88" s="365" t="n">
        <v>2</v>
      </c>
      <c r="AC88" s="364"/>
      <c r="AD88" s="364" t="n">
        <v>100</v>
      </c>
      <c r="AE88" s="366"/>
      <c r="AF88" s="364" t="s">
        <v>425</v>
      </c>
      <c r="AG88" s="364" t="s">
        <v>425</v>
      </c>
      <c r="AH88" s="366" t="s">
        <v>425</v>
      </c>
    </row>
    <row r="89" customFormat="false" ht="15.75" hidden="false" customHeight="false" outlineLevel="0" collapsed="false">
      <c r="A89" s="262" t="n">
        <v>69</v>
      </c>
      <c r="B89" s="361" t="n">
        <v>87</v>
      </c>
      <c r="C89" s="261" t="s">
        <v>426</v>
      </c>
      <c r="D89" s="261" t="s">
        <v>60</v>
      </c>
      <c r="E89" s="362" t="s">
        <v>426</v>
      </c>
      <c r="F89" s="261" t="s">
        <v>228</v>
      </c>
      <c r="G89" s="261" t="s">
        <v>144</v>
      </c>
      <c r="H89" s="261" t="n">
        <v>0</v>
      </c>
      <c r="I89" s="261" t="n">
        <v>1</v>
      </c>
      <c r="J89" s="361" t="n">
        <v>0</v>
      </c>
      <c r="K89" s="262" t="n">
        <v>50</v>
      </c>
      <c r="L89" s="262" t="n">
        <v>75</v>
      </c>
      <c r="M89" s="262" t="n">
        <v>35</v>
      </c>
      <c r="N89" s="262" t="n">
        <v>70</v>
      </c>
      <c r="O89" s="262" t="n">
        <v>30</v>
      </c>
      <c r="P89" s="361" t="n">
        <v>40</v>
      </c>
      <c r="Q89" s="261" t="s">
        <v>155</v>
      </c>
      <c r="R89" s="261" t="s">
        <v>147</v>
      </c>
      <c r="S89" s="363" t="n">
        <f aca="false" t="array" ref="S89:S89">IF(COUNTIF('0.3.0 GO Calculation Values'!$J$2:$J$99,C89),(INDEX('0.3.0 GO Calculation Values'!$K$2:$K$99,MATCH(C89,'0.3.0 GO Calculation Values'!$J$2:$J$99,0))),1)</f>
        <v>1</v>
      </c>
      <c r="T89" s="262" t="n">
        <f aca="false">ROUND(ROUND(2*((7/8)*MAX(L89,N89)+(1/8)*MIN(L89,N89)),0)*(1+(P89-75)/500),0)</f>
        <v>139</v>
      </c>
      <c r="U89" s="262" t="n">
        <f aca="false">ROUND(ROUND(2*((5/8)*MAX(M89,O89)+(3/8)*MIN(M89,O89)),0)*(1+(P89-75)/500),0)</f>
        <v>61</v>
      </c>
      <c r="V89" s="361" t="n">
        <f aca="false">ROUNDDOWN(K89*1.75+50,0)</f>
        <v>137</v>
      </c>
      <c r="W89" s="261" t="n">
        <v>1</v>
      </c>
      <c r="X89" s="261" t="s">
        <v>60</v>
      </c>
      <c r="Y89" s="364" t="s">
        <v>426</v>
      </c>
      <c r="Z89" s="364" t="n">
        <v>3</v>
      </c>
      <c r="AA89" s="364"/>
      <c r="AB89" s="365" t="s">
        <v>60</v>
      </c>
      <c r="AC89" s="364"/>
      <c r="AD89" s="364" t="n">
        <v>0</v>
      </c>
      <c r="AE89" s="366"/>
      <c r="AF89" s="364" t="s">
        <v>427</v>
      </c>
      <c r="AG89" s="364" t="s">
        <v>427</v>
      </c>
      <c r="AH89" s="366" t="s">
        <v>427</v>
      </c>
    </row>
    <row r="90" customFormat="false" ht="15.75" hidden="false" customHeight="false" outlineLevel="0" collapsed="false">
      <c r="A90" s="262" t="n">
        <v>70</v>
      </c>
      <c r="B90" s="361" t="n">
        <v>88</v>
      </c>
      <c r="C90" s="261" t="s">
        <v>428</v>
      </c>
      <c r="D90" s="261" t="s">
        <v>60</v>
      </c>
      <c r="E90" s="362" t="s">
        <v>428</v>
      </c>
      <c r="F90" s="261" t="s">
        <v>228</v>
      </c>
      <c r="G90" s="261" t="s">
        <v>144</v>
      </c>
      <c r="H90" s="261" t="n">
        <v>0</v>
      </c>
      <c r="I90" s="261" t="n">
        <v>2</v>
      </c>
      <c r="J90" s="361" t="n">
        <v>0</v>
      </c>
      <c r="K90" s="262" t="n">
        <v>65</v>
      </c>
      <c r="L90" s="262" t="n">
        <v>90</v>
      </c>
      <c r="M90" s="262" t="n">
        <v>50</v>
      </c>
      <c r="N90" s="262" t="n">
        <v>85</v>
      </c>
      <c r="O90" s="262" t="n">
        <v>45</v>
      </c>
      <c r="P90" s="361" t="n">
        <v>55</v>
      </c>
      <c r="Q90" s="261" t="s">
        <v>155</v>
      </c>
      <c r="R90" s="261" t="s">
        <v>147</v>
      </c>
      <c r="S90" s="363" t="n">
        <f aca="false" t="array" ref="S90:S90">IF(COUNTIF('0.3.0 GO Calculation Values'!$J$2:$J$99,C90),(INDEX('0.3.0 GO Calculation Values'!$K$2:$K$99,MATCH(C90,'0.3.0 GO Calculation Values'!$J$2:$J$99,0))),1)</f>
        <v>1</v>
      </c>
      <c r="T90" s="262" t="n">
        <f aca="false">ROUND(ROUND(2*((7/8)*MAX(L90,N90)+(1/8)*MIN(L90,N90)),0)*(1+(P90-75)/500),0)</f>
        <v>172</v>
      </c>
      <c r="U90" s="262" t="n">
        <f aca="false">ROUND(ROUND(2*((5/8)*MAX(M90,O90)+(3/8)*MIN(M90,O90)),0)*(1+(P90-75)/500),0)</f>
        <v>92</v>
      </c>
      <c r="V90" s="361" t="n">
        <f aca="false">ROUNDDOWN(K90*1.75+50,0)</f>
        <v>163</v>
      </c>
      <c r="W90" s="261" t="n">
        <v>1</v>
      </c>
      <c r="X90" s="261" t="s">
        <v>426</v>
      </c>
      <c r="Y90" s="364" t="s">
        <v>426</v>
      </c>
      <c r="Z90" s="364" t="n">
        <v>3</v>
      </c>
      <c r="AA90" s="364"/>
      <c r="AB90" s="365" t="s">
        <v>60</v>
      </c>
      <c r="AC90" s="364"/>
      <c r="AD90" s="364" t="n">
        <v>25</v>
      </c>
      <c r="AE90" s="366"/>
      <c r="AF90" s="364" t="s">
        <v>429</v>
      </c>
      <c r="AG90" s="364" t="s">
        <v>429</v>
      </c>
      <c r="AH90" s="366" t="s">
        <v>429</v>
      </c>
    </row>
    <row r="91" customFormat="false" ht="15.75" hidden="false" customHeight="false" outlineLevel="0" collapsed="false">
      <c r="A91" s="262" t="n">
        <v>71</v>
      </c>
      <c r="B91" s="361" t="n">
        <v>89</v>
      </c>
      <c r="C91" s="261" t="s">
        <v>430</v>
      </c>
      <c r="D91" s="261" t="s">
        <v>60</v>
      </c>
      <c r="E91" s="362" t="s">
        <v>430</v>
      </c>
      <c r="F91" s="261" t="s">
        <v>228</v>
      </c>
      <c r="G91" s="261" t="s">
        <v>144</v>
      </c>
      <c r="H91" s="261" t="n">
        <v>0</v>
      </c>
      <c r="I91" s="261" t="n">
        <v>3</v>
      </c>
      <c r="J91" s="361" t="n">
        <v>1</v>
      </c>
      <c r="K91" s="262" t="n">
        <v>80</v>
      </c>
      <c r="L91" s="262" t="n">
        <v>105</v>
      </c>
      <c r="M91" s="262" t="n">
        <v>65</v>
      </c>
      <c r="N91" s="262" t="n">
        <v>100</v>
      </c>
      <c r="O91" s="262" t="n">
        <v>70</v>
      </c>
      <c r="P91" s="361" t="n">
        <v>70</v>
      </c>
      <c r="Q91" s="261" t="s">
        <v>155</v>
      </c>
      <c r="R91" s="261" t="s">
        <v>147</v>
      </c>
      <c r="S91" s="363" t="n">
        <f aca="false" t="array" ref="S91:S91">IF(COUNTIF('0.3.0 GO Calculation Values'!$J$2:$J$99,C91),(INDEX('0.3.0 GO Calculation Values'!$K$2:$K$99,MATCH(C91,'0.3.0 GO Calculation Values'!$J$2:$J$99,0))),1)</f>
        <v>1</v>
      </c>
      <c r="T91" s="262" t="n">
        <f aca="false">ROUND(ROUND(2*((7/8)*MAX(L91,N91)+(1/8)*MIN(L91,N91)),0)*(1+(P91-75)/500),0)</f>
        <v>207</v>
      </c>
      <c r="U91" s="262" t="n">
        <f aca="false">ROUND(ROUND(2*((5/8)*MAX(M91,O91)+(3/8)*MIN(M91,O91)),0)*(1+(P91-75)/500),0)</f>
        <v>135</v>
      </c>
      <c r="V91" s="361" t="n">
        <f aca="false">ROUNDDOWN(K91*1.75+50,0)</f>
        <v>190</v>
      </c>
      <c r="W91" s="261" t="n">
        <v>1</v>
      </c>
      <c r="X91" s="261" t="s">
        <v>428</v>
      </c>
      <c r="Y91" s="364" t="s">
        <v>426</v>
      </c>
      <c r="Z91" s="364" t="n">
        <v>3</v>
      </c>
      <c r="AA91" s="364"/>
      <c r="AB91" s="365" t="s">
        <v>60</v>
      </c>
      <c r="AC91" s="364"/>
      <c r="AD91" s="364" t="n">
        <v>100</v>
      </c>
      <c r="AE91" s="366"/>
      <c r="AF91" s="364" t="s">
        <v>431</v>
      </c>
      <c r="AG91" s="364" t="s">
        <v>431</v>
      </c>
      <c r="AH91" s="366" t="s">
        <v>431</v>
      </c>
    </row>
    <row r="92" customFormat="false" ht="15.75" hidden="false" customHeight="false" outlineLevel="0" collapsed="false">
      <c r="A92" s="262" t="n">
        <v>72</v>
      </c>
      <c r="B92" s="361" t="n">
        <v>90</v>
      </c>
      <c r="C92" s="261" t="s">
        <v>432</v>
      </c>
      <c r="D92" s="261" t="s">
        <v>60</v>
      </c>
      <c r="E92" s="362" t="s">
        <v>432</v>
      </c>
      <c r="F92" s="261" t="s">
        <v>228</v>
      </c>
      <c r="G92" s="261" t="s">
        <v>144</v>
      </c>
      <c r="H92" s="261" t="n">
        <v>0</v>
      </c>
      <c r="I92" s="261" t="n">
        <v>1</v>
      </c>
      <c r="J92" s="361" t="n">
        <v>0</v>
      </c>
      <c r="K92" s="262" t="n">
        <v>40</v>
      </c>
      <c r="L92" s="262" t="n">
        <v>40</v>
      </c>
      <c r="M92" s="262" t="n">
        <v>35</v>
      </c>
      <c r="N92" s="262" t="n">
        <v>50</v>
      </c>
      <c r="O92" s="262" t="n">
        <v>100</v>
      </c>
      <c r="P92" s="361" t="n">
        <v>70</v>
      </c>
      <c r="Q92" s="261" t="s">
        <v>154</v>
      </c>
      <c r="R92" s="261" t="s">
        <v>147</v>
      </c>
      <c r="S92" s="363" t="n">
        <f aca="false" t="array" ref="S92:S92">IF(COUNTIF('0.3.0 GO Calculation Values'!$J$2:$J$99,C92),(INDEX('0.3.0 GO Calculation Values'!$K$2:$K$99,MATCH(C92,'0.3.0 GO Calculation Values'!$J$2:$J$99,0))),1)</f>
        <v>1</v>
      </c>
      <c r="T92" s="262" t="n">
        <f aca="false">ROUND(ROUND(2*((7/8)*MAX(L92,N92)+(1/8)*MIN(L92,N92)),0)*(1+(P92-75)/500),0)</f>
        <v>97</v>
      </c>
      <c r="U92" s="262" t="n">
        <f aca="false">ROUND(ROUND(2*((5/8)*MAX(M92,O92)+(3/8)*MIN(M92,O92)),0)*(1+(P92-75)/500),0)</f>
        <v>149</v>
      </c>
      <c r="V92" s="361" t="n">
        <f aca="false">ROUNDDOWN(K92*1.75+50,0)</f>
        <v>120</v>
      </c>
      <c r="W92" s="261" t="n">
        <v>1</v>
      </c>
      <c r="X92" s="261" t="s">
        <v>60</v>
      </c>
      <c r="Y92" s="364" t="s">
        <v>432</v>
      </c>
      <c r="Z92" s="364" t="n">
        <v>3</v>
      </c>
      <c r="AA92" s="364"/>
      <c r="AB92" s="365" t="s">
        <v>60</v>
      </c>
      <c r="AC92" s="364"/>
      <c r="AD92" s="364" t="n">
        <v>0</v>
      </c>
      <c r="AE92" s="366"/>
      <c r="AF92" s="364" t="s">
        <v>433</v>
      </c>
      <c r="AG92" s="364" t="s">
        <v>433</v>
      </c>
      <c r="AH92" s="366" t="s">
        <v>433</v>
      </c>
    </row>
    <row r="93" customFormat="false" ht="15.75" hidden="false" customHeight="false" outlineLevel="0" collapsed="false">
      <c r="A93" s="262" t="n">
        <v>73</v>
      </c>
      <c r="B93" s="361" t="n">
        <v>91</v>
      </c>
      <c r="C93" s="261" t="s">
        <v>434</v>
      </c>
      <c r="D93" s="261" t="s">
        <v>60</v>
      </c>
      <c r="E93" s="362" t="s">
        <v>434</v>
      </c>
      <c r="F93" s="261" t="s">
        <v>228</v>
      </c>
      <c r="G93" s="261" t="s">
        <v>144</v>
      </c>
      <c r="H93" s="261" t="n">
        <v>0</v>
      </c>
      <c r="I93" s="261" t="n">
        <v>2</v>
      </c>
      <c r="J93" s="361" t="n">
        <v>1</v>
      </c>
      <c r="K93" s="262" t="n">
        <v>80</v>
      </c>
      <c r="L93" s="262" t="n">
        <v>70</v>
      </c>
      <c r="M93" s="262" t="n">
        <v>65</v>
      </c>
      <c r="N93" s="262" t="n">
        <v>80</v>
      </c>
      <c r="O93" s="262" t="n">
        <v>120</v>
      </c>
      <c r="P93" s="361" t="n">
        <v>100</v>
      </c>
      <c r="Q93" s="261" t="s">
        <v>154</v>
      </c>
      <c r="R93" s="261" t="s">
        <v>147</v>
      </c>
      <c r="S93" s="363" t="n">
        <f aca="false" t="array" ref="S93:S93">IF(COUNTIF('0.3.0 GO Calculation Values'!$J$2:$J$99,C93),(INDEX('0.3.0 GO Calculation Values'!$K$2:$K$99,MATCH(C93,'0.3.0 GO Calculation Values'!$J$2:$J$99,0))),1)</f>
        <v>1</v>
      </c>
      <c r="T93" s="262" t="n">
        <f aca="false">ROUND(ROUND(2*((7/8)*MAX(L93,N93)+(1/8)*MIN(L93,N93)),0)*(1+(P93-75)/500),0)</f>
        <v>166</v>
      </c>
      <c r="U93" s="262" t="n">
        <f aca="false">ROUND(ROUND(2*((5/8)*MAX(M93,O93)+(3/8)*MIN(M93,O93)),0)*(1+(P93-75)/500),0)</f>
        <v>209</v>
      </c>
      <c r="V93" s="361" t="n">
        <f aca="false">ROUNDDOWN(K93*1.75+50,0)</f>
        <v>190</v>
      </c>
      <c r="W93" s="261" t="n">
        <v>1</v>
      </c>
      <c r="X93" s="261" t="s">
        <v>432</v>
      </c>
      <c r="Y93" s="364" t="s">
        <v>432</v>
      </c>
      <c r="Z93" s="364" t="n">
        <v>3</v>
      </c>
      <c r="AA93" s="364"/>
      <c r="AB93" s="365" t="s">
        <v>60</v>
      </c>
      <c r="AC93" s="364"/>
      <c r="AD93" s="364" t="n">
        <v>50</v>
      </c>
      <c r="AE93" s="366"/>
      <c r="AF93" s="364" t="s">
        <v>435</v>
      </c>
      <c r="AG93" s="364" t="s">
        <v>435</v>
      </c>
      <c r="AH93" s="366" t="s">
        <v>435</v>
      </c>
    </row>
    <row r="94" customFormat="false" ht="15.75" hidden="false" customHeight="false" outlineLevel="0" collapsed="false">
      <c r="A94" s="262" t="n">
        <v>74</v>
      </c>
      <c r="B94" s="361" t="n">
        <v>92</v>
      </c>
      <c r="C94" s="261" t="s">
        <v>436</v>
      </c>
      <c r="D94" s="261" t="s">
        <v>7</v>
      </c>
      <c r="E94" s="367" t="s">
        <v>436</v>
      </c>
      <c r="F94" s="261" t="s">
        <v>228</v>
      </c>
      <c r="G94" s="261" t="s">
        <v>144</v>
      </c>
      <c r="H94" s="261" t="n">
        <v>0</v>
      </c>
      <c r="I94" s="261" t="n">
        <v>1</v>
      </c>
      <c r="J94" s="361" t="n">
        <v>0</v>
      </c>
      <c r="K94" s="262" t="n">
        <v>40</v>
      </c>
      <c r="L94" s="262" t="n">
        <v>80</v>
      </c>
      <c r="M94" s="262" t="n">
        <v>100</v>
      </c>
      <c r="N94" s="262" t="n">
        <v>30</v>
      </c>
      <c r="O94" s="262" t="n">
        <v>30</v>
      </c>
      <c r="P94" s="361" t="n">
        <v>20</v>
      </c>
      <c r="Q94" s="261" t="s">
        <v>149</v>
      </c>
      <c r="R94" s="261" t="s">
        <v>148</v>
      </c>
      <c r="S94" s="363" t="n">
        <f aca="false" t="array" ref="S94:S94">IF(COUNTIF('0.3.0 GO Calculation Values'!$J$2:$J$99,C94),(INDEX('0.3.0 GO Calculation Values'!$K$2:$K$99,MATCH(C94,'0.3.0 GO Calculation Values'!$J$2:$J$99,0))),1)</f>
        <v>1</v>
      </c>
      <c r="T94" s="262" t="n">
        <f aca="false">ROUND(ROUND(2*((7/8)*MAX(L94,N94)+(1/8)*MIN(L94,N94)),0)*(1+(P94-75)/500),0)</f>
        <v>132</v>
      </c>
      <c r="U94" s="262" t="n">
        <f aca="false">ROUND(ROUND(2*((5/8)*MAX(M94,O94)+(3/8)*MIN(M94,O94)),0)*(1+(P94-75)/500),0)</f>
        <v>132</v>
      </c>
      <c r="V94" s="361" t="n">
        <f aca="false">ROUNDDOWN(K94*1.75+50,0)</f>
        <v>120</v>
      </c>
      <c r="W94" s="261" t="n">
        <v>1</v>
      </c>
      <c r="X94" s="261" t="s">
        <v>60</v>
      </c>
      <c r="Y94" s="364" t="s">
        <v>436</v>
      </c>
      <c r="Z94" s="364" t="n">
        <v>1</v>
      </c>
      <c r="AA94" s="364"/>
      <c r="AB94" s="365" t="s">
        <v>60</v>
      </c>
      <c r="AC94" s="364"/>
      <c r="AD94" s="364" t="n">
        <v>0</v>
      </c>
      <c r="AE94" s="366"/>
      <c r="AF94" s="364" t="s">
        <v>437</v>
      </c>
      <c r="AG94" s="364" t="s">
        <v>437</v>
      </c>
      <c r="AH94" s="366" t="s">
        <v>437</v>
      </c>
    </row>
    <row r="95" customFormat="false" ht="15.75" hidden="false" customHeight="false" outlineLevel="0" collapsed="false">
      <c r="A95" s="262" t="n">
        <v>74</v>
      </c>
      <c r="B95" s="361" t="n">
        <v>93</v>
      </c>
      <c r="C95" s="261" t="s">
        <v>436</v>
      </c>
      <c r="D95" s="261" t="s">
        <v>288</v>
      </c>
      <c r="E95" s="358" t="s">
        <v>438</v>
      </c>
      <c r="F95" s="261" t="s">
        <v>290</v>
      </c>
      <c r="G95" s="261" t="s">
        <v>144</v>
      </c>
      <c r="H95" s="261" t="n">
        <v>1</v>
      </c>
      <c r="I95" s="261" t="n">
        <v>1</v>
      </c>
      <c r="J95" s="361" t="n">
        <v>0</v>
      </c>
      <c r="K95" s="262" t="n">
        <v>40</v>
      </c>
      <c r="L95" s="262" t="n">
        <v>80</v>
      </c>
      <c r="M95" s="262" t="n">
        <v>100</v>
      </c>
      <c r="N95" s="262" t="n">
        <v>30</v>
      </c>
      <c r="O95" s="262" t="n">
        <v>30</v>
      </c>
      <c r="P95" s="361" t="n">
        <v>20</v>
      </c>
      <c r="Q95" s="261" t="s">
        <v>149</v>
      </c>
      <c r="R95" s="261" t="s">
        <v>156</v>
      </c>
      <c r="S95" s="363" t="n">
        <f aca="false" t="array" ref="S95:S95">IF(COUNTIF('0.3.0 GO Calculation Values'!$J$2:$J$99,C95),(INDEX('0.3.0 GO Calculation Values'!$K$2:$K$99,MATCH(C95,'0.3.0 GO Calculation Values'!$J$2:$J$99,0))),1)</f>
        <v>1</v>
      </c>
      <c r="T95" s="262" t="n">
        <f aca="false">ROUND(ROUND(2*((7/8)*MAX(L95,N95)+(1/8)*MIN(L95,N95)),0)*(1+(P95-75)/500),0)</f>
        <v>132</v>
      </c>
      <c r="U95" s="262" t="n">
        <f aca="false">ROUND(ROUND(2*((5/8)*MAX(M95,O95)+(3/8)*MIN(M95,O95)),0)*(1+(P95-75)/500),0)</f>
        <v>132</v>
      </c>
      <c r="V95" s="361" t="n">
        <f aca="false">ROUNDDOWN(K95*1.75+50,0)</f>
        <v>120</v>
      </c>
      <c r="W95" s="261" t="n">
        <v>0</v>
      </c>
      <c r="X95" s="261" t="s">
        <v>60</v>
      </c>
      <c r="Y95" s="364" t="s">
        <v>436</v>
      </c>
      <c r="Z95" s="364" t="n">
        <v>1</v>
      </c>
      <c r="AA95" s="364"/>
      <c r="AB95" s="365"/>
      <c r="AC95" s="364"/>
      <c r="AD95" s="364" t="n">
        <v>0</v>
      </c>
      <c r="AE95" s="366"/>
      <c r="AF95" s="364" t="s">
        <v>439</v>
      </c>
      <c r="AG95" s="261" t="s">
        <v>440</v>
      </c>
      <c r="AH95" s="362" t="s">
        <v>440</v>
      </c>
    </row>
    <row r="96" customFormat="false" ht="15.75" hidden="false" customHeight="false" outlineLevel="0" collapsed="false">
      <c r="A96" s="262" t="n">
        <v>75</v>
      </c>
      <c r="B96" s="361" t="n">
        <v>94</v>
      </c>
      <c r="C96" s="261" t="s">
        <v>441</v>
      </c>
      <c r="D96" s="261" t="s">
        <v>7</v>
      </c>
      <c r="E96" s="367" t="s">
        <v>441</v>
      </c>
      <c r="F96" s="261" t="s">
        <v>228</v>
      </c>
      <c r="G96" s="261" t="s">
        <v>144</v>
      </c>
      <c r="H96" s="261" t="n">
        <v>0</v>
      </c>
      <c r="I96" s="261" t="n">
        <v>2</v>
      </c>
      <c r="J96" s="361" t="n">
        <v>0</v>
      </c>
      <c r="K96" s="262" t="n">
        <v>55</v>
      </c>
      <c r="L96" s="262" t="n">
        <v>95</v>
      </c>
      <c r="M96" s="262" t="n">
        <v>115</v>
      </c>
      <c r="N96" s="262" t="n">
        <v>45</v>
      </c>
      <c r="O96" s="262" t="n">
        <v>45</v>
      </c>
      <c r="P96" s="361" t="n">
        <v>35</v>
      </c>
      <c r="Q96" s="261" t="s">
        <v>149</v>
      </c>
      <c r="R96" s="261" t="s">
        <v>148</v>
      </c>
      <c r="S96" s="363" t="n">
        <f aca="false" t="array" ref="S96:S96">IF(COUNTIF('0.3.0 GO Calculation Values'!$J$2:$J$99,C96),(INDEX('0.3.0 GO Calculation Values'!$K$2:$K$99,MATCH(C96,'0.3.0 GO Calculation Values'!$J$2:$J$99,0))),1)</f>
        <v>1</v>
      </c>
      <c r="T96" s="262" t="n">
        <f aca="false">ROUND(ROUND(2*((7/8)*MAX(L96,N96)+(1/8)*MIN(L96,N96)),0)*(1+(P96-75)/500),0)</f>
        <v>164</v>
      </c>
      <c r="U96" s="262" t="n">
        <f aca="false">ROUND(ROUND(2*((5/8)*MAX(M96,O96)+(3/8)*MIN(M96,O96)),0)*(1+(P96-75)/500),0)</f>
        <v>164</v>
      </c>
      <c r="V96" s="361" t="n">
        <f aca="false">ROUNDDOWN(K96*1.75+50,0)</f>
        <v>146</v>
      </c>
      <c r="W96" s="261" t="n">
        <v>1</v>
      </c>
      <c r="X96" s="261" t="s">
        <v>436</v>
      </c>
      <c r="Y96" s="364" t="s">
        <v>436</v>
      </c>
      <c r="Z96" s="364" t="n">
        <v>1</v>
      </c>
      <c r="AA96" s="364"/>
      <c r="AB96" s="365" t="s">
        <v>60</v>
      </c>
      <c r="AC96" s="364"/>
      <c r="AD96" s="364" t="n">
        <v>25</v>
      </c>
      <c r="AE96" s="366"/>
      <c r="AF96" s="364" t="s">
        <v>442</v>
      </c>
      <c r="AG96" s="364" t="s">
        <v>442</v>
      </c>
      <c r="AH96" s="366" t="s">
        <v>442</v>
      </c>
    </row>
    <row r="97" customFormat="false" ht="15.75" hidden="false" customHeight="false" outlineLevel="0" collapsed="false">
      <c r="A97" s="262" t="n">
        <v>75</v>
      </c>
      <c r="B97" s="361" t="n">
        <v>95</v>
      </c>
      <c r="C97" s="261" t="s">
        <v>441</v>
      </c>
      <c r="D97" s="261" t="s">
        <v>288</v>
      </c>
      <c r="E97" s="358" t="s">
        <v>443</v>
      </c>
      <c r="F97" s="261" t="s">
        <v>290</v>
      </c>
      <c r="G97" s="261" t="s">
        <v>144</v>
      </c>
      <c r="H97" s="261" t="n">
        <v>1</v>
      </c>
      <c r="I97" s="261" t="n">
        <v>2</v>
      </c>
      <c r="J97" s="361" t="n">
        <v>0</v>
      </c>
      <c r="K97" s="262" t="n">
        <v>55</v>
      </c>
      <c r="L97" s="262" t="n">
        <v>95</v>
      </c>
      <c r="M97" s="262" t="n">
        <v>115</v>
      </c>
      <c r="N97" s="262" t="n">
        <v>45</v>
      </c>
      <c r="O97" s="262" t="n">
        <v>45</v>
      </c>
      <c r="P97" s="361" t="n">
        <v>35</v>
      </c>
      <c r="Q97" s="261" t="s">
        <v>149</v>
      </c>
      <c r="R97" s="261" t="s">
        <v>156</v>
      </c>
      <c r="S97" s="363" t="n">
        <f aca="false" t="array" ref="S97:S97">IF(COUNTIF('0.3.0 GO Calculation Values'!$J$2:$J$99,C97),(INDEX('0.3.0 GO Calculation Values'!$K$2:$K$99,MATCH(C97,'0.3.0 GO Calculation Values'!$J$2:$J$99,0))),1)</f>
        <v>1</v>
      </c>
      <c r="T97" s="262" t="n">
        <f aca="false">ROUND(ROUND(2*((7/8)*MAX(L97,N97)+(1/8)*MIN(L97,N97)),0)*(1+(P97-75)/500),0)</f>
        <v>164</v>
      </c>
      <c r="U97" s="262" t="n">
        <f aca="false">ROUND(ROUND(2*((5/8)*MAX(M97,O97)+(3/8)*MIN(M97,O97)),0)*(1+(P97-75)/500),0)</f>
        <v>164</v>
      </c>
      <c r="V97" s="361" t="n">
        <f aca="false">ROUNDDOWN(K97*1.75+50,0)</f>
        <v>146</v>
      </c>
      <c r="W97" s="261" t="n">
        <v>0</v>
      </c>
      <c r="X97" s="261" t="s">
        <v>436</v>
      </c>
      <c r="Y97" s="364" t="s">
        <v>436</v>
      </c>
      <c r="Z97" s="364" t="n">
        <v>1</v>
      </c>
      <c r="AA97" s="364"/>
      <c r="AB97" s="365"/>
      <c r="AC97" s="364"/>
      <c r="AD97" s="364" t="n">
        <v>25</v>
      </c>
      <c r="AE97" s="366"/>
      <c r="AF97" s="364" t="s">
        <v>444</v>
      </c>
      <c r="AG97" s="261" t="s">
        <v>445</v>
      </c>
      <c r="AH97" s="362" t="s">
        <v>445</v>
      </c>
    </row>
    <row r="98" customFormat="false" ht="15.75" hidden="false" customHeight="false" outlineLevel="0" collapsed="false">
      <c r="A98" s="262" t="n">
        <v>76</v>
      </c>
      <c r="B98" s="361" t="n">
        <v>96</v>
      </c>
      <c r="C98" s="261" t="s">
        <v>446</v>
      </c>
      <c r="D98" s="261" t="s">
        <v>7</v>
      </c>
      <c r="E98" s="367" t="s">
        <v>446</v>
      </c>
      <c r="F98" s="261" t="s">
        <v>228</v>
      </c>
      <c r="G98" s="261" t="s">
        <v>144</v>
      </c>
      <c r="H98" s="261" t="n">
        <v>0</v>
      </c>
      <c r="I98" s="261" t="n">
        <v>3</v>
      </c>
      <c r="J98" s="361" t="n">
        <v>1</v>
      </c>
      <c r="K98" s="262" t="n">
        <v>80</v>
      </c>
      <c r="L98" s="262" t="n">
        <v>120</v>
      </c>
      <c r="M98" s="262" t="n">
        <v>130</v>
      </c>
      <c r="N98" s="262" t="n">
        <v>55</v>
      </c>
      <c r="O98" s="262" t="n">
        <v>65</v>
      </c>
      <c r="P98" s="361" t="n">
        <v>45</v>
      </c>
      <c r="Q98" s="261" t="s">
        <v>149</v>
      </c>
      <c r="R98" s="261" t="s">
        <v>148</v>
      </c>
      <c r="S98" s="363" t="n">
        <f aca="false" t="array" ref="S98:S98">IF(COUNTIF('0.3.0 GO Calculation Values'!$J$2:$J$99,C98),(INDEX('0.3.0 GO Calculation Values'!$K$2:$K$99,MATCH(C98,'0.3.0 GO Calculation Values'!$J$2:$J$99,0))),1)</f>
        <v>1</v>
      </c>
      <c r="T98" s="262" t="n">
        <f aca="false">ROUND(ROUND(2*((7/8)*MAX(L98,N98)+(1/8)*MIN(L98,N98)),0)*(1+(P98-75)/500),0)</f>
        <v>211</v>
      </c>
      <c r="U98" s="262" t="n">
        <f aca="false">ROUND(ROUND(2*((5/8)*MAX(M98,O98)+(3/8)*MIN(M98,O98)),0)*(1+(P98-75)/500),0)</f>
        <v>198</v>
      </c>
      <c r="V98" s="361" t="n">
        <f aca="false">ROUNDDOWN(K98*1.75+50,0)</f>
        <v>190</v>
      </c>
      <c r="W98" s="261" t="n">
        <v>1</v>
      </c>
      <c r="X98" s="261" t="s">
        <v>441</v>
      </c>
      <c r="Y98" s="364" t="s">
        <v>436</v>
      </c>
      <c r="Z98" s="364" t="n">
        <v>1</v>
      </c>
      <c r="AA98" s="364"/>
      <c r="AB98" s="365" t="s">
        <v>60</v>
      </c>
      <c r="AC98" s="364"/>
      <c r="AD98" s="364" t="n">
        <v>100</v>
      </c>
      <c r="AE98" s="366"/>
      <c r="AF98" s="364" t="s">
        <v>447</v>
      </c>
      <c r="AG98" s="364" t="s">
        <v>447</v>
      </c>
      <c r="AH98" s="366" t="s">
        <v>447</v>
      </c>
    </row>
    <row r="99" customFormat="false" ht="15.75" hidden="false" customHeight="false" outlineLevel="0" collapsed="false">
      <c r="A99" s="262" t="n">
        <v>76</v>
      </c>
      <c r="B99" s="361" t="n">
        <v>97</v>
      </c>
      <c r="C99" s="261" t="s">
        <v>446</v>
      </c>
      <c r="D99" s="261" t="s">
        <v>288</v>
      </c>
      <c r="E99" s="358" t="s">
        <v>448</v>
      </c>
      <c r="F99" s="261" t="s">
        <v>290</v>
      </c>
      <c r="G99" s="261" t="s">
        <v>144</v>
      </c>
      <c r="H99" s="261" t="n">
        <v>1</v>
      </c>
      <c r="I99" s="261" t="n">
        <v>3</v>
      </c>
      <c r="J99" s="361" t="n">
        <v>1</v>
      </c>
      <c r="K99" s="262" t="n">
        <v>80</v>
      </c>
      <c r="L99" s="262" t="n">
        <v>120</v>
      </c>
      <c r="M99" s="262" t="n">
        <v>130</v>
      </c>
      <c r="N99" s="262" t="n">
        <v>55</v>
      </c>
      <c r="O99" s="262" t="n">
        <v>65</v>
      </c>
      <c r="P99" s="361" t="n">
        <v>45</v>
      </c>
      <c r="Q99" s="261" t="s">
        <v>149</v>
      </c>
      <c r="R99" s="261" t="s">
        <v>156</v>
      </c>
      <c r="S99" s="363" t="n">
        <f aca="false" t="array" ref="S99:S99">IF(COUNTIF('0.3.0 GO Calculation Values'!$J$2:$J$99,C99),(INDEX('0.3.0 GO Calculation Values'!$K$2:$K$99,MATCH(C99,'0.3.0 GO Calculation Values'!$J$2:$J$99,0))),1)</f>
        <v>1</v>
      </c>
      <c r="T99" s="262" t="n">
        <f aca="false">ROUND(ROUND(2*((7/8)*MAX(L99,N99)+(1/8)*MIN(L99,N99)),0)*(1+(P99-75)/500),0)</f>
        <v>211</v>
      </c>
      <c r="U99" s="262" t="n">
        <f aca="false">ROUND(ROUND(2*((5/8)*MAX(M99,O99)+(3/8)*MIN(M99,O99)),0)*(1+(P99-75)/500),0)</f>
        <v>198</v>
      </c>
      <c r="V99" s="361" t="n">
        <f aca="false">ROUNDDOWN(K99*1.75+50,0)</f>
        <v>190</v>
      </c>
      <c r="W99" s="261" t="n">
        <v>0</v>
      </c>
      <c r="X99" s="261" t="s">
        <v>441</v>
      </c>
      <c r="Y99" s="364" t="s">
        <v>436</v>
      </c>
      <c r="Z99" s="364" t="n">
        <v>1</v>
      </c>
      <c r="AA99" s="364"/>
      <c r="AB99" s="365"/>
      <c r="AC99" s="364"/>
      <c r="AD99" s="364" t="n">
        <v>100</v>
      </c>
      <c r="AE99" s="366"/>
      <c r="AF99" s="364" t="s">
        <v>449</v>
      </c>
      <c r="AG99" s="261" t="s">
        <v>450</v>
      </c>
      <c r="AH99" s="362" t="s">
        <v>450</v>
      </c>
    </row>
    <row r="100" customFormat="false" ht="15.75" hidden="false" customHeight="false" outlineLevel="0" collapsed="false">
      <c r="A100" s="262" t="n">
        <v>77</v>
      </c>
      <c r="B100" s="361" t="n">
        <v>98</v>
      </c>
      <c r="C100" s="261" t="s">
        <v>451</v>
      </c>
      <c r="D100" s="261" t="s">
        <v>60</v>
      </c>
      <c r="E100" s="362" t="s">
        <v>451</v>
      </c>
      <c r="F100" s="261" t="s">
        <v>228</v>
      </c>
      <c r="G100" s="261" t="s">
        <v>144</v>
      </c>
      <c r="H100" s="261" t="n">
        <v>0</v>
      </c>
      <c r="I100" s="261" t="n">
        <v>1</v>
      </c>
      <c r="J100" s="361" t="n">
        <v>0</v>
      </c>
      <c r="K100" s="262" t="n">
        <v>50</v>
      </c>
      <c r="L100" s="262" t="n">
        <v>85</v>
      </c>
      <c r="M100" s="262" t="n">
        <v>55</v>
      </c>
      <c r="N100" s="262" t="n">
        <v>65</v>
      </c>
      <c r="O100" s="262" t="n">
        <v>65</v>
      </c>
      <c r="P100" s="361" t="n">
        <v>90</v>
      </c>
      <c r="Q100" s="261" t="s">
        <v>153</v>
      </c>
      <c r="R100" s="261"/>
      <c r="S100" s="363" t="n">
        <f aca="false" t="array" ref="S100:S100">IF(COUNTIF('0.3.0 GO Calculation Values'!$J$2:$J$99,C100),(INDEX('0.3.0 GO Calculation Values'!$K$2:$K$99,MATCH(C100,'0.3.0 GO Calculation Values'!$J$2:$J$99,0))),1)</f>
        <v>1</v>
      </c>
      <c r="T100" s="262" t="n">
        <f aca="false">ROUND(ROUND(2*((7/8)*MAX(L100,N100)+(1/8)*MIN(L100,N100)),0)*(1+(P100-75)/500),0)</f>
        <v>170</v>
      </c>
      <c r="U100" s="262" t="n">
        <f aca="false">ROUND(ROUND(2*((5/8)*MAX(M100,O100)+(3/8)*MIN(M100,O100)),0)*(1+(P100-75)/500),0)</f>
        <v>127</v>
      </c>
      <c r="V100" s="361" t="n">
        <f aca="false">ROUNDDOWN(K100*1.75+50,0)</f>
        <v>137</v>
      </c>
      <c r="W100" s="261" t="n">
        <v>1</v>
      </c>
      <c r="X100" s="261" t="s">
        <v>60</v>
      </c>
      <c r="Y100" s="364" t="s">
        <v>451</v>
      </c>
      <c r="Z100" s="364" t="n">
        <v>3</v>
      </c>
      <c r="AA100" s="364"/>
      <c r="AB100" s="365" t="n">
        <v>5</v>
      </c>
      <c r="AC100" s="364"/>
      <c r="AD100" s="364" t="n">
        <v>0</v>
      </c>
      <c r="AE100" s="366"/>
      <c r="AF100" s="364" t="s">
        <v>452</v>
      </c>
      <c r="AG100" s="364" t="s">
        <v>452</v>
      </c>
      <c r="AH100" s="366" t="s">
        <v>452</v>
      </c>
    </row>
    <row r="101" customFormat="false" ht="15.75" hidden="false" customHeight="false" outlineLevel="0" collapsed="false">
      <c r="A101" s="262" t="n">
        <v>78</v>
      </c>
      <c r="B101" s="361" t="n">
        <v>99</v>
      </c>
      <c r="C101" s="261" t="s">
        <v>453</v>
      </c>
      <c r="D101" s="261" t="s">
        <v>60</v>
      </c>
      <c r="E101" s="362" t="s">
        <v>453</v>
      </c>
      <c r="F101" s="261" t="s">
        <v>228</v>
      </c>
      <c r="G101" s="261" t="s">
        <v>144</v>
      </c>
      <c r="H101" s="261" t="n">
        <v>0</v>
      </c>
      <c r="I101" s="261" t="n">
        <v>2</v>
      </c>
      <c r="J101" s="361" t="n">
        <v>1</v>
      </c>
      <c r="K101" s="262" t="n">
        <v>65</v>
      </c>
      <c r="L101" s="262" t="n">
        <v>100</v>
      </c>
      <c r="M101" s="262" t="n">
        <v>70</v>
      </c>
      <c r="N101" s="262" t="n">
        <v>80</v>
      </c>
      <c r="O101" s="262" t="n">
        <v>80</v>
      </c>
      <c r="P101" s="361" t="n">
        <v>105</v>
      </c>
      <c r="Q101" s="261" t="s">
        <v>153</v>
      </c>
      <c r="R101" s="261"/>
      <c r="S101" s="363" t="n">
        <f aca="false" t="array" ref="S101:S101">IF(COUNTIF('0.3.0 GO Calculation Values'!$J$2:$J$99,C101),(INDEX('0.3.0 GO Calculation Values'!$K$2:$K$99,MATCH(C101,'0.3.0 GO Calculation Values'!$J$2:$J$99,0))),1)</f>
        <v>1</v>
      </c>
      <c r="T101" s="262" t="n">
        <f aca="false">ROUND(ROUND(2*((7/8)*MAX(L101,N101)+(1/8)*MIN(L101,N101)),0)*(1+(P101-75)/500),0)</f>
        <v>207</v>
      </c>
      <c r="U101" s="262" t="n">
        <f aca="false">ROUND(ROUND(2*((5/8)*MAX(M101,O101)+(3/8)*MIN(M101,O101)),0)*(1+(P101-75)/500),0)</f>
        <v>162</v>
      </c>
      <c r="V101" s="361" t="n">
        <f aca="false">ROUNDDOWN(K101*1.75+50,0)</f>
        <v>163</v>
      </c>
      <c r="W101" s="261" t="n">
        <v>1</v>
      </c>
      <c r="X101" s="261" t="s">
        <v>451</v>
      </c>
      <c r="Y101" s="364" t="s">
        <v>451</v>
      </c>
      <c r="Z101" s="364" t="n">
        <v>3</v>
      </c>
      <c r="AA101" s="364"/>
      <c r="AB101" s="365" t="n">
        <v>5</v>
      </c>
      <c r="AC101" s="364"/>
      <c r="AD101" s="364" t="n">
        <v>50</v>
      </c>
      <c r="AE101" s="366"/>
      <c r="AF101" s="364" t="s">
        <v>454</v>
      </c>
      <c r="AG101" s="364" t="s">
        <v>454</v>
      </c>
      <c r="AH101" s="366" t="s">
        <v>454</v>
      </c>
    </row>
    <row r="102" customFormat="false" ht="15.75" hidden="false" customHeight="false" outlineLevel="0" collapsed="false">
      <c r="A102" s="262" t="n">
        <v>79</v>
      </c>
      <c r="B102" s="361" t="n">
        <v>100</v>
      </c>
      <c r="C102" s="261" t="s">
        <v>455</v>
      </c>
      <c r="D102" s="261" t="s">
        <v>60</v>
      </c>
      <c r="E102" s="362" t="s">
        <v>455</v>
      </c>
      <c r="F102" s="261" t="s">
        <v>228</v>
      </c>
      <c r="G102" s="261" t="s">
        <v>144</v>
      </c>
      <c r="H102" s="261" t="n">
        <v>0</v>
      </c>
      <c r="I102" s="261" t="n">
        <v>1</v>
      </c>
      <c r="J102" s="361" t="n">
        <v>0</v>
      </c>
      <c r="K102" s="262" t="n">
        <v>90</v>
      </c>
      <c r="L102" s="262" t="n">
        <v>65</v>
      </c>
      <c r="M102" s="262" t="n">
        <v>65</v>
      </c>
      <c r="N102" s="262" t="n">
        <v>40</v>
      </c>
      <c r="O102" s="262" t="n">
        <v>40</v>
      </c>
      <c r="P102" s="361" t="n">
        <v>15</v>
      </c>
      <c r="Q102" s="261" t="s">
        <v>154</v>
      </c>
      <c r="R102" s="261" t="s">
        <v>157</v>
      </c>
      <c r="S102" s="363" t="n">
        <f aca="false" t="array" ref="S102:S102">IF(COUNTIF('0.3.0 GO Calculation Values'!$J$2:$J$99,C102),(INDEX('0.3.0 GO Calculation Values'!$K$2:$K$99,MATCH(C102,'0.3.0 GO Calculation Values'!$J$2:$J$99,0))),1)</f>
        <v>1</v>
      </c>
      <c r="T102" s="262" t="n">
        <f aca="false">ROUND(ROUND(2*((7/8)*MAX(L102,N102)+(1/8)*MIN(L102,N102)),0)*(1+(P102-75)/500),0)</f>
        <v>109</v>
      </c>
      <c r="U102" s="262" t="n">
        <f aca="false">ROUND(ROUND(2*((5/8)*MAX(M102,O102)+(3/8)*MIN(M102,O102)),0)*(1+(P102-75)/500),0)</f>
        <v>98</v>
      </c>
      <c r="V102" s="361" t="n">
        <f aca="false">ROUNDDOWN(K102*1.75+50,0)</f>
        <v>207</v>
      </c>
      <c r="W102" s="261" t="n">
        <v>1</v>
      </c>
      <c r="X102" s="261" t="s">
        <v>60</v>
      </c>
      <c r="Y102" s="364" t="s">
        <v>455</v>
      </c>
      <c r="Z102" s="364" t="n">
        <v>3</v>
      </c>
      <c r="AA102" s="364"/>
      <c r="AB102" s="365" t="n">
        <v>2</v>
      </c>
      <c r="AC102" s="364"/>
      <c r="AD102" s="364" t="n">
        <v>0</v>
      </c>
      <c r="AE102" s="366"/>
      <c r="AF102" s="364" t="s">
        <v>456</v>
      </c>
      <c r="AG102" s="364" t="s">
        <v>456</v>
      </c>
      <c r="AH102" s="366" t="s">
        <v>456</v>
      </c>
    </row>
    <row r="103" customFormat="false" ht="15.75" hidden="false" customHeight="false" outlineLevel="0" collapsed="false">
      <c r="A103" s="262" t="n">
        <v>80</v>
      </c>
      <c r="B103" s="361" t="n">
        <v>101</v>
      </c>
      <c r="C103" s="261" t="s">
        <v>457</v>
      </c>
      <c r="D103" s="261" t="s">
        <v>7</v>
      </c>
      <c r="E103" s="367" t="s">
        <v>457</v>
      </c>
      <c r="F103" s="261" t="s">
        <v>228</v>
      </c>
      <c r="G103" s="261" t="s">
        <v>144</v>
      </c>
      <c r="H103" s="261" t="n">
        <v>0</v>
      </c>
      <c r="I103" s="261" t="n">
        <v>2</v>
      </c>
      <c r="J103" s="361" t="n">
        <v>1</v>
      </c>
      <c r="K103" s="262" t="n">
        <v>95</v>
      </c>
      <c r="L103" s="262" t="n">
        <v>75</v>
      </c>
      <c r="M103" s="262" t="n">
        <v>110</v>
      </c>
      <c r="N103" s="262" t="n">
        <v>100</v>
      </c>
      <c r="O103" s="262" t="n">
        <v>80</v>
      </c>
      <c r="P103" s="361" t="n">
        <v>30</v>
      </c>
      <c r="Q103" s="261" t="s">
        <v>154</v>
      </c>
      <c r="R103" s="261" t="s">
        <v>157</v>
      </c>
      <c r="S103" s="363" t="n">
        <f aca="false" t="array" ref="S103:S103">IF(COUNTIF('0.3.0 GO Calculation Values'!$J$2:$J$99,C103),(INDEX('0.3.0 GO Calculation Values'!$K$2:$K$99,MATCH(C103,'0.3.0 GO Calculation Values'!$J$2:$J$99,0))),1)</f>
        <v>1</v>
      </c>
      <c r="T103" s="262" t="n">
        <f aca="false">ROUND(ROUND(2*((7/8)*MAX(L103,N103)+(1/8)*MIN(L103,N103)),0)*(1+(P103-75)/500),0)</f>
        <v>177</v>
      </c>
      <c r="U103" s="262" t="n">
        <f aca="false">ROUND(ROUND(2*((5/8)*MAX(M103,O103)+(3/8)*MIN(M103,O103)),0)*(1+(P103-75)/500),0)</f>
        <v>180</v>
      </c>
      <c r="V103" s="361" t="n">
        <f aca="false">ROUNDDOWN(K103*1.75+50,0)</f>
        <v>216</v>
      </c>
      <c r="W103" s="261" t="n">
        <v>1</v>
      </c>
      <c r="X103" s="261" t="s">
        <v>455</v>
      </c>
      <c r="Y103" s="364" t="s">
        <v>455</v>
      </c>
      <c r="Z103" s="364" t="n">
        <v>3</v>
      </c>
      <c r="AA103" s="364"/>
      <c r="AB103" s="365" t="n">
        <v>2</v>
      </c>
      <c r="AC103" s="364"/>
      <c r="AD103" s="364" t="n">
        <v>50</v>
      </c>
      <c r="AE103" s="366"/>
      <c r="AF103" s="364" t="s">
        <v>458</v>
      </c>
      <c r="AG103" s="364" t="s">
        <v>458</v>
      </c>
      <c r="AH103" s="366" t="s">
        <v>458</v>
      </c>
    </row>
    <row r="104" customFormat="false" ht="15.75" hidden="false" customHeight="false" outlineLevel="0" collapsed="false">
      <c r="A104" s="262" t="n">
        <v>80</v>
      </c>
      <c r="B104" s="361" t="n">
        <v>102</v>
      </c>
      <c r="C104" s="261" t="s">
        <v>457</v>
      </c>
      <c r="D104" s="261" t="s">
        <v>459</v>
      </c>
      <c r="E104" s="358" t="s">
        <v>460</v>
      </c>
      <c r="F104" s="261" t="s">
        <v>237</v>
      </c>
      <c r="G104" s="261" t="s">
        <v>144</v>
      </c>
      <c r="H104" s="261" t="n">
        <v>2</v>
      </c>
      <c r="I104" s="261" t="n">
        <v>3</v>
      </c>
      <c r="J104" s="361" t="n">
        <v>1</v>
      </c>
      <c r="K104" s="262" t="n">
        <v>95</v>
      </c>
      <c r="L104" s="262" t="n">
        <v>75</v>
      </c>
      <c r="M104" s="262" t="n">
        <v>180</v>
      </c>
      <c r="N104" s="262" t="n">
        <v>130</v>
      </c>
      <c r="O104" s="262" t="n">
        <v>80</v>
      </c>
      <c r="P104" s="361" t="n">
        <v>30</v>
      </c>
      <c r="Q104" s="261" t="s">
        <v>154</v>
      </c>
      <c r="R104" s="261" t="s">
        <v>157</v>
      </c>
      <c r="S104" s="363" t="n">
        <f aca="false" t="array" ref="S104:S104">IF(COUNTIF('0.3.0 GO Calculation Values'!$J$2:$J$99,C104),(INDEX('0.3.0 GO Calculation Values'!$K$2:$K$99,MATCH(C104,'0.3.0 GO Calculation Values'!$J$2:$J$99,0))),1)</f>
        <v>1</v>
      </c>
      <c r="T104" s="262" t="n">
        <f aca="false">ROUND(ROUND(2*((7/8)*MAX(L104,N104)+(1/8)*MIN(L104,N104)),0)*(1+(P104-75)/500),0)</f>
        <v>224</v>
      </c>
      <c r="U104" s="262" t="n">
        <f aca="false">ROUND(ROUND(2*((5/8)*MAX(M104,O104)+(3/8)*MIN(M104,O104)),0)*(1+(P104-75)/500),0)</f>
        <v>259</v>
      </c>
      <c r="V104" s="361" t="n">
        <f aca="false">ROUNDDOWN(K104*1.75+50,0)</f>
        <v>216</v>
      </c>
      <c r="W104" s="261" t="n">
        <v>0</v>
      </c>
      <c r="X104" s="261" t="s">
        <v>457</v>
      </c>
      <c r="Y104" s="364" t="s">
        <v>455</v>
      </c>
      <c r="Z104" s="364" t="n">
        <v>3</v>
      </c>
      <c r="AA104" s="364"/>
      <c r="AB104" s="365" t="n">
        <v>2</v>
      </c>
      <c r="AC104" s="364"/>
      <c r="AD104" s="364" t="n">
        <v>50</v>
      </c>
      <c r="AE104" s="366"/>
      <c r="AF104" s="364" t="s">
        <v>461</v>
      </c>
      <c r="AG104" s="364" t="s">
        <v>461</v>
      </c>
      <c r="AH104" s="366" t="s">
        <v>461</v>
      </c>
    </row>
    <row r="105" customFormat="false" ht="15.75" hidden="false" customHeight="false" outlineLevel="0" collapsed="false">
      <c r="A105" s="262" t="n">
        <v>81</v>
      </c>
      <c r="B105" s="361" t="n">
        <v>103</v>
      </c>
      <c r="C105" s="261" t="s">
        <v>462</v>
      </c>
      <c r="D105" s="261" t="s">
        <v>60</v>
      </c>
      <c r="E105" s="362" t="s">
        <v>462</v>
      </c>
      <c r="F105" s="261" t="s">
        <v>228</v>
      </c>
      <c r="G105" s="261" t="s">
        <v>144</v>
      </c>
      <c r="H105" s="261" t="n">
        <v>0</v>
      </c>
      <c r="I105" s="261" t="n">
        <v>1</v>
      </c>
      <c r="J105" s="361" t="n">
        <v>0</v>
      </c>
      <c r="K105" s="262" t="n">
        <v>25</v>
      </c>
      <c r="L105" s="262" t="n">
        <v>35</v>
      </c>
      <c r="M105" s="262" t="n">
        <v>70</v>
      </c>
      <c r="N105" s="262" t="n">
        <v>95</v>
      </c>
      <c r="O105" s="262" t="n">
        <v>55</v>
      </c>
      <c r="P105" s="361" t="n">
        <v>45</v>
      </c>
      <c r="Q105" s="261" t="s">
        <v>156</v>
      </c>
      <c r="R105" s="261" t="s">
        <v>152</v>
      </c>
      <c r="S105" s="363" t="n">
        <f aca="false" t="array" ref="S105:S105">IF(COUNTIF('0.3.0 GO Calculation Values'!$J$2:$J$99,C105),(INDEX('0.3.0 GO Calculation Values'!$K$2:$K$99,MATCH(C105,'0.3.0 GO Calculation Values'!$J$2:$J$99,0))),1)</f>
        <v>1</v>
      </c>
      <c r="T105" s="262" t="n">
        <f aca="false">ROUND(ROUND(2*((7/8)*MAX(L105,N105)+(1/8)*MIN(L105,N105)),0)*(1+(P105-75)/500),0)</f>
        <v>165</v>
      </c>
      <c r="U105" s="262" t="n">
        <f aca="false">ROUND(ROUND(2*((5/8)*MAX(M105,O105)+(3/8)*MIN(M105,O105)),0)*(1+(P105-75)/500),0)</f>
        <v>121</v>
      </c>
      <c r="V105" s="361" t="n">
        <f aca="false">ROUNDDOWN(K105*1.75+50,0)</f>
        <v>93</v>
      </c>
      <c r="W105" s="261" t="n">
        <v>1</v>
      </c>
      <c r="X105" s="261" t="s">
        <v>60</v>
      </c>
      <c r="Y105" s="364" t="s">
        <v>462</v>
      </c>
      <c r="Z105" s="364" t="n">
        <v>3</v>
      </c>
      <c r="AA105" s="364"/>
      <c r="AB105" s="365" t="s">
        <v>60</v>
      </c>
      <c r="AC105" s="364"/>
      <c r="AD105" s="364" t="n">
        <v>0</v>
      </c>
      <c r="AE105" s="366"/>
      <c r="AF105" s="364" t="s">
        <v>463</v>
      </c>
      <c r="AG105" s="364" t="s">
        <v>463</v>
      </c>
      <c r="AH105" s="366" t="s">
        <v>463</v>
      </c>
    </row>
    <row r="106" customFormat="false" ht="15.75" hidden="false" customHeight="false" outlineLevel="0" collapsed="false">
      <c r="A106" s="262" t="n">
        <v>82</v>
      </c>
      <c r="B106" s="361" t="n">
        <v>104</v>
      </c>
      <c r="C106" s="261" t="s">
        <v>464</v>
      </c>
      <c r="D106" s="261" t="s">
        <v>60</v>
      </c>
      <c r="E106" s="362" t="s">
        <v>464</v>
      </c>
      <c r="F106" s="261" t="s">
        <v>228</v>
      </c>
      <c r="G106" s="261" t="s">
        <v>144</v>
      </c>
      <c r="H106" s="261" t="n">
        <v>0</v>
      </c>
      <c r="I106" s="261" t="n">
        <v>2</v>
      </c>
      <c r="J106" s="361" t="n">
        <v>1</v>
      </c>
      <c r="K106" s="262" t="n">
        <v>50</v>
      </c>
      <c r="L106" s="262" t="n">
        <v>60</v>
      </c>
      <c r="M106" s="262" t="n">
        <v>95</v>
      </c>
      <c r="N106" s="262" t="n">
        <v>120</v>
      </c>
      <c r="O106" s="262" t="n">
        <v>70</v>
      </c>
      <c r="P106" s="361" t="n">
        <v>70</v>
      </c>
      <c r="Q106" s="261" t="s">
        <v>156</v>
      </c>
      <c r="R106" s="261" t="s">
        <v>152</v>
      </c>
      <c r="S106" s="363" t="n">
        <f aca="false" t="array" ref="S106:S106">IF(COUNTIF('0.3.0 GO Calculation Values'!$J$2:$J$99,C106),(INDEX('0.3.0 GO Calculation Values'!$K$2:$K$99,MATCH(C106,'0.3.0 GO Calculation Values'!$J$2:$J$99,0))),1)</f>
        <v>1</v>
      </c>
      <c r="T106" s="262" t="n">
        <f aca="false">ROUND(ROUND(2*((7/8)*MAX(L106,N106)+(1/8)*MIN(L106,N106)),0)*(1+(P106-75)/500),0)</f>
        <v>223</v>
      </c>
      <c r="U106" s="262" t="n">
        <f aca="false">ROUND(ROUND(2*((5/8)*MAX(M106,O106)+(3/8)*MIN(M106,O106)),0)*(1+(P106-75)/500),0)</f>
        <v>169</v>
      </c>
      <c r="V106" s="361" t="n">
        <f aca="false">ROUNDDOWN(K106*1.75+50,0)</f>
        <v>137</v>
      </c>
      <c r="W106" s="261" t="n">
        <v>1</v>
      </c>
      <c r="X106" s="261" t="s">
        <v>462</v>
      </c>
      <c r="Y106" s="364" t="s">
        <v>462</v>
      </c>
      <c r="Z106" s="364" t="n">
        <v>3</v>
      </c>
      <c r="AA106" s="364"/>
      <c r="AB106" s="365" t="s">
        <v>60</v>
      </c>
      <c r="AC106" s="364"/>
      <c r="AD106" s="364" t="n">
        <v>50</v>
      </c>
      <c r="AE106" s="366"/>
      <c r="AF106" s="364" t="s">
        <v>465</v>
      </c>
      <c r="AG106" s="364" t="s">
        <v>465</v>
      </c>
      <c r="AH106" s="366" t="s">
        <v>465</v>
      </c>
    </row>
    <row r="107" customFormat="false" ht="15.75" hidden="false" customHeight="false" outlineLevel="0" collapsed="false">
      <c r="A107" s="262" t="n">
        <v>83</v>
      </c>
      <c r="B107" s="361" t="n">
        <v>105</v>
      </c>
      <c r="C107" s="261" t="s">
        <v>466</v>
      </c>
      <c r="D107" s="261" t="s">
        <v>60</v>
      </c>
      <c r="E107" s="362" t="s">
        <v>466</v>
      </c>
      <c r="F107" s="261" t="s">
        <v>228</v>
      </c>
      <c r="G107" s="261" t="s">
        <v>144</v>
      </c>
      <c r="H107" s="261" t="n">
        <v>0</v>
      </c>
      <c r="I107" s="261" t="n">
        <v>1</v>
      </c>
      <c r="J107" s="361" t="n">
        <v>1</v>
      </c>
      <c r="K107" s="262" t="n">
        <v>52</v>
      </c>
      <c r="L107" s="262" t="n">
        <v>65</v>
      </c>
      <c r="M107" s="262" t="n">
        <v>55</v>
      </c>
      <c r="N107" s="262" t="n">
        <v>58</v>
      </c>
      <c r="O107" s="262" t="n">
        <v>62</v>
      </c>
      <c r="P107" s="361" t="n">
        <v>60</v>
      </c>
      <c r="Q107" s="261" t="s">
        <v>144</v>
      </c>
      <c r="R107" s="261" t="s">
        <v>146</v>
      </c>
      <c r="S107" s="363" t="n">
        <f aca="false" t="array" ref="S107:S107">IF(COUNTIF('0.3.0 GO Calculation Values'!$J$2:$J$99,C107),(INDEX('0.3.0 GO Calculation Values'!$K$2:$K$99,MATCH(C107,'0.3.0 GO Calculation Values'!$J$2:$J$99,0))),1)</f>
        <v>1</v>
      </c>
      <c r="T107" s="262" t="n">
        <f aca="false">ROUND(ROUND(2*((7/8)*MAX(L107,N107)+(1/8)*MIN(L107,N107)),0)*(1+(P107-75)/500),0)</f>
        <v>124</v>
      </c>
      <c r="U107" s="262" t="n">
        <f aca="false">ROUND(ROUND(2*((5/8)*MAX(M107,O107)+(3/8)*MIN(M107,O107)),0)*(1+(P107-75)/500),0)</f>
        <v>115</v>
      </c>
      <c r="V107" s="361" t="n">
        <f aca="false">ROUNDDOWN(K107*1.75+50,0)</f>
        <v>141</v>
      </c>
      <c r="W107" s="261" t="n">
        <v>1</v>
      </c>
      <c r="X107" s="261" t="s">
        <v>60</v>
      </c>
      <c r="Y107" s="364" t="s">
        <v>466</v>
      </c>
      <c r="Z107" s="364" t="n">
        <v>5</v>
      </c>
      <c r="AA107" s="364"/>
      <c r="AB107" s="365" t="s">
        <v>60</v>
      </c>
      <c r="AC107" s="364"/>
      <c r="AD107" s="364" t="n">
        <v>0</v>
      </c>
      <c r="AE107" s="366"/>
      <c r="AF107" s="261" t="s">
        <v>467</v>
      </c>
      <c r="AG107" s="261" t="s">
        <v>467</v>
      </c>
      <c r="AH107" s="362" t="s">
        <v>467</v>
      </c>
    </row>
    <row r="108" customFormat="false" ht="15.75" hidden="false" customHeight="false" outlineLevel="0" collapsed="false">
      <c r="A108" s="262" t="n">
        <v>84</v>
      </c>
      <c r="B108" s="361" t="n">
        <v>106</v>
      </c>
      <c r="C108" s="261" t="s">
        <v>468</v>
      </c>
      <c r="D108" s="261" t="s">
        <v>60</v>
      </c>
      <c r="E108" s="362" t="s">
        <v>468</v>
      </c>
      <c r="F108" s="261" t="s">
        <v>228</v>
      </c>
      <c r="G108" s="261" t="s">
        <v>144</v>
      </c>
      <c r="H108" s="261" t="n">
        <v>0</v>
      </c>
      <c r="I108" s="261" t="n">
        <v>1</v>
      </c>
      <c r="J108" s="361" t="n">
        <v>0</v>
      </c>
      <c r="K108" s="262" t="n">
        <v>35</v>
      </c>
      <c r="L108" s="262" t="n">
        <v>85</v>
      </c>
      <c r="M108" s="262" t="n">
        <v>45</v>
      </c>
      <c r="N108" s="262" t="n">
        <v>35</v>
      </c>
      <c r="O108" s="262" t="n">
        <v>35</v>
      </c>
      <c r="P108" s="361" t="n">
        <v>75</v>
      </c>
      <c r="Q108" s="261" t="s">
        <v>144</v>
      </c>
      <c r="R108" s="261" t="s">
        <v>146</v>
      </c>
      <c r="S108" s="363" t="n">
        <f aca="false" t="array" ref="S108:S108">IF(COUNTIF('0.3.0 GO Calculation Values'!$J$2:$J$99,C108),(INDEX('0.3.0 GO Calculation Values'!$K$2:$K$99,MATCH(C108,'0.3.0 GO Calculation Values'!$J$2:$J$99,0))),1)</f>
        <v>1</v>
      </c>
      <c r="T108" s="262" t="n">
        <f aca="false">ROUND(ROUND(2*((7/8)*MAX(L108,N108)+(1/8)*MIN(L108,N108)),0)*(1+(P108-75)/500),0)</f>
        <v>158</v>
      </c>
      <c r="U108" s="262" t="n">
        <f aca="false">ROUND(ROUND(2*((5/8)*MAX(M108,O108)+(3/8)*MIN(M108,O108)),0)*(1+(P108-75)/500),0)</f>
        <v>83</v>
      </c>
      <c r="V108" s="361" t="n">
        <f aca="false">ROUNDDOWN(K108*1.75+50,0)</f>
        <v>111</v>
      </c>
      <c r="W108" s="261" t="n">
        <v>1</v>
      </c>
      <c r="X108" s="261" t="s">
        <v>60</v>
      </c>
      <c r="Y108" s="364" t="s">
        <v>468</v>
      </c>
      <c r="Z108" s="364" t="n">
        <v>3</v>
      </c>
      <c r="AA108" s="364"/>
      <c r="AB108" s="365" t="s">
        <v>60</v>
      </c>
      <c r="AC108" s="364"/>
      <c r="AD108" s="364" t="n">
        <v>0</v>
      </c>
      <c r="AE108" s="366"/>
      <c r="AF108" s="364" t="s">
        <v>469</v>
      </c>
      <c r="AG108" s="364" t="s">
        <v>469</v>
      </c>
      <c r="AH108" s="366" t="s">
        <v>469</v>
      </c>
    </row>
    <row r="109" customFormat="false" ht="15.75" hidden="false" customHeight="false" outlineLevel="0" collapsed="false">
      <c r="A109" s="262" t="n">
        <v>85</v>
      </c>
      <c r="B109" s="361" t="n">
        <v>107</v>
      </c>
      <c r="C109" s="261" t="s">
        <v>470</v>
      </c>
      <c r="D109" s="261" t="s">
        <v>60</v>
      </c>
      <c r="E109" s="362" t="s">
        <v>470</v>
      </c>
      <c r="F109" s="261" t="s">
        <v>228</v>
      </c>
      <c r="G109" s="261" t="s">
        <v>144</v>
      </c>
      <c r="H109" s="261" t="n">
        <v>0</v>
      </c>
      <c r="I109" s="261" t="n">
        <v>2</v>
      </c>
      <c r="J109" s="361" t="n">
        <v>1</v>
      </c>
      <c r="K109" s="262" t="n">
        <v>60</v>
      </c>
      <c r="L109" s="262" t="n">
        <v>110</v>
      </c>
      <c r="M109" s="262" t="n">
        <v>70</v>
      </c>
      <c r="N109" s="262" t="n">
        <v>60</v>
      </c>
      <c r="O109" s="262" t="n">
        <v>60</v>
      </c>
      <c r="P109" s="361" t="n">
        <v>100</v>
      </c>
      <c r="Q109" s="261" t="s">
        <v>144</v>
      </c>
      <c r="R109" s="261" t="s">
        <v>146</v>
      </c>
      <c r="S109" s="363" t="n">
        <f aca="false" t="array" ref="S109:S109">IF(COUNTIF('0.3.0 GO Calculation Values'!$J$2:$J$99,C109),(INDEX('0.3.0 GO Calculation Values'!$K$2:$K$99,MATCH(C109,'0.3.0 GO Calculation Values'!$J$2:$J$99,0))),1)</f>
        <v>1</v>
      </c>
      <c r="T109" s="262" t="n">
        <f aca="false">ROUND(ROUND(2*((7/8)*MAX(L109,N109)+(1/8)*MIN(L109,N109)),0)*(1+(P109-75)/500),0)</f>
        <v>218</v>
      </c>
      <c r="U109" s="262" t="n">
        <f aca="false">ROUND(ROUND(2*((5/8)*MAX(M109,O109)+(3/8)*MIN(M109,O109)),0)*(1+(P109-75)/500),0)</f>
        <v>140</v>
      </c>
      <c r="V109" s="361" t="n">
        <f aca="false">ROUNDDOWN(K109*1.75+50,0)</f>
        <v>155</v>
      </c>
      <c r="W109" s="261" t="n">
        <v>1</v>
      </c>
      <c r="X109" s="261" t="s">
        <v>468</v>
      </c>
      <c r="Y109" s="364" t="s">
        <v>468</v>
      </c>
      <c r="Z109" s="364" t="n">
        <v>3</v>
      </c>
      <c r="AA109" s="364"/>
      <c r="AB109" s="365" t="s">
        <v>60</v>
      </c>
      <c r="AC109" s="364"/>
      <c r="AD109" s="364" t="n">
        <v>50</v>
      </c>
      <c r="AE109" s="366"/>
      <c r="AF109" s="364" t="s">
        <v>471</v>
      </c>
      <c r="AG109" s="364" t="s">
        <v>471</v>
      </c>
      <c r="AH109" s="366" t="s">
        <v>471</v>
      </c>
    </row>
    <row r="110" customFormat="false" ht="15.75" hidden="false" customHeight="false" outlineLevel="0" collapsed="false">
      <c r="A110" s="262" t="n">
        <v>86</v>
      </c>
      <c r="B110" s="361" t="n">
        <v>108</v>
      </c>
      <c r="C110" s="261" t="s">
        <v>472</v>
      </c>
      <c r="D110" s="261" t="s">
        <v>60</v>
      </c>
      <c r="E110" s="362" t="s">
        <v>472</v>
      </c>
      <c r="F110" s="261" t="s">
        <v>228</v>
      </c>
      <c r="G110" s="261" t="s">
        <v>144</v>
      </c>
      <c r="H110" s="261" t="n">
        <v>0</v>
      </c>
      <c r="I110" s="261" t="n">
        <v>1</v>
      </c>
      <c r="J110" s="361" t="n">
        <v>0</v>
      </c>
      <c r="K110" s="262" t="n">
        <v>65</v>
      </c>
      <c r="L110" s="262" t="n">
        <v>45</v>
      </c>
      <c r="M110" s="262" t="n">
        <v>55</v>
      </c>
      <c r="N110" s="262" t="n">
        <v>45</v>
      </c>
      <c r="O110" s="262" t="n">
        <v>70</v>
      </c>
      <c r="P110" s="361" t="n">
        <v>45</v>
      </c>
      <c r="Q110" s="261" t="s">
        <v>154</v>
      </c>
      <c r="R110" s="261"/>
      <c r="S110" s="363" t="n">
        <f aca="false" t="array" ref="S110:S110">IF(COUNTIF('0.3.0 GO Calculation Values'!$J$2:$J$99,C110),(INDEX('0.3.0 GO Calculation Values'!$K$2:$K$99,MATCH(C110,'0.3.0 GO Calculation Values'!$J$2:$J$99,0))),1)</f>
        <v>1</v>
      </c>
      <c r="T110" s="262" t="n">
        <f aca="false">ROUND(ROUND(2*((7/8)*MAX(L110,N110)+(1/8)*MIN(L110,N110)),0)*(1+(P110-75)/500),0)</f>
        <v>85</v>
      </c>
      <c r="U110" s="262" t="n">
        <f aca="false">ROUND(ROUND(2*((5/8)*MAX(M110,O110)+(3/8)*MIN(M110,O110)),0)*(1+(P110-75)/500),0)</f>
        <v>121</v>
      </c>
      <c r="V110" s="361" t="n">
        <f aca="false">ROUNDDOWN(K110*1.75+50,0)</f>
        <v>163</v>
      </c>
      <c r="W110" s="261" t="n">
        <v>1</v>
      </c>
      <c r="X110" s="261" t="s">
        <v>60</v>
      </c>
      <c r="Y110" s="364" t="s">
        <v>472</v>
      </c>
      <c r="Z110" s="364" t="n">
        <v>3</v>
      </c>
      <c r="AA110" s="364"/>
      <c r="AB110" s="365" t="n">
        <v>5</v>
      </c>
      <c r="AC110" s="364"/>
      <c r="AD110" s="364" t="n">
        <v>0</v>
      </c>
      <c r="AE110" s="366"/>
      <c r="AF110" s="364" t="s">
        <v>473</v>
      </c>
      <c r="AG110" s="364" t="s">
        <v>473</v>
      </c>
      <c r="AH110" s="366" t="s">
        <v>473</v>
      </c>
    </row>
    <row r="111" customFormat="false" ht="15.75" hidden="false" customHeight="false" outlineLevel="0" collapsed="false">
      <c r="A111" s="262" t="n">
        <v>87</v>
      </c>
      <c r="B111" s="361" t="n">
        <v>109</v>
      </c>
      <c r="C111" s="261" t="s">
        <v>474</v>
      </c>
      <c r="D111" s="261" t="s">
        <v>60</v>
      </c>
      <c r="E111" s="362" t="s">
        <v>474</v>
      </c>
      <c r="F111" s="261" t="s">
        <v>228</v>
      </c>
      <c r="G111" s="261" t="s">
        <v>144</v>
      </c>
      <c r="H111" s="261" t="n">
        <v>0</v>
      </c>
      <c r="I111" s="261" t="n">
        <v>2</v>
      </c>
      <c r="J111" s="361" t="n">
        <v>1</v>
      </c>
      <c r="K111" s="262" t="n">
        <v>90</v>
      </c>
      <c r="L111" s="262" t="n">
        <v>70</v>
      </c>
      <c r="M111" s="262" t="n">
        <v>80</v>
      </c>
      <c r="N111" s="262" t="n">
        <v>70</v>
      </c>
      <c r="O111" s="262" t="n">
        <v>95</v>
      </c>
      <c r="P111" s="361" t="n">
        <v>70</v>
      </c>
      <c r="Q111" s="261" t="s">
        <v>154</v>
      </c>
      <c r="R111" s="261" t="s">
        <v>158</v>
      </c>
      <c r="S111" s="363" t="n">
        <f aca="false" t="array" ref="S111:S111">IF(COUNTIF('0.3.0 GO Calculation Values'!$J$2:$J$99,C111),(INDEX('0.3.0 GO Calculation Values'!$K$2:$K$99,MATCH(C111,'0.3.0 GO Calculation Values'!$J$2:$J$99,0))),1)</f>
        <v>1</v>
      </c>
      <c r="T111" s="262" t="n">
        <f aca="false">ROUND(ROUND(2*((7/8)*MAX(L111,N111)+(1/8)*MIN(L111,N111)),0)*(1+(P111-75)/500),0)</f>
        <v>139</v>
      </c>
      <c r="U111" s="262" t="n">
        <f aca="false">ROUND(ROUND(2*((5/8)*MAX(M111,O111)+(3/8)*MIN(M111,O111)),0)*(1+(P111-75)/500),0)</f>
        <v>177</v>
      </c>
      <c r="V111" s="361" t="n">
        <f aca="false">ROUNDDOWN(K111*1.75+50,0)</f>
        <v>207</v>
      </c>
      <c r="W111" s="261" t="n">
        <v>1</v>
      </c>
      <c r="X111" s="261" t="s">
        <v>472</v>
      </c>
      <c r="Y111" s="364" t="s">
        <v>472</v>
      </c>
      <c r="Z111" s="364" t="n">
        <v>3</v>
      </c>
      <c r="AA111" s="364"/>
      <c r="AB111" s="365" t="n">
        <v>5</v>
      </c>
      <c r="AC111" s="364"/>
      <c r="AD111" s="364" t="n">
        <v>50</v>
      </c>
      <c r="AE111" s="366"/>
      <c r="AF111" s="364" t="s">
        <v>475</v>
      </c>
      <c r="AG111" s="364" t="s">
        <v>475</v>
      </c>
      <c r="AH111" s="366" t="s">
        <v>475</v>
      </c>
    </row>
    <row r="112" customFormat="false" ht="15.75" hidden="false" customHeight="false" outlineLevel="0" collapsed="false">
      <c r="A112" s="262" t="n">
        <v>88</v>
      </c>
      <c r="B112" s="361" t="n">
        <v>110</v>
      </c>
      <c r="C112" s="261" t="s">
        <v>476</v>
      </c>
      <c r="D112" s="261" t="s">
        <v>7</v>
      </c>
      <c r="E112" s="367" t="s">
        <v>476</v>
      </c>
      <c r="F112" s="261" t="s">
        <v>228</v>
      </c>
      <c r="G112" s="261" t="s">
        <v>144</v>
      </c>
      <c r="H112" s="261" t="n">
        <v>0</v>
      </c>
      <c r="I112" s="261" t="n">
        <v>1</v>
      </c>
      <c r="J112" s="361" t="n">
        <v>0</v>
      </c>
      <c r="K112" s="262" t="n">
        <v>80</v>
      </c>
      <c r="L112" s="262" t="n">
        <v>80</v>
      </c>
      <c r="M112" s="262" t="n">
        <v>50</v>
      </c>
      <c r="N112" s="262" t="n">
        <v>40</v>
      </c>
      <c r="O112" s="262" t="n">
        <v>50</v>
      </c>
      <c r="P112" s="361" t="n">
        <v>25</v>
      </c>
      <c r="Q112" s="261" t="s">
        <v>147</v>
      </c>
      <c r="R112" s="261"/>
      <c r="S112" s="363" t="n">
        <f aca="false" t="array" ref="S112:S112">IF(COUNTIF('0.3.0 GO Calculation Values'!$J$2:$J$99,C112),(INDEX('0.3.0 GO Calculation Values'!$K$2:$K$99,MATCH(C112,'0.3.0 GO Calculation Values'!$J$2:$J$99,0))),1)</f>
        <v>1</v>
      </c>
      <c r="T112" s="262" t="n">
        <f aca="false">ROUND(ROUND(2*((7/8)*MAX(L112,N112)+(1/8)*MIN(L112,N112)),0)*(1+(P112-75)/500),0)</f>
        <v>135</v>
      </c>
      <c r="U112" s="262" t="n">
        <f aca="false">ROUND(ROUND(2*((5/8)*MAX(M112,O112)+(3/8)*MIN(M112,O112)),0)*(1+(P112-75)/500),0)</f>
        <v>90</v>
      </c>
      <c r="V112" s="361" t="n">
        <f aca="false">ROUNDDOWN(K112*1.75+50,0)</f>
        <v>190</v>
      </c>
      <c r="W112" s="261" t="n">
        <v>1</v>
      </c>
      <c r="X112" s="261" t="s">
        <v>60</v>
      </c>
      <c r="Y112" s="364" t="s">
        <v>476</v>
      </c>
      <c r="Z112" s="364" t="n">
        <v>3</v>
      </c>
      <c r="AA112" s="364"/>
      <c r="AB112" s="365" t="n">
        <v>5</v>
      </c>
      <c r="AC112" s="364"/>
      <c r="AD112" s="364" t="n">
        <v>0</v>
      </c>
      <c r="AE112" s="366"/>
      <c r="AF112" s="364" t="s">
        <v>477</v>
      </c>
      <c r="AG112" s="364" t="s">
        <v>477</v>
      </c>
      <c r="AH112" s="366" t="s">
        <v>477</v>
      </c>
    </row>
    <row r="113" customFormat="false" ht="15.75" hidden="false" customHeight="false" outlineLevel="0" collapsed="false">
      <c r="A113" s="262" t="n">
        <v>88</v>
      </c>
      <c r="B113" s="361" t="n">
        <v>111</v>
      </c>
      <c r="C113" s="261" t="s">
        <v>476</v>
      </c>
      <c r="D113" s="261" t="s">
        <v>288</v>
      </c>
      <c r="E113" s="358" t="s">
        <v>478</v>
      </c>
      <c r="F113" s="261" t="s">
        <v>290</v>
      </c>
      <c r="G113" s="261" t="s">
        <v>144</v>
      </c>
      <c r="H113" s="261" t="n">
        <v>1</v>
      </c>
      <c r="I113" s="261" t="n">
        <v>1</v>
      </c>
      <c r="J113" s="361" t="n">
        <v>0</v>
      </c>
      <c r="K113" s="262" t="n">
        <v>80</v>
      </c>
      <c r="L113" s="262" t="n">
        <v>80</v>
      </c>
      <c r="M113" s="262" t="n">
        <v>50</v>
      </c>
      <c r="N113" s="262" t="n">
        <v>40</v>
      </c>
      <c r="O113" s="262" t="n">
        <v>50</v>
      </c>
      <c r="P113" s="361" t="n">
        <v>25</v>
      </c>
      <c r="Q113" s="261" t="s">
        <v>147</v>
      </c>
      <c r="R113" s="261" t="s">
        <v>160</v>
      </c>
      <c r="S113" s="363" t="n">
        <f aca="false" t="array" ref="S113:S113">IF(COUNTIF('0.3.0 GO Calculation Values'!$J$2:$J$99,C113),(INDEX('0.3.0 GO Calculation Values'!$K$2:$K$99,MATCH(C113,'0.3.0 GO Calculation Values'!$J$2:$J$99,0))),1)</f>
        <v>1</v>
      </c>
      <c r="T113" s="262" t="n">
        <f aca="false">ROUND(ROUND(2*((7/8)*MAX(L113,N113)+(1/8)*MIN(L113,N113)),0)*(1+(P113-75)/500),0)</f>
        <v>135</v>
      </c>
      <c r="U113" s="262" t="n">
        <f aca="false">ROUND(ROUND(2*((5/8)*MAX(M113,O113)+(3/8)*MIN(M113,O113)),0)*(1+(P113-75)/500),0)</f>
        <v>90</v>
      </c>
      <c r="V113" s="361" t="n">
        <f aca="false">ROUNDDOWN(K113*1.75+50,0)</f>
        <v>190</v>
      </c>
      <c r="W113" s="261" t="n">
        <v>0</v>
      </c>
      <c r="X113" s="261" t="s">
        <v>60</v>
      </c>
      <c r="Y113" s="364" t="s">
        <v>476</v>
      </c>
      <c r="Z113" s="364" t="n">
        <v>3</v>
      </c>
      <c r="AA113" s="364"/>
      <c r="AB113" s="365"/>
      <c r="AC113" s="364"/>
      <c r="AD113" s="364" t="n">
        <v>0</v>
      </c>
      <c r="AE113" s="366"/>
      <c r="AF113" s="364" t="s">
        <v>479</v>
      </c>
      <c r="AG113" s="261" t="s">
        <v>480</v>
      </c>
      <c r="AH113" s="362" t="s">
        <v>480</v>
      </c>
    </row>
    <row r="114" customFormat="false" ht="15.75" hidden="false" customHeight="false" outlineLevel="0" collapsed="false">
      <c r="A114" s="262" t="n">
        <v>89</v>
      </c>
      <c r="B114" s="361" t="n">
        <v>112</v>
      </c>
      <c r="C114" s="261" t="s">
        <v>481</v>
      </c>
      <c r="D114" s="261" t="s">
        <v>7</v>
      </c>
      <c r="E114" s="367" t="s">
        <v>481</v>
      </c>
      <c r="F114" s="261" t="s">
        <v>228</v>
      </c>
      <c r="G114" s="261" t="s">
        <v>144</v>
      </c>
      <c r="H114" s="261" t="n">
        <v>0</v>
      </c>
      <c r="I114" s="261" t="n">
        <v>2</v>
      </c>
      <c r="J114" s="361" t="n">
        <v>1</v>
      </c>
      <c r="K114" s="262" t="n">
        <v>105</v>
      </c>
      <c r="L114" s="262" t="n">
        <v>105</v>
      </c>
      <c r="M114" s="262" t="n">
        <v>75</v>
      </c>
      <c r="N114" s="262" t="n">
        <v>65</v>
      </c>
      <c r="O114" s="262" t="n">
        <v>100</v>
      </c>
      <c r="P114" s="361" t="n">
        <v>50</v>
      </c>
      <c r="Q114" s="261" t="s">
        <v>147</v>
      </c>
      <c r="R114" s="261"/>
      <c r="S114" s="363" t="n">
        <f aca="false" t="array" ref="S114:S114">IF(COUNTIF('0.3.0 GO Calculation Values'!$J$2:$J$99,C114),(INDEX('0.3.0 GO Calculation Values'!$K$2:$K$99,MATCH(C114,'0.3.0 GO Calculation Values'!$J$2:$J$99,0))),1)</f>
        <v>1</v>
      </c>
      <c r="T114" s="262" t="n">
        <f aca="false">ROUND(ROUND(2*((7/8)*MAX(L114,N114)+(1/8)*MIN(L114,N114)),0)*(1+(P114-75)/500),0)</f>
        <v>190</v>
      </c>
      <c r="U114" s="262" t="n">
        <f aca="false">ROUND(ROUND(2*((5/8)*MAX(M114,O114)+(3/8)*MIN(M114,O114)),0)*(1+(P114-75)/500),0)</f>
        <v>172</v>
      </c>
      <c r="V114" s="361" t="n">
        <f aca="false">ROUNDDOWN(K114*1.75+50,0)</f>
        <v>233</v>
      </c>
      <c r="W114" s="261" t="n">
        <v>1</v>
      </c>
      <c r="X114" s="261" t="s">
        <v>476</v>
      </c>
      <c r="Y114" s="364" t="s">
        <v>476</v>
      </c>
      <c r="Z114" s="364" t="n">
        <v>3</v>
      </c>
      <c r="AA114" s="364"/>
      <c r="AB114" s="365" t="n">
        <v>5</v>
      </c>
      <c r="AC114" s="364"/>
      <c r="AD114" s="364" t="n">
        <v>50</v>
      </c>
      <c r="AE114" s="366"/>
      <c r="AF114" s="364" t="s">
        <v>482</v>
      </c>
      <c r="AG114" s="364" t="s">
        <v>482</v>
      </c>
      <c r="AH114" s="366" t="s">
        <v>482</v>
      </c>
    </row>
    <row r="115" customFormat="false" ht="15.75" hidden="false" customHeight="false" outlineLevel="0" collapsed="false">
      <c r="A115" s="262" t="n">
        <v>89</v>
      </c>
      <c r="B115" s="361" t="n">
        <v>113</v>
      </c>
      <c r="C115" s="261" t="s">
        <v>481</v>
      </c>
      <c r="D115" s="261" t="s">
        <v>288</v>
      </c>
      <c r="E115" s="358" t="s">
        <v>483</v>
      </c>
      <c r="F115" s="261" t="s">
        <v>290</v>
      </c>
      <c r="G115" s="261" t="s">
        <v>144</v>
      </c>
      <c r="H115" s="261" t="n">
        <v>1</v>
      </c>
      <c r="I115" s="261" t="n">
        <v>2</v>
      </c>
      <c r="J115" s="361" t="n">
        <v>1</v>
      </c>
      <c r="K115" s="262" t="n">
        <v>105</v>
      </c>
      <c r="L115" s="262" t="n">
        <v>105</v>
      </c>
      <c r="M115" s="262" t="n">
        <v>75</v>
      </c>
      <c r="N115" s="262" t="n">
        <v>65</v>
      </c>
      <c r="O115" s="262" t="n">
        <v>100</v>
      </c>
      <c r="P115" s="361" t="n">
        <v>50</v>
      </c>
      <c r="Q115" s="261" t="s">
        <v>147</v>
      </c>
      <c r="R115" s="261" t="s">
        <v>160</v>
      </c>
      <c r="S115" s="363" t="n">
        <f aca="false" t="array" ref="S115:S115">IF(COUNTIF('0.3.0 GO Calculation Values'!$J$2:$J$99,C115),(INDEX('0.3.0 GO Calculation Values'!$K$2:$K$99,MATCH(C115,'0.3.0 GO Calculation Values'!$J$2:$J$99,0))),1)</f>
        <v>1</v>
      </c>
      <c r="T115" s="262" t="n">
        <f aca="false">ROUND(ROUND(2*((7/8)*MAX(L115,N115)+(1/8)*MIN(L115,N115)),0)*(1+(P115-75)/500),0)</f>
        <v>190</v>
      </c>
      <c r="U115" s="262" t="n">
        <f aca="false">ROUND(ROUND(2*((5/8)*MAX(M115,O115)+(3/8)*MIN(M115,O115)),0)*(1+(P115-75)/500),0)</f>
        <v>172</v>
      </c>
      <c r="V115" s="361" t="n">
        <f aca="false">ROUNDDOWN(K115*1.75+50,0)</f>
        <v>233</v>
      </c>
      <c r="W115" s="261" t="n">
        <v>0</v>
      </c>
      <c r="X115" s="261" t="s">
        <v>476</v>
      </c>
      <c r="Y115" s="364" t="s">
        <v>476</v>
      </c>
      <c r="Z115" s="364" t="n">
        <v>3</v>
      </c>
      <c r="AA115" s="364"/>
      <c r="AB115" s="365"/>
      <c r="AC115" s="364"/>
      <c r="AD115" s="364" t="n">
        <v>50</v>
      </c>
      <c r="AE115" s="366"/>
      <c r="AF115" s="364" t="s">
        <v>484</v>
      </c>
      <c r="AG115" s="261" t="s">
        <v>485</v>
      </c>
      <c r="AH115" s="362" t="s">
        <v>485</v>
      </c>
    </row>
    <row r="116" customFormat="false" ht="15.75" hidden="false" customHeight="false" outlineLevel="0" collapsed="false">
      <c r="A116" s="262" t="n">
        <v>90</v>
      </c>
      <c r="B116" s="361" t="n">
        <v>114</v>
      </c>
      <c r="C116" s="261" t="s">
        <v>486</v>
      </c>
      <c r="D116" s="261" t="s">
        <v>60</v>
      </c>
      <c r="E116" s="362" t="s">
        <v>486</v>
      </c>
      <c r="F116" s="261" t="s">
        <v>228</v>
      </c>
      <c r="G116" s="261" t="s">
        <v>144</v>
      </c>
      <c r="H116" s="261" t="n">
        <v>0</v>
      </c>
      <c r="I116" s="261" t="n">
        <v>1</v>
      </c>
      <c r="J116" s="361" t="n">
        <v>0</v>
      </c>
      <c r="K116" s="262" t="n">
        <v>30</v>
      </c>
      <c r="L116" s="262" t="n">
        <v>65</v>
      </c>
      <c r="M116" s="262" t="n">
        <v>100</v>
      </c>
      <c r="N116" s="262" t="n">
        <v>45</v>
      </c>
      <c r="O116" s="262" t="n">
        <v>25</v>
      </c>
      <c r="P116" s="361" t="n">
        <v>40</v>
      </c>
      <c r="Q116" s="261" t="s">
        <v>154</v>
      </c>
      <c r="R116" s="261"/>
      <c r="S116" s="363" t="n">
        <f aca="false" t="array" ref="S116:S116">IF(COUNTIF('0.3.0 GO Calculation Values'!$J$2:$J$99,C116),(INDEX('0.3.0 GO Calculation Values'!$K$2:$K$99,MATCH(C116,'0.3.0 GO Calculation Values'!$J$2:$J$99,0))),1)</f>
        <v>1</v>
      </c>
      <c r="T116" s="262" t="n">
        <f aca="false">ROUND(ROUND(2*((7/8)*MAX(L116,N116)+(1/8)*MIN(L116,N116)),0)*(1+(P116-75)/500),0)</f>
        <v>116</v>
      </c>
      <c r="U116" s="262" t="n">
        <f aca="false">ROUND(ROUND(2*((5/8)*MAX(M116,O116)+(3/8)*MIN(M116,O116)),0)*(1+(P116-75)/500),0)</f>
        <v>134</v>
      </c>
      <c r="V116" s="361" t="n">
        <f aca="false">ROUNDDOWN(K116*1.75+50,0)</f>
        <v>102</v>
      </c>
      <c r="W116" s="261" t="n">
        <v>1</v>
      </c>
      <c r="X116" s="261" t="s">
        <v>60</v>
      </c>
      <c r="Y116" s="364" t="s">
        <v>486</v>
      </c>
      <c r="Z116" s="364" t="n">
        <v>3</v>
      </c>
      <c r="AA116" s="364"/>
      <c r="AB116" s="365" t="n">
        <v>2</v>
      </c>
      <c r="AC116" s="364"/>
      <c r="AD116" s="364" t="n">
        <v>0</v>
      </c>
      <c r="AE116" s="366"/>
      <c r="AF116" s="364" t="s">
        <v>487</v>
      </c>
      <c r="AG116" s="364" t="s">
        <v>487</v>
      </c>
      <c r="AH116" s="366" t="s">
        <v>487</v>
      </c>
    </row>
    <row r="117" customFormat="false" ht="15.75" hidden="false" customHeight="false" outlineLevel="0" collapsed="false">
      <c r="A117" s="262" t="n">
        <v>91</v>
      </c>
      <c r="B117" s="361" t="n">
        <v>115</v>
      </c>
      <c r="C117" s="261" t="s">
        <v>488</v>
      </c>
      <c r="D117" s="261" t="s">
        <v>60</v>
      </c>
      <c r="E117" s="362" t="s">
        <v>488</v>
      </c>
      <c r="F117" s="261" t="s">
        <v>228</v>
      </c>
      <c r="G117" s="261" t="s">
        <v>144</v>
      </c>
      <c r="H117" s="261" t="n">
        <v>0</v>
      </c>
      <c r="I117" s="261" t="n">
        <v>2</v>
      </c>
      <c r="J117" s="361" t="n">
        <v>1</v>
      </c>
      <c r="K117" s="262" t="n">
        <v>50</v>
      </c>
      <c r="L117" s="262" t="n">
        <v>95</v>
      </c>
      <c r="M117" s="262" t="n">
        <v>180</v>
      </c>
      <c r="N117" s="262" t="n">
        <v>85</v>
      </c>
      <c r="O117" s="262" t="n">
        <v>45</v>
      </c>
      <c r="P117" s="361" t="n">
        <v>70</v>
      </c>
      <c r="Q117" s="261" t="s">
        <v>154</v>
      </c>
      <c r="R117" s="261" t="s">
        <v>158</v>
      </c>
      <c r="S117" s="363" t="n">
        <f aca="false" t="array" ref="S117:S117">IF(COUNTIF('0.3.0 GO Calculation Values'!$J$2:$J$99,C117),(INDEX('0.3.0 GO Calculation Values'!$K$2:$K$99,MATCH(C117,'0.3.0 GO Calculation Values'!$J$2:$J$99,0))),1)</f>
        <v>1</v>
      </c>
      <c r="T117" s="262" t="n">
        <f aca="false">ROUND(ROUND(2*((7/8)*MAX(L117,N117)+(1/8)*MIN(L117,N117)),0)*(1+(P117-75)/500),0)</f>
        <v>186</v>
      </c>
      <c r="U117" s="262" t="n">
        <f aca="false">ROUND(ROUND(2*((5/8)*MAX(M117,O117)+(3/8)*MIN(M117,O117)),0)*(1+(P117-75)/500),0)</f>
        <v>256</v>
      </c>
      <c r="V117" s="361" t="n">
        <f aca="false">ROUNDDOWN(K117*1.75+50,0)</f>
        <v>137</v>
      </c>
      <c r="W117" s="261" t="n">
        <v>1</v>
      </c>
      <c r="X117" s="261" t="s">
        <v>486</v>
      </c>
      <c r="Y117" s="364" t="s">
        <v>486</v>
      </c>
      <c r="Z117" s="364" t="n">
        <v>3</v>
      </c>
      <c r="AA117" s="364"/>
      <c r="AB117" s="365" t="n">
        <v>2</v>
      </c>
      <c r="AC117" s="364"/>
      <c r="AD117" s="364" t="n">
        <v>50</v>
      </c>
      <c r="AE117" s="366"/>
      <c r="AF117" s="364" t="s">
        <v>489</v>
      </c>
      <c r="AG117" s="364" t="s">
        <v>489</v>
      </c>
      <c r="AH117" s="366" t="s">
        <v>489</v>
      </c>
    </row>
    <row r="118" customFormat="false" ht="15.75" hidden="false" customHeight="false" outlineLevel="0" collapsed="false">
      <c r="A118" s="262" t="n">
        <v>92</v>
      </c>
      <c r="B118" s="361" t="n">
        <v>116</v>
      </c>
      <c r="C118" s="261" t="s">
        <v>490</v>
      </c>
      <c r="D118" s="261" t="s">
        <v>60</v>
      </c>
      <c r="E118" s="362" t="s">
        <v>490</v>
      </c>
      <c r="F118" s="261" t="s">
        <v>228</v>
      </c>
      <c r="G118" s="261" t="s">
        <v>144</v>
      </c>
      <c r="H118" s="261" t="n">
        <v>0</v>
      </c>
      <c r="I118" s="261" t="n">
        <v>1</v>
      </c>
      <c r="J118" s="361" t="n">
        <v>0</v>
      </c>
      <c r="K118" s="262" t="n">
        <v>30</v>
      </c>
      <c r="L118" s="262" t="n">
        <v>35</v>
      </c>
      <c r="M118" s="262" t="n">
        <v>30</v>
      </c>
      <c r="N118" s="262" t="n">
        <v>100</v>
      </c>
      <c r="O118" s="262" t="n">
        <v>35</v>
      </c>
      <c r="P118" s="361" t="n">
        <v>80</v>
      </c>
      <c r="Q118" s="261" t="s">
        <v>151</v>
      </c>
      <c r="R118" s="261" t="s">
        <v>147</v>
      </c>
      <c r="S118" s="363" t="n">
        <f aca="false" t="array" ref="S118:S118">IF(COUNTIF('0.3.0 GO Calculation Values'!$J$2:$J$99,C118),(INDEX('0.3.0 GO Calculation Values'!$K$2:$K$99,MATCH(C118,'0.3.0 GO Calculation Values'!$J$2:$J$99,0))),1)</f>
        <v>1</v>
      </c>
      <c r="T118" s="262" t="n">
        <f aca="false">ROUND(ROUND(2*((7/8)*MAX(L118,N118)+(1/8)*MIN(L118,N118)),0)*(1+(P118-75)/500),0)</f>
        <v>186</v>
      </c>
      <c r="U118" s="262" t="n">
        <f aca="false">ROUND(ROUND(2*((5/8)*MAX(M118,O118)+(3/8)*MIN(M118,O118)),0)*(1+(P118-75)/500),0)</f>
        <v>67</v>
      </c>
      <c r="V118" s="361" t="n">
        <f aca="false">ROUNDDOWN(K118*1.75+50,0)</f>
        <v>102</v>
      </c>
      <c r="W118" s="261" t="n">
        <v>1</v>
      </c>
      <c r="X118" s="261" t="s">
        <v>60</v>
      </c>
      <c r="Y118" s="364" t="s">
        <v>490</v>
      </c>
      <c r="Z118" s="364" t="n">
        <v>3</v>
      </c>
      <c r="AA118" s="364"/>
      <c r="AB118" s="365" t="n">
        <v>2</v>
      </c>
      <c r="AC118" s="364"/>
      <c r="AD118" s="364" t="n">
        <v>0</v>
      </c>
      <c r="AE118" s="366"/>
      <c r="AF118" s="364" t="s">
        <v>491</v>
      </c>
      <c r="AG118" s="364" t="s">
        <v>491</v>
      </c>
      <c r="AH118" s="366" t="s">
        <v>491</v>
      </c>
    </row>
    <row r="119" customFormat="false" ht="15.75" hidden="false" customHeight="false" outlineLevel="0" collapsed="false">
      <c r="A119" s="262" t="n">
        <v>93</v>
      </c>
      <c r="B119" s="361" t="n">
        <v>117</v>
      </c>
      <c r="C119" s="261" t="s">
        <v>492</v>
      </c>
      <c r="D119" s="261" t="s">
        <v>60</v>
      </c>
      <c r="E119" s="362" t="s">
        <v>492</v>
      </c>
      <c r="F119" s="261" t="s">
        <v>228</v>
      </c>
      <c r="G119" s="261" t="s">
        <v>144</v>
      </c>
      <c r="H119" s="261" t="n">
        <v>0</v>
      </c>
      <c r="I119" s="261" t="n">
        <v>2</v>
      </c>
      <c r="J119" s="361" t="n">
        <v>0</v>
      </c>
      <c r="K119" s="262" t="n">
        <v>45</v>
      </c>
      <c r="L119" s="262" t="n">
        <v>50</v>
      </c>
      <c r="M119" s="262" t="n">
        <v>45</v>
      </c>
      <c r="N119" s="262" t="n">
        <v>115</v>
      </c>
      <c r="O119" s="262" t="n">
        <v>55</v>
      </c>
      <c r="P119" s="361" t="n">
        <v>95</v>
      </c>
      <c r="Q119" s="261" t="s">
        <v>151</v>
      </c>
      <c r="R119" s="261" t="s">
        <v>147</v>
      </c>
      <c r="S119" s="363" t="n">
        <f aca="false" t="array" ref="S119:S119">IF(COUNTIF('0.3.0 GO Calculation Values'!$J$2:$J$99,C119),(INDEX('0.3.0 GO Calculation Values'!$K$2:$K$99,MATCH(C119,'0.3.0 GO Calculation Values'!$J$2:$J$99,0))),1)</f>
        <v>1</v>
      </c>
      <c r="T119" s="262" t="n">
        <f aca="false">ROUND(ROUND(2*((7/8)*MAX(L119,N119)+(1/8)*MIN(L119,N119)),0)*(1+(P119-75)/500),0)</f>
        <v>223</v>
      </c>
      <c r="U119" s="262" t="n">
        <f aca="false">ROUND(ROUND(2*((5/8)*MAX(M119,O119)+(3/8)*MIN(M119,O119)),0)*(1+(P119-75)/500),0)</f>
        <v>107</v>
      </c>
      <c r="V119" s="361" t="n">
        <f aca="false">ROUNDDOWN(K119*1.75+50,0)</f>
        <v>128</v>
      </c>
      <c r="W119" s="261" t="n">
        <v>1</v>
      </c>
      <c r="X119" s="261" t="s">
        <v>490</v>
      </c>
      <c r="Y119" s="364" t="s">
        <v>490</v>
      </c>
      <c r="Z119" s="364" t="n">
        <v>3</v>
      </c>
      <c r="AA119" s="364"/>
      <c r="AB119" s="365" t="n">
        <v>2</v>
      </c>
      <c r="AC119" s="364"/>
      <c r="AD119" s="364" t="n">
        <v>25</v>
      </c>
      <c r="AE119" s="366"/>
      <c r="AF119" s="364" t="s">
        <v>493</v>
      </c>
      <c r="AG119" s="364" t="s">
        <v>493</v>
      </c>
      <c r="AH119" s="366" t="s">
        <v>493</v>
      </c>
    </row>
    <row r="120" customFormat="false" ht="15.75" hidden="false" customHeight="false" outlineLevel="0" collapsed="false">
      <c r="A120" s="262" t="n">
        <v>94</v>
      </c>
      <c r="B120" s="361" t="n">
        <v>118</v>
      </c>
      <c r="C120" s="261" t="s">
        <v>494</v>
      </c>
      <c r="D120" s="261" t="s">
        <v>7</v>
      </c>
      <c r="E120" s="367" t="s">
        <v>494</v>
      </c>
      <c r="F120" s="261" t="s">
        <v>228</v>
      </c>
      <c r="G120" s="261" t="s">
        <v>144</v>
      </c>
      <c r="H120" s="261" t="n">
        <v>0</v>
      </c>
      <c r="I120" s="261" t="n">
        <v>3</v>
      </c>
      <c r="J120" s="361" t="n">
        <v>1</v>
      </c>
      <c r="K120" s="262" t="n">
        <v>60</v>
      </c>
      <c r="L120" s="262" t="n">
        <v>65</v>
      </c>
      <c r="M120" s="262" t="n">
        <v>60</v>
      </c>
      <c r="N120" s="262" t="n">
        <v>130</v>
      </c>
      <c r="O120" s="262" t="n">
        <v>75</v>
      </c>
      <c r="P120" s="361" t="n">
        <v>110</v>
      </c>
      <c r="Q120" s="261" t="s">
        <v>151</v>
      </c>
      <c r="R120" s="261" t="s">
        <v>147</v>
      </c>
      <c r="S120" s="363" t="n">
        <f aca="false" t="array" ref="S120:S120">IF(COUNTIF('0.3.0 GO Calculation Values'!$J$2:$J$99,C120),(INDEX('0.3.0 GO Calculation Values'!$K$2:$K$99,MATCH(C120,'0.3.0 GO Calculation Values'!$J$2:$J$99,0))),1)</f>
        <v>1</v>
      </c>
      <c r="T120" s="262" t="n">
        <f aca="false">ROUND(ROUND(2*((7/8)*MAX(L120,N120)+(1/8)*MIN(L120,N120)),0)*(1+(P120-75)/500),0)</f>
        <v>261</v>
      </c>
      <c r="U120" s="262" t="n">
        <f aca="false">ROUND(ROUND(2*((5/8)*MAX(M120,O120)+(3/8)*MIN(M120,O120)),0)*(1+(P120-75)/500),0)</f>
        <v>149</v>
      </c>
      <c r="V120" s="361" t="n">
        <f aca="false">ROUNDDOWN(K120*1.75+50,0)</f>
        <v>155</v>
      </c>
      <c r="W120" s="261" t="n">
        <v>1</v>
      </c>
      <c r="X120" s="261" t="s">
        <v>492</v>
      </c>
      <c r="Y120" s="364" t="s">
        <v>490</v>
      </c>
      <c r="Z120" s="364" t="n">
        <v>3</v>
      </c>
      <c r="AA120" s="364"/>
      <c r="AB120" s="365" t="n">
        <v>2</v>
      </c>
      <c r="AC120" s="364"/>
      <c r="AD120" s="364" t="n">
        <v>100</v>
      </c>
      <c r="AE120" s="366"/>
      <c r="AF120" s="364" t="s">
        <v>495</v>
      </c>
      <c r="AG120" s="364" t="s">
        <v>495</v>
      </c>
      <c r="AH120" s="366" t="s">
        <v>495</v>
      </c>
    </row>
    <row r="121" customFormat="false" ht="15.75" hidden="false" customHeight="false" outlineLevel="0" collapsed="false">
      <c r="A121" s="262" t="n">
        <v>94</v>
      </c>
      <c r="B121" s="361" t="n">
        <v>119</v>
      </c>
      <c r="C121" s="261" t="s">
        <v>494</v>
      </c>
      <c r="D121" s="261" t="s">
        <v>496</v>
      </c>
      <c r="E121" s="358" t="s">
        <v>497</v>
      </c>
      <c r="F121" s="261" t="s">
        <v>237</v>
      </c>
      <c r="G121" s="261" t="s">
        <v>144</v>
      </c>
      <c r="H121" s="261" t="n">
        <v>2</v>
      </c>
      <c r="I121" s="261" t="n">
        <v>3</v>
      </c>
      <c r="J121" s="361" t="n">
        <v>1</v>
      </c>
      <c r="K121" s="262" t="n">
        <v>60</v>
      </c>
      <c r="L121" s="262" t="n">
        <v>65</v>
      </c>
      <c r="M121" s="262" t="n">
        <v>80</v>
      </c>
      <c r="N121" s="262" t="n">
        <v>170</v>
      </c>
      <c r="O121" s="262" t="n">
        <v>95</v>
      </c>
      <c r="P121" s="361" t="n">
        <v>130</v>
      </c>
      <c r="Q121" s="261" t="s">
        <v>151</v>
      </c>
      <c r="R121" s="261" t="s">
        <v>147</v>
      </c>
      <c r="S121" s="363" t="n">
        <f aca="false" t="array" ref="S121:S121">IF(COUNTIF('0.3.0 GO Calculation Values'!$J$2:$J$99,C121),(INDEX('0.3.0 GO Calculation Values'!$K$2:$K$99,MATCH(C121,'0.3.0 GO Calculation Values'!$J$2:$J$99,0))),1)</f>
        <v>1</v>
      </c>
      <c r="T121" s="262" t="n">
        <f aca="false">ROUND(ROUND(2*((7/8)*MAX(L121,N121)+(1/8)*MIN(L121,N121)),0)*(1+(P121-75)/500),0)</f>
        <v>349</v>
      </c>
      <c r="U121" s="262" t="n">
        <f aca="false">ROUND(ROUND(2*((5/8)*MAX(M121,O121)+(3/8)*MIN(M121,O121)),0)*(1+(P121-75)/500),0)</f>
        <v>199</v>
      </c>
      <c r="V121" s="361" t="n">
        <f aca="false">ROUNDDOWN(K121*1.75+50,0)</f>
        <v>155</v>
      </c>
      <c r="W121" s="261" t="n">
        <v>0</v>
      </c>
      <c r="X121" s="261" t="s">
        <v>494</v>
      </c>
      <c r="Y121" s="364" t="s">
        <v>490</v>
      </c>
      <c r="Z121" s="364" t="n">
        <v>3</v>
      </c>
      <c r="AA121" s="364"/>
      <c r="AB121" s="365" t="n">
        <v>2</v>
      </c>
      <c r="AC121" s="364"/>
      <c r="AD121" s="364" t="n">
        <v>100</v>
      </c>
      <c r="AE121" s="366"/>
      <c r="AF121" s="364" t="s">
        <v>498</v>
      </c>
      <c r="AG121" s="364" t="s">
        <v>498</v>
      </c>
      <c r="AH121" s="366" t="s">
        <v>498</v>
      </c>
    </row>
    <row r="122" customFormat="false" ht="15.75" hidden="false" customHeight="false" outlineLevel="0" collapsed="false">
      <c r="A122" s="262" t="n">
        <v>95</v>
      </c>
      <c r="B122" s="361" t="n">
        <v>120</v>
      </c>
      <c r="C122" s="261" t="s">
        <v>499</v>
      </c>
      <c r="D122" s="261" t="s">
        <v>60</v>
      </c>
      <c r="E122" s="362" t="s">
        <v>499</v>
      </c>
      <c r="F122" s="261" t="s">
        <v>228</v>
      </c>
      <c r="G122" s="261" t="s">
        <v>144</v>
      </c>
      <c r="H122" s="261" t="n">
        <v>0</v>
      </c>
      <c r="I122" s="261" t="n">
        <v>1</v>
      </c>
      <c r="J122" s="361" t="n">
        <v>1</v>
      </c>
      <c r="K122" s="262" t="n">
        <v>35</v>
      </c>
      <c r="L122" s="262" t="n">
        <v>45</v>
      </c>
      <c r="M122" s="262" t="n">
        <v>160</v>
      </c>
      <c r="N122" s="262" t="n">
        <v>30</v>
      </c>
      <c r="O122" s="262" t="n">
        <v>45</v>
      </c>
      <c r="P122" s="361" t="n">
        <v>70</v>
      </c>
      <c r="Q122" s="261" t="s">
        <v>149</v>
      </c>
      <c r="R122" s="261" t="s">
        <v>148</v>
      </c>
      <c r="S122" s="363" t="n">
        <f aca="false" t="array" ref="S122:S122">IF(COUNTIF('0.3.0 GO Calculation Values'!$J$2:$J$99,C122),(INDEX('0.3.0 GO Calculation Values'!$K$2:$K$99,MATCH(C122,'0.3.0 GO Calculation Values'!$J$2:$J$99,0))),1)</f>
        <v>1</v>
      </c>
      <c r="T122" s="262" t="n">
        <f aca="false">ROUND(ROUND(2*((7/8)*MAX(L122,N122)+(1/8)*MIN(L122,N122)),0)*(1+(P122-75)/500),0)</f>
        <v>85</v>
      </c>
      <c r="U122" s="262" t="n">
        <f aca="false">ROUND(ROUND(2*((5/8)*MAX(M122,O122)+(3/8)*MIN(M122,O122)),0)*(1+(P122-75)/500),0)</f>
        <v>232</v>
      </c>
      <c r="V122" s="361" t="n">
        <f aca="false">ROUNDDOWN(K122*1.75+50,0)</f>
        <v>111</v>
      </c>
      <c r="W122" s="261" t="n">
        <v>1</v>
      </c>
      <c r="X122" s="261" t="s">
        <v>60</v>
      </c>
      <c r="Y122" s="364" t="s">
        <v>499</v>
      </c>
      <c r="Z122" s="364" t="n">
        <v>5</v>
      </c>
      <c r="AA122" s="364"/>
      <c r="AB122" s="365" t="n">
        <v>5</v>
      </c>
      <c r="AC122" s="364"/>
      <c r="AD122" s="364" t="n">
        <v>0</v>
      </c>
      <c r="AE122" s="366"/>
      <c r="AF122" s="364" t="s">
        <v>500</v>
      </c>
      <c r="AG122" s="364" t="s">
        <v>500</v>
      </c>
      <c r="AH122" s="366" t="s">
        <v>500</v>
      </c>
    </row>
    <row r="123" customFormat="false" ht="15.75" hidden="false" customHeight="false" outlineLevel="0" collapsed="false">
      <c r="A123" s="262" t="n">
        <v>96</v>
      </c>
      <c r="B123" s="361" t="n">
        <v>121</v>
      </c>
      <c r="C123" s="261" t="s">
        <v>501</v>
      </c>
      <c r="D123" s="261" t="s">
        <v>60</v>
      </c>
      <c r="E123" s="362" t="s">
        <v>501</v>
      </c>
      <c r="F123" s="261" t="s">
        <v>228</v>
      </c>
      <c r="G123" s="261" t="s">
        <v>144</v>
      </c>
      <c r="H123" s="261" t="n">
        <v>0</v>
      </c>
      <c r="I123" s="261" t="n">
        <v>1</v>
      </c>
      <c r="J123" s="361" t="n">
        <v>0</v>
      </c>
      <c r="K123" s="262" t="n">
        <v>60</v>
      </c>
      <c r="L123" s="262" t="n">
        <v>48</v>
      </c>
      <c r="M123" s="262" t="n">
        <v>45</v>
      </c>
      <c r="N123" s="262" t="n">
        <v>43</v>
      </c>
      <c r="O123" s="262" t="n">
        <v>90</v>
      </c>
      <c r="P123" s="361" t="n">
        <v>42</v>
      </c>
      <c r="Q123" s="261" t="s">
        <v>157</v>
      </c>
      <c r="R123" s="261"/>
      <c r="S123" s="363" t="n">
        <f aca="false" t="array" ref="S123:S123">IF(COUNTIF('0.3.0 GO Calculation Values'!$J$2:$J$99,C123),(INDEX('0.3.0 GO Calculation Values'!$K$2:$K$99,MATCH(C123,'0.3.0 GO Calculation Values'!$J$2:$J$99,0))),1)</f>
        <v>1</v>
      </c>
      <c r="T123" s="262" t="n">
        <f aca="false">ROUND(ROUND(2*((7/8)*MAX(L123,N123)+(1/8)*MIN(L123,N123)),0)*(1+(P123-75)/500),0)</f>
        <v>89</v>
      </c>
      <c r="U123" s="262" t="n">
        <f aca="false">ROUND(ROUND(2*((5/8)*MAX(M123,O123)+(3/8)*MIN(M123,O123)),0)*(1+(P123-75)/500),0)</f>
        <v>136</v>
      </c>
      <c r="V123" s="361" t="n">
        <f aca="false">ROUNDDOWN(K123*1.75+50,0)</f>
        <v>155</v>
      </c>
      <c r="W123" s="261" t="n">
        <v>1</v>
      </c>
      <c r="X123" s="261" t="s">
        <v>60</v>
      </c>
      <c r="Y123" s="364" t="s">
        <v>501</v>
      </c>
      <c r="Z123" s="364" t="n">
        <v>3</v>
      </c>
      <c r="AA123" s="364"/>
      <c r="AB123" s="365" t="s">
        <v>60</v>
      </c>
      <c r="AC123" s="364"/>
      <c r="AD123" s="364" t="n">
        <v>0</v>
      </c>
      <c r="AE123" s="366"/>
      <c r="AF123" s="364" t="s">
        <v>502</v>
      </c>
      <c r="AG123" s="364" t="s">
        <v>502</v>
      </c>
      <c r="AH123" s="366" t="s">
        <v>502</v>
      </c>
    </row>
    <row r="124" customFormat="false" ht="15.75" hidden="false" customHeight="false" outlineLevel="0" collapsed="false">
      <c r="A124" s="262" t="n">
        <v>97</v>
      </c>
      <c r="B124" s="361" t="n">
        <v>122</v>
      </c>
      <c r="C124" s="261" t="s">
        <v>503</v>
      </c>
      <c r="D124" s="261" t="s">
        <v>60</v>
      </c>
      <c r="E124" s="362" t="s">
        <v>503</v>
      </c>
      <c r="F124" s="261" t="s">
        <v>228</v>
      </c>
      <c r="G124" s="261" t="s">
        <v>144</v>
      </c>
      <c r="H124" s="261" t="n">
        <v>0</v>
      </c>
      <c r="I124" s="261" t="n">
        <v>2</v>
      </c>
      <c r="J124" s="361" t="n">
        <v>1</v>
      </c>
      <c r="K124" s="262" t="n">
        <v>85</v>
      </c>
      <c r="L124" s="262" t="n">
        <v>73</v>
      </c>
      <c r="M124" s="262" t="n">
        <v>70</v>
      </c>
      <c r="N124" s="262" t="n">
        <v>73</v>
      </c>
      <c r="O124" s="262" t="n">
        <v>115</v>
      </c>
      <c r="P124" s="361" t="n">
        <v>67</v>
      </c>
      <c r="Q124" s="261" t="s">
        <v>157</v>
      </c>
      <c r="R124" s="261"/>
      <c r="S124" s="363" t="n">
        <f aca="false" t="array" ref="S124:S124">IF(COUNTIF('0.3.0 GO Calculation Values'!$J$2:$J$99,C124),(INDEX('0.3.0 GO Calculation Values'!$K$2:$K$99,MATCH(C124,'0.3.0 GO Calculation Values'!$J$2:$J$99,0))),1)</f>
        <v>1</v>
      </c>
      <c r="T124" s="262" t="n">
        <f aca="false">ROUND(ROUND(2*((7/8)*MAX(L124,N124)+(1/8)*MIN(L124,N124)),0)*(1+(P124-75)/500),0)</f>
        <v>144</v>
      </c>
      <c r="U124" s="262" t="n">
        <f aca="false">ROUND(ROUND(2*((5/8)*MAX(M124,O124)+(3/8)*MIN(M124,O124)),0)*(1+(P124-75)/500),0)</f>
        <v>193</v>
      </c>
      <c r="V124" s="361" t="n">
        <f aca="false">ROUNDDOWN(K124*1.75+50,0)</f>
        <v>198</v>
      </c>
      <c r="W124" s="261" t="n">
        <v>1</v>
      </c>
      <c r="X124" s="261" t="s">
        <v>501</v>
      </c>
      <c r="Y124" s="364" t="s">
        <v>501</v>
      </c>
      <c r="Z124" s="364" t="n">
        <v>3</v>
      </c>
      <c r="AA124" s="364"/>
      <c r="AB124" s="365" t="s">
        <v>60</v>
      </c>
      <c r="AC124" s="364"/>
      <c r="AD124" s="364" t="n">
        <v>50</v>
      </c>
      <c r="AE124" s="366"/>
      <c r="AF124" s="364" t="s">
        <v>504</v>
      </c>
      <c r="AG124" s="364" t="s">
        <v>504</v>
      </c>
      <c r="AH124" s="366" t="s">
        <v>504</v>
      </c>
    </row>
    <row r="125" customFormat="false" ht="15.75" hidden="false" customHeight="false" outlineLevel="0" collapsed="false">
      <c r="A125" s="262" t="n">
        <v>98</v>
      </c>
      <c r="B125" s="361" t="n">
        <v>123</v>
      </c>
      <c r="C125" s="261" t="s">
        <v>505</v>
      </c>
      <c r="D125" s="261" t="s">
        <v>60</v>
      </c>
      <c r="E125" s="362" t="s">
        <v>505</v>
      </c>
      <c r="F125" s="261" t="s">
        <v>228</v>
      </c>
      <c r="G125" s="261" t="s">
        <v>144</v>
      </c>
      <c r="H125" s="261" t="n">
        <v>0</v>
      </c>
      <c r="I125" s="261" t="n">
        <v>1</v>
      </c>
      <c r="J125" s="361" t="n">
        <v>0</v>
      </c>
      <c r="K125" s="262" t="n">
        <v>30</v>
      </c>
      <c r="L125" s="262" t="n">
        <v>105</v>
      </c>
      <c r="M125" s="262" t="n">
        <v>90</v>
      </c>
      <c r="N125" s="262" t="n">
        <v>25</v>
      </c>
      <c r="O125" s="262" t="n">
        <v>25</v>
      </c>
      <c r="P125" s="361" t="n">
        <v>50</v>
      </c>
      <c r="Q125" s="261" t="s">
        <v>154</v>
      </c>
      <c r="R125" s="261"/>
      <c r="S125" s="363" t="n">
        <f aca="false" t="array" ref="S125:S125">IF(COUNTIF('0.3.0 GO Calculation Values'!$J$2:$J$99,C125),(INDEX('0.3.0 GO Calculation Values'!$K$2:$K$99,MATCH(C125,'0.3.0 GO Calculation Values'!$J$2:$J$99,0))),1)</f>
        <v>1</v>
      </c>
      <c r="T125" s="262" t="n">
        <f aca="false">ROUND(ROUND(2*((7/8)*MAX(L125,N125)+(1/8)*MIN(L125,N125)),0)*(1+(P125-75)/500),0)</f>
        <v>181</v>
      </c>
      <c r="U125" s="262" t="n">
        <f aca="false">ROUND(ROUND(2*((5/8)*MAX(M125,O125)+(3/8)*MIN(M125,O125)),0)*(1+(P125-75)/500),0)</f>
        <v>124</v>
      </c>
      <c r="V125" s="361" t="n">
        <f aca="false">ROUNDDOWN(K125*1.75+50,0)</f>
        <v>102</v>
      </c>
      <c r="W125" s="261" t="n">
        <v>1</v>
      </c>
      <c r="X125" s="261" t="s">
        <v>60</v>
      </c>
      <c r="Y125" s="364" t="s">
        <v>505</v>
      </c>
      <c r="Z125" s="364" t="n">
        <v>3</v>
      </c>
      <c r="AA125" s="364"/>
      <c r="AB125" s="365" t="s">
        <v>60</v>
      </c>
      <c r="AC125" s="364"/>
      <c r="AD125" s="364" t="n">
        <v>0</v>
      </c>
      <c r="AE125" s="366"/>
      <c r="AF125" s="364" t="s">
        <v>506</v>
      </c>
      <c r="AG125" s="364" t="s">
        <v>506</v>
      </c>
      <c r="AH125" s="366" t="s">
        <v>506</v>
      </c>
    </row>
    <row r="126" customFormat="false" ht="15.75" hidden="false" customHeight="false" outlineLevel="0" collapsed="false">
      <c r="A126" s="262" t="n">
        <v>99</v>
      </c>
      <c r="B126" s="361" t="n">
        <v>124</v>
      </c>
      <c r="C126" s="261" t="s">
        <v>507</v>
      </c>
      <c r="D126" s="261" t="s">
        <v>60</v>
      </c>
      <c r="E126" s="362" t="s">
        <v>507</v>
      </c>
      <c r="F126" s="261" t="s">
        <v>228</v>
      </c>
      <c r="G126" s="261" t="s">
        <v>144</v>
      </c>
      <c r="H126" s="261" t="n">
        <v>0</v>
      </c>
      <c r="I126" s="261" t="n">
        <v>2</v>
      </c>
      <c r="J126" s="361" t="n">
        <v>1</v>
      </c>
      <c r="K126" s="262" t="n">
        <v>55</v>
      </c>
      <c r="L126" s="262" t="n">
        <v>130</v>
      </c>
      <c r="M126" s="262" t="n">
        <v>115</v>
      </c>
      <c r="N126" s="262" t="n">
        <v>50</v>
      </c>
      <c r="O126" s="262" t="n">
        <v>50</v>
      </c>
      <c r="P126" s="361" t="n">
        <v>75</v>
      </c>
      <c r="Q126" s="261" t="s">
        <v>154</v>
      </c>
      <c r="R126" s="261"/>
      <c r="S126" s="363" t="n">
        <f aca="false" t="array" ref="S126:S126">IF(COUNTIF('0.3.0 GO Calculation Values'!$J$2:$J$99,C126),(INDEX('0.3.0 GO Calculation Values'!$K$2:$K$99,MATCH(C126,'0.3.0 GO Calculation Values'!$J$2:$J$99,0))),1)</f>
        <v>1</v>
      </c>
      <c r="T126" s="262" t="n">
        <f aca="false">ROUND(ROUND(2*((7/8)*MAX(L126,N126)+(1/8)*MIN(L126,N126)),0)*(1+(P126-75)/500),0)</f>
        <v>240</v>
      </c>
      <c r="U126" s="262" t="n">
        <f aca="false">ROUND(ROUND(2*((5/8)*MAX(M126,O126)+(3/8)*MIN(M126,O126)),0)*(1+(P126-75)/500),0)</f>
        <v>181</v>
      </c>
      <c r="V126" s="361" t="n">
        <f aca="false">ROUNDDOWN(K126*1.75+50,0)</f>
        <v>146</v>
      </c>
      <c r="W126" s="261" t="n">
        <v>1</v>
      </c>
      <c r="X126" s="261" t="s">
        <v>505</v>
      </c>
      <c r="Y126" s="364" t="s">
        <v>505</v>
      </c>
      <c r="Z126" s="364" t="n">
        <v>3</v>
      </c>
      <c r="AA126" s="364"/>
      <c r="AB126" s="365" t="s">
        <v>60</v>
      </c>
      <c r="AC126" s="364"/>
      <c r="AD126" s="364" t="n">
        <v>50</v>
      </c>
      <c r="AE126" s="366"/>
      <c r="AF126" s="364" t="s">
        <v>508</v>
      </c>
      <c r="AG126" s="364" t="s">
        <v>508</v>
      </c>
      <c r="AH126" s="366" t="s">
        <v>508</v>
      </c>
    </row>
    <row r="127" customFormat="false" ht="15.75" hidden="false" customHeight="false" outlineLevel="0" collapsed="false">
      <c r="A127" s="262" t="n">
        <v>100</v>
      </c>
      <c r="B127" s="361" t="n">
        <v>125</v>
      </c>
      <c r="C127" s="261" t="s">
        <v>509</v>
      </c>
      <c r="D127" s="261" t="s">
        <v>60</v>
      </c>
      <c r="E127" s="362" t="s">
        <v>509</v>
      </c>
      <c r="F127" s="261" t="s">
        <v>228</v>
      </c>
      <c r="G127" s="261" t="s">
        <v>144</v>
      </c>
      <c r="H127" s="261" t="n">
        <v>0</v>
      </c>
      <c r="I127" s="261" t="n">
        <v>1</v>
      </c>
      <c r="J127" s="361" t="n">
        <v>0</v>
      </c>
      <c r="K127" s="262" t="n">
        <v>40</v>
      </c>
      <c r="L127" s="262" t="n">
        <v>30</v>
      </c>
      <c r="M127" s="262" t="n">
        <v>50</v>
      </c>
      <c r="N127" s="262" t="n">
        <v>55</v>
      </c>
      <c r="O127" s="262" t="n">
        <v>55</v>
      </c>
      <c r="P127" s="361" t="n">
        <v>100</v>
      </c>
      <c r="Q127" s="261" t="s">
        <v>156</v>
      </c>
      <c r="R127" s="261"/>
      <c r="S127" s="363" t="n">
        <f aca="false" t="array" ref="S127:S127">IF(COUNTIF('0.3.0 GO Calculation Values'!$J$2:$J$99,C127),(INDEX('0.3.0 GO Calculation Values'!$K$2:$K$99,MATCH(C127,'0.3.0 GO Calculation Values'!$J$2:$J$99,0))),1)</f>
        <v>1</v>
      </c>
      <c r="T127" s="262" t="n">
        <f aca="false">ROUND(ROUND(2*((7/8)*MAX(L127,N127)+(1/8)*MIN(L127,N127)),0)*(1+(P127-75)/500),0)</f>
        <v>109</v>
      </c>
      <c r="U127" s="262" t="n">
        <f aca="false">ROUND(ROUND(2*((5/8)*MAX(M127,O127)+(3/8)*MIN(M127,O127)),0)*(1+(P127-75)/500),0)</f>
        <v>111</v>
      </c>
      <c r="V127" s="361" t="n">
        <f aca="false">ROUNDDOWN(K127*1.75+50,0)</f>
        <v>120</v>
      </c>
      <c r="W127" s="261" t="n">
        <v>1</v>
      </c>
      <c r="X127" s="261" t="s">
        <v>60</v>
      </c>
      <c r="Y127" s="364" t="s">
        <v>509</v>
      </c>
      <c r="Z127" s="364" t="n">
        <v>3</v>
      </c>
      <c r="AA127" s="364"/>
      <c r="AB127" s="365" t="s">
        <v>60</v>
      </c>
      <c r="AC127" s="364"/>
      <c r="AD127" s="364" t="n">
        <v>0</v>
      </c>
      <c r="AE127" s="366"/>
      <c r="AF127" s="364" t="s">
        <v>510</v>
      </c>
      <c r="AG127" s="364" t="s">
        <v>510</v>
      </c>
      <c r="AH127" s="366" t="s">
        <v>510</v>
      </c>
    </row>
    <row r="128" customFormat="false" ht="15.75" hidden="false" customHeight="false" outlineLevel="0" collapsed="false">
      <c r="A128" s="262" t="n">
        <v>101</v>
      </c>
      <c r="B128" s="361" t="n">
        <v>126</v>
      </c>
      <c r="C128" s="261" t="s">
        <v>511</v>
      </c>
      <c r="D128" s="261" t="s">
        <v>60</v>
      </c>
      <c r="E128" s="362" t="s">
        <v>511</v>
      </c>
      <c r="F128" s="261" t="s">
        <v>228</v>
      </c>
      <c r="G128" s="261" t="s">
        <v>144</v>
      </c>
      <c r="H128" s="261" t="n">
        <v>0</v>
      </c>
      <c r="I128" s="261" t="n">
        <v>2</v>
      </c>
      <c r="J128" s="361" t="n">
        <v>1</v>
      </c>
      <c r="K128" s="262" t="n">
        <v>60</v>
      </c>
      <c r="L128" s="262" t="n">
        <v>50</v>
      </c>
      <c r="M128" s="262" t="n">
        <v>70</v>
      </c>
      <c r="N128" s="262" t="n">
        <v>80</v>
      </c>
      <c r="O128" s="262" t="n">
        <v>80</v>
      </c>
      <c r="P128" s="361" t="n">
        <v>140</v>
      </c>
      <c r="Q128" s="261" t="s">
        <v>156</v>
      </c>
      <c r="R128" s="261"/>
      <c r="S128" s="363" t="n">
        <f aca="false" t="array" ref="S128:S128">IF(COUNTIF('0.3.0 GO Calculation Values'!$J$2:$J$99,C128),(INDEX('0.3.0 GO Calculation Values'!$K$2:$K$99,MATCH(C128,'0.3.0 GO Calculation Values'!$J$2:$J$99,0))),1)</f>
        <v>1</v>
      </c>
      <c r="T128" s="262" t="n">
        <f aca="false">ROUND(ROUND(2*((7/8)*MAX(L128,N128)+(1/8)*MIN(L128,N128)),0)*(1+(P128-75)/500),0)</f>
        <v>173</v>
      </c>
      <c r="U128" s="262" t="n">
        <f aca="false">ROUND(ROUND(2*((5/8)*MAX(M128,O128)+(3/8)*MIN(M128,O128)),0)*(1+(P128-75)/500),0)</f>
        <v>173</v>
      </c>
      <c r="V128" s="361" t="n">
        <f aca="false">ROUNDDOWN(K128*1.75+50,0)</f>
        <v>155</v>
      </c>
      <c r="W128" s="261" t="n">
        <v>1</v>
      </c>
      <c r="X128" s="261" t="s">
        <v>509</v>
      </c>
      <c r="Y128" s="364" t="s">
        <v>509</v>
      </c>
      <c r="Z128" s="364" t="n">
        <v>3</v>
      </c>
      <c r="AA128" s="364"/>
      <c r="AB128" s="365" t="s">
        <v>60</v>
      </c>
      <c r="AC128" s="364"/>
      <c r="AD128" s="364" t="n">
        <v>50</v>
      </c>
      <c r="AE128" s="366"/>
      <c r="AF128" s="364" t="s">
        <v>512</v>
      </c>
      <c r="AG128" s="364" t="s">
        <v>512</v>
      </c>
      <c r="AH128" s="366" t="s">
        <v>512</v>
      </c>
    </row>
    <row r="129" customFormat="false" ht="15.75" hidden="false" customHeight="false" outlineLevel="0" collapsed="false">
      <c r="A129" s="262" t="n">
        <v>102</v>
      </c>
      <c r="B129" s="361" t="n">
        <v>127</v>
      </c>
      <c r="C129" s="261" t="s">
        <v>513</v>
      </c>
      <c r="D129" s="261" t="s">
        <v>60</v>
      </c>
      <c r="E129" s="362" t="s">
        <v>513</v>
      </c>
      <c r="F129" s="261" t="s">
        <v>228</v>
      </c>
      <c r="G129" s="261" t="s">
        <v>144</v>
      </c>
      <c r="H129" s="261" t="n">
        <v>0</v>
      </c>
      <c r="I129" s="261" t="n">
        <v>1</v>
      </c>
      <c r="J129" s="361" t="n">
        <v>0</v>
      </c>
      <c r="K129" s="262" t="n">
        <v>60</v>
      </c>
      <c r="L129" s="262" t="n">
        <v>40</v>
      </c>
      <c r="M129" s="262" t="n">
        <v>80</v>
      </c>
      <c r="N129" s="262" t="n">
        <v>60</v>
      </c>
      <c r="O129" s="262" t="n">
        <v>45</v>
      </c>
      <c r="P129" s="361" t="n">
        <v>40</v>
      </c>
      <c r="Q129" s="261" t="s">
        <v>155</v>
      </c>
      <c r="R129" s="261" t="s">
        <v>157</v>
      </c>
      <c r="S129" s="363" t="n">
        <f aca="false" t="array" ref="S129:S129">IF(COUNTIF('0.3.0 GO Calculation Values'!$J$2:$J$99,C129),(INDEX('0.3.0 GO Calculation Values'!$K$2:$K$99,MATCH(C129,'0.3.0 GO Calculation Values'!$J$2:$J$99,0))),1)</f>
        <v>1</v>
      </c>
      <c r="T129" s="262" t="n">
        <f aca="false">ROUND(ROUND(2*((7/8)*MAX(L129,N129)+(1/8)*MIN(L129,N129)),0)*(1+(P129-75)/500),0)</f>
        <v>107</v>
      </c>
      <c r="U129" s="262" t="n">
        <f aca="false">ROUND(ROUND(2*((5/8)*MAX(M129,O129)+(3/8)*MIN(M129,O129)),0)*(1+(P129-75)/500),0)</f>
        <v>125</v>
      </c>
      <c r="V129" s="361" t="n">
        <f aca="false">ROUNDDOWN(K129*1.75+50,0)</f>
        <v>155</v>
      </c>
      <c r="W129" s="261" t="n">
        <v>1</v>
      </c>
      <c r="X129" s="261" t="s">
        <v>60</v>
      </c>
      <c r="Y129" s="364" t="s">
        <v>513</v>
      </c>
      <c r="Z129" s="364" t="n">
        <v>3</v>
      </c>
      <c r="AA129" s="364"/>
      <c r="AB129" s="365" t="n">
        <v>2</v>
      </c>
      <c r="AC129" s="364"/>
      <c r="AD129" s="364" t="n">
        <v>0</v>
      </c>
      <c r="AE129" s="366"/>
      <c r="AF129" s="364" t="s">
        <v>514</v>
      </c>
      <c r="AG129" s="364" t="s">
        <v>514</v>
      </c>
      <c r="AH129" s="366" t="s">
        <v>514</v>
      </c>
    </row>
    <row r="130" customFormat="false" ht="15.75" hidden="false" customHeight="false" outlineLevel="0" collapsed="false">
      <c r="A130" s="262" t="n">
        <v>103</v>
      </c>
      <c r="B130" s="361" t="n">
        <v>128</v>
      </c>
      <c r="C130" s="261" t="s">
        <v>515</v>
      </c>
      <c r="D130" s="261" t="s">
        <v>7</v>
      </c>
      <c r="E130" s="367" t="s">
        <v>515</v>
      </c>
      <c r="F130" s="261" t="s">
        <v>228</v>
      </c>
      <c r="G130" s="261" t="s">
        <v>144</v>
      </c>
      <c r="H130" s="261" t="n">
        <v>0</v>
      </c>
      <c r="I130" s="261" t="n">
        <v>2</v>
      </c>
      <c r="J130" s="361" t="n">
        <v>1</v>
      </c>
      <c r="K130" s="262" t="n">
        <v>95</v>
      </c>
      <c r="L130" s="262" t="n">
        <v>95</v>
      </c>
      <c r="M130" s="262" t="n">
        <v>85</v>
      </c>
      <c r="N130" s="262" t="n">
        <v>125</v>
      </c>
      <c r="O130" s="262" t="n">
        <v>65</v>
      </c>
      <c r="P130" s="361" t="n">
        <v>55</v>
      </c>
      <c r="Q130" s="261" t="s">
        <v>155</v>
      </c>
      <c r="R130" s="261" t="s">
        <v>157</v>
      </c>
      <c r="S130" s="363" t="n">
        <f aca="false" t="array" ref="S130:S130">IF(COUNTIF('0.3.0 GO Calculation Values'!$J$2:$J$99,C130),(INDEX('0.3.0 GO Calculation Values'!$K$2:$K$99,MATCH(C130,'0.3.0 GO Calculation Values'!$J$2:$J$99,0))),1)</f>
        <v>1</v>
      </c>
      <c r="T130" s="262" t="n">
        <f aca="false">ROUND(ROUND(2*((7/8)*MAX(L130,N130)+(1/8)*MIN(L130,N130)),0)*(1+(P130-75)/500),0)</f>
        <v>233</v>
      </c>
      <c r="U130" s="262" t="n">
        <f aca="false">ROUND(ROUND(2*((5/8)*MAX(M130,O130)+(3/8)*MIN(M130,O130)),0)*(1+(P130-75)/500),0)</f>
        <v>149</v>
      </c>
      <c r="V130" s="361" t="n">
        <f aca="false">ROUNDDOWN(K130*1.75+50,0)</f>
        <v>216</v>
      </c>
      <c r="W130" s="261" t="n">
        <v>1</v>
      </c>
      <c r="X130" s="261" t="s">
        <v>513</v>
      </c>
      <c r="Y130" s="364" t="s">
        <v>513</v>
      </c>
      <c r="Z130" s="364" t="n">
        <v>3</v>
      </c>
      <c r="AA130" s="364"/>
      <c r="AB130" s="365" t="n">
        <v>2</v>
      </c>
      <c r="AC130" s="364"/>
      <c r="AD130" s="364" t="n">
        <v>50</v>
      </c>
      <c r="AE130" s="366"/>
      <c r="AF130" s="364" t="s">
        <v>516</v>
      </c>
      <c r="AG130" s="364" t="s">
        <v>516</v>
      </c>
      <c r="AH130" s="366" t="s">
        <v>516</v>
      </c>
    </row>
    <row r="131" customFormat="false" ht="15.75" hidden="false" customHeight="false" outlineLevel="0" collapsed="false">
      <c r="A131" s="262" t="n">
        <v>103</v>
      </c>
      <c r="B131" s="361" t="n">
        <v>129</v>
      </c>
      <c r="C131" s="261" t="s">
        <v>515</v>
      </c>
      <c r="D131" s="261" t="s">
        <v>288</v>
      </c>
      <c r="E131" s="358" t="s">
        <v>517</v>
      </c>
      <c r="F131" s="261" t="s">
        <v>290</v>
      </c>
      <c r="G131" s="261" t="s">
        <v>144</v>
      </c>
      <c r="H131" s="261" t="n">
        <v>1</v>
      </c>
      <c r="I131" s="261" t="n">
        <v>2</v>
      </c>
      <c r="J131" s="361" t="n">
        <v>1</v>
      </c>
      <c r="K131" s="262" t="n">
        <v>95</v>
      </c>
      <c r="L131" s="262" t="n">
        <v>105</v>
      </c>
      <c r="M131" s="262" t="n">
        <v>85</v>
      </c>
      <c r="N131" s="262" t="n">
        <v>125</v>
      </c>
      <c r="O131" s="262" t="n">
        <v>75</v>
      </c>
      <c r="P131" s="361" t="n">
        <v>45</v>
      </c>
      <c r="Q131" s="261" t="s">
        <v>155</v>
      </c>
      <c r="R131" s="261" t="s">
        <v>159</v>
      </c>
      <c r="S131" s="363" t="n">
        <f aca="false" t="array" ref="S131:S131">IF(COUNTIF('0.3.0 GO Calculation Values'!$J$2:$J$99,C131),(INDEX('0.3.0 GO Calculation Values'!$K$2:$K$99,MATCH(C131,'0.3.0 GO Calculation Values'!$J$2:$J$99,0))),1)</f>
        <v>1</v>
      </c>
      <c r="T131" s="262" t="n">
        <f aca="false">ROUND(ROUND(2*((7/8)*MAX(L131,N131)+(1/8)*MIN(L131,N131)),0)*(1+(P131-75)/500),0)</f>
        <v>230</v>
      </c>
      <c r="U131" s="262" t="n">
        <f aca="false">ROUND(ROUND(2*((5/8)*MAX(M131,O131)+(3/8)*MIN(M131,O131)),0)*(1+(P131-75)/500),0)</f>
        <v>153</v>
      </c>
      <c r="V131" s="361" t="n">
        <f aca="false">ROUNDDOWN(K131*1.75+50,0)</f>
        <v>216</v>
      </c>
      <c r="W131" s="261" t="n">
        <v>0</v>
      </c>
      <c r="X131" s="261" t="s">
        <v>513</v>
      </c>
      <c r="Y131" s="364" t="s">
        <v>513</v>
      </c>
      <c r="Z131" s="364" t="n">
        <v>3</v>
      </c>
      <c r="AA131" s="364"/>
      <c r="AB131" s="365"/>
      <c r="AC131" s="364"/>
      <c r="AD131" s="364" t="n">
        <v>50</v>
      </c>
      <c r="AE131" s="366"/>
      <c r="AF131" s="364" t="s">
        <v>518</v>
      </c>
      <c r="AG131" s="261" t="s">
        <v>519</v>
      </c>
      <c r="AH131" s="362" t="s">
        <v>519</v>
      </c>
    </row>
    <row r="132" customFormat="false" ht="15.75" hidden="false" customHeight="false" outlineLevel="0" collapsed="false">
      <c r="A132" s="262" t="n">
        <v>104</v>
      </c>
      <c r="B132" s="361" t="n">
        <v>130</v>
      </c>
      <c r="C132" s="261" t="s">
        <v>520</v>
      </c>
      <c r="D132" s="261" t="s">
        <v>60</v>
      </c>
      <c r="E132" s="362" t="s">
        <v>520</v>
      </c>
      <c r="F132" s="261" t="s">
        <v>228</v>
      </c>
      <c r="G132" s="261" t="s">
        <v>144</v>
      </c>
      <c r="H132" s="261" t="n">
        <v>0</v>
      </c>
      <c r="I132" s="261" t="n">
        <v>1</v>
      </c>
      <c r="J132" s="361" t="n">
        <v>0</v>
      </c>
      <c r="K132" s="262" t="n">
        <v>50</v>
      </c>
      <c r="L132" s="262" t="n">
        <v>50</v>
      </c>
      <c r="M132" s="262" t="n">
        <v>95</v>
      </c>
      <c r="N132" s="262" t="n">
        <v>40</v>
      </c>
      <c r="O132" s="262" t="n">
        <v>50</v>
      </c>
      <c r="P132" s="361" t="n">
        <v>35</v>
      </c>
      <c r="Q132" s="261" t="s">
        <v>148</v>
      </c>
      <c r="R132" s="261"/>
      <c r="S132" s="363" t="n">
        <f aca="false" t="array" ref="S132:S132">IF(COUNTIF('0.3.0 GO Calculation Values'!$J$2:$J$99,C132),(INDEX('0.3.0 GO Calculation Values'!$K$2:$K$99,MATCH(C132,'0.3.0 GO Calculation Values'!$J$2:$J$99,0))),1)</f>
        <v>1</v>
      </c>
      <c r="T132" s="262" t="n">
        <f aca="false">ROUND(ROUND(2*((7/8)*MAX(L132,N132)+(1/8)*MIN(L132,N132)),0)*(1+(P132-75)/500),0)</f>
        <v>90</v>
      </c>
      <c r="U132" s="262" t="n">
        <f aca="false">ROUND(ROUND(2*((5/8)*MAX(M132,O132)+(3/8)*MIN(M132,O132)),0)*(1+(P132-75)/500),0)</f>
        <v>144</v>
      </c>
      <c r="V132" s="361" t="n">
        <f aca="false">ROUNDDOWN(K132*1.75+50,0)</f>
        <v>137</v>
      </c>
      <c r="W132" s="261" t="n">
        <v>1</v>
      </c>
      <c r="X132" s="261" t="s">
        <v>60</v>
      </c>
      <c r="Y132" s="364" t="s">
        <v>520</v>
      </c>
      <c r="Z132" s="364" t="n">
        <v>3</v>
      </c>
      <c r="AA132" s="364"/>
      <c r="AB132" s="365" t="s">
        <v>60</v>
      </c>
      <c r="AC132" s="364"/>
      <c r="AD132" s="364" t="n">
        <v>0</v>
      </c>
      <c r="AE132" s="366"/>
      <c r="AF132" s="364" t="s">
        <v>521</v>
      </c>
      <c r="AG132" s="364" t="s">
        <v>521</v>
      </c>
      <c r="AH132" s="366" t="s">
        <v>521</v>
      </c>
    </row>
    <row r="133" customFormat="false" ht="15.75" hidden="false" customHeight="false" outlineLevel="0" collapsed="false">
      <c r="A133" s="262" t="n">
        <v>105</v>
      </c>
      <c r="B133" s="361" t="n">
        <v>131</v>
      </c>
      <c r="C133" s="261" t="s">
        <v>522</v>
      </c>
      <c r="D133" s="261" t="s">
        <v>7</v>
      </c>
      <c r="E133" s="367" t="s">
        <v>522</v>
      </c>
      <c r="F133" s="261" t="s">
        <v>228</v>
      </c>
      <c r="G133" s="261" t="s">
        <v>144</v>
      </c>
      <c r="H133" s="261" t="n">
        <v>0</v>
      </c>
      <c r="I133" s="261" t="n">
        <v>2</v>
      </c>
      <c r="J133" s="361" t="n">
        <v>1</v>
      </c>
      <c r="K133" s="262" t="n">
        <v>60</v>
      </c>
      <c r="L133" s="262" t="n">
        <v>80</v>
      </c>
      <c r="M133" s="262" t="n">
        <v>110</v>
      </c>
      <c r="N133" s="262" t="n">
        <v>50</v>
      </c>
      <c r="O133" s="262" t="n">
        <v>80</v>
      </c>
      <c r="P133" s="361" t="n">
        <v>45</v>
      </c>
      <c r="Q133" s="261" t="s">
        <v>148</v>
      </c>
      <c r="R133" s="261"/>
      <c r="S133" s="363" t="n">
        <f aca="false" t="array" ref="S133:S133">IF(COUNTIF('0.3.0 GO Calculation Values'!$J$2:$J$99,C133),(INDEX('0.3.0 GO Calculation Values'!$K$2:$K$99,MATCH(C133,'0.3.0 GO Calculation Values'!$J$2:$J$99,0))),1)</f>
        <v>1</v>
      </c>
      <c r="T133" s="262" t="n">
        <f aca="false">ROUND(ROUND(2*((7/8)*MAX(L133,N133)+(1/8)*MIN(L133,N133)),0)*(1+(P133-75)/500),0)</f>
        <v>144</v>
      </c>
      <c r="U133" s="262" t="n">
        <f aca="false">ROUND(ROUND(2*((5/8)*MAX(M133,O133)+(3/8)*MIN(M133,O133)),0)*(1+(P133-75)/500),0)</f>
        <v>186</v>
      </c>
      <c r="V133" s="361" t="n">
        <f aca="false">ROUNDDOWN(K133*1.75+50,0)</f>
        <v>155</v>
      </c>
      <c r="W133" s="261" t="n">
        <v>1</v>
      </c>
      <c r="X133" s="261" t="s">
        <v>520</v>
      </c>
      <c r="Y133" s="364" t="s">
        <v>520</v>
      </c>
      <c r="Z133" s="364" t="n">
        <v>3</v>
      </c>
      <c r="AA133" s="364"/>
      <c r="AB133" s="365" t="s">
        <v>60</v>
      </c>
      <c r="AC133" s="364"/>
      <c r="AD133" s="364" t="n">
        <v>50</v>
      </c>
      <c r="AE133" s="366"/>
      <c r="AF133" s="364" t="s">
        <v>523</v>
      </c>
      <c r="AG133" s="364" t="s">
        <v>523</v>
      </c>
      <c r="AH133" s="366" t="s">
        <v>523</v>
      </c>
    </row>
    <row r="134" customFormat="false" ht="15.75" hidden="false" customHeight="false" outlineLevel="0" collapsed="false">
      <c r="A134" s="262" t="n">
        <v>105</v>
      </c>
      <c r="B134" s="361" t="n">
        <v>132</v>
      </c>
      <c r="C134" s="261" t="s">
        <v>522</v>
      </c>
      <c r="D134" s="261" t="s">
        <v>288</v>
      </c>
      <c r="E134" s="358" t="s">
        <v>524</v>
      </c>
      <c r="F134" s="261" t="s">
        <v>290</v>
      </c>
      <c r="G134" s="261" t="s">
        <v>144</v>
      </c>
      <c r="H134" s="261" t="n">
        <v>1</v>
      </c>
      <c r="I134" s="261" t="n">
        <v>2</v>
      </c>
      <c r="J134" s="361" t="n">
        <v>1</v>
      </c>
      <c r="K134" s="262" t="n">
        <v>60</v>
      </c>
      <c r="L134" s="262" t="n">
        <v>80</v>
      </c>
      <c r="M134" s="262" t="n">
        <v>110</v>
      </c>
      <c r="N134" s="262" t="n">
        <v>50</v>
      </c>
      <c r="O134" s="262" t="n">
        <v>80</v>
      </c>
      <c r="P134" s="361" t="n">
        <v>45</v>
      </c>
      <c r="Q134" s="261" t="s">
        <v>153</v>
      </c>
      <c r="R134" s="261" t="s">
        <v>151</v>
      </c>
      <c r="S134" s="363" t="n">
        <f aca="false" t="array" ref="S134:S134">IF(COUNTIF('0.3.0 GO Calculation Values'!$J$2:$J$99,C134),(INDEX('0.3.0 GO Calculation Values'!$K$2:$K$99,MATCH(C134,'0.3.0 GO Calculation Values'!$J$2:$J$99,0))),1)</f>
        <v>1</v>
      </c>
      <c r="T134" s="262" t="n">
        <f aca="false">ROUND(ROUND(2*((7/8)*MAX(L134,N134)+(1/8)*MIN(L134,N134)),0)*(1+(P134-75)/500),0)</f>
        <v>144</v>
      </c>
      <c r="U134" s="262" t="n">
        <f aca="false">ROUND(ROUND(2*((5/8)*MAX(M134,O134)+(3/8)*MIN(M134,O134)),0)*(1+(P134-75)/500),0)</f>
        <v>186</v>
      </c>
      <c r="V134" s="361" t="n">
        <f aca="false">ROUNDDOWN(K134*1.75+50,0)</f>
        <v>155</v>
      </c>
      <c r="W134" s="261" t="n">
        <v>0</v>
      </c>
      <c r="X134" s="261" t="s">
        <v>520</v>
      </c>
      <c r="Y134" s="364" t="s">
        <v>520</v>
      </c>
      <c r="Z134" s="364" t="n">
        <v>3</v>
      </c>
      <c r="AA134" s="364"/>
      <c r="AB134" s="365"/>
      <c r="AC134" s="364"/>
      <c r="AD134" s="364" t="n">
        <v>50</v>
      </c>
      <c r="AE134" s="366"/>
      <c r="AF134" s="364" t="s">
        <v>525</v>
      </c>
      <c r="AG134" s="261" t="s">
        <v>526</v>
      </c>
      <c r="AH134" s="362" t="s">
        <v>526</v>
      </c>
    </row>
    <row r="135" customFormat="false" ht="15.75" hidden="false" customHeight="false" outlineLevel="0" collapsed="false">
      <c r="A135" s="262" t="n">
        <v>106</v>
      </c>
      <c r="B135" s="361" t="n">
        <v>133</v>
      </c>
      <c r="C135" s="261" t="s">
        <v>527</v>
      </c>
      <c r="D135" s="261" t="s">
        <v>60</v>
      </c>
      <c r="E135" s="362" t="s">
        <v>527</v>
      </c>
      <c r="F135" s="261" t="s">
        <v>228</v>
      </c>
      <c r="G135" s="261" t="s">
        <v>144</v>
      </c>
      <c r="H135" s="261" t="n">
        <v>0</v>
      </c>
      <c r="I135" s="261" t="n">
        <v>2</v>
      </c>
      <c r="J135" s="361" t="n">
        <v>1</v>
      </c>
      <c r="K135" s="262" t="n">
        <v>50</v>
      </c>
      <c r="L135" s="262" t="n">
        <v>120</v>
      </c>
      <c r="M135" s="262" t="n">
        <v>53</v>
      </c>
      <c r="N135" s="262" t="n">
        <v>35</v>
      </c>
      <c r="O135" s="262" t="n">
        <v>110</v>
      </c>
      <c r="P135" s="361" t="n">
        <v>87</v>
      </c>
      <c r="Q135" s="261" t="s">
        <v>145</v>
      </c>
      <c r="R135" s="261"/>
      <c r="S135" s="363" t="n">
        <f aca="false" t="array" ref="S135:S135">IF(COUNTIF('0.3.0 GO Calculation Values'!$J$2:$J$99,C135),(INDEX('0.3.0 GO Calculation Values'!$K$2:$K$99,MATCH(C135,'0.3.0 GO Calculation Values'!$J$2:$J$99,0))),1)</f>
        <v>1</v>
      </c>
      <c r="T135" s="262" t="n">
        <f aca="false">ROUND(ROUND(2*((7/8)*MAX(L135,N135)+(1/8)*MIN(L135,N135)),0)*(1+(P135-75)/500),0)</f>
        <v>224</v>
      </c>
      <c r="U135" s="262" t="n">
        <f aca="false">ROUND(ROUND(2*((5/8)*MAX(M135,O135)+(3/8)*MIN(M135,O135)),0)*(1+(P135-75)/500),0)</f>
        <v>181</v>
      </c>
      <c r="V135" s="361" t="n">
        <f aca="false">ROUNDDOWN(K135*1.75+50,0)</f>
        <v>137</v>
      </c>
      <c r="W135" s="261" t="n">
        <v>1</v>
      </c>
      <c r="X135" s="261" t="s">
        <v>528</v>
      </c>
      <c r="Y135" s="261" t="s">
        <v>528</v>
      </c>
      <c r="Z135" s="364" t="n">
        <v>5</v>
      </c>
      <c r="AA135" s="364"/>
      <c r="AB135" s="365" t="n">
        <v>5</v>
      </c>
      <c r="AC135" s="364"/>
      <c r="AD135" s="364" t="n">
        <v>25</v>
      </c>
      <c r="AE135" s="362" t="s">
        <v>529</v>
      </c>
      <c r="AF135" s="364" t="s">
        <v>530</v>
      </c>
      <c r="AG135" s="364" t="s">
        <v>530</v>
      </c>
      <c r="AH135" s="366" t="s">
        <v>530</v>
      </c>
    </row>
    <row r="136" customFormat="false" ht="15.75" hidden="false" customHeight="false" outlineLevel="0" collapsed="false">
      <c r="A136" s="262" t="n">
        <v>107</v>
      </c>
      <c r="B136" s="361" t="n">
        <v>134</v>
      </c>
      <c r="C136" s="261" t="s">
        <v>531</v>
      </c>
      <c r="D136" s="261" t="s">
        <v>60</v>
      </c>
      <c r="E136" s="362" t="s">
        <v>531</v>
      </c>
      <c r="F136" s="261" t="s">
        <v>228</v>
      </c>
      <c r="G136" s="261" t="s">
        <v>144</v>
      </c>
      <c r="H136" s="261" t="n">
        <v>0</v>
      </c>
      <c r="I136" s="261" t="n">
        <v>2</v>
      </c>
      <c r="J136" s="361" t="n">
        <v>1</v>
      </c>
      <c r="K136" s="262" t="n">
        <v>50</v>
      </c>
      <c r="L136" s="262" t="n">
        <v>105</v>
      </c>
      <c r="M136" s="262" t="n">
        <v>79</v>
      </c>
      <c r="N136" s="262" t="n">
        <v>35</v>
      </c>
      <c r="O136" s="262" t="n">
        <v>110</v>
      </c>
      <c r="P136" s="361" t="n">
        <v>76</v>
      </c>
      <c r="Q136" s="261" t="s">
        <v>145</v>
      </c>
      <c r="R136" s="261"/>
      <c r="S136" s="363" t="n">
        <f aca="false" t="array" ref="S136:S136">IF(COUNTIF('0.3.0 GO Calculation Values'!$J$2:$J$99,C136),(INDEX('0.3.0 GO Calculation Values'!$K$2:$K$99,MATCH(C136,'0.3.0 GO Calculation Values'!$J$2:$J$99,0))),1)</f>
        <v>1</v>
      </c>
      <c r="T136" s="262" t="n">
        <f aca="false">ROUND(ROUND(2*((7/8)*MAX(L136,N136)+(1/8)*MIN(L136,N136)),0)*(1+(P136-75)/500),0)</f>
        <v>193</v>
      </c>
      <c r="U136" s="262" t="n">
        <f aca="false">ROUND(ROUND(2*((5/8)*MAX(M136,O136)+(3/8)*MIN(M136,O136)),0)*(1+(P136-75)/500),0)</f>
        <v>197</v>
      </c>
      <c r="V136" s="361" t="n">
        <f aca="false">ROUNDDOWN(K136*1.75+50,0)</f>
        <v>137</v>
      </c>
      <c r="W136" s="261" t="n">
        <v>1</v>
      </c>
      <c r="X136" s="261" t="s">
        <v>528</v>
      </c>
      <c r="Y136" s="261" t="s">
        <v>528</v>
      </c>
      <c r="Z136" s="364" t="n">
        <v>5</v>
      </c>
      <c r="AA136" s="364"/>
      <c r="AB136" s="365" t="n">
        <v>5</v>
      </c>
      <c r="AC136" s="364"/>
      <c r="AD136" s="364" t="n">
        <v>25</v>
      </c>
      <c r="AE136" s="362" t="s">
        <v>532</v>
      </c>
      <c r="AF136" s="364" t="s">
        <v>533</v>
      </c>
      <c r="AG136" s="364" t="s">
        <v>533</v>
      </c>
      <c r="AH136" s="366" t="s">
        <v>533</v>
      </c>
    </row>
    <row r="137" customFormat="false" ht="15.75" hidden="false" customHeight="false" outlineLevel="0" collapsed="false">
      <c r="A137" s="262" t="n">
        <v>108</v>
      </c>
      <c r="B137" s="361" t="n">
        <v>135</v>
      </c>
      <c r="C137" s="261" t="s">
        <v>534</v>
      </c>
      <c r="D137" s="261" t="s">
        <v>60</v>
      </c>
      <c r="E137" s="362" t="s">
        <v>534</v>
      </c>
      <c r="F137" s="261" t="s">
        <v>228</v>
      </c>
      <c r="G137" s="261" t="s">
        <v>144</v>
      </c>
      <c r="H137" s="261" t="n">
        <v>0</v>
      </c>
      <c r="I137" s="261" t="n">
        <v>1</v>
      </c>
      <c r="J137" s="361" t="n">
        <v>1</v>
      </c>
      <c r="K137" s="262" t="n">
        <v>90</v>
      </c>
      <c r="L137" s="262" t="n">
        <v>55</v>
      </c>
      <c r="M137" s="262" t="n">
        <v>75</v>
      </c>
      <c r="N137" s="262" t="n">
        <v>60</v>
      </c>
      <c r="O137" s="262" t="n">
        <v>75</v>
      </c>
      <c r="P137" s="361" t="n">
        <v>30</v>
      </c>
      <c r="Q137" s="261" t="s">
        <v>144</v>
      </c>
      <c r="R137" s="261"/>
      <c r="S137" s="363" t="n">
        <f aca="false" t="array" ref="S137:S137">IF(COUNTIF('0.3.0 GO Calculation Values'!$J$2:$J$99,C137),(INDEX('0.3.0 GO Calculation Values'!$K$2:$K$99,MATCH(C137,'0.3.0 GO Calculation Values'!$J$2:$J$99,0))),1)</f>
        <v>1</v>
      </c>
      <c r="T137" s="262" t="n">
        <f aca="false">ROUND(ROUND(2*((7/8)*MAX(L137,N137)+(1/8)*MIN(L137,N137)),0)*(1+(P137-75)/500),0)</f>
        <v>108</v>
      </c>
      <c r="U137" s="262" t="n">
        <f aca="false">ROUND(ROUND(2*((5/8)*MAX(M137,O137)+(3/8)*MIN(M137,O137)),0)*(1+(P137-75)/500),0)</f>
        <v>137</v>
      </c>
      <c r="V137" s="361" t="n">
        <f aca="false">ROUNDDOWN(K137*1.75+50,0)</f>
        <v>207</v>
      </c>
      <c r="W137" s="261" t="n">
        <v>1</v>
      </c>
      <c r="X137" s="261" t="s">
        <v>60</v>
      </c>
      <c r="Y137" s="364" t="s">
        <v>534</v>
      </c>
      <c r="Z137" s="364" t="n">
        <v>3</v>
      </c>
      <c r="AA137" s="364"/>
      <c r="AB137" s="365" t="n">
        <v>5</v>
      </c>
      <c r="AC137" s="364"/>
      <c r="AD137" s="364" t="n">
        <v>0</v>
      </c>
      <c r="AE137" s="366"/>
      <c r="AF137" s="364" t="s">
        <v>535</v>
      </c>
      <c r="AG137" s="364" t="s">
        <v>535</v>
      </c>
      <c r="AH137" s="366" t="s">
        <v>535</v>
      </c>
    </row>
    <row r="138" customFormat="false" ht="15.75" hidden="false" customHeight="false" outlineLevel="0" collapsed="false">
      <c r="A138" s="262" t="n">
        <v>109</v>
      </c>
      <c r="B138" s="361" t="n">
        <v>136</v>
      </c>
      <c r="C138" s="261" t="s">
        <v>536</v>
      </c>
      <c r="D138" s="261" t="s">
        <v>60</v>
      </c>
      <c r="E138" s="362" t="s">
        <v>536</v>
      </c>
      <c r="F138" s="261" t="s">
        <v>228</v>
      </c>
      <c r="G138" s="261" t="s">
        <v>144</v>
      </c>
      <c r="H138" s="261" t="n">
        <v>0</v>
      </c>
      <c r="I138" s="261" t="n">
        <v>1</v>
      </c>
      <c r="J138" s="361" t="n">
        <v>0</v>
      </c>
      <c r="K138" s="262" t="n">
        <v>40</v>
      </c>
      <c r="L138" s="262" t="n">
        <v>65</v>
      </c>
      <c r="M138" s="262" t="n">
        <v>95</v>
      </c>
      <c r="N138" s="262" t="n">
        <v>60</v>
      </c>
      <c r="O138" s="262" t="n">
        <v>45</v>
      </c>
      <c r="P138" s="361" t="n">
        <v>35</v>
      </c>
      <c r="Q138" s="261" t="s">
        <v>147</v>
      </c>
      <c r="R138" s="261"/>
      <c r="S138" s="363" t="n">
        <f aca="false" t="array" ref="S138:S138">IF(COUNTIF('0.3.0 GO Calculation Values'!$J$2:$J$99,C138),(INDEX('0.3.0 GO Calculation Values'!$K$2:$K$99,MATCH(C138,'0.3.0 GO Calculation Values'!$J$2:$J$99,0))),1)</f>
        <v>1</v>
      </c>
      <c r="T138" s="262" t="n">
        <f aca="false">ROUND(ROUND(2*((7/8)*MAX(L138,N138)+(1/8)*MIN(L138,N138)),0)*(1+(P138-75)/500),0)</f>
        <v>119</v>
      </c>
      <c r="U138" s="262" t="n">
        <f aca="false">ROUND(ROUND(2*((5/8)*MAX(M138,O138)+(3/8)*MIN(M138,O138)),0)*(1+(P138-75)/500),0)</f>
        <v>141</v>
      </c>
      <c r="V138" s="361" t="n">
        <f aca="false">ROUNDDOWN(K138*1.75+50,0)</f>
        <v>120</v>
      </c>
      <c r="W138" s="261" t="n">
        <v>1</v>
      </c>
      <c r="X138" s="261" t="s">
        <v>60</v>
      </c>
      <c r="Y138" s="364" t="s">
        <v>536</v>
      </c>
      <c r="Z138" s="364" t="n">
        <v>3</v>
      </c>
      <c r="AA138" s="364"/>
      <c r="AB138" s="365" t="n">
        <v>5</v>
      </c>
      <c r="AC138" s="364"/>
      <c r="AD138" s="364" t="n">
        <v>0</v>
      </c>
      <c r="AE138" s="366"/>
      <c r="AF138" s="364" t="s">
        <v>537</v>
      </c>
      <c r="AG138" s="364" t="s">
        <v>537</v>
      </c>
      <c r="AH138" s="366" t="s">
        <v>537</v>
      </c>
    </row>
    <row r="139" customFormat="false" ht="15.75" hidden="false" customHeight="false" outlineLevel="0" collapsed="false">
      <c r="A139" s="262" t="n">
        <v>110</v>
      </c>
      <c r="B139" s="361" t="n">
        <v>137</v>
      </c>
      <c r="C139" s="261" t="s">
        <v>538</v>
      </c>
      <c r="D139" s="261" t="s">
        <v>60</v>
      </c>
      <c r="E139" s="362" t="s">
        <v>538</v>
      </c>
      <c r="F139" s="261" t="s">
        <v>228</v>
      </c>
      <c r="G139" s="261" t="s">
        <v>144</v>
      </c>
      <c r="H139" s="261" t="n">
        <v>0</v>
      </c>
      <c r="I139" s="261" t="n">
        <v>2</v>
      </c>
      <c r="J139" s="361" t="n">
        <v>1</v>
      </c>
      <c r="K139" s="262" t="n">
        <v>65</v>
      </c>
      <c r="L139" s="262" t="n">
        <v>90</v>
      </c>
      <c r="M139" s="262" t="n">
        <v>120</v>
      </c>
      <c r="N139" s="262" t="n">
        <v>85</v>
      </c>
      <c r="O139" s="262" t="n">
        <v>70</v>
      </c>
      <c r="P139" s="361" t="n">
        <v>60</v>
      </c>
      <c r="Q139" s="261" t="s">
        <v>147</v>
      </c>
      <c r="R139" s="261"/>
      <c r="S139" s="363" t="n">
        <f aca="false" t="array" ref="S139:S139">IF(COUNTIF('0.3.0 GO Calculation Values'!$J$2:$J$99,C139),(INDEX('0.3.0 GO Calculation Values'!$K$2:$K$99,MATCH(C139,'0.3.0 GO Calculation Values'!$J$2:$J$99,0))),1)</f>
        <v>1</v>
      </c>
      <c r="T139" s="262" t="n">
        <f aca="false">ROUND(ROUND(2*((7/8)*MAX(L139,N139)+(1/8)*MIN(L139,N139)),0)*(1+(P139-75)/500),0)</f>
        <v>174</v>
      </c>
      <c r="U139" s="262" t="n">
        <f aca="false">ROUND(ROUND(2*((5/8)*MAX(M139,O139)+(3/8)*MIN(M139,O139)),0)*(1+(P139-75)/500),0)</f>
        <v>197</v>
      </c>
      <c r="V139" s="361" t="n">
        <f aca="false">ROUNDDOWN(K139*1.75+50,0)</f>
        <v>163</v>
      </c>
      <c r="W139" s="261" t="n">
        <v>1</v>
      </c>
      <c r="X139" s="261" t="s">
        <v>536</v>
      </c>
      <c r="Y139" s="364" t="s">
        <v>536</v>
      </c>
      <c r="Z139" s="364" t="n">
        <v>3</v>
      </c>
      <c r="AA139" s="364"/>
      <c r="AB139" s="365" t="n">
        <v>5</v>
      </c>
      <c r="AC139" s="364"/>
      <c r="AD139" s="364" t="n">
        <v>50</v>
      </c>
      <c r="AE139" s="366"/>
      <c r="AF139" s="364" t="s">
        <v>539</v>
      </c>
      <c r="AG139" s="364" t="s">
        <v>539</v>
      </c>
      <c r="AH139" s="366" t="s">
        <v>539</v>
      </c>
    </row>
    <row r="140" customFormat="false" ht="15.75" hidden="false" customHeight="false" outlineLevel="0" collapsed="false">
      <c r="A140" s="262" t="n">
        <v>111</v>
      </c>
      <c r="B140" s="361" t="n">
        <v>138</v>
      </c>
      <c r="C140" s="261" t="s">
        <v>540</v>
      </c>
      <c r="D140" s="261" t="s">
        <v>60</v>
      </c>
      <c r="E140" s="362" t="s">
        <v>540</v>
      </c>
      <c r="F140" s="261" t="s">
        <v>228</v>
      </c>
      <c r="G140" s="261" t="s">
        <v>144</v>
      </c>
      <c r="H140" s="261" t="n">
        <v>0</v>
      </c>
      <c r="I140" s="261" t="n">
        <v>1</v>
      </c>
      <c r="J140" s="361" t="n">
        <v>0</v>
      </c>
      <c r="K140" s="262" t="n">
        <v>80</v>
      </c>
      <c r="L140" s="262" t="n">
        <v>85</v>
      </c>
      <c r="M140" s="262" t="n">
        <v>95</v>
      </c>
      <c r="N140" s="262" t="n">
        <v>30</v>
      </c>
      <c r="O140" s="262" t="n">
        <v>30</v>
      </c>
      <c r="P140" s="361" t="n">
        <v>25</v>
      </c>
      <c r="Q140" s="261" t="s">
        <v>149</v>
      </c>
      <c r="R140" s="261" t="s">
        <v>148</v>
      </c>
      <c r="S140" s="363" t="n">
        <f aca="false" t="array" ref="S140:S140">IF(COUNTIF('0.3.0 GO Calculation Values'!$J$2:$J$99,C140),(INDEX('0.3.0 GO Calculation Values'!$K$2:$K$99,MATCH(C140,'0.3.0 GO Calculation Values'!$J$2:$J$99,0))),1)</f>
        <v>1</v>
      </c>
      <c r="T140" s="262" t="n">
        <f aca="false">ROUND(ROUND(2*((7/8)*MAX(L140,N140)+(1/8)*MIN(L140,N140)),0)*(1+(P140-75)/500),0)</f>
        <v>140</v>
      </c>
      <c r="U140" s="262" t="n">
        <f aca="false">ROUND(ROUND(2*((5/8)*MAX(M140,O140)+(3/8)*MIN(M140,O140)),0)*(1+(P140-75)/500),0)</f>
        <v>127</v>
      </c>
      <c r="V140" s="361" t="n">
        <f aca="false">ROUNDDOWN(K140*1.75+50,0)</f>
        <v>190</v>
      </c>
      <c r="W140" s="261" t="n">
        <v>1</v>
      </c>
      <c r="X140" s="261" t="s">
        <v>60</v>
      </c>
      <c r="Y140" s="364" t="s">
        <v>540</v>
      </c>
      <c r="Z140" s="364" t="n">
        <v>3</v>
      </c>
      <c r="AA140" s="364"/>
      <c r="AB140" s="365" t="n">
        <v>5</v>
      </c>
      <c r="AC140" s="364"/>
      <c r="AD140" s="364" t="n">
        <v>0</v>
      </c>
      <c r="AE140" s="366"/>
      <c r="AF140" s="364" t="s">
        <v>541</v>
      </c>
      <c r="AG140" s="364" t="s">
        <v>541</v>
      </c>
      <c r="AH140" s="366" t="s">
        <v>541</v>
      </c>
    </row>
    <row r="141" customFormat="false" ht="15.75" hidden="false" customHeight="false" outlineLevel="0" collapsed="false">
      <c r="A141" s="262" t="n">
        <v>112</v>
      </c>
      <c r="B141" s="361" t="n">
        <v>139</v>
      </c>
      <c r="C141" s="261" t="s">
        <v>542</v>
      </c>
      <c r="D141" s="261" t="s">
        <v>60</v>
      </c>
      <c r="E141" s="362" t="s">
        <v>542</v>
      </c>
      <c r="F141" s="261" t="s">
        <v>228</v>
      </c>
      <c r="G141" s="261" t="s">
        <v>144</v>
      </c>
      <c r="H141" s="261" t="n">
        <v>0</v>
      </c>
      <c r="I141" s="261" t="n">
        <v>2</v>
      </c>
      <c r="J141" s="361" t="n">
        <v>1</v>
      </c>
      <c r="K141" s="262" t="n">
        <v>105</v>
      </c>
      <c r="L141" s="262" t="n">
        <v>130</v>
      </c>
      <c r="M141" s="262" t="n">
        <v>120</v>
      </c>
      <c r="N141" s="262" t="n">
        <v>45</v>
      </c>
      <c r="O141" s="262" t="n">
        <v>45</v>
      </c>
      <c r="P141" s="361" t="n">
        <v>40</v>
      </c>
      <c r="Q141" s="261" t="s">
        <v>149</v>
      </c>
      <c r="R141" s="261" t="s">
        <v>148</v>
      </c>
      <c r="S141" s="363" t="n">
        <f aca="false" t="array" ref="S141:S141">IF(COUNTIF('0.3.0 GO Calculation Values'!$J$2:$J$99,C141),(INDEX('0.3.0 GO Calculation Values'!$K$2:$K$99,MATCH(C141,'0.3.0 GO Calculation Values'!$J$2:$J$99,0))),1)</f>
        <v>1</v>
      </c>
      <c r="T141" s="262" t="n">
        <f aca="false">ROUND(ROUND(2*((7/8)*MAX(L141,N141)+(1/8)*MIN(L141,N141)),0)*(1+(P141-75)/500),0)</f>
        <v>222</v>
      </c>
      <c r="U141" s="262" t="n">
        <f aca="false">ROUND(ROUND(2*((5/8)*MAX(M141,O141)+(3/8)*MIN(M141,O141)),0)*(1+(P141-75)/500),0)</f>
        <v>171</v>
      </c>
      <c r="V141" s="361" t="n">
        <f aca="false">ROUNDDOWN(K141*1.75+50,0)</f>
        <v>233</v>
      </c>
      <c r="W141" s="261" t="n">
        <v>1</v>
      </c>
      <c r="X141" s="261" t="s">
        <v>540</v>
      </c>
      <c r="Y141" s="364" t="s">
        <v>540</v>
      </c>
      <c r="Z141" s="364" t="n">
        <v>3</v>
      </c>
      <c r="AA141" s="364"/>
      <c r="AB141" s="365" t="n">
        <v>5</v>
      </c>
      <c r="AC141" s="364"/>
      <c r="AD141" s="364" t="n">
        <v>50</v>
      </c>
      <c r="AE141" s="366"/>
      <c r="AF141" s="364" t="s">
        <v>543</v>
      </c>
      <c r="AG141" s="364" t="s">
        <v>543</v>
      </c>
      <c r="AH141" s="366" t="s">
        <v>543</v>
      </c>
    </row>
    <row r="142" customFormat="false" ht="15.75" hidden="false" customHeight="false" outlineLevel="0" collapsed="false">
      <c r="A142" s="262" t="n">
        <v>113</v>
      </c>
      <c r="B142" s="361" t="n">
        <v>140</v>
      </c>
      <c r="C142" s="261" t="s">
        <v>544</v>
      </c>
      <c r="D142" s="261" t="s">
        <v>60</v>
      </c>
      <c r="E142" s="362" t="s">
        <v>544</v>
      </c>
      <c r="F142" s="261" t="s">
        <v>228</v>
      </c>
      <c r="G142" s="261" t="s">
        <v>144</v>
      </c>
      <c r="H142" s="261" t="n">
        <v>0</v>
      </c>
      <c r="I142" s="261" t="n">
        <v>2</v>
      </c>
      <c r="J142" s="361" t="n">
        <v>1</v>
      </c>
      <c r="K142" s="262" t="n">
        <v>250</v>
      </c>
      <c r="L142" s="262" t="n">
        <v>5</v>
      </c>
      <c r="M142" s="262" t="n">
        <v>5</v>
      </c>
      <c r="N142" s="262" t="n">
        <v>35</v>
      </c>
      <c r="O142" s="262" t="n">
        <v>105</v>
      </c>
      <c r="P142" s="361" t="n">
        <v>50</v>
      </c>
      <c r="Q142" s="261" t="s">
        <v>144</v>
      </c>
      <c r="R142" s="261"/>
      <c r="S142" s="363" t="n">
        <f aca="false" t="array" ref="S142:S142">IF(COUNTIF('0.3.0 GO Calculation Values'!$J$2:$J$99,C142),(INDEX('0.3.0 GO Calculation Values'!$K$2:$K$99,MATCH(C142,'0.3.0 GO Calculation Values'!$J$2:$J$99,0))),1)</f>
        <v>1</v>
      </c>
      <c r="T142" s="262" t="n">
        <f aca="false">ROUND(ROUND(2*((7/8)*MAX(L142,N142)+(1/8)*MIN(L142,N142)),0)*(1+(P142-75)/500),0)</f>
        <v>60</v>
      </c>
      <c r="U142" s="262" t="n">
        <f aca="false">ROUND(ROUND(2*((5/8)*MAX(M142,O142)+(3/8)*MIN(M142,O142)),0)*(1+(P142-75)/500),0)</f>
        <v>128</v>
      </c>
      <c r="V142" s="361" t="n">
        <f aca="false">ROUNDDOWN(K142*1.75+50,0)</f>
        <v>487</v>
      </c>
      <c r="W142" s="261" t="n">
        <v>1</v>
      </c>
      <c r="X142" s="261" t="s">
        <v>545</v>
      </c>
      <c r="Y142" s="364" t="s">
        <v>544</v>
      </c>
      <c r="Z142" s="364" t="n">
        <v>5</v>
      </c>
      <c r="AA142" s="364"/>
      <c r="AB142" s="365" t="n">
        <v>10</v>
      </c>
      <c r="AC142" s="364"/>
      <c r="AD142" s="364" t="n">
        <v>0</v>
      </c>
      <c r="AE142" s="366"/>
      <c r="AF142" s="364" t="s">
        <v>546</v>
      </c>
      <c r="AG142" s="364" t="s">
        <v>546</v>
      </c>
      <c r="AH142" s="366" t="s">
        <v>546</v>
      </c>
    </row>
    <row r="143" customFormat="false" ht="15.75" hidden="false" customHeight="false" outlineLevel="0" collapsed="false">
      <c r="A143" s="262" t="n">
        <v>114</v>
      </c>
      <c r="B143" s="361" t="n">
        <v>141</v>
      </c>
      <c r="C143" s="261" t="s">
        <v>547</v>
      </c>
      <c r="D143" s="261" t="s">
        <v>60</v>
      </c>
      <c r="E143" s="362" t="s">
        <v>547</v>
      </c>
      <c r="F143" s="261" t="s">
        <v>228</v>
      </c>
      <c r="G143" s="261" t="s">
        <v>144</v>
      </c>
      <c r="H143" s="261" t="n">
        <v>0</v>
      </c>
      <c r="I143" s="261" t="n">
        <v>1</v>
      </c>
      <c r="J143" s="361" t="n">
        <v>1</v>
      </c>
      <c r="K143" s="262" t="n">
        <v>65</v>
      </c>
      <c r="L143" s="262" t="n">
        <v>55</v>
      </c>
      <c r="M143" s="262" t="n">
        <v>115</v>
      </c>
      <c r="N143" s="262" t="n">
        <v>100</v>
      </c>
      <c r="O143" s="262" t="n">
        <v>40</v>
      </c>
      <c r="P143" s="361" t="n">
        <v>60</v>
      </c>
      <c r="Q143" s="261" t="s">
        <v>155</v>
      </c>
      <c r="R143" s="261"/>
      <c r="S143" s="363" t="n">
        <f aca="false" t="array" ref="S143:S143">IF(COUNTIF('0.3.0 GO Calculation Values'!$J$2:$J$99,C143),(INDEX('0.3.0 GO Calculation Values'!$K$2:$K$99,MATCH(C143,'0.3.0 GO Calculation Values'!$J$2:$J$99,0))),1)</f>
        <v>1</v>
      </c>
      <c r="T143" s="262" t="n">
        <f aca="false">ROUND(ROUND(2*((7/8)*MAX(L143,N143)+(1/8)*MIN(L143,N143)),0)*(1+(P143-75)/500),0)</f>
        <v>183</v>
      </c>
      <c r="U143" s="262" t="n">
        <f aca="false">ROUND(ROUND(2*((5/8)*MAX(M143,O143)+(3/8)*MIN(M143,O143)),0)*(1+(P143-75)/500),0)</f>
        <v>169</v>
      </c>
      <c r="V143" s="361" t="n">
        <f aca="false">ROUNDDOWN(K143*1.75+50,0)</f>
        <v>163</v>
      </c>
      <c r="W143" s="261" t="n">
        <v>1</v>
      </c>
      <c r="X143" s="261" t="s">
        <v>60</v>
      </c>
      <c r="Y143" s="364" t="s">
        <v>547</v>
      </c>
      <c r="Z143" s="364" t="n">
        <v>3</v>
      </c>
      <c r="AA143" s="364"/>
      <c r="AB143" s="365" t="n">
        <v>5</v>
      </c>
      <c r="AC143" s="364"/>
      <c r="AD143" s="364" t="n">
        <v>0</v>
      </c>
      <c r="AE143" s="366"/>
      <c r="AF143" s="364" t="s">
        <v>548</v>
      </c>
      <c r="AG143" s="364" t="s">
        <v>548</v>
      </c>
      <c r="AH143" s="366" t="s">
        <v>548</v>
      </c>
    </row>
    <row r="144" customFormat="false" ht="15.75" hidden="false" customHeight="false" outlineLevel="0" collapsed="false">
      <c r="A144" s="262" t="n">
        <v>115</v>
      </c>
      <c r="B144" s="361" t="n">
        <v>142</v>
      </c>
      <c r="C144" s="261" t="s">
        <v>549</v>
      </c>
      <c r="D144" s="261" t="s">
        <v>7</v>
      </c>
      <c r="E144" s="367" t="s">
        <v>549</v>
      </c>
      <c r="F144" s="261" t="s">
        <v>228</v>
      </c>
      <c r="G144" s="261" t="s">
        <v>144</v>
      </c>
      <c r="H144" s="261" t="n">
        <v>0</v>
      </c>
      <c r="I144" s="261" t="n">
        <v>1</v>
      </c>
      <c r="J144" s="361" t="n">
        <v>1</v>
      </c>
      <c r="K144" s="262" t="n">
        <v>105</v>
      </c>
      <c r="L144" s="262" t="n">
        <v>95</v>
      </c>
      <c r="M144" s="262" t="n">
        <v>80</v>
      </c>
      <c r="N144" s="262" t="n">
        <v>40</v>
      </c>
      <c r="O144" s="262" t="n">
        <v>80</v>
      </c>
      <c r="P144" s="361" t="n">
        <v>90</v>
      </c>
      <c r="Q144" s="261" t="s">
        <v>144</v>
      </c>
      <c r="R144" s="261"/>
      <c r="S144" s="363" t="n">
        <f aca="false" t="array" ref="S144:S144">IF(COUNTIF('0.3.0 GO Calculation Values'!$J$2:$J$99,C144),(INDEX('0.3.0 GO Calculation Values'!$K$2:$K$99,MATCH(C144,'0.3.0 GO Calculation Values'!$J$2:$J$99,0))),1)</f>
        <v>1</v>
      </c>
      <c r="T144" s="262" t="n">
        <f aca="false">ROUND(ROUND(2*((7/8)*MAX(L144,N144)+(1/8)*MIN(L144,N144)),0)*(1+(P144-75)/500),0)</f>
        <v>181</v>
      </c>
      <c r="U144" s="262" t="n">
        <f aca="false">ROUND(ROUND(2*((5/8)*MAX(M144,O144)+(3/8)*MIN(M144,O144)),0)*(1+(P144-75)/500),0)</f>
        <v>165</v>
      </c>
      <c r="V144" s="361" t="n">
        <f aca="false">ROUNDDOWN(K144*1.75+50,0)</f>
        <v>233</v>
      </c>
      <c r="W144" s="261" t="n">
        <v>1</v>
      </c>
      <c r="X144" s="261" t="s">
        <v>60</v>
      </c>
      <c r="Y144" s="364" t="s">
        <v>549</v>
      </c>
      <c r="Z144" s="364" t="n">
        <v>3</v>
      </c>
      <c r="AA144" s="364"/>
      <c r="AB144" s="365" t="s">
        <v>60</v>
      </c>
      <c r="AC144" s="364"/>
      <c r="AD144" s="364" t="n">
        <v>0</v>
      </c>
      <c r="AE144" s="366"/>
      <c r="AF144" s="364" t="s">
        <v>550</v>
      </c>
      <c r="AG144" s="364" t="s">
        <v>550</v>
      </c>
      <c r="AH144" s="366" t="s">
        <v>550</v>
      </c>
    </row>
    <row r="145" customFormat="false" ht="15.75" hidden="false" customHeight="false" outlineLevel="0" collapsed="false">
      <c r="A145" s="262" t="n">
        <v>115</v>
      </c>
      <c r="B145" s="361" t="n">
        <v>143</v>
      </c>
      <c r="C145" s="261" t="s">
        <v>549</v>
      </c>
      <c r="D145" s="261" t="s">
        <v>551</v>
      </c>
      <c r="E145" s="358" t="s">
        <v>552</v>
      </c>
      <c r="F145" s="261" t="s">
        <v>237</v>
      </c>
      <c r="G145" s="261" t="s">
        <v>144</v>
      </c>
      <c r="H145" s="261" t="n">
        <v>2</v>
      </c>
      <c r="I145" s="261" t="n">
        <v>2</v>
      </c>
      <c r="J145" s="361" t="n">
        <v>1</v>
      </c>
      <c r="K145" s="262" t="n">
        <v>105</v>
      </c>
      <c r="L145" s="262" t="n">
        <v>125</v>
      </c>
      <c r="M145" s="262" t="n">
        <v>100</v>
      </c>
      <c r="N145" s="262" t="n">
        <v>60</v>
      </c>
      <c r="O145" s="262" t="n">
        <v>100</v>
      </c>
      <c r="P145" s="361" t="n">
        <v>100</v>
      </c>
      <c r="Q145" s="261" t="s">
        <v>144</v>
      </c>
      <c r="R145" s="261"/>
      <c r="S145" s="363" t="n">
        <f aca="false" t="array" ref="S145:S145">IF(COUNTIF('0.3.0 GO Calculation Values'!$J$2:$J$99,C145),(INDEX('0.3.0 GO Calculation Values'!$K$2:$K$99,MATCH(C145,'0.3.0 GO Calculation Values'!$J$2:$J$99,0))),1)</f>
        <v>1</v>
      </c>
      <c r="T145" s="262" t="n">
        <f aca="false">ROUND(ROUND(2*((7/8)*MAX(L145,N145)+(1/8)*MIN(L145,N145)),0)*(1+(P145-75)/500),0)</f>
        <v>246</v>
      </c>
      <c r="U145" s="262" t="n">
        <f aca="false">ROUND(ROUND(2*((5/8)*MAX(M145,O145)+(3/8)*MIN(M145,O145)),0)*(1+(P145-75)/500),0)</f>
        <v>210</v>
      </c>
      <c r="V145" s="361" t="n">
        <f aca="false">ROUNDDOWN(K145*1.75+50,0)</f>
        <v>233</v>
      </c>
      <c r="W145" s="261" t="n">
        <v>0</v>
      </c>
      <c r="X145" s="261" t="s">
        <v>549</v>
      </c>
      <c r="Y145" s="364" t="s">
        <v>549</v>
      </c>
      <c r="Z145" s="364" t="n">
        <v>3</v>
      </c>
      <c r="AA145" s="364"/>
      <c r="AB145" s="365" t="s">
        <v>60</v>
      </c>
      <c r="AC145" s="364"/>
      <c r="AD145" s="364" t="n">
        <v>0</v>
      </c>
      <c r="AE145" s="366"/>
      <c r="AF145" s="364" t="s">
        <v>553</v>
      </c>
      <c r="AG145" s="364" t="s">
        <v>553</v>
      </c>
      <c r="AH145" s="366" t="s">
        <v>553</v>
      </c>
    </row>
    <row r="146" customFormat="false" ht="15.75" hidden="false" customHeight="false" outlineLevel="0" collapsed="false">
      <c r="A146" s="262" t="n">
        <v>116</v>
      </c>
      <c r="B146" s="361" t="n">
        <v>144</v>
      </c>
      <c r="C146" s="261" t="s">
        <v>554</v>
      </c>
      <c r="D146" s="261" t="s">
        <v>60</v>
      </c>
      <c r="E146" s="362" t="s">
        <v>554</v>
      </c>
      <c r="F146" s="261" t="s">
        <v>228</v>
      </c>
      <c r="G146" s="261" t="s">
        <v>144</v>
      </c>
      <c r="H146" s="261" t="n">
        <v>0</v>
      </c>
      <c r="I146" s="261" t="n">
        <v>1</v>
      </c>
      <c r="J146" s="361" t="n">
        <v>0</v>
      </c>
      <c r="K146" s="262" t="n">
        <v>30</v>
      </c>
      <c r="L146" s="262" t="n">
        <v>40</v>
      </c>
      <c r="M146" s="262" t="n">
        <v>70</v>
      </c>
      <c r="N146" s="262" t="n">
        <v>70</v>
      </c>
      <c r="O146" s="262" t="n">
        <v>25</v>
      </c>
      <c r="P146" s="361" t="n">
        <v>60</v>
      </c>
      <c r="Q146" s="261" t="s">
        <v>154</v>
      </c>
      <c r="R146" s="261"/>
      <c r="S146" s="363" t="n">
        <f aca="false" t="array" ref="S146:S146">IF(COUNTIF('0.3.0 GO Calculation Values'!$J$2:$J$99,C146),(INDEX('0.3.0 GO Calculation Values'!$K$2:$K$99,MATCH(C146,'0.3.0 GO Calculation Values'!$J$2:$J$99,0))),1)</f>
        <v>1</v>
      </c>
      <c r="T146" s="262" t="n">
        <f aca="false">ROUND(ROUND(2*((7/8)*MAX(L146,N146)+(1/8)*MIN(L146,N146)),0)*(1+(P146-75)/500),0)</f>
        <v>129</v>
      </c>
      <c r="U146" s="262" t="n">
        <f aca="false">ROUND(ROUND(2*((5/8)*MAX(M146,O146)+(3/8)*MIN(M146,O146)),0)*(1+(P146-75)/500),0)</f>
        <v>103</v>
      </c>
      <c r="V146" s="361" t="n">
        <f aca="false">ROUNDDOWN(K146*1.75+50,0)</f>
        <v>102</v>
      </c>
      <c r="W146" s="261" t="n">
        <v>1</v>
      </c>
      <c r="X146" s="261" t="s">
        <v>60</v>
      </c>
      <c r="Y146" s="364" t="s">
        <v>554</v>
      </c>
      <c r="Z146" s="364" t="n">
        <v>3</v>
      </c>
      <c r="AA146" s="364"/>
      <c r="AB146" s="365" t="s">
        <v>60</v>
      </c>
      <c r="AC146" s="364"/>
      <c r="AD146" s="364" t="n">
        <v>0</v>
      </c>
      <c r="AE146" s="366"/>
      <c r="AF146" s="364" t="s">
        <v>555</v>
      </c>
      <c r="AG146" s="364" t="s">
        <v>555</v>
      </c>
      <c r="AH146" s="366" t="s">
        <v>555</v>
      </c>
    </row>
    <row r="147" customFormat="false" ht="15.75" hidden="false" customHeight="false" outlineLevel="0" collapsed="false">
      <c r="A147" s="262" t="n">
        <v>117</v>
      </c>
      <c r="B147" s="361" t="n">
        <v>145</v>
      </c>
      <c r="C147" s="261" t="s">
        <v>556</v>
      </c>
      <c r="D147" s="261" t="s">
        <v>60</v>
      </c>
      <c r="E147" s="362" t="s">
        <v>556</v>
      </c>
      <c r="F147" s="261" t="s">
        <v>228</v>
      </c>
      <c r="G147" s="261" t="s">
        <v>144</v>
      </c>
      <c r="H147" s="261" t="n">
        <v>0</v>
      </c>
      <c r="I147" s="261" t="n">
        <v>2</v>
      </c>
      <c r="J147" s="361" t="n">
        <v>1</v>
      </c>
      <c r="K147" s="262" t="n">
        <v>55</v>
      </c>
      <c r="L147" s="262" t="n">
        <v>65</v>
      </c>
      <c r="M147" s="262" t="n">
        <v>95</v>
      </c>
      <c r="N147" s="262" t="n">
        <v>95</v>
      </c>
      <c r="O147" s="262" t="n">
        <v>45</v>
      </c>
      <c r="P147" s="361" t="n">
        <v>85</v>
      </c>
      <c r="Q147" s="261" t="s">
        <v>154</v>
      </c>
      <c r="R147" s="261"/>
      <c r="S147" s="363" t="n">
        <f aca="false" t="array" ref="S147:S147">IF(COUNTIF('0.3.0 GO Calculation Values'!$J$2:$J$99,C147),(INDEX('0.3.0 GO Calculation Values'!$K$2:$K$99,MATCH(C147,'0.3.0 GO Calculation Values'!$J$2:$J$99,0))),1)</f>
        <v>1</v>
      </c>
      <c r="T147" s="262" t="n">
        <f aca="false">ROUND(ROUND(2*((7/8)*MAX(L147,N147)+(1/8)*MIN(L147,N147)),0)*(1+(P147-75)/500),0)</f>
        <v>187</v>
      </c>
      <c r="U147" s="262" t="n">
        <f aca="false">ROUND(ROUND(2*((5/8)*MAX(M147,O147)+(3/8)*MIN(M147,O147)),0)*(1+(P147-75)/500),0)</f>
        <v>156</v>
      </c>
      <c r="V147" s="361" t="n">
        <f aca="false">ROUNDDOWN(K147*1.75+50,0)</f>
        <v>146</v>
      </c>
      <c r="W147" s="261" t="n">
        <v>1</v>
      </c>
      <c r="X147" s="261" t="s">
        <v>554</v>
      </c>
      <c r="Y147" s="364" t="s">
        <v>554</v>
      </c>
      <c r="Z147" s="364" t="n">
        <v>3</v>
      </c>
      <c r="AA147" s="364"/>
      <c r="AB147" s="365" t="s">
        <v>60</v>
      </c>
      <c r="AC147" s="364"/>
      <c r="AD147" s="364" t="n">
        <v>25</v>
      </c>
      <c r="AE147" s="366"/>
      <c r="AF147" s="364" t="s">
        <v>557</v>
      </c>
      <c r="AG147" s="364" t="s">
        <v>557</v>
      </c>
      <c r="AH147" s="366" t="s">
        <v>557</v>
      </c>
    </row>
    <row r="148" customFormat="false" ht="15.75" hidden="false" customHeight="false" outlineLevel="0" collapsed="false">
      <c r="A148" s="262" t="n">
        <v>118</v>
      </c>
      <c r="B148" s="361" t="n">
        <v>146</v>
      </c>
      <c r="C148" s="261" t="s">
        <v>558</v>
      </c>
      <c r="D148" s="261" t="s">
        <v>60</v>
      </c>
      <c r="E148" s="362" t="s">
        <v>558</v>
      </c>
      <c r="F148" s="261" t="s">
        <v>228</v>
      </c>
      <c r="G148" s="261" t="s">
        <v>144</v>
      </c>
      <c r="H148" s="261" t="n">
        <v>0</v>
      </c>
      <c r="I148" s="261" t="n">
        <v>1</v>
      </c>
      <c r="J148" s="361" t="n">
        <v>0</v>
      </c>
      <c r="K148" s="262" t="n">
        <v>45</v>
      </c>
      <c r="L148" s="262" t="n">
        <v>67</v>
      </c>
      <c r="M148" s="262" t="n">
        <v>60</v>
      </c>
      <c r="N148" s="262" t="n">
        <v>35</v>
      </c>
      <c r="O148" s="262" t="n">
        <v>50</v>
      </c>
      <c r="P148" s="361" t="n">
        <v>63</v>
      </c>
      <c r="Q148" s="261" t="s">
        <v>154</v>
      </c>
      <c r="R148" s="261"/>
      <c r="S148" s="363" t="n">
        <f aca="false" t="array" ref="S148:S148">IF(COUNTIF('0.3.0 GO Calculation Values'!$J$2:$J$99,C148),(INDEX('0.3.0 GO Calculation Values'!$K$2:$K$99,MATCH(C148,'0.3.0 GO Calculation Values'!$J$2:$J$99,0))),1)</f>
        <v>1</v>
      </c>
      <c r="T148" s="262" t="n">
        <f aca="false">ROUND(ROUND(2*((7/8)*MAX(L148,N148)+(1/8)*MIN(L148,N148)),0)*(1+(P148-75)/500),0)</f>
        <v>123</v>
      </c>
      <c r="U148" s="262" t="n">
        <f aca="false">ROUND(ROUND(2*((5/8)*MAX(M148,O148)+(3/8)*MIN(M148,O148)),0)*(1+(P148-75)/500),0)</f>
        <v>110</v>
      </c>
      <c r="V148" s="361" t="n">
        <f aca="false">ROUNDDOWN(K148*1.75+50,0)</f>
        <v>128</v>
      </c>
      <c r="W148" s="261" t="n">
        <v>1</v>
      </c>
      <c r="X148" s="261" t="s">
        <v>60</v>
      </c>
      <c r="Y148" s="364" t="s">
        <v>558</v>
      </c>
      <c r="Z148" s="364" t="n">
        <v>3</v>
      </c>
      <c r="AA148" s="364"/>
      <c r="AB148" s="365" t="s">
        <v>60</v>
      </c>
      <c r="AC148" s="364"/>
      <c r="AD148" s="364" t="n">
        <v>0</v>
      </c>
      <c r="AE148" s="366"/>
      <c r="AF148" s="364" t="s">
        <v>559</v>
      </c>
      <c r="AG148" s="364" t="s">
        <v>559</v>
      </c>
      <c r="AH148" s="366" t="s">
        <v>559</v>
      </c>
    </row>
    <row r="149" customFormat="false" ht="15.75" hidden="false" customHeight="false" outlineLevel="0" collapsed="false">
      <c r="A149" s="262" t="n">
        <v>119</v>
      </c>
      <c r="B149" s="361" t="n">
        <v>147</v>
      </c>
      <c r="C149" s="261" t="s">
        <v>560</v>
      </c>
      <c r="D149" s="261" t="s">
        <v>60</v>
      </c>
      <c r="E149" s="362" t="s">
        <v>560</v>
      </c>
      <c r="F149" s="261" t="s">
        <v>228</v>
      </c>
      <c r="G149" s="261" t="s">
        <v>144</v>
      </c>
      <c r="H149" s="261" t="n">
        <v>0</v>
      </c>
      <c r="I149" s="261" t="n">
        <v>2</v>
      </c>
      <c r="J149" s="361" t="n">
        <v>1</v>
      </c>
      <c r="K149" s="262" t="n">
        <v>80</v>
      </c>
      <c r="L149" s="262" t="n">
        <v>92</v>
      </c>
      <c r="M149" s="262" t="n">
        <v>65</v>
      </c>
      <c r="N149" s="262" t="n">
        <v>65</v>
      </c>
      <c r="O149" s="262" t="n">
        <v>80</v>
      </c>
      <c r="P149" s="361" t="n">
        <v>68</v>
      </c>
      <c r="Q149" s="261" t="s">
        <v>154</v>
      </c>
      <c r="R149" s="261"/>
      <c r="S149" s="363" t="n">
        <f aca="false" t="array" ref="S149:S149">IF(COUNTIF('0.3.0 GO Calculation Values'!$J$2:$J$99,C149),(INDEX('0.3.0 GO Calculation Values'!$K$2:$K$99,MATCH(C149,'0.3.0 GO Calculation Values'!$J$2:$J$99,0))),1)</f>
        <v>1</v>
      </c>
      <c r="T149" s="262" t="n">
        <f aca="false">ROUND(ROUND(2*((7/8)*MAX(L149,N149)+(1/8)*MIN(L149,N149)),0)*(1+(P149-75)/500),0)</f>
        <v>175</v>
      </c>
      <c r="U149" s="262" t="n">
        <f aca="false">ROUND(ROUND(2*((5/8)*MAX(M149,O149)+(3/8)*MIN(M149,O149)),0)*(1+(P149-75)/500),0)</f>
        <v>147</v>
      </c>
      <c r="V149" s="361" t="n">
        <f aca="false">ROUNDDOWN(K149*1.75+50,0)</f>
        <v>190</v>
      </c>
      <c r="W149" s="261" t="n">
        <v>1</v>
      </c>
      <c r="X149" s="261" t="s">
        <v>558</v>
      </c>
      <c r="Y149" s="364" t="s">
        <v>558</v>
      </c>
      <c r="Z149" s="364" t="n">
        <v>3</v>
      </c>
      <c r="AA149" s="364"/>
      <c r="AB149" s="365" t="s">
        <v>60</v>
      </c>
      <c r="AC149" s="364"/>
      <c r="AD149" s="364" t="n">
        <v>50</v>
      </c>
      <c r="AE149" s="366"/>
      <c r="AF149" s="364" t="s">
        <v>561</v>
      </c>
      <c r="AG149" s="364" t="s">
        <v>561</v>
      </c>
      <c r="AH149" s="366" t="s">
        <v>561</v>
      </c>
    </row>
    <row r="150" customFormat="false" ht="15.75" hidden="false" customHeight="false" outlineLevel="0" collapsed="false">
      <c r="A150" s="262" t="n">
        <v>120</v>
      </c>
      <c r="B150" s="361" t="n">
        <v>148</v>
      </c>
      <c r="C150" s="261" t="s">
        <v>562</v>
      </c>
      <c r="D150" s="261" t="s">
        <v>60</v>
      </c>
      <c r="E150" s="362" t="s">
        <v>562</v>
      </c>
      <c r="F150" s="261" t="s">
        <v>228</v>
      </c>
      <c r="G150" s="261" t="s">
        <v>144</v>
      </c>
      <c r="H150" s="261" t="n">
        <v>0</v>
      </c>
      <c r="I150" s="261" t="n">
        <v>1</v>
      </c>
      <c r="J150" s="361" t="n">
        <v>0</v>
      </c>
      <c r="K150" s="262" t="n">
        <v>30</v>
      </c>
      <c r="L150" s="262" t="n">
        <v>45</v>
      </c>
      <c r="M150" s="262" t="n">
        <v>55</v>
      </c>
      <c r="N150" s="262" t="n">
        <v>70</v>
      </c>
      <c r="O150" s="262" t="n">
        <v>55</v>
      </c>
      <c r="P150" s="361" t="n">
        <v>85</v>
      </c>
      <c r="Q150" s="261" t="s">
        <v>154</v>
      </c>
      <c r="R150" s="261"/>
      <c r="S150" s="363" t="n">
        <f aca="false" t="array" ref="S150:S150">IF(COUNTIF('0.3.0 GO Calculation Values'!$J$2:$J$99,C150),(INDEX('0.3.0 GO Calculation Values'!$K$2:$K$99,MATCH(C150,'0.3.0 GO Calculation Values'!$J$2:$J$99,0))),1)</f>
        <v>1</v>
      </c>
      <c r="T150" s="262" t="n">
        <f aca="false">ROUND(ROUND(2*((7/8)*MAX(L150,N150)+(1/8)*MIN(L150,N150)),0)*(1+(P150-75)/500),0)</f>
        <v>137</v>
      </c>
      <c r="U150" s="262" t="n">
        <f aca="false">ROUND(ROUND(2*((5/8)*MAX(M150,O150)+(3/8)*MIN(M150,O150)),0)*(1+(P150-75)/500),0)</f>
        <v>112</v>
      </c>
      <c r="V150" s="361" t="n">
        <f aca="false">ROUNDDOWN(K150*1.75+50,0)</f>
        <v>102</v>
      </c>
      <c r="W150" s="261" t="n">
        <v>1</v>
      </c>
      <c r="X150" s="261" t="s">
        <v>60</v>
      </c>
      <c r="Y150" s="364" t="s">
        <v>562</v>
      </c>
      <c r="Z150" s="364" t="n">
        <v>3</v>
      </c>
      <c r="AA150" s="364"/>
      <c r="AB150" s="365" t="s">
        <v>60</v>
      </c>
      <c r="AC150" s="364"/>
      <c r="AD150" s="364" t="n">
        <v>0</v>
      </c>
      <c r="AE150" s="366"/>
      <c r="AF150" s="364" t="s">
        <v>563</v>
      </c>
      <c r="AG150" s="364" t="s">
        <v>563</v>
      </c>
      <c r="AH150" s="366" t="s">
        <v>563</v>
      </c>
    </row>
    <row r="151" customFormat="false" ht="15.75" hidden="false" customHeight="false" outlineLevel="0" collapsed="false">
      <c r="A151" s="262" t="n">
        <v>121</v>
      </c>
      <c r="B151" s="361" t="n">
        <v>149</v>
      </c>
      <c r="C151" s="261" t="s">
        <v>564</v>
      </c>
      <c r="D151" s="261" t="s">
        <v>60</v>
      </c>
      <c r="E151" s="362" t="s">
        <v>564</v>
      </c>
      <c r="F151" s="261" t="s">
        <v>228</v>
      </c>
      <c r="G151" s="261" t="s">
        <v>144</v>
      </c>
      <c r="H151" s="261" t="n">
        <v>0</v>
      </c>
      <c r="I151" s="261" t="n">
        <v>2</v>
      </c>
      <c r="J151" s="361" t="n">
        <v>1</v>
      </c>
      <c r="K151" s="262" t="n">
        <v>60</v>
      </c>
      <c r="L151" s="262" t="n">
        <v>75</v>
      </c>
      <c r="M151" s="262" t="n">
        <v>85</v>
      </c>
      <c r="N151" s="262" t="n">
        <v>100</v>
      </c>
      <c r="O151" s="262" t="n">
        <v>85</v>
      </c>
      <c r="P151" s="361" t="n">
        <v>115</v>
      </c>
      <c r="Q151" s="261" t="s">
        <v>154</v>
      </c>
      <c r="R151" s="261" t="s">
        <v>157</v>
      </c>
      <c r="S151" s="363" t="n">
        <f aca="false" t="array" ref="S151:S151">IF(COUNTIF('0.3.0 GO Calculation Values'!$J$2:$J$99,C151),(INDEX('0.3.0 GO Calculation Values'!$K$2:$K$99,MATCH(C151,'0.3.0 GO Calculation Values'!$J$2:$J$99,0))),1)</f>
        <v>1</v>
      </c>
      <c r="T151" s="262" t="n">
        <f aca="false">ROUND(ROUND(2*((7/8)*MAX(L151,N151)+(1/8)*MIN(L151,N151)),0)*(1+(P151-75)/500),0)</f>
        <v>210</v>
      </c>
      <c r="U151" s="262" t="n">
        <f aca="false">ROUND(ROUND(2*((5/8)*MAX(M151,O151)+(3/8)*MIN(M151,O151)),0)*(1+(P151-75)/500),0)</f>
        <v>184</v>
      </c>
      <c r="V151" s="361" t="n">
        <f aca="false">ROUNDDOWN(K151*1.75+50,0)</f>
        <v>155</v>
      </c>
      <c r="W151" s="261" t="n">
        <v>1</v>
      </c>
      <c r="X151" s="261" t="s">
        <v>562</v>
      </c>
      <c r="Y151" s="364" t="s">
        <v>562</v>
      </c>
      <c r="Z151" s="364" t="n">
        <v>3</v>
      </c>
      <c r="AA151" s="364"/>
      <c r="AB151" s="365" t="s">
        <v>60</v>
      </c>
      <c r="AC151" s="364"/>
      <c r="AD151" s="364" t="n">
        <v>50</v>
      </c>
      <c r="AE151" s="366"/>
      <c r="AF151" s="364" t="s">
        <v>565</v>
      </c>
      <c r="AG151" s="364" t="s">
        <v>565</v>
      </c>
      <c r="AH151" s="366" t="s">
        <v>565</v>
      </c>
    </row>
    <row r="152" customFormat="false" ht="15.75" hidden="false" customHeight="false" outlineLevel="0" collapsed="false">
      <c r="A152" s="262" t="n">
        <v>122</v>
      </c>
      <c r="B152" s="361" t="n">
        <v>150</v>
      </c>
      <c r="C152" s="261" t="s">
        <v>566</v>
      </c>
      <c r="D152" s="261" t="s">
        <v>60</v>
      </c>
      <c r="E152" s="362" t="s">
        <v>566</v>
      </c>
      <c r="F152" s="261" t="s">
        <v>228</v>
      </c>
      <c r="G152" s="261" t="s">
        <v>144</v>
      </c>
      <c r="H152" s="261" t="n">
        <v>0</v>
      </c>
      <c r="I152" s="261" t="n">
        <v>2</v>
      </c>
      <c r="J152" s="361" t="n">
        <v>1</v>
      </c>
      <c r="K152" s="262" t="n">
        <v>40</v>
      </c>
      <c r="L152" s="262" t="n">
        <v>45</v>
      </c>
      <c r="M152" s="262" t="n">
        <v>65</v>
      </c>
      <c r="N152" s="262" t="n">
        <v>100</v>
      </c>
      <c r="O152" s="262" t="n">
        <v>120</v>
      </c>
      <c r="P152" s="361" t="n">
        <v>90</v>
      </c>
      <c r="Q152" s="261" t="s">
        <v>157</v>
      </c>
      <c r="R152" s="261" t="s">
        <v>161</v>
      </c>
      <c r="S152" s="363" t="n">
        <f aca="false" t="array" ref="S152:S152">IF(COUNTIF('0.3.0 GO Calculation Values'!$J$2:$J$99,C152),(INDEX('0.3.0 GO Calculation Values'!$K$2:$K$99,MATCH(C152,'0.3.0 GO Calculation Values'!$J$2:$J$99,0))),1)</f>
        <v>1</v>
      </c>
      <c r="T152" s="262" t="n">
        <f aca="false">ROUND(ROUND(2*((7/8)*MAX(L152,N152)+(1/8)*MIN(L152,N152)),0)*(1+(P152-75)/500),0)</f>
        <v>192</v>
      </c>
      <c r="U152" s="262" t="n">
        <f aca="false">ROUND(ROUND(2*((5/8)*MAX(M152,O152)+(3/8)*MIN(M152,O152)),0)*(1+(P152-75)/500),0)</f>
        <v>205</v>
      </c>
      <c r="V152" s="361" t="n">
        <f aca="false">ROUNDDOWN(K152*1.75+50,0)</f>
        <v>120</v>
      </c>
      <c r="W152" s="261" t="n">
        <v>1</v>
      </c>
      <c r="X152" s="261" t="s">
        <v>567</v>
      </c>
      <c r="Y152" s="364" t="s">
        <v>566</v>
      </c>
      <c r="Z152" s="364" t="n">
        <v>5</v>
      </c>
      <c r="AA152" s="364"/>
      <c r="AB152" s="365" t="s">
        <v>60</v>
      </c>
      <c r="AC152" s="364"/>
      <c r="AD152" s="364" t="n">
        <v>0</v>
      </c>
      <c r="AE152" s="366"/>
      <c r="AF152" s="261" t="s">
        <v>568</v>
      </c>
      <c r="AG152" s="261" t="s">
        <v>568</v>
      </c>
      <c r="AH152" s="362" t="s">
        <v>568</v>
      </c>
    </row>
    <row r="153" customFormat="false" ht="15.75" hidden="false" customHeight="false" outlineLevel="0" collapsed="false">
      <c r="A153" s="262" t="n">
        <v>123</v>
      </c>
      <c r="B153" s="361" t="n">
        <v>151</v>
      </c>
      <c r="C153" s="261" t="s">
        <v>569</v>
      </c>
      <c r="D153" s="261" t="s">
        <v>60</v>
      </c>
      <c r="E153" s="362" t="s">
        <v>569</v>
      </c>
      <c r="F153" s="261" t="s">
        <v>228</v>
      </c>
      <c r="G153" s="261" t="s">
        <v>144</v>
      </c>
      <c r="H153" s="261" t="n">
        <v>0</v>
      </c>
      <c r="I153" s="261" t="n">
        <v>1</v>
      </c>
      <c r="J153" s="361" t="n">
        <v>1</v>
      </c>
      <c r="K153" s="262" t="n">
        <v>70</v>
      </c>
      <c r="L153" s="262" t="n">
        <v>110</v>
      </c>
      <c r="M153" s="262" t="n">
        <v>80</v>
      </c>
      <c r="N153" s="262" t="n">
        <v>55</v>
      </c>
      <c r="O153" s="262" t="n">
        <v>80</v>
      </c>
      <c r="P153" s="361" t="n">
        <v>105</v>
      </c>
      <c r="Q153" s="261" t="s">
        <v>150</v>
      </c>
      <c r="R153" s="261" t="s">
        <v>146</v>
      </c>
      <c r="S153" s="363" t="n">
        <f aca="false" t="array" ref="S153:S153">IF(COUNTIF('0.3.0 GO Calculation Values'!$J$2:$J$99,C153),(INDEX('0.3.0 GO Calculation Values'!$K$2:$K$99,MATCH(C153,'0.3.0 GO Calculation Values'!$J$2:$J$99,0))),1)</f>
        <v>1</v>
      </c>
      <c r="T153" s="262" t="n">
        <f aca="false">ROUND(ROUND(2*((7/8)*MAX(L153,N153)+(1/8)*MIN(L153,N153)),0)*(1+(P153-75)/500),0)</f>
        <v>218</v>
      </c>
      <c r="U153" s="262" t="n">
        <f aca="false">ROUND(ROUND(2*((5/8)*MAX(M153,O153)+(3/8)*MIN(M153,O153)),0)*(1+(P153-75)/500),0)</f>
        <v>170</v>
      </c>
      <c r="V153" s="361" t="n">
        <f aca="false">ROUNDDOWN(K153*1.75+50,0)</f>
        <v>172</v>
      </c>
      <c r="W153" s="261" t="n">
        <v>1</v>
      </c>
      <c r="X153" s="261" t="s">
        <v>60</v>
      </c>
      <c r="Y153" s="364" t="s">
        <v>569</v>
      </c>
      <c r="Z153" s="364" t="n">
        <v>5</v>
      </c>
      <c r="AA153" s="364"/>
      <c r="AB153" s="365" t="n">
        <v>5</v>
      </c>
      <c r="AC153" s="364"/>
      <c r="AD153" s="364" t="n">
        <v>0</v>
      </c>
      <c r="AE153" s="366"/>
      <c r="AF153" s="364" t="s">
        <v>570</v>
      </c>
      <c r="AG153" s="364" t="s">
        <v>570</v>
      </c>
      <c r="AH153" s="366" t="s">
        <v>570</v>
      </c>
    </row>
    <row r="154" customFormat="false" ht="15.75" hidden="false" customHeight="false" outlineLevel="0" collapsed="false">
      <c r="A154" s="262" t="n">
        <v>124</v>
      </c>
      <c r="B154" s="361" t="n">
        <v>152</v>
      </c>
      <c r="C154" s="261" t="s">
        <v>571</v>
      </c>
      <c r="D154" s="261" t="s">
        <v>60</v>
      </c>
      <c r="E154" s="362" t="s">
        <v>571</v>
      </c>
      <c r="F154" s="261" t="s">
        <v>228</v>
      </c>
      <c r="G154" s="261" t="s">
        <v>144</v>
      </c>
      <c r="H154" s="261" t="n">
        <v>0</v>
      </c>
      <c r="I154" s="261" t="n">
        <v>2</v>
      </c>
      <c r="J154" s="361" t="n">
        <v>1</v>
      </c>
      <c r="K154" s="262" t="n">
        <v>65</v>
      </c>
      <c r="L154" s="262" t="n">
        <v>50</v>
      </c>
      <c r="M154" s="262" t="n">
        <v>35</v>
      </c>
      <c r="N154" s="262" t="n">
        <v>115</v>
      </c>
      <c r="O154" s="262" t="n">
        <v>95</v>
      </c>
      <c r="P154" s="361" t="n">
        <v>95</v>
      </c>
      <c r="Q154" s="261" t="s">
        <v>158</v>
      </c>
      <c r="R154" s="261" t="s">
        <v>157</v>
      </c>
      <c r="S154" s="363" t="n">
        <f aca="false" t="array" ref="S154:S154">IF(COUNTIF('0.3.0 GO Calculation Values'!$J$2:$J$99,C154),(INDEX('0.3.0 GO Calculation Values'!$K$2:$K$99,MATCH(C154,'0.3.0 GO Calculation Values'!$J$2:$J$99,0))),1)</f>
        <v>1</v>
      </c>
      <c r="T154" s="262" t="n">
        <f aca="false">ROUND(ROUND(2*((7/8)*MAX(L154,N154)+(1/8)*MIN(L154,N154)),0)*(1+(P154-75)/500),0)</f>
        <v>223</v>
      </c>
      <c r="U154" s="262" t="n">
        <f aca="false">ROUND(ROUND(2*((5/8)*MAX(M154,O154)+(3/8)*MIN(M154,O154)),0)*(1+(P154-75)/500),0)</f>
        <v>151</v>
      </c>
      <c r="V154" s="361" t="n">
        <f aca="false">ROUNDDOWN(K154*1.75+50,0)</f>
        <v>163</v>
      </c>
      <c r="W154" s="261" t="n">
        <v>1</v>
      </c>
      <c r="X154" s="261" t="s">
        <v>572</v>
      </c>
      <c r="Y154" s="364" t="s">
        <v>571</v>
      </c>
      <c r="Z154" s="364" t="n">
        <v>5</v>
      </c>
      <c r="AA154" s="364"/>
      <c r="AB154" s="365" t="n">
        <v>5</v>
      </c>
      <c r="AC154" s="364"/>
      <c r="AD154" s="364" t="n">
        <v>25</v>
      </c>
      <c r="AE154" s="366"/>
      <c r="AF154" s="364" t="s">
        <v>573</v>
      </c>
      <c r="AG154" s="364" t="s">
        <v>573</v>
      </c>
      <c r="AH154" s="366" t="s">
        <v>573</v>
      </c>
    </row>
    <row r="155" customFormat="false" ht="15.75" hidden="false" customHeight="false" outlineLevel="0" collapsed="false">
      <c r="A155" s="262" t="n">
        <v>125</v>
      </c>
      <c r="B155" s="361" t="n">
        <v>153</v>
      </c>
      <c r="C155" s="261" t="s">
        <v>574</v>
      </c>
      <c r="D155" s="261" t="s">
        <v>60</v>
      </c>
      <c r="E155" s="362" t="s">
        <v>574</v>
      </c>
      <c r="F155" s="261" t="s">
        <v>228</v>
      </c>
      <c r="G155" s="261" t="s">
        <v>144</v>
      </c>
      <c r="H155" s="261" t="n">
        <v>0</v>
      </c>
      <c r="I155" s="261" t="n">
        <v>2</v>
      </c>
      <c r="J155" s="361" t="n">
        <v>1</v>
      </c>
      <c r="K155" s="262" t="n">
        <v>65</v>
      </c>
      <c r="L155" s="262" t="n">
        <v>83</v>
      </c>
      <c r="M155" s="262" t="n">
        <v>57</v>
      </c>
      <c r="N155" s="262" t="n">
        <v>95</v>
      </c>
      <c r="O155" s="262" t="n">
        <v>85</v>
      </c>
      <c r="P155" s="361" t="n">
        <v>105</v>
      </c>
      <c r="Q155" s="261" t="s">
        <v>156</v>
      </c>
      <c r="R155" s="261"/>
      <c r="S155" s="363" t="n">
        <f aca="false" t="array" ref="S155:S155">IF(COUNTIF('0.3.0 GO Calculation Values'!$J$2:$J$99,C155),(INDEX('0.3.0 GO Calculation Values'!$K$2:$K$99,MATCH(C155,'0.3.0 GO Calculation Values'!$J$2:$J$99,0))),1)</f>
        <v>1</v>
      </c>
      <c r="T155" s="262" t="n">
        <f aca="false">ROUND(ROUND(2*((7/8)*MAX(L155,N155)+(1/8)*MIN(L155,N155)),0)*(1+(P155-75)/500),0)</f>
        <v>198</v>
      </c>
      <c r="U155" s="262" t="n">
        <f aca="false">ROUND(ROUND(2*((5/8)*MAX(M155,O155)+(3/8)*MIN(M155,O155)),0)*(1+(P155-75)/500),0)</f>
        <v>158</v>
      </c>
      <c r="V155" s="361" t="n">
        <f aca="false">ROUNDDOWN(K155*1.75+50,0)</f>
        <v>163</v>
      </c>
      <c r="W155" s="261" t="n">
        <v>1</v>
      </c>
      <c r="X155" s="261" t="s">
        <v>575</v>
      </c>
      <c r="Y155" s="364" t="s">
        <v>574</v>
      </c>
      <c r="Z155" s="364" t="n">
        <v>5</v>
      </c>
      <c r="AA155" s="364"/>
      <c r="AB155" s="365" t="n">
        <v>5</v>
      </c>
      <c r="AC155" s="364"/>
      <c r="AD155" s="364" t="n">
        <v>25</v>
      </c>
      <c r="AE155" s="366"/>
      <c r="AF155" s="364" t="s">
        <v>576</v>
      </c>
      <c r="AG155" s="364" t="s">
        <v>576</v>
      </c>
      <c r="AH155" s="366" t="s">
        <v>576</v>
      </c>
    </row>
    <row r="156" customFormat="false" ht="15.75" hidden="false" customHeight="false" outlineLevel="0" collapsed="false">
      <c r="A156" s="262" t="n">
        <v>126</v>
      </c>
      <c r="B156" s="361" t="n">
        <v>154</v>
      </c>
      <c r="C156" s="261" t="s">
        <v>577</v>
      </c>
      <c r="D156" s="261" t="s">
        <v>60</v>
      </c>
      <c r="E156" s="362" t="s">
        <v>577</v>
      </c>
      <c r="F156" s="261" t="s">
        <v>228</v>
      </c>
      <c r="G156" s="261" t="s">
        <v>144</v>
      </c>
      <c r="H156" s="261" t="n">
        <v>0</v>
      </c>
      <c r="I156" s="261" t="n">
        <v>2</v>
      </c>
      <c r="J156" s="361" t="n">
        <v>1</v>
      </c>
      <c r="K156" s="262" t="n">
        <v>65</v>
      </c>
      <c r="L156" s="262" t="n">
        <v>95</v>
      </c>
      <c r="M156" s="262" t="n">
        <v>57</v>
      </c>
      <c r="N156" s="262" t="n">
        <v>100</v>
      </c>
      <c r="O156" s="262" t="n">
        <v>85</v>
      </c>
      <c r="P156" s="361" t="n">
        <v>93</v>
      </c>
      <c r="Q156" s="261" t="s">
        <v>153</v>
      </c>
      <c r="R156" s="261"/>
      <c r="S156" s="363" t="n">
        <f aca="false" t="array" ref="S156:S156">IF(COUNTIF('0.3.0 GO Calculation Values'!$J$2:$J$99,C156),(INDEX('0.3.0 GO Calculation Values'!$K$2:$K$99,MATCH(C156,'0.3.0 GO Calculation Values'!$J$2:$J$99,0))),1)</f>
        <v>1</v>
      </c>
      <c r="T156" s="262" t="n">
        <f aca="false">ROUND(ROUND(2*((7/8)*MAX(L156,N156)+(1/8)*MIN(L156,N156)),0)*(1+(P156-75)/500),0)</f>
        <v>206</v>
      </c>
      <c r="U156" s="262" t="n">
        <f aca="false">ROUND(ROUND(2*((5/8)*MAX(M156,O156)+(3/8)*MIN(M156,O156)),0)*(1+(P156-75)/500),0)</f>
        <v>154</v>
      </c>
      <c r="V156" s="361" t="n">
        <f aca="false">ROUNDDOWN(K156*1.75+50,0)</f>
        <v>163</v>
      </c>
      <c r="W156" s="261" t="n">
        <v>1</v>
      </c>
      <c r="X156" s="261" t="s">
        <v>578</v>
      </c>
      <c r="Y156" s="364" t="s">
        <v>577</v>
      </c>
      <c r="Z156" s="364" t="n">
        <v>5</v>
      </c>
      <c r="AA156" s="364"/>
      <c r="AB156" s="365" t="n">
        <v>5</v>
      </c>
      <c r="AC156" s="364"/>
      <c r="AD156" s="364" t="n">
        <v>25</v>
      </c>
      <c r="AE156" s="366"/>
      <c r="AF156" s="364" t="s">
        <v>579</v>
      </c>
      <c r="AG156" s="364" t="s">
        <v>579</v>
      </c>
      <c r="AH156" s="366" t="s">
        <v>579</v>
      </c>
    </row>
    <row r="157" customFormat="false" ht="15.75" hidden="false" customHeight="false" outlineLevel="0" collapsed="false">
      <c r="A157" s="262" t="n">
        <v>127</v>
      </c>
      <c r="B157" s="361" t="n">
        <v>155</v>
      </c>
      <c r="C157" s="261" t="s">
        <v>580</v>
      </c>
      <c r="D157" s="261" t="s">
        <v>7</v>
      </c>
      <c r="E157" s="367" t="s">
        <v>580</v>
      </c>
      <c r="F157" s="261" t="s">
        <v>228</v>
      </c>
      <c r="G157" s="261" t="s">
        <v>144</v>
      </c>
      <c r="H157" s="261" t="n">
        <v>0</v>
      </c>
      <c r="I157" s="261" t="n">
        <v>1</v>
      </c>
      <c r="J157" s="361" t="n">
        <v>1</v>
      </c>
      <c r="K157" s="262" t="n">
        <v>65</v>
      </c>
      <c r="L157" s="262" t="n">
        <v>125</v>
      </c>
      <c r="M157" s="262" t="n">
        <v>100</v>
      </c>
      <c r="N157" s="262" t="n">
        <v>55</v>
      </c>
      <c r="O157" s="262" t="n">
        <v>70</v>
      </c>
      <c r="P157" s="361" t="n">
        <v>85</v>
      </c>
      <c r="Q157" s="261" t="s">
        <v>150</v>
      </c>
      <c r="R157" s="261"/>
      <c r="S157" s="363" t="n">
        <f aca="false" t="array" ref="S157:S157">IF(COUNTIF('0.3.0 GO Calculation Values'!$J$2:$J$99,C157),(INDEX('0.3.0 GO Calculation Values'!$K$2:$K$99,MATCH(C157,'0.3.0 GO Calculation Values'!$J$2:$J$99,0))),1)</f>
        <v>1</v>
      </c>
      <c r="T157" s="262" t="n">
        <f aca="false">ROUND(ROUND(2*((7/8)*MAX(L157,N157)+(1/8)*MIN(L157,N157)),0)*(1+(P157-75)/500),0)</f>
        <v>238</v>
      </c>
      <c r="U157" s="262" t="n">
        <f aca="false">ROUND(ROUND(2*((5/8)*MAX(M157,O157)+(3/8)*MIN(M157,O157)),0)*(1+(P157-75)/500),0)</f>
        <v>182</v>
      </c>
      <c r="V157" s="361" t="n">
        <f aca="false">ROUNDDOWN(K157*1.75+50,0)</f>
        <v>163</v>
      </c>
      <c r="W157" s="261" t="n">
        <v>1</v>
      </c>
      <c r="X157" s="261" t="s">
        <v>60</v>
      </c>
      <c r="Y157" s="364" t="s">
        <v>580</v>
      </c>
      <c r="Z157" s="364" t="n">
        <v>5</v>
      </c>
      <c r="AA157" s="364"/>
      <c r="AB157" s="365" t="n">
        <v>5</v>
      </c>
      <c r="AC157" s="364"/>
      <c r="AD157" s="364" t="n">
        <v>0</v>
      </c>
      <c r="AE157" s="366"/>
      <c r="AF157" s="364" t="s">
        <v>581</v>
      </c>
      <c r="AG157" s="364" t="s">
        <v>581</v>
      </c>
      <c r="AH157" s="366" t="s">
        <v>581</v>
      </c>
    </row>
    <row r="158" customFormat="false" ht="15.75" hidden="false" customHeight="false" outlineLevel="0" collapsed="false">
      <c r="A158" s="262" t="n">
        <v>127</v>
      </c>
      <c r="B158" s="361" t="n">
        <v>156</v>
      </c>
      <c r="C158" s="261" t="s">
        <v>580</v>
      </c>
      <c r="D158" s="261" t="s">
        <v>582</v>
      </c>
      <c r="E158" s="358" t="s">
        <v>583</v>
      </c>
      <c r="F158" s="261" t="s">
        <v>237</v>
      </c>
      <c r="G158" s="261" t="s">
        <v>144</v>
      </c>
      <c r="H158" s="261" t="n">
        <v>2</v>
      </c>
      <c r="I158" s="261" t="n">
        <v>2</v>
      </c>
      <c r="J158" s="361" t="n">
        <v>1</v>
      </c>
      <c r="K158" s="262" t="n">
        <v>65</v>
      </c>
      <c r="L158" s="262" t="n">
        <v>155</v>
      </c>
      <c r="M158" s="262" t="n">
        <v>120</v>
      </c>
      <c r="N158" s="262" t="n">
        <v>65</v>
      </c>
      <c r="O158" s="262" t="n">
        <v>90</v>
      </c>
      <c r="P158" s="361" t="n">
        <v>105</v>
      </c>
      <c r="Q158" s="261" t="s">
        <v>150</v>
      </c>
      <c r="R158" s="261" t="s">
        <v>146</v>
      </c>
      <c r="S158" s="363" t="n">
        <f aca="false" t="array" ref="S158:S158">IF(COUNTIF('0.3.0 GO Calculation Values'!$J$2:$J$99,C158),(INDEX('0.3.0 GO Calculation Values'!$K$2:$K$99,MATCH(C158,'0.3.0 GO Calculation Values'!$J$2:$J$99,0))),1)</f>
        <v>1</v>
      </c>
      <c r="T158" s="262" t="n">
        <f aca="false">ROUND(ROUND(2*((7/8)*MAX(L158,N158)+(1/8)*MIN(L158,N158)),0)*(1+(P158-75)/500),0)</f>
        <v>305</v>
      </c>
      <c r="U158" s="262" t="n">
        <f aca="false">ROUND(ROUND(2*((5/8)*MAX(M158,O158)+(3/8)*MIN(M158,O158)),0)*(1+(P158-75)/500),0)</f>
        <v>231</v>
      </c>
      <c r="V158" s="361" t="n">
        <f aca="false">ROUNDDOWN(K158*1.75+50,0)</f>
        <v>163</v>
      </c>
      <c r="W158" s="261" t="n">
        <v>0</v>
      </c>
      <c r="X158" s="261" t="s">
        <v>580</v>
      </c>
      <c r="Y158" s="364" t="s">
        <v>580</v>
      </c>
      <c r="Z158" s="364" t="n">
        <v>5</v>
      </c>
      <c r="AA158" s="364"/>
      <c r="AB158" s="365" t="n">
        <v>5</v>
      </c>
      <c r="AC158" s="364"/>
      <c r="AD158" s="364" t="n">
        <v>0</v>
      </c>
      <c r="AE158" s="366"/>
      <c r="AF158" s="364" t="s">
        <v>584</v>
      </c>
      <c r="AG158" s="364" t="s">
        <v>584</v>
      </c>
      <c r="AH158" s="366" t="s">
        <v>584</v>
      </c>
    </row>
    <row r="159" customFormat="false" ht="15.75" hidden="false" customHeight="false" outlineLevel="0" collapsed="false">
      <c r="A159" s="262" t="n">
        <v>128</v>
      </c>
      <c r="B159" s="361" t="n">
        <v>157</v>
      </c>
      <c r="C159" s="261" t="s">
        <v>585</v>
      </c>
      <c r="D159" s="261" t="s">
        <v>60</v>
      </c>
      <c r="E159" s="362" t="s">
        <v>585</v>
      </c>
      <c r="F159" s="261" t="s">
        <v>228</v>
      </c>
      <c r="G159" s="261" t="s">
        <v>144</v>
      </c>
      <c r="H159" s="261" t="n">
        <v>0</v>
      </c>
      <c r="I159" s="261" t="n">
        <v>1</v>
      </c>
      <c r="J159" s="361" t="n">
        <v>1</v>
      </c>
      <c r="K159" s="262" t="n">
        <v>75</v>
      </c>
      <c r="L159" s="262" t="n">
        <v>100</v>
      </c>
      <c r="M159" s="262" t="n">
        <v>95</v>
      </c>
      <c r="N159" s="262" t="n">
        <v>40</v>
      </c>
      <c r="O159" s="262" t="n">
        <v>70</v>
      </c>
      <c r="P159" s="361" t="n">
        <v>110</v>
      </c>
      <c r="Q159" s="261" t="s">
        <v>144</v>
      </c>
      <c r="R159" s="261"/>
      <c r="S159" s="363" t="n">
        <f aca="false" t="array" ref="S159:S159">IF(COUNTIF('0.3.0 GO Calculation Values'!$J$2:$J$99,C159),(INDEX('0.3.0 GO Calculation Values'!$K$2:$K$99,MATCH(C159,'0.3.0 GO Calculation Values'!$J$2:$J$99,0))),1)</f>
        <v>1</v>
      </c>
      <c r="T159" s="262" t="n">
        <f aca="false">ROUND(ROUND(2*((7/8)*MAX(L159,N159)+(1/8)*MIN(L159,N159)),0)*(1+(P159-75)/500),0)</f>
        <v>198</v>
      </c>
      <c r="U159" s="262" t="n">
        <f aca="false">ROUND(ROUND(2*((5/8)*MAX(M159,O159)+(3/8)*MIN(M159,O159)),0)*(1+(P159-75)/500),0)</f>
        <v>183</v>
      </c>
      <c r="V159" s="361" t="n">
        <f aca="false">ROUNDDOWN(K159*1.75+50,0)</f>
        <v>181</v>
      </c>
      <c r="W159" s="261" t="n">
        <v>1</v>
      </c>
      <c r="X159" s="261" t="s">
        <v>60</v>
      </c>
      <c r="Y159" s="364" t="s">
        <v>585</v>
      </c>
      <c r="Z159" s="364" t="n">
        <v>3</v>
      </c>
      <c r="AA159" s="364"/>
      <c r="AB159" s="365" t="s">
        <v>60</v>
      </c>
      <c r="AC159" s="364"/>
      <c r="AD159" s="364" t="n">
        <v>0</v>
      </c>
      <c r="AE159" s="366"/>
      <c r="AF159" s="364" t="s">
        <v>586</v>
      </c>
      <c r="AG159" s="364" t="s">
        <v>586</v>
      </c>
      <c r="AH159" s="366" t="s">
        <v>586</v>
      </c>
    </row>
    <row r="160" customFormat="false" ht="15.75" hidden="false" customHeight="false" outlineLevel="0" collapsed="false">
      <c r="A160" s="262" t="n">
        <v>129</v>
      </c>
      <c r="B160" s="361" t="n">
        <v>158</v>
      </c>
      <c r="C160" s="261" t="s">
        <v>587</v>
      </c>
      <c r="D160" s="261" t="s">
        <v>60</v>
      </c>
      <c r="E160" s="362" t="s">
        <v>587</v>
      </c>
      <c r="F160" s="261" t="s">
        <v>228</v>
      </c>
      <c r="G160" s="261" t="s">
        <v>144</v>
      </c>
      <c r="H160" s="261" t="n">
        <v>0</v>
      </c>
      <c r="I160" s="261" t="n">
        <v>1</v>
      </c>
      <c r="J160" s="361" t="n">
        <v>0</v>
      </c>
      <c r="K160" s="262" t="n">
        <v>20</v>
      </c>
      <c r="L160" s="262" t="n">
        <v>10</v>
      </c>
      <c r="M160" s="262" t="n">
        <v>55</v>
      </c>
      <c r="N160" s="262" t="n">
        <v>15</v>
      </c>
      <c r="O160" s="262" t="n">
        <v>20</v>
      </c>
      <c r="P160" s="361" t="n">
        <v>80</v>
      </c>
      <c r="Q160" s="261" t="s">
        <v>154</v>
      </c>
      <c r="R160" s="261"/>
      <c r="S160" s="363" t="n">
        <f aca="false" t="array" ref="S160:S160">IF(COUNTIF('0.3.0 GO Calculation Values'!$J$2:$J$99,C160),(INDEX('0.3.0 GO Calculation Values'!$K$2:$K$99,MATCH(C160,'0.3.0 GO Calculation Values'!$J$2:$J$99,0))),1)</f>
        <v>1</v>
      </c>
      <c r="T160" s="262" t="n">
        <f aca="false">ROUND(ROUND(2*((7/8)*MAX(L160,N160)+(1/8)*MIN(L160,N160)),0)*(1+(P160-75)/500),0)</f>
        <v>29</v>
      </c>
      <c r="U160" s="262" t="n">
        <f aca="false">ROUND(ROUND(2*((5/8)*MAX(M160,O160)+(3/8)*MIN(M160,O160)),0)*(1+(P160-75)/500),0)</f>
        <v>85</v>
      </c>
      <c r="V160" s="361" t="n">
        <f aca="false">ROUNDDOWN(K160*1.75+50,0)</f>
        <v>85</v>
      </c>
      <c r="W160" s="261" t="n">
        <v>1</v>
      </c>
      <c r="X160" s="261" t="s">
        <v>60</v>
      </c>
      <c r="Y160" s="364" t="s">
        <v>587</v>
      </c>
      <c r="Z160" s="364" t="n">
        <v>1</v>
      </c>
      <c r="AA160" s="261" t="n">
        <v>42818</v>
      </c>
      <c r="AB160" s="365" t="s">
        <v>60</v>
      </c>
      <c r="AC160" s="364"/>
      <c r="AD160" s="364" t="n">
        <v>0</v>
      </c>
      <c r="AE160" s="366"/>
      <c r="AF160" s="364" t="s">
        <v>588</v>
      </c>
      <c r="AG160" s="364" t="s">
        <v>588</v>
      </c>
      <c r="AH160" s="366" t="s">
        <v>588</v>
      </c>
    </row>
    <row r="161" customFormat="false" ht="15.75" hidden="false" customHeight="false" outlineLevel="0" collapsed="false">
      <c r="A161" s="262" t="n">
        <v>130</v>
      </c>
      <c r="B161" s="361" t="n">
        <v>159</v>
      </c>
      <c r="C161" s="261" t="s">
        <v>589</v>
      </c>
      <c r="D161" s="261" t="s">
        <v>7</v>
      </c>
      <c r="E161" s="362" t="s">
        <v>589</v>
      </c>
      <c r="F161" s="261" t="s">
        <v>228</v>
      </c>
      <c r="G161" s="261" t="s">
        <v>144</v>
      </c>
      <c r="H161" s="261" t="n">
        <v>0</v>
      </c>
      <c r="I161" s="261" t="n">
        <v>2</v>
      </c>
      <c r="J161" s="361" t="n">
        <v>1</v>
      </c>
      <c r="K161" s="262" t="n">
        <v>95</v>
      </c>
      <c r="L161" s="262" t="n">
        <v>125</v>
      </c>
      <c r="M161" s="262" t="n">
        <v>79</v>
      </c>
      <c r="N161" s="262" t="n">
        <v>60</v>
      </c>
      <c r="O161" s="262" t="n">
        <v>100</v>
      </c>
      <c r="P161" s="361" t="n">
        <v>81</v>
      </c>
      <c r="Q161" s="261" t="s">
        <v>154</v>
      </c>
      <c r="R161" s="261" t="s">
        <v>146</v>
      </c>
      <c r="S161" s="363" t="n">
        <f aca="false" t="array" ref="S161:S161">IF(COUNTIF('0.3.0 GO Calculation Values'!$J$2:$J$99,C161),(INDEX('0.3.0 GO Calculation Values'!$K$2:$K$99,MATCH(C161,'0.3.0 GO Calculation Values'!$J$2:$J$99,0))),1)</f>
        <v>1</v>
      </c>
      <c r="T161" s="262" t="n">
        <f aca="false">ROUND(ROUND(2*((7/8)*MAX(L161,N161)+(1/8)*MIN(L161,N161)),0)*(1+(P161-75)/500),0)</f>
        <v>237</v>
      </c>
      <c r="U161" s="262" t="n">
        <f aca="false">ROUND(ROUND(2*((5/8)*MAX(M161,O161)+(3/8)*MIN(M161,O161)),0)*(1+(P161-75)/500),0)</f>
        <v>186</v>
      </c>
      <c r="V161" s="361" t="n">
        <f aca="false">ROUNDDOWN(K161*1.75+50,0)</f>
        <v>216</v>
      </c>
      <c r="W161" s="261" t="n">
        <v>1</v>
      </c>
      <c r="X161" s="261" t="s">
        <v>587</v>
      </c>
      <c r="Y161" s="364" t="s">
        <v>587</v>
      </c>
      <c r="Z161" s="364" t="n">
        <v>1</v>
      </c>
      <c r="AA161" s="261" t="n">
        <v>42818</v>
      </c>
      <c r="AB161" s="365" t="s">
        <v>60</v>
      </c>
      <c r="AC161" s="364"/>
      <c r="AD161" s="364" t="n">
        <v>400</v>
      </c>
      <c r="AE161" s="366"/>
      <c r="AF161" s="364" t="s">
        <v>590</v>
      </c>
      <c r="AG161" s="364" t="s">
        <v>590</v>
      </c>
      <c r="AH161" s="366" t="s">
        <v>590</v>
      </c>
    </row>
    <row r="162" customFormat="false" ht="15.75" hidden="false" customHeight="false" outlineLevel="0" collapsed="false">
      <c r="A162" s="262" t="n">
        <v>130</v>
      </c>
      <c r="B162" s="361" t="n">
        <v>160</v>
      </c>
      <c r="C162" s="261" t="s">
        <v>589</v>
      </c>
      <c r="D162" s="261" t="s">
        <v>591</v>
      </c>
      <c r="E162" s="358" t="s">
        <v>592</v>
      </c>
      <c r="F162" s="261" t="s">
        <v>237</v>
      </c>
      <c r="G162" s="261" t="s">
        <v>144</v>
      </c>
      <c r="H162" s="261" t="n">
        <v>2</v>
      </c>
      <c r="I162" s="261" t="n">
        <v>3</v>
      </c>
      <c r="J162" s="361" t="n">
        <v>1</v>
      </c>
      <c r="K162" s="262" t="n">
        <v>95</v>
      </c>
      <c r="L162" s="262" t="n">
        <v>155</v>
      </c>
      <c r="M162" s="262" t="n">
        <v>109</v>
      </c>
      <c r="N162" s="262" t="n">
        <v>70</v>
      </c>
      <c r="O162" s="262" t="n">
        <v>130</v>
      </c>
      <c r="P162" s="361" t="n">
        <v>81</v>
      </c>
      <c r="Q162" s="261" t="s">
        <v>154</v>
      </c>
      <c r="R162" s="261" t="s">
        <v>160</v>
      </c>
      <c r="S162" s="363" t="n">
        <f aca="false" t="array" ref="S162:S162">IF(COUNTIF('0.3.0 GO Calculation Values'!$J$2:$J$99,C162),(INDEX('0.3.0 GO Calculation Values'!$K$2:$K$99,MATCH(C162,'0.3.0 GO Calculation Values'!$J$2:$J$99,0))),1)</f>
        <v>1</v>
      </c>
      <c r="T162" s="262" t="n">
        <f aca="false">ROUND(ROUND(2*((7/8)*MAX(L162,N162)+(1/8)*MIN(L162,N162)),0)*(1+(P162-75)/500),0)</f>
        <v>292</v>
      </c>
      <c r="U162" s="262" t="n">
        <f aca="false">ROUND(ROUND(2*((5/8)*MAX(M162,O162)+(3/8)*MIN(M162,O162)),0)*(1+(P162-75)/500),0)</f>
        <v>247</v>
      </c>
      <c r="V162" s="361" t="n">
        <f aca="false">ROUNDDOWN(K162*1.75+50,0)</f>
        <v>216</v>
      </c>
      <c r="W162" s="261" t="n">
        <v>0</v>
      </c>
      <c r="X162" s="261" t="s">
        <v>589</v>
      </c>
      <c r="Y162" s="364" t="s">
        <v>587</v>
      </c>
      <c r="Z162" s="364" t="n">
        <v>1</v>
      </c>
      <c r="AA162" s="364"/>
      <c r="AB162" s="365" t="s">
        <v>60</v>
      </c>
      <c r="AC162" s="364"/>
      <c r="AD162" s="364" t="n">
        <v>400</v>
      </c>
      <c r="AE162" s="366"/>
      <c r="AF162" s="364" t="s">
        <v>593</v>
      </c>
      <c r="AG162" s="364" t="s">
        <v>593</v>
      </c>
      <c r="AH162" s="366" t="s">
        <v>593</v>
      </c>
    </row>
    <row r="163" customFormat="false" ht="15.75" hidden="false" customHeight="false" outlineLevel="0" collapsed="false">
      <c r="A163" s="262" t="n">
        <v>131</v>
      </c>
      <c r="B163" s="361" t="n">
        <v>161</v>
      </c>
      <c r="C163" s="261" t="s">
        <v>594</v>
      </c>
      <c r="D163" s="261" t="s">
        <v>60</v>
      </c>
      <c r="E163" s="362" t="s">
        <v>594</v>
      </c>
      <c r="F163" s="261" t="s">
        <v>228</v>
      </c>
      <c r="G163" s="261" t="s">
        <v>144</v>
      </c>
      <c r="H163" s="261" t="n">
        <v>0</v>
      </c>
      <c r="I163" s="261" t="n">
        <v>1</v>
      </c>
      <c r="J163" s="361" t="n">
        <v>1</v>
      </c>
      <c r="K163" s="262" t="n">
        <v>130</v>
      </c>
      <c r="L163" s="262" t="n">
        <v>85</v>
      </c>
      <c r="M163" s="262" t="n">
        <v>80</v>
      </c>
      <c r="N163" s="262" t="n">
        <v>85</v>
      </c>
      <c r="O163" s="262" t="n">
        <v>95</v>
      </c>
      <c r="P163" s="361" t="n">
        <v>60</v>
      </c>
      <c r="Q163" s="261" t="s">
        <v>154</v>
      </c>
      <c r="R163" s="261" t="s">
        <v>158</v>
      </c>
      <c r="S163" s="363" t="n">
        <f aca="false" t="array" ref="S163:S163">IF(COUNTIF('0.3.0 GO Calculation Values'!$J$2:$J$99,C163),(INDEX('0.3.0 GO Calculation Values'!$K$2:$K$99,MATCH(C163,'0.3.0 GO Calculation Values'!$J$2:$J$99,0))),1)</f>
        <v>1</v>
      </c>
      <c r="T163" s="262" t="n">
        <f aca="false">ROUND(ROUND(2*((7/8)*MAX(L163,N163)+(1/8)*MIN(L163,N163)),0)*(1+(P163-75)/500),0)</f>
        <v>165</v>
      </c>
      <c r="U163" s="262" t="n">
        <f aca="false">ROUND(ROUND(2*((5/8)*MAX(M163,O163)+(3/8)*MIN(M163,O163)),0)*(1+(P163-75)/500),0)</f>
        <v>174</v>
      </c>
      <c r="V163" s="361" t="n">
        <f aca="false">ROUNDDOWN(K163*1.75+50,0)</f>
        <v>277</v>
      </c>
      <c r="W163" s="261" t="n">
        <v>1</v>
      </c>
      <c r="X163" s="261" t="s">
        <v>60</v>
      </c>
      <c r="Y163" s="364" t="s">
        <v>594</v>
      </c>
      <c r="Z163" s="364" t="n">
        <v>5</v>
      </c>
      <c r="AA163" s="364"/>
      <c r="AB163" s="365" t="n">
        <v>10</v>
      </c>
      <c r="AC163" s="364"/>
      <c r="AD163" s="364" t="n">
        <v>0</v>
      </c>
      <c r="AE163" s="366"/>
      <c r="AF163" s="364" t="s">
        <v>595</v>
      </c>
      <c r="AG163" s="364" t="s">
        <v>595</v>
      </c>
      <c r="AH163" s="366" t="s">
        <v>595</v>
      </c>
    </row>
    <row r="164" customFormat="false" ht="15.75" hidden="false" customHeight="false" outlineLevel="0" collapsed="false">
      <c r="A164" s="262" t="n">
        <v>132</v>
      </c>
      <c r="B164" s="361" t="n">
        <v>162</v>
      </c>
      <c r="C164" s="261" t="s">
        <v>596</v>
      </c>
      <c r="D164" s="261" t="s">
        <v>60</v>
      </c>
      <c r="E164" s="362" t="s">
        <v>596</v>
      </c>
      <c r="F164" s="261" t="s">
        <v>228</v>
      </c>
      <c r="G164" s="261" t="s">
        <v>144</v>
      </c>
      <c r="H164" s="261" t="n">
        <v>0</v>
      </c>
      <c r="I164" s="261" t="n">
        <v>1</v>
      </c>
      <c r="J164" s="361" t="n">
        <v>1</v>
      </c>
      <c r="K164" s="262" t="n">
        <v>48</v>
      </c>
      <c r="L164" s="262" t="n">
        <v>48</v>
      </c>
      <c r="M164" s="262" t="n">
        <v>48</v>
      </c>
      <c r="N164" s="262" t="n">
        <v>48</v>
      </c>
      <c r="O164" s="262" t="n">
        <v>48</v>
      </c>
      <c r="P164" s="361" t="n">
        <v>48</v>
      </c>
      <c r="Q164" s="261" t="s">
        <v>144</v>
      </c>
      <c r="R164" s="261"/>
      <c r="S164" s="363" t="n">
        <f aca="false" t="array" ref="S164:S164">IF(COUNTIF('0.3.0 GO Calculation Values'!$J$2:$J$99,C164),(INDEX('0.3.0 GO Calculation Values'!$K$2:$K$99,MATCH(C164,'0.3.0 GO Calculation Values'!$J$2:$J$99,0))),1)</f>
        <v>1</v>
      </c>
      <c r="T164" s="262" t="n">
        <f aca="false">ROUND(ROUND(2*((7/8)*MAX(L164,N164)+(1/8)*MIN(L164,N164)),0)*(1+(P164-75)/500),0)</f>
        <v>91</v>
      </c>
      <c r="U164" s="262" t="n">
        <f aca="false">ROUND(ROUND(2*((5/8)*MAX(M164,O164)+(3/8)*MIN(M164,O164)),0)*(1+(P164-75)/500),0)</f>
        <v>91</v>
      </c>
      <c r="V164" s="361" t="n">
        <f aca="false">ROUNDDOWN(K164*1.75+50,0)</f>
        <v>134</v>
      </c>
      <c r="W164" s="261" t="n">
        <v>1</v>
      </c>
      <c r="X164" s="261" t="s">
        <v>60</v>
      </c>
      <c r="Y164" s="364" t="s">
        <v>596</v>
      </c>
      <c r="Z164" s="364" t="n">
        <v>3</v>
      </c>
      <c r="AA164" s="364"/>
      <c r="AB164" s="365" t="s">
        <v>60</v>
      </c>
      <c r="AC164" s="364"/>
      <c r="AD164" s="364" t="n">
        <v>0</v>
      </c>
      <c r="AE164" s="366"/>
      <c r="AF164" s="364" t="s">
        <v>597</v>
      </c>
      <c r="AG164" s="364" t="s">
        <v>597</v>
      </c>
      <c r="AH164" s="366" t="s">
        <v>597</v>
      </c>
    </row>
    <row r="165" customFormat="false" ht="15.75" hidden="false" customHeight="false" outlineLevel="0" collapsed="false">
      <c r="A165" s="262" t="n">
        <v>133</v>
      </c>
      <c r="B165" s="361" t="n">
        <v>163</v>
      </c>
      <c r="C165" s="261" t="s">
        <v>598</v>
      </c>
      <c r="D165" s="261" t="s">
        <v>60</v>
      </c>
      <c r="E165" s="362" t="s">
        <v>598</v>
      </c>
      <c r="F165" s="261" t="s">
        <v>228</v>
      </c>
      <c r="G165" s="261" t="s">
        <v>144</v>
      </c>
      <c r="H165" s="261" t="n">
        <v>0</v>
      </c>
      <c r="I165" s="261" t="n">
        <v>1</v>
      </c>
      <c r="J165" s="361" t="n">
        <v>0</v>
      </c>
      <c r="K165" s="262" t="n">
        <v>55</v>
      </c>
      <c r="L165" s="262" t="n">
        <v>55</v>
      </c>
      <c r="M165" s="262" t="n">
        <v>50</v>
      </c>
      <c r="N165" s="262" t="n">
        <v>45</v>
      </c>
      <c r="O165" s="262" t="n">
        <v>65</v>
      </c>
      <c r="P165" s="361" t="n">
        <v>55</v>
      </c>
      <c r="Q165" s="261" t="s">
        <v>144</v>
      </c>
      <c r="R165" s="261"/>
      <c r="S165" s="363" t="n">
        <f aca="false" t="array" ref="S165:S165">IF(COUNTIF('0.3.0 GO Calculation Values'!$J$2:$J$99,C165),(INDEX('0.3.0 GO Calculation Values'!$K$2:$K$99,MATCH(C165,'0.3.0 GO Calculation Values'!$J$2:$J$99,0))),1)</f>
        <v>1</v>
      </c>
      <c r="T165" s="262" t="n">
        <f aca="false">ROUND(ROUND(2*((7/8)*MAX(L165,N165)+(1/8)*MIN(L165,N165)),0)*(1+(P165-75)/500),0)</f>
        <v>104</v>
      </c>
      <c r="U165" s="262" t="n">
        <f aca="false">ROUND(ROUND(2*((5/8)*MAX(M165,O165)+(3/8)*MIN(M165,O165)),0)*(1+(P165-75)/500),0)</f>
        <v>114</v>
      </c>
      <c r="V165" s="361" t="n">
        <f aca="false">ROUNDDOWN(K165*1.75+50,0)</f>
        <v>146</v>
      </c>
      <c r="W165" s="261" t="n">
        <v>1</v>
      </c>
      <c r="X165" s="261" t="s">
        <v>60</v>
      </c>
      <c r="Y165" s="364" t="s">
        <v>598</v>
      </c>
      <c r="Z165" s="364" t="n">
        <v>5</v>
      </c>
      <c r="AA165" s="364"/>
      <c r="AB165" s="365" t="n">
        <v>5</v>
      </c>
      <c r="AC165" s="364"/>
      <c r="AD165" s="364" t="n">
        <v>0</v>
      </c>
      <c r="AE165" s="366"/>
      <c r="AF165" s="364" t="s">
        <v>599</v>
      </c>
      <c r="AG165" s="364" t="s">
        <v>599</v>
      </c>
      <c r="AH165" s="366" t="s">
        <v>599</v>
      </c>
    </row>
    <row r="166" customFormat="false" ht="15.75" hidden="false" customHeight="false" outlineLevel="0" collapsed="false">
      <c r="A166" s="262" t="n">
        <v>134</v>
      </c>
      <c r="B166" s="361" t="n">
        <v>164</v>
      </c>
      <c r="C166" s="261" t="s">
        <v>600</v>
      </c>
      <c r="D166" s="261" t="s">
        <v>60</v>
      </c>
      <c r="E166" s="362" t="s">
        <v>600</v>
      </c>
      <c r="F166" s="261" t="s">
        <v>228</v>
      </c>
      <c r="G166" s="261" t="s">
        <v>144</v>
      </c>
      <c r="H166" s="261" t="n">
        <v>0</v>
      </c>
      <c r="I166" s="261" t="n">
        <v>2</v>
      </c>
      <c r="J166" s="361" t="n">
        <v>1</v>
      </c>
      <c r="K166" s="262" t="n">
        <v>130</v>
      </c>
      <c r="L166" s="262" t="n">
        <v>65</v>
      </c>
      <c r="M166" s="262" t="n">
        <v>60</v>
      </c>
      <c r="N166" s="262" t="n">
        <v>110</v>
      </c>
      <c r="O166" s="262" t="n">
        <v>95</v>
      </c>
      <c r="P166" s="361" t="n">
        <v>65</v>
      </c>
      <c r="Q166" s="261" t="s">
        <v>154</v>
      </c>
      <c r="R166" s="261"/>
      <c r="S166" s="363" t="n">
        <f aca="false" t="array" ref="S166:S166">IF(COUNTIF('0.3.0 GO Calculation Values'!$J$2:$J$99,C166),(INDEX('0.3.0 GO Calculation Values'!$K$2:$K$99,MATCH(C166,'0.3.0 GO Calculation Values'!$J$2:$J$99,0))),1)</f>
        <v>1</v>
      </c>
      <c r="T166" s="262" t="n">
        <f aca="false">ROUND(ROUND(2*((7/8)*MAX(L166,N166)+(1/8)*MIN(L166,N166)),0)*(1+(P166-75)/500),0)</f>
        <v>205</v>
      </c>
      <c r="U166" s="262" t="n">
        <f aca="false">ROUND(ROUND(2*((5/8)*MAX(M166,O166)+(3/8)*MIN(M166,O166)),0)*(1+(P166-75)/500),0)</f>
        <v>161</v>
      </c>
      <c r="V166" s="361" t="n">
        <f aca="false">ROUNDDOWN(K166*1.75+50,0)</f>
        <v>277</v>
      </c>
      <c r="W166" s="261" t="n">
        <v>1</v>
      </c>
      <c r="X166" s="261" t="s">
        <v>598</v>
      </c>
      <c r="Y166" s="364" t="s">
        <v>598</v>
      </c>
      <c r="Z166" s="364" t="n">
        <v>5</v>
      </c>
      <c r="AA166" s="364"/>
      <c r="AB166" s="365" t="n">
        <v>5</v>
      </c>
      <c r="AC166" s="364"/>
      <c r="AD166" s="364" t="n">
        <v>25</v>
      </c>
      <c r="AE166" s="366"/>
      <c r="AF166" s="364" t="s">
        <v>601</v>
      </c>
      <c r="AG166" s="364" t="s">
        <v>601</v>
      </c>
      <c r="AH166" s="366" t="s">
        <v>601</v>
      </c>
    </row>
    <row r="167" customFormat="false" ht="15.75" hidden="false" customHeight="false" outlineLevel="0" collapsed="false">
      <c r="A167" s="262" t="n">
        <v>135</v>
      </c>
      <c r="B167" s="361" t="n">
        <v>165</v>
      </c>
      <c r="C167" s="261" t="s">
        <v>602</v>
      </c>
      <c r="D167" s="261" t="s">
        <v>60</v>
      </c>
      <c r="E167" s="362" t="s">
        <v>602</v>
      </c>
      <c r="F167" s="261" t="s">
        <v>228</v>
      </c>
      <c r="G167" s="261" t="s">
        <v>144</v>
      </c>
      <c r="H167" s="261" t="n">
        <v>0</v>
      </c>
      <c r="I167" s="261" t="n">
        <v>2</v>
      </c>
      <c r="J167" s="361" t="n">
        <v>1</v>
      </c>
      <c r="K167" s="262" t="n">
        <v>65</v>
      </c>
      <c r="L167" s="262" t="n">
        <v>65</v>
      </c>
      <c r="M167" s="262" t="n">
        <v>60</v>
      </c>
      <c r="N167" s="262" t="n">
        <v>110</v>
      </c>
      <c r="O167" s="262" t="n">
        <v>95</v>
      </c>
      <c r="P167" s="361" t="n">
        <v>130</v>
      </c>
      <c r="Q167" s="261" t="s">
        <v>156</v>
      </c>
      <c r="R167" s="261"/>
      <c r="S167" s="363" t="n">
        <f aca="false" t="array" ref="S167:S167">IF(COUNTIF('0.3.0 GO Calculation Values'!$J$2:$J$99,C167),(INDEX('0.3.0 GO Calculation Values'!$K$2:$K$99,MATCH(C167,'0.3.0 GO Calculation Values'!$J$2:$J$99,0))),1)</f>
        <v>1</v>
      </c>
      <c r="T167" s="262" t="n">
        <f aca="false">ROUND(ROUND(2*((7/8)*MAX(L167,N167)+(1/8)*MIN(L167,N167)),0)*(1+(P167-75)/500),0)</f>
        <v>232</v>
      </c>
      <c r="U167" s="262" t="n">
        <f aca="false">ROUND(ROUND(2*((5/8)*MAX(M167,O167)+(3/8)*MIN(M167,O167)),0)*(1+(P167-75)/500),0)</f>
        <v>182</v>
      </c>
      <c r="V167" s="361" t="n">
        <f aca="false">ROUNDDOWN(K167*1.75+50,0)</f>
        <v>163</v>
      </c>
      <c r="W167" s="261" t="n">
        <v>1</v>
      </c>
      <c r="X167" s="261" t="s">
        <v>598</v>
      </c>
      <c r="Y167" s="364" t="s">
        <v>598</v>
      </c>
      <c r="Z167" s="364" t="n">
        <v>5</v>
      </c>
      <c r="AA167" s="364"/>
      <c r="AB167" s="365" t="n">
        <v>5</v>
      </c>
      <c r="AC167" s="364"/>
      <c r="AD167" s="364" t="n">
        <v>25</v>
      </c>
      <c r="AE167" s="366"/>
      <c r="AF167" s="364" t="s">
        <v>603</v>
      </c>
      <c r="AG167" s="364" t="s">
        <v>603</v>
      </c>
      <c r="AH167" s="366" t="s">
        <v>603</v>
      </c>
    </row>
    <row r="168" customFormat="false" ht="15.75" hidden="false" customHeight="false" outlineLevel="0" collapsed="false">
      <c r="A168" s="262" t="n">
        <v>136</v>
      </c>
      <c r="B168" s="361" t="n">
        <v>166</v>
      </c>
      <c r="C168" s="261" t="s">
        <v>604</v>
      </c>
      <c r="D168" s="261" t="s">
        <v>60</v>
      </c>
      <c r="E168" s="362" t="s">
        <v>604</v>
      </c>
      <c r="F168" s="261" t="s">
        <v>228</v>
      </c>
      <c r="G168" s="261" t="s">
        <v>144</v>
      </c>
      <c r="H168" s="261" t="n">
        <v>0</v>
      </c>
      <c r="I168" s="261" t="n">
        <v>2</v>
      </c>
      <c r="J168" s="361" t="n">
        <v>1</v>
      </c>
      <c r="K168" s="262" t="n">
        <v>65</v>
      </c>
      <c r="L168" s="262" t="n">
        <v>130</v>
      </c>
      <c r="M168" s="262" t="n">
        <v>60</v>
      </c>
      <c r="N168" s="262" t="n">
        <v>95</v>
      </c>
      <c r="O168" s="262" t="n">
        <v>110</v>
      </c>
      <c r="P168" s="361" t="n">
        <v>65</v>
      </c>
      <c r="Q168" s="261" t="s">
        <v>153</v>
      </c>
      <c r="R168" s="261"/>
      <c r="S168" s="363" t="n">
        <f aca="false" t="array" ref="S168:S168">IF(COUNTIF('0.3.0 GO Calculation Values'!$J$2:$J$99,C168),(INDEX('0.3.0 GO Calculation Values'!$K$2:$K$99,MATCH(C168,'0.3.0 GO Calculation Values'!$J$2:$J$99,0))),1)</f>
        <v>1</v>
      </c>
      <c r="T168" s="262" t="n">
        <f aca="false">ROUND(ROUND(2*((7/8)*MAX(L168,N168)+(1/8)*MIN(L168,N168)),0)*(1+(P168-75)/500),0)</f>
        <v>246</v>
      </c>
      <c r="U168" s="262" t="n">
        <f aca="false">ROUND(ROUND(2*((5/8)*MAX(M168,O168)+(3/8)*MIN(M168,O168)),0)*(1+(P168-75)/500),0)</f>
        <v>179</v>
      </c>
      <c r="V168" s="361" t="n">
        <f aca="false">ROUNDDOWN(K168*1.75+50,0)</f>
        <v>163</v>
      </c>
      <c r="W168" s="261" t="n">
        <v>1</v>
      </c>
      <c r="X168" s="261" t="s">
        <v>598</v>
      </c>
      <c r="Y168" s="364" t="s">
        <v>598</v>
      </c>
      <c r="Z168" s="364" t="n">
        <v>5</v>
      </c>
      <c r="AA168" s="364"/>
      <c r="AB168" s="365" t="n">
        <v>5</v>
      </c>
      <c r="AC168" s="364"/>
      <c r="AD168" s="364" t="n">
        <v>25</v>
      </c>
      <c r="AE168" s="366"/>
      <c r="AF168" s="364" t="s">
        <v>605</v>
      </c>
      <c r="AG168" s="364" t="s">
        <v>605</v>
      </c>
      <c r="AH168" s="366" t="s">
        <v>605</v>
      </c>
    </row>
    <row r="169" customFormat="false" ht="15.75" hidden="false" customHeight="false" outlineLevel="0" collapsed="false">
      <c r="A169" s="262" t="n">
        <v>137</v>
      </c>
      <c r="B169" s="361" t="n">
        <v>167</v>
      </c>
      <c r="C169" s="261" t="s">
        <v>606</v>
      </c>
      <c r="D169" s="261" t="s">
        <v>60</v>
      </c>
      <c r="E169" s="362" t="s">
        <v>606</v>
      </c>
      <c r="F169" s="261" t="s">
        <v>228</v>
      </c>
      <c r="G169" s="261" t="s">
        <v>144</v>
      </c>
      <c r="H169" s="261" t="n">
        <v>0</v>
      </c>
      <c r="I169" s="261" t="n">
        <v>1</v>
      </c>
      <c r="J169" s="361" t="n">
        <v>1</v>
      </c>
      <c r="K169" s="262" t="n">
        <v>65</v>
      </c>
      <c r="L169" s="262" t="n">
        <v>60</v>
      </c>
      <c r="M169" s="262" t="n">
        <v>70</v>
      </c>
      <c r="N169" s="262" t="n">
        <v>85</v>
      </c>
      <c r="O169" s="262" t="n">
        <v>75</v>
      </c>
      <c r="P169" s="361" t="n">
        <v>40</v>
      </c>
      <c r="Q169" s="261" t="s">
        <v>144</v>
      </c>
      <c r="R169" s="261"/>
      <c r="S169" s="363" t="n">
        <f aca="false" t="array" ref="S169:S169">IF(COUNTIF('0.3.0 GO Calculation Values'!$J$2:$J$99,C169),(INDEX('0.3.0 GO Calculation Values'!$K$2:$K$99,MATCH(C169,'0.3.0 GO Calculation Values'!$J$2:$J$99,0))),1)</f>
        <v>1</v>
      </c>
      <c r="T169" s="262" t="n">
        <f aca="false">ROUND(ROUND(2*((7/8)*MAX(L169,N169)+(1/8)*MIN(L169,N169)),0)*(1+(P169-75)/500),0)</f>
        <v>153</v>
      </c>
      <c r="U169" s="262" t="n">
        <f aca="false">ROUND(ROUND(2*((5/8)*MAX(M169,O169)+(3/8)*MIN(M169,O169)),0)*(1+(P169-75)/500),0)</f>
        <v>136</v>
      </c>
      <c r="V169" s="361" t="n">
        <f aca="false">ROUNDDOWN(K169*1.75+50,0)</f>
        <v>163</v>
      </c>
      <c r="W169" s="261" t="n">
        <v>1</v>
      </c>
      <c r="X169" s="261" t="s">
        <v>60</v>
      </c>
      <c r="Y169" s="364" t="s">
        <v>606</v>
      </c>
      <c r="Z169" s="364" t="n">
        <v>3</v>
      </c>
      <c r="AA169" s="364"/>
      <c r="AB169" s="365" t="n">
        <v>10</v>
      </c>
      <c r="AC169" s="364"/>
      <c r="AD169" s="364" t="n">
        <v>0</v>
      </c>
      <c r="AE169" s="366"/>
      <c r="AF169" s="364" t="s">
        <v>607</v>
      </c>
      <c r="AG169" s="364" t="s">
        <v>607</v>
      </c>
      <c r="AH169" s="366" t="s">
        <v>607</v>
      </c>
    </row>
    <row r="170" customFormat="false" ht="15.75" hidden="false" customHeight="false" outlineLevel="0" collapsed="false">
      <c r="A170" s="262" t="n">
        <v>138</v>
      </c>
      <c r="B170" s="361" t="n">
        <v>168</v>
      </c>
      <c r="C170" s="261" t="s">
        <v>608</v>
      </c>
      <c r="D170" s="261" t="s">
        <v>60</v>
      </c>
      <c r="E170" s="362" t="s">
        <v>608</v>
      </c>
      <c r="F170" s="261" t="s">
        <v>228</v>
      </c>
      <c r="G170" s="261" t="s">
        <v>144</v>
      </c>
      <c r="H170" s="261" t="n">
        <v>0</v>
      </c>
      <c r="I170" s="261" t="n">
        <v>1</v>
      </c>
      <c r="J170" s="361" t="n">
        <v>0</v>
      </c>
      <c r="K170" s="262" t="n">
        <v>35</v>
      </c>
      <c r="L170" s="262" t="n">
        <v>40</v>
      </c>
      <c r="M170" s="262" t="n">
        <v>100</v>
      </c>
      <c r="N170" s="262" t="n">
        <v>90</v>
      </c>
      <c r="O170" s="262" t="n">
        <v>55</v>
      </c>
      <c r="P170" s="361" t="n">
        <v>35</v>
      </c>
      <c r="Q170" s="261" t="s">
        <v>149</v>
      </c>
      <c r="R170" s="261" t="s">
        <v>154</v>
      </c>
      <c r="S170" s="363" t="n">
        <f aca="false" t="array" ref="S170:S170">IF(COUNTIF('0.3.0 GO Calculation Values'!$J$2:$J$99,C170),(INDEX('0.3.0 GO Calculation Values'!$K$2:$K$99,MATCH(C170,'0.3.0 GO Calculation Values'!$J$2:$J$99,0))),1)</f>
        <v>1</v>
      </c>
      <c r="T170" s="262" t="n">
        <f aca="false">ROUND(ROUND(2*((7/8)*MAX(L170,N170)+(1/8)*MIN(L170,N170)),0)*(1+(P170-75)/500),0)</f>
        <v>155</v>
      </c>
      <c r="U170" s="262" t="n">
        <f aca="false">ROUND(ROUND(2*((5/8)*MAX(M170,O170)+(3/8)*MIN(M170,O170)),0)*(1+(P170-75)/500),0)</f>
        <v>153</v>
      </c>
      <c r="V170" s="361" t="n">
        <f aca="false">ROUNDDOWN(K170*1.75+50,0)</f>
        <v>111</v>
      </c>
      <c r="W170" s="261" t="n">
        <v>1</v>
      </c>
      <c r="X170" s="261" t="s">
        <v>60</v>
      </c>
      <c r="Y170" s="364" t="s">
        <v>608</v>
      </c>
      <c r="Z170" s="364" t="n">
        <v>5</v>
      </c>
      <c r="AA170" s="364"/>
      <c r="AB170" s="365" t="n">
        <v>5</v>
      </c>
      <c r="AC170" s="364"/>
      <c r="AD170" s="364" t="n">
        <v>0</v>
      </c>
      <c r="AE170" s="366"/>
      <c r="AF170" s="364" t="s">
        <v>609</v>
      </c>
      <c r="AG170" s="364" t="s">
        <v>609</v>
      </c>
      <c r="AH170" s="366" t="s">
        <v>609</v>
      </c>
    </row>
    <row r="171" customFormat="false" ht="15.75" hidden="false" customHeight="false" outlineLevel="0" collapsed="false">
      <c r="A171" s="262" t="n">
        <v>139</v>
      </c>
      <c r="B171" s="361" t="n">
        <v>169</v>
      </c>
      <c r="C171" s="261" t="s">
        <v>610</v>
      </c>
      <c r="D171" s="261" t="s">
        <v>60</v>
      </c>
      <c r="E171" s="362" t="s">
        <v>610</v>
      </c>
      <c r="F171" s="261" t="s">
        <v>228</v>
      </c>
      <c r="G171" s="261" t="s">
        <v>144</v>
      </c>
      <c r="H171" s="261" t="n">
        <v>0</v>
      </c>
      <c r="I171" s="261" t="n">
        <v>2</v>
      </c>
      <c r="J171" s="361" t="n">
        <v>1</v>
      </c>
      <c r="K171" s="262" t="n">
        <v>70</v>
      </c>
      <c r="L171" s="262" t="n">
        <v>60</v>
      </c>
      <c r="M171" s="262" t="n">
        <v>125</v>
      </c>
      <c r="N171" s="262" t="n">
        <v>115</v>
      </c>
      <c r="O171" s="262" t="n">
        <v>70</v>
      </c>
      <c r="P171" s="361" t="n">
        <v>55</v>
      </c>
      <c r="Q171" s="261" t="s">
        <v>149</v>
      </c>
      <c r="R171" s="261" t="s">
        <v>154</v>
      </c>
      <c r="S171" s="363" t="n">
        <f aca="false" t="array" ref="S171:S171">IF(COUNTIF('0.3.0 GO Calculation Values'!$J$2:$J$99,C171),(INDEX('0.3.0 GO Calculation Values'!$K$2:$K$99,MATCH(C171,'0.3.0 GO Calculation Values'!$J$2:$J$99,0))),1)</f>
        <v>1</v>
      </c>
      <c r="T171" s="262" t="n">
        <f aca="false">ROUND(ROUND(2*((7/8)*MAX(L171,N171)+(1/8)*MIN(L171,N171)),0)*(1+(P171-75)/500),0)</f>
        <v>207</v>
      </c>
      <c r="U171" s="262" t="n">
        <f aca="false">ROUND(ROUND(2*((5/8)*MAX(M171,O171)+(3/8)*MIN(M171,O171)),0)*(1+(P171-75)/500),0)</f>
        <v>201</v>
      </c>
      <c r="V171" s="361" t="n">
        <f aca="false">ROUNDDOWN(K171*1.75+50,0)</f>
        <v>172</v>
      </c>
      <c r="W171" s="261" t="n">
        <v>1</v>
      </c>
      <c r="X171" s="261" t="s">
        <v>608</v>
      </c>
      <c r="Y171" s="364" t="s">
        <v>608</v>
      </c>
      <c r="Z171" s="364" t="n">
        <v>5</v>
      </c>
      <c r="AA171" s="364"/>
      <c r="AB171" s="365" t="n">
        <v>5</v>
      </c>
      <c r="AC171" s="364"/>
      <c r="AD171" s="364" t="n">
        <v>50</v>
      </c>
      <c r="AE171" s="366"/>
      <c r="AF171" s="364" t="s">
        <v>611</v>
      </c>
      <c r="AG171" s="364" t="s">
        <v>611</v>
      </c>
      <c r="AH171" s="366" t="s">
        <v>611</v>
      </c>
    </row>
    <row r="172" customFormat="false" ht="15.75" hidden="false" customHeight="false" outlineLevel="0" collapsed="false">
      <c r="A172" s="262" t="n">
        <v>140</v>
      </c>
      <c r="B172" s="361" t="n">
        <v>170</v>
      </c>
      <c r="C172" s="261" t="s">
        <v>612</v>
      </c>
      <c r="D172" s="261" t="s">
        <v>60</v>
      </c>
      <c r="E172" s="362" t="s">
        <v>612</v>
      </c>
      <c r="F172" s="261" t="s">
        <v>228</v>
      </c>
      <c r="G172" s="261" t="s">
        <v>144</v>
      </c>
      <c r="H172" s="261" t="n">
        <v>0</v>
      </c>
      <c r="I172" s="261" t="n">
        <v>1</v>
      </c>
      <c r="J172" s="361" t="n">
        <v>0</v>
      </c>
      <c r="K172" s="262" t="n">
        <v>30</v>
      </c>
      <c r="L172" s="262" t="n">
        <v>80</v>
      </c>
      <c r="M172" s="262" t="n">
        <v>90</v>
      </c>
      <c r="N172" s="262" t="n">
        <v>55</v>
      </c>
      <c r="O172" s="262" t="n">
        <v>45</v>
      </c>
      <c r="P172" s="361" t="n">
        <v>55</v>
      </c>
      <c r="Q172" s="261" t="s">
        <v>149</v>
      </c>
      <c r="R172" s="261" t="s">
        <v>154</v>
      </c>
      <c r="S172" s="363" t="n">
        <f aca="false" t="array" ref="S172:S172">IF(COUNTIF('0.3.0 GO Calculation Values'!$J$2:$J$99,C172),(INDEX('0.3.0 GO Calculation Values'!$K$2:$K$99,MATCH(C172,'0.3.0 GO Calculation Values'!$J$2:$J$99,0))),1)</f>
        <v>1</v>
      </c>
      <c r="T172" s="262" t="n">
        <f aca="false">ROUND(ROUND(2*((7/8)*MAX(L172,N172)+(1/8)*MIN(L172,N172)),0)*(1+(P172-75)/500),0)</f>
        <v>148</v>
      </c>
      <c r="U172" s="262" t="n">
        <f aca="false">ROUND(ROUND(2*((5/8)*MAX(M172,O172)+(3/8)*MIN(M172,O172)),0)*(1+(P172-75)/500),0)</f>
        <v>140</v>
      </c>
      <c r="V172" s="361" t="n">
        <f aca="false">ROUNDDOWN(K172*1.75+50,0)</f>
        <v>102</v>
      </c>
      <c r="W172" s="261" t="n">
        <v>1</v>
      </c>
      <c r="X172" s="261" t="s">
        <v>60</v>
      </c>
      <c r="Y172" s="364" t="s">
        <v>612</v>
      </c>
      <c r="Z172" s="364" t="n">
        <v>5</v>
      </c>
      <c r="AA172" s="364"/>
      <c r="AB172" s="365" t="n">
        <v>5</v>
      </c>
      <c r="AC172" s="364"/>
      <c r="AD172" s="364" t="n">
        <v>0</v>
      </c>
      <c r="AE172" s="366"/>
      <c r="AF172" s="364" t="s">
        <v>613</v>
      </c>
      <c r="AG172" s="364" t="s">
        <v>613</v>
      </c>
      <c r="AH172" s="366" t="s">
        <v>613</v>
      </c>
    </row>
    <row r="173" customFormat="false" ht="15.75" hidden="false" customHeight="false" outlineLevel="0" collapsed="false">
      <c r="A173" s="262" t="n">
        <v>141</v>
      </c>
      <c r="B173" s="361" t="n">
        <v>171</v>
      </c>
      <c r="C173" s="261" t="s">
        <v>614</v>
      </c>
      <c r="D173" s="261" t="s">
        <v>60</v>
      </c>
      <c r="E173" s="362" t="s">
        <v>614</v>
      </c>
      <c r="F173" s="261" t="s">
        <v>228</v>
      </c>
      <c r="G173" s="261" t="s">
        <v>144</v>
      </c>
      <c r="H173" s="261" t="n">
        <v>0</v>
      </c>
      <c r="I173" s="261" t="n">
        <v>2</v>
      </c>
      <c r="J173" s="361" t="n">
        <v>1</v>
      </c>
      <c r="K173" s="262" t="n">
        <v>60</v>
      </c>
      <c r="L173" s="262" t="n">
        <v>115</v>
      </c>
      <c r="M173" s="262" t="n">
        <v>105</v>
      </c>
      <c r="N173" s="262" t="n">
        <v>65</v>
      </c>
      <c r="O173" s="262" t="n">
        <v>70</v>
      </c>
      <c r="P173" s="361" t="n">
        <v>80</v>
      </c>
      <c r="Q173" s="261" t="s">
        <v>149</v>
      </c>
      <c r="R173" s="261" t="s">
        <v>154</v>
      </c>
      <c r="S173" s="363" t="n">
        <f aca="false" t="array" ref="S173:S173">IF(COUNTIF('0.3.0 GO Calculation Values'!$J$2:$J$99,C173),(INDEX('0.3.0 GO Calculation Values'!$K$2:$K$99,MATCH(C173,'0.3.0 GO Calculation Values'!$J$2:$J$99,0))),1)</f>
        <v>1</v>
      </c>
      <c r="T173" s="262" t="n">
        <f aca="false">ROUND(ROUND(2*((7/8)*MAX(L173,N173)+(1/8)*MIN(L173,N173)),0)*(1+(P173-75)/500),0)</f>
        <v>220</v>
      </c>
      <c r="U173" s="262" t="n">
        <f aca="false">ROUND(ROUND(2*((5/8)*MAX(M173,O173)+(3/8)*MIN(M173,O173)),0)*(1+(P173-75)/500),0)</f>
        <v>186</v>
      </c>
      <c r="V173" s="361" t="n">
        <f aca="false">ROUNDDOWN(K173*1.75+50,0)</f>
        <v>155</v>
      </c>
      <c r="W173" s="261" t="n">
        <v>1</v>
      </c>
      <c r="X173" s="261" t="s">
        <v>612</v>
      </c>
      <c r="Y173" s="364" t="s">
        <v>612</v>
      </c>
      <c r="Z173" s="364" t="n">
        <v>5</v>
      </c>
      <c r="AA173" s="364"/>
      <c r="AB173" s="365" t="n">
        <v>5</v>
      </c>
      <c r="AC173" s="364"/>
      <c r="AD173" s="364" t="n">
        <v>50</v>
      </c>
      <c r="AE173" s="366"/>
      <c r="AF173" s="364" t="s">
        <v>615</v>
      </c>
      <c r="AG173" s="364" t="s">
        <v>615</v>
      </c>
      <c r="AH173" s="366" t="s">
        <v>615</v>
      </c>
    </row>
    <row r="174" customFormat="false" ht="15.75" hidden="false" customHeight="false" outlineLevel="0" collapsed="false">
      <c r="A174" s="262" t="n">
        <v>142</v>
      </c>
      <c r="B174" s="361" t="n">
        <v>172</v>
      </c>
      <c r="C174" s="261" t="s">
        <v>616</v>
      </c>
      <c r="D174" s="261" t="s">
        <v>7</v>
      </c>
      <c r="E174" s="367" t="s">
        <v>616</v>
      </c>
      <c r="F174" s="261" t="s">
        <v>228</v>
      </c>
      <c r="G174" s="261" t="s">
        <v>144</v>
      </c>
      <c r="H174" s="261" t="n">
        <v>0</v>
      </c>
      <c r="I174" s="261" t="n">
        <v>1</v>
      </c>
      <c r="J174" s="361" t="n">
        <v>1</v>
      </c>
      <c r="K174" s="262" t="n">
        <v>80</v>
      </c>
      <c r="L174" s="262" t="n">
        <v>105</v>
      </c>
      <c r="M174" s="262" t="n">
        <v>65</v>
      </c>
      <c r="N174" s="262" t="n">
        <v>60</v>
      </c>
      <c r="O174" s="262" t="n">
        <v>75</v>
      </c>
      <c r="P174" s="361" t="n">
        <v>130</v>
      </c>
      <c r="Q174" s="261" t="s">
        <v>149</v>
      </c>
      <c r="R174" s="261" t="s">
        <v>146</v>
      </c>
      <c r="S174" s="363" t="n">
        <f aca="false" t="array" ref="S174:S174">IF(COUNTIF('0.3.0 GO Calculation Values'!$J$2:$J$99,C174),(INDEX('0.3.0 GO Calculation Values'!$K$2:$K$99,MATCH(C174,'0.3.0 GO Calculation Values'!$J$2:$J$99,0))),1)</f>
        <v>1</v>
      </c>
      <c r="T174" s="262" t="n">
        <f aca="false">ROUND(ROUND(2*((7/8)*MAX(L174,N174)+(1/8)*MIN(L174,N174)),0)*(1+(P174-75)/500),0)</f>
        <v>221</v>
      </c>
      <c r="U174" s="262" t="n">
        <f aca="false">ROUND(ROUND(2*((5/8)*MAX(M174,O174)+(3/8)*MIN(M174,O174)),0)*(1+(P174-75)/500),0)</f>
        <v>159</v>
      </c>
      <c r="V174" s="361" t="n">
        <f aca="false">ROUNDDOWN(K174*1.75+50,0)</f>
        <v>190</v>
      </c>
      <c r="W174" s="261" t="n">
        <v>1</v>
      </c>
      <c r="X174" s="261" t="s">
        <v>60</v>
      </c>
      <c r="Y174" s="364" t="s">
        <v>616</v>
      </c>
      <c r="Z174" s="364" t="n">
        <v>5</v>
      </c>
      <c r="AA174" s="364"/>
      <c r="AB174" s="365" t="n">
        <v>10</v>
      </c>
      <c r="AC174" s="364"/>
      <c r="AD174" s="364" t="n">
        <v>0</v>
      </c>
      <c r="AE174" s="366"/>
      <c r="AF174" s="364" t="s">
        <v>617</v>
      </c>
      <c r="AG174" s="364" t="s">
        <v>617</v>
      </c>
      <c r="AH174" s="366" t="s">
        <v>617</v>
      </c>
    </row>
    <row r="175" customFormat="false" ht="15.75" hidden="false" customHeight="false" outlineLevel="0" collapsed="false">
      <c r="A175" s="262" t="n">
        <v>142</v>
      </c>
      <c r="B175" s="361" t="n">
        <v>173</v>
      </c>
      <c r="C175" s="261" t="s">
        <v>616</v>
      </c>
      <c r="D175" s="261" t="s">
        <v>618</v>
      </c>
      <c r="E175" s="358" t="s">
        <v>619</v>
      </c>
      <c r="F175" s="261" t="s">
        <v>237</v>
      </c>
      <c r="G175" s="261" t="s">
        <v>144</v>
      </c>
      <c r="H175" s="261" t="n">
        <v>2</v>
      </c>
      <c r="I175" s="261" t="n">
        <v>2</v>
      </c>
      <c r="J175" s="361" t="n">
        <v>1</v>
      </c>
      <c r="K175" s="262" t="n">
        <v>80</v>
      </c>
      <c r="L175" s="262" t="n">
        <v>135</v>
      </c>
      <c r="M175" s="262" t="n">
        <v>85</v>
      </c>
      <c r="N175" s="262" t="n">
        <v>70</v>
      </c>
      <c r="O175" s="262" t="n">
        <v>95</v>
      </c>
      <c r="P175" s="361" t="n">
        <v>150</v>
      </c>
      <c r="Q175" s="261" t="s">
        <v>149</v>
      </c>
      <c r="R175" s="261" t="s">
        <v>146</v>
      </c>
      <c r="S175" s="363" t="n">
        <f aca="false" t="array" ref="S175:S175">IF(COUNTIF('0.3.0 GO Calculation Values'!$J$2:$J$99,C175),(INDEX('0.3.0 GO Calculation Values'!$K$2:$K$99,MATCH(C175,'0.3.0 GO Calculation Values'!$J$2:$J$99,0))),1)</f>
        <v>1</v>
      </c>
      <c r="T175" s="262" t="n">
        <f aca="false">ROUND(ROUND(2*((7/8)*MAX(L175,N175)+(1/8)*MIN(L175,N175)),0)*(1+(P175-75)/500),0)</f>
        <v>292</v>
      </c>
      <c r="U175" s="262" t="n">
        <f aca="false">ROUND(ROUND(2*((5/8)*MAX(M175,O175)+(3/8)*MIN(M175,O175)),0)*(1+(P175-75)/500),0)</f>
        <v>210</v>
      </c>
      <c r="V175" s="361" t="n">
        <f aca="false">ROUNDDOWN(K175*1.75+50,0)</f>
        <v>190</v>
      </c>
      <c r="W175" s="261" t="n">
        <v>0</v>
      </c>
      <c r="X175" s="261" t="s">
        <v>616</v>
      </c>
      <c r="Y175" s="364" t="s">
        <v>616</v>
      </c>
      <c r="Z175" s="364" t="n">
        <v>5</v>
      </c>
      <c r="AA175" s="364"/>
      <c r="AB175" s="365" t="n">
        <v>10</v>
      </c>
      <c r="AC175" s="364"/>
      <c r="AD175" s="364" t="n">
        <v>0</v>
      </c>
      <c r="AE175" s="366"/>
      <c r="AF175" s="364" t="s">
        <v>620</v>
      </c>
      <c r="AG175" s="364" t="s">
        <v>620</v>
      </c>
      <c r="AH175" s="366" t="s">
        <v>620</v>
      </c>
    </row>
    <row r="176" customFormat="false" ht="15.75" hidden="false" customHeight="false" outlineLevel="0" collapsed="false">
      <c r="A176" s="262" t="n">
        <v>143</v>
      </c>
      <c r="B176" s="361" t="n">
        <v>174</v>
      </c>
      <c r="C176" s="261" t="s">
        <v>621</v>
      </c>
      <c r="D176" s="261" t="s">
        <v>60</v>
      </c>
      <c r="E176" s="362" t="s">
        <v>621</v>
      </c>
      <c r="F176" s="261" t="s">
        <v>228</v>
      </c>
      <c r="G176" s="261" t="s">
        <v>144</v>
      </c>
      <c r="H176" s="261" t="n">
        <v>0</v>
      </c>
      <c r="I176" s="261" t="n">
        <v>2</v>
      </c>
      <c r="J176" s="361" t="n">
        <v>1</v>
      </c>
      <c r="K176" s="262" t="n">
        <v>160</v>
      </c>
      <c r="L176" s="262" t="n">
        <v>110</v>
      </c>
      <c r="M176" s="262" t="n">
        <v>65</v>
      </c>
      <c r="N176" s="262" t="n">
        <v>65</v>
      </c>
      <c r="O176" s="262" t="n">
        <v>110</v>
      </c>
      <c r="P176" s="361" t="n">
        <v>30</v>
      </c>
      <c r="Q176" s="261" t="s">
        <v>144</v>
      </c>
      <c r="R176" s="261"/>
      <c r="S176" s="363" t="n">
        <f aca="false" t="array" ref="S176:S176">IF(COUNTIF('0.3.0 GO Calculation Values'!$J$2:$J$99,C176),(INDEX('0.3.0 GO Calculation Values'!$K$2:$K$99,MATCH(C176,'0.3.0 GO Calculation Values'!$J$2:$J$99,0))),1)</f>
        <v>1</v>
      </c>
      <c r="T176" s="262" t="n">
        <f aca="false">ROUND(ROUND(2*((7/8)*MAX(L176,N176)+(1/8)*MIN(L176,N176)),0)*(1+(P176-75)/500),0)</f>
        <v>190</v>
      </c>
      <c r="U176" s="262" t="n">
        <f aca="false">ROUND(ROUND(2*((5/8)*MAX(M176,O176)+(3/8)*MIN(M176,O176)),0)*(1+(P176-75)/500),0)</f>
        <v>169</v>
      </c>
      <c r="V176" s="361" t="n">
        <f aca="false">ROUNDDOWN(K176*1.75+50,0)</f>
        <v>330</v>
      </c>
      <c r="W176" s="261" t="n">
        <v>1</v>
      </c>
      <c r="X176" s="261" t="s">
        <v>622</v>
      </c>
      <c r="Y176" s="364" t="s">
        <v>621</v>
      </c>
      <c r="Z176" s="364" t="n">
        <v>5</v>
      </c>
      <c r="AA176" s="364"/>
      <c r="AB176" s="365" t="n">
        <v>10</v>
      </c>
      <c r="AC176" s="364"/>
      <c r="AD176" s="364" t="n">
        <v>0</v>
      </c>
      <c r="AE176" s="366"/>
      <c r="AF176" s="364" t="s">
        <v>623</v>
      </c>
      <c r="AG176" s="364" t="s">
        <v>623</v>
      </c>
      <c r="AH176" s="366" t="s">
        <v>623</v>
      </c>
    </row>
    <row r="177" customFormat="false" ht="15.75" hidden="false" customHeight="false" outlineLevel="0" collapsed="false">
      <c r="A177" s="262" t="n">
        <v>144</v>
      </c>
      <c r="B177" s="361" t="n">
        <v>175</v>
      </c>
      <c r="C177" s="261" t="s">
        <v>624</v>
      </c>
      <c r="D177" s="261" t="s">
        <v>60</v>
      </c>
      <c r="E177" s="362" t="s">
        <v>624</v>
      </c>
      <c r="F177" s="261" t="s">
        <v>228</v>
      </c>
      <c r="G177" s="261" t="s">
        <v>625</v>
      </c>
      <c r="H177" s="261" t="n">
        <v>0</v>
      </c>
      <c r="I177" s="261" t="n">
        <v>1</v>
      </c>
      <c r="J177" s="361" t="n">
        <v>1</v>
      </c>
      <c r="K177" s="262" t="n">
        <v>90</v>
      </c>
      <c r="L177" s="262" t="n">
        <v>85</v>
      </c>
      <c r="M177" s="262" t="n">
        <v>100</v>
      </c>
      <c r="N177" s="262" t="n">
        <v>95</v>
      </c>
      <c r="O177" s="262" t="n">
        <v>125</v>
      </c>
      <c r="P177" s="361" t="n">
        <v>85</v>
      </c>
      <c r="Q177" s="261" t="s">
        <v>158</v>
      </c>
      <c r="R177" s="261" t="s">
        <v>146</v>
      </c>
      <c r="S177" s="363" t="n">
        <f aca="false" t="array" ref="S177:S177">IF(COUNTIF('0.3.0 GO Calculation Values'!$J$2:$J$99,C177),(INDEX('0.3.0 GO Calculation Values'!$K$2:$K$99,MATCH(C177,'0.3.0 GO Calculation Values'!$J$2:$J$99,0))),1)</f>
        <v>1</v>
      </c>
      <c r="T177" s="262" t="n">
        <f aca="false">ROUND(ROUND(2*((7/8)*MAX(L177,N177)+(1/8)*MIN(L177,N177)),0)*(1+(P177-75)/500),0)</f>
        <v>192</v>
      </c>
      <c r="U177" s="262" t="n">
        <f aca="false">ROUND(ROUND(2*((5/8)*MAX(M177,O177)+(3/8)*MIN(M177,O177)),0)*(1+(P177-75)/500),0)</f>
        <v>236</v>
      </c>
      <c r="V177" s="361" t="n">
        <f aca="false">ROUNDDOWN(K177*1.75+50,0)</f>
        <v>207</v>
      </c>
      <c r="W177" s="261" t="n">
        <v>1</v>
      </c>
      <c r="X177" s="261" t="s">
        <v>60</v>
      </c>
      <c r="Y177" s="364" t="s">
        <v>624</v>
      </c>
      <c r="Z177" s="364" t="n">
        <v>20</v>
      </c>
      <c r="AA177" s="364"/>
      <c r="AB177" s="365" t="s">
        <v>60</v>
      </c>
      <c r="AC177" s="364"/>
      <c r="AD177" s="364" t="n">
        <v>0</v>
      </c>
      <c r="AE177" s="366"/>
      <c r="AF177" s="364" t="s">
        <v>626</v>
      </c>
      <c r="AG177" s="364" t="s">
        <v>626</v>
      </c>
      <c r="AH177" s="366" t="s">
        <v>626</v>
      </c>
    </row>
    <row r="178" customFormat="false" ht="15.75" hidden="false" customHeight="false" outlineLevel="0" collapsed="false">
      <c r="A178" s="262" t="n">
        <v>145</v>
      </c>
      <c r="B178" s="361" t="n">
        <v>176</v>
      </c>
      <c r="C178" s="261" t="s">
        <v>627</v>
      </c>
      <c r="D178" s="261" t="s">
        <v>60</v>
      </c>
      <c r="E178" s="362" t="s">
        <v>627</v>
      </c>
      <c r="F178" s="261" t="s">
        <v>228</v>
      </c>
      <c r="G178" s="261" t="s">
        <v>625</v>
      </c>
      <c r="H178" s="261" t="n">
        <v>0</v>
      </c>
      <c r="I178" s="261" t="n">
        <v>1</v>
      </c>
      <c r="J178" s="361" t="n">
        <v>1</v>
      </c>
      <c r="K178" s="262" t="n">
        <v>90</v>
      </c>
      <c r="L178" s="262" t="n">
        <v>90</v>
      </c>
      <c r="M178" s="262" t="n">
        <v>85</v>
      </c>
      <c r="N178" s="262" t="n">
        <v>125</v>
      </c>
      <c r="O178" s="262" t="n">
        <v>90</v>
      </c>
      <c r="P178" s="361" t="n">
        <v>100</v>
      </c>
      <c r="Q178" s="261" t="s">
        <v>156</v>
      </c>
      <c r="R178" s="261" t="s">
        <v>146</v>
      </c>
      <c r="S178" s="363" t="n">
        <f aca="false" t="array" ref="S178:S178">IF(COUNTIF('0.3.0 GO Calculation Values'!$J$2:$J$99,C178),(INDEX('0.3.0 GO Calculation Values'!$K$2:$K$99,MATCH(C178,'0.3.0 GO Calculation Values'!$J$2:$J$99,0))),1)</f>
        <v>1</v>
      </c>
      <c r="T178" s="262" t="n">
        <f aca="false">ROUND(ROUND(2*((7/8)*MAX(L178,N178)+(1/8)*MIN(L178,N178)),0)*(1+(P178-75)/500),0)</f>
        <v>253</v>
      </c>
      <c r="U178" s="262" t="n">
        <f aca="false">ROUND(ROUND(2*((5/8)*MAX(M178,O178)+(3/8)*MIN(M178,O178)),0)*(1+(P178-75)/500),0)</f>
        <v>185</v>
      </c>
      <c r="V178" s="361" t="n">
        <f aca="false">ROUNDDOWN(K178*1.75+50,0)</f>
        <v>207</v>
      </c>
      <c r="W178" s="261" t="n">
        <v>1</v>
      </c>
      <c r="X178" s="261" t="s">
        <v>60</v>
      </c>
      <c r="Y178" s="364" t="s">
        <v>627</v>
      </c>
      <c r="Z178" s="364" t="n">
        <v>20</v>
      </c>
      <c r="AA178" s="364"/>
      <c r="AB178" s="365" t="s">
        <v>60</v>
      </c>
      <c r="AC178" s="364"/>
      <c r="AD178" s="364" t="n">
        <v>0</v>
      </c>
      <c r="AE178" s="366"/>
      <c r="AF178" s="364" t="s">
        <v>628</v>
      </c>
      <c r="AG178" s="364" t="s">
        <v>628</v>
      </c>
      <c r="AH178" s="366" t="s">
        <v>628</v>
      </c>
    </row>
    <row r="179" customFormat="false" ht="15.75" hidden="false" customHeight="false" outlineLevel="0" collapsed="false">
      <c r="A179" s="262" t="n">
        <v>146</v>
      </c>
      <c r="B179" s="361" t="n">
        <v>177</v>
      </c>
      <c r="C179" s="261" t="s">
        <v>629</v>
      </c>
      <c r="D179" s="261" t="s">
        <v>60</v>
      </c>
      <c r="E179" s="362" t="s">
        <v>629</v>
      </c>
      <c r="F179" s="261" t="s">
        <v>228</v>
      </c>
      <c r="G179" s="261" t="s">
        <v>625</v>
      </c>
      <c r="H179" s="261" t="n">
        <v>0</v>
      </c>
      <c r="I179" s="261" t="n">
        <v>1</v>
      </c>
      <c r="J179" s="361" t="n">
        <v>1</v>
      </c>
      <c r="K179" s="262" t="n">
        <v>90</v>
      </c>
      <c r="L179" s="262" t="n">
        <v>100</v>
      </c>
      <c r="M179" s="262" t="n">
        <v>90</v>
      </c>
      <c r="N179" s="262" t="n">
        <v>125</v>
      </c>
      <c r="O179" s="262" t="n">
        <v>85</v>
      </c>
      <c r="P179" s="361" t="n">
        <v>90</v>
      </c>
      <c r="Q179" s="261" t="s">
        <v>153</v>
      </c>
      <c r="R179" s="261" t="s">
        <v>146</v>
      </c>
      <c r="S179" s="363" t="n">
        <f aca="false" t="array" ref="S179:S179">IF(COUNTIF('0.3.0 GO Calculation Values'!$J$2:$J$99,C179),(INDEX('0.3.0 GO Calculation Values'!$K$2:$K$99,MATCH(C179,'0.3.0 GO Calculation Values'!$J$2:$J$99,0))),1)</f>
        <v>1</v>
      </c>
      <c r="T179" s="262" t="n">
        <f aca="false">ROUND(ROUND(2*((7/8)*MAX(L179,N179)+(1/8)*MIN(L179,N179)),0)*(1+(P179-75)/500),0)</f>
        <v>251</v>
      </c>
      <c r="U179" s="262" t="n">
        <f aca="false">ROUND(ROUND(2*((5/8)*MAX(M179,O179)+(3/8)*MIN(M179,O179)),0)*(1+(P179-75)/500),0)</f>
        <v>181</v>
      </c>
      <c r="V179" s="361" t="n">
        <f aca="false">ROUNDDOWN(K179*1.75+50,0)</f>
        <v>207</v>
      </c>
      <c r="W179" s="261" t="n">
        <v>1</v>
      </c>
      <c r="X179" s="261" t="s">
        <v>60</v>
      </c>
      <c r="Y179" s="364" t="s">
        <v>629</v>
      </c>
      <c r="Z179" s="364" t="n">
        <v>20</v>
      </c>
      <c r="AA179" s="364"/>
      <c r="AB179" s="365" t="s">
        <v>60</v>
      </c>
      <c r="AC179" s="364"/>
      <c r="AD179" s="364" t="n">
        <v>0</v>
      </c>
      <c r="AE179" s="366"/>
      <c r="AF179" s="364" t="s">
        <v>630</v>
      </c>
      <c r="AG179" s="364" t="s">
        <v>630</v>
      </c>
      <c r="AH179" s="366" t="s">
        <v>630</v>
      </c>
    </row>
    <row r="180" customFormat="false" ht="15.75" hidden="false" customHeight="false" outlineLevel="0" collapsed="false">
      <c r="A180" s="262" t="n">
        <v>147</v>
      </c>
      <c r="B180" s="361" t="n">
        <v>178</v>
      </c>
      <c r="C180" s="261" t="s">
        <v>631</v>
      </c>
      <c r="D180" s="261" t="s">
        <v>60</v>
      </c>
      <c r="E180" s="362" t="s">
        <v>631</v>
      </c>
      <c r="F180" s="261" t="s">
        <v>228</v>
      </c>
      <c r="G180" s="261" t="s">
        <v>632</v>
      </c>
      <c r="H180" s="261" t="n">
        <v>0</v>
      </c>
      <c r="I180" s="261" t="n">
        <v>1</v>
      </c>
      <c r="J180" s="361" t="n">
        <v>0</v>
      </c>
      <c r="K180" s="262" t="n">
        <v>41</v>
      </c>
      <c r="L180" s="262" t="n">
        <v>64</v>
      </c>
      <c r="M180" s="262" t="n">
        <v>45</v>
      </c>
      <c r="N180" s="262" t="n">
        <v>50</v>
      </c>
      <c r="O180" s="262" t="n">
        <v>50</v>
      </c>
      <c r="P180" s="361" t="n">
        <v>50</v>
      </c>
      <c r="Q180" s="261" t="s">
        <v>159</v>
      </c>
      <c r="R180" s="261"/>
      <c r="S180" s="363" t="n">
        <f aca="false" t="array" ref="S180:S180">IF(COUNTIF('0.3.0 GO Calculation Values'!$J$2:$J$99,C180),(INDEX('0.3.0 GO Calculation Values'!$K$2:$K$99,MATCH(C180,'0.3.0 GO Calculation Values'!$J$2:$J$99,0))),1)</f>
        <v>1</v>
      </c>
      <c r="T180" s="262" t="n">
        <f aca="false">ROUND(ROUND(2*((7/8)*MAX(L180,N180)+(1/8)*MIN(L180,N180)),0)*(1+(P180-75)/500),0)</f>
        <v>119</v>
      </c>
      <c r="U180" s="262" t="n">
        <f aca="false">ROUND(ROUND(2*((5/8)*MAX(M180,O180)+(3/8)*MIN(M180,O180)),0)*(1+(P180-75)/500),0)</f>
        <v>91</v>
      </c>
      <c r="V180" s="361" t="n">
        <f aca="false">ROUNDDOWN(K180*1.75+50,0)</f>
        <v>121</v>
      </c>
      <c r="W180" s="261" t="n">
        <v>1</v>
      </c>
      <c r="X180" s="261" t="s">
        <v>60</v>
      </c>
      <c r="Y180" s="364" t="s">
        <v>631</v>
      </c>
      <c r="Z180" s="364" t="n">
        <v>5</v>
      </c>
      <c r="AA180" s="261" t="n">
        <v>43155</v>
      </c>
      <c r="AB180" s="365" t="n">
        <v>10</v>
      </c>
      <c r="AC180" s="364"/>
      <c r="AD180" s="364" t="n">
        <v>0</v>
      </c>
      <c r="AE180" s="366"/>
      <c r="AF180" s="364" t="s">
        <v>633</v>
      </c>
      <c r="AG180" s="364" t="s">
        <v>633</v>
      </c>
      <c r="AH180" s="366" t="s">
        <v>633</v>
      </c>
    </row>
    <row r="181" customFormat="false" ht="15.75" hidden="false" customHeight="false" outlineLevel="0" collapsed="false">
      <c r="A181" s="262" t="n">
        <v>148</v>
      </c>
      <c r="B181" s="361" t="n">
        <v>179</v>
      </c>
      <c r="C181" s="261" t="s">
        <v>634</v>
      </c>
      <c r="D181" s="261" t="s">
        <v>60</v>
      </c>
      <c r="E181" s="362" t="s">
        <v>634</v>
      </c>
      <c r="F181" s="261" t="s">
        <v>228</v>
      </c>
      <c r="G181" s="261" t="s">
        <v>632</v>
      </c>
      <c r="H181" s="261" t="n">
        <v>0</v>
      </c>
      <c r="I181" s="261" t="n">
        <v>2</v>
      </c>
      <c r="J181" s="361" t="n">
        <v>0</v>
      </c>
      <c r="K181" s="262" t="n">
        <v>61</v>
      </c>
      <c r="L181" s="262" t="n">
        <v>84</v>
      </c>
      <c r="M181" s="262" t="n">
        <v>65</v>
      </c>
      <c r="N181" s="262" t="n">
        <v>70</v>
      </c>
      <c r="O181" s="262" t="n">
        <v>70</v>
      </c>
      <c r="P181" s="361" t="n">
        <v>70</v>
      </c>
      <c r="Q181" s="261" t="s">
        <v>159</v>
      </c>
      <c r="R181" s="261"/>
      <c r="S181" s="363" t="n">
        <f aca="false" t="array" ref="S181:S181">IF(COUNTIF('0.3.0 GO Calculation Values'!$J$2:$J$99,C181),(INDEX('0.3.0 GO Calculation Values'!$K$2:$K$99,MATCH(C181,'0.3.0 GO Calculation Values'!$J$2:$J$99,0))),1)</f>
        <v>1</v>
      </c>
      <c r="T181" s="262" t="n">
        <f aca="false">ROUND(ROUND(2*((7/8)*MAX(L181,N181)+(1/8)*MIN(L181,N181)),0)*(1+(P181-75)/500),0)</f>
        <v>163</v>
      </c>
      <c r="U181" s="262" t="n">
        <f aca="false">ROUND(ROUND(2*((5/8)*MAX(M181,O181)+(3/8)*MIN(M181,O181)),0)*(1+(P181-75)/500),0)</f>
        <v>135</v>
      </c>
      <c r="V181" s="361" t="n">
        <f aca="false">ROUNDDOWN(K181*1.75+50,0)</f>
        <v>156</v>
      </c>
      <c r="W181" s="261" t="n">
        <v>1</v>
      </c>
      <c r="X181" s="261" t="s">
        <v>631</v>
      </c>
      <c r="Y181" s="364" t="s">
        <v>631</v>
      </c>
      <c r="Z181" s="364" t="n">
        <v>5</v>
      </c>
      <c r="AA181" s="261" t="n">
        <v>43155</v>
      </c>
      <c r="AB181" s="365" t="n">
        <v>10</v>
      </c>
      <c r="AC181" s="364"/>
      <c r="AD181" s="364" t="n">
        <v>25</v>
      </c>
      <c r="AE181" s="366"/>
      <c r="AF181" s="364" t="s">
        <v>635</v>
      </c>
      <c r="AG181" s="364" t="s">
        <v>635</v>
      </c>
      <c r="AH181" s="366" t="s">
        <v>635</v>
      </c>
    </row>
    <row r="182" customFormat="false" ht="15.75" hidden="false" customHeight="false" outlineLevel="0" collapsed="false">
      <c r="A182" s="262" t="n">
        <v>149</v>
      </c>
      <c r="B182" s="361" t="n">
        <v>180</v>
      </c>
      <c r="C182" s="261" t="s">
        <v>636</v>
      </c>
      <c r="D182" s="261" t="s">
        <v>60</v>
      </c>
      <c r="E182" s="362" t="s">
        <v>636</v>
      </c>
      <c r="F182" s="261" t="s">
        <v>228</v>
      </c>
      <c r="G182" s="261" t="s">
        <v>632</v>
      </c>
      <c r="H182" s="261" t="n">
        <v>0</v>
      </c>
      <c r="I182" s="261" t="n">
        <v>3</v>
      </c>
      <c r="J182" s="361" t="n">
        <v>1</v>
      </c>
      <c r="K182" s="262" t="n">
        <v>91</v>
      </c>
      <c r="L182" s="262" t="n">
        <v>134</v>
      </c>
      <c r="M182" s="262" t="n">
        <v>95</v>
      </c>
      <c r="N182" s="262" t="n">
        <v>100</v>
      </c>
      <c r="O182" s="262" t="n">
        <v>100</v>
      </c>
      <c r="P182" s="361" t="n">
        <v>80</v>
      </c>
      <c r="Q182" s="261" t="s">
        <v>159</v>
      </c>
      <c r="R182" s="261" t="s">
        <v>146</v>
      </c>
      <c r="S182" s="363" t="n">
        <f aca="false" t="array" ref="S182:S182">IF(COUNTIF('0.3.0 GO Calculation Values'!$J$2:$J$99,C182),(INDEX('0.3.0 GO Calculation Values'!$K$2:$K$99,MATCH(C182,'0.3.0 GO Calculation Values'!$J$2:$J$99,0))),1)</f>
        <v>1</v>
      </c>
      <c r="T182" s="262" t="n">
        <f aca="false">ROUND(ROUND(2*((7/8)*MAX(L182,N182)+(1/8)*MIN(L182,N182)),0)*(1+(P182-75)/500),0)</f>
        <v>263</v>
      </c>
      <c r="U182" s="262" t="n">
        <f aca="false">ROUND(ROUND(2*((5/8)*MAX(M182,O182)+(3/8)*MIN(M182,O182)),0)*(1+(P182-75)/500),0)</f>
        <v>198</v>
      </c>
      <c r="V182" s="361" t="n">
        <f aca="false">ROUNDDOWN(K182*1.75+50,0)</f>
        <v>209</v>
      </c>
      <c r="W182" s="261" t="n">
        <v>1</v>
      </c>
      <c r="X182" s="261" t="s">
        <v>634</v>
      </c>
      <c r="Y182" s="364" t="s">
        <v>631</v>
      </c>
      <c r="Z182" s="364" t="n">
        <v>5</v>
      </c>
      <c r="AA182" s="261" t="n">
        <v>43155</v>
      </c>
      <c r="AB182" s="365" t="n">
        <v>10</v>
      </c>
      <c r="AC182" s="364"/>
      <c r="AD182" s="364" t="n">
        <v>100</v>
      </c>
      <c r="AE182" s="366"/>
      <c r="AF182" s="364" t="s">
        <v>637</v>
      </c>
      <c r="AG182" s="364" t="s">
        <v>637</v>
      </c>
      <c r="AH182" s="366" t="s">
        <v>637</v>
      </c>
    </row>
    <row r="183" customFormat="false" ht="15.75" hidden="false" customHeight="false" outlineLevel="0" collapsed="false">
      <c r="A183" s="262" t="n">
        <v>150</v>
      </c>
      <c r="B183" s="361" t="n">
        <v>181</v>
      </c>
      <c r="C183" s="261" t="s">
        <v>638</v>
      </c>
      <c r="D183" s="261" t="s">
        <v>7</v>
      </c>
      <c r="E183" s="367" t="s">
        <v>638</v>
      </c>
      <c r="F183" s="261" t="s">
        <v>228</v>
      </c>
      <c r="G183" s="261" t="s">
        <v>639</v>
      </c>
      <c r="H183" s="261" t="n">
        <v>0</v>
      </c>
      <c r="I183" s="261" t="n">
        <v>1</v>
      </c>
      <c r="J183" s="361" t="n">
        <v>1</v>
      </c>
      <c r="K183" s="262" t="n">
        <v>106</v>
      </c>
      <c r="L183" s="262" t="n">
        <v>110</v>
      </c>
      <c r="M183" s="262" t="n">
        <v>90</v>
      </c>
      <c r="N183" s="262" t="n">
        <v>154</v>
      </c>
      <c r="O183" s="262" t="n">
        <v>90</v>
      </c>
      <c r="P183" s="361" t="n">
        <v>130</v>
      </c>
      <c r="Q183" s="261" t="s">
        <v>157</v>
      </c>
      <c r="R183" s="261"/>
      <c r="S183" s="368" t="n">
        <f aca="false" t="array" ref="S183:S183">IF(COUNTIF('0.3.0 GO Calculation Values'!$J$2:$J$99,C183),(INDEX('0.3.0 GO Calculation Values'!$K$2:$K$99,MATCH(C183,'0.3.0 GO Calculation Values'!$J$2:$J$99,0))),1)</f>
        <v>0.909090909090909</v>
      </c>
      <c r="T183" s="262" t="n">
        <f aca="false">ROUND(ROUND(2*((7/8)*MAX(L183,N183)+(1/8)*MIN(L183,N183)),0)*(1+(P183-75)/500),0)</f>
        <v>330</v>
      </c>
      <c r="U183" s="262" t="n">
        <f aca="false">ROUND(ROUND(2*((5/8)*MAX(M183,O183)+(3/8)*MIN(M183,O183)),0)*(1+(P183-75)/500),0)</f>
        <v>200</v>
      </c>
      <c r="V183" s="361" t="n">
        <f aca="false">ROUNDDOWN(K183*1.75+50,0)</f>
        <v>235</v>
      </c>
      <c r="W183" s="261" t="n">
        <v>1</v>
      </c>
      <c r="X183" s="261" t="s">
        <v>60</v>
      </c>
      <c r="Y183" s="364" t="s">
        <v>638</v>
      </c>
      <c r="Z183" s="364" t="n">
        <v>20</v>
      </c>
      <c r="AA183" s="364"/>
      <c r="AB183" s="365" t="s">
        <v>60</v>
      </c>
      <c r="AC183" s="364"/>
      <c r="AD183" s="364" t="n">
        <v>0</v>
      </c>
      <c r="AE183" s="366"/>
      <c r="AF183" s="364" t="s">
        <v>640</v>
      </c>
      <c r="AG183" s="364" t="s">
        <v>640</v>
      </c>
      <c r="AH183" s="366" t="s">
        <v>640</v>
      </c>
    </row>
    <row r="184" customFormat="false" ht="15.75" hidden="false" customHeight="false" outlineLevel="0" collapsed="false">
      <c r="A184" s="262" t="n">
        <v>150</v>
      </c>
      <c r="B184" s="361" t="n">
        <v>182</v>
      </c>
      <c r="C184" s="261" t="s">
        <v>638</v>
      </c>
      <c r="D184" s="261" t="s">
        <v>641</v>
      </c>
      <c r="E184" s="358" t="s">
        <v>642</v>
      </c>
      <c r="F184" s="261" t="s">
        <v>237</v>
      </c>
      <c r="G184" s="261" t="s">
        <v>639</v>
      </c>
      <c r="H184" s="261" t="n">
        <v>2</v>
      </c>
      <c r="I184" s="261" t="n">
        <v>2</v>
      </c>
      <c r="J184" s="361" t="n">
        <v>1</v>
      </c>
      <c r="K184" s="262" t="n">
        <v>106</v>
      </c>
      <c r="L184" s="262" t="n">
        <v>190</v>
      </c>
      <c r="M184" s="262" t="n">
        <v>100</v>
      </c>
      <c r="N184" s="262" t="n">
        <v>154</v>
      </c>
      <c r="O184" s="262" t="n">
        <v>100</v>
      </c>
      <c r="P184" s="361" t="n">
        <v>130</v>
      </c>
      <c r="Q184" s="261" t="s">
        <v>157</v>
      </c>
      <c r="R184" s="261" t="s">
        <v>145</v>
      </c>
      <c r="S184" s="368" t="n">
        <f aca="false" t="array" ref="S184:S184">IF(COUNTIF('0.3.0 GO Calculation Values'!$J$2:$J$99,C184),(INDEX('0.3.0 GO Calculation Values'!$K$2:$K$99,MATCH(C184,'0.3.0 GO Calculation Values'!$J$2:$J$99,0))),1)</f>
        <v>0.909090909090909</v>
      </c>
      <c r="T184" s="262" t="n">
        <f aca="false">ROUND(ROUND(2*((7/8)*MAX(L184,N184)+(1/8)*MIN(L184,N184)),0)*(1+(P184-75)/500),0)</f>
        <v>412</v>
      </c>
      <c r="U184" s="262" t="n">
        <f aca="false">ROUND(ROUND(2*((5/8)*MAX(M184,O184)+(3/8)*MIN(M184,O184)),0)*(1+(P184-75)/500),0)</f>
        <v>222</v>
      </c>
      <c r="V184" s="361" t="n">
        <f aca="false">ROUNDDOWN(K184*1.75+50,0)</f>
        <v>235</v>
      </c>
      <c r="W184" s="261" t="n">
        <v>0</v>
      </c>
      <c r="X184" s="261" t="s">
        <v>638</v>
      </c>
      <c r="Y184" s="364" t="s">
        <v>638</v>
      </c>
      <c r="Z184" s="364" t="n">
        <v>20</v>
      </c>
      <c r="AA184" s="364"/>
      <c r="AB184" s="365" t="s">
        <v>60</v>
      </c>
      <c r="AC184" s="364"/>
      <c r="AD184" s="364" t="n">
        <v>0</v>
      </c>
      <c r="AE184" s="366"/>
      <c r="AF184" s="261" t="s">
        <v>643</v>
      </c>
      <c r="AG184" s="261" t="s">
        <v>644</v>
      </c>
      <c r="AH184" s="362" t="s">
        <v>643</v>
      </c>
    </row>
    <row r="185" customFormat="false" ht="15.75" hidden="false" customHeight="false" outlineLevel="0" collapsed="false">
      <c r="A185" s="262" t="n">
        <v>150</v>
      </c>
      <c r="B185" s="361" t="n">
        <v>183</v>
      </c>
      <c r="C185" s="261" t="s">
        <v>638</v>
      </c>
      <c r="D185" s="261" t="s">
        <v>645</v>
      </c>
      <c r="E185" s="358" t="s">
        <v>646</v>
      </c>
      <c r="F185" s="261" t="s">
        <v>237</v>
      </c>
      <c r="G185" s="261" t="s">
        <v>639</v>
      </c>
      <c r="H185" s="261" t="n">
        <v>2</v>
      </c>
      <c r="I185" s="261" t="n">
        <v>2</v>
      </c>
      <c r="J185" s="361" t="n">
        <v>1</v>
      </c>
      <c r="K185" s="262" t="n">
        <v>106</v>
      </c>
      <c r="L185" s="262" t="n">
        <v>150</v>
      </c>
      <c r="M185" s="262" t="n">
        <v>70</v>
      </c>
      <c r="N185" s="262" t="n">
        <v>194</v>
      </c>
      <c r="O185" s="262" t="n">
        <v>120</v>
      </c>
      <c r="P185" s="361" t="n">
        <v>140</v>
      </c>
      <c r="Q185" s="261" t="s">
        <v>157</v>
      </c>
      <c r="R185" s="261"/>
      <c r="S185" s="368" t="n">
        <f aca="false" t="array" ref="S185:S185">IF(COUNTIF('0.3.0 GO Calculation Values'!$J$2:$J$99,C185),(INDEX('0.3.0 GO Calculation Values'!$K$2:$K$99,MATCH(C185,'0.3.0 GO Calculation Values'!$J$2:$J$99,0))),1)</f>
        <v>0.909090909090909</v>
      </c>
      <c r="T185" s="262" t="n">
        <f aca="false">ROUND(ROUND(2*((7/8)*MAX(L185,N185)+(1/8)*MIN(L185,N185)),0)*(1+(P185-75)/500),0)</f>
        <v>426</v>
      </c>
      <c r="U185" s="262" t="n">
        <f aca="false">ROUND(ROUND(2*((5/8)*MAX(M185,O185)+(3/8)*MIN(M185,O185)),0)*(1+(P185-75)/500),0)</f>
        <v>229</v>
      </c>
      <c r="V185" s="361" t="n">
        <f aca="false">ROUNDDOWN(K185*1.75+50,0)</f>
        <v>235</v>
      </c>
      <c r="W185" s="261" t="n">
        <v>0</v>
      </c>
      <c r="X185" s="261" t="s">
        <v>638</v>
      </c>
      <c r="Y185" s="364" t="s">
        <v>638</v>
      </c>
      <c r="Z185" s="364" t="n">
        <v>20</v>
      </c>
      <c r="AA185" s="364"/>
      <c r="AB185" s="365" t="s">
        <v>60</v>
      </c>
      <c r="AC185" s="364"/>
      <c r="AD185" s="364" t="n">
        <v>0</v>
      </c>
      <c r="AE185" s="366"/>
      <c r="AF185" s="261" t="s">
        <v>647</v>
      </c>
      <c r="AG185" s="261" t="s">
        <v>648</v>
      </c>
      <c r="AH185" s="362" t="s">
        <v>647</v>
      </c>
    </row>
    <row r="186" customFormat="false" ht="15.75" hidden="false" customHeight="false" outlineLevel="0" collapsed="false">
      <c r="A186" s="262" t="n">
        <v>151</v>
      </c>
      <c r="B186" s="361" t="n">
        <v>184</v>
      </c>
      <c r="C186" s="261" t="s">
        <v>649</v>
      </c>
      <c r="D186" s="261" t="s">
        <v>60</v>
      </c>
      <c r="E186" s="362" t="s">
        <v>649</v>
      </c>
      <c r="F186" s="261" t="s">
        <v>228</v>
      </c>
      <c r="G186" s="261" t="s">
        <v>650</v>
      </c>
      <c r="H186" s="261" t="n">
        <v>0</v>
      </c>
      <c r="I186" s="261" t="n">
        <v>1</v>
      </c>
      <c r="J186" s="361" t="n">
        <v>1</v>
      </c>
      <c r="K186" s="262" t="n">
        <v>100</v>
      </c>
      <c r="L186" s="262" t="n">
        <v>100</v>
      </c>
      <c r="M186" s="262" t="n">
        <v>100</v>
      </c>
      <c r="N186" s="262" t="n">
        <v>100</v>
      </c>
      <c r="O186" s="262" t="n">
        <v>100</v>
      </c>
      <c r="P186" s="361" t="n">
        <v>100</v>
      </c>
      <c r="Q186" s="261" t="s">
        <v>157</v>
      </c>
      <c r="R186" s="261"/>
      <c r="S186" s="363" t="n">
        <f aca="false" t="array" ref="S186:S186">IF(COUNTIF('0.3.0 GO Calculation Values'!$J$2:$J$99,C186),(INDEX('0.3.0 GO Calculation Values'!$K$2:$K$99,MATCH(C186,'0.3.0 GO Calculation Values'!$J$2:$J$99,0))),1)</f>
        <v>1</v>
      </c>
      <c r="T186" s="262" t="n">
        <f aca="false">ROUND(ROUND(2*((7/8)*MAX(L186,N186)+(1/8)*MIN(L186,N186)),0)*(1+(P186-75)/500),0)</f>
        <v>210</v>
      </c>
      <c r="U186" s="262" t="n">
        <f aca="false">ROUND(ROUND(2*((5/8)*MAX(M186,O186)+(3/8)*MIN(M186,O186)),0)*(1+(P186-75)/500),0)</f>
        <v>210</v>
      </c>
      <c r="V186" s="361" t="n">
        <f aca="false">ROUNDDOWN(K186*1.75+50,0)</f>
        <v>225</v>
      </c>
      <c r="W186" s="261" t="n">
        <v>1</v>
      </c>
      <c r="X186" s="261" t="s">
        <v>60</v>
      </c>
      <c r="Y186" s="364" t="s">
        <v>649</v>
      </c>
      <c r="Z186" s="364" t="n">
        <v>20</v>
      </c>
      <c r="AA186" s="364"/>
      <c r="AB186" s="365" t="s">
        <v>60</v>
      </c>
      <c r="AC186" s="364"/>
      <c r="AD186" s="364" t="n">
        <v>0</v>
      </c>
      <c r="AE186" s="366"/>
      <c r="AF186" s="364" t="s">
        <v>651</v>
      </c>
      <c r="AG186" s="364" t="s">
        <v>651</v>
      </c>
      <c r="AH186" s="366" t="s">
        <v>651</v>
      </c>
    </row>
    <row r="187" customFormat="false" ht="15.75" hidden="false" customHeight="false" outlineLevel="0" collapsed="false">
      <c r="A187" s="262" t="n">
        <v>152</v>
      </c>
      <c r="B187" s="361" t="n">
        <v>185</v>
      </c>
      <c r="C187" s="261" t="s">
        <v>652</v>
      </c>
      <c r="D187" s="261" t="s">
        <v>60</v>
      </c>
      <c r="E187" s="362" t="s">
        <v>652</v>
      </c>
      <c r="F187" s="261" t="s">
        <v>653</v>
      </c>
      <c r="G187" s="261" t="s">
        <v>229</v>
      </c>
      <c r="H187" s="261" t="n">
        <v>0</v>
      </c>
      <c r="I187" s="261" t="n">
        <v>1</v>
      </c>
      <c r="J187" s="361" t="n">
        <v>0</v>
      </c>
      <c r="K187" s="262" t="n">
        <v>45</v>
      </c>
      <c r="L187" s="262" t="n">
        <v>49</v>
      </c>
      <c r="M187" s="262" t="n">
        <v>65</v>
      </c>
      <c r="N187" s="262" t="n">
        <v>49</v>
      </c>
      <c r="O187" s="262" t="n">
        <v>65</v>
      </c>
      <c r="P187" s="361" t="n">
        <v>45</v>
      </c>
      <c r="Q187" s="261" t="s">
        <v>155</v>
      </c>
      <c r="R187" s="261"/>
      <c r="S187" s="363" t="n">
        <f aca="false" t="array" ref="S187:S187">IF(COUNTIF('0.3.0 GO Calculation Values'!$J$2:$J$99,C187),(INDEX('0.3.0 GO Calculation Values'!$K$2:$K$99,MATCH(C187,'0.3.0 GO Calculation Values'!$J$2:$J$99,0))),1)</f>
        <v>1</v>
      </c>
      <c r="T187" s="262" t="n">
        <f aca="false">ROUND(ROUND(2*((7/8)*MAX(L187,N187)+(1/8)*MIN(L187,N187)),0)*(1+(P187-75)/500),0)</f>
        <v>92</v>
      </c>
      <c r="U187" s="262" t="n">
        <f aca="false">ROUND(ROUND(2*((5/8)*MAX(M187,O187)+(3/8)*MIN(M187,O187)),0)*(1+(P187-75)/500),0)</f>
        <v>122</v>
      </c>
      <c r="V187" s="361" t="n">
        <f aca="false">ROUNDDOWN(K187*1.75+50,0)</f>
        <v>128</v>
      </c>
      <c r="W187" s="261" t="n">
        <v>1</v>
      </c>
      <c r="X187" s="261" t="s">
        <v>60</v>
      </c>
      <c r="Y187" s="364" t="s">
        <v>652</v>
      </c>
      <c r="Z187" s="364" t="n">
        <v>3</v>
      </c>
      <c r="AA187" s="364"/>
      <c r="AB187" s="365" t="n">
        <v>5</v>
      </c>
      <c r="AC187" s="364"/>
      <c r="AD187" s="364" t="n">
        <v>0</v>
      </c>
      <c r="AE187" s="366"/>
      <c r="AF187" s="364" t="s">
        <v>654</v>
      </c>
      <c r="AG187" s="364" t="s">
        <v>654</v>
      </c>
      <c r="AH187" s="366" t="s">
        <v>654</v>
      </c>
    </row>
    <row r="188" customFormat="false" ht="15.75" hidden="false" customHeight="false" outlineLevel="0" collapsed="false">
      <c r="A188" s="262" t="n">
        <v>153</v>
      </c>
      <c r="B188" s="361" t="n">
        <v>186</v>
      </c>
      <c r="C188" s="261" t="s">
        <v>655</v>
      </c>
      <c r="D188" s="261" t="s">
        <v>60</v>
      </c>
      <c r="E188" s="362" t="s">
        <v>655</v>
      </c>
      <c r="F188" s="261" t="s">
        <v>653</v>
      </c>
      <c r="G188" s="261" t="s">
        <v>229</v>
      </c>
      <c r="H188" s="261" t="n">
        <v>0</v>
      </c>
      <c r="I188" s="261" t="n">
        <v>2</v>
      </c>
      <c r="J188" s="361" t="n">
        <v>0</v>
      </c>
      <c r="K188" s="262" t="n">
        <v>60</v>
      </c>
      <c r="L188" s="262" t="n">
        <v>62</v>
      </c>
      <c r="M188" s="262" t="n">
        <v>80</v>
      </c>
      <c r="N188" s="262" t="n">
        <v>63</v>
      </c>
      <c r="O188" s="262" t="n">
        <v>80</v>
      </c>
      <c r="P188" s="361" t="n">
        <v>60</v>
      </c>
      <c r="Q188" s="261" t="s">
        <v>155</v>
      </c>
      <c r="R188" s="261"/>
      <c r="S188" s="363" t="n">
        <f aca="false" t="array" ref="S188:S188">IF(COUNTIF('0.3.0 GO Calculation Values'!$J$2:$J$99,C188),(INDEX('0.3.0 GO Calculation Values'!$K$2:$K$99,MATCH(C188,'0.3.0 GO Calculation Values'!$J$2:$J$99,0))),1)</f>
        <v>1</v>
      </c>
      <c r="T188" s="262" t="n">
        <f aca="false">ROUND(ROUND(2*((7/8)*MAX(L188,N188)+(1/8)*MIN(L188,N188)),0)*(1+(P188-75)/500),0)</f>
        <v>122</v>
      </c>
      <c r="U188" s="262" t="n">
        <f aca="false">ROUND(ROUND(2*((5/8)*MAX(M188,O188)+(3/8)*MIN(M188,O188)),0)*(1+(P188-75)/500),0)</f>
        <v>155</v>
      </c>
      <c r="V188" s="361" t="n">
        <f aca="false">ROUNDDOWN(K188*1.75+50,0)</f>
        <v>155</v>
      </c>
      <c r="W188" s="261" t="n">
        <v>1</v>
      </c>
      <c r="X188" s="261" t="s">
        <v>652</v>
      </c>
      <c r="Y188" s="364" t="s">
        <v>652</v>
      </c>
      <c r="Z188" s="364" t="n">
        <v>3</v>
      </c>
      <c r="AA188" s="364"/>
      <c r="AB188" s="365" t="n">
        <v>5</v>
      </c>
      <c r="AC188" s="364"/>
      <c r="AD188" s="364" t="n">
        <v>25</v>
      </c>
      <c r="AE188" s="366"/>
      <c r="AF188" s="364" t="s">
        <v>656</v>
      </c>
      <c r="AG188" s="364" t="s">
        <v>656</v>
      </c>
      <c r="AH188" s="366" t="s">
        <v>656</v>
      </c>
    </row>
    <row r="189" customFormat="false" ht="15.75" hidden="false" customHeight="false" outlineLevel="0" collapsed="false">
      <c r="A189" s="262" t="n">
        <v>154</v>
      </c>
      <c r="B189" s="361" t="n">
        <v>187</v>
      </c>
      <c r="C189" s="261" t="s">
        <v>657</v>
      </c>
      <c r="D189" s="261" t="s">
        <v>60</v>
      </c>
      <c r="E189" s="362" t="s">
        <v>657</v>
      </c>
      <c r="F189" s="261" t="s">
        <v>653</v>
      </c>
      <c r="G189" s="261" t="s">
        <v>229</v>
      </c>
      <c r="H189" s="261" t="n">
        <v>0</v>
      </c>
      <c r="I189" s="261" t="n">
        <v>3</v>
      </c>
      <c r="J189" s="361" t="n">
        <v>1</v>
      </c>
      <c r="K189" s="262" t="n">
        <v>80</v>
      </c>
      <c r="L189" s="262" t="n">
        <v>82</v>
      </c>
      <c r="M189" s="262" t="n">
        <v>100</v>
      </c>
      <c r="N189" s="262" t="n">
        <v>83</v>
      </c>
      <c r="O189" s="262" t="n">
        <v>100</v>
      </c>
      <c r="P189" s="361" t="n">
        <v>80</v>
      </c>
      <c r="Q189" s="261" t="s">
        <v>155</v>
      </c>
      <c r="R189" s="261"/>
      <c r="S189" s="363" t="n">
        <f aca="false" t="array" ref="S189:S189">IF(COUNTIF('0.3.0 GO Calculation Values'!$J$2:$J$99,C189),(INDEX('0.3.0 GO Calculation Values'!$K$2:$K$99,MATCH(C189,'0.3.0 GO Calculation Values'!$J$2:$J$99,0))),1)</f>
        <v>1</v>
      </c>
      <c r="T189" s="262" t="n">
        <f aca="false">ROUND(ROUND(2*((7/8)*MAX(L189,N189)+(1/8)*MIN(L189,N189)),0)*(1+(P189-75)/500),0)</f>
        <v>168</v>
      </c>
      <c r="U189" s="262" t="n">
        <f aca="false">ROUND(ROUND(2*((5/8)*MAX(M189,O189)+(3/8)*MIN(M189,O189)),0)*(1+(P189-75)/500),0)</f>
        <v>202</v>
      </c>
      <c r="V189" s="361" t="n">
        <f aca="false">ROUNDDOWN(K189*1.75+50,0)</f>
        <v>190</v>
      </c>
      <c r="W189" s="261" t="n">
        <v>1</v>
      </c>
      <c r="X189" s="261" t="s">
        <v>655</v>
      </c>
      <c r="Y189" s="364" t="s">
        <v>652</v>
      </c>
      <c r="Z189" s="364" t="n">
        <v>3</v>
      </c>
      <c r="AA189" s="364"/>
      <c r="AB189" s="365" t="n">
        <v>5</v>
      </c>
      <c r="AC189" s="364"/>
      <c r="AD189" s="364" t="n">
        <v>100</v>
      </c>
      <c r="AE189" s="366"/>
      <c r="AF189" s="364" t="s">
        <v>658</v>
      </c>
      <c r="AG189" s="364" t="s">
        <v>658</v>
      </c>
      <c r="AH189" s="366" t="s">
        <v>658</v>
      </c>
    </row>
    <row r="190" customFormat="false" ht="15.75" hidden="false" customHeight="false" outlineLevel="0" collapsed="false">
      <c r="A190" s="262" t="n">
        <v>155</v>
      </c>
      <c r="B190" s="361" t="n">
        <v>188</v>
      </c>
      <c r="C190" s="261" t="s">
        <v>659</v>
      </c>
      <c r="D190" s="261" t="s">
        <v>60</v>
      </c>
      <c r="E190" s="362" t="s">
        <v>659</v>
      </c>
      <c r="F190" s="261" t="s">
        <v>653</v>
      </c>
      <c r="G190" s="261" t="s">
        <v>229</v>
      </c>
      <c r="H190" s="261" t="n">
        <v>0</v>
      </c>
      <c r="I190" s="261" t="n">
        <v>1</v>
      </c>
      <c r="J190" s="361" t="n">
        <v>0</v>
      </c>
      <c r="K190" s="262" t="n">
        <v>39</v>
      </c>
      <c r="L190" s="262" t="n">
        <v>52</v>
      </c>
      <c r="M190" s="262" t="n">
        <v>43</v>
      </c>
      <c r="N190" s="262" t="n">
        <v>60</v>
      </c>
      <c r="O190" s="262" t="n">
        <v>50</v>
      </c>
      <c r="P190" s="361" t="n">
        <v>65</v>
      </c>
      <c r="Q190" s="261" t="s">
        <v>153</v>
      </c>
      <c r="R190" s="261"/>
      <c r="S190" s="363" t="n">
        <f aca="false" t="array" ref="S190:S190">IF(COUNTIF('0.3.0 GO Calculation Values'!$J$2:$J$99,C190),(INDEX('0.3.0 GO Calculation Values'!$K$2:$K$99,MATCH(C190,'0.3.0 GO Calculation Values'!$J$2:$J$99,0))),1)</f>
        <v>1</v>
      </c>
      <c r="T190" s="262" t="n">
        <f aca="false">ROUND(ROUND(2*((7/8)*MAX(L190,N190)+(1/8)*MIN(L190,N190)),0)*(1+(P190-75)/500),0)</f>
        <v>116</v>
      </c>
      <c r="U190" s="262" t="n">
        <f aca="false">ROUND(ROUND(2*((5/8)*MAX(M190,O190)+(3/8)*MIN(M190,O190)),0)*(1+(P190-75)/500),0)</f>
        <v>93</v>
      </c>
      <c r="V190" s="361" t="n">
        <f aca="false">ROUNDDOWN(K190*1.75+50,0)</f>
        <v>118</v>
      </c>
      <c r="W190" s="261" t="n">
        <v>1</v>
      </c>
      <c r="X190" s="261" t="s">
        <v>60</v>
      </c>
      <c r="Y190" s="364" t="s">
        <v>659</v>
      </c>
      <c r="Z190" s="364" t="n">
        <v>3</v>
      </c>
      <c r="AA190" s="364"/>
      <c r="AB190" s="365" t="n">
        <v>5</v>
      </c>
      <c r="AC190" s="364"/>
      <c r="AD190" s="364" t="n">
        <v>0</v>
      </c>
      <c r="AE190" s="366"/>
      <c r="AF190" s="364" t="s">
        <v>660</v>
      </c>
      <c r="AG190" s="364" t="s">
        <v>660</v>
      </c>
      <c r="AH190" s="366" t="s">
        <v>660</v>
      </c>
    </row>
    <row r="191" customFormat="false" ht="15.75" hidden="false" customHeight="false" outlineLevel="0" collapsed="false">
      <c r="A191" s="262" t="n">
        <v>156</v>
      </c>
      <c r="B191" s="361" t="n">
        <v>189</v>
      </c>
      <c r="C191" s="261" t="s">
        <v>661</v>
      </c>
      <c r="D191" s="261" t="s">
        <v>60</v>
      </c>
      <c r="E191" s="362" t="s">
        <v>661</v>
      </c>
      <c r="F191" s="261" t="s">
        <v>653</v>
      </c>
      <c r="G191" s="261" t="s">
        <v>229</v>
      </c>
      <c r="H191" s="261" t="n">
        <v>0</v>
      </c>
      <c r="I191" s="261" t="n">
        <v>2</v>
      </c>
      <c r="J191" s="361" t="n">
        <v>0</v>
      </c>
      <c r="K191" s="262" t="n">
        <v>58</v>
      </c>
      <c r="L191" s="262" t="n">
        <v>64</v>
      </c>
      <c r="M191" s="262" t="n">
        <v>58</v>
      </c>
      <c r="N191" s="262" t="n">
        <v>80</v>
      </c>
      <c r="O191" s="262" t="n">
        <v>65</v>
      </c>
      <c r="P191" s="361" t="n">
        <v>80</v>
      </c>
      <c r="Q191" s="261" t="s">
        <v>153</v>
      </c>
      <c r="R191" s="261"/>
      <c r="S191" s="363" t="n">
        <f aca="false" t="array" ref="S191:S191">IF(COUNTIF('0.3.0 GO Calculation Values'!$J$2:$J$99,C191),(INDEX('0.3.0 GO Calculation Values'!$K$2:$K$99,MATCH(C191,'0.3.0 GO Calculation Values'!$J$2:$J$99,0))),1)</f>
        <v>1</v>
      </c>
      <c r="T191" s="262" t="n">
        <f aca="false">ROUND(ROUND(2*((7/8)*MAX(L191,N191)+(1/8)*MIN(L191,N191)),0)*(1+(P191-75)/500),0)</f>
        <v>158</v>
      </c>
      <c r="U191" s="262" t="n">
        <f aca="false">ROUND(ROUND(2*((5/8)*MAX(M191,O191)+(3/8)*MIN(M191,O191)),0)*(1+(P191-75)/500),0)</f>
        <v>126</v>
      </c>
      <c r="V191" s="361" t="n">
        <f aca="false">ROUNDDOWN(K191*1.75+50,0)</f>
        <v>151</v>
      </c>
      <c r="W191" s="261" t="n">
        <v>1</v>
      </c>
      <c r="X191" s="261" t="s">
        <v>659</v>
      </c>
      <c r="Y191" s="364" t="s">
        <v>659</v>
      </c>
      <c r="Z191" s="364" t="n">
        <v>3</v>
      </c>
      <c r="AA191" s="364"/>
      <c r="AB191" s="365" t="n">
        <v>5</v>
      </c>
      <c r="AC191" s="364"/>
      <c r="AD191" s="364" t="n">
        <v>25</v>
      </c>
      <c r="AE191" s="366"/>
      <c r="AF191" s="364" t="s">
        <v>662</v>
      </c>
      <c r="AG191" s="364" t="s">
        <v>662</v>
      </c>
      <c r="AH191" s="366" t="s">
        <v>662</v>
      </c>
    </row>
    <row r="192" customFormat="false" ht="15.75" hidden="false" customHeight="false" outlineLevel="0" collapsed="false">
      <c r="A192" s="262" t="n">
        <v>157</v>
      </c>
      <c r="B192" s="361" t="n">
        <v>190</v>
      </c>
      <c r="C192" s="261" t="s">
        <v>663</v>
      </c>
      <c r="D192" s="261" t="s">
        <v>60</v>
      </c>
      <c r="E192" s="362" t="s">
        <v>663</v>
      </c>
      <c r="F192" s="261" t="s">
        <v>653</v>
      </c>
      <c r="G192" s="261" t="s">
        <v>229</v>
      </c>
      <c r="H192" s="261" t="n">
        <v>0</v>
      </c>
      <c r="I192" s="261" t="n">
        <v>3</v>
      </c>
      <c r="J192" s="361" t="n">
        <v>1</v>
      </c>
      <c r="K192" s="262" t="n">
        <v>78</v>
      </c>
      <c r="L192" s="262" t="n">
        <v>84</v>
      </c>
      <c r="M192" s="262" t="n">
        <v>78</v>
      </c>
      <c r="N192" s="262" t="n">
        <v>109</v>
      </c>
      <c r="O192" s="262" t="n">
        <v>85</v>
      </c>
      <c r="P192" s="361" t="n">
        <v>100</v>
      </c>
      <c r="Q192" s="261" t="s">
        <v>153</v>
      </c>
      <c r="R192" s="261"/>
      <c r="S192" s="363" t="n">
        <f aca="false" t="array" ref="S192:S192">IF(COUNTIF('0.3.0 GO Calculation Values'!$J$2:$J$99,C192),(INDEX('0.3.0 GO Calculation Values'!$K$2:$K$99,MATCH(C192,'0.3.0 GO Calculation Values'!$J$2:$J$99,0))),1)</f>
        <v>1</v>
      </c>
      <c r="T192" s="262" t="n">
        <f aca="false">ROUND(ROUND(2*((7/8)*MAX(L192,N192)+(1/8)*MIN(L192,N192)),0)*(1+(P192-75)/500),0)</f>
        <v>223</v>
      </c>
      <c r="U192" s="262" t="n">
        <f aca="false">ROUND(ROUND(2*((5/8)*MAX(M192,O192)+(3/8)*MIN(M192,O192)),0)*(1+(P192-75)/500),0)</f>
        <v>173</v>
      </c>
      <c r="V192" s="361" t="n">
        <f aca="false">ROUNDDOWN(K192*1.75+50,0)</f>
        <v>186</v>
      </c>
      <c r="W192" s="261" t="n">
        <v>1</v>
      </c>
      <c r="X192" s="261" t="s">
        <v>661</v>
      </c>
      <c r="Y192" s="364" t="s">
        <v>659</v>
      </c>
      <c r="Z192" s="364" t="n">
        <v>3</v>
      </c>
      <c r="AA192" s="364"/>
      <c r="AB192" s="365" t="n">
        <v>5</v>
      </c>
      <c r="AC192" s="364"/>
      <c r="AD192" s="364" t="n">
        <v>100</v>
      </c>
      <c r="AE192" s="366"/>
      <c r="AF192" s="364" t="s">
        <v>664</v>
      </c>
      <c r="AG192" s="364" t="s">
        <v>664</v>
      </c>
      <c r="AH192" s="366" t="s">
        <v>664</v>
      </c>
    </row>
    <row r="193" customFormat="false" ht="15.75" hidden="false" customHeight="false" outlineLevel="0" collapsed="false">
      <c r="A193" s="262" t="n">
        <v>158</v>
      </c>
      <c r="B193" s="361" t="n">
        <v>191</v>
      </c>
      <c r="C193" s="261" t="s">
        <v>665</v>
      </c>
      <c r="D193" s="261" t="s">
        <v>60</v>
      </c>
      <c r="E193" s="362" t="s">
        <v>665</v>
      </c>
      <c r="F193" s="261" t="s">
        <v>653</v>
      </c>
      <c r="G193" s="261" t="s">
        <v>229</v>
      </c>
      <c r="H193" s="261" t="n">
        <v>0</v>
      </c>
      <c r="I193" s="261" t="n">
        <v>1</v>
      </c>
      <c r="J193" s="361" t="n">
        <v>0</v>
      </c>
      <c r="K193" s="262" t="n">
        <v>50</v>
      </c>
      <c r="L193" s="262" t="n">
        <v>65</v>
      </c>
      <c r="M193" s="262" t="n">
        <v>64</v>
      </c>
      <c r="N193" s="262" t="n">
        <v>44</v>
      </c>
      <c r="O193" s="262" t="n">
        <v>48</v>
      </c>
      <c r="P193" s="361" t="n">
        <v>43</v>
      </c>
      <c r="Q193" s="261" t="s">
        <v>154</v>
      </c>
      <c r="R193" s="261"/>
      <c r="S193" s="363" t="n">
        <f aca="false" t="array" ref="S193:S193">IF(COUNTIF('0.3.0 GO Calculation Values'!$J$2:$J$99,C193),(INDEX('0.3.0 GO Calculation Values'!$K$2:$K$99,MATCH(C193,'0.3.0 GO Calculation Values'!$J$2:$J$99,0))),1)</f>
        <v>1</v>
      </c>
      <c r="T193" s="262" t="n">
        <f aca="false">ROUND(ROUND(2*((7/8)*MAX(L193,N193)+(1/8)*MIN(L193,N193)),0)*(1+(P193-75)/500),0)</f>
        <v>117</v>
      </c>
      <c r="U193" s="262" t="n">
        <f aca="false">ROUND(ROUND(2*((5/8)*MAX(M193,O193)+(3/8)*MIN(M193,O193)),0)*(1+(P193-75)/500),0)</f>
        <v>109</v>
      </c>
      <c r="V193" s="361" t="n">
        <f aca="false">ROUNDDOWN(K193*1.75+50,0)</f>
        <v>137</v>
      </c>
      <c r="W193" s="261" t="n">
        <v>1</v>
      </c>
      <c r="X193" s="261" t="s">
        <v>60</v>
      </c>
      <c r="Y193" s="364" t="s">
        <v>665</v>
      </c>
      <c r="Z193" s="364" t="n">
        <v>3</v>
      </c>
      <c r="AA193" s="364"/>
      <c r="AB193" s="365" t="n">
        <v>5</v>
      </c>
      <c r="AC193" s="364"/>
      <c r="AD193" s="364" t="n">
        <v>0</v>
      </c>
      <c r="AE193" s="366"/>
      <c r="AF193" s="364" t="s">
        <v>666</v>
      </c>
      <c r="AG193" s="364" t="s">
        <v>666</v>
      </c>
      <c r="AH193" s="366" t="s">
        <v>666</v>
      </c>
    </row>
    <row r="194" customFormat="false" ht="15.75" hidden="false" customHeight="false" outlineLevel="0" collapsed="false">
      <c r="A194" s="262" t="n">
        <v>159</v>
      </c>
      <c r="B194" s="361" t="n">
        <v>192</v>
      </c>
      <c r="C194" s="261" t="s">
        <v>667</v>
      </c>
      <c r="D194" s="261" t="s">
        <v>60</v>
      </c>
      <c r="E194" s="362" t="s">
        <v>667</v>
      </c>
      <c r="F194" s="261" t="s">
        <v>653</v>
      </c>
      <c r="G194" s="261" t="s">
        <v>229</v>
      </c>
      <c r="H194" s="261" t="n">
        <v>0</v>
      </c>
      <c r="I194" s="261" t="n">
        <v>2</v>
      </c>
      <c r="J194" s="361" t="n">
        <v>0</v>
      </c>
      <c r="K194" s="262" t="n">
        <v>65</v>
      </c>
      <c r="L194" s="262" t="n">
        <v>80</v>
      </c>
      <c r="M194" s="262" t="n">
        <v>80</v>
      </c>
      <c r="N194" s="262" t="n">
        <v>59</v>
      </c>
      <c r="O194" s="262" t="n">
        <v>63</v>
      </c>
      <c r="P194" s="361" t="n">
        <v>58</v>
      </c>
      <c r="Q194" s="261" t="s">
        <v>154</v>
      </c>
      <c r="R194" s="261"/>
      <c r="S194" s="363" t="n">
        <f aca="false" t="array" ref="S194:S194">IF(COUNTIF('0.3.0 GO Calculation Values'!$J$2:$J$99,C194),(INDEX('0.3.0 GO Calculation Values'!$K$2:$K$99,MATCH(C194,'0.3.0 GO Calculation Values'!$J$2:$J$99,0))),1)</f>
        <v>1</v>
      </c>
      <c r="T194" s="262" t="n">
        <f aca="false">ROUND(ROUND(2*((7/8)*MAX(L194,N194)+(1/8)*MIN(L194,N194)),0)*(1+(P194-75)/500),0)</f>
        <v>150</v>
      </c>
      <c r="U194" s="262" t="n">
        <f aca="false">ROUND(ROUND(2*((5/8)*MAX(M194,O194)+(3/8)*MIN(M194,O194)),0)*(1+(P194-75)/500),0)</f>
        <v>142</v>
      </c>
      <c r="V194" s="361" t="n">
        <f aca="false">ROUNDDOWN(K194*1.75+50,0)</f>
        <v>163</v>
      </c>
      <c r="W194" s="261" t="n">
        <v>1</v>
      </c>
      <c r="X194" s="261" t="s">
        <v>665</v>
      </c>
      <c r="Y194" s="364" t="s">
        <v>665</v>
      </c>
      <c r="Z194" s="364" t="n">
        <v>3</v>
      </c>
      <c r="AA194" s="364"/>
      <c r="AB194" s="365" t="n">
        <v>5</v>
      </c>
      <c r="AC194" s="364"/>
      <c r="AD194" s="364" t="n">
        <v>25</v>
      </c>
      <c r="AE194" s="366"/>
      <c r="AF194" s="364" t="s">
        <v>668</v>
      </c>
      <c r="AG194" s="364" t="s">
        <v>668</v>
      </c>
      <c r="AH194" s="366" t="s">
        <v>668</v>
      </c>
    </row>
    <row r="195" customFormat="false" ht="15.75" hidden="false" customHeight="false" outlineLevel="0" collapsed="false">
      <c r="A195" s="262" t="n">
        <v>160</v>
      </c>
      <c r="B195" s="361" t="n">
        <v>193</v>
      </c>
      <c r="C195" s="261" t="s">
        <v>669</v>
      </c>
      <c r="D195" s="261" t="s">
        <v>60</v>
      </c>
      <c r="E195" s="362" t="s">
        <v>669</v>
      </c>
      <c r="F195" s="261" t="s">
        <v>653</v>
      </c>
      <c r="G195" s="261" t="s">
        <v>229</v>
      </c>
      <c r="H195" s="261" t="n">
        <v>0</v>
      </c>
      <c r="I195" s="261" t="n">
        <v>3</v>
      </c>
      <c r="J195" s="361" t="n">
        <v>1</v>
      </c>
      <c r="K195" s="262" t="n">
        <v>85</v>
      </c>
      <c r="L195" s="262" t="n">
        <v>105</v>
      </c>
      <c r="M195" s="262" t="n">
        <v>100</v>
      </c>
      <c r="N195" s="262" t="n">
        <v>79</v>
      </c>
      <c r="O195" s="262" t="n">
        <v>83</v>
      </c>
      <c r="P195" s="361" t="n">
        <v>78</v>
      </c>
      <c r="Q195" s="261" t="s">
        <v>154</v>
      </c>
      <c r="R195" s="261"/>
      <c r="S195" s="363" t="n">
        <f aca="false" t="array" ref="S195:S195">IF(COUNTIF('0.3.0 GO Calculation Values'!$J$2:$J$99,C195),(INDEX('0.3.0 GO Calculation Values'!$K$2:$K$99,MATCH(C195,'0.3.0 GO Calculation Values'!$J$2:$J$99,0))),1)</f>
        <v>1</v>
      </c>
      <c r="T195" s="262" t="n">
        <f aca="false">ROUND(ROUND(2*((7/8)*MAX(L195,N195)+(1/8)*MIN(L195,N195)),0)*(1+(P195-75)/500),0)</f>
        <v>205</v>
      </c>
      <c r="U195" s="262" t="n">
        <f aca="false">ROUND(ROUND(2*((5/8)*MAX(M195,O195)+(3/8)*MIN(M195,O195)),0)*(1+(P195-75)/500),0)</f>
        <v>188</v>
      </c>
      <c r="V195" s="361" t="n">
        <f aca="false">ROUNDDOWN(K195*1.75+50,0)</f>
        <v>198</v>
      </c>
      <c r="W195" s="261" t="n">
        <v>1</v>
      </c>
      <c r="X195" s="261" t="s">
        <v>667</v>
      </c>
      <c r="Y195" s="364" t="s">
        <v>665</v>
      </c>
      <c r="Z195" s="364" t="n">
        <v>3</v>
      </c>
      <c r="AA195" s="364"/>
      <c r="AB195" s="365" t="n">
        <v>5</v>
      </c>
      <c r="AC195" s="364"/>
      <c r="AD195" s="364" t="n">
        <v>100</v>
      </c>
      <c r="AE195" s="366"/>
      <c r="AF195" s="364" t="s">
        <v>670</v>
      </c>
      <c r="AG195" s="364" t="s">
        <v>670</v>
      </c>
      <c r="AH195" s="366" t="s">
        <v>670</v>
      </c>
    </row>
    <row r="196" customFormat="false" ht="15.75" hidden="false" customHeight="false" outlineLevel="0" collapsed="false">
      <c r="A196" s="262" t="n">
        <v>161</v>
      </c>
      <c r="B196" s="361" t="n">
        <v>194</v>
      </c>
      <c r="C196" s="261" t="s">
        <v>671</v>
      </c>
      <c r="D196" s="261" t="s">
        <v>60</v>
      </c>
      <c r="E196" s="362" t="s">
        <v>671</v>
      </c>
      <c r="F196" s="261" t="s">
        <v>653</v>
      </c>
      <c r="G196" s="261" t="s">
        <v>144</v>
      </c>
      <c r="H196" s="261" t="n">
        <v>0</v>
      </c>
      <c r="I196" s="261" t="n">
        <v>1</v>
      </c>
      <c r="J196" s="361" t="n">
        <v>0</v>
      </c>
      <c r="K196" s="262" t="n">
        <v>35</v>
      </c>
      <c r="L196" s="262" t="n">
        <v>46</v>
      </c>
      <c r="M196" s="262" t="n">
        <v>34</v>
      </c>
      <c r="N196" s="262" t="n">
        <v>35</v>
      </c>
      <c r="O196" s="262" t="n">
        <v>45</v>
      </c>
      <c r="P196" s="361" t="n">
        <v>20</v>
      </c>
      <c r="Q196" s="261" t="s">
        <v>144</v>
      </c>
      <c r="R196" s="261"/>
      <c r="S196" s="363" t="n">
        <f aca="false" t="array" ref="S196:S196">IF(COUNTIF('0.3.0 GO Calculation Values'!$J$2:$J$99,C196),(INDEX('0.3.0 GO Calculation Values'!$K$2:$K$99,MATCH(C196,'0.3.0 GO Calculation Values'!$J$2:$J$99,0))),1)</f>
        <v>1</v>
      </c>
      <c r="T196" s="262" t="n">
        <f aca="false">ROUND(ROUND(2*((7/8)*MAX(L196,N196)+(1/8)*MIN(L196,N196)),0)*(1+(P196-75)/500),0)</f>
        <v>79</v>
      </c>
      <c r="U196" s="262" t="n">
        <f aca="false">ROUND(ROUND(2*((5/8)*MAX(M196,O196)+(3/8)*MIN(M196,O196)),0)*(1+(P196-75)/500),0)</f>
        <v>73</v>
      </c>
      <c r="V196" s="361" t="n">
        <f aca="false">ROUNDDOWN(K196*1.75+50,0)</f>
        <v>111</v>
      </c>
      <c r="W196" s="261" t="n">
        <v>1</v>
      </c>
      <c r="X196" s="261" t="s">
        <v>60</v>
      </c>
      <c r="Y196" s="364" t="s">
        <v>671</v>
      </c>
      <c r="Z196" s="364" t="n">
        <v>1</v>
      </c>
      <c r="AA196" s="364"/>
      <c r="AB196" s="365" t="s">
        <v>60</v>
      </c>
      <c r="AC196" s="364"/>
      <c r="AD196" s="364" t="n">
        <v>0</v>
      </c>
      <c r="AE196" s="366"/>
      <c r="AF196" s="364" t="s">
        <v>672</v>
      </c>
      <c r="AG196" s="364" t="s">
        <v>672</v>
      </c>
      <c r="AH196" s="366" t="s">
        <v>672</v>
      </c>
    </row>
    <row r="197" customFormat="false" ht="15.75" hidden="false" customHeight="false" outlineLevel="0" collapsed="false">
      <c r="A197" s="262" t="n">
        <v>162</v>
      </c>
      <c r="B197" s="361" t="n">
        <v>195</v>
      </c>
      <c r="C197" s="261" t="s">
        <v>673</v>
      </c>
      <c r="D197" s="261" t="s">
        <v>60</v>
      </c>
      <c r="E197" s="362" t="s">
        <v>673</v>
      </c>
      <c r="F197" s="261" t="s">
        <v>653</v>
      </c>
      <c r="G197" s="261" t="s">
        <v>144</v>
      </c>
      <c r="H197" s="261" t="n">
        <v>0</v>
      </c>
      <c r="I197" s="261" t="n">
        <v>2</v>
      </c>
      <c r="J197" s="361" t="n">
        <v>1</v>
      </c>
      <c r="K197" s="262" t="n">
        <v>85</v>
      </c>
      <c r="L197" s="262" t="n">
        <v>76</v>
      </c>
      <c r="M197" s="262" t="n">
        <v>64</v>
      </c>
      <c r="N197" s="262" t="n">
        <v>45</v>
      </c>
      <c r="O197" s="262" t="n">
        <v>55</v>
      </c>
      <c r="P197" s="361" t="n">
        <v>90</v>
      </c>
      <c r="Q197" s="261" t="s">
        <v>144</v>
      </c>
      <c r="R197" s="261"/>
      <c r="S197" s="363" t="n">
        <f aca="false" t="array" ref="S197:S197">IF(COUNTIF('0.3.0 GO Calculation Values'!$J$2:$J$99,C197),(INDEX('0.3.0 GO Calculation Values'!$K$2:$K$99,MATCH(C197,'0.3.0 GO Calculation Values'!$J$2:$J$99,0))),1)</f>
        <v>1</v>
      </c>
      <c r="T197" s="262" t="n">
        <f aca="false">ROUND(ROUND(2*((7/8)*MAX(L197,N197)+(1/8)*MIN(L197,N197)),0)*(1+(P197-75)/500),0)</f>
        <v>148</v>
      </c>
      <c r="U197" s="262" t="n">
        <f aca="false">ROUND(ROUND(2*((5/8)*MAX(M197,O197)+(3/8)*MIN(M197,O197)),0)*(1+(P197-75)/500),0)</f>
        <v>125</v>
      </c>
      <c r="V197" s="361" t="n">
        <f aca="false">ROUNDDOWN(K197*1.75+50,0)</f>
        <v>198</v>
      </c>
      <c r="W197" s="261" t="n">
        <v>1</v>
      </c>
      <c r="X197" s="261" t="s">
        <v>671</v>
      </c>
      <c r="Y197" s="364" t="s">
        <v>671</v>
      </c>
      <c r="Z197" s="364" t="n">
        <v>1</v>
      </c>
      <c r="AA197" s="364"/>
      <c r="AB197" s="365" t="s">
        <v>60</v>
      </c>
      <c r="AC197" s="364"/>
      <c r="AD197" s="364" t="n">
        <v>25</v>
      </c>
      <c r="AE197" s="366"/>
      <c r="AF197" s="364" t="s">
        <v>674</v>
      </c>
      <c r="AG197" s="364" t="s">
        <v>674</v>
      </c>
      <c r="AH197" s="366" t="s">
        <v>674</v>
      </c>
    </row>
    <row r="198" customFormat="false" ht="15.75" hidden="false" customHeight="false" outlineLevel="0" collapsed="false">
      <c r="A198" s="262" t="n">
        <v>163</v>
      </c>
      <c r="B198" s="361" t="n">
        <v>196</v>
      </c>
      <c r="C198" s="261" t="s">
        <v>675</v>
      </c>
      <c r="D198" s="261" t="s">
        <v>60</v>
      </c>
      <c r="E198" s="362" t="s">
        <v>675</v>
      </c>
      <c r="F198" s="261" t="s">
        <v>653</v>
      </c>
      <c r="G198" s="261" t="s">
        <v>144</v>
      </c>
      <c r="H198" s="261" t="n">
        <v>0</v>
      </c>
      <c r="I198" s="261" t="n">
        <v>1</v>
      </c>
      <c r="J198" s="361" t="n">
        <v>0</v>
      </c>
      <c r="K198" s="262" t="n">
        <v>60</v>
      </c>
      <c r="L198" s="262" t="n">
        <v>30</v>
      </c>
      <c r="M198" s="262" t="n">
        <v>30</v>
      </c>
      <c r="N198" s="262" t="n">
        <v>36</v>
      </c>
      <c r="O198" s="262" t="n">
        <v>56</v>
      </c>
      <c r="P198" s="361" t="n">
        <v>50</v>
      </c>
      <c r="Q198" s="261" t="s">
        <v>144</v>
      </c>
      <c r="R198" s="261" t="s">
        <v>146</v>
      </c>
      <c r="S198" s="363" t="n">
        <f aca="false" t="array" ref="S198:S198">IF(COUNTIF('0.3.0 GO Calculation Values'!$J$2:$J$99,C198),(INDEX('0.3.0 GO Calculation Values'!$K$2:$K$99,MATCH(C198,'0.3.0 GO Calculation Values'!$J$2:$J$99,0))),1)</f>
        <v>1</v>
      </c>
      <c r="T198" s="262" t="n">
        <f aca="false">ROUND(ROUND(2*((7/8)*MAX(L198,N198)+(1/8)*MIN(L198,N198)),0)*(1+(P198-75)/500),0)</f>
        <v>67</v>
      </c>
      <c r="U198" s="262" t="n">
        <f aca="false">ROUND(ROUND(2*((5/8)*MAX(M198,O198)+(3/8)*MIN(M198,O198)),0)*(1+(P198-75)/500),0)</f>
        <v>88</v>
      </c>
      <c r="V198" s="361" t="n">
        <f aca="false">ROUNDDOWN(K198*1.75+50,0)</f>
        <v>155</v>
      </c>
      <c r="W198" s="261" t="n">
        <v>1</v>
      </c>
      <c r="X198" s="261" t="s">
        <v>60</v>
      </c>
      <c r="Y198" s="364" t="s">
        <v>675</v>
      </c>
      <c r="Z198" s="364" t="n">
        <v>1</v>
      </c>
      <c r="AA198" s="364"/>
      <c r="AB198" s="365" t="s">
        <v>60</v>
      </c>
      <c r="AC198" s="364"/>
      <c r="AD198" s="364" t="n">
        <v>0</v>
      </c>
      <c r="AE198" s="366"/>
      <c r="AF198" s="364" t="s">
        <v>676</v>
      </c>
      <c r="AG198" s="364" t="s">
        <v>676</v>
      </c>
      <c r="AH198" s="366" t="s">
        <v>676</v>
      </c>
    </row>
    <row r="199" customFormat="false" ht="15.75" hidden="false" customHeight="false" outlineLevel="0" collapsed="false">
      <c r="A199" s="262" t="n">
        <v>164</v>
      </c>
      <c r="B199" s="361" t="n">
        <v>197</v>
      </c>
      <c r="C199" s="261" t="s">
        <v>677</v>
      </c>
      <c r="D199" s="261" t="s">
        <v>60</v>
      </c>
      <c r="E199" s="362" t="s">
        <v>677</v>
      </c>
      <c r="F199" s="261" t="s">
        <v>653</v>
      </c>
      <c r="G199" s="261" t="s">
        <v>144</v>
      </c>
      <c r="H199" s="261" t="n">
        <v>0</v>
      </c>
      <c r="I199" s="261" t="n">
        <v>2</v>
      </c>
      <c r="J199" s="361" t="n">
        <v>1</v>
      </c>
      <c r="K199" s="262" t="n">
        <v>100</v>
      </c>
      <c r="L199" s="262" t="n">
        <v>50</v>
      </c>
      <c r="M199" s="262" t="n">
        <v>50</v>
      </c>
      <c r="N199" s="262" t="n">
        <v>76</v>
      </c>
      <c r="O199" s="262" t="n">
        <v>96</v>
      </c>
      <c r="P199" s="361" t="n">
        <v>70</v>
      </c>
      <c r="Q199" s="261" t="s">
        <v>144</v>
      </c>
      <c r="R199" s="261" t="s">
        <v>146</v>
      </c>
      <c r="S199" s="363" t="n">
        <f aca="false" t="array" ref="S199:S199">IF(COUNTIF('0.3.0 GO Calculation Values'!$J$2:$J$99,C199),(INDEX('0.3.0 GO Calculation Values'!$K$2:$K$99,MATCH(C199,'0.3.0 GO Calculation Values'!$J$2:$J$99,0))),1)</f>
        <v>1</v>
      </c>
      <c r="T199" s="262" t="n">
        <f aca="false">ROUND(ROUND(2*((7/8)*MAX(L199,N199)+(1/8)*MIN(L199,N199)),0)*(1+(P199-75)/500),0)</f>
        <v>145</v>
      </c>
      <c r="U199" s="262" t="n">
        <f aca="false">ROUND(ROUND(2*((5/8)*MAX(M199,O199)+(3/8)*MIN(M199,O199)),0)*(1+(P199-75)/500),0)</f>
        <v>156</v>
      </c>
      <c r="V199" s="361" t="n">
        <f aca="false">ROUNDDOWN(K199*1.75+50,0)</f>
        <v>225</v>
      </c>
      <c r="W199" s="261" t="n">
        <v>1</v>
      </c>
      <c r="X199" s="261" t="s">
        <v>675</v>
      </c>
      <c r="Y199" s="364" t="s">
        <v>675</v>
      </c>
      <c r="Z199" s="364" t="n">
        <v>1</v>
      </c>
      <c r="AA199" s="364"/>
      <c r="AB199" s="365" t="s">
        <v>60</v>
      </c>
      <c r="AC199" s="364"/>
      <c r="AD199" s="364" t="n">
        <v>50</v>
      </c>
      <c r="AE199" s="366"/>
      <c r="AF199" s="364" t="s">
        <v>678</v>
      </c>
      <c r="AG199" s="364" t="s">
        <v>678</v>
      </c>
      <c r="AH199" s="366" t="s">
        <v>678</v>
      </c>
    </row>
    <row r="200" customFormat="false" ht="15.75" hidden="false" customHeight="false" outlineLevel="0" collapsed="false">
      <c r="A200" s="262" t="n">
        <v>165</v>
      </c>
      <c r="B200" s="361" t="n">
        <v>198</v>
      </c>
      <c r="C200" s="261" t="s">
        <v>679</v>
      </c>
      <c r="D200" s="261" t="s">
        <v>60</v>
      </c>
      <c r="E200" s="362" t="s">
        <v>679</v>
      </c>
      <c r="F200" s="261" t="s">
        <v>653</v>
      </c>
      <c r="G200" s="261" t="s">
        <v>144</v>
      </c>
      <c r="H200" s="261" t="n">
        <v>0</v>
      </c>
      <c r="I200" s="261" t="n">
        <v>1</v>
      </c>
      <c r="J200" s="361" t="n">
        <v>0</v>
      </c>
      <c r="K200" s="262" t="n">
        <v>40</v>
      </c>
      <c r="L200" s="262" t="n">
        <v>20</v>
      </c>
      <c r="M200" s="262" t="n">
        <v>30</v>
      </c>
      <c r="N200" s="262" t="n">
        <v>40</v>
      </c>
      <c r="O200" s="262" t="n">
        <v>80</v>
      </c>
      <c r="P200" s="361" t="n">
        <v>55</v>
      </c>
      <c r="Q200" s="261" t="s">
        <v>150</v>
      </c>
      <c r="R200" s="261" t="s">
        <v>146</v>
      </c>
      <c r="S200" s="363" t="n">
        <f aca="false" t="array" ref="S200:S200">IF(COUNTIF('0.3.0 GO Calculation Values'!$J$2:$J$99,C200),(INDEX('0.3.0 GO Calculation Values'!$K$2:$K$99,MATCH(C200,'0.3.0 GO Calculation Values'!$J$2:$J$99,0))),1)</f>
        <v>1</v>
      </c>
      <c r="T200" s="262" t="n">
        <f aca="false">ROUND(ROUND(2*((7/8)*MAX(L200,N200)+(1/8)*MIN(L200,N200)),0)*(1+(P200-75)/500),0)</f>
        <v>72</v>
      </c>
      <c r="U200" s="262" t="n">
        <f aca="false">ROUND(ROUND(2*((5/8)*MAX(M200,O200)+(3/8)*MIN(M200,O200)),0)*(1+(P200-75)/500),0)</f>
        <v>118</v>
      </c>
      <c r="V200" s="361" t="n">
        <f aca="false">ROUNDDOWN(K200*1.75+50,0)</f>
        <v>120</v>
      </c>
      <c r="W200" s="261" t="n">
        <v>1</v>
      </c>
      <c r="X200" s="261" t="s">
        <v>60</v>
      </c>
      <c r="Y200" s="364" t="s">
        <v>679</v>
      </c>
      <c r="Z200" s="364" t="n">
        <v>1</v>
      </c>
      <c r="AA200" s="364"/>
      <c r="AB200" s="365" t="s">
        <v>60</v>
      </c>
      <c r="AC200" s="364"/>
      <c r="AD200" s="364" t="n">
        <v>0</v>
      </c>
      <c r="AE200" s="366"/>
      <c r="AF200" s="364" t="s">
        <v>680</v>
      </c>
      <c r="AG200" s="364" t="s">
        <v>680</v>
      </c>
      <c r="AH200" s="366" t="s">
        <v>680</v>
      </c>
    </row>
    <row r="201" customFormat="false" ht="15.75" hidden="false" customHeight="false" outlineLevel="0" collapsed="false">
      <c r="A201" s="262" t="n">
        <v>166</v>
      </c>
      <c r="B201" s="361" t="n">
        <v>199</v>
      </c>
      <c r="C201" s="261" t="s">
        <v>681</v>
      </c>
      <c r="D201" s="261" t="s">
        <v>60</v>
      </c>
      <c r="E201" s="362" t="s">
        <v>681</v>
      </c>
      <c r="F201" s="261" t="s">
        <v>653</v>
      </c>
      <c r="G201" s="261" t="s">
        <v>144</v>
      </c>
      <c r="H201" s="261" t="n">
        <v>0</v>
      </c>
      <c r="I201" s="261" t="n">
        <v>2</v>
      </c>
      <c r="J201" s="361" t="n">
        <v>1</v>
      </c>
      <c r="K201" s="262" t="n">
        <v>55</v>
      </c>
      <c r="L201" s="262" t="n">
        <v>35</v>
      </c>
      <c r="M201" s="262" t="n">
        <v>50</v>
      </c>
      <c r="N201" s="262" t="n">
        <v>55</v>
      </c>
      <c r="O201" s="262" t="n">
        <v>110</v>
      </c>
      <c r="P201" s="361" t="n">
        <v>85</v>
      </c>
      <c r="Q201" s="261" t="s">
        <v>150</v>
      </c>
      <c r="R201" s="261" t="s">
        <v>146</v>
      </c>
      <c r="S201" s="363" t="n">
        <f aca="false" t="array" ref="S201:S201">IF(COUNTIF('0.3.0 GO Calculation Values'!$J$2:$J$99,C201),(INDEX('0.3.0 GO Calculation Values'!$K$2:$K$99,MATCH(C201,'0.3.0 GO Calculation Values'!$J$2:$J$99,0))),1)</f>
        <v>1</v>
      </c>
      <c r="T201" s="262" t="n">
        <f aca="false">ROUND(ROUND(2*((7/8)*MAX(L201,N201)+(1/8)*MIN(L201,N201)),0)*(1+(P201-75)/500),0)</f>
        <v>107</v>
      </c>
      <c r="U201" s="262" t="n">
        <f aca="false">ROUND(ROUND(2*((5/8)*MAX(M201,O201)+(3/8)*MIN(M201,O201)),0)*(1+(P201-75)/500),0)</f>
        <v>179</v>
      </c>
      <c r="V201" s="361" t="n">
        <f aca="false">ROUNDDOWN(K201*1.75+50,0)</f>
        <v>146</v>
      </c>
      <c r="W201" s="261" t="n">
        <v>1</v>
      </c>
      <c r="X201" s="261" t="s">
        <v>679</v>
      </c>
      <c r="Y201" s="364" t="s">
        <v>679</v>
      </c>
      <c r="Z201" s="364" t="n">
        <v>1</v>
      </c>
      <c r="AA201" s="364"/>
      <c r="AB201" s="365" t="s">
        <v>60</v>
      </c>
      <c r="AC201" s="364"/>
      <c r="AD201" s="364" t="n">
        <v>25</v>
      </c>
      <c r="AE201" s="366"/>
      <c r="AF201" s="364" t="s">
        <v>682</v>
      </c>
      <c r="AG201" s="364" t="s">
        <v>682</v>
      </c>
      <c r="AH201" s="366" t="s">
        <v>682</v>
      </c>
    </row>
    <row r="202" customFormat="false" ht="15.75" hidden="false" customHeight="false" outlineLevel="0" collapsed="false">
      <c r="A202" s="262" t="n">
        <v>167</v>
      </c>
      <c r="B202" s="361" t="n">
        <v>200</v>
      </c>
      <c r="C202" s="261" t="s">
        <v>683</v>
      </c>
      <c r="D202" s="261" t="s">
        <v>60</v>
      </c>
      <c r="E202" s="362" t="s">
        <v>683</v>
      </c>
      <c r="F202" s="261" t="s">
        <v>653</v>
      </c>
      <c r="G202" s="261" t="s">
        <v>144</v>
      </c>
      <c r="H202" s="261" t="n">
        <v>0</v>
      </c>
      <c r="I202" s="261" t="n">
        <v>1</v>
      </c>
      <c r="J202" s="361" t="n">
        <v>0</v>
      </c>
      <c r="K202" s="262" t="n">
        <v>40</v>
      </c>
      <c r="L202" s="262" t="n">
        <v>60</v>
      </c>
      <c r="M202" s="262" t="n">
        <v>40</v>
      </c>
      <c r="N202" s="262" t="n">
        <v>40</v>
      </c>
      <c r="O202" s="262" t="n">
        <v>40</v>
      </c>
      <c r="P202" s="361" t="n">
        <v>30</v>
      </c>
      <c r="Q202" s="261" t="s">
        <v>150</v>
      </c>
      <c r="R202" s="261" t="s">
        <v>147</v>
      </c>
      <c r="S202" s="363" t="n">
        <f aca="false" t="array" ref="S202:S202">IF(COUNTIF('0.3.0 GO Calculation Values'!$J$2:$J$99,C202),(INDEX('0.3.0 GO Calculation Values'!$K$2:$K$99,MATCH(C202,'0.3.0 GO Calculation Values'!$J$2:$J$99,0))),1)</f>
        <v>1</v>
      </c>
      <c r="T202" s="262" t="n">
        <f aca="false">ROUND(ROUND(2*((7/8)*MAX(L202,N202)+(1/8)*MIN(L202,N202)),0)*(1+(P202-75)/500),0)</f>
        <v>105</v>
      </c>
      <c r="U202" s="262" t="n">
        <f aca="false">ROUND(ROUND(2*((5/8)*MAX(M202,O202)+(3/8)*MIN(M202,O202)),0)*(1+(P202-75)/500),0)</f>
        <v>73</v>
      </c>
      <c r="V202" s="361" t="n">
        <f aca="false">ROUNDDOWN(K202*1.75+50,0)</f>
        <v>120</v>
      </c>
      <c r="W202" s="261" t="n">
        <v>1</v>
      </c>
      <c r="X202" s="261" t="s">
        <v>60</v>
      </c>
      <c r="Y202" s="364" t="s">
        <v>683</v>
      </c>
      <c r="Z202" s="364" t="n">
        <v>1</v>
      </c>
      <c r="AA202" s="364"/>
      <c r="AB202" s="365" t="s">
        <v>60</v>
      </c>
      <c r="AC202" s="364"/>
      <c r="AD202" s="364" t="n">
        <v>0</v>
      </c>
      <c r="AE202" s="366"/>
      <c r="AF202" s="364" t="s">
        <v>684</v>
      </c>
      <c r="AG202" s="364" t="s">
        <v>684</v>
      </c>
      <c r="AH202" s="366" t="s">
        <v>684</v>
      </c>
    </row>
    <row r="203" customFormat="false" ht="15.75" hidden="false" customHeight="false" outlineLevel="0" collapsed="false">
      <c r="A203" s="262" t="n">
        <v>168</v>
      </c>
      <c r="B203" s="361" t="n">
        <v>201</v>
      </c>
      <c r="C203" s="261" t="s">
        <v>685</v>
      </c>
      <c r="D203" s="261" t="s">
        <v>60</v>
      </c>
      <c r="E203" s="362" t="s">
        <v>685</v>
      </c>
      <c r="F203" s="261" t="s">
        <v>653</v>
      </c>
      <c r="G203" s="261" t="s">
        <v>144</v>
      </c>
      <c r="H203" s="261" t="n">
        <v>0</v>
      </c>
      <c r="I203" s="261" t="n">
        <v>2</v>
      </c>
      <c r="J203" s="361" t="n">
        <v>1</v>
      </c>
      <c r="K203" s="262" t="n">
        <v>70</v>
      </c>
      <c r="L203" s="262" t="n">
        <v>90</v>
      </c>
      <c r="M203" s="262" t="n">
        <v>70</v>
      </c>
      <c r="N203" s="262" t="n">
        <v>60</v>
      </c>
      <c r="O203" s="262" t="n">
        <v>60</v>
      </c>
      <c r="P203" s="361" t="n">
        <v>40</v>
      </c>
      <c r="Q203" s="261" t="s">
        <v>150</v>
      </c>
      <c r="R203" s="261" t="s">
        <v>147</v>
      </c>
      <c r="S203" s="363" t="n">
        <f aca="false" t="array" ref="S203:S203">IF(COUNTIF('0.3.0 GO Calculation Values'!$J$2:$J$99,C203),(INDEX('0.3.0 GO Calculation Values'!$K$2:$K$99,MATCH(C203,'0.3.0 GO Calculation Values'!$J$2:$J$99,0))),1)</f>
        <v>1</v>
      </c>
      <c r="T203" s="262" t="n">
        <f aca="false">ROUND(ROUND(2*((7/8)*MAX(L203,N203)+(1/8)*MIN(L203,N203)),0)*(1+(P203-75)/500),0)</f>
        <v>161</v>
      </c>
      <c r="U203" s="262" t="n">
        <f aca="false">ROUND(ROUND(2*((5/8)*MAX(M203,O203)+(3/8)*MIN(M203,O203)),0)*(1+(P203-75)/500),0)</f>
        <v>124</v>
      </c>
      <c r="V203" s="361" t="n">
        <f aca="false">ROUNDDOWN(K203*1.75+50,0)</f>
        <v>172</v>
      </c>
      <c r="W203" s="261" t="n">
        <v>1</v>
      </c>
      <c r="X203" s="261" t="s">
        <v>683</v>
      </c>
      <c r="Y203" s="364" t="s">
        <v>683</v>
      </c>
      <c r="Z203" s="364" t="n">
        <v>1</v>
      </c>
      <c r="AA203" s="364"/>
      <c r="AB203" s="365" t="s">
        <v>60</v>
      </c>
      <c r="AC203" s="364"/>
      <c r="AD203" s="364" t="n">
        <v>50</v>
      </c>
      <c r="AE203" s="366"/>
      <c r="AF203" s="364" t="s">
        <v>686</v>
      </c>
      <c r="AG203" s="364" t="s">
        <v>686</v>
      </c>
      <c r="AH203" s="366" t="s">
        <v>686</v>
      </c>
    </row>
    <row r="204" customFormat="false" ht="15.75" hidden="false" customHeight="false" outlineLevel="0" collapsed="false">
      <c r="A204" s="262" t="n">
        <v>169</v>
      </c>
      <c r="B204" s="361" t="n">
        <v>202</v>
      </c>
      <c r="C204" s="261" t="s">
        <v>687</v>
      </c>
      <c r="D204" s="261" t="s">
        <v>60</v>
      </c>
      <c r="E204" s="362" t="s">
        <v>687</v>
      </c>
      <c r="F204" s="261" t="s">
        <v>653</v>
      </c>
      <c r="G204" s="261" t="s">
        <v>144</v>
      </c>
      <c r="H204" s="261" t="n">
        <v>0</v>
      </c>
      <c r="I204" s="261" t="n">
        <v>3</v>
      </c>
      <c r="J204" s="361" t="n">
        <v>1</v>
      </c>
      <c r="K204" s="262" t="n">
        <v>85</v>
      </c>
      <c r="L204" s="262" t="n">
        <v>90</v>
      </c>
      <c r="M204" s="262" t="n">
        <v>80</v>
      </c>
      <c r="N204" s="262" t="n">
        <v>70</v>
      </c>
      <c r="O204" s="262" t="n">
        <v>80</v>
      </c>
      <c r="P204" s="361" t="n">
        <v>130</v>
      </c>
      <c r="Q204" s="261" t="s">
        <v>147</v>
      </c>
      <c r="R204" s="261" t="s">
        <v>146</v>
      </c>
      <c r="S204" s="363" t="n">
        <f aca="false" t="array" ref="S204:S204">IF(COUNTIF('0.3.0 GO Calculation Values'!$J$2:$J$99,C204),(INDEX('0.3.0 GO Calculation Values'!$K$2:$K$99,MATCH(C204,'0.3.0 GO Calculation Values'!$J$2:$J$99,0))),1)</f>
        <v>1</v>
      </c>
      <c r="T204" s="262" t="n">
        <f aca="false">ROUND(ROUND(2*((7/8)*MAX(L204,N204)+(1/8)*MIN(L204,N204)),0)*(1+(P204-75)/500),0)</f>
        <v>194</v>
      </c>
      <c r="U204" s="262" t="n">
        <f aca="false">ROUND(ROUND(2*((5/8)*MAX(M204,O204)+(3/8)*MIN(M204,O204)),0)*(1+(P204-75)/500),0)</f>
        <v>178</v>
      </c>
      <c r="V204" s="361" t="n">
        <f aca="false">ROUNDDOWN(K204*1.75+50,0)</f>
        <v>198</v>
      </c>
      <c r="W204" s="261" t="n">
        <v>1</v>
      </c>
      <c r="X204" s="261" t="s">
        <v>358</v>
      </c>
      <c r="Y204" s="364" t="s">
        <v>356</v>
      </c>
      <c r="Z204" s="364" t="n">
        <v>1</v>
      </c>
      <c r="AA204" s="364"/>
      <c r="AB204" s="365" t="s">
        <v>60</v>
      </c>
      <c r="AC204" s="364"/>
      <c r="AD204" s="364" t="n">
        <v>100</v>
      </c>
      <c r="AE204" s="366"/>
      <c r="AF204" s="364" t="s">
        <v>688</v>
      </c>
      <c r="AG204" s="364" t="s">
        <v>688</v>
      </c>
      <c r="AH204" s="366" t="s">
        <v>688</v>
      </c>
    </row>
    <row r="205" customFormat="false" ht="15.75" hidden="false" customHeight="false" outlineLevel="0" collapsed="false">
      <c r="A205" s="262" t="n">
        <v>170</v>
      </c>
      <c r="B205" s="361" t="n">
        <v>203</v>
      </c>
      <c r="C205" s="261" t="s">
        <v>689</v>
      </c>
      <c r="D205" s="261" t="s">
        <v>60</v>
      </c>
      <c r="E205" s="362" t="s">
        <v>689</v>
      </c>
      <c r="F205" s="261" t="s">
        <v>653</v>
      </c>
      <c r="G205" s="261" t="s">
        <v>144</v>
      </c>
      <c r="H205" s="261" t="n">
        <v>0</v>
      </c>
      <c r="I205" s="261" t="n">
        <v>1</v>
      </c>
      <c r="J205" s="361" t="n">
        <v>0</v>
      </c>
      <c r="K205" s="262" t="n">
        <v>75</v>
      </c>
      <c r="L205" s="262" t="n">
        <v>38</v>
      </c>
      <c r="M205" s="262" t="n">
        <v>38</v>
      </c>
      <c r="N205" s="262" t="n">
        <v>56</v>
      </c>
      <c r="O205" s="262" t="n">
        <v>56</v>
      </c>
      <c r="P205" s="361" t="n">
        <v>67</v>
      </c>
      <c r="Q205" s="261" t="s">
        <v>154</v>
      </c>
      <c r="R205" s="261" t="s">
        <v>156</v>
      </c>
      <c r="S205" s="363" t="n">
        <f aca="false" t="array" ref="S205:S205">IF(COUNTIF('0.3.0 GO Calculation Values'!$J$2:$J$99,C205),(INDEX('0.3.0 GO Calculation Values'!$K$2:$K$99,MATCH(C205,'0.3.0 GO Calculation Values'!$J$2:$J$99,0))),1)</f>
        <v>1</v>
      </c>
      <c r="T205" s="262" t="n">
        <f aca="false">ROUND(ROUND(2*((7/8)*MAX(L205,N205)+(1/8)*MIN(L205,N205)),0)*(1+(P205-75)/500),0)</f>
        <v>106</v>
      </c>
      <c r="U205" s="262" t="n">
        <f aca="false">ROUND(ROUND(2*((5/8)*MAX(M205,O205)+(3/8)*MIN(M205,O205)),0)*(1+(P205-75)/500),0)</f>
        <v>97</v>
      </c>
      <c r="V205" s="361" t="n">
        <f aca="false">ROUNDDOWN(K205*1.75+50,0)</f>
        <v>181</v>
      </c>
      <c r="W205" s="261" t="n">
        <v>1</v>
      </c>
      <c r="X205" s="261" t="s">
        <v>60</v>
      </c>
      <c r="Y205" s="364" t="s">
        <v>689</v>
      </c>
      <c r="Z205" s="364" t="n">
        <v>3</v>
      </c>
      <c r="AA205" s="364"/>
      <c r="AB205" s="365" t="n">
        <v>5</v>
      </c>
      <c r="AC205" s="364"/>
      <c r="AD205" s="364" t="n">
        <v>0</v>
      </c>
      <c r="AE205" s="366"/>
      <c r="AF205" s="364" t="s">
        <v>690</v>
      </c>
      <c r="AG205" s="364" t="s">
        <v>690</v>
      </c>
      <c r="AH205" s="366" t="s">
        <v>690</v>
      </c>
    </row>
    <row r="206" customFormat="false" ht="15.75" hidden="false" customHeight="false" outlineLevel="0" collapsed="false">
      <c r="A206" s="262" t="n">
        <v>171</v>
      </c>
      <c r="B206" s="361" t="n">
        <v>204</v>
      </c>
      <c r="C206" s="261" t="s">
        <v>691</v>
      </c>
      <c r="D206" s="261" t="s">
        <v>60</v>
      </c>
      <c r="E206" s="362" t="s">
        <v>691</v>
      </c>
      <c r="F206" s="261" t="s">
        <v>653</v>
      </c>
      <c r="G206" s="261" t="s">
        <v>144</v>
      </c>
      <c r="H206" s="261" t="n">
        <v>0</v>
      </c>
      <c r="I206" s="261" t="n">
        <v>2</v>
      </c>
      <c r="J206" s="361" t="n">
        <v>1</v>
      </c>
      <c r="K206" s="262" t="n">
        <v>125</v>
      </c>
      <c r="L206" s="262" t="n">
        <v>58</v>
      </c>
      <c r="M206" s="262" t="n">
        <v>58</v>
      </c>
      <c r="N206" s="262" t="n">
        <v>76</v>
      </c>
      <c r="O206" s="262" t="n">
        <v>76</v>
      </c>
      <c r="P206" s="361" t="n">
        <v>67</v>
      </c>
      <c r="Q206" s="261" t="s">
        <v>154</v>
      </c>
      <c r="R206" s="261" t="s">
        <v>156</v>
      </c>
      <c r="S206" s="363" t="n">
        <f aca="false" t="array" ref="S206:S206">IF(COUNTIF('0.3.0 GO Calculation Values'!$J$2:$J$99,C206),(INDEX('0.3.0 GO Calculation Values'!$K$2:$K$99,MATCH(C206,'0.3.0 GO Calculation Values'!$J$2:$J$99,0))),1)</f>
        <v>1</v>
      </c>
      <c r="T206" s="262" t="n">
        <f aca="false">ROUND(ROUND(2*((7/8)*MAX(L206,N206)+(1/8)*MIN(L206,N206)),0)*(1+(P206-75)/500),0)</f>
        <v>146</v>
      </c>
      <c r="U206" s="262" t="n">
        <f aca="false">ROUND(ROUND(2*((5/8)*MAX(M206,O206)+(3/8)*MIN(M206,O206)),0)*(1+(P206-75)/500),0)</f>
        <v>137</v>
      </c>
      <c r="V206" s="361" t="n">
        <f aca="false">ROUNDDOWN(K206*1.75+50,0)</f>
        <v>268</v>
      </c>
      <c r="W206" s="261" t="n">
        <v>1</v>
      </c>
      <c r="X206" s="261" t="s">
        <v>689</v>
      </c>
      <c r="Y206" s="364" t="s">
        <v>689</v>
      </c>
      <c r="Z206" s="364" t="n">
        <v>3</v>
      </c>
      <c r="AA206" s="364"/>
      <c r="AB206" s="365" t="n">
        <v>5</v>
      </c>
      <c r="AC206" s="364"/>
      <c r="AD206" s="364" t="n">
        <v>50</v>
      </c>
      <c r="AE206" s="366"/>
      <c r="AF206" s="364" t="s">
        <v>692</v>
      </c>
      <c r="AG206" s="364" t="s">
        <v>692</v>
      </c>
      <c r="AH206" s="366" t="s">
        <v>692</v>
      </c>
    </row>
    <row r="207" customFormat="false" ht="15.75" hidden="false" customHeight="false" outlineLevel="0" collapsed="false">
      <c r="A207" s="262" t="n">
        <v>172</v>
      </c>
      <c r="B207" s="361" t="n">
        <v>205</v>
      </c>
      <c r="C207" s="261" t="s">
        <v>307</v>
      </c>
      <c r="D207" s="261" t="s">
        <v>60</v>
      </c>
      <c r="E207" s="362" t="s">
        <v>307</v>
      </c>
      <c r="F207" s="261" t="s">
        <v>653</v>
      </c>
      <c r="G207" s="261" t="s">
        <v>693</v>
      </c>
      <c r="H207" s="261" t="n">
        <v>0</v>
      </c>
      <c r="I207" s="261" t="n">
        <v>1</v>
      </c>
      <c r="J207" s="361" t="n">
        <v>0</v>
      </c>
      <c r="K207" s="262" t="n">
        <v>20</v>
      </c>
      <c r="L207" s="262" t="n">
        <v>40</v>
      </c>
      <c r="M207" s="262" t="n">
        <v>15</v>
      </c>
      <c r="N207" s="262" t="n">
        <v>35</v>
      </c>
      <c r="O207" s="262" t="n">
        <v>35</v>
      </c>
      <c r="P207" s="361" t="n">
        <v>60</v>
      </c>
      <c r="Q207" s="261" t="s">
        <v>156</v>
      </c>
      <c r="R207" s="261"/>
      <c r="S207" s="363" t="n">
        <f aca="false" t="array" ref="S207:S207">IF(COUNTIF('0.3.0 GO Calculation Values'!$J$2:$J$99,C207),(INDEX('0.3.0 GO Calculation Values'!$K$2:$K$99,MATCH(C207,'0.3.0 GO Calculation Values'!$J$2:$J$99,0))),1)</f>
        <v>1</v>
      </c>
      <c r="T207" s="262" t="n">
        <f aca="false">ROUND(ROUND(2*((7/8)*MAX(L207,N207)+(1/8)*MIN(L207,N207)),0)*(1+(P207-75)/500),0)</f>
        <v>77</v>
      </c>
      <c r="U207" s="262" t="n">
        <f aca="false">ROUND(ROUND(2*((5/8)*MAX(M207,O207)+(3/8)*MIN(M207,O207)),0)*(1+(P207-75)/500),0)</f>
        <v>53</v>
      </c>
      <c r="V207" s="361" t="n">
        <f aca="false">ROUNDDOWN(K207*1.75+50,0)</f>
        <v>85</v>
      </c>
      <c r="W207" s="261" t="n">
        <v>1</v>
      </c>
      <c r="X207" s="261" t="s">
        <v>60</v>
      </c>
      <c r="Y207" s="364" t="s">
        <v>306</v>
      </c>
      <c r="Z207" s="364" t="n">
        <v>1</v>
      </c>
      <c r="AA207" s="261" t="n">
        <v>42956</v>
      </c>
      <c r="AB207" s="365" t="n">
        <v>2</v>
      </c>
      <c r="AC207" s="364"/>
      <c r="AD207" s="364" t="n">
        <v>0</v>
      </c>
      <c r="AE207" s="366"/>
      <c r="AF207" s="364" t="s">
        <v>694</v>
      </c>
      <c r="AG207" s="364" t="s">
        <v>694</v>
      </c>
      <c r="AH207" s="366" t="s">
        <v>694</v>
      </c>
    </row>
    <row r="208" customFormat="false" ht="15.75" hidden="false" customHeight="false" outlineLevel="0" collapsed="false">
      <c r="A208" s="262" t="n">
        <v>173</v>
      </c>
      <c r="B208" s="361" t="n">
        <v>206</v>
      </c>
      <c r="C208" s="261" t="s">
        <v>337</v>
      </c>
      <c r="D208" s="261" t="s">
        <v>60</v>
      </c>
      <c r="E208" s="362" t="s">
        <v>337</v>
      </c>
      <c r="F208" s="261" t="s">
        <v>653</v>
      </c>
      <c r="G208" s="261" t="s">
        <v>693</v>
      </c>
      <c r="H208" s="261" t="n">
        <v>0</v>
      </c>
      <c r="I208" s="261" t="n">
        <v>1</v>
      </c>
      <c r="J208" s="361" t="n">
        <v>0</v>
      </c>
      <c r="K208" s="262" t="n">
        <v>50</v>
      </c>
      <c r="L208" s="262" t="n">
        <v>25</v>
      </c>
      <c r="M208" s="262" t="n">
        <v>28</v>
      </c>
      <c r="N208" s="262" t="n">
        <v>45</v>
      </c>
      <c r="O208" s="262" t="n">
        <v>55</v>
      </c>
      <c r="P208" s="361" t="n">
        <v>15</v>
      </c>
      <c r="Q208" s="261" t="s">
        <v>161</v>
      </c>
      <c r="R208" s="261"/>
      <c r="S208" s="363" t="n">
        <f aca="false" t="array" ref="S208:S208">IF(COUNTIF('0.3.0 GO Calculation Values'!$J$2:$J$99,C208),(INDEX('0.3.0 GO Calculation Values'!$K$2:$K$99,MATCH(C208,'0.3.0 GO Calculation Values'!$J$2:$J$99,0))),1)</f>
        <v>1</v>
      </c>
      <c r="T208" s="262" t="n">
        <f aca="false">ROUND(ROUND(2*((7/8)*MAX(L208,N208)+(1/8)*MIN(L208,N208)),0)*(1+(P208-75)/500),0)</f>
        <v>75</v>
      </c>
      <c r="U208" s="262" t="n">
        <f aca="false">ROUND(ROUND(2*((5/8)*MAX(M208,O208)+(3/8)*MIN(M208,O208)),0)*(1+(P208-75)/500),0)</f>
        <v>79</v>
      </c>
      <c r="V208" s="361" t="n">
        <f aca="false">ROUNDDOWN(K208*1.75+50,0)</f>
        <v>137</v>
      </c>
      <c r="W208" s="261" t="n">
        <v>1</v>
      </c>
      <c r="X208" s="261" t="s">
        <v>60</v>
      </c>
      <c r="Y208" s="364" t="s">
        <v>336</v>
      </c>
      <c r="Z208" s="364" t="n">
        <v>1</v>
      </c>
      <c r="AA208" s="364"/>
      <c r="AB208" s="365" t="n">
        <v>2</v>
      </c>
      <c r="AC208" s="364"/>
      <c r="AD208" s="364" t="n">
        <v>0</v>
      </c>
      <c r="AE208" s="366"/>
      <c r="AF208" s="364" t="s">
        <v>695</v>
      </c>
      <c r="AG208" s="364" t="s">
        <v>695</v>
      </c>
      <c r="AH208" s="366" t="s">
        <v>695</v>
      </c>
    </row>
    <row r="209" customFormat="false" ht="15.75" hidden="false" customHeight="false" outlineLevel="0" collapsed="false">
      <c r="A209" s="262" t="n">
        <v>174</v>
      </c>
      <c r="B209" s="361" t="n">
        <v>207</v>
      </c>
      <c r="C209" s="261" t="s">
        <v>352</v>
      </c>
      <c r="D209" s="261" t="s">
        <v>60</v>
      </c>
      <c r="E209" s="362" t="s">
        <v>352</v>
      </c>
      <c r="F209" s="261" t="s">
        <v>653</v>
      </c>
      <c r="G209" s="261" t="s">
        <v>693</v>
      </c>
      <c r="H209" s="261" t="n">
        <v>0</v>
      </c>
      <c r="I209" s="261" t="n">
        <v>1</v>
      </c>
      <c r="J209" s="361" t="n">
        <v>0</v>
      </c>
      <c r="K209" s="262" t="n">
        <v>90</v>
      </c>
      <c r="L209" s="262" t="n">
        <v>30</v>
      </c>
      <c r="M209" s="262" t="n">
        <v>15</v>
      </c>
      <c r="N209" s="262" t="n">
        <v>40</v>
      </c>
      <c r="O209" s="262" t="n">
        <v>20</v>
      </c>
      <c r="P209" s="361" t="n">
        <v>15</v>
      </c>
      <c r="Q209" s="261" t="s">
        <v>144</v>
      </c>
      <c r="R209" s="261" t="s">
        <v>161</v>
      </c>
      <c r="S209" s="363" t="n">
        <f aca="false" t="array" ref="S209:S209">IF(COUNTIF('0.3.0 GO Calculation Values'!$J$2:$J$99,C209),(INDEX('0.3.0 GO Calculation Values'!$K$2:$K$99,MATCH(C209,'0.3.0 GO Calculation Values'!$J$2:$J$99,0))),1)</f>
        <v>1</v>
      </c>
      <c r="T209" s="262" t="n">
        <f aca="false">ROUND(ROUND(2*((7/8)*MAX(L209,N209)+(1/8)*MIN(L209,N209)),0)*(1+(P209-75)/500),0)</f>
        <v>69</v>
      </c>
      <c r="U209" s="262" t="n">
        <f aca="false">ROUND(ROUND(2*((5/8)*MAX(M209,O209)+(3/8)*MIN(M209,O209)),0)*(1+(P209-75)/500),0)</f>
        <v>32</v>
      </c>
      <c r="V209" s="361" t="n">
        <f aca="false">ROUNDDOWN(K209*1.75+50,0)</f>
        <v>207</v>
      </c>
      <c r="W209" s="261" t="n">
        <v>1</v>
      </c>
      <c r="X209" s="261" t="s">
        <v>60</v>
      </c>
      <c r="Y209" s="364" t="s">
        <v>351</v>
      </c>
      <c r="Z209" s="364" t="n">
        <v>1</v>
      </c>
      <c r="AA209" s="364"/>
      <c r="AB209" s="365" t="n">
        <v>2</v>
      </c>
      <c r="AC209" s="364"/>
      <c r="AD209" s="364" t="n">
        <v>0</v>
      </c>
      <c r="AE209" s="366"/>
      <c r="AF209" s="364" t="s">
        <v>696</v>
      </c>
      <c r="AG209" s="364" t="s">
        <v>696</v>
      </c>
      <c r="AH209" s="366" t="s">
        <v>696</v>
      </c>
    </row>
    <row r="210" customFormat="false" ht="15.75" hidden="false" customHeight="false" outlineLevel="0" collapsed="false">
      <c r="A210" s="262" t="n">
        <v>175</v>
      </c>
      <c r="B210" s="361" t="n">
        <v>208</v>
      </c>
      <c r="C210" s="261" t="s">
        <v>697</v>
      </c>
      <c r="D210" s="261" t="s">
        <v>60</v>
      </c>
      <c r="E210" s="362" t="s">
        <v>697</v>
      </c>
      <c r="F210" s="261" t="s">
        <v>653</v>
      </c>
      <c r="G210" s="261" t="s">
        <v>693</v>
      </c>
      <c r="H210" s="261" t="n">
        <v>0</v>
      </c>
      <c r="I210" s="261" t="n">
        <v>1</v>
      </c>
      <c r="J210" s="361" t="n">
        <v>0</v>
      </c>
      <c r="K210" s="262" t="n">
        <v>35</v>
      </c>
      <c r="L210" s="262" t="n">
        <v>20</v>
      </c>
      <c r="M210" s="262" t="n">
        <v>65</v>
      </c>
      <c r="N210" s="262" t="n">
        <v>40</v>
      </c>
      <c r="O210" s="262" t="n">
        <v>65</v>
      </c>
      <c r="P210" s="361" t="n">
        <v>20</v>
      </c>
      <c r="Q210" s="261" t="s">
        <v>161</v>
      </c>
      <c r="R210" s="261"/>
      <c r="S210" s="363" t="n">
        <f aca="false" t="array" ref="S210:S210">IF(COUNTIF('0.3.0 GO Calculation Values'!$J$2:$J$99,C210),(INDEX('0.3.0 GO Calculation Values'!$K$2:$K$99,MATCH(C210,'0.3.0 GO Calculation Values'!$J$2:$J$99,0))),1)</f>
        <v>1</v>
      </c>
      <c r="T210" s="262" t="n">
        <f aca="false">ROUND(ROUND(2*((7/8)*MAX(L210,N210)+(1/8)*MIN(L210,N210)),0)*(1+(P210-75)/500),0)</f>
        <v>67</v>
      </c>
      <c r="U210" s="262" t="n">
        <f aca="false">ROUND(ROUND(2*((5/8)*MAX(M210,O210)+(3/8)*MIN(M210,O210)),0)*(1+(P210-75)/500),0)</f>
        <v>116</v>
      </c>
      <c r="V210" s="361" t="n">
        <f aca="false">ROUNDDOWN(K210*1.75+50,0)</f>
        <v>111</v>
      </c>
      <c r="W210" s="261" t="n">
        <v>1</v>
      </c>
      <c r="X210" s="261" t="s">
        <v>60</v>
      </c>
      <c r="Y210" s="261" t="s">
        <v>697</v>
      </c>
      <c r="Z210" s="364" t="n">
        <v>5</v>
      </c>
      <c r="AA210" s="364"/>
      <c r="AB210" s="365" t="n">
        <v>2</v>
      </c>
      <c r="AC210" s="364"/>
      <c r="AD210" s="364" t="n">
        <v>0</v>
      </c>
      <c r="AE210" s="366"/>
      <c r="AF210" s="364" t="s">
        <v>698</v>
      </c>
      <c r="AG210" s="364" t="s">
        <v>698</v>
      </c>
      <c r="AH210" s="366" t="s">
        <v>698</v>
      </c>
    </row>
    <row r="211" customFormat="false" ht="15.75" hidden="false" customHeight="false" outlineLevel="0" collapsed="false">
      <c r="A211" s="262" t="n">
        <v>176</v>
      </c>
      <c r="B211" s="361" t="n">
        <v>209</v>
      </c>
      <c r="C211" s="261" t="s">
        <v>699</v>
      </c>
      <c r="D211" s="261" t="s">
        <v>60</v>
      </c>
      <c r="E211" s="362" t="s">
        <v>699</v>
      </c>
      <c r="F211" s="261" t="s">
        <v>653</v>
      </c>
      <c r="G211" s="261" t="s">
        <v>144</v>
      </c>
      <c r="H211" s="261" t="n">
        <v>0</v>
      </c>
      <c r="I211" s="261" t="n">
        <v>2</v>
      </c>
      <c r="J211" s="361" t="n">
        <v>1</v>
      </c>
      <c r="K211" s="262" t="n">
        <v>55</v>
      </c>
      <c r="L211" s="262" t="n">
        <v>40</v>
      </c>
      <c r="M211" s="262" t="n">
        <v>85</v>
      </c>
      <c r="N211" s="262" t="n">
        <v>80</v>
      </c>
      <c r="O211" s="262" t="n">
        <v>105</v>
      </c>
      <c r="P211" s="361" t="n">
        <v>40</v>
      </c>
      <c r="Q211" s="261" t="s">
        <v>161</v>
      </c>
      <c r="R211" s="261" t="s">
        <v>146</v>
      </c>
      <c r="S211" s="363" t="n">
        <f aca="false" t="array" ref="S211:S211">IF(COUNTIF('0.3.0 GO Calculation Values'!$J$2:$J$99,C211),(INDEX('0.3.0 GO Calculation Values'!$K$2:$K$99,MATCH(C211,'0.3.0 GO Calculation Values'!$J$2:$J$99,0))),1)</f>
        <v>1</v>
      </c>
      <c r="T211" s="262" t="n">
        <f aca="false">ROUND(ROUND(2*((7/8)*MAX(L211,N211)+(1/8)*MIN(L211,N211)),0)*(1+(P211-75)/500),0)</f>
        <v>140</v>
      </c>
      <c r="U211" s="262" t="n">
        <f aca="false">ROUND(ROUND(2*((5/8)*MAX(M211,O211)+(3/8)*MIN(M211,O211)),0)*(1+(P211-75)/500),0)</f>
        <v>181</v>
      </c>
      <c r="V211" s="361" t="n">
        <f aca="false">ROUNDDOWN(K211*1.75+50,0)</f>
        <v>146</v>
      </c>
      <c r="W211" s="261" t="n">
        <v>1</v>
      </c>
      <c r="X211" s="261" t="s">
        <v>697</v>
      </c>
      <c r="Y211" s="261" t="s">
        <v>697</v>
      </c>
      <c r="Z211" s="364" t="n">
        <v>5</v>
      </c>
      <c r="AA211" s="364"/>
      <c r="AB211" s="365" t="n">
        <v>2</v>
      </c>
      <c r="AC211" s="364"/>
      <c r="AD211" s="364" t="n">
        <v>50</v>
      </c>
      <c r="AE211" s="366"/>
      <c r="AF211" s="364" t="s">
        <v>700</v>
      </c>
      <c r="AG211" s="364" t="s">
        <v>700</v>
      </c>
      <c r="AH211" s="366" t="s">
        <v>700</v>
      </c>
    </row>
    <row r="212" customFormat="false" ht="15.75" hidden="false" customHeight="false" outlineLevel="0" collapsed="false">
      <c r="A212" s="262" t="n">
        <v>177</v>
      </c>
      <c r="B212" s="361" t="n">
        <v>210</v>
      </c>
      <c r="C212" s="261" t="s">
        <v>701</v>
      </c>
      <c r="D212" s="261" t="s">
        <v>60</v>
      </c>
      <c r="E212" s="362" t="s">
        <v>701</v>
      </c>
      <c r="F212" s="261" t="s">
        <v>653</v>
      </c>
      <c r="G212" s="261" t="s">
        <v>144</v>
      </c>
      <c r="H212" s="261" t="n">
        <v>0</v>
      </c>
      <c r="I212" s="261" t="n">
        <v>1</v>
      </c>
      <c r="J212" s="361" t="n">
        <v>0</v>
      </c>
      <c r="K212" s="262" t="n">
        <v>40</v>
      </c>
      <c r="L212" s="262" t="n">
        <v>50</v>
      </c>
      <c r="M212" s="262" t="n">
        <v>45</v>
      </c>
      <c r="N212" s="262" t="n">
        <v>70</v>
      </c>
      <c r="O212" s="262" t="n">
        <v>45</v>
      </c>
      <c r="P212" s="361" t="n">
        <v>70</v>
      </c>
      <c r="Q212" s="261" t="s">
        <v>157</v>
      </c>
      <c r="R212" s="261" t="s">
        <v>146</v>
      </c>
      <c r="S212" s="363" t="n">
        <f aca="false" t="array" ref="S212:S212">IF(COUNTIF('0.3.0 GO Calculation Values'!$J$2:$J$99,C212),(INDEX('0.3.0 GO Calculation Values'!$K$2:$K$99,MATCH(C212,'0.3.0 GO Calculation Values'!$J$2:$J$99,0))),1)</f>
        <v>1</v>
      </c>
      <c r="T212" s="262" t="n">
        <f aca="false">ROUND(ROUND(2*((7/8)*MAX(L212,N212)+(1/8)*MIN(L212,N212)),0)*(1+(P212-75)/500),0)</f>
        <v>134</v>
      </c>
      <c r="U212" s="262" t="n">
        <f aca="false">ROUND(ROUND(2*((5/8)*MAX(M212,O212)+(3/8)*MIN(M212,O212)),0)*(1+(P212-75)/500),0)</f>
        <v>89</v>
      </c>
      <c r="V212" s="361" t="n">
        <f aca="false">ROUNDDOWN(K212*1.75+50,0)</f>
        <v>120</v>
      </c>
      <c r="W212" s="261" t="n">
        <v>1</v>
      </c>
      <c r="X212" s="261" t="s">
        <v>60</v>
      </c>
      <c r="Y212" s="364" t="s">
        <v>701</v>
      </c>
      <c r="Z212" s="364" t="n">
        <v>3</v>
      </c>
      <c r="AA212" s="364"/>
      <c r="AB212" s="365" t="s">
        <v>60</v>
      </c>
      <c r="AC212" s="364"/>
      <c r="AD212" s="364" t="n">
        <v>0</v>
      </c>
      <c r="AE212" s="366"/>
      <c r="AF212" s="364" t="s">
        <v>702</v>
      </c>
      <c r="AG212" s="364" t="s">
        <v>702</v>
      </c>
      <c r="AH212" s="366" t="s">
        <v>702</v>
      </c>
    </row>
    <row r="213" customFormat="false" ht="15.75" hidden="false" customHeight="false" outlineLevel="0" collapsed="false">
      <c r="A213" s="262" t="n">
        <v>178</v>
      </c>
      <c r="B213" s="361" t="n">
        <v>211</v>
      </c>
      <c r="C213" s="261" t="s">
        <v>703</v>
      </c>
      <c r="D213" s="261" t="s">
        <v>60</v>
      </c>
      <c r="E213" s="362" t="s">
        <v>703</v>
      </c>
      <c r="F213" s="261" t="s">
        <v>653</v>
      </c>
      <c r="G213" s="261" t="s">
        <v>144</v>
      </c>
      <c r="H213" s="261" t="n">
        <v>0</v>
      </c>
      <c r="I213" s="261" t="n">
        <v>2</v>
      </c>
      <c r="J213" s="361" t="n">
        <v>1</v>
      </c>
      <c r="K213" s="262" t="n">
        <v>65</v>
      </c>
      <c r="L213" s="262" t="n">
        <v>75</v>
      </c>
      <c r="M213" s="262" t="n">
        <v>70</v>
      </c>
      <c r="N213" s="262" t="n">
        <v>95</v>
      </c>
      <c r="O213" s="262" t="n">
        <v>70</v>
      </c>
      <c r="P213" s="361" t="n">
        <v>95</v>
      </c>
      <c r="Q213" s="261" t="s">
        <v>157</v>
      </c>
      <c r="R213" s="261" t="s">
        <v>146</v>
      </c>
      <c r="S213" s="363" t="n">
        <f aca="false" t="array" ref="S213:S213">IF(COUNTIF('0.3.0 GO Calculation Values'!$J$2:$J$99,C213),(INDEX('0.3.0 GO Calculation Values'!$K$2:$K$99,MATCH(C213,'0.3.0 GO Calculation Values'!$J$2:$J$99,0))),1)</f>
        <v>1</v>
      </c>
      <c r="T213" s="262" t="n">
        <f aca="false">ROUND(ROUND(2*((7/8)*MAX(L213,N213)+(1/8)*MIN(L213,N213)),0)*(1+(P213-75)/500),0)</f>
        <v>192</v>
      </c>
      <c r="U213" s="262" t="n">
        <f aca="false">ROUND(ROUND(2*((5/8)*MAX(M213,O213)+(3/8)*MIN(M213,O213)),0)*(1+(P213-75)/500),0)</f>
        <v>146</v>
      </c>
      <c r="V213" s="361" t="n">
        <f aca="false">ROUNDDOWN(K213*1.75+50,0)</f>
        <v>163</v>
      </c>
      <c r="W213" s="261" t="n">
        <v>1</v>
      </c>
      <c r="X213" s="261" t="s">
        <v>701</v>
      </c>
      <c r="Y213" s="364" t="s">
        <v>701</v>
      </c>
      <c r="Z213" s="364" t="n">
        <v>3</v>
      </c>
      <c r="AA213" s="364"/>
      <c r="AB213" s="365" t="s">
        <v>60</v>
      </c>
      <c r="AC213" s="364"/>
      <c r="AD213" s="364" t="n">
        <v>50</v>
      </c>
      <c r="AE213" s="366"/>
      <c r="AF213" s="364" t="s">
        <v>704</v>
      </c>
      <c r="AG213" s="364" t="s">
        <v>704</v>
      </c>
      <c r="AH213" s="366" t="s">
        <v>704</v>
      </c>
    </row>
    <row r="214" customFormat="false" ht="15.75" hidden="false" customHeight="false" outlineLevel="0" collapsed="false">
      <c r="A214" s="262" t="n">
        <v>179</v>
      </c>
      <c r="B214" s="361" t="n">
        <v>212</v>
      </c>
      <c r="C214" s="261" t="s">
        <v>705</v>
      </c>
      <c r="D214" s="261" t="s">
        <v>60</v>
      </c>
      <c r="E214" s="362" t="s">
        <v>705</v>
      </c>
      <c r="F214" s="261" t="s">
        <v>653</v>
      </c>
      <c r="G214" s="261" t="s">
        <v>144</v>
      </c>
      <c r="H214" s="261" t="n">
        <v>0</v>
      </c>
      <c r="I214" s="261" t="n">
        <v>1</v>
      </c>
      <c r="J214" s="361" t="n">
        <v>0</v>
      </c>
      <c r="K214" s="262" t="n">
        <v>55</v>
      </c>
      <c r="L214" s="262" t="n">
        <v>40</v>
      </c>
      <c r="M214" s="262" t="n">
        <v>40</v>
      </c>
      <c r="N214" s="262" t="n">
        <v>65</v>
      </c>
      <c r="O214" s="262" t="n">
        <v>45</v>
      </c>
      <c r="P214" s="361" t="n">
        <v>35</v>
      </c>
      <c r="Q214" s="261" t="s">
        <v>156</v>
      </c>
      <c r="R214" s="261"/>
      <c r="S214" s="363" t="n">
        <f aca="false" t="array" ref="S214:S214">IF(COUNTIF('0.3.0 GO Calculation Values'!$J$2:$J$99,C214),(INDEX('0.3.0 GO Calculation Values'!$K$2:$K$99,MATCH(C214,'0.3.0 GO Calculation Values'!$J$2:$J$99,0))),1)</f>
        <v>1</v>
      </c>
      <c r="T214" s="262" t="n">
        <f aca="false">ROUND(ROUND(2*((7/8)*MAX(L214,N214)+(1/8)*MIN(L214,N214)),0)*(1+(P214-75)/500),0)</f>
        <v>114</v>
      </c>
      <c r="U214" s="262" t="n">
        <f aca="false">ROUND(ROUND(2*((5/8)*MAX(M214,O214)+(3/8)*MIN(M214,O214)),0)*(1+(P214-75)/500),0)</f>
        <v>79</v>
      </c>
      <c r="V214" s="361" t="n">
        <f aca="false">ROUNDDOWN(K214*1.75+50,0)</f>
        <v>146</v>
      </c>
      <c r="W214" s="261" t="n">
        <v>1</v>
      </c>
      <c r="X214" s="261" t="s">
        <v>60</v>
      </c>
      <c r="Y214" s="364" t="s">
        <v>705</v>
      </c>
      <c r="Z214" s="364" t="n">
        <v>5</v>
      </c>
      <c r="AA214" s="364"/>
      <c r="AB214" s="365" t="n">
        <v>10</v>
      </c>
      <c r="AC214" s="364"/>
      <c r="AD214" s="364" t="n">
        <v>0</v>
      </c>
      <c r="AE214" s="366"/>
      <c r="AF214" s="364" t="s">
        <v>706</v>
      </c>
      <c r="AG214" s="364" t="s">
        <v>706</v>
      </c>
      <c r="AH214" s="366" t="s">
        <v>706</v>
      </c>
    </row>
    <row r="215" customFormat="false" ht="15.75" hidden="false" customHeight="false" outlineLevel="0" collapsed="false">
      <c r="A215" s="262" t="n">
        <v>180</v>
      </c>
      <c r="B215" s="361" t="n">
        <v>213</v>
      </c>
      <c r="C215" s="261" t="s">
        <v>707</v>
      </c>
      <c r="D215" s="261" t="s">
        <v>60</v>
      </c>
      <c r="E215" s="362" t="s">
        <v>707</v>
      </c>
      <c r="F215" s="261" t="s">
        <v>653</v>
      </c>
      <c r="G215" s="261" t="s">
        <v>144</v>
      </c>
      <c r="H215" s="261" t="n">
        <v>0</v>
      </c>
      <c r="I215" s="261" t="n">
        <v>2</v>
      </c>
      <c r="J215" s="361" t="n">
        <v>0</v>
      </c>
      <c r="K215" s="262" t="n">
        <v>70</v>
      </c>
      <c r="L215" s="262" t="n">
        <v>55</v>
      </c>
      <c r="M215" s="262" t="n">
        <v>55</v>
      </c>
      <c r="N215" s="262" t="n">
        <v>80</v>
      </c>
      <c r="O215" s="262" t="n">
        <v>60</v>
      </c>
      <c r="P215" s="361" t="n">
        <v>45</v>
      </c>
      <c r="Q215" s="261" t="s">
        <v>156</v>
      </c>
      <c r="R215" s="261"/>
      <c r="S215" s="363" t="n">
        <f aca="false" t="array" ref="S215:S215">IF(COUNTIF('0.3.0 GO Calculation Values'!$J$2:$J$99,C215),(INDEX('0.3.0 GO Calculation Values'!$K$2:$K$99,MATCH(C215,'0.3.0 GO Calculation Values'!$J$2:$J$99,0))),1)</f>
        <v>1</v>
      </c>
      <c r="T215" s="262" t="n">
        <f aca="false">ROUND(ROUND(2*((7/8)*MAX(L215,N215)+(1/8)*MIN(L215,N215)),0)*(1+(P215-75)/500),0)</f>
        <v>145</v>
      </c>
      <c r="U215" s="262" t="n">
        <f aca="false">ROUND(ROUND(2*((5/8)*MAX(M215,O215)+(3/8)*MIN(M215,O215)),0)*(1+(P215-75)/500),0)</f>
        <v>109</v>
      </c>
      <c r="V215" s="361" t="n">
        <f aca="false">ROUNDDOWN(K215*1.75+50,0)</f>
        <v>172</v>
      </c>
      <c r="W215" s="261" t="n">
        <v>1</v>
      </c>
      <c r="X215" s="261" t="s">
        <v>705</v>
      </c>
      <c r="Y215" s="364" t="s">
        <v>705</v>
      </c>
      <c r="Z215" s="364" t="n">
        <v>5</v>
      </c>
      <c r="AA215" s="364"/>
      <c r="AB215" s="365" t="n">
        <v>10</v>
      </c>
      <c r="AC215" s="364"/>
      <c r="AD215" s="364" t="n">
        <v>25</v>
      </c>
      <c r="AE215" s="366"/>
      <c r="AF215" s="364" t="s">
        <v>708</v>
      </c>
      <c r="AG215" s="364" t="s">
        <v>708</v>
      </c>
      <c r="AH215" s="366" t="s">
        <v>708</v>
      </c>
    </row>
    <row r="216" customFormat="false" ht="15.75" hidden="false" customHeight="false" outlineLevel="0" collapsed="false">
      <c r="A216" s="262" t="n">
        <v>181</v>
      </c>
      <c r="B216" s="361" t="n">
        <v>214</v>
      </c>
      <c r="C216" s="261" t="s">
        <v>709</v>
      </c>
      <c r="D216" s="261" t="s">
        <v>7</v>
      </c>
      <c r="E216" s="367" t="s">
        <v>709</v>
      </c>
      <c r="F216" s="261" t="s">
        <v>653</v>
      </c>
      <c r="G216" s="261" t="s">
        <v>144</v>
      </c>
      <c r="H216" s="261" t="n">
        <v>0</v>
      </c>
      <c r="I216" s="261" t="n">
        <v>3</v>
      </c>
      <c r="J216" s="361" t="n">
        <v>1</v>
      </c>
      <c r="K216" s="262" t="n">
        <v>90</v>
      </c>
      <c r="L216" s="262" t="n">
        <v>75</v>
      </c>
      <c r="M216" s="262" t="n">
        <v>85</v>
      </c>
      <c r="N216" s="262" t="n">
        <v>115</v>
      </c>
      <c r="O216" s="262" t="n">
        <v>90</v>
      </c>
      <c r="P216" s="361" t="n">
        <v>55</v>
      </c>
      <c r="Q216" s="261" t="s">
        <v>156</v>
      </c>
      <c r="R216" s="261"/>
      <c r="S216" s="363" t="n">
        <f aca="false" t="array" ref="S216:S216">IF(COUNTIF('0.3.0 GO Calculation Values'!$J$2:$J$99,C216),(INDEX('0.3.0 GO Calculation Values'!$K$2:$K$99,MATCH(C216,'0.3.0 GO Calculation Values'!$J$2:$J$99,0))),1)</f>
        <v>1</v>
      </c>
      <c r="T216" s="262" t="n">
        <f aca="false">ROUND(ROUND(2*((7/8)*MAX(L216,N216)+(1/8)*MIN(L216,N216)),0)*(1+(P216-75)/500),0)</f>
        <v>211</v>
      </c>
      <c r="U216" s="262" t="n">
        <f aca="false">ROUND(ROUND(2*((5/8)*MAX(M216,O216)+(3/8)*MIN(M216,O216)),0)*(1+(P216-75)/500),0)</f>
        <v>169</v>
      </c>
      <c r="V216" s="361" t="n">
        <f aca="false">ROUNDDOWN(K216*1.75+50,0)</f>
        <v>207</v>
      </c>
      <c r="W216" s="261" t="n">
        <v>1</v>
      </c>
      <c r="X216" s="261" t="s">
        <v>707</v>
      </c>
      <c r="Y216" s="364" t="s">
        <v>705</v>
      </c>
      <c r="Z216" s="364" t="n">
        <v>5</v>
      </c>
      <c r="AA216" s="364"/>
      <c r="AB216" s="365" t="n">
        <v>10</v>
      </c>
      <c r="AC216" s="364"/>
      <c r="AD216" s="364" t="n">
        <v>100</v>
      </c>
      <c r="AE216" s="366"/>
      <c r="AF216" s="364" t="s">
        <v>710</v>
      </c>
      <c r="AG216" s="364" t="s">
        <v>710</v>
      </c>
      <c r="AH216" s="366" t="s">
        <v>710</v>
      </c>
    </row>
    <row r="217" customFormat="false" ht="15.75" hidden="false" customHeight="false" outlineLevel="0" collapsed="false">
      <c r="A217" s="262" t="n">
        <v>181</v>
      </c>
      <c r="B217" s="361" t="n">
        <v>215</v>
      </c>
      <c r="C217" s="261" t="s">
        <v>709</v>
      </c>
      <c r="D217" s="261" t="s">
        <v>711</v>
      </c>
      <c r="E217" s="358" t="s">
        <v>712</v>
      </c>
      <c r="F217" s="261" t="s">
        <v>713</v>
      </c>
      <c r="G217" s="261" t="s">
        <v>144</v>
      </c>
      <c r="H217" s="261" t="n">
        <v>2</v>
      </c>
      <c r="I217" s="261" t="n">
        <v>3</v>
      </c>
      <c r="J217" s="361" t="n">
        <v>1</v>
      </c>
      <c r="K217" s="262" t="n">
        <v>90</v>
      </c>
      <c r="L217" s="262" t="n">
        <v>95</v>
      </c>
      <c r="M217" s="262" t="n">
        <v>105</v>
      </c>
      <c r="N217" s="262" t="n">
        <v>165</v>
      </c>
      <c r="O217" s="262" t="n">
        <v>110</v>
      </c>
      <c r="P217" s="361" t="n">
        <v>45</v>
      </c>
      <c r="Q217" s="261" t="s">
        <v>156</v>
      </c>
      <c r="R217" s="261" t="s">
        <v>159</v>
      </c>
      <c r="S217" s="363" t="n">
        <f aca="false" t="array" ref="S217:S217">IF(COUNTIF('0.3.0 GO Calculation Values'!$J$2:$J$99,C217),(INDEX('0.3.0 GO Calculation Values'!$K$2:$K$99,MATCH(C217,'0.3.0 GO Calculation Values'!$J$2:$J$99,0))),1)</f>
        <v>1</v>
      </c>
      <c r="T217" s="262" t="n">
        <f aca="false">ROUND(ROUND(2*((7/8)*MAX(L217,N217)+(1/8)*MIN(L217,N217)),0)*(1+(P217-75)/500),0)</f>
        <v>294</v>
      </c>
      <c r="U217" s="262" t="n">
        <f aca="false">ROUND(ROUND(2*((5/8)*MAX(M217,O217)+(3/8)*MIN(M217,O217)),0)*(1+(P217-75)/500),0)</f>
        <v>203</v>
      </c>
      <c r="V217" s="361" t="n">
        <f aca="false">ROUNDDOWN(K217*1.75+50,0)</f>
        <v>207</v>
      </c>
      <c r="W217" s="261" t="n">
        <v>0</v>
      </c>
      <c r="X217" s="261" t="s">
        <v>709</v>
      </c>
      <c r="Y217" s="364" t="s">
        <v>705</v>
      </c>
      <c r="Z217" s="364" t="n">
        <v>5</v>
      </c>
      <c r="AA217" s="364"/>
      <c r="AB217" s="365" t="n">
        <v>10</v>
      </c>
      <c r="AC217" s="364"/>
      <c r="AD217" s="364" t="n">
        <v>100</v>
      </c>
      <c r="AE217" s="366"/>
      <c r="AF217" s="364" t="s">
        <v>714</v>
      </c>
      <c r="AG217" s="364" t="s">
        <v>714</v>
      </c>
      <c r="AH217" s="366" t="s">
        <v>714</v>
      </c>
    </row>
    <row r="218" customFormat="false" ht="15.75" hidden="false" customHeight="false" outlineLevel="0" collapsed="false">
      <c r="A218" s="262" t="n">
        <v>182</v>
      </c>
      <c r="B218" s="361" t="n">
        <v>216</v>
      </c>
      <c r="C218" s="261" t="s">
        <v>715</v>
      </c>
      <c r="D218" s="261" t="s">
        <v>60</v>
      </c>
      <c r="E218" s="362" t="s">
        <v>715</v>
      </c>
      <c r="F218" s="261" t="s">
        <v>653</v>
      </c>
      <c r="G218" s="261" t="s">
        <v>144</v>
      </c>
      <c r="H218" s="261" t="n">
        <v>0</v>
      </c>
      <c r="I218" s="261" t="n">
        <v>3</v>
      </c>
      <c r="J218" s="361" t="n">
        <v>1</v>
      </c>
      <c r="K218" s="262" t="n">
        <v>75</v>
      </c>
      <c r="L218" s="262" t="n">
        <v>80</v>
      </c>
      <c r="M218" s="262" t="n">
        <v>95</v>
      </c>
      <c r="N218" s="262" t="n">
        <v>90</v>
      </c>
      <c r="O218" s="262" t="n">
        <v>100</v>
      </c>
      <c r="P218" s="361" t="n">
        <v>50</v>
      </c>
      <c r="Q218" s="261" t="s">
        <v>155</v>
      </c>
      <c r="R218" s="261"/>
      <c r="S218" s="363" t="n">
        <f aca="false" t="array" ref="S218:S218">IF(COUNTIF('0.3.0 GO Calculation Values'!$J$2:$J$99,C218),(INDEX('0.3.0 GO Calculation Values'!$K$2:$K$99,MATCH(C218,'0.3.0 GO Calculation Values'!$J$2:$J$99,0))),1)</f>
        <v>1</v>
      </c>
      <c r="T218" s="262" t="n">
        <f aca="false">ROUND(ROUND(2*((7/8)*MAX(L218,N218)+(1/8)*MIN(L218,N218)),0)*(1+(P218-75)/500),0)</f>
        <v>169</v>
      </c>
      <c r="U218" s="262" t="n">
        <f aca="false">ROUND(ROUND(2*((5/8)*MAX(M218,O218)+(3/8)*MIN(M218,O218)),0)*(1+(P218-75)/500),0)</f>
        <v>186</v>
      </c>
      <c r="V218" s="361" t="n">
        <f aca="false">ROUNDDOWN(K218*1.75+50,0)</f>
        <v>181</v>
      </c>
      <c r="W218" s="261" t="n">
        <v>1</v>
      </c>
      <c r="X218" s="261" t="s">
        <v>362</v>
      </c>
      <c r="Y218" s="364" t="s">
        <v>360</v>
      </c>
      <c r="Z218" s="364" t="n">
        <v>3</v>
      </c>
      <c r="AA218" s="364"/>
      <c r="AB218" s="365" t="n">
        <v>2</v>
      </c>
      <c r="AC218" s="364"/>
      <c r="AD218" s="364" t="n">
        <v>100</v>
      </c>
      <c r="AE218" s="362" t="s">
        <v>716</v>
      </c>
      <c r="AF218" s="364" t="s">
        <v>717</v>
      </c>
      <c r="AG218" s="364" t="s">
        <v>717</v>
      </c>
      <c r="AH218" s="366" t="s">
        <v>717</v>
      </c>
    </row>
    <row r="219" customFormat="false" ht="15.75" hidden="false" customHeight="false" outlineLevel="0" collapsed="false">
      <c r="A219" s="262" t="n">
        <v>183</v>
      </c>
      <c r="B219" s="361" t="n">
        <v>217</v>
      </c>
      <c r="C219" s="261" t="s">
        <v>718</v>
      </c>
      <c r="D219" s="261" t="s">
        <v>60</v>
      </c>
      <c r="E219" s="362" t="s">
        <v>718</v>
      </c>
      <c r="F219" s="261" t="s">
        <v>653</v>
      </c>
      <c r="G219" s="261" t="s">
        <v>144</v>
      </c>
      <c r="H219" s="261" t="n">
        <v>0</v>
      </c>
      <c r="I219" s="261" t="n">
        <v>2</v>
      </c>
      <c r="J219" s="361" t="n">
        <v>0</v>
      </c>
      <c r="K219" s="262" t="n">
        <v>70</v>
      </c>
      <c r="L219" s="262" t="n">
        <v>20</v>
      </c>
      <c r="M219" s="262" t="n">
        <v>50</v>
      </c>
      <c r="N219" s="262" t="n">
        <v>20</v>
      </c>
      <c r="O219" s="262" t="n">
        <v>50</v>
      </c>
      <c r="P219" s="361" t="n">
        <v>40</v>
      </c>
      <c r="Q219" s="261" t="s">
        <v>154</v>
      </c>
      <c r="R219" s="261" t="s">
        <v>161</v>
      </c>
      <c r="S219" s="363" t="n">
        <f aca="false" t="array" ref="S219:S219">IF(COUNTIF('0.3.0 GO Calculation Values'!$J$2:$J$99,C219),(INDEX('0.3.0 GO Calculation Values'!$K$2:$K$99,MATCH(C219,'0.3.0 GO Calculation Values'!$J$2:$J$99,0))),1)</f>
        <v>1</v>
      </c>
      <c r="T219" s="262" t="n">
        <f aca="false">ROUND(ROUND(2*((7/8)*MAX(L219,N219)+(1/8)*MIN(L219,N219)),0)*(1+(P219-75)/500),0)</f>
        <v>37</v>
      </c>
      <c r="U219" s="262" t="n">
        <f aca="false">ROUND(ROUND(2*((5/8)*MAX(M219,O219)+(3/8)*MIN(M219,O219)),0)*(1+(P219-75)/500),0)</f>
        <v>93</v>
      </c>
      <c r="V219" s="361" t="n">
        <f aca="false">ROUNDDOWN(K219*1.75+50,0)</f>
        <v>172</v>
      </c>
      <c r="W219" s="261" t="n">
        <v>1</v>
      </c>
      <c r="X219" s="261" t="s">
        <v>719</v>
      </c>
      <c r="Y219" s="364" t="s">
        <v>718</v>
      </c>
      <c r="Z219" s="364" t="n">
        <v>3</v>
      </c>
      <c r="AA219" s="364"/>
      <c r="AB219" s="365" t="s">
        <v>60</v>
      </c>
      <c r="AC219" s="364"/>
      <c r="AD219" s="364" t="n">
        <v>25</v>
      </c>
      <c r="AE219" s="366"/>
      <c r="AF219" s="364" t="s">
        <v>720</v>
      </c>
      <c r="AG219" s="364" t="s">
        <v>720</v>
      </c>
      <c r="AH219" s="366" t="s">
        <v>720</v>
      </c>
    </row>
    <row r="220" customFormat="false" ht="15.75" hidden="false" customHeight="false" outlineLevel="0" collapsed="false">
      <c r="A220" s="262" t="n">
        <v>184</v>
      </c>
      <c r="B220" s="361" t="n">
        <v>218</v>
      </c>
      <c r="C220" s="261" t="s">
        <v>721</v>
      </c>
      <c r="D220" s="261" t="s">
        <v>60</v>
      </c>
      <c r="E220" s="362" t="s">
        <v>721</v>
      </c>
      <c r="F220" s="261" t="s">
        <v>653</v>
      </c>
      <c r="G220" s="261" t="s">
        <v>144</v>
      </c>
      <c r="H220" s="261" t="n">
        <v>0</v>
      </c>
      <c r="I220" s="261" t="n">
        <v>3</v>
      </c>
      <c r="J220" s="361" t="n">
        <v>1</v>
      </c>
      <c r="K220" s="262" t="n">
        <v>100</v>
      </c>
      <c r="L220" s="262" t="n">
        <v>50</v>
      </c>
      <c r="M220" s="262" t="n">
        <v>80</v>
      </c>
      <c r="N220" s="262" t="n">
        <v>60</v>
      </c>
      <c r="O220" s="262" t="n">
        <v>80</v>
      </c>
      <c r="P220" s="361" t="n">
        <v>50</v>
      </c>
      <c r="Q220" s="261" t="s">
        <v>154</v>
      </c>
      <c r="R220" s="261" t="s">
        <v>161</v>
      </c>
      <c r="S220" s="363" t="n">
        <f aca="false" t="array" ref="S220:S220">IF(COUNTIF('0.3.0 GO Calculation Values'!$J$2:$J$99,C220),(INDEX('0.3.0 GO Calculation Values'!$K$2:$K$99,MATCH(C220,'0.3.0 GO Calculation Values'!$J$2:$J$99,0))),1)</f>
        <v>1</v>
      </c>
      <c r="T220" s="262" t="n">
        <f aca="false">ROUND(ROUND(2*((7/8)*MAX(L220,N220)+(1/8)*MIN(L220,N220)),0)*(1+(P220-75)/500),0)</f>
        <v>112</v>
      </c>
      <c r="U220" s="262" t="n">
        <f aca="false">ROUND(ROUND(2*((5/8)*MAX(M220,O220)+(3/8)*MIN(M220,O220)),0)*(1+(P220-75)/500),0)</f>
        <v>152</v>
      </c>
      <c r="V220" s="361" t="n">
        <f aca="false">ROUNDDOWN(K220*1.75+50,0)</f>
        <v>225</v>
      </c>
      <c r="W220" s="261" t="n">
        <v>1</v>
      </c>
      <c r="X220" s="261" t="s">
        <v>718</v>
      </c>
      <c r="Y220" s="364" t="s">
        <v>718</v>
      </c>
      <c r="Z220" s="364" t="n">
        <v>3</v>
      </c>
      <c r="AA220" s="364"/>
      <c r="AB220" s="365" t="s">
        <v>60</v>
      </c>
      <c r="AC220" s="364"/>
      <c r="AD220" s="364" t="n">
        <v>25</v>
      </c>
      <c r="AE220" s="366"/>
      <c r="AF220" s="364" t="s">
        <v>722</v>
      </c>
      <c r="AG220" s="364" t="s">
        <v>722</v>
      </c>
      <c r="AH220" s="366" t="s">
        <v>722</v>
      </c>
    </row>
    <row r="221" customFormat="false" ht="15.75" hidden="false" customHeight="false" outlineLevel="0" collapsed="false">
      <c r="A221" s="262" t="n">
        <v>185</v>
      </c>
      <c r="B221" s="361" t="n">
        <v>219</v>
      </c>
      <c r="C221" s="261" t="s">
        <v>723</v>
      </c>
      <c r="D221" s="261" t="s">
        <v>60</v>
      </c>
      <c r="E221" s="362" t="s">
        <v>723</v>
      </c>
      <c r="F221" s="261" t="s">
        <v>653</v>
      </c>
      <c r="G221" s="261" t="s">
        <v>144</v>
      </c>
      <c r="H221" s="261" t="n">
        <v>0</v>
      </c>
      <c r="I221" s="261" t="n">
        <v>2</v>
      </c>
      <c r="J221" s="361" t="n">
        <v>1</v>
      </c>
      <c r="K221" s="262" t="n">
        <v>70</v>
      </c>
      <c r="L221" s="262" t="n">
        <v>100</v>
      </c>
      <c r="M221" s="262" t="n">
        <v>115</v>
      </c>
      <c r="N221" s="262" t="n">
        <v>30</v>
      </c>
      <c r="O221" s="262" t="n">
        <v>65</v>
      </c>
      <c r="P221" s="361" t="n">
        <v>30</v>
      </c>
      <c r="Q221" s="261" t="s">
        <v>149</v>
      </c>
      <c r="R221" s="261"/>
      <c r="S221" s="363" t="n">
        <f aca="false" t="array" ref="S221:S221">IF(COUNTIF('0.3.0 GO Calculation Values'!$J$2:$J$99,C221),(INDEX('0.3.0 GO Calculation Values'!$K$2:$K$99,MATCH(C221,'0.3.0 GO Calculation Values'!$J$2:$J$99,0))),1)</f>
        <v>1</v>
      </c>
      <c r="T221" s="262" t="n">
        <f aca="false">ROUND(ROUND(2*((7/8)*MAX(L221,N221)+(1/8)*MIN(L221,N221)),0)*(1+(P221-75)/500),0)</f>
        <v>167</v>
      </c>
      <c r="U221" s="262" t="n">
        <f aca="false">ROUND(ROUND(2*((5/8)*MAX(M221,O221)+(3/8)*MIN(M221,O221)),0)*(1+(P221-75)/500),0)</f>
        <v>176</v>
      </c>
      <c r="V221" s="361" t="n">
        <f aca="false">ROUNDDOWN(K221*1.75+50,0)</f>
        <v>172</v>
      </c>
      <c r="W221" s="261" t="n">
        <v>1</v>
      </c>
      <c r="X221" s="261" t="s">
        <v>724</v>
      </c>
      <c r="Y221" s="364" t="s">
        <v>723</v>
      </c>
      <c r="Z221" s="364" t="n">
        <v>5</v>
      </c>
      <c r="AA221" s="364"/>
      <c r="AB221" s="365" t="n">
        <v>10</v>
      </c>
      <c r="AC221" s="364"/>
      <c r="AD221" s="364" t="n">
        <v>0</v>
      </c>
      <c r="AE221" s="366"/>
      <c r="AF221" s="364" t="s">
        <v>725</v>
      </c>
      <c r="AG221" s="364" t="s">
        <v>725</v>
      </c>
      <c r="AH221" s="366" t="s">
        <v>725</v>
      </c>
    </row>
    <row r="222" customFormat="false" ht="15.75" hidden="false" customHeight="false" outlineLevel="0" collapsed="false">
      <c r="A222" s="262" t="n">
        <v>186</v>
      </c>
      <c r="B222" s="361" t="n">
        <v>220</v>
      </c>
      <c r="C222" s="261" t="s">
        <v>726</v>
      </c>
      <c r="D222" s="261" t="s">
        <v>60</v>
      </c>
      <c r="E222" s="362" t="s">
        <v>726</v>
      </c>
      <c r="F222" s="261" t="s">
        <v>653</v>
      </c>
      <c r="G222" s="261" t="s">
        <v>144</v>
      </c>
      <c r="H222" s="261" t="n">
        <v>0</v>
      </c>
      <c r="I222" s="261" t="n">
        <v>3</v>
      </c>
      <c r="J222" s="361" t="n">
        <v>1</v>
      </c>
      <c r="K222" s="262" t="n">
        <v>90</v>
      </c>
      <c r="L222" s="262" t="n">
        <v>75</v>
      </c>
      <c r="M222" s="262" t="n">
        <v>75</v>
      </c>
      <c r="N222" s="262" t="n">
        <v>90</v>
      </c>
      <c r="O222" s="262" t="n">
        <v>100</v>
      </c>
      <c r="P222" s="361" t="n">
        <v>70</v>
      </c>
      <c r="Q222" s="261" t="s">
        <v>154</v>
      </c>
      <c r="R222" s="261"/>
      <c r="S222" s="363" t="n">
        <f aca="false" t="array" ref="S222:S222">IF(COUNTIF('0.3.0 GO Calculation Values'!$J$2:$J$99,C222),(INDEX('0.3.0 GO Calculation Values'!$K$2:$K$99,MATCH(C222,'0.3.0 GO Calculation Values'!$J$2:$J$99,0))),1)</f>
        <v>1</v>
      </c>
      <c r="T222" s="262" t="n">
        <f aca="false">ROUND(ROUND(2*((7/8)*MAX(L222,N222)+(1/8)*MIN(L222,N222)),0)*(1+(P222-75)/500),0)</f>
        <v>174</v>
      </c>
      <c r="U222" s="262" t="n">
        <f aca="false">ROUND(ROUND(2*((5/8)*MAX(M222,O222)+(3/8)*MIN(M222,O222)),0)*(1+(P222-75)/500),0)</f>
        <v>179</v>
      </c>
      <c r="V222" s="361" t="n">
        <f aca="false">ROUNDDOWN(K222*1.75+50,0)</f>
        <v>207</v>
      </c>
      <c r="W222" s="261" t="n">
        <v>1</v>
      </c>
      <c r="X222" s="261" t="s">
        <v>408</v>
      </c>
      <c r="Y222" s="261" t="s">
        <v>406</v>
      </c>
      <c r="Z222" s="364" t="n">
        <v>3</v>
      </c>
      <c r="AA222" s="364"/>
      <c r="AB222" s="365" t="s">
        <v>60</v>
      </c>
      <c r="AC222" s="364"/>
      <c r="AD222" s="364" t="n">
        <v>100</v>
      </c>
      <c r="AE222" s="362" t="s">
        <v>727</v>
      </c>
      <c r="AF222" s="364" t="s">
        <v>728</v>
      </c>
      <c r="AG222" s="364" t="s">
        <v>728</v>
      </c>
      <c r="AH222" s="366" t="s">
        <v>728</v>
      </c>
    </row>
    <row r="223" customFormat="false" ht="15.75" hidden="false" customHeight="false" outlineLevel="0" collapsed="false">
      <c r="A223" s="262" t="n">
        <v>187</v>
      </c>
      <c r="B223" s="361" t="n">
        <v>221</v>
      </c>
      <c r="C223" s="261" t="s">
        <v>729</v>
      </c>
      <c r="D223" s="261" t="s">
        <v>60</v>
      </c>
      <c r="E223" s="362" t="s">
        <v>729</v>
      </c>
      <c r="F223" s="261" t="s">
        <v>653</v>
      </c>
      <c r="G223" s="261" t="s">
        <v>144</v>
      </c>
      <c r="H223" s="261" t="n">
        <v>0</v>
      </c>
      <c r="I223" s="261" t="n">
        <v>1</v>
      </c>
      <c r="J223" s="361" t="n">
        <v>0</v>
      </c>
      <c r="K223" s="262" t="n">
        <v>35</v>
      </c>
      <c r="L223" s="262" t="n">
        <v>35</v>
      </c>
      <c r="M223" s="262" t="n">
        <v>40</v>
      </c>
      <c r="N223" s="262" t="n">
        <v>35</v>
      </c>
      <c r="O223" s="262" t="n">
        <v>55</v>
      </c>
      <c r="P223" s="361" t="n">
        <v>50</v>
      </c>
      <c r="Q223" s="261" t="s">
        <v>155</v>
      </c>
      <c r="R223" s="261" t="s">
        <v>146</v>
      </c>
      <c r="S223" s="363" t="n">
        <f aca="false" t="array" ref="S223:S223">IF(COUNTIF('0.3.0 GO Calculation Values'!$J$2:$J$99,C223),(INDEX('0.3.0 GO Calculation Values'!$K$2:$K$99,MATCH(C223,'0.3.0 GO Calculation Values'!$J$2:$J$99,0))),1)</f>
        <v>1</v>
      </c>
      <c r="T223" s="262" t="n">
        <f aca="false">ROUND(ROUND(2*((7/8)*MAX(L223,N223)+(1/8)*MIN(L223,N223)),0)*(1+(P223-75)/500),0)</f>
        <v>67</v>
      </c>
      <c r="U223" s="262" t="n">
        <f aca="false">ROUND(ROUND(2*((5/8)*MAX(M223,O223)+(3/8)*MIN(M223,O223)),0)*(1+(P223-75)/500),0)</f>
        <v>94</v>
      </c>
      <c r="V223" s="361" t="n">
        <f aca="false">ROUNDDOWN(K223*1.75+50,0)</f>
        <v>111</v>
      </c>
      <c r="W223" s="261" t="n">
        <v>1</v>
      </c>
      <c r="X223" s="261" t="s">
        <v>60</v>
      </c>
      <c r="Y223" s="364" t="s">
        <v>729</v>
      </c>
      <c r="Z223" s="364" t="n">
        <v>3</v>
      </c>
      <c r="AA223" s="364"/>
      <c r="AB223" s="365" t="s">
        <v>60</v>
      </c>
      <c r="AC223" s="364"/>
      <c r="AD223" s="364" t="n">
        <v>0</v>
      </c>
      <c r="AE223" s="366"/>
      <c r="AF223" s="364" t="s">
        <v>730</v>
      </c>
      <c r="AG223" s="364" t="s">
        <v>730</v>
      </c>
      <c r="AH223" s="366" t="s">
        <v>730</v>
      </c>
    </row>
    <row r="224" customFormat="false" ht="15.75" hidden="false" customHeight="false" outlineLevel="0" collapsed="false">
      <c r="A224" s="262" t="n">
        <v>188</v>
      </c>
      <c r="B224" s="361" t="n">
        <v>222</v>
      </c>
      <c r="C224" s="261" t="s">
        <v>731</v>
      </c>
      <c r="D224" s="261" t="s">
        <v>60</v>
      </c>
      <c r="E224" s="362" t="s">
        <v>731</v>
      </c>
      <c r="F224" s="261" t="s">
        <v>653</v>
      </c>
      <c r="G224" s="261" t="s">
        <v>144</v>
      </c>
      <c r="H224" s="261" t="n">
        <v>0</v>
      </c>
      <c r="I224" s="261" t="n">
        <v>2</v>
      </c>
      <c r="J224" s="361" t="n">
        <v>0</v>
      </c>
      <c r="K224" s="262" t="n">
        <v>55</v>
      </c>
      <c r="L224" s="262" t="n">
        <v>45</v>
      </c>
      <c r="M224" s="262" t="n">
        <v>50</v>
      </c>
      <c r="N224" s="262" t="n">
        <v>45</v>
      </c>
      <c r="O224" s="262" t="n">
        <v>65</v>
      </c>
      <c r="P224" s="361" t="n">
        <v>80</v>
      </c>
      <c r="Q224" s="261" t="s">
        <v>155</v>
      </c>
      <c r="R224" s="261" t="s">
        <v>146</v>
      </c>
      <c r="S224" s="363" t="n">
        <f aca="false" t="array" ref="S224:S224">IF(COUNTIF('0.3.0 GO Calculation Values'!$J$2:$J$99,C224),(INDEX('0.3.0 GO Calculation Values'!$K$2:$K$99,MATCH(C224,'0.3.0 GO Calculation Values'!$J$2:$J$99,0))),1)</f>
        <v>1</v>
      </c>
      <c r="T224" s="262" t="n">
        <f aca="false">ROUND(ROUND(2*((7/8)*MAX(L224,N224)+(1/8)*MIN(L224,N224)),0)*(1+(P224-75)/500),0)</f>
        <v>91</v>
      </c>
      <c r="U224" s="262" t="n">
        <f aca="false">ROUND(ROUND(2*((5/8)*MAX(M224,O224)+(3/8)*MIN(M224,O224)),0)*(1+(P224-75)/500),0)</f>
        <v>120</v>
      </c>
      <c r="V224" s="361" t="n">
        <f aca="false">ROUNDDOWN(K224*1.75+50,0)</f>
        <v>146</v>
      </c>
      <c r="W224" s="261" t="n">
        <v>1</v>
      </c>
      <c r="X224" s="261" t="s">
        <v>729</v>
      </c>
      <c r="Y224" s="364" t="s">
        <v>729</v>
      </c>
      <c r="Z224" s="364" t="n">
        <v>3</v>
      </c>
      <c r="AA224" s="364"/>
      <c r="AB224" s="365" t="s">
        <v>60</v>
      </c>
      <c r="AC224" s="364"/>
      <c r="AD224" s="364" t="n">
        <v>25</v>
      </c>
      <c r="AE224" s="366"/>
      <c r="AF224" s="364" t="s">
        <v>732</v>
      </c>
      <c r="AG224" s="364" t="s">
        <v>732</v>
      </c>
      <c r="AH224" s="366" t="s">
        <v>732</v>
      </c>
    </row>
    <row r="225" customFormat="false" ht="15.75" hidden="false" customHeight="false" outlineLevel="0" collapsed="false">
      <c r="A225" s="262" t="n">
        <v>189</v>
      </c>
      <c r="B225" s="361" t="n">
        <v>223</v>
      </c>
      <c r="C225" s="261" t="s">
        <v>733</v>
      </c>
      <c r="D225" s="261" t="s">
        <v>60</v>
      </c>
      <c r="E225" s="362" t="s">
        <v>733</v>
      </c>
      <c r="F225" s="261" t="s">
        <v>653</v>
      </c>
      <c r="G225" s="261" t="s">
        <v>144</v>
      </c>
      <c r="H225" s="261" t="n">
        <v>0</v>
      </c>
      <c r="I225" s="261" t="n">
        <v>3</v>
      </c>
      <c r="J225" s="361" t="n">
        <v>1</v>
      </c>
      <c r="K225" s="262" t="n">
        <v>75</v>
      </c>
      <c r="L225" s="262" t="n">
        <v>55</v>
      </c>
      <c r="M225" s="262" t="n">
        <v>70</v>
      </c>
      <c r="N225" s="262" t="n">
        <v>55</v>
      </c>
      <c r="O225" s="262" t="n">
        <v>95</v>
      </c>
      <c r="P225" s="361" t="n">
        <v>110</v>
      </c>
      <c r="Q225" s="261" t="s">
        <v>155</v>
      </c>
      <c r="R225" s="261" t="s">
        <v>146</v>
      </c>
      <c r="S225" s="363" t="n">
        <f aca="false" t="array" ref="S225:S225">IF(COUNTIF('0.3.0 GO Calculation Values'!$J$2:$J$99,C225),(INDEX('0.3.0 GO Calculation Values'!$K$2:$K$99,MATCH(C225,'0.3.0 GO Calculation Values'!$J$2:$J$99,0))),1)</f>
        <v>1</v>
      </c>
      <c r="T225" s="262" t="n">
        <f aca="false">ROUND(ROUND(2*((7/8)*MAX(L225,N225)+(1/8)*MIN(L225,N225)),0)*(1+(P225-75)/500),0)</f>
        <v>118</v>
      </c>
      <c r="U225" s="262" t="n">
        <f aca="false">ROUND(ROUND(2*((5/8)*MAX(M225,O225)+(3/8)*MIN(M225,O225)),0)*(1+(P225-75)/500),0)</f>
        <v>183</v>
      </c>
      <c r="V225" s="361" t="n">
        <f aca="false">ROUNDDOWN(K225*1.75+50,0)</f>
        <v>181</v>
      </c>
      <c r="W225" s="261" t="n">
        <v>1</v>
      </c>
      <c r="X225" s="261" t="s">
        <v>731</v>
      </c>
      <c r="Y225" s="364" t="s">
        <v>729</v>
      </c>
      <c r="Z225" s="364" t="n">
        <v>3</v>
      </c>
      <c r="AA225" s="364"/>
      <c r="AB225" s="365" t="s">
        <v>60</v>
      </c>
      <c r="AC225" s="364"/>
      <c r="AD225" s="364" t="n">
        <v>100</v>
      </c>
      <c r="AE225" s="366"/>
      <c r="AF225" s="364" t="s">
        <v>734</v>
      </c>
      <c r="AG225" s="364" t="s">
        <v>734</v>
      </c>
      <c r="AH225" s="366" t="s">
        <v>734</v>
      </c>
    </row>
    <row r="226" customFormat="false" ht="15.75" hidden="false" customHeight="false" outlineLevel="0" collapsed="false">
      <c r="A226" s="262" t="n">
        <v>190</v>
      </c>
      <c r="B226" s="361" t="n">
        <v>224</v>
      </c>
      <c r="C226" s="261" t="s">
        <v>735</v>
      </c>
      <c r="D226" s="261" t="s">
        <v>60</v>
      </c>
      <c r="E226" s="362" t="s">
        <v>735</v>
      </c>
      <c r="F226" s="261" t="s">
        <v>653</v>
      </c>
      <c r="G226" s="261" t="s">
        <v>144</v>
      </c>
      <c r="H226" s="261" t="n">
        <v>0</v>
      </c>
      <c r="I226" s="261" t="n">
        <v>1</v>
      </c>
      <c r="J226" s="361" t="n">
        <v>1</v>
      </c>
      <c r="K226" s="262" t="n">
        <v>55</v>
      </c>
      <c r="L226" s="262" t="n">
        <v>70</v>
      </c>
      <c r="M226" s="262" t="n">
        <v>55</v>
      </c>
      <c r="N226" s="262" t="n">
        <v>40</v>
      </c>
      <c r="O226" s="262" t="n">
        <v>55</v>
      </c>
      <c r="P226" s="361" t="n">
        <v>85</v>
      </c>
      <c r="Q226" s="261" t="s">
        <v>144</v>
      </c>
      <c r="R226" s="261"/>
      <c r="S226" s="363" t="n">
        <f aca="false" t="array" ref="S226:S226">IF(COUNTIF('0.3.0 GO Calculation Values'!$J$2:$J$99,C226),(INDEX('0.3.0 GO Calculation Values'!$K$2:$K$99,MATCH(C226,'0.3.0 GO Calculation Values'!$J$2:$J$99,0))),1)</f>
        <v>1</v>
      </c>
      <c r="T226" s="262" t="n">
        <f aca="false">ROUND(ROUND(2*((7/8)*MAX(L226,N226)+(1/8)*MIN(L226,N226)),0)*(1+(P226-75)/500),0)</f>
        <v>136</v>
      </c>
      <c r="U226" s="262" t="n">
        <f aca="false">ROUND(ROUND(2*((5/8)*MAX(M226,O226)+(3/8)*MIN(M226,O226)),0)*(1+(P226-75)/500),0)</f>
        <v>112</v>
      </c>
      <c r="V226" s="361" t="n">
        <f aca="false">ROUNDDOWN(K226*1.75+50,0)</f>
        <v>146</v>
      </c>
      <c r="W226" s="261" t="n">
        <v>1</v>
      </c>
      <c r="X226" s="261" t="s">
        <v>60</v>
      </c>
      <c r="Y226" s="364" t="s">
        <v>735</v>
      </c>
      <c r="Z226" s="364" t="n">
        <v>3</v>
      </c>
      <c r="AA226" s="364"/>
      <c r="AB226" s="365" t="s">
        <v>60</v>
      </c>
      <c r="AC226" s="364"/>
      <c r="AD226" s="364" t="n">
        <v>0</v>
      </c>
      <c r="AE226" s="366"/>
      <c r="AF226" s="364" t="s">
        <v>736</v>
      </c>
      <c r="AG226" s="364" t="s">
        <v>736</v>
      </c>
      <c r="AH226" s="366" t="s">
        <v>736</v>
      </c>
    </row>
    <row r="227" customFormat="false" ht="15.75" hidden="false" customHeight="false" outlineLevel="0" collapsed="false">
      <c r="A227" s="262" t="n">
        <v>191</v>
      </c>
      <c r="B227" s="361" t="n">
        <v>225</v>
      </c>
      <c r="C227" s="261" t="s">
        <v>737</v>
      </c>
      <c r="D227" s="261" t="s">
        <v>60</v>
      </c>
      <c r="E227" s="362" t="s">
        <v>737</v>
      </c>
      <c r="F227" s="261" t="s">
        <v>653</v>
      </c>
      <c r="G227" s="261" t="s">
        <v>144</v>
      </c>
      <c r="H227" s="261" t="n">
        <v>0</v>
      </c>
      <c r="I227" s="261" t="n">
        <v>1</v>
      </c>
      <c r="J227" s="361" t="n">
        <v>0</v>
      </c>
      <c r="K227" s="262" t="n">
        <v>30</v>
      </c>
      <c r="L227" s="262" t="n">
        <v>30</v>
      </c>
      <c r="M227" s="262" t="n">
        <v>30</v>
      </c>
      <c r="N227" s="262" t="n">
        <v>30</v>
      </c>
      <c r="O227" s="262" t="n">
        <v>30</v>
      </c>
      <c r="P227" s="361" t="n">
        <v>30</v>
      </c>
      <c r="Q227" s="261" t="s">
        <v>155</v>
      </c>
      <c r="R227" s="261"/>
      <c r="S227" s="363" t="n">
        <f aca="false" t="array" ref="S227:S227">IF(COUNTIF('0.3.0 GO Calculation Values'!$J$2:$J$99,C227),(INDEX('0.3.0 GO Calculation Values'!$K$2:$K$99,MATCH(C227,'0.3.0 GO Calculation Values'!$J$2:$J$99,0))),1)</f>
        <v>1</v>
      </c>
      <c r="T227" s="262" t="n">
        <f aca="false">ROUND(ROUND(2*((7/8)*MAX(L227,N227)+(1/8)*MIN(L227,N227)),0)*(1+(P227-75)/500),0)</f>
        <v>55</v>
      </c>
      <c r="U227" s="262" t="n">
        <f aca="false">ROUND(ROUND(2*((5/8)*MAX(M227,O227)+(3/8)*MIN(M227,O227)),0)*(1+(P227-75)/500),0)</f>
        <v>55</v>
      </c>
      <c r="V227" s="361" t="n">
        <f aca="false">ROUNDDOWN(K227*1.75+50,0)</f>
        <v>102</v>
      </c>
      <c r="W227" s="261" t="n">
        <v>1</v>
      </c>
      <c r="X227" s="261" t="s">
        <v>60</v>
      </c>
      <c r="Y227" s="364" t="s">
        <v>737</v>
      </c>
      <c r="Z227" s="364" t="n">
        <v>3</v>
      </c>
      <c r="AA227" s="364"/>
      <c r="AB227" s="365" t="s">
        <v>60</v>
      </c>
      <c r="AC227" s="364"/>
      <c r="AD227" s="364" t="n">
        <v>0</v>
      </c>
      <c r="AE227" s="366"/>
      <c r="AF227" s="364" t="s">
        <v>738</v>
      </c>
      <c r="AG227" s="364" t="s">
        <v>738</v>
      </c>
      <c r="AH227" s="366" t="s">
        <v>738</v>
      </c>
    </row>
    <row r="228" customFormat="false" ht="15.75" hidden="false" customHeight="false" outlineLevel="0" collapsed="false">
      <c r="A228" s="262" t="n">
        <v>192</v>
      </c>
      <c r="B228" s="361" t="n">
        <v>226</v>
      </c>
      <c r="C228" s="261" t="s">
        <v>739</v>
      </c>
      <c r="D228" s="261" t="s">
        <v>60</v>
      </c>
      <c r="E228" s="362" t="s">
        <v>739</v>
      </c>
      <c r="F228" s="261" t="s">
        <v>653</v>
      </c>
      <c r="G228" s="261" t="s">
        <v>144</v>
      </c>
      <c r="H228" s="261" t="n">
        <v>0</v>
      </c>
      <c r="I228" s="261" t="n">
        <v>2</v>
      </c>
      <c r="J228" s="361" t="n">
        <v>1</v>
      </c>
      <c r="K228" s="262" t="n">
        <v>75</v>
      </c>
      <c r="L228" s="262" t="n">
        <v>75</v>
      </c>
      <c r="M228" s="262" t="n">
        <v>55</v>
      </c>
      <c r="N228" s="262" t="n">
        <v>105</v>
      </c>
      <c r="O228" s="262" t="n">
        <v>85</v>
      </c>
      <c r="P228" s="361" t="n">
        <v>30</v>
      </c>
      <c r="Q228" s="261" t="s">
        <v>155</v>
      </c>
      <c r="R228" s="261"/>
      <c r="S228" s="363" t="n">
        <f aca="false" t="array" ref="S228:S228">IF(COUNTIF('0.3.0 GO Calculation Values'!$J$2:$J$99,C228),(INDEX('0.3.0 GO Calculation Values'!$K$2:$K$99,MATCH(C228,'0.3.0 GO Calculation Values'!$J$2:$J$99,0))),1)</f>
        <v>1</v>
      </c>
      <c r="T228" s="262" t="n">
        <f aca="false">ROUND(ROUND(2*((7/8)*MAX(L228,N228)+(1/8)*MIN(L228,N228)),0)*(1+(P228-75)/500),0)</f>
        <v>185</v>
      </c>
      <c r="U228" s="262" t="n">
        <f aca="false">ROUND(ROUND(2*((5/8)*MAX(M228,O228)+(3/8)*MIN(M228,O228)),0)*(1+(P228-75)/500),0)</f>
        <v>135</v>
      </c>
      <c r="V228" s="361" t="n">
        <f aca="false">ROUNDDOWN(K228*1.75+50,0)</f>
        <v>181</v>
      </c>
      <c r="W228" s="261" t="n">
        <v>1</v>
      </c>
      <c r="X228" s="261" t="s">
        <v>737</v>
      </c>
      <c r="Y228" s="364" t="s">
        <v>737</v>
      </c>
      <c r="Z228" s="364" t="n">
        <v>3</v>
      </c>
      <c r="AA228" s="364"/>
      <c r="AB228" s="365" t="s">
        <v>60</v>
      </c>
      <c r="AC228" s="364"/>
      <c r="AD228" s="364" t="n">
        <v>50</v>
      </c>
      <c r="AE228" s="362" t="s">
        <v>716</v>
      </c>
      <c r="AF228" s="364" t="s">
        <v>740</v>
      </c>
      <c r="AG228" s="364" t="s">
        <v>740</v>
      </c>
      <c r="AH228" s="366" t="s">
        <v>740</v>
      </c>
    </row>
    <row r="229" customFormat="false" ht="15.75" hidden="false" customHeight="false" outlineLevel="0" collapsed="false">
      <c r="A229" s="262" t="n">
        <v>193</v>
      </c>
      <c r="B229" s="361" t="n">
        <v>227</v>
      </c>
      <c r="C229" s="261" t="s">
        <v>741</v>
      </c>
      <c r="D229" s="261" t="s">
        <v>60</v>
      </c>
      <c r="E229" s="362" t="s">
        <v>741</v>
      </c>
      <c r="F229" s="261" t="s">
        <v>653</v>
      </c>
      <c r="G229" s="261" t="s">
        <v>144</v>
      </c>
      <c r="H229" s="261" t="n">
        <v>0</v>
      </c>
      <c r="I229" s="261" t="n">
        <v>1</v>
      </c>
      <c r="J229" s="361" t="n">
        <v>1</v>
      </c>
      <c r="K229" s="262" t="n">
        <v>65</v>
      </c>
      <c r="L229" s="262" t="n">
        <v>65</v>
      </c>
      <c r="M229" s="262" t="n">
        <v>45</v>
      </c>
      <c r="N229" s="262" t="n">
        <v>75</v>
      </c>
      <c r="O229" s="262" t="n">
        <v>45</v>
      </c>
      <c r="P229" s="361" t="n">
        <v>95</v>
      </c>
      <c r="Q229" s="261" t="s">
        <v>150</v>
      </c>
      <c r="R229" s="261" t="s">
        <v>146</v>
      </c>
      <c r="S229" s="363" t="n">
        <f aca="false" t="array" ref="S229:S229">IF(COUNTIF('0.3.0 GO Calculation Values'!$J$2:$J$99,C229),(INDEX('0.3.0 GO Calculation Values'!$K$2:$K$99,MATCH(C229,'0.3.0 GO Calculation Values'!$J$2:$J$99,0))),1)</f>
        <v>1</v>
      </c>
      <c r="T229" s="262" t="n">
        <f aca="false">ROUND(ROUND(2*((7/8)*MAX(L229,N229)+(1/8)*MIN(L229,N229)),0)*(1+(P229-75)/500),0)</f>
        <v>154</v>
      </c>
      <c r="U229" s="262" t="n">
        <f aca="false">ROUND(ROUND(2*((5/8)*MAX(M229,O229)+(3/8)*MIN(M229,O229)),0)*(1+(P229-75)/500),0)</f>
        <v>94</v>
      </c>
      <c r="V229" s="361" t="n">
        <f aca="false">ROUNDDOWN(K229*1.75+50,0)</f>
        <v>163</v>
      </c>
      <c r="W229" s="261" t="n">
        <v>1</v>
      </c>
      <c r="X229" s="261" t="s">
        <v>60</v>
      </c>
      <c r="Y229" s="364" t="s">
        <v>741</v>
      </c>
      <c r="Z229" s="364" t="n">
        <v>3</v>
      </c>
      <c r="AA229" s="364"/>
      <c r="AB229" s="365" t="s">
        <v>60</v>
      </c>
      <c r="AC229" s="364"/>
      <c r="AD229" s="364" t="n">
        <v>0</v>
      </c>
      <c r="AE229" s="366"/>
      <c r="AF229" s="364" t="s">
        <v>742</v>
      </c>
      <c r="AG229" s="364" t="s">
        <v>742</v>
      </c>
      <c r="AH229" s="366" t="s">
        <v>742</v>
      </c>
    </row>
    <row r="230" customFormat="false" ht="15.75" hidden="false" customHeight="false" outlineLevel="0" collapsed="false">
      <c r="A230" s="262" t="n">
        <v>194</v>
      </c>
      <c r="B230" s="361" t="n">
        <v>228</v>
      </c>
      <c r="C230" s="261" t="s">
        <v>743</v>
      </c>
      <c r="D230" s="261" t="s">
        <v>60</v>
      </c>
      <c r="E230" s="362" t="s">
        <v>743</v>
      </c>
      <c r="F230" s="261" t="s">
        <v>653</v>
      </c>
      <c r="G230" s="261" t="s">
        <v>144</v>
      </c>
      <c r="H230" s="261" t="n">
        <v>0</v>
      </c>
      <c r="I230" s="261" t="n">
        <v>1</v>
      </c>
      <c r="J230" s="361" t="n">
        <v>0</v>
      </c>
      <c r="K230" s="262" t="n">
        <v>55</v>
      </c>
      <c r="L230" s="262" t="n">
        <v>45</v>
      </c>
      <c r="M230" s="262" t="n">
        <v>45</v>
      </c>
      <c r="N230" s="262" t="n">
        <v>25</v>
      </c>
      <c r="O230" s="262" t="n">
        <v>25</v>
      </c>
      <c r="P230" s="361" t="n">
        <v>15</v>
      </c>
      <c r="Q230" s="261" t="s">
        <v>154</v>
      </c>
      <c r="R230" s="261" t="s">
        <v>148</v>
      </c>
      <c r="S230" s="363" t="n">
        <f aca="false" t="array" ref="S230:S230">IF(COUNTIF('0.3.0 GO Calculation Values'!$J$2:$J$99,C230),(INDEX('0.3.0 GO Calculation Values'!$K$2:$K$99,MATCH(C230,'0.3.0 GO Calculation Values'!$J$2:$J$99,0))),1)</f>
        <v>1</v>
      </c>
      <c r="T230" s="262" t="n">
        <f aca="false">ROUND(ROUND(2*((7/8)*MAX(L230,N230)+(1/8)*MIN(L230,N230)),0)*(1+(P230-75)/500),0)</f>
        <v>75</v>
      </c>
      <c r="U230" s="262" t="n">
        <f aca="false">ROUND(ROUND(2*((5/8)*MAX(M230,O230)+(3/8)*MIN(M230,O230)),0)*(1+(P230-75)/500),0)</f>
        <v>66</v>
      </c>
      <c r="V230" s="361" t="n">
        <f aca="false">ROUNDDOWN(K230*1.75+50,0)</f>
        <v>146</v>
      </c>
      <c r="W230" s="261" t="n">
        <v>1</v>
      </c>
      <c r="X230" s="261" t="s">
        <v>60</v>
      </c>
      <c r="Y230" s="364" t="s">
        <v>743</v>
      </c>
      <c r="Z230" s="364" t="n">
        <v>3</v>
      </c>
      <c r="AA230" s="364"/>
      <c r="AB230" s="365" t="s">
        <v>60</v>
      </c>
      <c r="AC230" s="364"/>
      <c r="AD230" s="364" t="n">
        <v>0</v>
      </c>
      <c r="AE230" s="366"/>
      <c r="AF230" s="364" t="s">
        <v>744</v>
      </c>
      <c r="AG230" s="364" t="s">
        <v>744</v>
      </c>
      <c r="AH230" s="366" t="s">
        <v>744</v>
      </c>
    </row>
    <row r="231" customFormat="false" ht="15.75" hidden="false" customHeight="false" outlineLevel="0" collapsed="false">
      <c r="A231" s="262" t="n">
        <v>195</v>
      </c>
      <c r="B231" s="361" t="n">
        <v>229</v>
      </c>
      <c r="C231" s="261" t="s">
        <v>745</v>
      </c>
      <c r="D231" s="261" t="s">
        <v>60</v>
      </c>
      <c r="E231" s="362" t="s">
        <v>745</v>
      </c>
      <c r="F231" s="261" t="s">
        <v>653</v>
      </c>
      <c r="G231" s="261" t="s">
        <v>144</v>
      </c>
      <c r="H231" s="261" t="n">
        <v>0</v>
      </c>
      <c r="I231" s="261" t="n">
        <v>2</v>
      </c>
      <c r="J231" s="361" t="n">
        <v>1</v>
      </c>
      <c r="K231" s="262" t="n">
        <v>95</v>
      </c>
      <c r="L231" s="262" t="n">
        <v>85</v>
      </c>
      <c r="M231" s="262" t="n">
        <v>85</v>
      </c>
      <c r="N231" s="262" t="n">
        <v>65</v>
      </c>
      <c r="O231" s="262" t="n">
        <v>65</v>
      </c>
      <c r="P231" s="361" t="n">
        <v>35</v>
      </c>
      <c r="Q231" s="261" t="s">
        <v>154</v>
      </c>
      <c r="R231" s="261" t="s">
        <v>148</v>
      </c>
      <c r="S231" s="363" t="n">
        <f aca="false" t="array" ref="S231:S231">IF(COUNTIF('0.3.0 GO Calculation Values'!$J$2:$J$99,C231),(INDEX('0.3.0 GO Calculation Values'!$K$2:$K$99,MATCH(C231,'0.3.0 GO Calculation Values'!$J$2:$J$99,0))),1)</f>
        <v>1</v>
      </c>
      <c r="T231" s="262" t="n">
        <f aca="false">ROUND(ROUND(2*((7/8)*MAX(L231,N231)+(1/8)*MIN(L231,N231)),0)*(1+(P231-75)/500),0)</f>
        <v>152</v>
      </c>
      <c r="U231" s="262" t="n">
        <f aca="false">ROUND(ROUND(2*((5/8)*MAX(M231,O231)+(3/8)*MIN(M231,O231)),0)*(1+(P231-75)/500),0)</f>
        <v>143</v>
      </c>
      <c r="V231" s="361" t="n">
        <f aca="false">ROUNDDOWN(K231*1.75+50,0)</f>
        <v>216</v>
      </c>
      <c r="W231" s="261" t="n">
        <v>1</v>
      </c>
      <c r="X231" s="261" t="s">
        <v>743</v>
      </c>
      <c r="Y231" s="364" t="s">
        <v>743</v>
      </c>
      <c r="Z231" s="364" t="n">
        <v>3</v>
      </c>
      <c r="AA231" s="364"/>
      <c r="AB231" s="365" t="s">
        <v>60</v>
      </c>
      <c r="AC231" s="364"/>
      <c r="AD231" s="364" t="n">
        <v>50</v>
      </c>
      <c r="AE231" s="366"/>
      <c r="AF231" s="364" t="s">
        <v>746</v>
      </c>
      <c r="AG231" s="364" t="s">
        <v>746</v>
      </c>
      <c r="AH231" s="366" t="s">
        <v>746</v>
      </c>
    </row>
    <row r="232" customFormat="false" ht="15.75" hidden="false" customHeight="false" outlineLevel="0" collapsed="false">
      <c r="A232" s="262" t="n">
        <v>196</v>
      </c>
      <c r="B232" s="361" t="n">
        <v>230</v>
      </c>
      <c r="C232" s="261" t="s">
        <v>747</v>
      </c>
      <c r="D232" s="261" t="s">
        <v>60</v>
      </c>
      <c r="E232" s="362" t="s">
        <v>747</v>
      </c>
      <c r="F232" s="261" t="s">
        <v>653</v>
      </c>
      <c r="G232" s="261" t="s">
        <v>144</v>
      </c>
      <c r="H232" s="261" t="n">
        <v>0</v>
      </c>
      <c r="I232" s="261" t="n">
        <v>2</v>
      </c>
      <c r="J232" s="361" t="n">
        <v>1</v>
      </c>
      <c r="K232" s="262" t="n">
        <v>65</v>
      </c>
      <c r="L232" s="262" t="n">
        <v>65</v>
      </c>
      <c r="M232" s="262" t="n">
        <v>60</v>
      </c>
      <c r="N232" s="262" t="n">
        <v>130</v>
      </c>
      <c r="O232" s="262" t="n">
        <v>95</v>
      </c>
      <c r="P232" s="361" t="n">
        <v>110</v>
      </c>
      <c r="Q232" s="261" t="s">
        <v>157</v>
      </c>
      <c r="R232" s="261"/>
      <c r="S232" s="363" t="n">
        <f aca="false" t="array" ref="S232:S232">IF(COUNTIF('0.3.0 GO Calculation Values'!$J$2:$J$99,C232),(INDEX('0.3.0 GO Calculation Values'!$K$2:$K$99,MATCH(C232,'0.3.0 GO Calculation Values'!$J$2:$J$99,0))),1)</f>
        <v>1</v>
      </c>
      <c r="T232" s="262" t="n">
        <f aca="false">ROUND(ROUND(2*((7/8)*MAX(L232,N232)+(1/8)*MIN(L232,N232)),0)*(1+(P232-75)/500),0)</f>
        <v>261</v>
      </c>
      <c r="U232" s="262" t="n">
        <f aca="false">ROUND(ROUND(2*((5/8)*MAX(M232,O232)+(3/8)*MIN(M232,O232)),0)*(1+(P232-75)/500),0)</f>
        <v>175</v>
      </c>
      <c r="V232" s="361" t="n">
        <f aca="false">ROUNDDOWN(K232*1.75+50,0)</f>
        <v>163</v>
      </c>
      <c r="W232" s="261" t="n">
        <v>1</v>
      </c>
      <c r="X232" s="261" t="s">
        <v>598</v>
      </c>
      <c r="Y232" s="364" t="s">
        <v>598</v>
      </c>
      <c r="Z232" s="364" t="n">
        <v>5</v>
      </c>
      <c r="AA232" s="364"/>
      <c r="AB232" s="365" t="n">
        <v>5</v>
      </c>
      <c r="AC232" s="364"/>
      <c r="AD232" s="364" t="n">
        <v>25</v>
      </c>
      <c r="AE232" s="362" t="s">
        <v>748</v>
      </c>
      <c r="AF232" s="364" t="s">
        <v>749</v>
      </c>
      <c r="AG232" s="364" t="s">
        <v>749</v>
      </c>
      <c r="AH232" s="366" t="s">
        <v>749</v>
      </c>
    </row>
    <row r="233" customFormat="false" ht="15.75" hidden="false" customHeight="false" outlineLevel="0" collapsed="false">
      <c r="A233" s="262" t="n">
        <v>197</v>
      </c>
      <c r="B233" s="361" t="n">
        <v>231</v>
      </c>
      <c r="C233" s="261" t="s">
        <v>750</v>
      </c>
      <c r="D233" s="261" t="s">
        <v>60</v>
      </c>
      <c r="E233" s="362" t="s">
        <v>750</v>
      </c>
      <c r="F233" s="261" t="s">
        <v>653</v>
      </c>
      <c r="G233" s="261" t="s">
        <v>144</v>
      </c>
      <c r="H233" s="261" t="n">
        <v>0</v>
      </c>
      <c r="I233" s="261" t="n">
        <v>2</v>
      </c>
      <c r="J233" s="361" t="n">
        <v>1</v>
      </c>
      <c r="K233" s="262" t="n">
        <v>95</v>
      </c>
      <c r="L233" s="262" t="n">
        <v>65</v>
      </c>
      <c r="M233" s="262" t="n">
        <v>110</v>
      </c>
      <c r="N233" s="262" t="n">
        <v>60</v>
      </c>
      <c r="O233" s="262" t="n">
        <v>130</v>
      </c>
      <c r="P233" s="361" t="n">
        <v>65</v>
      </c>
      <c r="Q233" s="261" t="s">
        <v>160</v>
      </c>
      <c r="R233" s="261"/>
      <c r="S233" s="363" t="n">
        <f aca="false" t="array" ref="S233:S233">IF(COUNTIF('0.3.0 GO Calculation Values'!$J$2:$J$99,C233),(INDEX('0.3.0 GO Calculation Values'!$K$2:$K$99,MATCH(C233,'0.3.0 GO Calculation Values'!$J$2:$J$99,0))),1)</f>
        <v>1</v>
      </c>
      <c r="T233" s="262" t="n">
        <f aca="false">ROUND(ROUND(2*((7/8)*MAX(L233,N233)+(1/8)*MIN(L233,N233)),0)*(1+(P233-75)/500),0)</f>
        <v>126</v>
      </c>
      <c r="U233" s="262" t="n">
        <f aca="false">ROUND(ROUND(2*((5/8)*MAX(M233,O233)+(3/8)*MIN(M233,O233)),0)*(1+(P233-75)/500),0)</f>
        <v>240</v>
      </c>
      <c r="V233" s="361" t="n">
        <f aca="false">ROUNDDOWN(K233*1.75+50,0)</f>
        <v>216</v>
      </c>
      <c r="W233" s="261" t="n">
        <v>1</v>
      </c>
      <c r="X233" s="261" t="s">
        <v>598</v>
      </c>
      <c r="Y233" s="364" t="s">
        <v>598</v>
      </c>
      <c r="Z233" s="364" t="n">
        <v>5</v>
      </c>
      <c r="AA233" s="364"/>
      <c r="AB233" s="365" t="n">
        <v>5</v>
      </c>
      <c r="AC233" s="364"/>
      <c r="AD233" s="364" t="n">
        <v>25</v>
      </c>
      <c r="AE233" s="362" t="s">
        <v>751</v>
      </c>
      <c r="AF233" s="364" t="s">
        <v>752</v>
      </c>
      <c r="AG233" s="364" t="s">
        <v>752</v>
      </c>
      <c r="AH233" s="366" t="s">
        <v>752</v>
      </c>
    </row>
    <row r="234" customFormat="false" ht="15.75" hidden="false" customHeight="false" outlineLevel="0" collapsed="false">
      <c r="A234" s="262" t="n">
        <v>198</v>
      </c>
      <c r="B234" s="361" t="n">
        <v>232</v>
      </c>
      <c r="C234" s="261" t="s">
        <v>753</v>
      </c>
      <c r="D234" s="261" t="s">
        <v>60</v>
      </c>
      <c r="E234" s="362" t="s">
        <v>753</v>
      </c>
      <c r="F234" s="261" t="s">
        <v>653</v>
      </c>
      <c r="G234" s="261" t="s">
        <v>144</v>
      </c>
      <c r="H234" s="261" t="n">
        <v>0</v>
      </c>
      <c r="I234" s="261" t="n">
        <v>1</v>
      </c>
      <c r="J234" s="361" t="n">
        <v>1</v>
      </c>
      <c r="K234" s="262" t="n">
        <v>60</v>
      </c>
      <c r="L234" s="262" t="n">
        <v>85</v>
      </c>
      <c r="M234" s="262" t="n">
        <v>42</v>
      </c>
      <c r="N234" s="262" t="n">
        <v>85</v>
      </c>
      <c r="O234" s="262" t="n">
        <v>42</v>
      </c>
      <c r="P234" s="361" t="n">
        <v>91</v>
      </c>
      <c r="Q234" s="261" t="s">
        <v>160</v>
      </c>
      <c r="R234" s="261" t="s">
        <v>146</v>
      </c>
      <c r="S234" s="363" t="n">
        <f aca="false" t="array" ref="S234:S234">IF(COUNTIF('0.3.0 GO Calculation Values'!$J$2:$J$99,C234),(INDEX('0.3.0 GO Calculation Values'!$K$2:$K$99,MATCH(C234,'0.3.0 GO Calculation Values'!$J$2:$J$99,0))),1)</f>
        <v>1</v>
      </c>
      <c r="T234" s="262" t="n">
        <f aca="false">ROUND(ROUND(2*((7/8)*MAX(L234,N234)+(1/8)*MIN(L234,N234)),0)*(1+(P234-75)/500),0)</f>
        <v>175</v>
      </c>
      <c r="U234" s="262" t="n">
        <f aca="false">ROUND(ROUND(2*((5/8)*MAX(M234,O234)+(3/8)*MIN(M234,O234)),0)*(1+(P234-75)/500),0)</f>
        <v>87</v>
      </c>
      <c r="V234" s="361" t="n">
        <f aca="false">ROUNDDOWN(K234*1.75+50,0)</f>
        <v>155</v>
      </c>
      <c r="W234" s="261" t="n">
        <v>1</v>
      </c>
      <c r="X234" s="261" t="s">
        <v>60</v>
      </c>
      <c r="Y234" s="364" t="s">
        <v>753</v>
      </c>
      <c r="Z234" s="364" t="n">
        <v>3</v>
      </c>
      <c r="AA234" s="364"/>
      <c r="AB234" s="365" t="s">
        <v>60</v>
      </c>
      <c r="AC234" s="364"/>
      <c r="AD234" s="364" t="n">
        <v>0</v>
      </c>
      <c r="AE234" s="366"/>
      <c r="AF234" s="364" t="s">
        <v>754</v>
      </c>
      <c r="AG234" s="364" t="s">
        <v>754</v>
      </c>
      <c r="AH234" s="366" t="s">
        <v>754</v>
      </c>
    </row>
    <row r="235" customFormat="false" ht="15.75" hidden="false" customHeight="false" outlineLevel="0" collapsed="false">
      <c r="A235" s="262" t="n">
        <v>199</v>
      </c>
      <c r="B235" s="361" t="n">
        <v>233</v>
      </c>
      <c r="C235" s="261" t="s">
        <v>755</v>
      </c>
      <c r="D235" s="261" t="s">
        <v>60</v>
      </c>
      <c r="E235" s="362" t="s">
        <v>755</v>
      </c>
      <c r="F235" s="261" t="s">
        <v>653</v>
      </c>
      <c r="G235" s="261" t="s">
        <v>144</v>
      </c>
      <c r="H235" s="261" t="n">
        <v>0</v>
      </c>
      <c r="I235" s="261" t="n">
        <v>2</v>
      </c>
      <c r="J235" s="361" t="n">
        <v>1</v>
      </c>
      <c r="K235" s="262" t="n">
        <v>95</v>
      </c>
      <c r="L235" s="262" t="n">
        <v>75</v>
      </c>
      <c r="M235" s="262" t="n">
        <v>80</v>
      </c>
      <c r="N235" s="262" t="n">
        <v>100</v>
      </c>
      <c r="O235" s="262" t="n">
        <v>110</v>
      </c>
      <c r="P235" s="361" t="n">
        <v>30</v>
      </c>
      <c r="Q235" s="261" t="s">
        <v>154</v>
      </c>
      <c r="R235" s="261" t="s">
        <v>157</v>
      </c>
      <c r="S235" s="363" t="n">
        <f aca="false" t="array" ref="S235:S235">IF(COUNTIF('0.3.0 GO Calculation Values'!$J$2:$J$99,C235),(INDEX('0.3.0 GO Calculation Values'!$K$2:$K$99,MATCH(C235,'0.3.0 GO Calculation Values'!$J$2:$J$99,0))),1)</f>
        <v>1</v>
      </c>
      <c r="T235" s="262" t="n">
        <f aca="false">ROUND(ROUND(2*((7/8)*MAX(L235,N235)+(1/8)*MIN(L235,N235)),0)*(1+(P235-75)/500),0)</f>
        <v>177</v>
      </c>
      <c r="U235" s="262" t="n">
        <f aca="false">ROUND(ROUND(2*((5/8)*MAX(M235,O235)+(3/8)*MIN(M235,O235)),0)*(1+(P235-75)/500),0)</f>
        <v>180</v>
      </c>
      <c r="V235" s="361" t="n">
        <f aca="false">ROUNDDOWN(K235*1.75+50,0)</f>
        <v>216</v>
      </c>
      <c r="W235" s="261" t="n">
        <v>1</v>
      </c>
      <c r="X235" s="261" t="s">
        <v>455</v>
      </c>
      <c r="Y235" s="364" t="s">
        <v>455</v>
      </c>
      <c r="Z235" s="364" t="n">
        <v>3</v>
      </c>
      <c r="AA235" s="364"/>
      <c r="AB235" s="365" t="n">
        <v>2</v>
      </c>
      <c r="AC235" s="364"/>
      <c r="AD235" s="364" t="n">
        <v>50</v>
      </c>
      <c r="AE235" s="362" t="s">
        <v>727</v>
      </c>
      <c r="AF235" s="364" t="s">
        <v>756</v>
      </c>
      <c r="AG235" s="364" t="s">
        <v>756</v>
      </c>
      <c r="AH235" s="366" t="s">
        <v>756</v>
      </c>
    </row>
    <row r="236" customFormat="false" ht="15.75" hidden="false" customHeight="false" outlineLevel="0" collapsed="false">
      <c r="A236" s="262" t="n">
        <v>200</v>
      </c>
      <c r="B236" s="361" t="n">
        <v>234</v>
      </c>
      <c r="C236" s="261" t="s">
        <v>757</v>
      </c>
      <c r="D236" s="261" t="s">
        <v>60</v>
      </c>
      <c r="E236" s="362" t="s">
        <v>757</v>
      </c>
      <c r="F236" s="261" t="s">
        <v>653</v>
      </c>
      <c r="G236" s="261" t="s">
        <v>144</v>
      </c>
      <c r="H236" s="261" t="n">
        <v>0</v>
      </c>
      <c r="I236" s="261" t="n">
        <v>1</v>
      </c>
      <c r="J236" s="361" t="n">
        <v>1</v>
      </c>
      <c r="K236" s="262" t="n">
        <v>60</v>
      </c>
      <c r="L236" s="262" t="n">
        <v>60</v>
      </c>
      <c r="M236" s="262" t="n">
        <v>60</v>
      </c>
      <c r="N236" s="262" t="n">
        <v>85</v>
      </c>
      <c r="O236" s="262" t="n">
        <v>85</v>
      </c>
      <c r="P236" s="361" t="n">
        <v>85</v>
      </c>
      <c r="Q236" s="261" t="s">
        <v>151</v>
      </c>
      <c r="R236" s="261"/>
      <c r="S236" s="363" t="n">
        <f aca="false" t="array" ref="S236:S236">IF(COUNTIF('0.3.0 GO Calculation Values'!$J$2:$J$99,C236),(INDEX('0.3.0 GO Calculation Values'!$K$2:$K$99,MATCH(C236,'0.3.0 GO Calculation Values'!$J$2:$J$99,0))),1)</f>
        <v>1</v>
      </c>
      <c r="T236" s="262" t="n">
        <f aca="false">ROUND(ROUND(2*((7/8)*MAX(L236,N236)+(1/8)*MIN(L236,N236)),0)*(1+(P236-75)/500),0)</f>
        <v>167</v>
      </c>
      <c r="U236" s="262" t="n">
        <f aca="false">ROUND(ROUND(2*((5/8)*MAX(M236,O236)+(3/8)*MIN(M236,O236)),0)*(1+(P236-75)/500),0)</f>
        <v>154</v>
      </c>
      <c r="V236" s="361" t="n">
        <f aca="false">ROUNDDOWN(K236*1.75+50,0)</f>
        <v>155</v>
      </c>
      <c r="W236" s="261" t="n">
        <v>1</v>
      </c>
      <c r="X236" s="261" t="s">
        <v>60</v>
      </c>
      <c r="Y236" s="364" t="s">
        <v>757</v>
      </c>
      <c r="Z236" s="364" t="n">
        <v>3</v>
      </c>
      <c r="AA236" s="364"/>
      <c r="AB236" s="365" t="s">
        <v>60</v>
      </c>
      <c r="AC236" s="364"/>
      <c r="AD236" s="364" t="n">
        <v>0</v>
      </c>
      <c r="AE236" s="366"/>
      <c r="AF236" s="364" t="s">
        <v>758</v>
      </c>
      <c r="AG236" s="364" t="s">
        <v>758</v>
      </c>
      <c r="AH236" s="366" t="s">
        <v>758</v>
      </c>
    </row>
    <row r="237" customFormat="false" ht="15.75" hidden="false" customHeight="false" outlineLevel="0" collapsed="false">
      <c r="A237" s="262" t="n">
        <v>201</v>
      </c>
      <c r="B237" s="361" t="n">
        <v>235</v>
      </c>
      <c r="C237" s="261" t="s">
        <v>759</v>
      </c>
      <c r="D237" s="261" t="s">
        <v>60</v>
      </c>
      <c r="E237" s="362" t="s">
        <v>759</v>
      </c>
      <c r="F237" s="261" t="s">
        <v>653</v>
      </c>
      <c r="G237" s="261" t="s">
        <v>144</v>
      </c>
      <c r="H237" s="261" t="n">
        <v>0</v>
      </c>
      <c r="I237" s="261" t="n">
        <v>1</v>
      </c>
      <c r="J237" s="361" t="n">
        <v>1</v>
      </c>
      <c r="K237" s="262" t="n">
        <v>48</v>
      </c>
      <c r="L237" s="262" t="n">
        <v>72</v>
      </c>
      <c r="M237" s="262" t="n">
        <v>48</v>
      </c>
      <c r="N237" s="262" t="n">
        <v>72</v>
      </c>
      <c r="O237" s="262" t="n">
        <v>48</v>
      </c>
      <c r="P237" s="361" t="n">
        <v>48</v>
      </c>
      <c r="Q237" s="261" t="s">
        <v>157</v>
      </c>
      <c r="R237" s="261"/>
      <c r="S237" s="363" t="n">
        <f aca="false" t="array" ref="S237:S237">IF(COUNTIF('0.3.0 GO Calculation Values'!$J$2:$J$99,C237),(INDEX('0.3.0 GO Calculation Values'!$K$2:$K$99,MATCH(C237,'0.3.0 GO Calculation Values'!$J$2:$J$99,0))),1)</f>
        <v>1</v>
      </c>
      <c r="T237" s="262" t="n">
        <f aca="false">ROUND(ROUND(2*((7/8)*MAX(L237,N237)+(1/8)*MIN(L237,N237)),0)*(1+(P237-75)/500),0)</f>
        <v>136</v>
      </c>
      <c r="U237" s="262" t="n">
        <f aca="false">ROUND(ROUND(2*((5/8)*MAX(M237,O237)+(3/8)*MIN(M237,O237)),0)*(1+(P237-75)/500),0)</f>
        <v>91</v>
      </c>
      <c r="V237" s="361" t="n">
        <f aca="false">ROUNDDOWN(K237*1.75+50,0)</f>
        <v>134</v>
      </c>
      <c r="W237" s="261" t="n">
        <v>1</v>
      </c>
      <c r="X237" s="261" t="s">
        <v>60</v>
      </c>
      <c r="Y237" s="364" t="s">
        <v>759</v>
      </c>
      <c r="Z237" s="364" t="n">
        <v>5</v>
      </c>
      <c r="AA237" s="364"/>
      <c r="AB237" s="365" t="s">
        <v>60</v>
      </c>
      <c r="AC237" s="364"/>
      <c r="AD237" s="364" t="n">
        <v>0</v>
      </c>
      <c r="AE237" s="366"/>
      <c r="AF237" s="364" t="s">
        <v>760</v>
      </c>
      <c r="AG237" s="364" t="s">
        <v>760</v>
      </c>
      <c r="AH237" s="366" t="s">
        <v>760</v>
      </c>
    </row>
    <row r="238" customFormat="false" ht="15.75" hidden="false" customHeight="false" outlineLevel="0" collapsed="false">
      <c r="A238" s="262" t="n">
        <v>202</v>
      </c>
      <c r="B238" s="361" t="n">
        <v>236</v>
      </c>
      <c r="C238" s="261" t="s">
        <v>761</v>
      </c>
      <c r="D238" s="261" t="s">
        <v>60</v>
      </c>
      <c r="E238" s="362" t="s">
        <v>761</v>
      </c>
      <c r="F238" s="261" t="s">
        <v>653</v>
      </c>
      <c r="G238" s="261" t="s">
        <v>144</v>
      </c>
      <c r="H238" s="261" t="n">
        <v>0</v>
      </c>
      <c r="I238" s="261" t="n">
        <v>2</v>
      </c>
      <c r="J238" s="361" t="n">
        <v>1</v>
      </c>
      <c r="K238" s="262" t="n">
        <v>190</v>
      </c>
      <c r="L238" s="262" t="n">
        <v>33</v>
      </c>
      <c r="M238" s="262" t="n">
        <v>58</v>
      </c>
      <c r="N238" s="262" t="n">
        <v>33</v>
      </c>
      <c r="O238" s="262" t="n">
        <v>58</v>
      </c>
      <c r="P238" s="361" t="n">
        <v>33</v>
      </c>
      <c r="Q238" s="261" t="s">
        <v>157</v>
      </c>
      <c r="R238" s="261"/>
      <c r="S238" s="363" t="n">
        <f aca="false" t="array" ref="S238:S238">IF(COUNTIF('0.3.0 GO Calculation Values'!$J$2:$J$99,C238),(INDEX('0.3.0 GO Calculation Values'!$K$2:$K$99,MATCH(C238,'0.3.0 GO Calculation Values'!$J$2:$J$99,0))),1)</f>
        <v>1</v>
      </c>
      <c r="T238" s="262" t="n">
        <f aca="false">ROUND(ROUND(2*((7/8)*MAX(L238,N238)+(1/8)*MIN(L238,N238)),0)*(1+(P238-75)/500),0)</f>
        <v>60</v>
      </c>
      <c r="U238" s="262" t="n">
        <f aca="false">ROUND(ROUND(2*((5/8)*MAX(M238,O238)+(3/8)*MIN(M238,O238)),0)*(1+(P238-75)/500),0)</f>
        <v>106</v>
      </c>
      <c r="V238" s="361" t="n">
        <f aca="false">ROUNDDOWN(K238*1.75+50,0)</f>
        <v>382</v>
      </c>
      <c r="W238" s="261" t="n">
        <v>1</v>
      </c>
      <c r="X238" s="261" t="s">
        <v>762</v>
      </c>
      <c r="Y238" s="364" t="s">
        <v>761</v>
      </c>
      <c r="Z238" s="364" t="n">
        <v>3</v>
      </c>
      <c r="AA238" s="364"/>
      <c r="AB238" s="365" t="n">
        <v>5</v>
      </c>
      <c r="AC238" s="364"/>
      <c r="AD238" s="364" t="n">
        <v>25</v>
      </c>
      <c r="AE238" s="366"/>
      <c r="AF238" s="364" t="s">
        <v>763</v>
      </c>
      <c r="AG238" s="364" t="s">
        <v>763</v>
      </c>
      <c r="AH238" s="366" t="s">
        <v>763</v>
      </c>
    </row>
    <row r="239" customFormat="false" ht="15.75" hidden="false" customHeight="false" outlineLevel="0" collapsed="false">
      <c r="A239" s="262" t="n">
        <v>203</v>
      </c>
      <c r="B239" s="361" t="n">
        <v>237</v>
      </c>
      <c r="C239" s="261" t="s">
        <v>764</v>
      </c>
      <c r="D239" s="261" t="s">
        <v>60</v>
      </c>
      <c r="E239" s="362" t="s">
        <v>764</v>
      </c>
      <c r="F239" s="261" t="s">
        <v>653</v>
      </c>
      <c r="G239" s="261" t="s">
        <v>144</v>
      </c>
      <c r="H239" s="261" t="n">
        <v>0</v>
      </c>
      <c r="I239" s="261" t="n">
        <v>1</v>
      </c>
      <c r="J239" s="361" t="n">
        <v>1</v>
      </c>
      <c r="K239" s="262" t="n">
        <v>70</v>
      </c>
      <c r="L239" s="262" t="n">
        <v>80</v>
      </c>
      <c r="M239" s="262" t="n">
        <v>65</v>
      </c>
      <c r="N239" s="262" t="n">
        <v>90</v>
      </c>
      <c r="O239" s="262" t="n">
        <v>65</v>
      </c>
      <c r="P239" s="361" t="n">
        <v>85</v>
      </c>
      <c r="Q239" s="261" t="s">
        <v>144</v>
      </c>
      <c r="R239" s="261" t="s">
        <v>157</v>
      </c>
      <c r="S239" s="363" t="n">
        <f aca="false" t="array" ref="S239:S239">IF(COUNTIF('0.3.0 GO Calculation Values'!$J$2:$J$99,C239),(INDEX('0.3.0 GO Calculation Values'!$K$2:$K$99,MATCH(C239,'0.3.0 GO Calculation Values'!$J$2:$J$99,0))),1)</f>
        <v>1</v>
      </c>
      <c r="T239" s="262" t="n">
        <f aca="false">ROUND(ROUND(2*((7/8)*MAX(L239,N239)+(1/8)*MIN(L239,N239)),0)*(1+(P239-75)/500),0)</f>
        <v>182</v>
      </c>
      <c r="U239" s="262" t="n">
        <f aca="false">ROUND(ROUND(2*((5/8)*MAX(M239,O239)+(3/8)*MIN(M239,O239)),0)*(1+(P239-75)/500),0)</f>
        <v>133</v>
      </c>
      <c r="V239" s="361" t="n">
        <f aca="false">ROUNDDOWN(K239*1.75+50,0)</f>
        <v>172</v>
      </c>
      <c r="W239" s="261" t="n">
        <v>1</v>
      </c>
      <c r="X239" s="261" t="s">
        <v>60</v>
      </c>
      <c r="Y239" s="364" t="s">
        <v>764</v>
      </c>
      <c r="Z239" s="364" t="n">
        <v>3</v>
      </c>
      <c r="AA239" s="364"/>
      <c r="AB239" s="365" t="n">
        <v>5</v>
      </c>
      <c r="AC239" s="364"/>
      <c r="AD239" s="364" t="n">
        <v>0</v>
      </c>
      <c r="AE239" s="366"/>
      <c r="AF239" s="364" t="s">
        <v>765</v>
      </c>
      <c r="AG239" s="364" t="s">
        <v>765</v>
      </c>
      <c r="AH239" s="366" t="s">
        <v>765</v>
      </c>
    </row>
    <row r="240" customFormat="false" ht="15.75" hidden="false" customHeight="false" outlineLevel="0" collapsed="false">
      <c r="A240" s="262" t="n">
        <v>204</v>
      </c>
      <c r="B240" s="361" t="n">
        <v>238</v>
      </c>
      <c r="C240" s="261" t="s">
        <v>766</v>
      </c>
      <c r="D240" s="261" t="s">
        <v>60</v>
      </c>
      <c r="E240" s="362" t="s">
        <v>766</v>
      </c>
      <c r="F240" s="261" t="s">
        <v>653</v>
      </c>
      <c r="G240" s="261" t="s">
        <v>144</v>
      </c>
      <c r="H240" s="261" t="n">
        <v>0</v>
      </c>
      <c r="I240" s="261" t="n">
        <v>1</v>
      </c>
      <c r="J240" s="361" t="n">
        <v>0</v>
      </c>
      <c r="K240" s="262" t="n">
        <v>50</v>
      </c>
      <c r="L240" s="262" t="n">
        <v>65</v>
      </c>
      <c r="M240" s="262" t="n">
        <v>90</v>
      </c>
      <c r="N240" s="262" t="n">
        <v>35</v>
      </c>
      <c r="O240" s="262" t="n">
        <v>35</v>
      </c>
      <c r="P240" s="361" t="n">
        <v>15</v>
      </c>
      <c r="Q240" s="261" t="s">
        <v>150</v>
      </c>
      <c r="R240" s="261"/>
      <c r="S240" s="363" t="n">
        <f aca="false" t="array" ref="S240:S240">IF(COUNTIF('0.3.0 GO Calculation Values'!$J$2:$J$99,C240),(INDEX('0.3.0 GO Calculation Values'!$K$2:$K$99,MATCH(C240,'0.3.0 GO Calculation Values'!$J$2:$J$99,0))),1)</f>
        <v>1</v>
      </c>
      <c r="T240" s="262" t="n">
        <f aca="false">ROUND(ROUND(2*((7/8)*MAX(L240,N240)+(1/8)*MIN(L240,N240)),0)*(1+(P240-75)/500),0)</f>
        <v>108</v>
      </c>
      <c r="U240" s="262" t="n">
        <f aca="false">ROUND(ROUND(2*((5/8)*MAX(M240,O240)+(3/8)*MIN(M240,O240)),0)*(1+(P240-75)/500),0)</f>
        <v>122</v>
      </c>
      <c r="V240" s="361" t="n">
        <f aca="false">ROUNDDOWN(K240*1.75+50,0)</f>
        <v>137</v>
      </c>
      <c r="W240" s="261" t="n">
        <v>1</v>
      </c>
      <c r="X240" s="261" t="s">
        <v>60</v>
      </c>
      <c r="Y240" s="364" t="s">
        <v>766</v>
      </c>
      <c r="Z240" s="364" t="n">
        <v>5</v>
      </c>
      <c r="AA240" s="364"/>
      <c r="AB240" s="365" t="n">
        <v>5</v>
      </c>
      <c r="AC240" s="364"/>
      <c r="AD240" s="364" t="n">
        <v>0</v>
      </c>
      <c r="AE240" s="366"/>
      <c r="AF240" s="364" t="s">
        <v>767</v>
      </c>
      <c r="AG240" s="364" t="s">
        <v>767</v>
      </c>
      <c r="AH240" s="366" t="s">
        <v>767</v>
      </c>
    </row>
    <row r="241" customFormat="false" ht="15.75" hidden="false" customHeight="false" outlineLevel="0" collapsed="false">
      <c r="A241" s="262" t="n">
        <v>205</v>
      </c>
      <c r="B241" s="361" t="n">
        <v>239</v>
      </c>
      <c r="C241" s="261" t="s">
        <v>768</v>
      </c>
      <c r="D241" s="261" t="s">
        <v>60</v>
      </c>
      <c r="E241" s="362" t="s">
        <v>768</v>
      </c>
      <c r="F241" s="261" t="s">
        <v>653</v>
      </c>
      <c r="G241" s="261" t="s">
        <v>144</v>
      </c>
      <c r="H241" s="261" t="n">
        <v>0</v>
      </c>
      <c r="I241" s="261" t="n">
        <v>2</v>
      </c>
      <c r="J241" s="361" t="n">
        <v>1</v>
      </c>
      <c r="K241" s="262" t="n">
        <v>75</v>
      </c>
      <c r="L241" s="262" t="n">
        <v>90</v>
      </c>
      <c r="M241" s="262" t="n">
        <v>140</v>
      </c>
      <c r="N241" s="262" t="n">
        <v>60</v>
      </c>
      <c r="O241" s="262" t="n">
        <v>60</v>
      </c>
      <c r="P241" s="361" t="n">
        <v>40</v>
      </c>
      <c r="Q241" s="261" t="s">
        <v>150</v>
      </c>
      <c r="R241" s="261" t="s">
        <v>152</v>
      </c>
      <c r="S241" s="363" t="n">
        <f aca="false" t="array" ref="S241:S241">IF(COUNTIF('0.3.0 GO Calculation Values'!$J$2:$J$99,C241),(INDEX('0.3.0 GO Calculation Values'!$K$2:$K$99,MATCH(C241,'0.3.0 GO Calculation Values'!$J$2:$J$99,0))),1)</f>
        <v>1</v>
      </c>
      <c r="T241" s="262" t="n">
        <f aca="false">ROUND(ROUND(2*((7/8)*MAX(L241,N241)+(1/8)*MIN(L241,N241)),0)*(1+(P241-75)/500),0)</f>
        <v>161</v>
      </c>
      <c r="U241" s="262" t="n">
        <f aca="false">ROUND(ROUND(2*((5/8)*MAX(M241,O241)+(3/8)*MIN(M241,O241)),0)*(1+(P241-75)/500),0)</f>
        <v>205</v>
      </c>
      <c r="V241" s="361" t="n">
        <f aca="false">ROUNDDOWN(K241*1.75+50,0)</f>
        <v>181</v>
      </c>
      <c r="W241" s="261" t="n">
        <v>1</v>
      </c>
      <c r="X241" s="261" t="s">
        <v>766</v>
      </c>
      <c r="Y241" s="364" t="s">
        <v>766</v>
      </c>
      <c r="Z241" s="364" t="n">
        <v>5</v>
      </c>
      <c r="AA241" s="364"/>
      <c r="AB241" s="365" t="n">
        <v>5</v>
      </c>
      <c r="AC241" s="364"/>
      <c r="AD241" s="364" t="n">
        <v>50</v>
      </c>
      <c r="AE241" s="366"/>
      <c r="AF241" s="364" t="s">
        <v>769</v>
      </c>
      <c r="AG241" s="364" t="s">
        <v>769</v>
      </c>
      <c r="AH241" s="366" t="s">
        <v>769</v>
      </c>
    </row>
    <row r="242" customFormat="false" ht="15.75" hidden="false" customHeight="false" outlineLevel="0" collapsed="false">
      <c r="A242" s="262" t="n">
        <v>206</v>
      </c>
      <c r="B242" s="361" t="n">
        <v>240</v>
      </c>
      <c r="C242" s="261" t="s">
        <v>770</v>
      </c>
      <c r="D242" s="261" t="s">
        <v>60</v>
      </c>
      <c r="E242" s="362" t="s">
        <v>770</v>
      </c>
      <c r="F242" s="261" t="s">
        <v>653</v>
      </c>
      <c r="G242" s="261" t="s">
        <v>144</v>
      </c>
      <c r="H242" s="261" t="n">
        <v>0</v>
      </c>
      <c r="I242" s="261" t="n">
        <v>1</v>
      </c>
      <c r="J242" s="361" t="n">
        <v>1</v>
      </c>
      <c r="K242" s="262" t="n">
        <v>100</v>
      </c>
      <c r="L242" s="262" t="n">
        <v>70</v>
      </c>
      <c r="M242" s="262" t="n">
        <v>70</v>
      </c>
      <c r="N242" s="262" t="n">
        <v>65</v>
      </c>
      <c r="O242" s="262" t="n">
        <v>65</v>
      </c>
      <c r="P242" s="361" t="n">
        <v>45</v>
      </c>
      <c r="Q242" s="261" t="s">
        <v>144</v>
      </c>
      <c r="R242" s="261"/>
      <c r="S242" s="363" t="n">
        <f aca="false" t="array" ref="S242:S242">IF(COUNTIF('0.3.0 GO Calculation Values'!$J$2:$J$99,C242),(INDEX('0.3.0 GO Calculation Values'!$K$2:$K$99,MATCH(C242,'0.3.0 GO Calculation Values'!$J$2:$J$99,0))),1)</f>
        <v>1</v>
      </c>
      <c r="T242" s="262" t="n">
        <f aca="false">ROUND(ROUND(2*((7/8)*MAX(L242,N242)+(1/8)*MIN(L242,N242)),0)*(1+(P242-75)/500),0)</f>
        <v>131</v>
      </c>
      <c r="U242" s="262" t="n">
        <f aca="false">ROUND(ROUND(2*((5/8)*MAX(M242,O242)+(3/8)*MIN(M242,O242)),0)*(1+(P242-75)/500),0)</f>
        <v>128</v>
      </c>
      <c r="V242" s="361" t="n">
        <f aca="false">ROUNDDOWN(K242*1.75+50,0)</f>
        <v>225</v>
      </c>
      <c r="W242" s="261" t="n">
        <v>1</v>
      </c>
      <c r="X242" s="261" t="s">
        <v>60</v>
      </c>
      <c r="Y242" s="364" t="s">
        <v>770</v>
      </c>
      <c r="Z242" s="364" t="n">
        <v>3</v>
      </c>
      <c r="AA242" s="364"/>
      <c r="AB242" s="365" t="n">
        <v>5</v>
      </c>
      <c r="AC242" s="364"/>
      <c r="AD242" s="364" t="n">
        <v>0</v>
      </c>
      <c r="AE242" s="366"/>
      <c r="AF242" s="364" t="s">
        <v>771</v>
      </c>
      <c r="AG242" s="364" t="s">
        <v>771</v>
      </c>
      <c r="AH242" s="366" t="s">
        <v>771</v>
      </c>
    </row>
    <row r="243" customFormat="false" ht="15.75" hidden="false" customHeight="false" outlineLevel="0" collapsed="false">
      <c r="A243" s="262" t="n">
        <v>207</v>
      </c>
      <c r="B243" s="361" t="n">
        <v>241</v>
      </c>
      <c r="C243" s="261" t="s">
        <v>772</v>
      </c>
      <c r="D243" s="261" t="s">
        <v>60</v>
      </c>
      <c r="E243" s="362" t="s">
        <v>772</v>
      </c>
      <c r="F243" s="261" t="s">
        <v>653</v>
      </c>
      <c r="G243" s="261" t="s">
        <v>144</v>
      </c>
      <c r="H243" s="261" t="n">
        <v>0</v>
      </c>
      <c r="I243" s="261" t="n">
        <v>1</v>
      </c>
      <c r="J243" s="361" t="n">
        <v>1</v>
      </c>
      <c r="K243" s="262" t="n">
        <v>65</v>
      </c>
      <c r="L243" s="262" t="n">
        <v>75</v>
      </c>
      <c r="M243" s="262" t="n">
        <v>105</v>
      </c>
      <c r="N243" s="262" t="n">
        <v>35</v>
      </c>
      <c r="O243" s="262" t="n">
        <v>65</v>
      </c>
      <c r="P243" s="361" t="n">
        <v>85</v>
      </c>
      <c r="Q243" s="261" t="s">
        <v>148</v>
      </c>
      <c r="R243" s="261" t="s">
        <v>146</v>
      </c>
      <c r="S243" s="363" t="n">
        <f aca="false" t="array" ref="S243:S243">IF(COUNTIF('0.3.0 GO Calculation Values'!$J$2:$J$99,C243),(INDEX('0.3.0 GO Calculation Values'!$K$2:$K$99,MATCH(C243,'0.3.0 GO Calculation Values'!$J$2:$J$99,0))),1)</f>
        <v>1</v>
      </c>
      <c r="T243" s="262" t="n">
        <f aca="false">ROUND(ROUND(2*((7/8)*MAX(L243,N243)+(1/8)*MIN(L243,N243)),0)*(1+(P243-75)/500),0)</f>
        <v>143</v>
      </c>
      <c r="U243" s="262" t="n">
        <f aca="false">ROUND(ROUND(2*((5/8)*MAX(M243,O243)+(3/8)*MIN(M243,O243)),0)*(1+(P243-75)/500),0)</f>
        <v>184</v>
      </c>
      <c r="V243" s="361" t="n">
        <f aca="false">ROUNDDOWN(K243*1.75+50,0)</f>
        <v>163</v>
      </c>
      <c r="W243" s="261" t="n">
        <v>1</v>
      </c>
      <c r="X243" s="261" t="s">
        <v>60</v>
      </c>
      <c r="Y243" s="364" t="s">
        <v>772</v>
      </c>
      <c r="Z243" s="364" t="n">
        <v>5</v>
      </c>
      <c r="AA243" s="364"/>
      <c r="AB243" s="365" t="n">
        <v>5</v>
      </c>
      <c r="AC243" s="364"/>
      <c r="AD243" s="364" t="n">
        <v>0</v>
      </c>
      <c r="AE243" s="366"/>
      <c r="AF243" s="364" t="s">
        <v>773</v>
      </c>
      <c r="AG243" s="364" t="s">
        <v>773</v>
      </c>
      <c r="AH243" s="366" t="s">
        <v>773</v>
      </c>
    </row>
    <row r="244" customFormat="false" ht="15.75" hidden="false" customHeight="false" outlineLevel="0" collapsed="false">
      <c r="A244" s="262" t="n">
        <v>208</v>
      </c>
      <c r="B244" s="361" t="n">
        <v>242</v>
      </c>
      <c r="C244" s="261" t="s">
        <v>774</v>
      </c>
      <c r="D244" s="261" t="s">
        <v>7</v>
      </c>
      <c r="E244" s="367" t="s">
        <v>774</v>
      </c>
      <c r="F244" s="261" t="s">
        <v>653</v>
      </c>
      <c r="G244" s="261" t="s">
        <v>144</v>
      </c>
      <c r="H244" s="261" t="n">
        <v>0</v>
      </c>
      <c r="I244" s="261" t="n">
        <v>2</v>
      </c>
      <c r="J244" s="361" t="n">
        <v>1</v>
      </c>
      <c r="K244" s="262" t="n">
        <v>75</v>
      </c>
      <c r="L244" s="262" t="n">
        <v>85</v>
      </c>
      <c r="M244" s="262" t="n">
        <v>200</v>
      </c>
      <c r="N244" s="262" t="n">
        <v>55</v>
      </c>
      <c r="O244" s="262" t="n">
        <v>65</v>
      </c>
      <c r="P244" s="361" t="n">
        <v>30</v>
      </c>
      <c r="Q244" s="261" t="s">
        <v>152</v>
      </c>
      <c r="R244" s="261" t="s">
        <v>148</v>
      </c>
      <c r="S244" s="363" t="n">
        <f aca="false" t="array" ref="S244:S244">IF(COUNTIF('0.3.0 GO Calculation Values'!$J$2:$J$99,C244),(INDEX('0.3.0 GO Calculation Values'!$K$2:$K$99,MATCH(C244,'0.3.0 GO Calculation Values'!$J$2:$J$99,0))),1)</f>
        <v>1</v>
      </c>
      <c r="T244" s="262" t="n">
        <f aca="false">ROUND(ROUND(2*((7/8)*MAX(L244,N244)+(1/8)*MIN(L244,N244)),0)*(1+(P244-75)/500),0)</f>
        <v>148</v>
      </c>
      <c r="U244" s="262" t="n">
        <f aca="false">ROUND(ROUND(2*((5/8)*MAX(M244,O244)+(3/8)*MIN(M244,O244)),0)*(1+(P244-75)/500),0)</f>
        <v>272</v>
      </c>
      <c r="V244" s="361" t="n">
        <f aca="false">ROUNDDOWN(K244*1.75+50,0)</f>
        <v>181</v>
      </c>
      <c r="W244" s="261" t="n">
        <v>1</v>
      </c>
      <c r="X244" s="261" t="s">
        <v>499</v>
      </c>
      <c r="Y244" s="364" t="s">
        <v>499</v>
      </c>
      <c r="Z244" s="364" t="n">
        <v>5</v>
      </c>
      <c r="AA244" s="364"/>
      <c r="AB244" s="365" t="n">
        <v>5</v>
      </c>
      <c r="AC244" s="364"/>
      <c r="AD244" s="364" t="n">
        <v>50</v>
      </c>
      <c r="AE244" s="362" t="s">
        <v>775</v>
      </c>
      <c r="AF244" s="364" t="s">
        <v>776</v>
      </c>
      <c r="AG244" s="364" t="s">
        <v>776</v>
      </c>
      <c r="AH244" s="366" t="s">
        <v>776</v>
      </c>
    </row>
    <row r="245" customFormat="false" ht="15.75" hidden="false" customHeight="false" outlineLevel="0" collapsed="false">
      <c r="A245" s="262" t="n">
        <v>208</v>
      </c>
      <c r="B245" s="361" t="n">
        <v>243</v>
      </c>
      <c r="C245" s="261" t="s">
        <v>774</v>
      </c>
      <c r="D245" s="261" t="s">
        <v>777</v>
      </c>
      <c r="E245" s="358" t="s">
        <v>778</v>
      </c>
      <c r="F245" s="261" t="s">
        <v>713</v>
      </c>
      <c r="G245" s="261" t="s">
        <v>144</v>
      </c>
      <c r="H245" s="261" t="n">
        <v>2</v>
      </c>
      <c r="I245" s="261" t="n">
        <v>3</v>
      </c>
      <c r="J245" s="361" t="n">
        <v>1</v>
      </c>
      <c r="K245" s="262" t="n">
        <v>75</v>
      </c>
      <c r="L245" s="262" t="n">
        <v>125</v>
      </c>
      <c r="M245" s="262" t="n">
        <v>230</v>
      </c>
      <c r="N245" s="262" t="n">
        <v>55</v>
      </c>
      <c r="O245" s="262" t="n">
        <v>95</v>
      </c>
      <c r="P245" s="361" t="n">
        <v>30</v>
      </c>
      <c r="Q245" s="261" t="s">
        <v>152</v>
      </c>
      <c r="R245" s="261" t="s">
        <v>148</v>
      </c>
      <c r="S245" s="363" t="n">
        <f aca="false" t="array" ref="S245:S245">IF(COUNTIF('0.3.0 GO Calculation Values'!$J$2:$J$99,C245),(INDEX('0.3.0 GO Calculation Values'!$K$2:$K$99,MATCH(C245,'0.3.0 GO Calculation Values'!$J$2:$J$99,0))),1)</f>
        <v>1</v>
      </c>
      <c r="T245" s="262" t="n">
        <f aca="false">ROUND(ROUND(2*((7/8)*MAX(L245,N245)+(1/8)*MIN(L245,N245)),0)*(1+(P245-75)/500),0)</f>
        <v>212</v>
      </c>
      <c r="U245" s="262" t="n">
        <f aca="false">ROUND(ROUND(2*((5/8)*MAX(M245,O245)+(3/8)*MIN(M245,O245)),0)*(1+(P245-75)/500),0)</f>
        <v>327</v>
      </c>
      <c r="V245" s="361" t="n">
        <f aca="false">ROUNDDOWN(K245*1.75+50,0)</f>
        <v>181</v>
      </c>
      <c r="W245" s="261" t="n">
        <v>0</v>
      </c>
      <c r="X245" s="261" t="s">
        <v>774</v>
      </c>
      <c r="Y245" s="364" t="s">
        <v>499</v>
      </c>
      <c r="Z245" s="364" t="n">
        <v>5</v>
      </c>
      <c r="AA245" s="364"/>
      <c r="AB245" s="365" t="n">
        <v>5</v>
      </c>
      <c r="AC245" s="364"/>
      <c r="AD245" s="364" t="n">
        <v>50</v>
      </c>
      <c r="AE245" s="366"/>
      <c r="AF245" s="364" t="s">
        <v>779</v>
      </c>
      <c r="AG245" s="364" t="s">
        <v>779</v>
      </c>
      <c r="AH245" s="366" t="s">
        <v>779</v>
      </c>
    </row>
    <row r="246" customFormat="false" ht="15.75" hidden="false" customHeight="false" outlineLevel="0" collapsed="false">
      <c r="A246" s="262" t="n">
        <v>209</v>
      </c>
      <c r="B246" s="361" t="n">
        <v>244</v>
      </c>
      <c r="C246" s="261" t="s">
        <v>780</v>
      </c>
      <c r="D246" s="261" t="s">
        <v>60</v>
      </c>
      <c r="E246" s="362" t="s">
        <v>780</v>
      </c>
      <c r="F246" s="261" t="s">
        <v>653</v>
      </c>
      <c r="G246" s="261" t="s">
        <v>144</v>
      </c>
      <c r="H246" s="261" t="n">
        <v>0</v>
      </c>
      <c r="I246" s="261" t="n">
        <v>1</v>
      </c>
      <c r="J246" s="361" t="n">
        <v>0</v>
      </c>
      <c r="K246" s="262" t="n">
        <v>60</v>
      </c>
      <c r="L246" s="262" t="n">
        <v>80</v>
      </c>
      <c r="M246" s="262" t="n">
        <v>50</v>
      </c>
      <c r="N246" s="262" t="n">
        <v>40</v>
      </c>
      <c r="O246" s="262" t="n">
        <v>40</v>
      </c>
      <c r="P246" s="361" t="n">
        <v>30</v>
      </c>
      <c r="Q246" s="261" t="s">
        <v>161</v>
      </c>
      <c r="R246" s="261"/>
      <c r="S246" s="363" t="n">
        <f aca="false" t="array" ref="S246:S246">IF(COUNTIF('0.3.0 GO Calculation Values'!$J$2:$J$99,C246),(INDEX('0.3.0 GO Calculation Values'!$K$2:$K$99,MATCH(C246,'0.3.0 GO Calculation Values'!$J$2:$J$99,0))),1)</f>
        <v>1</v>
      </c>
      <c r="T246" s="262" t="n">
        <f aca="false">ROUND(ROUND(2*((7/8)*MAX(L246,N246)+(1/8)*MIN(L246,N246)),0)*(1+(P246-75)/500),0)</f>
        <v>137</v>
      </c>
      <c r="U246" s="262" t="n">
        <f aca="false">ROUND(ROUND(2*((5/8)*MAX(M246,O246)+(3/8)*MIN(M246,O246)),0)*(1+(P246-75)/500),0)</f>
        <v>85</v>
      </c>
      <c r="V246" s="361" t="n">
        <f aca="false">ROUNDDOWN(K246*1.75+50,0)</f>
        <v>155</v>
      </c>
      <c r="W246" s="261" t="n">
        <v>1</v>
      </c>
      <c r="X246" s="261" t="s">
        <v>60</v>
      </c>
      <c r="Y246" s="364" t="s">
        <v>780</v>
      </c>
      <c r="Z246" s="364" t="n">
        <v>3</v>
      </c>
      <c r="AA246" s="364"/>
      <c r="AB246" s="365" t="s">
        <v>60</v>
      </c>
      <c r="AC246" s="364"/>
      <c r="AD246" s="364" t="n">
        <v>0</v>
      </c>
      <c r="AE246" s="366"/>
      <c r="AF246" s="364" t="s">
        <v>781</v>
      </c>
      <c r="AG246" s="364" t="s">
        <v>781</v>
      </c>
      <c r="AH246" s="366" t="s">
        <v>781</v>
      </c>
    </row>
    <row r="247" customFormat="false" ht="15.75" hidden="false" customHeight="false" outlineLevel="0" collapsed="false">
      <c r="A247" s="262" t="n">
        <v>210</v>
      </c>
      <c r="B247" s="361" t="n">
        <v>245</v>
      </c>
      <c r="C247" s="261" t="s">
        <v>782</v>
      </c>
      <c r="D247" s="261" t="s">
        <v>60</v>
      </c>
      <c r="E247" s="362" t="s">
        <v>782</v>
      </c>
      <c r="F247" s="261" t="s">
        <v>653</v>
      </c>
      <c r="G247" s="261" t="s">
        <v>144</v>
      </c>
      <c r="H247" s="261" t="n">
        <v>0</v>
      </c>
      <c r="I247" s="261" t="n">
        <v>2</v>
      </c>
      <c r="J247" s="361" t="n">
        <v>1</v>
      </c>
      <c r="K247" s="262" t="n">
        <v>90</v>
      </c>
      <c r="L247" s="262" t="n">
        <v>120</v>
      </c>
      <c r="M247" s="262" t="n">
        <v>75</v>
      </c>
      <c r="N247" s="262" t="n">
        <v>60</v>
      </c>
      <c r="O247" s="262" t="n">
        <v>60</v>
      </c>
      <c r="P247" s="361" t="n">
        <v>45</v>
      </c>
      <c r="Q247" s="261" t="s">
        <v>161</v>
      </c>
      <c r="R247" s="261"/>
      <c r="S247" s="363" t="n">
        <f aca="false" t="array" ref="S247:S247">IF(COUNTIF('0.3.0 GO Calculation Values'!$J$2:$J$99,C247),(INDEX('0.3.0 GO Calculation Values'!$K$2:$K$99,MATCH(C247,'0.3.0 GO Calculation Values'!$J$2:$J$99,0))),1)</f>
        <v>1</v>
      </c>
      <c r="T247" s="262" t="n">
        <f aca="false">ROUND(ROUND(2*((7/8)*MAX(L247,N247)+(1/8)*MIN(L247,N247)),0)*(1+(P247-75)/500),0)</f>
        <v>212</v>
      </c>
      <c r="U247" s="262" t="n">
        <f aca="false">ROUND(ROUND(2*((5/8)*MAX(M247,O247)+(3/8)*MIN(M247,O247)),0)*(1+(P247-75)/500),0)</f>
        <v>131</v>
      </c>
      <c r="V247" s="361" t="n">
        <f aca="false">ROUNDDOWN(K247*1.75+50,0)</f>
        <v>207</v>
      </c>
      <c r="W247" s="261" t="n">
        <v>1</v>
      </c>
      <c r="X247" s="261" t="s">
        <v>780</v>
      </c>
      <c r="Y247" s="364" t="s">
        <v>780</v>
      </c>
      <c r="Z247" s="364" t="n">
        <v>3</v>
      </c>
      <c r="AA247" s="364"/>
      <c r="AB247" s="365" t="s">
        <v>60</v>
      </c>
      <c r="AC247" s="364"/>
      <c r="AD247" s="364" t="n">
        <v>50</v>
      </c>
      <c r="AE247" s="366"/>
      <c r="AF247" s="364" t="s">
        <v>783</v>
      </c>
      <c r="AG247" s="364" t="s">
        <v>783</v>
      </c>
      <c r="AH247" s="366" t="s">
        <v>783</v>
      </c>
    </row>
    <row r="248" customFormat="false" ht="15.75" hidden="false" customHeight="false" outlineLevel="0" collapsed="false">
      <c r="A248" s="262" t="n">
        <v>211</v>
      </c>
      <c r="B248" s="361" t="n">
        <v>246</v>
      </c>
      <c r="C248" s="261" t="s">
        <v>784</v>
      </c>
      <c r="D248" s="261" t="s">
        <v>60</v>
      </c>
      <c r="E248" s="362" t="s">
        <v>784</v>
      </c>
      <c r="F248" s="261" t="s">
        <v>653</v>
      </c>
      <c r="G248" s="261" t="s">
        <v>144</v>
      </c>
      <c r="H248" s="261" t="n">
        <v>0</v>
      </c>
      <c r="I248" s="261" t="n">
        <v>1</v>
      </c>
      <c r="J248" s="361" t="n">
        <v>1</v>
      </c>
      <c r="K248" s="262" t="n">
        <v>65</v>
      </c>
      <c r="L248" s="262" t="n">
        <v>95</v>
      </c>
      <c r="M248" s="262" t="n">
        <v>75</v>
      </c>
      <c r="N248" s="262" t="n">
        <v>55</v>
      </c>
      <c r="O248" s="262" t="n">
        <v>55</v>
      </c>
      <c r="P248" s="361" t="n">
        <v>85</v>
      </c>
      <c r="Q248" s="261" t="s">
        <v>154</v>
      </c>
      <c r="R248" s="261" t="s">
        <v>147</v>
      </c>
      <c r="S248" s="363" t="n">
        <f aca="false" t="array" ref="S248:S248">IF(COUNTIF('0.3.0 GO Calculation Values'!$J$2:$J$99,C248),(INDEX('0.3.0 GO Calculation Values'!$K$2:$K$99,MATCH(C248,'0.3.0 GO Calculation Values'!$J$2:$J$99,0))),1)</f>
        <v>1</v>
      </c>
      <c r="T248" s="262" t="n">
        <f aca="false">ROUND(ROUND(2*((7/8)*MAX(L248,N248)+(1/8)*MIN(L248,N248)),0)*(1+(P248-75)/500),0)</f>
        <v>184</v>
      </c>
      <c r="U248" s="262" t="n">
        <f aca="false">ROUND(ROUND(2*((5/8)*MAX(M248,O248)+(3/8)*MIN(M248,O248)),0)*(1+(P248-75)/500),0)</f>
        <v>138</v>
      </c>
      <c r="V248" s="361" t="n">
        <f aca="false">ROUNDDOWN(K248*1.75+50,0)</f>
        <v>163</v>
      </c>
      <c r="W248" s="261" t="n">
        <v>1</v>
      </c>
      <c r="X248" s="261" t="s">
        <v>60</v>
      </c>
      <c r="Y248" s="364" t="s">
        <v>784</v>
      </c>
      <c r="Z248" s="261" t="n">
        <v>3</v>
      </c>
      <c r="AA248" s="364"/>
      <c r="AB248" s="365" t="s">
        <v>60</v>
      </c>
      <c r="AC248" s="364"/>
      <c r="AD248" s="364" t="n">
        <v>0</v>
      </c>
      <c r="AE248" s="366"/>
      <c r="AF248" s="364" t="s">
        <v>785</v>
      </c>
      <c r="AG248" s="364" t="s">
        <v>785</v>
      </c>
      <c r="AH248" s="366" t="s">
        <v>785</v>
      </c>
    </row>
    <row r="249" customFormat="false" ht="15.75" hidden="false" customHeight="false" outlineLevel="0" collapsed="false">
      <c r="A249" s="262" t="n">
        <v>212</v>
      </c>
      <c r="B249" s="361" t="n">
        <v>247</v>
      </c>
      <c r="C249" s="261" t="s">
        <v>786</v>
      </c>
      <c r="D249" s="261" t="s">
        <v>7</v>
      </c>
      <c r="E249" s="367" t="s">
        <v>786</v>
      </c>
      <c r="F249" s="261" t="s">
        <v>653</v>
      </c>
      <c r="G249" s="261" t="s">
        <v>144</v>
      </c>
      <c r="H249" s="261" t="n">
        <v>0</v>
      </c>
      <c r="I249" s="261" t="n">
        <v>2</v>
      </c>
      <c r="J249" s="361" t="n">
        <v>1</v>
      </c>
      <c r="K249" s="262" t="n">
        <v>70</v>
      </c>
      <c r="L249" s="262" t="n">
        <v>130</v>
      </c>
      <c r="M249" s="262" t="n">
        <v>100</v>
      </c>
      <c r="N249" s="262" t="n">
        <v>55</v>
      </c>
      <c r="O249" s="262" t="n">
        <v>80</v>
      </c>
      <c r="P249" s="361" t="n">
        <v>65</v>
      </c>
      <c r="Q249" s="261" t="s">
        <v>150</v>
      </c>
      <c r="R249" s="261" t="s">
        <v>152</v>
      </c>
      <c r="S249" s="363" t="n">
        <f aca="false" t="array" ref="S249:S249">IF(COUNTIF('0.3.0 GO Calculation Values'!$J$2:$J$99,C249),(INDEX('0.3.0 GO Calculation Values'!$K$2:$K$99,MATCH(C249,'0.3.0 GO Calculation Values'!$J$2:$J$99,0))),1)</f>
        <v>1</v>
      </c>
      <c r="T249" s="262" t="n">
        <f aca="false">ROUND(ROUND(2*((7/8)*MAX(L249,N249)+(1/8)*MIN(L249,N249)),0)*(1+(P249-75)/500),0)</f>
        <v>236</v>
      </c>
      <c r="U249" s="262" t="n">
        <f aca="false">ROUND(ROUND(2*((5/8)*MAX(M249,O249)+(3/8)*MIN(M249,O249)),0)*(1+(P249-75)/500),0)</f>
        <v>181</v>
      </c>
      <c r="V249" s="361" t="n">
        <f aca="false">ROUNDDOWN(K249*1.75+50,0)</f>
        <v>172</v>
      </c>
      <c r="W249" s="261" t="n">
        <v>1</v>
      </c>
      <c r="X249" s="261" t="s">
        <v>569</v>
      </c>
      <c r="Y249" s="364" t="s">
        <v>569</v>
      </c>
      <c r="Z249" s="364" t="n">
        <v>5</v>
      </c>
      <c r="AA249" s="364"/>
      <c r="AB249" s="365" t="n">
        <v>5</v>
      </c>
      <c r="AC249" s="364"/>
      <c r="AD249" s="364" t="n">
        <v>50</v>
      </c>
      <c r="AE249" s="362" t="s">
        <v>775</v>
      </c>
      <c r="AF249" s="364" t="s">
        <v>787</v>
      </c>
      <c r="AG249" s="364" t="s">
        <v>787</v>
      </c>
      <c r="AH249" s="366" t="s">
        <v>787</v>
      </c>
    </row>
    <row r="250" customFormat="false" ht="15.75" hidden="false" customHeight="false" outlineLevel="0" collapsed="false">
      <c r="A250" s="262" t="n">
        <v>212</v>
      </c>
      <c r="B250" s="361" t="n">
        <v>248</v>
      </c>
      <c r="C250" s="261" t="s">
        <v>786</v>
      </c>
      <c r="D250" s="261" t="s">
        <v>788</v>
      </c>
      <c r="E250" s="358" t="s">
        <v>789</v>
      </c>
      <c r="F250" s="261" t="s">
        <v>713</v>
      </c>
      <c r="G250" s="261" t="s">
        <v>144</v>
      </c>
      <c r="H250" s="261" t="n">
        <v>2</v>
      </c>
      <c r="I250" s="261" t="n">
        <v>3</v>
      </c>
      <c r="J250" s="361" t="n">
        <v>1</v>
      </c>
      <c r="K250" s="262" t="n">
        <v>70</v>
      </c>
      <c r="L250" s="262" t="n">
        <v>150</v>
      </c>
      <c r="M250" s="262" t="n">
        <v>140</v>
      </c>
      <c r="N250" s="262" t="n">
        <v>65</v>
      </c>
      <c r="O250" s="262" t="n">
        <v>100</v>
      </c>
      <c r="P250" s="361" t="n">
        <v>75</v>
      </c>
      <c r="Q250" s="261" t="s">
        <v>150</v>
      </c>
      <c r="R250" s="261" t="s">
        <v>152</v>
      </c>
      <c r="S250" s="363" t="n">
        <f aca="false" t="array" ref="S250:S250">IF(COUNTIF('0.3.0 GO Calculation Values'!$J$2:$J$99,C250),(INDEX('0.3.0 GO Calculation Values'!$K$2:$K$99,MATCH(C250,'0.3.0 GO Calculation Values'!$J$2:$J$99,0))),1)</f>
        <v>1</v>
      </c>
      <c r="T250" s="262" t="n">
        <f aca="false">ROUND(ROUND(2*((7/8)*MAX(L250,N250)+(1/8)*MIN(L250,N250)),0)*(1+(P250-75)/500),0)</f>
        <v>279</v>
      </c>
      <c r="U250" s="262" t="n">
        <f aca="false">ROUND(ROUND(2*((5/8)*MAX(M250,O250)+(3/8)*MIN(M250,O250)),0)*(1+(P250-75)/500),0)</f>
        <v>250</v>
      </c>
      <c r="V250" s="361" t="n">
        <f aca="false">ROUNDDOWN(K250*1.75+50,0)</f>
        <v>172</v>
      </c>
      <c r="W250" s="261" t="n">
        <v>0</v>
      </c>
      <c r="X250" s="261" t="s">
        <v>786</v>
      </c>
      <c r="Y250" s="364" t="s">
        <v>569</v>
      </c>
      <c r="Z250" s="364" t="n">
        <v>5</v>
      </c>
      <c r="AA250" s="364"/>
      <c r="AB250" s="365" t="n">
        <v>5</v>
      </c>
      <c r="AC250" s="364"/>
      <c r="AD250" s="364" t="n">
        <v>50</v>
      </c>
      <c r="AE250" s="366"/>
      <c r="AF250" s="364" t="s">
        <v>790</v>
      </c>
      <c r="AG250" s="364" t="s">
        <v>790</v>
      </c>
      <c r="AH250" s="366" t="s">
        <v>790</v>
      </c>
    </row>
    <row r="251" customFormat="false" ht="15.75" hidden="false" customHeight="false" outlineLevel="0" collapsed="false">
      <c r="A251" s="262" t="n">
        <v>213</v>
      </c>
      <c r="B251" s="361" t="n">
        <v>249</v>
      </c>
      <c r="C251" s="261" t="s">
        <v>791</v>
      </c>
      <c r="D251" s="261" t="s">
        <v>60</v>
      </c>
      <c r="E251" s="362" t="s">
        <v>791</v>
      </c>
      <c r="F251" s="261" t="s">
        <v>653</v>
      </c>
      <c r="G251" s="261" t="s">
        <v>144</v>
      </c>
      <c r="H251" s="261" t="n">
        <v>0</v>
      </c>
      <c r="I251" s="261" t="n">
        <v>1</v>
      </c>
      <c r="J251" s="361" t="n">
        <v>1</v>
      </c>
      <c r="K251" s="262" t="n">
        <v>20</v>
      </c>
      <c r="L251" s="262" t="n">
        <v>10</v>
      </c>
      <c r="M251" s="262" t="n">
        <v>230</v>
      </c>
      <c r="N251" s="262" t="n">
        <v>10</v>
      </c>
      <c r="O251" s="262" t="n">
        <v>230</v>
      </c>
      <c r="P251" s="361" t="n">
        <v>5</v>
      </c>
      <c r="Q251" s="261" t="s">
        <v>150</v>
      </c>
      <c r="R251" s="261" t="s">
        <v>149</v>
      </c>
      <c r="S251" s="363" t="n">
        <f aca="false" t="array" ref="S251:S251">IF(COUNTIF('0.3.0 GO Calculation Values'!$J$2:$J$99,C251),(INDEX('0.3.0 GO Calculation Values'!$K$2:$K$99,MATCH(C251,'0.3.0 GO Calculation Values'!$J$2:$J$99,0))),1)</f>
        <v>1</v>
      </c>
      <c r="T251" s="262" t="n">
        <f aca="false">ROUND(ROUND(2*((7/8)*MAX(L251,N251)+(1/8)*MIN(L251,N251)),0)*(1+(P251-75)/500),0)</f>
        <v>17</v>
      </c>
      <c r="U251" s="262" t="n">
        <f aca="false">ROUND(ROUND(2*((5/8)*MAX(M251,O251)+(3/8)*MIN(M251,O251)),0)*(1+(P251-75)/500),0)</f>
        <v>396</v>
      </c>
      <c r="V251" s="361" t="n">
        <f aca="false">ROUNDDOWN(K251*1.75+50,0)</f>
        <v>85</v>
      </c>
      <c r="W251" s="261" t="n">
        <v>1</v>
      </c>
      <c r="X251" s="261" t="s">
        <v>60</v>
      </c>
      <c r="Y251" s="364" t="s">
        <v>791</v>
      </c>
      <c r="Z251" s="364" t="n">
        <v>3</v>
      </c>
      <c r="AA251" s="364"/>
      <c r="AB251" s="365" t="n">
        <v>5</v>
      </c>
      <c r="AC251" s="364"/>
      <c r="AD251" s="364" t="n">
        <v>0</v>
      </c>
      <c r="AE251" s="366"/>
      <c r="AF251" s="364" t="s">
        <v>792</v>
      </c>
      <c r="AG251" s="364" t="s">
        <v>792</v>
      </c>
      <c r="AH251" s="366" t="s">
        <v>792</v>
      </c>
    </row>
    <row r="252" customFormat="false" ht="15.75" hidden="false" customHeight="false" outlineLevel="0" collapsed="false">
      <c r="A252" s="262" t="n">
        <v>214</v>
      </c>
      <c r="B252" s="361" t="n">
        <v>250</v>
      </c>
      <c r="C252" s="261" t="s">
        <v>793</v>
      </c>
      <c r="D252" s="261" t="s">
        <v>7</v>
      </c>
      <c r="E252" s="367" t="s">
        <v>793</v>
      </c>
      <c r="F252" s="261" t="s">
        <v>653</v>
      </c>
      <c r="G252" s="261" t="s">
        <v>144</v>
      </c>
      <c r="H252" s="261" t="n">
        <v>0</v>
      </c>
      <c r="I252" s="261" t="n">
        <v>1</v>
      </c>
      <c r="J252" s="361" t="n">
        <v>1</v>
      </c>
      <c r="K252" s="262" t="n">
        <v>80</v>
      </c>
      <c r="L252" s="262" t="n">
        <v>125</v>
      </c>
      <c r="M252" s="262" t="n">
        <v>75</v>
      </c>
      <c r="N252" s="262" t="n">
        <v>40</v>
      </c>
      <c r="O252" s="262" t="n">
        <v>95</v>
      </c>
      <c r="P252" s="361" t="n">
        <v>85</v>
      </c>
      <c r="Q252" s="261" t="s">
        <v>150</v>
      </c>
      <c r="R252" s="261" t="s">
        <v>145</v>
      </c>
      <c r="S252" s="363" t="n">
        <f aca="false" t="array" ref="S252:S252">IF(COUNTIF('0.3.0 GO Calculation Values'!$J$2:$J$99,C252),(INDEX('0.3.0 GO Calculation Values'!$K$2:$K$99,MATCH(C252,'0.3.0 GO Calculation Values'!$J$2:$J$99,0))),1)</f>
        <v>1</v>
      </c>
      <c r="T252" s="262" t="n">
        <f aca="false">ROUND(ROUND(2*((7/8)*MAX(L252,N252)+(1/8)*MIN(L252,N252)),0)*(1+(P252-75)/500),0)</f>
        <v>234</v>
      </c>
      <c r="U252" s="262" t="n">
        <f aca="false">ROUND(ROUND(2*((5/8)*MAX(M252,O252)+(3/8)*MIN(M252,O252)),0)*(1+(P252-75)/500),0)</f>
        <v>179</v>
      </c>
      <c r="V252" s="361" t="n">
        <f aca="false">ROUNDDOWN(K252*1.75+50,0)</f>
        <v>190</v>
      </c>
      <c r="W252" s="261" t="n">
        <v>1</v>
      </c>
      <c r="X252" s="261" t="s">
        <v>60</v>
      </c>
      <c r="Y252" s="364" t="s">
        <v>793</v>
      </c>
      <c r="Z252" s="364" t="n">
        <v>3</v>
      </c>
      <c r="AA252" s="364"/>
      <c r="AB252" s="365" t="s">
        <v>60</v>
      </c>
      <c r="AC252" s="364"/>
      <c r="AD252" s="364" t="n">
        <v>0</v>
      </c>
      <c r="AE252" s="366"/>
      <c r="AF252" s="364" t="s">
        <v>794</v>
      </c>
      <c r="AG252" s="364" t="s">
        <v>794</v>
      </c>
      <c r="AH252" s="366" t="s">
        <v>794</v>
      </c>
    </row>
    <row r="253" customFormat="false" ht="15.75" hidden="false" customHeight="false" outlineLevel="0" collapsed="false">
      <c r="A253" s="262" t="n">
        <v>214</v>
      </c>
      <c r="B253" s="361" t="n">
        <v>251</v>
      </c>
      <c r="C253" s="261" t="s">
        <v>793</v>
      </c>
      <c r="D253" s="261" t="s">
        <v>795</v>
      </c>
      <c r="E253" s="358" t="s">
        <v>796</v>
      </c>
      <c r="F253" s="261" t="s">
        <v>713</v>
      </c>
      <c r="G253" s="261" t="s">
        <v>144</v>
      </c>
      <c r="H253" s="261" t="n">
        <v>2</v>
      </c>
      <c r="I253" s="261" t="n">
        <v>2</v>
      </c>
      <c r="J253" s="361" t="n">
        <v>1</v>
      </c>
      <c r="K253" s="262" t="n">
        <v>80</v>
      </c>
      <c r="L253" s="262" t="n">
        <v>185</v>
      </c>
      <c r="M253" s="262" t="n">
        <v>115</v>
      </c>
      <c r="N253" s="262" t="n">
        <v>40</v>
      </c>
      <c r="O253" s="262" t="n">
        <v>105</v>
      </c>
      <c r="P253" s="361" t="n">
        <v>75</v>
      </c>
      <c r="Q253" s="261" t="s">
        <v>150</v>
      </c>
      <c r="R253" s="261" t="s">
        <v>145</v>
      </c>
      <c r="S253" s="363" t="n">
        <f aca="false" t="array" ref="S253:S253">IF(COUNTIF('0.3.0 GO Calculation Values'!$J$2:$J$99,C253),(INDEX('0.3.0 GO Calculation Values'!$K$2:$K$99,MATCH(C253,'0.3.0 GO Calculation Values'!$J$2:$J$99,0))),1)</f>
        <v>1</v>
      </c>
      <c r="T253" s="262" t="n">
        <f aca="false">ROUND(ROUND(2*((7/8)*MAX(L253,N253)+(1/8)*MIN(L253,N253)),0)*(1+(P253-75)/500),0)</f>
        <v>334</v>
      </c>
      <c r="U253" s="262" t="n">
        <f aca="false">ROUND(ROUND(2*((5/8)*MAX(M253,O253)+(3/8)*MIN(M253,O253)),0)*(1+(P253-75)/500),0)</f>
        <v>223</v>
      </c>
      <c r="V253" s="361" t="n">
        <f aca="false">ROUNDDOWN(K253*1.75+50,0)</f>
        <v>190</v>
      </c>
      <c r="W253" s="261" t="n">
        <v>0</v>
      </c>
      <c r="X253" s="261" t="s">
        <v>793</v>
      </c>
      <c r="Y253" s="364" t="s">
        <v>793</v>
      </c>
      <c r="Z253" s="364" t="n">
        <v>3</v>
      </c>
      <c r="AA253" s="364"/>
      <c r="AB253" s="365" t="s">
        <v>60</v>
      </c>
      <c r="AC253" s="364"/>
      <c r="AD253" s="364" t="n">
        <v>0</v>
      </c>
      <c r="AE253" s="366"/>
      <c r="AF253" s="364" t="s">
        <v>797</v>
      </c>
      <c r="AG253" s="364" t="s">
        <v>797</v>
      </c>
      <c r="AH253" s="366" t="s">
        <v>797</v>
      </c>
    </row>
    <row r="254" customFormat="false" ht="15.75" hidden="false" customHeight="false" outlineLevel="0" collapsed="false">
      <c r="A254" s="262" t="n">
        <v>215</v>
      </c>
      <c r="B254" s="361" t="n">
        <v>252</v>
      </c>
      <c r="C254" s="261" t="s">
        <v>798</v>
      </c>
      <c r="D254" s="261" t="s">
        <v>60</v>
      </c>
      <c r="E254" s="362" t="s">
        <v>798</v>
      </c>
      <c r="F254" s="261" t="s">
        <v>653</v>
      </c>
      <c r="G254" s="261" t="s">
        <v>144</v>
      </c>
      <c r="H254" s="261" t="n">
        <v>0</v>
      </c>
      <c r="I254" s="261" t="n">
        <v>1</v>
      </c>
      <c r="J254" s="361" t="n">
        <v>1</v>
      </c>
      <c r="K254" s="262" t="n">
        <v>55</v>
      </c>
      <c r="L254" s="262" t="n">
        <v>95</v>
      </c>
      <c r="M254" s="262" t="n">
        <v>55</v>
      </c>
      <c r="N254" s="262" t="n">
        <v>35</v>
      </c>
      <c r="O254" s="262" t="n">
        <v>75</v>
      </c>
      <c r="P254" s="361" t="n">
        <v>115</v>
      </c>
      <c r="Q254" s="261" t="s">
        <v>160</v>
      </c>
      <c r="R254" s="261" t="s">
        <v>158</v>
      </c>
      <c r="S254" s="363" t="n">
        <f aca="false" t="array" ref="S254:S254">IF(COUNTIF('0.3.0 GO Calculation Values'!$J$2:$J$99,C254),(INDEX('0.3.0 GO Calculation Values'!$K$2:$K$99,MATCH(C254,'0.3.0 GO Calculation Values'!$J$2:$J$99,0))),1)</f>
        <v>1</v>
      </c>
      <c r="T254" s="262" t="n">
        <f aca="false">ROUND(ROUND(2*((7/8)*MAX(L254,N254)+(1/8)*MIN(L254,N254)),0)*(1+(P254-75)/500),0)</f>
        <v>189</v>
      </c>
      <c r="U254" s="262" t="n">
        <f aca="false">ROUND(ROUND(2*((5/8)*MAX(M254,O254)+(3/8)*MIN(M254,O254)),0)*(1+(P254-75)/500),0)</f>
        <v>146</v>
      </c>
      <c r="V254" s="361" t="n">
        <f aca="false">ROUNDDOWN(K254*1.75+50,0)</f>
        <v>146</v>
      </c>
      <c r="W254" s="261" t="n">
        <v>1</v>
      </c>
      <c r="X254" s="261" t="s">
        <v>60</v>
      </c>
      <c r="Y254" s="364" t="s">
        <v>798</v>
      </c>
      <c r="Z254" s="364" t="n">
        <v>3</v>
      </c>
      <c r="AA254" s="364"/>
      <c r="AB254" s="365" t="n">
        <v>5</v>
      </c>
      <c r="AC254" s="364"/>
      <c r="AD254" s="364" t="n">
        <v>0</v>
      </c>
      <c r="AE254" s="366"/>
      <c r="AF254" s="364" t="s">
        <v>799</v>
      </c>
      <c r="AG254" s="364" t="s">
        <v>799</v>
      </c>
      <c r="AH254" s="366" t="s">
        <v>799</v>
      </c>
    </row>
    <row r="255" customFormat="false" ht="15.75" hidden="false" customHeight="false" outlineLevel="0" collapsed="false">
      <c r="A255" s="262" t="n">
        <v>216</v>
      </c>
      <c r="B255" s="361" t="n">
        <v>253</v>
      </c>
      <c r="C255" s="261" t="s">
        <v>800</v>
      </c>
      <c r="D255" s="261" t="s">
        <v>60</v>
      </c>
      <c r="E255" s="362" t="s">
        <v>800</v>
      </c>
      <c r="F255" s="261" t="s">
        <v>653</v>
      </c>
      <c r="G255" s="261" t="s">
        <v>144</v>
      </c>
      <c r="H255" s="261" t="n">
        <v>0</v>
      </c>
      <c r="I255" s="261" t="n">
        <v>1</v>
      </c>
      <c r="J255" s="361" t="n">
        <v>0</v>
      </c>
      <c r="K255" s="262" t="n">
        <v>60</v>
      </c>
      <c r="L255" s="262" t="n">
        <v>80</v>
      </c>
      <c r="M255" s="262" t="n">
        <v>50</v>
      </c>
      <c r="N255" s="262" t="n">
        <v>50</v>
      </c>
      <c r="O255" s="262" t="n">
        <v>50</v>
      </c>
      <c r="P255" s="361" t="n">
        <v>40</v>
      </c>
      <c r="Q255" s="261" t="s">
        <v>144</v>
      </c>
      <c r="R255" s="261"/>
      <c r="S255" s="363" t="n">
        <f aca="false" t="array" ref="S255:S255">IF(COUNTIF('0.3.0 GO Calculation Values'!$J$2:$J$99,C255),(INDEX('0.3.0 GO Calculation Values'!$K$2:$K$99,MATCH(C255,'0.3.0 GO Calculation Values'!$J$2:$J$99,0))),1)</f>
        <v>1</v>
      </c>
      <c r="T255" s="262" t="n">
        <f aca="false">ROUND(ROUND(2*((7/8)*MAX(L255,N255)+(1/8)*MIN(L255,N255)),0)*(1+(P255-75)/500),0)</f>
        <v>142</v>
      </c>
      <c r="U255" s="262" t="n">
        <f aca="false">ROUND(ROUND(2*((5/8)*MAX(M255,O255)+(3/8)*MIN(M255,O255)),0)*(1+(P255-75)/500),0)</f>
        <v>93</v>
      </c>
      <c r="V255" s="361" t="n">
        <f aca="false">ROUNDDOWN(K255*1.75+50,0)</f>
        <v>155</v>
      </c>
      <c r="W255" s="261" t="n">
        <v>1</v>
      </c>
      <c r="X255" s="261" t="s">
        <v>60</v>
      </c>
      <c r="Y255" s="364" t="s">
        <v>800</v>
      </c>
      <c r="Z255" s="364" t="n">
        <v>3</v>
      </c>
      <c r="AA255" s="364"/>
      <c r="AB255" s="365" t="n">
        <v>5</v>
      </c>
      <c r="AC255" s="364"/>
      <c r="AD255" s="364" t="n">
        <v>0</v>
      </c>
      <c r="AE255" s="366"/>
      <c r="AF255" s="364" t="s">
        <v>801</v>
      </c>
      <c r="AG255" s="364" t="s">
        <v>801</v>
      </c>
      <c r="AH255" s="366" t="s">
        <v>801</v>
      </c>
    </row>
    <row r="256" customFormat="false" ht="15.75" hidden="false" customHeight="false" outlineLevel="0" collapsed="false">
      <c r="A256" s="262" t="n">
        <v>217</v>
      </c>
      <c r="B256" s="361" t="n">
        <v>254</v>
      </c>
      <c r="C256" s="261" t="s">
        <v>802</v>
      </c>
      <c r="D256" s="261" t="s">
        <v>60</v>
      </c>
      <c r="E256" s="362" t="s">
        <v>802</v>
      </c>
      <c r="F256" s="261" t="s">
        <v>653</v>
      </c>
      <c r="G256" s="261" t="s">
        <v>144</v>
      </c>
      <c r="H256" s="261" t="n">
        <v>0</v>
      </c>
      <c r="I256" s="261" t="n">
        <v>2</v>
      </c>
      <c r="J256" s="361" t="n">
        <v>1</v>
      </c>
      <c r="K256" s="262" t="n">
        <v>90</v>
      </c>
      <c r="L256" s="262" t="n">
        <v>130</v>
      </c>
      <c r="M256" s="262" t="n">
        <v>75</v>
      </c>
      <c r="N256" s="262" t="n">
        <v>75</v>
      </c>
      <c r="O256" s="262" t="n">
        <v>75</v>
      </c>
      <c r="P256" s="361" t="n">
        <v>55</v>
      </c>
      <c r="Q256" s="261" t="s">
        <v>144</v>
      </c>
      <c r="R256" s="261"/>
      <c r="S256" s="363" t="n">
        <f aca="false" t="array" ref="S256:S256">IF(COUNTIF('0.3.0 GO Calculation Values'!$J$2:$J$99,C256),(INDEX('0.3.0 GO Calculation Values'!$K$2:$K$99,MATCH(C256,'0.3.0 GO Calculation Values'!$J$2:$J$99,0))),1)</f>
        <v>1</v>
      </c>
      <c r="T256" s="262" t="n">
        <f aca="false">ROUND(ROUND(2*((7/8)*MAX(L256,N256)+(1/8)*MIN(L256,N256)),0)*(1+(P256-75)/500),0)</f>
        <v>236</v>
      </c>
      <c r="U256" s="262" t="n">
        <f aca="false">ROUND(ROUND(2*((5/8)*MAX(M256,O256)+(3/8)*MIN(M256,O256)),0)*(1+(P256-75)/500),0)</f>
        <v>144</v>
      </c>
      <c r="V256" s="361" t="n">
        <f aca="false">ROUNDDOWN(K256*1.75+50,0)</f>
        <v>207</v>
      </c>
      <c r="W256" s="261" t="n">
        <v>1</v>
      </c>
      <c r="X256" s="261" t="s">
        <v>800</v>
      </c>
      <c r="Y256" s="364" t="s">
        <v>800</v>
      </c>
      <c r="Z256" s="364" t="n">
        <v>3</v>
      </c>
      <c r="AA256" s="364"/>
      <c r="AB256" s="365" t="n">
        <v>5</v>
      </c>
      <c r="AC256" s="364"/>
      <c r="AD256" s="364" t="n">
        <v>50</v>
      </c>
      <c r="AE256" s="366"/>
      <c r="AF256" s="364" t="s">
        <v>803</v>
      </c>
      <c r="AG256" s="364" t="s">
        <v>803</v>
      </c>
      <c r="AH256" s="366" t="s">
        <v>803</v>
      </c>
    </row>
    <row r="257" customFormat="false" ht="15.75" hidden="false" customHeight="false" outlineLevel="0" collapsed="false">
      <c r="A257" s="262" t="n">
        <v>218</v>
      </c>
      <c r="B257" s="361" t="n">
        <v>255</v>
      </c>
      <c r="C257" s="261" t="s">
        <v>804</v>
      </c>
      <c r="D257" s="261" t="s">
        <v>60</v>
      </c>
      <c r="E257" s="362" t="s">
        <v>804</v>
      </c>
      <c r="F257" s="261" t="s">
        <v>653</v>
      </c>
      <c r="G257" s="261" t="s">
        <v>144</v>
      </c>
      <c r="H257" s="261" t="n">
        <v>0</v>
      </c>
      <c r="I257" s="261" t="n">
        <v>1</v>
      </c>
      <c r="J257" s="361" t="n">
        <v>0</v>
      </c>
      <c r="K257" s="262" t="n">
        <v>40</v>
      </c>
      <c r="L257" s="262" t="n">
        <v>40</v>
      </c>
      <c r="M257" s="262" t="n">
        <v>40</v>
      </c>
      <c r="N257" s="262" t="n">
        <v>70</v>
      </c>
      <c r="O257" s="262" t="n">
        <v>40</v>
      </c>
      <c r="P257" s="361" t="n">
        <v>20</v>
      </c>
      <c r="Q257" s="261" t="s">
        <v>153</v>
      </c>
      <c r="R257" s="261"/>
      <c r="S257" s="363" t="n">
        <f aca="false" t="array" ref="S257:S257">IF(COUNTIF('0.3.0 GO Calculation Values'!$J$2:$J$99,C257),(INDEX('0.3.0 GO Calculation Values'!$K$2:$K$99,MATCH(C257,'0.3.0 GO Calculation Values'!$J$2:$J$99,0))),1)</f>
        <v>1</v>
      </c>
      <c r="T257" s="262" t="n">
        <f aca="false">ROUND(ROUND(2*((7/8)*MAX(L257,N257)+(1/8)*MIN(L257,N257)),0)*(1+(P257-75)/500),0)</f>
        <v>118</v>
      </c>
      <c r="U257" s="262" t="n">
        <f aca="false">ROUND(ROUND(2*((5/8)*MAX(M257,O257)+(3/8)*MIN(M257,O257)),0)*(1+(P257-75)/500),0)</f>
        <v>71</v>
      </c>
      <c r="V257" s="361" t="n">
        <f aca="false">ROUNDDOWN(K257*1.75+50,0)</f>
        <v>120</v>
      </c>
      <c r="W257" s="261" t="n">
        <v>1</v>
      </c>
      <c r="X257" s="261" t="s">
        <v>60</v>
      </c>
      <c r="Y257" s="364" t="s">
        <v>804</v>
      </c>
      <c r="Z257" s="364" t="n">
        <v>1</v>
      </c>
      <c r="AA257" s="364"/>
      <c r="AB257" s="365" t="s">
        <v>60</v>
      </c>
      <c r="AC257" s="364"/>
      <c r="AD257" s="364" t="n">
        <v>0</v>
      </c>
      <c r="AE257" s="366"/>
      <c r="AF257" s="364" t="s">
        <v>805</v>
      </c>
      <c r="AG257" s="364" t="s">
        <v>805</v>
      </c>
      <c r="AH257" s="366" t="s">
        <v>805</v>
      </c>
    </row>
    <row r="258" customFormat="false" ht="15.75" hidden="false" customHeight="false" outlineLevel="0" collapsed="false">
      <c r="A258" s="262" t="n">
        <v>219</v>
      </c>
      <c r="B258" s="361" t="n">
        <v>256</v>
      </c>
      <c r="C258" s="261" t="s">
        <v>806</v>
      </c>
      <c r="D258" s="261" t="s">
        <v>60</v>
      </c>
      <c r="E258" s="362" t="s">
        <v>806</v>
      </c>
      <c r="F258" s="261" t="s">
        <v>653</v>
      </c>
      <c r="G258" s="261" t="s">
        <v>144</v>
      </c>
      <c r="H258" s="261" t="n">
        <v>0</v>
      </c>
      <c r="I258" s="261" t="n">
        <v>2</v>
      </c>
      <c r="J258" s="361" t="n">
        <v>1</v>
      </c>
      <c r="K258" s="262" t="n">
        <v>50</v>
      </c>
      <c r="L258" s="262" t="n">
        <v>50</v>
      </c>
      <c r="M258" s="262" t="n">
        <v>120</v>
      </c>
      <c r="N258" s="262" t="n">
        <v>80</v>
      </c>
      <c r="O258" s="262" t="n">
        <v>80</v>
      </c>
      <c r="P258" s="361" t="n">
        <v>30</v>
      </c>
      <c r="Q258" s="261" t="s">
        <v>153</v>
      </c>
      <c r="R258" s="261" t="s">
        <v>149</v>
      </c>
      <c r="S258" s="363" t="n">
        <f aca="false" t="array" ref="S258:S258">IF(COUNTIF('0.3.0 GO Calculation Values'!$J$2:$J$99,C258),(INDEX('0.3.0 GO Calculation Values'!$K$2:$K$99,MATCH(C258,'0.3.0 GO Calculation Values'!$J$2:$J$99,0))),1)</f>
        <v>1</v>
      </c>
      <c r="T258" s="262" t="n">
        <f aca="false">ROUND(ROUND(2*((7/8)*MAX(L258,N258)+(1/8)*MIN(L258,N258)),0)*(1+(P258-75)/500),0)</f>
        <v>139</v>
      </c>
      <c r="U258" s="262" t="n">
        <f aca="false">ROUND(ROUND(2*((5/8)*MAX(M258,O258)+(3/8)*MIN(M258,O258)),0)*(1+(P258-75)/500),0)</f>
        <v>191</v>
      </c>
      <c r="V258" s="361" t="n">
        <f aca="false">ROUNDDOWN(K258*1.75+50,0)</f>
        <v>137</v>
      </c>
      <c r="W258" s="261" t="n">
        <v>1</v>
      </c>
      <c r="X258" s="261" t="s">
        <v>804</v>
      </c>
      <c r="Y258" s="364" t="s">
        <v>804</v>
      </c>
      <c r="Z258" s="364" t="n">
        <v>1</v>
      </c>
      <c r="AA258" s="364"/>
      <c r="AB258" s="365" t="s">
        <v>60</v>
      </c>
      <c r="AC258" s="364"/>
      <c r="AD258" s="364" t="n">
        <v>50</v>
      </c>
      <c r="AE258" s="366"/>
      <c r="AF258" s="364" t="s">
        <v>807</v>
      </c>
      <c r="AG258" s="364" t="s">
        <v>807</v>
      </c>
      <c r="AH258" s="366" t="s">
        <v>807</v>
      </c>
    </row>
    <row r="259" customFormat="false" ht="15.75" hidden="false" customHeight="false" outlineLevel="0" collapsed="false">
      <c r="A259" s="262" t="n">
        <v>220</v>
      </c>
      <c r="B259" s="361" t="n">
        <v>257</v>
      </c>
      <c r="C259" s="261" t="s">
        <v>808</v>
      </c>
      <c r="D259" s="261" t="s">
        <v>60</v>
      </c>
      <c r="E259" s="362" t="s">
        <v>808</v>
      </c>
      <c r="F259" s="261" t="s">
        <v>653</v>
      </c>
      <c r="G259" s="261" t="s">
        <v>144</v>
      </c>
      <c r="H259" s="261" t="n">
        <v>0</v>
      </c>
      <c r="I259" s="261" t="n">
        <v>1</v>
      </c>
      <c r="J259" s="361" t="n">
        <v>0</v>
      </c>
      <c r="K259" s="262" t="n">
        <v>50</v>
      </c>
      <c r="L259" s="262" t="n">
        <v>50</v>
      </c>
      <c r="M259" s="262" t="n">
        <v>40</v>
      </c>
      <c r="N259" s="262" t="n">
        <v>30</v>
      </c>
      <c r="O259" s="262" t="n">
        <v>30</v>
      </c>
      <c r="P259" s="361" t="n">
        <v>50</v>
      </c>
      <c r="Q259" s="261" t="s">
        <v>158</v>
      </c>
      <c r="R259" s="261" t="s">
        <v>148</v>
      </c>
      <c r="S259" s="363" t="n">
        <f aca="false" t="array" ref="S259:S259">IF(COUNTIF('0.3.0 GO Calculation Values'!$J$2:$J$99,C259),(INDEX('0.3.0 GO Calculation Values'!$K$2:$K$99,MATCH(C259,'0.3.0 GO Calculation Values'!$J$2:$J$99,0))),1)</f>
        <v>1</v>
      </c>
      <c r="T259" s="262" t="n">
        <f aca="false">ROUND(ROUND(2*((7/8)*MAX(L259,N259)+(1/8)*MIN(L259,N259)),0)*(1+(P259-75)/500),0)</f>
        <v>90</v>
      </c>
      <c r="U259" s="262" t="n">
        <f aca="false">ROUND(ROUND(2*((5/8)*MAX(M259,O259)+(3/8)*MIN(M259,O259)),0)*(1+(P259-75)/500),0)</f>
        <v>69</v>
      </c>
      <c r="V259" s="361" t="n">
        <f aca="false">ROUNDDOWN(K259*1.75+50,0)</f>
        <v>137</v>
      </c>
      <c r="W259" s="261" t="n">
        <v>1</v>
      </c>
      <c r="X259" s="261" t="s">
        <v>60</v>
      </c>
      <c r="Y259" s="364" t="s">
        <v>808</v>
      </c>
      <c r="Z259" s="364" t="n">
        <v>3</v>
      </c>
      <c r="AA259" s="364"/>
      <c r="AB259" s="365" t="n">
        <v>2</v>
      </c>
      <c r="AC259" s="364"/>
      <c r="AD259" s="364" t="n">
        <v>0</v>
      </c>
      <c r="AE259" s="366"/>
      <c r="AF259" s="364" t="s">
        <v>809</v>
      </c>
      <c r="AG259" s="364" t="s">
        <v>809</v>
      </c>
      <c r="AH259" s="366" t="s">
        <v>809</v>
      </c>
    </row>
    <row r="260" customFormat="false" ht="15.75" hidden="false" customHeight="false" outlineLevel="0" collapsed="false">
      <c r="A260" s="262" t="n">
        <v>221</v>
      </c>
      <c r="B260" s="361" t="n">
        <v>258</v>
      </c>
      <c r="C260" s="261" t="s">
        <v>810</v>
      </c>
      <c r="D260" s="261" t="s">
        <v>60</v>
      </c>
      <c r="E260" s="362" t="s">
        <v>810</v>
      </c>
      <c r="F260" s="261" t="s">
        <v>653</v>
      </c>
      <c r="G260" s="261" t="s">
        <v>144</v>
      </c>
      <c r="H260" s="261" t="n">
        <v>0</v>
      </c>
      <c r="I260" s="261" t="n">
        <v>2</v>
      </c>
      <c r="J260" s="361" t="n">
        <v>1</v>
      </c>
      <c r="K260" s="262" t="n">
        <v>100</v>
      </c>
      <c r="L260" s="262" t="n">
        <v>100</v>
      </c>
      <c r="M260" s="262" t="n">
        <v>80</v>
      </c>
      <c r="N260" s="262" t="n">
        <v>60</v>
      </c>
      <c r="O260" s="262" t="n">
        <v>60</v>
      </c>
      <c r="P260" s="361" t="n">
        <v>50</v>
      </c>
      <c r="Q260" s="261" t="s">
        <v>158</v>
      </c>
      <c r="R260" s="261" t="s">
        <v>148</v>
      </c>
      <c r="S260" s="363" t="n">
        <f aca="false" t="array" ref="S260:S260">IF(COUNTIF('0.3.0 GO Calculation Values'!$J$2:$J$99,C260),(INDEX('0.3.0 GO Calculation Values'!$K$2:$K$99,MATCH(C260,'0.3.0 GO Calculation Values'!$J$2:$J$99,0))),1)</f>
        <v>1</v>
      </c>
      <c r="T260" s="262" t="n">
        <f aca="false">ROUND(ROUND(2*((7/8)*MAX(L260,N260)+(1/8)*MIN(L260,N260)),0)*(1+(P260-75)/500),0)</f>
        <v>181</v>
      </c>
      <c r="U260" s="262" t="n">
        <f aca="false">ROUND(ROUND(2*((5/8)*MAX(M260,O260)+(3/8)*MIN(M260,O260)),0)*(1+(P260-75)/500),0)</f>
        <v>138</v>
      </c>
      <c r="V260" s="361" t="n">
        <f aca="false">ROUNDDOWN(K260*1.75+50,0)</f>
        <v>225</v>
      </c>
      <c r="W260" s="261" t="n">
        <v>1</v>
      </c>
      <c r="X260" s="261" t="s">
        <v>808</v>
      </c>
      <c r="Y260" s="364" t="s">
        <v>808</v>
      </c>
      <c r="Z260" s="364" t="n">
        <v>3</v>
      </c>
      <c r="AA260" s="364"/>
      <c r="AB260" s="365" t="n">
        <v>2</v>
      </c>
      <c r="AC260" s="364"/>
      <c r="AD260" s="364" t="n">
        <v>50</v>
      </c>
      <c r="AE260" s="366"/>
      <c r="AF260" s="364" t="s">
        <v>811</v>
      </c>
      <c r="AG260" s="364" t="s">
        <v>811</v>
      </c>
      <c r="AH260" s="366" t="s">
        <v>811</v>
      </c>
    </row>
    <row r="261" customFormat="false" ht="15.75" hidden="false" customHeight="false" outlineLevel="0" collapsed="false">
      <c r="A261" s="262" t="n">
        <v>222</v>
      </c>
      <c r="B261" s="361" t="n">
        <v>259</v>
      </c>
      <c r="C261" s="261" t="s">
        <v>812</v>
      </c>
      <c r="D261" s="261" t="s">
        <v>60</v>
      </c>
      <c r="E261" s="362" t="s">
        <v>812</v>
      </c>
      <c r="F261" s="261" t="s">
        <v>653</v>
      </c>
      <c r="G261" s="261" t="s">
        <v>144</v>
      </c>
      <c r="H261" s="261" t="n">
        <v>0</v>
      </c>
      <c r="I261" s="261" t="n">
        <v>1</v>
      </c>
      <c r="J261" s="361" t="n">
        <v>1</v>
      </c>
      <c r="K261" s="262" t="n">
        <v>55</v>
      </c>
      <c r="L261" s="262" t="n">
        <v>55</v>
      </c>
      <c r="M261" s="262" t="n">
        <v>85</v>
      </c>
      <c r="N261" s="262" t="n">
        <v>65</v>
      </c>
      <c r="O261" s="262" t="n">
        <v>85</v>
      </c>
      <c r="P261" s="361" t="n">
        <v>35</v>
      </c>
      <c r="Q261" s="261" t="s">
        <v>154</v>
      </c>
      <c r="R261" s="261" t="s">
        <v>149</v>
      </c>
      <c r="S261" s="363" t="n">
        <f aca="false" t="array" ref="S261:S261">IF(COUNTIF('0.3.0 GO Calculation Values'!$J$2:$J$99,C261),(INDEX('0.3.0 GO Calculation Values'!$K$2:$K$99,MATCH(C261,'0.3.0 GO Calculation Values'!$J$2:$J$99,0))),1)</f>
        <v>1</v>
      </c>
      <c r="T261" s="262" t="n">
        <f aca="false">ROUND(ROUND(2*((7/8)*MAX(L261,N261)+(1/8)*MIN(L261,N261)),0)*(1+(P261-75)/500),0)</f>
        <v>118</v>
      </c>
      <c r="U261" s="262" t="n">
        <f aca="false">ROUND(ROUND(2*((5/8)*MAX(M261,O261)+(3/8)*MIN(M261,O261)),0)*(1+(P261-75)/500),0)</f>
        <v>156</v>
      </c>
      <c r="V261" s="361" t="n">
        <f aca="false">ROUNDDOWN(K261*1.75+50,0)</f>
        <v>146</v>
      </c>
      <c r="W261" s="261" t="n">
        <v>1</v>
      </c>
      <c r="X261" s="261" t="s">
        <v>60</v>
      </c>
      <c r="Y261" s="364" t="s">
        <v>812</v>
      </c>
      <c r="Z261" s="364" t="n">
        <v>3</v>
      </c>
      <c r="AA261" s="364"/>
      <c r="AB261" s="365" t="s">
        <v>60</v>
      </c>
      <c r="AC261" s="364"/>
      <c r="AD261" s="364" t="n">
        <v>0</v>
      </c>
      <c r="AE261" s="366"/>
      <c r="AF261" s="364" t="s">
        <v>813</v>
      </c>
      <c r="AG261" s="364" t="s">
        <v>813</v>
      </c>
      <c r="AH261" s="366" t="s">
        <v>813</v>
      </c>
    </row>
    <row r="262" customFormat="false" ht="15.75" hidden="false" customHeight="false" outlineLevel="0" collapsed="false">
      <c r="A262" s="262" t="n">
        <v>223</v>
      </c>
      <c r="B262" s="361" t="n">
        <v>260</v>
      </c>
      <c r="C262" s="261" t="s">
        <v>814</v>
      </c>
      <c r="D262" s="261" t="s">
        <v>60</v>
      </c>
      <c r="E262" s="362" t="s">
        <v>814</v>
      </c>
      <c r="F262" s="261" t="s">
        <v>653</v>
      </c>
      <c r="G262" s="261" t="s">
        <v>144</v>
      </c>
      <c r="H262" s="261" t="n">
        <v>0</v>
      </c>
      <c r="I262" s="261" t="n">
        <v>1</v>
      </c>
      <c r="J262" s="361" t="n">
        <v>0</v>
      </c>
      <c r="K262" s="262" t="n">
        <v>35</v>
      </c>
      <c r="L262" s="262" t="n">
        <v>65</v>
      </c>
      <c r="M262" s="262" t="n">
        <v>35</v>
      </c>
      <c r="N262" s="262" t="n">
        <v>65</v>
      </c>
      <c r="O262" s="262" t="n">
        <v>35</v>
      </c>
      <c r="P262" s="361" t="n">
        <v>65</v>
      </c>
      <c r="Q262" s="261" t="s">
        <v>154</v>
      </c>
      <c r="R262" s="261"/>
      <c r="S262" s="363" t="n">
        <f aca="false" t="array" ref="S262:S262">IF(COUNTIF('0.3.0 GO Calculation Values'!$J$2:$J$99,C262),(INDEX('0.3.0 GO Calculation Values'!$K$2:$K$99,MATCH(C262,'0.3.0 GO Calculation Values'!$J$2:$J$99,0))),1)</f>
        <v>1</v>
      </c>
      <c r="T262" s="262" t="n">
        <f aca="false">ROUND(ROUND(2*((7/8)*MAX(L262,N262)+(1/8)*MIN(L262,N262)),0)*(1+(P262-75)/500),0)</f>
        <v>127</v>
      </c>
      <c r="U262" s="262" t="n">
        <f aca="false">ROUND(ROUND(2*((5/8)*MAX(M262,O262)+(3/8)*MIN(M262,O262)),0)*(1+(P262-75)/500),0)</f>
        <v>69</v>
      </c>
      <c r="V262" s="361" t="n">
        <f aca="false">ROUNDDOWN(K262*1.75+50,0)</f>
        <v>111</v>
      </c>
      <c r="W262" s="261" t="n">
        <v>1</v>
      </c>
      <c r="X262" s="261" t="s">
        <v>60</v>
      </c>
      <c r="Y262" s="364" t="s">
        <v>814</v>
      </c>
      <c r="Z262" s="364" t="n">
        <v>1</v>
      </c>
      <c r="AA262" s="364"/>
      <c r="AB262" s="365" t="n">
        <v>2</v>
      </c>
      <c r="AC262" s="364"/>
      <c r="AD262" s="364" t="n">
        <v>0</v>
      </c>
      <c r="AE262" s="366"/>
      <c r="AF262" s="364" t="s">
        <v>815</v>
      </c>
      <c r="AG262" s="364" t="s">
        <v>815</v>
      </c>
      <c r="AH262" s="366" t="s">
        <v>815</v>
      </c>
    </row>
    <row r="263" customFormat="false" ht="15.75" hidden="false" customHeight="false" outlineLevel="0" collapsed="false">
      <c r="A263" s="262" t="n">
        <v>224</v>
      </c>
      <c r="B263" s="361" t="n">
        <v>261</v>
      </c>
      <c r="C263" s="261" t="s">
        <v>816</v>
      </c>
      <c r="D263" s="261" t="s">
        <v>60</v>
      </c>
      <c r="E263" s="362" t="s">
        <v>816</v>
      </c>
      <c r="F263" s="261" t="s">
        <v>653</v>
      </c>
      <c r="G263" s="261" t="s">
        <v>144</v>
      </c>
      <c r="H263" s="261" t="n">
        <v>0</v>
      </c>
      <c r="I263" s="261" t="n">
        <v>2</v>
      </c>
      <c r="J263" s="361" t="n">
        <v>1</v>
      </c>
      <c r="K263" s="262" t="n">
        <v>75</v>
      </c>
      <c r="L263" s="262" t="n">
        <v>105</v>
      </c>
      <c r="M263" s="262" t="n">
        <v>75</v>
      </c>
      <c r="N263" s="262" t="n">
        <v>105</v>
      </c>
      <c r="O263" s="262" t="n">
        <v>75</v>
      </c>
      <c r="P263" s="361" t="n">
        <v>45</v>
      </c>
      <c r="Q263" s="261" t="s">
        <v>154</v>
      </c>
      <c r="R263" s="261"/>
      <c r="S263" s="363" t="n">
        <f aca="false" t="array" ref="S263:S263">IF(COUNTIF('0.3.0 GO Calculation Values'!$J$2:$J$99,C263),(INDEX('0.3.0 GO Calculation Values'!$K$2:$K$99,MATCH(C263,'0.3.0 GO Calculation Values'!$J$2:$J$99,0))),1)</f>
        <v>1</v>
      </c>
      <c r="T263" s="262" t="n">
        <f aca="false">ROUND(ROUND(2*((7/8)*MAX(L263,N263)+(1/8)*MIN(L263,N263)),0)*(1+(P263-75)/500),0)</f>
        <v>197</v>
      </c>
      <c r="U263" s="262" t="n">
        <f aca="false">ROUND(ROUND(2*((5/8)*MAX(M263,O263)+(3/8)*MIN(M263,O263)),0)*(1+(P263-75)/500),0)</f>
        <v>141</v>
      </c>
      <c r="V263" s="361" t="n">
        <f aca="false">ROUNDDOWN(K263*1.75+50,0)</f>
        <v>181</v>
      </c>
      <c r="W263" s="261" t="n">
        <v>1</v>
      </c>
      <c r="X263" s="261" t="s">
        <v>814</v>
      </c>
      <c r="Y263" s="364" t="s">
        <v>814</v>
      </c>
      <c r="Z263" s="364" t="n">
        <v>1</v>
      </c>
      <c r="AA263" s="364"/>
      <c r="AB263" s="365" t="n">
        <v>2</v>
      </c>
      <c r="AC263" s="364"/>
      <c r="AD263" s="364" t="n">
        <v>50</v>
      </c>
      <c r="AE263" s="366"/>
      <c r="AF263" s="364" t="s">
        <v>817</v>
      </c>
      <c r="AG263" s="364" t="s">
        <v>817</v>
      </c>
      <c r="AH263" s="366" t="s">
        <v>817</v>
      </c>
    </row>
    <row r="264" customFormat="false" ht="15.75" hidden="false" customHeight="false" outlineLevel="0" collapsed="false">
      <c r="A264" s="262" t="n">
        <v>225</v>
      </c>
      <c r="B264" s="361" t="n">
        <v>262</v>
      </c>
      <c r="C264" s="261" t="s">
        <v>818</v>
      </c>
      <c r="D264" s="261" t="s">
        <v>60</v>
      </c>
      <c r="E264" s="362" t="s">
        <v>818</v>
      </c>
      <c r="F264" s="261" t="s">
        <v>653</v>
      </c>
      <c r="G264" s="261" t="s">
        <v>144</v>
      </c>
      <c r="H264" s="261" t="n">
        <v>0</v>
      </c>
      <c r="I264" s="261" t="n">
        <v>1</v>
      </c>
      <c r="J264" s="361" t="n">
        <v>1</v>
      </c>
      <c r="K264" s="262" t="n">
        <v>45</v>
      </c>
      <c r="L264" s="262" t="n">
        <v>55</v>
      </c>
      <c r="M264" s="262" t="n">
        <v>45</v>
      </c>
      <c r="N264" s="262" t="n">
        <v>65</v>
      </c>
      <c r="O264" s="262" t="n">
        <v>45</v>
      </c>
      <c r="P264" s="361" t="n">
        <v>75</v>
      </c>
      <c r="Q264" s="261" t="s">
        <v>158</v>
      </c>
      <c r="R264" s="261" t="s">
        <v>146</v>
      </c>
      <c r="S264" s="363" t="n">
        <f aca="false" t="array" ref="S264:S264">IF(COUNTIF('0.3.0 GO Calculation Values'!$J$2:$J$99,C264),(INDEX('0.3.0 GO Calculation Values'!$K$2:$K$99,MATCH(C264,'0.3.0 GO Calculation Values'!$J$2:$J$99,0))),1)</f>
        <v>1</v>
      </c>
      <c r="T264" s="262" t="n">
        <f aca="false">ROUND(ROUND(2*((7/8)*MAX(L264,N264)+(1/8)*MIN(L264,N264)),0)*(1+(P264-75)/500),0)</f>
        <v>128</v>
      </c>
      <c r="U264" s="262" t="n">
        <f aca="false">ROUND(ROUND(2*((5/8)*MAX(M264,O264)+(3/8)*MIN(M264,O264)),0)*(1+(P264-75)/500),0)</f>
        <v>90</v>
      </c>
      <c r="V264" s="361" t="n">
        <f aca="false">ROUNDDOWN(K264*1.75+50,0)</f>
        <v>128</v>
      </c>
      <c r="W264" s="261" t="n">
        <v>1</v>
      </c>
      <c r="X264" s="261" t="s">
        <v>60</v>
      </c>
      <c r="Y264" s="364" t="s">
        <v>818</v>
      </c>
      <c r="Z264" s="364" t="n">
        <v>5</v>
      </c>
      <c r="AA264" s="364"/>
      <c r="AB264" s="365" t="s">
        <v>60</v>
      </c>
      <c r="AC264" s="364"/>
      <c r="AD264" s="364" t="n">
        <v>0</v>
      </c>
      <c r="AE264" s="366"/>
      <c r="AF264" s="364" t="s">
        <v>819</v>
      </c>
      <c r="AG264" s="364" t="s">
        <v>819</v>
      </c>
      <c r="AH264" s="366" t="s">
        <v>819</v>
      </c>
    </row>
    <row r="265" customFormat="false" ht="15.75" hidden="false" customHeight="false" outlineLevel="0" collapsed="false">
      <c r="A265" s="262" t="n">
        <v>226</v>
      </c>
      <c r="B265" s="361" t="n">
        <v>263</v>
      </c>
      <c r="C265" s="261" t="s">
        <v>820</v>
      </c>
      <c r="D265" s="261" t="s">
        <v>60</v>
      </c>
      <c r="E265" s="362" t="s">
        <v>820</v>
      </c>
      <c r="F265" s="261" t="s">
        <v>653</v>
      </c>
      <c r="G265" s="261" t="s">
        <v>144</v>
      </c>
      <c r="H265" s="261" t="n">
        <v>0</v>
      </c>
      <c r="I265" s="261" t="n">
        <v>2</v>
      </c>
      <c r="J265" s="361" t="n">
        <v>1</v>
      </c>
      <c r="K265" s="262" t="n">
        <v>65</v>
      </c>
      <c r="L265" s="262" t="n">
        <v>40</v>
      </c>
      <c r="M265" s="262" t="n">
        <v>70</v>
      </c>
      <c r="N265" s="262" t="n">
        <v>80</v>
      </c>
      <c r="O265" s="262" t="n">
        <v>140</v>
      </c>
      <c r="P265" s="361" t="n">
        <v>70</v>
      </c>
      <c r="Q265" s="261" t="s">
        <v>154</v>
      </c>
      <c r="R265" s="261" t="s">
        <v>146</v>
      </c>
      <c r="S265" s="363" t="n">
        <f aca="false" t="array" ref="S265:S265">IF(COUNTIF('0.3.0 GO Calculation Values'!$J$2:$J$99,C265),(INDEX('0.3.0 GO Calculation Values'!$K$2:$K$99,MATCH(C265,'0.3.0 GO Calculation Values'!$J$2:$J$99,0))),1)</f>
        <v>1</v>
      </c>
      <c r="T265" s="262" t="n">
        <f aca="false">ROUND(ROUND(2*((7/8)*MAX(L265,N265)+(1/8)*MIN(L265,N265)),0)*(1+(P265-75)/500),0)</f>
        <v>149</v>
      </c>
      <c r="U265" s="262" t="n">
        <f aca="false">ROUND(ROUND(2*((5/8)*MAX(M265,O265)+(3/8)*MIN(M265,O265)),0)*(1+(P265-75)/500),0)</f>
        <v>226</v>
      </c>
      <c r="V265" s="361" t="n">
        <f aca="false">ROUNDDOWN(K265*1.75+50,0)</f>
        <v>163</v>
      </c>
      <c r="W265" s="261" t="n">
        <v>1</v>
      </c>
      <c r="X265" s="261" t="s">
        <v>821</v>
      </c>
      <c r="Y265" s="364" t="s">
        <v>820</v>
      </c>
      <c r="Z265" s="364" t="n">
        <v>5</v>
      </c>
      <c r="AA265" s="364"/>
      <c r="AB265" s="365" t="n">
        <v>5</v>
      </c>
      <c r="AC265" s="364"/>
      <c r="AD265" s="364" t="n">
        <v>0</v>
      </c>
      <c r="AE265" s="366"/>
      <c r="AF265" s="364" t="s">
        <v>822</v>
      </c>
      <c r="AG265" s="364" t="s">
        <v>822</v>
      </c>
      <c r="AH265" s="366" t="s">
        <v>822</v>
      </c>
    </row>
    <row r="266" customFormat="false" ht="15.75" hidden="false" customHeight="false" outlineLevel="0" collapsed="false">
      <c r="A266" s="262" t="n">
        <v>227</v>
      </c>
      <c r="B266" s="361" t="n">
        <v>264</v>
      </c>
      <c r="C266" s="261" t="s">
        <v>823</v>
      </c>
      <c r="D266" s="261" t="s">
        <v>60</v>
      </c>
      <c r="E266" s="362" t="s">
        <v>823</v>
      </c>
      <c r="F266" s="261" t="s">
        <v>653</v>
      </c>
      <c r="G266" s="261" t="s">
        <v>144</v>
      </c>
      <c r="H266" s="261" t="n">
        <v>0</v>
      </c>
      <c r="I266" s="261" t="n">
        <v>1</v>
      </c>
      <c r="J266" s="361" t="n">
        <v>1</v>
      </c>
      <c r="K266" s="262" t="n">
        <v>65</v>
      </c>
      <c r="L266" s="262" t="n">
        <v>80</v>
      </c>
      <c r="M266" s="262" t="n">
        <v>140</v>
      </c>
      <c r="N266" s="262" t="n">
        <v>40</v>
      </c>
      <c r="O266" s="262" t="n">
        <v>70</v>
      </c>
      <c r="P266" s="361" t="n">
        <v>70</v>
      </c>
      <c r="Q266" s="261" t="s">
        <v>152</v>
      </c>
      <c r="R266" s="261" t="s">
        <v>146</v>
      </c>
      <c r="S266" s="363" t="n">
        <f aca="false" t="array" ref="S266:S266">IF(COUNTIF('0.3.0 GO Calculation Values'!$J$2:$J$99,C266),(INDEX('0.3.0 GO Calculation Values'!$K$2:$K$99,MATCH(C266,'0.3.0 GO Calculation Values'!$J$2:$J$99,0))),1)</f>
        <v>1</v>
      </c>
      <c r="T266" s="262" t="n">
        <f aca="false">ROUND(ROUND(2*((7/8)*MAX(L266,N266)+(1/8)*MIN(L266,N266)),0)*(1+(P266-75)/500),0)</f>
        <v>149</v>
      </c>
      <c r="U266" s="262" t="n">
        <f aca="false">ROUND(ROUND(2*((5/8)*MAX(M266,O266)+(3/8)*MIN(M266,O266)),0)*(1+(P266-75)/500),0)</f>
        <v>226</v>
      </c>
      <c r="V266" s="361" t="n">
        <f aca="false">ROUNDDOWN(K266*1.75+50,0)</f>
        <v>163</v>
      </c>
      <c r="W266" s="261" t="n">
        <v>1</v>
      </c>
      <c r="X266" s="261" t="s">
        <v>60</v>
      </c>
      <c r="Y266" s="364" t="s">
        <v>823</v>
      </c>
      <c r="Z266" s="364" t="n">
        <v>5</v>
      </c>
      <c r="AA266" s="364"/>
      <c r="AB266" s="365" t="n">
        <v>10</v>
      </c>
      <c r="AC266" s="364"/>
      <c r="AD266" s="364" t="n">
        <v>0</v>
      </c>
      <c r="AE266" s="366"/>
      <c r="AF266" s="364" t="s">
        <v>824</v>
      </c>
      <c r="AG266" s="364" t="s">
        <v>824</v>
      </c>
      <c r="AH266" s="366" t="s">
        <v>824</v>
      </c>
    </row>
    <row r="267" customFormat="false" ht="15.75" hidden="false" customHeight="false" outlineLevel="0" collapsed="false">
      <c r="A267" s="262" t="n">
        <v>228</v>
      </c>
      <c r="B267" s="361" t="n">
        <v>265</v>
      </c>
      <c r="C267" s="261" t="s">
        <v>825</v>
      </c>
      <c r="D267" s="261" t="s">
        <v>60</v>
      </c>
      <c r="E267" s="362" t="s">
        <v>825</v>
      </c>
      <c r="F267" s="261" t="s">
        <v>653</v>
      </c>
      <c r="G267" s="261" t="s">
        <v>144</v>
      </c>
      <c r="H267" s="261" t="n">
        <v>0</v>
      </c>
      <c r="I267" s="261" t="n">
        <v>1</v>
      </c>
      <c r="J267" s="361" t="n">
        <v>0</v>
      </c>
      <c r="K267" s="262" t="n">
        <v>45</v>
      </c>
      <c r="L267" s="262" t="n">
        <v>60</v>
      </c>
      <c r="M267" s="262" t="n">
        <v>30</v>
      </c>
      <c r="N267" s="262" t="n">
        <v>80</v>
      </c>
      <c r="O267" s="262" t="n">
        <v>50</v>
      </c>
      <c r="P267" s="361" t="n">
        <v>65</v>
      </c>
      <c r="Q267" s="261" t="s">
        <v>160</v>
      </c>
      <c r="R267" s="261" t="s">
        <v>153</v>
      </c>
      <c r="S267" s="363" t="n">
        <f aca="false" t="array" ref="S267:S267">IF(COUNTIF('0.3.0 GO Calculation Values'!$J$2:$J$99,C267),(INDEX('0.3.0 GO Calculation Values'!$K$2:$K$99,MATCH(C267,'0.3.0 GO Calculation Values'!$J$2:$J$99,0))),1)</f>
        <v>1</v>
      </c>
      <c r="T267" s="262" t="n">
        <f aca="false">ROUND(ROUND(2*((7/8)*MAX(L267,N267)+(1/8)*MIN(L267,N267)),0)*(1+(P267-75)/500),0)</f>
        <v>152</v>
      </c>
      <c r="U267" s="262" t="n">
        <f aca="false">ROUND(ROUND(2*((5/8)*MAX(M267,O267)+(3/8)*MIN(M267,O267)),0)*(1+(P267-75)/500),0)</f>
        <v>83</v>
      </c>
      <c r="V267" s="361" t="n">
        <f aca="false">ROUNDDOWN(K267*1.75+50,0)</f>
        <v>128</v>
      </c>
      <c r="W267" s="261" t="n">
        <v>1</v>
      </c>
      <c r="X267" s="261" t="s">
        <v>60</v>
      </c>
      <c r="Y267" s="364" t="s">
        <v>825</v>
      </c>
      <c r="Z267" s="364" t="n">
        <v>3</v>
      </c>
      <c r="AA267" s="364"/>
      <c r="AB267" s="365" t="n">
        <v>5</v>
      </c>
      <c r="AC267" s="364"/>
      <c r="AD267" s="364" t="n">
        <v>0</v>
      </c>
      <c r="AE267" s="366"/>
      <c r="AF267" s="364" t="s">
        <v>826</v>
      </c>
      <c r="AG267" s="364" t="s">
        <v>826</v>
      </c>
      <c r="AH267" s="366" t="s">
        <v>826</v>
      </c>
    </row>
    <row r="268" customFormat="false" ht="15.75" hidden="false" customHeight="false" outlineLevel="0" collapsed="false">
      <c r="A268" s="262" t="n">
        <v>229</v>
      </c>
      <c r="B268" s="361" t="n">
        <v>266</v>
      </c>
      <c r="C268" s="261" t="s">
        <v>827</v>
      </c>
      <c r="D268" s="261" t="s">
        <v>7</v>
      </c>
      <c r="E268" s="367" t="s">
        <v>827</v>
      </c>
      <c r="F268" s="261" t="s">
        <v>653</v>
      </c>
      <c r="G268" s="261" t="s">
        <v>144</v>
      </c>
      <c r="H268" s="261" t="n">
        <v>0</v>
      </c>
      <c r="I268" s="261" t="n">
        <v>2</v>
      </c>
      <c r="J268" s="361" t="n">
        <v>1</v>
      </c>
      <c r="K268" s="262" t="n">
        <v>75</v>
      </c>
      <c r="L268" s="262" t="n">
        <v>90</v>
      </c>
      <c r="M268" s="262" t="n">
        <v>50</v>
      </c>
      <c r="N268" s="262" t="n">
        <v>110</v>
      </c>
      <c r="O268" s="262" t="n">
        <v>80</v>
      </c>
      <c r="P268" s="361" t="n">
        <v>95</v>
      </c>
      <c r="Q268" s="261" t="s">
        <v>160</v>
      </c>
      <c r="R268" s="261" t="s">
        <v>153</v>
      </c>
      <c r="S268" s="363" t="n">
        <f aca="false" t="array" ref="S268:S268">IF(COUNTIF('0.3.0 GO Calculation Values'!$J$2:$J$99,C268),(INDEX('0.3.0 GO Calculation Values'!$K$2:$K$99,MATCH(C268,'0.3.0 GO Calculation Values'!$J$2:$J$99,0))),1)</f>
        <v>1</v>
      </c>
      <c r="T268" s="262" t="n">
        <f aca="false">ROUND(ROUND(2*((7/8)*MAX(L268,N268)+(1/8)*MIN(L268,N268)),0)*(1+(P268-75)/500),0)</f>
        <v>224</v>
      </c>
      <c r="U268" s="262" t="n">
        <f aca="false">ROUND(ROUND(2*((5/8)*MAX(M268,O268)+(3/8)*MIN(M268,O268)),0)*(1+(P268-75)/500),0)</f>
        <v>144</v>
      </c>
      <c r="V268" s="361" t="n">
        <f aca="false">ROUNDDOWN(K268*1.75+50,0)</f>
        <v>181</v>
      </c>
      <c r="W268" s="261" t="n">
        <v>1</v>
      </c>
      <c r="X268" s="261" t="s">
        <v>825</v>
      </c>
      <c r="Y268" s="364" t="s">
        <v>825</v>
      </c>
      <c r="Z268" s="364" t="n">
        <v>3</v>
      </c>
      <c r="AA268" s="364"/>
      <c r="AB268" s="365" t="n">
        <v>5</v>
      </c>
      <c r="AC268" s="364"/>
      <c r="AD268" s="364" t="n">
        <v>50</v>
      </c>
      <c r="AE268" s="366"/>
      <c r="AF268" s="364" t="s">
        <v>828</v>
      </c>
      <c r="AG268" s="364" t="s">
        <v>828</v>
      </c>
      <c r="AH268" s="366" t="s">
        <v>828</v>
      </c>
    </row>
    <row r="269" customFormat="false" ht="15.75" hidden="false" customHeight="false" outlineLevel="0" collapsed="false">
      <c r="A269" s="262" t="n">
        <v>229</v>
      </c>
      <c r="B269" s="361" t="n">
        <v>267</v>
      </c>
      <c r="C269" s="261" t="s">
        <v>827</v>
      </c>
      <c r="D269" s="261" t="s">
        <v>829</v>
      </c>
      <c r="E269" s="358" t="s">
        <v>830</v>
      </c>
      <c r="F269" s="261" t="s">
        <v>713</v>
      </c>
      <c r="G269" s="261" t="s">
        <v>144</v>
      </c>
      <c r="H269" s="261" t="n">
        <v>2</v>
      </c>
      <c r="I269" s="261" t="n">
        <v>3</v>
      </c>
      <c r="J269" s="361" t="n">
        <v>1</v>
      </c>
      <c r="K269" s="262" t="n">
        <v>75</v>
      </c>
      <c r="L269" s="262" t="n">
        <v>90</v>
      </c>
      <c r="M269" s="262" t="n">
        <v>90</v>
      </c>
      <c r="N269" s="262" t="n">
        <v>140</v>
      </c>
      <c r="O269" s="262" t="n">
        <v>90</v>
      </c>
      <c r="P269" s="361" t="n">
        <v>115</v>
      </c>
      <c r="Q269" s="261" t="s">
        <v>160</v>
      </c>
      <c r="R269" s="261" t="s">
        <v>153</v>
      </c>
      <c r="S269" s="363" t="n">
        <f aca="false" t="array" ref="S269:S269">IF(COUNTIF('0.3.0 GO Calculation Values'!$J$2:$J$99,C269),(INDEX('0.3.0 GO Calculation Values'!$K$2:$K$99,MATCH(C269,'0.3.0 GO Calculation Values'!$J$2:$J$99,0))),1)</f>
        <v>1</v>
      </c>
      <c r="T269" s="262" t="n">
        <f aca="false">ROUND(ROUND(2*((7/8)*MAX(L269,N269)+(1/8)*MIN(L269,N269)),0)*(1+(P269-75)/500),0)</f>
        <v>289</v>
      </c>
      <c r="U269" s="262" t="n">
        <f aca="false">ROUND(ROUND(2*((5/8)*MAX(M269,O269)+(3/8)*MIN(M269,O269)),0)*(1+(P269-75)/500),0)</f>
        <v>194</v>
      </c>
      <c r="V269" s="361" t="n">
        <f aca="false">ROUNDDOWN(K269*1.75+50,0)</f>
        <v>181</v>
      </c>
      <c r="W269" s="261" t="n">
        <v>0</v>
      </c>
      <c r="X269" s="261" t="s">
        <v>827</v>
      </c>
      <c r="Y269" s="364" t="s">
        <v>825</v>
      </c>
      <c r="Z269" s="364" t="n">
        <v>3</v>
      </c>
      <c r="AA269" s="364"/>
      <c r="AB269" s="365" t="n">
        <v>5</v>
      </c>
      <c r="AC269" s="364"/>
      <c r="AD269" s="364" t="n">
        <v>50</v>
      </c>
      <c r="AE269" s="366"/>
      <c r="AF269" s="364" t="s">
        <v>831</v>
      </c>
      <c r="AG269" s="364" t="s">
        <v>831</v>
      </c>
      <c r="AH269" s="366" t="s">
        <v>831</v>
      </c>
    </row>
    <row r="270" customFormat="false" ht="15.75" hidden="false" customHeight="false" outlineLevel="0" collapsed="false">
      <c r="A270" s="262" t="n">
        <v>230</v>
      </c>
      <c r="B270" s="361" t="n">
        <v>268</v>
      </c>
      <c r="C270" s="261" t="s">
        <v>832</v>
      </c>
      <c r="D270" s="261" t="s">
        <v>60</v>
      </c>
      <c r="E270" s="362" t="s">
        <v>832</v>
      </c>
      <c r="F270" s="261" t="s">
        <v>653</v>
      </c>
      <c r="G270" s="261" t="s">
        <v>144</v>
      </c>
      <c r="H270" s="261" t="n">
        <v>0</v>
      </c>
      <c r="I270" s="261" t="n">
        <v>3</v>
      </c>
      <c r="J270" s="361" t="n">
        <v>1</v>
      </c>
      <c r="K270" s="262" t="n">
        <v>75</v>
      </c>
      <c r="L270" s="262" t="n">
        <v>95</v>
      </c>
      <c r="M270" s="262" t="n">
        <v>95</v>
      </c>
      <c r="N270" s="262" t="n">
        <v>95</v>
      </c>
      <c r="O270" s="262" t="n">
        <v>95</v>
      </c>
      <c r="P270" s="361" t="n">
        <v>85</v>
      </c>
      <c r="Q270" s="261" t="s">
        <v>154</v>
      </c>
      <c r="R270" s="261" t="s">
        <v>159</v>
      </c>
      <c r="S270" s="363" t="n">
        <f aca="false" t="array" ref="S270:S270">IF(COUNTIF('0.3.0 GO Calculation Values'!$J$2:$J$99,C270),(INDEX('0.3.0 GO Calculation Values'!$K$2:$K$99,MATCH(C270,'0.3.0 GO Calculation Values'!$J$2:$J$99,0))),1)</f>
        <v>1</v>
      </c>
      <c r="T270" s="262" t="n">
        <f aca="false">ROUND(ROUND(2*((7/8)*MAX(L270,N270)+(1/8)*MIN(L270,N270)),0)*(1+(P270-75)/500),0)</f>
        <v>194</v>
      </c>
      <c r="U270" s="262" t="n">
        <f aca="false">ROUND(ROUND(2*((5/8)*MAX(M270,O270)+(3/8)*MIN(M270,O270)),0)*(1+(P270-75)/500),0)</f>
        <v>194</v>
      </c>
      <c r="V270" s="361" t="n">
        <f aca="false">ROUNDDOWN(K270*1.75+50,0)</f>
        <v>181</v>
      </c>
      <c r="W270" s="261" t="n">
        <v>1</v>
      </c>
      <c r="X270" s="261" t="s">
        <v>556</v>
      </c>
      <c r="Y270" s="364" t="s">
        <v>554</v>
      </c>
      <c r="Z270" s="364" t="n">
        <v>3</v>
      </c>
      <c r="AA270" s="364"/>
      <c r="AB270" s="365" t="s">
        <v>60</v>
      </c>
      <c r="AC270" s="364"/>
      <c r="AD270" s="364" t="n">
        <v>100</v>
      </c>
      <c r="AE270" s="362" t="s">
        <v>833</v>
      </c>
      <c r="AF270" s="364" t="s">
        <v>834</v>
      </c>
      <c r="AG270" s="364" t="s">
        <v>834</v>
      </c>
      <c r="AH270" s="366" t="s">
        <v>834</v>
      </c>
    </row>
    <row r="271" customFormat="false" ht="15.75" hidden="false" customHeight="false" outlineLevel="0" collapsed="false">
      <c r="A271" s="262" t="n">
        <v>231</v>
      </c>
      <c r="B271" s="361" t="n">
        <v>269</v>
      </c>
      <c r="C271" s="261" t="s">
        <v>835</v>
      </c>
      <c r="D271" s="261" t="s">
        <v>60</v>
      </c>
      <c r="E271" s="362" t="s">
        <v>835</v>
      </c>
      <c r="F271" s="261" t="s">
        <v>653</v>
      </c>
      <c r="G271" s="261" t="s">
        <v>144</v>
      </c>
      <c r="H271" s="261" t="n">
        <v>0</v>
      </c>
      <c r="I271" s="261" t="n">
        <v>1</v>
      </c>
      <c r="J271" s="361" t="n">
        <v>0</v>
      </c>
      <c r="K271" s="262" t="n">
        <v>90</v>
      </c>
      <c r="L271" s="262" t="n">
        <v>60</v>
      </c>
      <c r="M271" s="262" t="n">
        <v>60</v>
      </c>
      <c r="N271" s="262" t="n">
        <v>40</v>
      </c>
      <c r="O271" s="262" t="n">
        <v>40</v>
      </c>
      <c r="P271" s="361" t="n">
        <v>40</v>
      </c>
      <c r="Q271" s="261" t="s">
        <v>148</v>
      </c>
      <c r="R271" s="261"/>
      <c r="S271" s="363" t="n">
        <f aca="false" t="array" ref="S271:S271">IF(COUNTIF('0.3.0 GO Calculation Values'!$J$2:$J$99,C271),(INDEX('0.3.0 GO Calculation Values'!$K$2:$K$99,MATCH(C271,'0.3.0 GO Calculation Values'!$J$2:$J$99,0))),1)</f>
        <v>1</v>
      </c>
      <c r="T271" s="262" t="n">
        <f aca="false">ROUND(ROUND(2*((7/8)*MAX(L271,N271)+(1/8)*MIN(L271,N271)),0)*(1+(P271-75)/500),0)</f>
        <v>107</v>
      </c>
      <c r="U271" s="262" t="n">
        <f aca="false">ROUND(ROUND(2*((5/8)*MAX(M271,O271)+(3/8)*MIN(M271,O271)),0)*(1+(P271-75)/500),0)</f>
        <v>98</v>
      </c>
      <c r="V271" s="361" t="n">
        <f aca="false">ROUNDDOWN(K271*1.75+50,0)</f>
        <v>207</v>
      </c>
      <c r="W271" s="261" t="n">
        <v>1</v>
      </c>
      <c r="X271" s="261" t="s">
        <v>60</v>
      </c>
      <c r="Y271" s="364" t="s">
        <v>835</v>
      </c>
      <c r="Z271" s="364" t="n">
        <v>3</v>
      </c>
      <c r="AA271" s="364"/>
      <c r="AB271" s="365" t="n">
        <v>5</v>
      </c>
      <c r="AC271" s="364"/>
      <c r="AD271" s="364" t="n">
        <v>0</v>
      </c>
      <c r="AE271" s="366"/>
      <c r="AF271" s="364" t="s">
        <v>836</v>
      </c>
      <c r="AG271" s="364" t="s">
        <v>836</v>
      </c>
      <c r="AH271" s="366" t="s">
        <v>836</v>
      </c>
    </row>
    <row r="272" customFormat="false" ht="15.75" hidden="false" customHeight="false" outlineLevel="0" collapsed="false">
      <c r="A272" s="262" t="n">
        <v>232</v>
      </c>
      <c r="B272" s="361" t="n">
        <v>270</v>
      </c>
      <c r="C272" s="261" t="s">
        <v>837</v>
      </c>
      <c r="D272" s="261" t="s">
        <v>60</v>
      </c>
      <c r="E272" s="362" t="s">
        <v>837</v>
      </c>
      <c r="F272" s="261" t="s">
        <v>653</v>
      </c>
      <c r="G272" s="261" t="s">
        <v>144</v>
      </c>
      <c r="H272" s="261" t="n">
        <v>0</v>
      </c>
      <c r="I272" s="261" t="n">
        <v>2</v>
      </c>
      <c r="J272" s="361" t="n">
        <v>1</v>
      </c>
      <c r="K272" s="262" t="n">
        <v>90</v>
      </c>
      <c r="L272" s="262" t="n">
        <v>120</v>
      </c>
      <c r="M272" s="262" t="n">
        <v>120</v>
      </c>
      <c r="N272" s="262" t="n">
        <v>60</v>
      </c>
      <c r="O272" s="262" t="n">
        <v>60</v>
      </c>
      <c r="P272" s="361" t="n">
        <v>50</v>
      </c>
      <c r="Q272" s="261" t="s">
        <v>148</v>
      </c>
      <c r="R272" s="261"/>
      <c r="S272" s="363" t="n">
        <f aca="false" t="array" ref="S272:S272">IF(COUNTIF('0.3.0 GO Calculation Values'!$J$2:$J$99,C272),(INDEX('0.3.0 GO Calculation Values'!$K$2:$K$99,MATCH(C272,'0.3.0 GO Calculation Values'!$J$2:$J$99,0))),1)</f>
        <v>1</v>
      </c>
      <c r="T272" s="262" t="n">
        <f aca="false">ROUND(ROUND(2*((7/8)*MAX(L272,N272)+(1/8)*MIN(L272,N272)),0)*(1+(P272-75)/500),0)</f>
        <v>214</v>
      </c>
      <c r="U272" s="262" t="n">
        <f aca="false">ROUND(ROUND(2*((5/8)*MAX(M272,O272)+(3/8)*MIN(M272,O272)),0)*(1+(P272-75)/500),0)</f>
        <v>185</v>
      </c>
      <c r="V272" s="361" t="n">
        <f aca="false">ROUNDDOWN(K272*1.75+50,0)</f>
        <v>207</v>
      </c>
      <c r="W272" s="261" t="n">
        <v>1</v>
      </c>
      <c r="X272" s="261" t="s">
        <v>835</v>
      </c>
      <c r="Y272" s="364" t="s">
        <v>835</v>
      </c>
      <c r="Z272" s="364" t="n">
        <v>3</v>
      </c>
      <c r="AA272" s="364"/>
      <c r="AB272" s="365" t="n">
        <v>5</v>
      </c>
      <c r="AC272" s="364"/>
      <c r="AD272" s="364" t="n">
        <v>50</v>
      </c>
      <c r="AE272" s="366"/>
      <c r="AF272" s="364" t="s">
        <v>838</v>
      </c>
      <c r="AG272" s="364" t="s">
        <v>838</v>
      </c>
      <c r="AH272" s="366" t="s">
        <v>838</v>
      </c>
    </row>
    <row r="273" customFormat="false" ht="15.75" hidden="false" customHeight="false" outlineLevel="0" collapsed="false">
      <c r="A273" s="262" t="n">
        <v>233</v>
      </c>
      <c r="B273" s="361" t="n">
        <v>271</v>
      </c>
      <c r="C273" s="261" t="s">
        <v>839</v>
      </c>
      <c r="D273" s="261" t="s">
        <v>60</v>
      </c>
      <c r="E273" s="362" t="s">
        <v>839</v>
      </c>
      <c r="F273" s="261" t="s">
        <v>653</v>
      </c>
      <c r="G273" s="261" t="s">
        <v>144</v>
      </c>
      <c r="H273" s="261" t="n">
        <v>0</v>
      </c>
      <c r="I273" s="261" t="n">
        <v>2</v>
      </c>
      <c r="J273" s="361" t="n">
        <v>1</v>
      </c>
      <c r="K273" s="262" t="n">
        <v>85</v>
      </c>
      <c r="L273" s="262" t="n">
        <v>80</v>
      </c>
      <c r="M273" s="262" t="n">
        <v>90</v>
      </c>
      <c r="N273" s="262" t="n">
        <v>105</v>
      </c>
      <c r="O273" s="262" t="n">
        <v>95</v>
      </c>
      <c r="P273" s="361" t="n">
        <v>60</v>
      </c>
      <c r="Q273" s="261" t="s">
        <v>144</v>
      </c>
      <c r="R273" s="261"/>
      <c r="S273" s="363" t="n">
        <f aca="false" t="array" ref="S273:S273">IF(COUNTIF('0.3.0 GO Calculation Values'!$J$2:$J$99,C273),(INDEX('0.3.0 GO Calculation Values'!$K$2:$K$99,MATCH(C273,'0.3.0 GO Calculation Values'!$J$2:$J$99,0))),1)</f>
        <v>1</v>
      </c>
      <c r="T273" s="262" t="n">
        <f aca="false">ROUND(ROUND(2*((7/8)*MAX(L273,N273)+(1/8)*MIN(L273,N273)),0)*(1+(P273-75)/500),0)</f>
        <v>198</v>
      </c>
      <c r="U273" s="262" t="n">
        <f aca="false">ROUND(ROUND(2*((5/8)*MAX(M273,O273)+(3/8)*MIN(M273,O273)),0)*(1+(P273-75)/500),0)</f>
        <v>180</v>
      </c>
      <c r="V273" s="361" t="n">
        <f aca="false">ROUNDDOWN(K273*1.75+50,0)</f>
        <v>198</v>
      </c>
      <c r="W273" s="261" t="n">
        <v>1</v>
      </c>
      <c r="X273" s="261" t="s">
        <v>606</v>
      </c>
      <c r="Y273" s="364" t="s">
        <v>606</v>
      </c>
      <c r="Z273" s="364" t="n">
        <v>3</v>
      </c>
      <c r="AA273" s="364"/>
      <c r="AB273" s="365" t="n">
        <v>10</v>
      </c>
      <c r="AC273" s="364"/>
      <c r="AD273" s="364" t="n">
        <v>50</v>
      </c>
      <c r="AE273" s="362" t="s">
        <v>840</v>
      </c>
      <c r="AF273" s="364" t="s">
        <v>841</v>
      </c>
      <c r="AG273" s="364" t="s">
        <v>841</v>
      </c>
      <c r="AH273" s="366" t="s">
        <v>841</v>
      </c>
    </row>
    <row r="274" customFormat="false" ht="15.75" hidden="false" customHeight="false" outlineLevel="0" collapsed="false">
      <c r="A274" s="262" t="n">
        <v>234</v>
      </c>
      <c r="B274" s="361" t="n">
        <v>272</v>
      </c>
      <c r="C274" s="261" t="s">
        <v>842</v>
      </c>
      <c r="D274" s="261" t="s">
        <v>60</v>
      </c>
      <c r="E274" s="362" t="s">
        <v>842</v>
      </c>
      <c r="F274" s="261" t="s">
        <v>653</v>
      </c>
      <c r="G274" s="261" t="s">
        <v>144</v>
      </c>
      <c r="H274" s="261" t="n">
        <v>0</v>
      </c>
      <c r="I274" s="261" t="n">
        <v>1</v>
      </c>
      <c r="J274" s="361" t="n">
        <v>1</v>
      </c>
      <c r="K274" s="262" t="n">
        <v>73</v>
      </c>
      <c r="L274" s="262" t="n">
        <v>95</v>
      </c>
      <c r="M274" s="262" t="n">
        <v>62</v>
      </c>
      <c r="N274" s="262" t="n">
        <v>85</v>
      </c>
      <c r="O274" s="262" t="n">
        <v>65</v>
      </c>
      <c r="P274" s="361" t="n">
        <v>85</v>
      </c>
      <c r="Q274" s="261" t="s">
        <v>144</v>
      </c>
      <c r="R274" s="261"/>
      <c r="S274" s="363" t="n">
        <f aca="false" t="array" ref="S274:S274">IF(COUNTIF('0.3.0 GO Calculation Values'!$J$2:$J$99,C274),(INDEX('0.3.0 GO Calculation Values'!$K$2:$K$99,MATCH(C274,'0.3.0 GO Calculation Values'!$J$2:$J$99,0))),1)</f>
        <v>1</v>
      </c>
      <c r="T274" s="262" t="n">
        <f aca="false">ROUND(ROUND(2*((7/8)*MAX(L274,N274)+(1/8)*MIN(L274,N274)),0)*(1+(P274-75)/500),0)</f>
        <v>192</v>
      </c>
      <c r="U274" s="262" t="n">
        <f aca="false">ROUND(ROUND(2*((5/8)*MAX(M274,O274)+(3/8)*MIN(M274,O274)),0)*(1+(P274-75)/500),0)</f>
        <v>131</v>
      </c>
      <c r="V274" s="361" t="n">
        <f aca="false">ROUNDDOWN(K274*1.75+50,0)</f>
        <v>177</v>
      </c>
      <c r="W274" s="261" t="n">
        <v>1</v>
      </c>
      <c r="X274" s="261" t="s">
        <v>60</v>
      </c>
      <c r="Y274" s="364" t="s">
        <v>842</v>
      </c>
      <c r="Z274" s="364" t="n">
        <v>3</v>
      </c>
      <c r="AA274" s="364"/>
      <c r="AB274" s="365" t="n">
        <v>5</v>
      </c>
      <c r="AC274" s="364"/>
      <c r="AD274" s="364" t="n">
        <v>0</v>
      </c>
      <c r="AE274" s="366"/>
      <c r="AF274" s="364" t="s">
        <v>843</v>
      </c>
      <c r="AG274" s="364" t="s">
        <v>843</v>
      </c>
      <c r="AH274" s="366" t="s">
        <v>843</v>
      </c>
    </row>
    <row r="275" customFormat="false" ht="15.75" hidden="false" customHeight="false" outlineLevel="0" collapsed="false">
      <c r="A275" s="262" t="n">
        <v>235</v>
      </c>
      <c r="B275" s="361" t="n">
        <v>273</v>
      </c>
      <c r="C275" s="261" t="s">
        <v>844</v>
      </c>
      <c r="D275" s="261" t="s">
        <v>60</v>
      </c>
      <c r="E275" s="362" t="s">
        <v>844</v>
      </c>
      <c r="F275" s="261" t="s">
        <v>653</v>
      </c>
      <c r="G275" s="261" t="s">
        <v>144</v>
      </c>
      <c r="H275" s="261" t="n">
        <v>0</v>
      </c>
      <c r="I275" s="261" t="n">
        <v>1</v>
      </c>
      <c r="J275" s="361" t="n">
        <v>0</v>
      </c>
      <c r="K275" s="262" t="n">
        <v>55</v>
      </c>
      <c r="L275" s="262" t="n">
        <v>20</v>
      </c>
      <c r="M275" s="262" t="n">
        <v>35</v>
      </c>
      <c r="N275" s="262" t="n">
        <v>20</v>
      </c>
      <c r="O275" s="262" t="n">
        <v>45</v>
      </c>
      <c r="P275" s="361" t="n">
        <v>75</v>
      </c>
      <c r="Q275" s="261" t="s">
        <v>144</v>
      </c>
      <c r="R275" s="261"/>
      <c r="S275" s="363" t="n">
        <f aca="false" t="array" ref="S275:S275">IF(COUNTIF('0.3.0 GO Calculation Values'!$J$2:$J$99,C275),(INDEX('0.3.0 GO Calculation Values'!$K$2:$K$99,MATCH(C275,'0.3.0 GO Calculation Values'!$J$2:$J$99,0))),1)</f>
        <v>1</v>
      </c>
      <c r="T275" s="262" t="n">
        <f aca="false">ROUND(ROUND(2*((7/8)*MAX(L275,N275)+(1/8)*MIN(L275,N275)),0)*(1+(P275-75)/500),0)</f>
        <v>40</v>
      </c>
      <c r="U275" s="262" t="n">
        <f aca="false">ROUND(ROUND(2*((5/8)*MAX(M275,O275)+(3/8)*MIN(M275,O275)),0)*(1+(P275-75)/500),0)</f>
        <v>83</v>
      </c>
      <c r="V275" s="361" t="n">
        <f aca="false">ROUNDDOWN(K275*1.75+50,0)</f>
        <v>146</v>
      </c>
      <c r="W275" s="261" t="n">
        <v>1</v>
      </c>
      <c r="X275" s="261" t="s">
        <v>60</v>
      </c>
      <c r="Y275" s="364" t="s">
        <v>844</v>
      </c>
      <c r="Z275" s="364" t="n">
        <v>3</v>
      </c>
      <c r="AA275" s="364"/>
      <c r="AB275" s="365"/>
      <c r="AC275" s="364"/>
      <c r="AD275" s="364" t="n">
        <v>0</v>
      </c>
      <c r="AE275" s="366"/>
      <c r="AF275" s="364" t="s">
        <v>845</v>
      </c>
      <c r="AG275" s="364" t="s">
        <v>845</v>
      </c>
      <c r="AH275" s="366" t="s">
        <v>845</v>
      </c>
    </row>
    <row r="276" customFormat="false" ht="15.75" hidden="false" customHeight="false" outlineLevel="0" collapsed="false">
      <c r="A276" s="262" t="n">
        <v>236</v>
      </c>
      <c r="B276" s="361" t="n">
        <v>274</v>
      </c>
      <c r="C276" s="261" t="s">
        <v>528</v>
      </c>
      <c r="D276" s="261" t="s">
        <v>60</v>
      </c>
      <c r="E276" s="362" t="s">
        <v>528</v>
      </c>
      <c r="F276" s="261" t="s">
        <v>653</v>
      </c>
      <c r="G276" s="261" t="s">
        <v>693</v>
      </c>
      <c r="H276" s="261" t="n">
        <v>0</v>
      </c>
      <c r="I276" s="261" t="n">
        <v>1</v>
      </c>
      <c r="J276" s="361" t="n">
        <v>0</v>
      </c>
      <c r="K276" s="262" t="n">
        <v>35</v>
      </c>
      <c r="L276" s="262" t="n">
        <v>35</v>
      </c>
      <c r="M276" s="262" t="n">
        <v>35</v>
      </c>
      <c r="N276" s="262" t="n">
        <v>35</v>
      </c>
      <c r="O276" s="262" t="n">
        <v>35</v>
      </c>
      <c r="P276" s="361" t="n">
        <v>35</v>
      </c>
      <c r="Q276" s="261" t="s">
        <v>145</v>
      </c>
      <c r="R276" s="261"/>
      <c r="S276" s="363" t="n">
        <f aca="false" t="array" ref="S276:S276">IF(COUNTIF('0.3.0 GO Calculation Values'!$J$2:$J$99,C276),(INDEX('0.3.0 GO Calculation Values'!$K$2:$K$99,MATCH(C276,'0.3.0 GO Calculation Values'!$J$2:$J$99,0))),1)</f>
        <v>1</v>
      </c>
      <c r="T276" s="262" t="n">
        <f aca="false">ROUND(ROUND(2*((7/8)*MAX(L276,N276)+(1/8)*MIN(L276,N276)),0)*(1+(P276-75)/500),0)</f>
        <v>64</v>
      </c>
      <c r="U276" s="262" t="n">
        <f aca="false">ROUND(ROUND(2*((5/8)*MAX(M276,O276)+(3/8)*MIN(M276,O276)),0)*(1+(P276-75)/500),0)</f>
        <v>64</v>
      </c>
      <c r="V276" s="361" t="n">
        <f aca="false">ROUNDDOWN(K276*1.75+50,0)</f>
        <v>111</v>
      </c>
      <c r="W276" s="261" t="n">
        <v>1</v>
      </c>
      <c r="X276" s="261" t="s">
        <v>60</v>
      </c>
      <c r="Y276" s="261" t="s">
        <v>528</v>
      </c>
      <c r="Z276" s="364" t="n">
        <v>5</v>
      </c>
      <c r="AA276" s="364"/>
      <c r="AB276" s="365" t="n">
        <v>5</v>
      </c>
      <c r="AC276" s="364"/>
      <c r="AD276" s="364" t="n">
        <v>0</v>
      </c>
      <c r="AE276" s="366"/>
      <c r="AF276" s="364" t="s">
        <v>846</v>
      </c>
      <c r="AG276" s="364" t="s">
        <v>846</v>
      </c>
      <c r="AH276" s="366" t="s">
        <v>846</v>
      </c>
    </row>
    <row r="277" customFormat="false" ht="15.75" hidden="false" customHeight="false" outlineLevel="0" collapsed="false">
      <c r="A277" s="262" t="n">
        <v>237</v>
      </c>
      <c r="B277" s="361" t="n">
        <v>275</v>
      </c>
      <c r="C277" s="261" t="s">
        <v>847</v>
      </c>
      <c r="D277" s="261" t="s">
        <v>60</v>
      </c>
      <c r="E277" s="362" t="s">
        <v>847</v>
      </c>
      <c r="F277" s="261" t="s">
        <v>653</v>
      </c>
      <c r="G277" s="261" t="s">
        <v>144</v>
      </c>
      <c r="H277" s="261" t="n">
        <v>0</v>
      </c>
      <c r="I277" s="261" t="n">
        <v>2</v>
      </c>
      <c r="J277" s="361" t="n">
        <v>1</v>
      </c>
      <c r="K277" s="262" t="n">
        <v>50</v>
      </c>
      <c r="L277" s="262" t="n">
        <v>95</v>
      </c>
      <c r="M277" s="262" t="n">
        <v>95</v>
      </c>
      <c r="N277" s="262" t="n">
        <v>35</v>
      </c>
      <c r="O277" s="262" t="n">
        <v>110</v>
      </c>
      <c r="P277" s="361" t="n">
        <v>70</v>
      </c>
      <c r="Q277" s="261" t="s">
        <v>145</v>
      </c>
      <c r="R277" s="261"/>
      <c r="S277" s="363" t="n">
        <f aca="false" t="array" ref="S277:S277">IF(COUNTIF('0.3.0 GO Calculation Values'!$J$2:$J$99,C277),(INDEX('0.3.0 GO Calculation Values'!$K$2:$K$99,MATCH(C277,'0.3.0 GO Calculation Values'!$J$2:$J$99,0))),1)</f>
        <v>1</v>
      </c>
      <c r="T277" s="262" t="n">
        <f aca="false">ROUND(ROUND(2*((7/8)*MAX(L277,N277)+(1/8)*MIN(L277,N277)),0)*(1+(P277-75)/500),0)</f>
        <v>173</v>
      </c>
      <c r="U277" s="262" t="n">
        <f aca="false">ROUND(ROUND(2*((5/8)*MAX(M277,O277)+(3/8)*MIN(M277,O277)),0)*(1+(P277-75)/500),0)</f>
        <v>207</v>
      </c>
      <c r="V277" s="361" t="n">
        <f aca="false">ROUNDDOWN(K277*1.75+50,0)</f>
        <v>137</v>
      </c>
      <c r="W277" s="261" t="n">
        <v>1</v>
      </c>
      <c r="X277" s="261" t="s">
        <v>528</v>
      </c>
      <c r="Y277" s="261" t="s">
        <v>528</v>
      </c>
      <c r="Z277" s="364" t="n">
        <v>5</v>
      </c>
      <c r="AA277" s="364"/>
      <c r="AB277" s="365" t="n">
        <v>5</v>
      </c>
      <c r="AC277" s="364"/>
      <c r="AD277" s="364" t="n">
        <v>25</v>
      </c>
      <c r="AE277" s="362" t="s">
        <v>848</v>
      </c>
      <c r="AF277" s="364" t="s">
        <v>849</v>
      </c>
      <c r="AG277" s="364" t="s">
        <v>849</v>
      </c>
      <c r="AH277" s="366" t="s">
        <v>849</v>
      </c>
    </row>
    <row r="278" customFormat="false" ht="15.75" hidden="false" customHeight="false" outlineLevel="0" collapsed="false">
      <c r="A278" s="262" t="n">
        <v>238</v>
      </c>
      <c r="B278" s="361" t="n">
        <v>276</v>
      </c>
      <c r="C278" s="261" t="s">
        <v>572</v>
      </c>
      <c r="D278" s="261" t="s">
        <v>60</v>
      </c>
      <c r="E278" s="362" t="s">
        <v>572</v>
      </c>
      <c r="F278" s="261" t="s">
        <v>653</v>
      </c>
      <c r="G278" s="261" t="s">
        <v>693</v>
      </c>
      <c r="H278" s="261" t="n">
        <v>0</v>
      </c>
      <c r="I278" s="261" t="n">
        <v>1</v>
      </c>
      <c r="J278" s="361" t="n">
        <v>0</v>
      </c>
      <c r="K278" s="262" t="n">
        <v>45</v>
      </c>
      <c r="L278" s="262" t="n">
        <v>30</v>
      </c>
      <c r="M278" s="262" t="n">
        <v>15</v>
      </c>
      <c r="N278" s="262" t="n">
        <v>85</v>
      </c>
      <c r="O278" s="262" t="n">
        <v>65</v>
      </c>
      <c r="P278" s="361" t="n">
        <v>65</v>
      </c>
      <c r="Q278" s="261" t="s">
        <v>158</v>
      </c>
      <c r="R278" s="261" t="s">
        <v>157</v>
      </c>
      <c r="S278" s="363" t="n">
        <f aca="false" t="array" ref="S278:S278">IF(COUNTIF('0.3.0 GO Calculation Values'!$J$2:$J$99,C278),(INDEX('0.3.0 GO Calculation Values'!$K$2:$K$99,MATCH(C278,'0.3.0 GO Calculation Values'!$J$2:$J$99,0))),1)</f>
        <v>1</v>
      </c>
      <c r="T278" s="262" t="n">
        <f aca="false">ROUND(ROUND(2*((7/8)*MAX(L278,N278)+(1/8)*MIN(L278,N278)),0)*(1+(P278-75)/500),0)</f>
        <v>153</v>
      </c>
      <c r="U278" s="262" t="n">
        <f aca="false">ROUND(ROUND(2*((5/8)*MAX(M278,O278)+(3/8)*MIN(M278,O278)),0)*(1+(P278-75)/500),0)</f>
        <v>91</v>
      </c>
      <c r="V278" s="361" t="n">
        <f aca="false">ROUNDDOWN(K278*1.75+50,0)</f>
        <v>128</v>
      </c>
      <c r="W278" s="261" t="n">
        <v>1</v>
      </c>
      <c r="X278" s="261" t="s">
        <v>60</v>
      </c>
      <c r="Y278" s="364" t="s">
        <v>571</v>
      </c>
      <c r="Z278" s="364" t="n">
        <v>5</v>
      </c>
      <c r="AA278" s="364"/>
      <c r="AB278" s="365" t="n">
        <v>5</v>
      </c>
      <c r="AC278" s="364"/>
      <c r="AD278" s="364" t="n">
        <v>0</v>
      </c>
      <c r="AE278" s="366"/>
      <c r="AF278" s="364" t="s">
        <v>850</v>
      </c>
      <c r="AG278" s="364" t="s">
        <v>850</v>
      </c>
      <c r="AH278" s="366" t="s">
        <v>850</v>
      </c>
    </row>
    <row r="279" customFormat="false" ht="15.75" hidden="false" customHeight="false" outlineLevel="0" collapsed="false">
      <c r="A279" s="262" t="n">
        <v>239</v>
      </c>
      <c r="B279" s="361" t="n">
        <v>277</v>
      </c>
      <c r="C279" s="261" t="s">
        <v>575</v>
      </c>
      <c r="D279" s="261" t="s">
        <v>60</v>
      </c>
      <c r="E279" s="362" t="s">
        <v>575</v>
      </c>
      <c r="F279" s="261" t="s">
        <v>653</v>
      </c>
      <c r="G279" s="261" t="s">
        <v>693</v>
      </c>
      <c r="H279" s="261" t="n">
        <v>0</v>
      </c>
      <c r="I279" s="261" t="n">
        <v>1</v>
      </c>
      <c r="J279" s="361" t="n">
        <v>0</v>
      </c>
      <c r="K279" s="262" t="n">
        <v>45</v>
      </c>
      <c r="L279" s="262" t="n">
        <v>63</v>
      </c>
      <c r="M279" s="262" t="n">
        <v>37</v>
      </c>
      <c r="N279" s="262" t="n">
        <v>65</v>
      </c>
      <c r="O279" s="262" t="n">
        <v>55</v>
      </c>
      <c r="P279" s="361" t="n">
        <v>95</v>
      </c>
      <c r="Q279" s="261" t="s">
        <v>156</v>
      </c>
      <c r="R279" s="261"/>
      <c r="S279" s="363" t="n">
        <f aca="false" t="array" ref="S279:S279">IF(COUNTIF('0.3.0 GO Calculation Values'!$J$2:$J$99,C279),(INDEX('0.3.0 GO Calculation Values'!$K$2:$K$99,MATCH(C279,'0.3.0 GO Calculation Values'!$J$2:$J$99,0))),1)</f>
        <v>1</v>
      </c>
      <c r="T279" s="262" t="n">
        <f aca="false">ROUND(ROUND(2*((7/8)*MAX(L279,N279)+(1/8)*MIN(L279,N279)),0)*(1+(P279-75)/500),0)</f>
        <v>135</v>
      </c>
      <c r="U279" s="262" t="n">
        <f aca="false">ROUND(ROUND(2*((5/8)*MAX(M279,O279)+(3/8)*MIN(M279,O279)),0)*(1+(P279-75)/500),0)</f>
        <v>101</v>
      </c>
      <c r="V279" s="361" t="n">
        <f aca="false">ROUNDDOWN(K279*1.75+50,0)</f>
        <v>128</v>
      </c>
      <c r="W279" s="261" t="n">
        <v>1</v>
      </c>
      <c r="X279" s="261" t="s">
        <v>60</v>
      </c>
      <c r="Y279" s="364" t="s">
        <v>574</v>
      </c>
      <c r="Z279" s="364" t="n">
        <v>5</v>
      </c>
      <c r="AA279" s="364"/>
      <c r="AB279" s="365" t="n">
        <v>5</v>
      </c>
      <c r="AC279" s="364"/>
      <c r="AD279" s="364" t="n">
        <v>0</v>
      </c>
      <c r="AE279" s="366"/>
      <c r="AF279" s="364" t="s">
        <v>851</v>
      </c>
      <c r="AG279" s="364" t="s">
        <v>851</v>
      </c>
      <c r="AH279" s="366" t="s">
        <v>851</v>
      </c>
    </row>
    <row r="280" customFormat="false" ht="15.75" hidden="false" customHeight="false" outlineLevel="0" collapsed="false">
      <c r="A280" s="262" t="n">
        <v>240</v>
      </c>
      <c r="B280" s="361" t="n">
        <v>278</v>
      </c>
      <c r="C280" s="261" t="s">
        <v>578</v>
      </c>
      <c r="D280" s="261" t="s">
        <v>60</v>
      </c>
      <c r="E280" s="362" t="s">
        <v>578</v>
      </c>
      <c r="F280" s="261" t="s">
        <v>653</v>
      </c>
      <c r="G280" s="261" t="s">
        <v>693</v>
      </c>
      <c r="H280" s="261" t="n">
        <v>0</v>
      </c>
      <c r="I280" s="261" t="n">
        <v>1</v>
      </c>
      <c r="J280" s="361" t="n">
        <v>0</v>
      </c>
      <c r="K280" s="262" t="n">
        <v>45</v>
      </c>
      <c r="L280" s="262" t="n">
        <v>75</v>
      </c>
      <c r="M280" s="262" t="n">
        <v>37</v>
      </c>
      <c r="N280" s="262" t="n">
        <v>70</v>
      </c>
      <c r="O280" s="262" t="n">
        <v>55</v>
      </c>
      <c r="P280" s="361" t="n">
        <v>83</v>
      </c>
      <c r="Q280" s="261" t="s">
        <v>153</v>
      </c>
      <c r="R280" s="261"/>
      <c r="S280" s="363" t="n">
        <f aca="false" t="array" ref="S280:S280">IF(COUNTIF('0.3.0 GO Calculation Values'!$J$2:$J$99,C280),(INDEX('0.3.0 GO Calculation Values'!$K$2:$K$99,MATCH(C280,'0.3.0 GO Calculation Values'!$J$2:$J$99,0))),1)</f>
        <v>1</v>
      </c>
      <c r="T280" s="262" t="n">
        <f aca="false">ROUND(ROUND(2*((7/8)*MAX(L280,N280)+(1/8)*MIN(L280,N280)),0)*(1+(P280-75)/500),0)</f>
        <v>151</v>
      </c>
      <c r="U280" s="262" t="n">
        <f aca="false">ROUND(ROUND(2*((5/8)*MAX(M280,O280)+(3/8)*MIN(M280,O280)),0)*(1+(P280-75)/500),0)</f>
        <v>99</v>
      </c>
      <c r="V280" s="361" t="n">
        <f aca="false">ROUNDDOWN(K280*1.75+50,0)</f>
        <v>128</v>
      </c>
      <c r="W280" s="261" t="n">
        <v>1</v>
      </c>
      <c r="X280" s="261" t="s">
        <v>60</v>
      </c>
      <c r="Y280" s="364" t="s">
        <v>577</v>
      </c>
      <c r="Z280" s="364" t="n">
        <v>5</v>
      </c>
      <c r="AA280" s="364"/>
      <c r="AB280" s="365" t="n">
        <v>5</v>
      </c>
      <c r="AC280" s="364"/>
      <c r="AD280" s="364" t="n">
        <v>0</v>
      </c>
      <c r="AE280" s="366"/>
      <c r="AF280" s="364" t="s">
        <v>852</v>
      </c>
      <c r="AG280" s="364" t="s">
        <v>852</v>
      </c>
      <c r="AH280" s="366" t="s">
        <v>852</v>
      </c>
    </row>
    <row r="281" customFormat="false" ht="15.75" hidden="false" customHeight="false" outlineLevel="0" collapsed="false">
      <c r="A281" s="262" t="n">
        <v>241</v>
      </c>
      <c r="B281" s="361" t="n">
        <v>279</v>
      </c>
      <c r="C281" s="261" t="s">
        <v>853</v>
      </c>
      <c r="D281" s="261" t="s">
        <v>60</v>
      </c>
      <c r="E281" s="362" t="s">
        <v>853</v>
      </c>
      <c r="F281" s="261" t="s">
        <v>653</v>
      </c>
      <c r="G281" s="261" t="s">
        <v>144</v>
      </c>
      <c r="H281" s="261" t="n">
        <v>0</v>
      </c>
      <c r="I281" s="261" t="n">
        <v>1</v>
      </c>
      <c r="J281" s="361" t="n">
        <v>1</v>
      </c>
      <c r="K281" s="262" t="n">
        <v>95</v>
      </c>
      <c r="L281" s="262" t="n">
        <v>80</v>
      </c>
      <c r="M281" s="262" t="n">
        <v>105</v>
      </c>
      <c r="N281" s="262" t="n">
        <v>40</v>
      </c>
      <c r="O281" s="262" t="n">
        <v>70</v>
      </c>
      <c r="P281" s="361" t="n">
        <v>100</v>
      </c>
      <c r="Q281" s="261" t="s">
        <v>144</v>
      </c>
      <c r="R281" s="261"/>
      <c r="S281" s="363" t="n">
        <f aca="false" t="array" ref="S281:S281">IF(COUNTIF('0.3.0 GO Calculation Values'!$J$2:$J$99,C281),(INDEX('0.3.0 GO Calculation Values'!$K$2:$K$99,MATCH(C281,'0.3.0 GO Calculation Values'!$J$2:$J$99,0))),1)</f>
        <v>1</v>
      </c>
      <c r="T281" s="262" t="n">
        <f aca="false">ROUND(ROUND(2*((7/8)*MAX(L281,N281)+(1/8)*MIN(L281,N281)),0)*(1+(P281-75)/500),0)</f>
        <v>158</v>
      </c>
      <c r="U281" s="262" t="n">
        <f aca="false">ROUND(ROUND(2*((5/8)*MAX(M281,O281)+(3/8)*MIN(M281,O281)),0)*(1+(P281-75)/500),0)</f>
        <v>193</v>
      </c>
      <c r="V281" s="361" t="n">
        <f aca="false">ROUNDDOWN(K281*1.75+50,0)</f>
        <v>216</v>
      </c>
      <c r="W281" s="261" t="n">
        <v>1</v>
      </c>
      <c r="X281" s="261" t="s">
        <v>60</v>
      </c>
      <c r="Y281" s="364" t="s">
        <v>853</v>
      </c>
      <c r="Z281" s="364" t="n">
        <v>5</v>
      </c>
      <c r="AA281" s="364"/>
      <c r="AB281" s="365" t="n">
        <v>10</v>
      </c>
      <c r="AC281" s="364"/>
      <c r="AD281" s="364" t="n">
        <v>0</v>
      </c>
      <c r="AE281" s="366"/>
      <c r="AF281" s="364" t="s">
        <v>854</v>
      </c>
      <c r="AG281" s="364" t="s">
        <v>854</v>
      </c>
      <c r="AH281" s="366" t="s">
        <v>854</v>
      </c>
    </row>
    <row r="282" customFormat="false" ht="15.75" hidden="false" customHeight="false" outlineLevel="0" collapsed="false">
      <c r="A282" s="262" t="n">
        <v>242</v>
      </c>
      <c r="B282" s="361" t="n">
        <v>280</v>
      </c>
      <c r="C282" s="261" t="s">
        <v>855</v>
      </c>
      <c r="D282" s="261" t="s">
        <v>60</v>
      </c>
      <c r="E282" s="362" t="s">
        <v>855</v>
      </c>
      <c r="F282" s="261" t="s">
        <v>653</v>
      </c>
      <c r="G282" s="261" t="s">
        <v>144</v>
      </c>
      <c r="H282" s="261" t="n">
        <v>0</v>
      </c>
      <c r="I282" s="261" t="n">
        <v>3</v>
      </c>
      <c r="J282" s="361" t="n">
        <v>1</v>
      </c>
      <c r="K282" s="262" t="n">
        <v>255</v>
      </c>
      <c r="L282" s="262" t="n">
        <v>10</v>
      </c>
      <c r="M282" s="262" t="n">
        <v>10</v>
      </c>
      <c r="N282" s="262" t="n">
        <v>75</v>
      </c>
      <c r="O282" s="262" t="n">
        <v>135</v>
      </c>
      <c r="P282" s="361" t="n">
        <v>55</v>
      </c>
      <c r="Q282" s="261" t="s">
        <v>144</v>
      </c>
      <c r="R282" s="261"/>
      <c r="S282" s="363" t="n">
        <f aca="false" t="array" ref="S282:S282">IF(COUNTIF('0.3.0 GO Calculation Values'!$J$2:$J$99,C282),(INDEX('0.3.0 GO Calculation Values'!$K$2:$K$99,MATCH(C282,'0.3.0 GO Calculation Values'!$J$2:$J$99,0))),1)</f>
        <v>1</v>
      </c>
      <c r="T282" s="262" t="n">
        <f aca="false">ROUND(ROUND(2*((7/8)*MAX(L282,N282)+(1/8)*MIN(L282,N282)),0)*(1+(P282-75)/500),0)</f>
        <v>129</v>
      </c>
      <c r="U282" s="262" t="n">
        <f aca="false">ROUND(ROUND(2*((5/8)*MAX(M282,O282)+(3/8)*MIN(M282,O282)),0)*(1+(P282-75)/500),0)</f>
        <v>169</v>
      </c>
      <c r="V282" s="361" t="n">
        <f aca="false">ROUNDDOWN(K282*1.75+50,0)</f>
        <v>496</v>
      </c>
      <c r="W282" s="261" t="n">
        <v>1</v>
      </c>
      <c r="X282" s="261" t="s">
        <v>544</v>
      </c>
      <c r="Y282" s="364" t="s">
        <v>544</v>
      </c>
      <c r="Z282" s="364" t="n">
        <v>5</v>
      </c>
      <c r="AA282" s="364"/>
      <c r="AB282" s="365" t="n">
        <v>10</v>
      </c>
      <c r="AC282" s="364"/>
      <c r="AD282" s="364" t="n">
        <v>50</v>
      </c>
      <c r="AE282" s="366"/>
      <c r="AF282" s="364" t="s">
        <v>856</v>
      </c>
      <c r="AG282" s="364" t="s">
        <v>856</v>
      </c>
      <c r="AH282" s="366" t="s">
        <v>856</v>
      </c>
    </row>
    <row r="283" customFormat="false" ht="15.75" hidden="false" customHeight="false" outlineLevel="0" collapsed="false">
      <c r="A283" s="262" t="n">
        <v>243</v>
      </c>
      <c r="B283" s="361" t="n">
        <v>281</v>
      </c>
      <c r="C283" s="261" t="s">
        <v>857</v>
      </c>
      <c r="D283" s="261" t="s">
        <v>60</v>
      </c>
      <c r="E283" s="362" t="s">
        <v>857</v>
      </c>
      <c r="F283" s="261" t="s">
        <v>653</v>
      </c>
      <c r="G283" s="261" t="s">
        <v>625</v>
      </c>
      <c r="H283" s="261" t="n">
        <v>0</v>
      </c>
      <c r="I283" s="261" t="n">
        <v>1</v>
      </c>
      <c r="J283" s="361" t="n">
        <v>1</v>
      </c>
      <c r="K283" s="262" t="n">
        <v>90</v>
      </c>
      <c r="L283" s="262" t="n">
        <v>85</v>
      </c>
      <c r="M283" s="262" t="n">
        <v>75</v>
      </c>
      <c r="N283" s="262" t="n">
        <v>115</v>
      </c>
      <c r="O283" s="262" t="n">
        <v>100</v>
      </c>
      <c r="P283" s="361" t="n">
        <v>115</v>
      </c>
      <c r="Q283" s="261" t="s">
        <v>156</v>
      </c>
      <c r="R283" s="261"/>
      <c r="S283" s="363" t="n">
        <f aca="false" t="array" ref="S283:S283">IF(COUNTIF('0.3.0 GO Calculation Values'!$J$2:$J$99,C283),(INDEX('0.3.0 GO Calculation Values'!$K$2:$K$99,MATCH(C283,'0.3.0 GO Calculation Values'!$J$2:$J$99,0))),1)</f>
        <v>1</v>
      </c>
      <c r="T283" s="262" t="n">
        <f aca="false">ROUND(ROUND(2*((7/8)*MAX(L283,N283)+(1/8)*MIN(L283,N283)),0)*(1+(P283-75)/500),0)</f>
        <v>241</v>
      </c>
      <c r="U283" s="262" t="n">
        <f aca="false">ROUND(ROUND(2*((5/8)*MAX(M283,O283)+(3/8)*MIN(M283,O283)),0)*(1+(P283-75)/500),0)</f>
        <v>195</v>
      </c>
      <c r="V283" s="361" t="n">
        <f aca="false">ROUNDDOWN(K283*1.75+50,0)</f>
        <v>207</v>
      </c>
      <c r="W283" s="261" t="n">
        <v>1</v>
      </c>
      <c r="X283" s="261" t="s">
        <v>60</v>
      </c>
      <c r="Y283" s="364" t="s">
        <v>857</v>
      </c>
      <c r="Z283" s="364" t="n">
        <v>20</v>
      </c>
      <c r="AA283" s="364"/>
      <c r="AB283" s="365" t="s">
        <v>60</v>
      </c>
      <c r="AC283" s="364"/>
      <c r="AD283" s="364" t="n">
        <v>0</v>
      </c>
      <c r="AE283" s="366"/>
      <c r="AF283" s="364" t="s">
        <v>858</v>
      </c>
      <c r="AG283" s="364" t="s">
        <v>858</v>
      </c>
      <c r="AH283" s="366" t="s">
        <v>858</v>
      </c>
    </row>
    <row r="284" customFormat="false" ht="15.75" hidden="false" customHeight="false" outlineLevel="0" collapsed="false">
      <c r="A284" s="262" t="n">
        <v>244</v>
      </c>
      <c r="B284" s="361" t="n">
        <v>282</v>
      </c>
      <c r="C284" s="261" t="s">
        <v>859</v>
      </c>
      <c r="D284" s="261" t="s">
        <v>60</v>
      </c>
      <c r="E284" s="362" t="s">
        <v>859</v>
      </c>
      <c r="F284" s="261" t="s">
        <v>653</v>
      </c>
      <c r="G284" s="261" t="s">
        <v>625</v>
      </c>
      <c r="H284" s="261" t="n">
        <v>0</v>
      </c>
      <c r="I284" s="261" t="n">
        <v>1</v>
      </c>
      <c r="J284" s="361" t="n">
        <v>1</v>
      </c>
      <c r="K284" s="262" t="n">
        <v>115</v>
      </c>
      <c r="L284" s="262" t="n">
        <v>115</v>
      </c>
      <c r="M284" s="262" t="n">
        <v>85</v>
      </c>
      <c r="N284" s="262" t="n">
        <v>90</v>
      </c>
      <c r="O284" s="262" t="n">
        <v>75</v>
      </c>
      <c r="P284" s="361" t="n">
        <v>100</v>
      </c>
      <c r="Q284" s="261" t="s">
        <v>153</v>
      </c>
      <c r="R284" s="261"/>
      <c r="S284" s="363" t="n">
        <f aca="false" t="array" ref="S284:S284">IF(COUNTIF('0.3.0 GO Calculation Values'!$J$2:$J$99,C284),(INDEX('0.3.0 GO Calculation Values'!$K$2:$K$99,MATCH(C284,'0.3.0 GO Calculation Values'!$J$2:$J$99,0))),1)</f>
        <v>1</v>
      </c>
      <c r="T284" s="262" t="n">
        <f aca="false">ROUND(ROUND(2*((7/8)*MAX(L284,N284)+(1/8)*MIN(L284,N284)),0)*(1+(P284-75)/500),0)</f>
        <v>235</v>
      </c>
      <c r="U284" s="262" t="n">
        <f aca="false">ROUND(ROUND(2*((5/8)*MAX(M284,O284)+(3/8)*MIN(M284,O284)),0)*(1+(P284-75)/500),0)</f>
        <v>171</v>
      </c>
      <c r="V284" s="361" t="n">
        <f aca="false">ROUNDDOWN(K284*1.75+50,0)</f>
        <v>251</v>
      </c>
      <c r="W284" s="261" t="n">
        <v>1</v>
      </c>
      <c r="X284" s="261" t="s">
        <v>60</v>
      </c>
      <c r="Y284" s="364" t="s">
        <v>859</v>
      </c>
      <c r="Z284" s="364" t="n">
        <v>20</v>
      </c>
      <c r="AA284" s="364"/>
      <c r="AB284" s="365" t="s">
        <v>60</v>
      </c>
      <c r="AC284" s="364"/>
      <c r="AD284" s="364" t="n">
        <v>0</v>
      </c>
      <c r="AE284" s="366"/>
      <c r="AF284" s="364" t="s">
        <v>860</v>
      </c>
      <c r="AG284" s="364" t="s">
        <v>860</v>
      </c>
      <c r="AH284" s="366" t="s">
        <v>860</v>
      </c>
    </row>
    <row r="285" customFormat="false" ht="15.75" hidden="false" customHeight="false" outlineLevel="0" collapsed="false">
      <c r="A285" s="262" t="n">
        <v>245</v>
      </c>
      <c r="B285" s="361" t="n">
        <v>283</v>
      </c>
      <c r="C285" s="261" t="s">
        <v>861</v>
      </c>
      <c r="D285" s="261" t="s">
        <v>60</v>
      </c>
      <c r="E285" s="362" t="s">
        <v>861</v>
      </c>
      <c r="F285" s="261" t="s">
        <v>653</v>
      </c>
      <c r="G285" s="261" t="s">
        <v>625</v>
      </c>
      <c r="H285" s="261" t="n">
        <v>0</v>
      </c>
      <c r="I285" s="261" t="n">
        <v>1</v>
      </c>
      <c r="J285" s="361" t="n">
        <v>1</v>
      </c>
      <c r="K285" s="262" t="n">
        <v>100</v>
      </c>
      <c r="L285" s="262" t="n">
        <v>75</v>
      </c>
      <c r="M285" s="262" t="n">
        <v>115</v>
      </c>
      <c r="N285" s="262" t="n">
        <v>90</v>
      </c>
      <c r="O285" s="262" t="n">
        <v>115</v>
      </c>
      <c r="P285" s="361" t="n">
        <v>85</v>
      </c>
      <c r="Q285" s="261" t="s">
        <v>154</v>
      </c>
      <c r="R285" s="261"/>
      <c r="S285" s="363" t="n">
        <f aca="false" t="array" ref="S285:S285">IF(COUNTIF('0.3.0 GO Calculation Values'!$J$2:$J$99,C285),(INDEX('0.3.0 GO Calculation Values'!$K$2:$K$99,MATCH(C285,'0.3.0 GO Calculation Values'!$J$2:$J$99,0))),1)</f>
        <v>1</v>
      </c>
      <c r="T285" s="262" t="n">
        <f aca="false">ROUND(ROUND(2*((7/8)*MAX(L285,N285)+(1/8)*MIN(L285,N285)),0)*(1+(P285-75)/500),0)</f>
        <v>180</v>
      </c>
      <c r="U285" s="262" t="n">
        <f aca="false">ROUND(ROUND(2*((5/8)*MAX(M285,O285)+(3/8)*MIN(M285,O285)),0)*(1+(P285-75)/500),0)</f>
        <v>235</v>
      </c>
      <c r="V285" s="361" t="n">
        <f aca="false">ROUNDDOWN(K285*1.75+50,0)</f>
        <v>225</v>
      </c>
      <c r="W285" s="261" t="n">
        <v>1</v>
      </c>
      <c r="X285" s="261" t="s">
        <v>60</v>
      </c>
      <c r="Y285" s="364" t="s">
        <v>861</v>
      </c>
      <c r="Z285" s="364" t="n">
        <v>20</v>
      </c>
      <c r="AA285" s="364"/>
      <c r="AB285" s="365" t="s">
        <v>60</v>
      </c>
      <c r="AC285" s="364"/>
      <c r="AD285" s="364" t="n">
        <v>0</v>
      </c>
      <c r="AE285" s="366"/>
      <c r="AF285" s="364" t="s">
        <v>862</v>
      </c>
      <c r="AG285" s="364" t="s">
        <v>862</v>
      </c>
      <c r="AH285" s="366" t="s">
        <v>862</v>
      </c>
    </row>
    <row r="286" customFormat="false" ht="15.75" hidden="false" customHeight="false" outlineLevel="0" collapsed="false">
      <c r="A286" s="262" t="n">
        <v>246</v>
      </c>
      <c r="B286" s="361" t="n">
        <v>284</v>
      </c>
      <c r="C286" s="261" t="s">
        <v>863</v>
      </c>
      <c r="D286" s="261" t="s">
        <v>60</v>
      </c>
      <c r="E286" s="362" t="s">
        <v>863</v>
      </c>
      <c r="F286" s="261" t="s">
        <v>653</v>
      </c>
      <c r="G286" s="261" t="s">
        <v>632</v>
      </c>
      <c r="H286" s="261" t="n">
        <v>0</v>
      </c>
      <c r="I286" s="261" t="n">
        <v>1</v>
      </c>
      <c r="J286" s="361" t="n">
        <v>0</v>
      </c>
      <c r="K286" s="262" t="n">
        <v>50</v>
      </c>
      <c r="L286" s="262" t="n">
        <v>64</v>
      </c>
      <c r="M286" s="262" t="n">
        <v>50</v>
      </c>
      <c r="N286" s="262" t="n">
        <v>45</v>
      </c>
      <c r="O286" s="262" t="n">
        <v>50</v>
      </c>
      <c r="P286" s="361" t="n">
        <v>41</v>
      </c>
      <c r="Q286" s="261" t="s">
        <v>149</v>
      </c>
      <c r="R286" s="261" t="s">
        <v>148</v>
      </c>
      <c r="S286" s="363" t="n">
        <f aca="false" t="array" ref="S286:S286">IF(COUNTIF('0.3.0 GO Calculation Values'!$J$2:$J$99,C286),(INDEX('0.3.0 GO Calculation Values'!$K$2:$K$99,MATCH(C286,'0.3.0 GO Calculation Values'!$J$2:$J$99,0))),1)</f>
        <v>1</v>
      </c>
      <c r="T286" s="262" t="n">
        <f aca="false">ROUND(ROUND(2*((7/8)*MAX(L286,N286)+(1/8)*MIN(L286,N286)),0)*(1+(P286-75)/500),0)</f>
        <v>115</v>
      </c>
      <c r="U286" s="262" t="n">
        <f aca="false">ROUND(ROUND(2*((5/8)*MAX(M286,O286)+(3/8)*MIN(M286,O286)),0)*(1+(P286-75)/500),0)</f>
        <v>93</v>
      </c>
      <c r="V286" s="361" t="n">
        <f aca="false">ROUNDDOWN(K286*1.75+50,0)</f>
        <v>137</v>
      </c>
      <c r="W286" s="261" t="n">
        <v>1</v>
      </c>
      <c r="X286" s="261" t="s">
        <v>60</v>
      </c>
      <c r="Y286" s="364" t="s">
        <v>863</v>
      </c>
      <c r="Z286" s="364" t="n">
        <v>5</v>
      </c>
      <c r="AA286" s="364"/>
      <c r="AB286" s="365" t="n">
        <v>10</v>
      </c>
      <c r="AC286" s="364"/>
      <c r="AD286" s="364" t="n">
        <v>0</v>
      </c>
      <c r="AE286" s="366"/>
      <c r="AF286" s="364" t="s">
        <v>864</v>
      </c>
      <c r="AG286" s="364" t="s">
        <v>864</v>
      </c>
      <c r="AH286" s="366" t="s">
        <v>864</v>
      </c>
    </row>
    <row r="287" customFormat="false" ht="15.75" hidden="false" customHeight="false" outlineLevel="0" collapsed="false">
      <c r="A287" s="262" t="n">
        <v>247</v>
      </c>
      <c r="B287" s="361" t="n">
        <v>285</v>
      </c>
      <c r="C287" s="261" t="s">
        <v>865</v>
      </c>
      <c r="D287" s="261" t="s">
        <v>60</v>
      </c>
      <c r="E287" s="362" t="s">
        <v>865</v>
      </c>
      <c r="F287" s="261" t="s">
        <v>653</v>
      </c>
      <c r="G287" s="261" t="s">
        <v>632</v>
      </c>
      <c r="H287" s="261" t="n">
        <v>0</v>
      </c>
      <c r="I287" s="261" t="n">
        <v>2</v>
      </c>
      <c r="J287" s="361" t="n">
        <v>0</v>
      </c>
      <c r="K287" s="262" t="n">
        <v>70</v>
      </c>
      <c r="L287" s="262" t="n">
        <v>84</v>
      </c>
      <c r="M287" s="262" t="n">
        <v>70</v>
      </c>
      <c r="N287" s="262" t="n">
        <v>65</v>
      </c>
      <c r="O287" s="262" t="n">
        <v>70</v>
      </c>
      <c r="P287" s="361" t="n">
        <v>51</v>
      </c>
      <c r="Q287" s="261" t="s">
        <v>149</v>
      </c>
      <c r="R287" s="261" t="s">
        <v>148</v>
      </c>
      <c r="S287" s="363" t="n">
        <f aca="false" t="array" ref="S287:S287">IF(COUNTIF('0.3.0 GO Calculation Values'!$J$2:$J$99,C287),(INDEX('0.3.0 GO Calculation Values'!$K$2:$K$99,MATCH(C287,'0.3.0 GO Calculation Values'!$J$2:$J$99,0))),1)</f>
        <v>1</v>
      </c>
      <c r="T287" s="262" t="n">
        <f aca="false">ROUND(ROUND(2*((7/8)*MAX(L287,N287)+(1/8)*MIN(L287,N287)),0)*(1+(P287-75)/500),0)</f>
        <v>155</v>
      </c>
      <c r="U287" s="262" t="n">
        <f aca="false">ROUND(ROUND(2*((5/8)*MAX(M287,O287)+(3/8)*MIN(M287,O287)),0)*(1+(P287-75)/500),0)</f>
        <v>133</v>
      </c>
      <c r="V287" s="361" t="n">
        <f aca="false">ROUNDDOWN(K287*1.75+50,0)</f>
        <v>172</v>
      </c>
      <c r="W287" s="261" t="n">
        <v>1</v>
      </c>
      <c r="X287" s="261" t="s">
        <v>863</v>
      </c>
      <c r="Y287" s="364" t="s">
        <v>863</v>
      </c>
      <c r="Z287" s="364" t="n">
        <v>5</v>
      </c>
      <c r="AA287" s="364"/>
      <c r="AB287" s="365" t="n">
        <v>10</v>
      </c>
      <c r="AC287" s="364"/>
      <c r="AD287" s="364" t="n">
        <v>25</v>
      </c>
      <c r="AE287" s="366"/>
      <c r="AF287" s="364" t="s">
        <v>866</v>
      </c>
      <c r="AG287" s="364" t="s">
        <v>866</v>
      </c>
      <c r="AH287" s="366" t="s">
        <v>866</v>
      </c>
    </row>
    <row r="288" customFormat="false" ht="15.75" hidden="false" customHeight="false" outlineLevel="0" collapsed="false">
      <c r="A288" s="262" t="n">
        <v>248</v>
      </c>
      <c r="B288" s="361" t="n">
        <v>286</v>
      </c>
      <c r="C288" s="261" t="s">
        <v>128</v>
      </c>
      <c r="D288" s="261" t="s">
        <v>7</v>
      </c>
      <c r="E288" s="367" t="s">
        <v>128</v>
      </c>
      <c r="F288" s="261" t="s">
        <v>653</v>
      </c>
      <c r="G288" s="261" t="s">
        <v>632</v>
      </c>
      <c r="H288" s="261" t="n">
        <v>0</v>
      </c>
      <c r="I288" s="261" t="n">
        <v>3</v>
      </c>
      <c r="J288" s="361" t="n">
        <v>1</v>
      </c>
      <c r="K288" s="262" t="n">
        <v>100</v>
      </c>
      <c r="L288" s="262" t="n">
        <v>134</v>
      </c>
      <c r="M288" s="262" t="n">
        <v>110</v>
      </c>
      <c r="N288" s="262" t="n">
        <v>95</v>
      </c>
      <c r="O288" s="262" t="n">
        <v>100</v>
      </c>
      <c r="P288" s="361" t="n">
        <v>61</v>
      </c>
      <c r="Q288" s="261" t="s">
        <v>149</v>
      </c>
      <c r="R288" s="261" t="s">
        <v>160</v>
      </c>
      <c r="S288" s="363" t="n">
        <f aca="false" t="array" ref="S288:S288">IF(COUNTIF('0.3.0 GO Calculation Values'!$J$2:$J$99,C288),(INDEX('0.3.0 GO Calculation Values'!$K$2:$K$99,MATCH(C288,'0.3.0 GO Calculation Values'!$J$2:$J$99,0))),1)</f>
        <v>1</v>
      </c>
      <c r="T288" s="262" t="n">
        <f aca="false">ROUND(ROUND(2*((7/8)*MAX(L288,N288)+(1/8)*MIN(L288,N288)),0)*(1+(P288-75)/500),0)</f>
        <v>251</v>
      </c>
      <c r="U288" s="262" t="n">
        <f aca="false">ROUND(ROUND(2*((5/8)*MAX(M288,O288)+(3/8)*MIN(M288,O288)),0)*(1+(P288-75)/500),0)</f>
        <v>207</v>
      </c>
      <c r="V288" s="361" t="n">
        <f aca="false">ROUNDDOWN(K288*1.75+50,0)</f>
        <v>225</v>
      </c>
      <c r="W288" s="261" t="n">
        <v>1</v>
      </c>
      <c r="X288" s="261" t="s">
        <v>865</v>
      </c>
      <c r="Y288" s="364" t="s">
        <v>863</v>
      </c>
      <c r="Z288" s="364" t="n">
        <v>5</v>
      </c>
      <c r="AA288" s="364"/>
      <c r="AB288" s="365" t="n">
        <v>10</v>
      </c>
      <c r="AC288" s="364"/>
      <c r="AD288" s="364" t="n">
        <v>100</v>
      </c>
      <c r="AE288" s="366"/>
      <c r="AF288" s="364" t="s">
        <v>867</v>
      </c>
      <c r="AG288" s="364" t="s">
        <v>867</v>
      </c>
      <c r="AH288" s="366" t="s">
        <v>867</v>
      </c>
    </row>
    <row r="289" customFormat="false" ht="15.75" hidden="false" customHeight="false" outlineLevel="0" collapsed="false">
      <c r="A289" s="262" t="n">
        <v>248</v>
      </c>
      <c r="B289" s="361" t="n">
        <v>287</v>
      </c>
      <c r="C289" s="261" t="s">
        <v>128</v>
      </c>
      <c r="D289" s="261" t="s">
        <v>868</v>
      </c>
      <c r="E289" s="358" t="s">
        <v>869</v>
      </c>
      <c r="F289" s="261" t="s">
        <v>713</v>
      </c>
      <c r="G289" s="261" t="s">
        <v>632</v>
      </c>
      <c r="H289" s="261" t="n">
        <v>2</v>
      </c>
      <c r="I289" s="261" t="n">
        <v>3</v>
      </c>
      <c r="J289" s="361" t="n">
        <v>1</v>
      </c>
      <c r="K289" s="262" t="n">
        <v>100</v>
      </c>
      <c r="L289" s="262" t="n">
        <v>164</v>
      </c>
      <c r="M289" s="262" t="n">
        <v>150</v>
      </c>
      <c r="N289" s="262" t="n">
        <v>95</v>
      </c>
      <c r="O289" s="262" t="n">
        <v>120</v>
      </c>
      <c r="P289" s="361" t="n">
        <v>71</v>
      </c>
      <c r="Q289" s="261" t="s">
        <v>149</v>
      </c>
      <c r="R289" s="261" t="s">
        <v>160</v>
      </c>
      <c r="S289" s="363" t="n">
        <f aca="false" t="array" ref="S289:S289">IF(COUNTIF('0.3.0 GO Calculation Values'!$J$2:$J$99,C289),(INDEX('0.3.0 GO Calculation Values'!$K$2:$K$99,MATCH(C289,'0.3.0 GO Calculation Values'!$J$2:$J$99,0))),1)</f>
        <v>1</v>
      </c>
      <c r="T289" s="262" t="n">
        <f aca="false">ROUND(ROUND(2*((7/8)*MAX(L289,N289)+(1/8)*MIN(L289,N289)),0)*(1+(P289-75)/500),0)</f>
        <v>309</v>
      </c>
      <c r="U289" s="262" t="n">
        <f aca="false">ROUND(ROUND(2*((5/8)*MAX(M289,O289)+(3/8)*MIN(M289,O289)),0)*(1+(P289-75)/500),0)</f>
        <v>276</v>
      </c>
      <c r="V289" s="361" t="n">
        <f aca="false">ROUNDDOWN(K289*1.75+50,0)</f>
        <v>225</v>
      </c>
      <c r="W289" s="261" t="n">
        <v>0</v>
      </c>
      <c r="X289" s="261" t="s">
        <v>128</v>
      </c>
      <c r="Y289" s="364" t="s">
        <v>863</v>
      </c>
      <c r="Z289" s="364" t="n">
        <v>5</v>
      </c>
      <c r="AA289" s="364"/>
      <c r="AB289" s="365" t="n">
        <v>10</v>
      </c>
      <c r="AC289" s="364"/>
      <c r="AD289" s="364" t="n">
        <v>100</v>
      </c>
      <c r="AE289" s="366"/>
      <c r="AF289" s="364" t="s">
        <v>870</v>
      </c>
      <c r="AG289" s="364" t="s">
        <v>870</v>
      </c>
      <c r="AH289" s="366" t="s">
        <v>870</v>
      </c>
    </row>
    <row r="290" customFormat="false" ht="15.75" hidden="false" customHeight="false" outlineLevel="0" collapsed="false">
      <c r="A290" s="262" t="n">
        <v>249</v>
      </c>
      <c r="B290" s="361" t="n">
        <v>288</v>
      </c>
      <c r="C290" s="261" t="s">
        <v>871</v>
      </c>
      <c r="D290" s="261" t="s">
        <v>60</v>
      </c>
      <c r="E290" s="362" t="s">
        <v>871</v>
      </c>
      <c r="F290" s="261" t="s">
        <v>653</v>
      </c>
      <c r="G290" s="261" t="s">
        <v>639</v>
      </c>
      <c r="H290" s="261" t="n">
        <v>0</v>
      </c>
      <c r="I290" s="261" t="n">
        <v>1</v>
      </c>
      <c r="J290" s="361" t="n">
        <v>1</v>
      </c>
      <c r="K290" s="262" t="n">
        <v>106</v>
      </c>
      <c r="L290" s="262" t="n">
        <v>90</v>
      </c>
      <c r="M290" s="262" t="n">
        <v>130</v>
      </c>
      <c r="N290" s="262" t="n">
        <v>90</v>
      </c>
      <c r="O290" s="262" t="n">
        <v>154</v>
      </c>
      <c r="P290" s="361" t="n">
        <v>110</v>
      </c>
      <c r="Q290" s="261" t="s">
        <v>157</v>
      </c>
      <c r="R290" s="261" t="s">
        <v>146</v>
      </c>
      <c r="S290" s="363" t="n">
        <f aca="false" t="array" ref="S290:S290">IF(COUNTIF('0.3.0 GO Calculation Values'!$J$2:$J$99,C290),(INDEX('0.3.0 GO Calculation Values'!$K$2:$K$99,MATCH(C290,'0.3.0 GO Calculation Values'!$J$2:$J$99,0))),1)</f>
        <v>1</v>
      </c>
      <c r="T290" s="262" t="n">
        <f aca="false">ROUND(ROUND(2*((7/8)*MAX(L290,N290)+(1/8)*MIN(L290,N290)),0)*(1+(P290-75)/500),0)</f>
        <v>193</v>
      </c>
      <c r="U290" s="262" t="n">
        <f aca="false">ROUND(ROUND(2*((5/8)*MAX(M290,O290)+(3/8)*MIN(M290,O290)),0)*(1+(P290-75)/500),0)</f>
        <v>310</v>
      </c>
      <c r="V290" s="361" t="n">
        <f aca="false">ROUNDDOWN(K290*1.75+50,0)</f>
        <v>235</v>
      </c>
      <c r="W290" s="261" t="n">
        <v>1</v>
      </c>
      <c r="X290" s="261" t="s">
        <v>60</v>
      </c>
      <c r="Y290" s="364" t="s">
        <v>871</v>
      </c>
      <c r="Z290" s="364" t="n">
        <v>20</v>
      </c>
      <c r="AA290" s="369" t="n">
        <v>43175</v>
      </c>
      <c r="AB290" s="365" t="s">
        <v>60</v>
      </c>
      <c r="AC290" s="364"/>
      <c r="AD290" s="364" t="n">
        <v>0</v>
      </c>
      <c r="AE290" s="366"/>
      <c r="AF290" s="364" t="s">
        <v>872</v>
      </c>
      <c r="AG290" s="364" t="s">
        <v>872</v>
      </c>
      <c r="AH290" s="366" t="s">
        <v>872</v>
      </c>
    </row>
    <row r="291" customFormat="false" ht="15.75" hidden="false" customHeight="false" outlineLevel="0" collapsed="false">
      <c r="A291" s="262" t="n">
        <v>250</v>
      </c>
      <c r="B291" s="361" t="n">
        <v>289</v>
      </c>
      <c r="C291" s="261" t="s">
        <v>873</v>
      </c>
      <c r="D291" s="261" t="s">
        <v>60</v>
      </c>
      <c r="E291" s="362" t="s">
        <v>873</v>
      </c>
      <c r="F291" s="261" t="s">
        <v>653</v>
      </c>
      <c r="G291" s="261" t="s">
        <v>639</v>
      </c>
      <c r="H291" s="261" t="n">
        <v>0</v>
      </c>
      <c r="I291" s="261" t="n">
        <v>1</v>
      </c>
      <c r="J291" s="361" t="n">
        <v>1</v>
      </c>
      <c r="K291" s="262" t="n">
        <v>106</v>
      </c>
      <c r="L291" s="262" t="n">
        <v>130</v>
      </c>
      <c r="M291" s="262" t="n">
        <v>90</v>
      </c>
      <c r="N291" s="262" t="n">
        <v>110</v>
      </c>
      <c r="O291" s="262" t="n">
        <v>154</v>
      </c>
      <c r="P291" s="361" t="n">
        <v>90</v>
      </c>
      <c r="Q291" s="261" t="s">
        <v>153</v>
      </c>
      <c r="R291" s="261" t="s">
        <v>146</v>
      </c>
      <c r="S291" s="368" t="n">
        <f aca="false" t="array" ref="S291:S291">IF(COUNTIF('0.3.0 GO Calculation Values'!$J$2:$J$99,C291),(INDEX('0.3.0 GO Calculation Values'!$K$2:$K$99,MATCH(C291,'0.3.0 GO Calculation Values'!$J$2:$J$99,0))),1)</f>
        <v>0.909090909090909</v>
      </c>
      <c r="T291" s="262" t="n">
        <f aca="false">ROUND(ROUND(2*((7/8)*MAX(L291,N291)+(1/8)*MIN(L291,N291)),0)*(1+(P291-75)/500),0)</f>
        <v>263</v>
      </c>
      <c r="U291" s="262" t="n">
        <f aca="false">ROUND(ROUND(2*((5/8)*MAX(M291,O291)+(3/8)*MIN(M291,O291)),0)*(1+(P291-75)/500),0)</f>
        <v>268</v>
      </c>
      <c r="V291" s="361" t="n">
        <f aca="false">ROUNDDOWN(K291*1.75+50,0)</f>
        <v>235</v>
      </c>
      <c r="W291" s="261" t="n">
        <v>1</v>
      </c>
      <c r="X291" s="261" t="s">
        <v>60</v>
      </c>
      <c r="Y291" s="364" t="s">
        <v>873</v>
      </c>
      <c r="Z291" s="364" t="n">
        <v>20</v>
      </c>
      <c r="AA291" s="364"/>
      <c r="AB291" s="365" t="s">
        <v>60</v>
      </c>
      <c r="AC291" s="364"/>
      <c r="AD291" s="364" t="n">
        <v>0</v>
      </c>
      <c r="AE291" s="366"/>
      <c r="AF291" s="364" t="s">
        <v>874</v>
      </c>
      <c r="AG291" s="261" t="s">
        <v>875</v>
      </c>
      <c r="AH291" s="366" t="s">
        <v>874</v>
      </c>
    </row>
    <row r="292" customFormat="false" ht="15.75" hidden="false" customHeight="false" outlineLevel="0" collapsed="false">
      <c r="A292" s="262" t="n">
        <v>251</v>
      </c>
      <c r="B292" s="361" t="n">
        <v>290</v>
      </c>
      <c r="C292" s="261" t="s">
        <v>876</v>
      </c>
      <c r="D292" s="261" t="s">
        <v>60</v>
      </c>
      <c r="E292" s="362" t="s">
        <v>876</v>
      </c>
      <c r="F292" s="261" t="s">
        <v>653</v>
      </c>
      <c r="G292" s="261" t="s">
        <v>650</v>
      </c>
      <c r="H292" s="261" t="n">
        <v>0</v>
      </c>
      <c r="I292" s="261" t="n">
        <v>1</v>
      </c>
      <c r="J292" s="361" t="n">
        <v>1</v>
      </c>
      <c r="K292" s="262" t="n">
        <v>100</v>
      </c>
      <c r="L292" s="262" t="n">
        <v>100</v>
      </c>
      <c r="M292" s="262" t="n">
        <v>100</v>
      </c>
      <c r="N292" s="262" t="n">
        <v>100</v>
      </c>
      <c r="O292" s="262" t="n">
        <v>100</v>
      </c>
      <c r="P292" s="361" t="n">
        <v>100</v>
      </c>
      <c r="Q292" s="261" t="s">
        <v>155</v>
      </c>
      <c r="R292" s="261" t="s">
        <v>157</v>
      </c>
      <c r="S292" s="363" t="n">
        <f aca="false" t="array" ref="S292:S292">IF(COUNTIF('0.3.0 GO Calculation Values'!$J$2:$J$99,C292),(INDEX('0.3.0 GO Calculation Values'!$K$2:$K$99,MATCH(C292,'0.3.0 GO Calculation Values'!$J$2:$J$99,0))),1)</f>
        <v>1</v>
      </c>
      <c r="T292" s="262" t="n">
        <f aca="false">ROUND(ROUND(2*((7/8)*MAX(L292,N292)+(1/8)*MIN(L292,N292)),0)*(1+(P292-75)/500),0)</f>
        <v>210</v>
      </c>
      <c r="U292" s="262" t="n">
        <f aca="false">ROUND(ROUND(2*((5/8)*MAX(M292,O292)+(3/8)*MIN(M292,O292)),0)*(1+(P292-75)/500),0)</f>
        <v>210</v>
      </c>
      <c r="V292" s="361" t="n">
        <f aca="false">ROUNDDOWN(K292*1.75+50,0)</f>
        <v>225</v>
      </c>
      <c r="W292" s="261" t="n">
        <v>1</v>
      </c>
      <c r="X292" s="261" t="s">
        <v>60</v>
      </c>
      <c r="Y292" s="364" t="s">
        <v>876</v>
      </c>
      <c r="Z292" s="364" t="n">
        <v>20</v>
      </c>
      <c r="AA292" s="364"/>
      <c r="AB292" s="365" t="s">
        <v>60</v>
      </c>
      <c r="AC292" s="364"/>
      <c r="AD292" s="364" t="n">
        <v>0</v>
      </c>
      <c r="AE292" s="366"/>
      <c r="AF292" s="364" t="s">
        <v>877</v>
      </c>
      <c r="AG292" s="364" t="s">
        <v>877</v>
      </c>
      <c r="AH292" s="366" t="s">
        <v>877</v>
      </c>
    </row>
    <row r="293" customFormat="false" ht="15.75" hidden="false" customHeight="false" outlineLevel="0" collapsed="false">
      <c r="A293" s="262" t="n">
        <v>252</v>
      </c>
      <c r="B293" s="361" t="n">
        <v>291</v>
      </c>
      <c r="C293" s="261" t="s">
        <v>878</v>
      </c>
      <c r="D293" s="261" t="s">
        <v>60</v>
      </c>
      <c r="E293" s="362" t="s">
        <v>878</v>
      </c>
      <c r="F293" s="261" t="s">
        <v>879</v>
      </c>
      <c r="G293" s="261" t="s">
        <v>229</v>
      </c>
      <c r="H293" s="261" t="n">
        <v>0</v>
      </c>
      <c r="I293" s="261" t="n">
        <v>1</v>
      </c>
      <c r="J293" s="361" t="n">
        <v>0</v>
      </c>
      <c r="K293" s="262" t="n">
        <v>40</v>
      </c>
      <c r="L293" s="262" t="n">
        <v>45</v>
      </c>
      <c r="M293" s="262" t="n">
        <v>35</v>
      </c>
      <c r="N293" s="262" t="n">
        <v>65</v>
      </c>
      <c r="O293" s="262" t="n">
        <v>55</v>
      </c>
      <c r="P293" s="361" t="n">
        <v>70</v>
      </c>
      <c r="Q293" s="261" t="s">
        <v>155</v>
      </c>
      <c r="R293" s="261"/>
      <c r="S293" s="363" t="n">
        <f aca="false" t="array" ref="S293:S293">IF(COUNTIF('0.3.0 GO Calculation Values'!$J$2:$J$99,C293),(INDEX('0.3.0 GO Calculation Values'!$K$2:$K$99,MATCH(C293,'0.3.0 GO Calculation Values'!$J$2:$J$99,0))),1)</f>
        <v>1</v>
      </c>
      <c r="T293" s="262" t="n">
        <f aca="false">ROUND(ROUND(2*((7/8)*MAX(L293,N293)+(1/8)*MIN(L293,N293)),0)*(1+(P293-75)/500),0)</f>
        <v>124</v>
      </c>
      <c r="U293" s="262" t="n">
        <f aca="false">ROUND(ROUND(2*((5/8)*MAX(M293,O293)+(3/8)*MIN(M293,O293)),0)*(1+(P293-75)/500),0)</f>
        <v>94</v>
      </c>
      <c r="V293" s="361" t="n">
        <f aca="false">ROUNDDOWN(K293*1.75+50,0)</f>
        <v>120</v>
      </c>
      <c r="W293" s="261" t="n">
        <v>1</v>
      </c>
      <c r="X293" s="261" t="s">
        <v>60</v>
      </c>
      <c r="Y293" s="364" t="s">
        <v>878</v>
      </c>
      <c r="Z293" s="364" t="n">
        <v>3</v>
      </c>
      <c r="AA293" s="364"/>
      <c r="AB293" s="365" t="n">
        <v>5</v>
      </c>
      <c r="AC293" s="364"/>
      <c r="AD293" s="364" t="n">
        <v>0</v>
      </c>
      <c r="AE293" s="366"/>
      <c r="AF293" s="364" t="s">
        <v>880</v>
      </c>
      <c r="AG293" s="364" t="s">
        <v>880</v>
      </c>
      <c r="AH293" s="366" t="s">
        <v>880</v>
      </c>
    </row>
    <row r="294" customFormat="false" ht="15.75" hidden="false" customHeight="false" outlineLevel="0" collapsed="false">
      <c r="A294" s="262" t="n">
        <v>253</v>
      </c>
      <c r="B294" s="361" t="n">
        <v>292</v>
      </c>
      <c r="C294" s="261" t="s">
        <v>881</v>
      </c>
      <c r="D294" s="261" t="s">
        <v>60</v>
      </c>
      <c r="E294" s="362" t="s">
        <v>881</v>
      </c>
      <c r="F294" s="261" t="s">
        <v>879</v>
      </c>
      <c r="G294" s="261" t="s">
        <v>229</v>
      </c>
      <c r="H294" s="261" t="n">
        <v>0</v>
      </c>
      <c r="I294" s="261" t="n">
        <v>2</v>
      </c>
      <c r="J294" s="361" t="n">
        <v>0</v>
      </c>
      <c r="K294" s="262" t="n">
        <v>50</v>
      </c>
      <c r="L294" s="262" t="n">
        <v>65</v>
      </c>
      <c r="M294" s="262" t="n">
        <v>45</v>
      </c>
      <c r="N294" s="262" t="n">
        <v>85</v>
      </c>
      <c r="O294" s="262" t="n">
        <v>65</v>
      </c>
      <c r="P294" s="361" t="n">
        <v>95</v>
      </c>
      <c r="Q294" s="261" t="s">
        <v>155</v>
      </c>
      <c r="R294" s="261"/>
      <c r="S294" s="363" t="n">
        <f aca="false" t="array" ref="S294:S294">IF(COUNTIF('0.3.0 GO Calculation Values'!$J$2:$J$99,C294),(INDEX('0.3.0 GO Calculation Values'!$K$2:$K$99,MATCH(C294,'0.3.0 GO Calculation Values'!$J$2:$J$99,0))),1)</f>
        <v>1</v>
      </c>
      <c r="T294" s="262" t="n">
        <f aca="false">ROUND(ROUND(2*((7/8)*MAX(L294,N294)+(1/8)*MIN(L294,N294)),0)*(1+(P294-75)/500),0)</f>
        <v>172</v>
      </c>
      <c r="U294" s="262" t="n">
        <f aca="false">ROUND(ROUND(2*((5/8)*MAX(M294,O294)+(3/8)*MIN(M294,O294)),0)*(1+(P294-75)/500),0)</f>
        <v>120</v>
      </c>
      <c r="V294" s="361" t="n">
        <f aca="false">ROUNDDOWN(K294*1.75+50,0)</f>
        <v>137</v>
      </c>
      <c r="W294" s="261" t="n">
        <v>1</v>
      </c>
      <c r="X294" s="261" t="s">
        <v>878</v>
      </c>
      <c r="Y294" s="364" t="s">
        <v>878</v>
      </c>
      <c r="Z294" s="364" t="n">
        <v>3</v>
      </c>
      <c r="AA294" s="364"/>
      <c r="AB294" s="365" t="n">
        <v>5</v>
      </c>
      <c r="AC294" s="364"/>
      <c r="AD294" s="364" t="n">
        <v>25</v>
      </c>
      <c r="AE294" s="366"/>
      <c r="AF294" s="364" t="s">
        <v>882</v>
      </c>
      <c r="AG294" s="364" t="s">
        <v>882</v>
      </c>
      <c r="AH294" s="366" t="s">
        <v>882</v>
      </c>
    </row>
    <row r="295" customFormat="false" ht="15.75" hidden="false" customHeight="false" outlineLevel="0" collapsed="false">
      <c r="A295" s="262" t="n">
        <v>254</v>
      </c>
      <c r="B295" s="361" t="n">
        <v>293</v>
      </c>
      <c r="C295" s="261" t="s">
        <v>883</v>
      </c>
      <c r="D295" s="261" t="s">
        <v>7</v>
      </c>
      <c r="E295" s="367" t="s">
        <v>883</v>
      </c>
      <c r="F295" s="261" t="s">
        <v>879</v>
      </c>
      <c r="G295" s="261" t="s">
        <v>229</v>
      </c>
      <c r="H295" s="261" t="n">
        <v>0</v>
      </c>
      <c r="I295" s="261" t="n">
        <v>3</v>
      </c>
      <c r="J295" s="361" t="n">
        <v>1</v>
      </c>
      <c r="K295" s="262" t="n">
        <v>70</v>
      </c>
      <c r="L295" s="262" t="n">
        <v>85</v>
      </c>
      <c r="M295" s="262" t="n">
        <v>65</v>
      </c>
      <c r="N295" s="262" t="n">
        <v>105</v>
      </c>
      <c r="O295" s="262" t="n">
        <v>85</v>
      </c>
      <c r="P295" s="361" t="n">
        <v>120</v>
      </c>
      <c r="Q295" s="261" t="s">
        <v>155</v>
      </c>
      <c r="R295" s="261"/>
      <c r="S295" s="363" t="n">
        <f aca="false" t="array" ref="S295:S295">IF(COUNTIF('0.3.0 GO Calculation Values'!$J$2:$J$99,C295),(INDEX('0.3.0 GO Calculation Values'!$K$2:$K$99,MATCH(C295,'0.3.0 GO Calculation Values'!$J$2:$J$99,0))),1)</f>
        <v>1</v>
      </c>
      <c r="T295" s="262" t="n">
        <f aca="false">ROUND(ROUND(2*((7/8)*MAX(L295,N295)+(1/8)*MIN(L295,N295)),0)*(1+(P295-75)/500),0)</f>
        <v>223</v>
      </c>
      <c r="U295" s="262" t="n">
        <f aca="false">ROUND(ROUND(2*((5/8)*MAX(M295,O295)+(3/8)*MIN(M295,O295)),0)*(1+(P295-75)/500),0)</f>
        <v>169</v>
      </c>
      <c r="V295" s="361" t="n">
        <f aca="false">ROUNDDOWN(K295*1.75+50,0)</f>
        <v>172</v>
      </c>
      <c r="W295" s="261" t="n">
        <v>1</v>
      </c>
      <c r="X295" s="261" t="s">
        <v>881</v>
      </c>
      <c r="Y295" s="364" t="s">
        <v>878</v>
      </c>
      <c r="Z295" s="364" t="n">
        <v>3</v>
      </c>
      <c r="AA295" s="364"/>
      <c r="AB295" s="365" t="n">
        <v>5</v>
      </c>
      <c r="AC295" s="364"/>
      <c r="AD295" s="364" t="n">
        <v>100</v>
      </c>
      <c r="AE295" s="366"/>
      <c r="AF295" s="364" t="s">
        <v>884</v>
      </c>
      <c r="AG295" s="364" t="s">
        <v>884</v>
      </c>
      <c r="AH295" s="366" t="s">
        <v>884</v>
      </c>
    </row>
    <row r="296" customFormat="false" ht="15.75" hidden="false" customHeight="false" outlineLevel="0" collapsed="false">
      <c r="A296" s="262" t="n">
        <v>254</v>
      </c>
      <c r="B296" s="361" t="n">
        <v>294</v>
      </c>
      <c r="C296" s="261" t="s">
        <v>883</v>
      </c>
      <c r="D296" s="261" t="s">
        <v>885</v>
      </c>
      <c r="E296" s="358" t="s">
        <v>886</v>
      </c>
      <c r="F296" s="261" t="s">
        <v>887</v>
      </c>
      <c r="G296" s="261" t="s">
        <v>229</v>
      </c>
      <c r="H296" s="261" t="n">
        <v>2</v>
      </c>
      <c r="I296" s="261" t="n">
        <v>3</v>
      </c>
      <c r="J296" s="361" t="n">
        <v>1</v>
      </c>
      <c r="K296" s="262" t="n">
        <v>70</v>
      </c>
      <c r="L296" s="262" t="n">
        <v>110</v>
      </c>
      <c r="M296" s="262" t="n">
        <v>75</v>
      </c>
      <c r="N296" s="262" t="n">
        <v>145</v>
      </c>
      <c r="O296" s="262" t="n">
        <v>85</v>
      </c>
      <c r="P296" s="361" t="n">
        <v>145</v>
      </c>
      <c r="Q296" s="261" t="s">
        <v>155</v>
      </c>
      <c r="R296" s="261" t="s">
        <v>159</v>
      </c>
      <c r="S296" s="363" t="n">
        <f aca="false" t="array" ref="S296:S296">IF(COUNTIF('0.3.0 GO Calculation Values'!$J$2:$J$99,C296),(INDEX('0.3.0 GO Calculation Values'!$K$2:$K$99,MATCH(C296,'0.3.0 GO Calculation Values'!$J$2:$J$99,0))),1)</f>
        <v>1</v>
      </c>
      <c r="T296" s="262" t="n">
        <f aca="false">ROUND(ROUND(2*((7/8)*MAX(L296,N296)+(1/8)*MIN(L296,N296)),0)*(1+(P296-75)/500),0)</f>
        <v>320</v>
      </c>
      <c r="U296" s="262" t="n">
        <f aca="false">ROUND(ROUND(2*((5/8)*MAX(M296,O296)+(3/8)*MIN(M296,O296)),0)*(1+(P296-75)/500),0)</f>
        <v>186</v>
      </c>
      <c r="V296" s="361" t="n">
        <f aca="false">ROUNDDOWN(K296*1.75+50,0)</f>
        <v>172</v>
      </c>
      <c r="W296" s="261" t="n">
        <v>0</v>
      </c>
      <c r="X296" s="261" t="s">
        <v>883</v>
      </c>
      <c r="Y296" s="364" t="s">
        <v>878</v>
      </c>
      <c r="Z296" s="364" t="n">
        <v>3</v>
      </c>
      <c r="AA296" s="364"/>
      <c r="AB296" s="365" t="n">
        <v>5</v>
      </c>
      <c r="AC296" s="364"/>
      <c r="AD296" s="364" t="n">
        <v>100</v>
      </c>
      <c r="AE296" s="366"/>
      <c r="AF296" s="364" t="s">
        <v>888</v>
      </c>
      <c r="AG296" s="364" t="s">
        <v>888</v>
      </c>
      <c r="AH296" s="366" t="s">
        <v>888</v>
      </c>
    </row>
    <row r="297" customFormat="false" ht="15.75" hidden="false" customHeight="false" outlineLevel="0" collapsed="false">
      <c r="A297" s="262" t="n">
        <v>255</v>
      </c>
      <c r="B297" s="361" t="n">
        <v>295</v>
      </c>
      <c r="C297" s="261" t="s">
        <v>889</v>
      </c>
      <c r="D297" s="261" t="s">
        <v>60</v>
      </c>
      <c r="E297" s="362" t="s">
        <v>889</v>
      </c>
      <c r="F297" s="261" t="s">
        <v>879</v>
      </c>
      <c r="G297" s="261" t="s">
        <v>229</v>
      </c>
      <c r="H297" s="261" t="n">
        <v>0</v>
      </c>
      <c r="I297" s="261" t="n">
        <v>1</v>
      </c>
      <c r="J297" s="361" t="n">
        <v>0</v>
      </c>
      <c r="K297" s="262" t="n">
        <v>45</v>
      </c>
      <c r="L297" s="262" t="n">
        <v>60</v>
      </c>
      <c r="M297" s="262" t="n">
        <v>40</v>
      </c>
      <c r="N297" s="262" t="n">
        <v>70</v>
      </c>
      <c r="O297" s="262" t="n">
        <v>50</v>
      </c>
      <c r="P297" s="361" t="n">
        <v>45</v>
      </c>
      <c r="Q297" s="261" t="s">
        <v>153</v>
      </c>
      <c r="R297" s="261"/>
      <c r="S297" s="363" t="n">
        <f aca="false" t="array" ref="S297:S297">IF(COUNTIF('0.3.0 GO Calculation Values'!$J$2:$J$99,C297),(INDEX('0.3.0 GO Calculation Values'!$K$2:$K$99,MATCH(C297,'0.3.0 GO Calculation Values'!$J$2:$J$99,0))),1)</f>
        <v>1</v>
      </c>
      <c r="T297" s="262" t="n">
        <f aca="false">ROUND(ROUND(2*((7/8)*MAX(L297,N297)+(1/8)*MIN(L297,N297)),0)*(1+(P297-75)/500),0)</f>
        <v>130</v>
      </c>
      <c r="U297" s="262" t="n">
        <f aca="false">ROUND(ROUND(2*((5/8)*MAX(M297,O297)+(3/8)*MIN(M297,O297)),0)*(1+(P297-75)/500),0)</f>
        <v>87</v>
      </c>
      <c r="V297" s="361" t="n">
        <f aca="false">ROUNDDOWN(K297*1.75+50,0)</f>
        <v>128</v>
      </c>
      <c r="W297" s="261" t="n">
        <v>1</v>
      </c>
      <c r="X297" s="261" t="s">
        <v>60</v>
      </c>
      <c r="Y297" s="364" t="s">
        <v>889</v>
      </c>
      <c r="Z297" s="364" t="n">
        <v>3</v>
      </c>
      <c r="AA297" s="364"/>
      <c r="AB297" s="365" t="n">
        <v>5</v>
      </c>
      <c r="AC297" s="364"/>
      <c r="AD297" s="364" t="n">
        <v>0</v>
      </c>
      <c r="AE297" s="366"/>
      <c r="AF297" s="364" t="s">
        <v>890</v>
      </c>
      <c r="AG297" s="364" t="s">
        <v>890</v>
      </c>
      <c r="AH297" s="366" t="s">
        <v>890</v>
      </c>
    </row>
    <row r="298" customFormat="false" ht="15.75" hidden="false" customHeight="false" outlineLevel="0" collapsed="false">
      <c r="A298" s="262" t="n">
        <v>256</v>
      </c>
      <c r="B298" s="361" t="n">
        <v>296</v>
      </c>
      <c r="C298" s="261" t="s">
        <v>891</v>
      </c>
      <c r="D298" s="261" t="s">
        <v>60</v>
      </c>
      <c r="E298" s="362" t="s">
        <v>891</v>
      </c>
      <c r="F298" s="261" t="s">
        <v>879</v>
      </c>
      <c r="G298" s="261" t="s">
        <v>229</v>
      </c>
      <c r="H298" s="261" t="n">
        <v>0</v>
      </c>
      <c r="I298" s="261" t="n">
        <v>2</v>
      </c>
      <c r="J298" s="361" t="n">
        <v>0</v>
      </c>
      <c r="K298" s="262" t="n">
        <v>60</v>
      </c>
      <c r="L298" s="262" t="n">
        <v>85</v>
      </c>
      <c r="M298" s="262" t="n">
        <v>60</v>
      </c>
      <c r="N298" s="262" t="n">
        <v>85</v>
      </c>
      <c r="O298" s="262" t="n">
        <v>60</v>
      </c>
      <c r="P298" s="361" t="n">
        <v>55</v>
      </c>
      <c r="Q298" s="261" t="s">
        <v>153</v>
      </c>
      <c r="R298" s="261" t="s">
        <v>145</v>
      </c>
      <c r="S298" s="363" t="n">
        <f aca="false" t="array" ref="S298:S298">IF(COUNTIF('0.3.0 GO Calculation Values'!$J$2:$J$99,C298),(INDEX('0.3.0 GO Calculation Values'!$K$2:$K$99,MATCH(C298,'0.3.0 GO Calculation Values'!$J$2:$J$99,0))),1)</f>
        <v>1</v>
      </c>
      <c r="T298" s="262" t="n">
        <f aca="false">ROUND(ROUND(2*((7/8)*MAX(L298,N298)+(1/8)*MIN(L298,N298)),0)*(1+(P298-75)/500),0)</f>
        <v>163</v>
      </c>
      <c r="U298" s="262" t="n">
        <f aca="false">ROUND(ROUND(2*((5/8)*MAX(M298,O298)+(3/8)*MIN(M298,O298)),0)*(1+(P298-75)/500),0)</f>
        <v>115</v>
      </c>
      <c r="V298" s="361" t="n">
        <f aca="false">ROUNDDOWN(K298*1.75+50,0)</f>
        <v>155</v>
      </c>
      <c r="W298" s="261" t="n">
        <v>1</v>
      </c>
      <c r="X298" s="261" t="s">
        <v>889</v>
      </c>
      <c r="Y298" s="364" t="s">
        <v>889</v>
      </c>
      <c r="Z298" s="364" t="n">
        <v>3</v>
      </c>
      <c r="AA298" s="364"/>
      <c r="AB298" s="365" t="n">
        <v>5</v>
      </c>
      <c r="AC298" s="364"/>
      <c r="AD298" s="364" t="n">
        <v>25</v>
      </c>
      <c r="AE298" s="366"/>
      <c r="AF298" s="364" t="s">
        <v>892</v>
      </c>
      <c r="AG298" s="364" t="s">
        <v>892</v>
      </c>
      <c r="AH298" s="366" t="s">
        <v>892</v>
      </c>
    </row>
    <row r="299" customFormat="false" ht="15.75" hidden="false" customHeight="false" outlineLevel="0" collapsed="false">
      <c r="A299" s="262" t="n">
        <v>257</v>
      </c>
      <c r="B299" s="361" t="n">
        <v>297</v>
      </c>
      <c r="C299" s="261" t="s">
        <v>893</v>
      </c>
      <c r="D299" s="261" t="s">
        <v>7</v>
      </c>
      <c r="E299" s="367" t="s">
        <v>893</v>
      </c>
      <c r="F299" s="261" t="s">
        <v>879</v>
      </c>
      <c r="G299" s="261" t="s">
        <v>229</v>
      </c>
      <c r="H299" s="261" t="n">
        <v>0</v>
      </c>
      <c r="I299" s="261" t="n">
        <v>3</v>
      </c>
      <c r="J299" s="361" t="n">
        <v>1</v>
      </c>
      <c r="K299" s="262" t="n">
        <v>80</v>
      </c>
      <c r="L299" s="262" t="n">
        <v>120</v>
      </c>
      <c r="M299" s="262" t="n">
        <v>70</v>
      </c>
      <c r="N299" s="262" t="n">
        <v>110</v>
      </c>
      <c r="O299" s="262" t="n">
        <v>70</v>
      </c>
      <c r="P299" s="361" t="n">
        <v>80</v>
      </c>
      <c r="Q299" s="261" t="s">
        <v>153</v>
      </c>
      <c r="R299" s="261" t="s">
        <v>145</v>
      </c>
      <c r="S299" s="363" t="n">
        <f aca="false" t="array" ref="S299:S299">IF(COUNTIF('0.3.0 GO Calculation Values'!$J$2:$J$99,C299),(INDEX('0.3.0 GO Calculation Values'!$K$2:$K$99,MATCH(C299,'0.3.0 GO Calculation Values'!$J$2:$J$99,0))),1)</f>
        <v>1</v>
      </c>
      <c r="T299" s="262" t="n">
        <f aca="false">ROUND(ROUND(2*((7/8)*MAX(L299,N299)+(1/8)*MIN(L299,N299)),0)*(1+(P299-75)/500),0)</f>
        <v>240</v>
      </c>
      <c r="U299" s="262" t="n">
        <f aca="false">ROUND(ROUND(2*((5/8)*MAX(M299,O299)+(3/8)*MIN(M299,O299)),0)*(1+(P299-75)/500),0)</f>
        <v>141</v>
      </c>
      <c r="V299" s="361" t="n">
        <f aca="false">ROUNDDOWN(K299*1.75+50,0)</f>
        <v>190</v>
      </c>
      <c r="W299" s="261" t="n">
        <v>1</v>
      </c>
      <c r="X299" s="261" t="s">
        <v>891</v>
      </c>
      <c r="Y299" s="364" t="s">
        <v>889</v>
      </c>
      <c r="Z299" s="364" t="n">
        <v>3</v>
      </c>
      <c r="AA299" s="364"/>
      <c r="AB299" s="365" t="n">
        <v>5</v>
      </c>
      <c r="AC299" s="364"/>
      <c r="AD299" s="364" t="n">
        <v>100</v>
      </c>
      <c r="AE299" s="366"/>
      <c r="AF299" s="364" t="s">
        <v>894</v>
      </c>
      <c r="AG299" s="364" t="s">
        <v>894</v>
      </c>
      <c r="AH299" s="366" t="s">
        <v>894</v>
      </c>
    </row>
    <row r="300" customFormat="false" ht="15.75" hidden="false" customHeight="false" outlineLevel="0" collapsed="false">
      <c r="A300" s="262" t="n">
        <v>257</v>
      </c>
      <c r="B300" s="361" t="n">
        <v>298</v>
      </c>
      <c r="C300" s="261" t="s">
        <v>893</v>
      </c>
      <c r="D300" s="261" t="s">
        <v>895</v>
      </c>
      <c r="E300" s="358" t="s">
        <v>896</v>
      </c>
      <c r="F300" s="261" t="s">
        <v>887</v>
      </c>
      <c r="G300" s="261" t="s">
        <v>229</v>
      </c>
      <c r="H300" s="261" t="n">
        <v>2</v>
      </c>
      <c r="I300" s="261" t="n">
        <v>3</v>
      </c>
      <c r="J300" s="361" t="n">
        <v>1</v>
      </c>
      <c r="K300" s="262" t="n">
        <v>80</v>
      </c>
      <c r="L300" s="262" t="n">
        <v>160</v>
      </c>
      <c r="M300" s="262" t="n">
        <v>80</v>
      </c>
      <c r="N300" s="262" t="n">
        <v>130</v>
      </c>
      <c r="O300" s="262" t="n">
        <v>80</v>
      </c>
      <c r="P300" s="361" t="n">
        <v>100</v>
      </c>
      <c r="Q300" s="261" t="s">
        <v>153</v>
      </c>
      <c r="R300" s="261" t="s">
        <v>145</v>
      </c>
      <c r="S300" s="363" t="n">
        <f aca="false" t="array" ref="S300:S300">IF(COUNTIF('0.3.0 GO Calculation Values'!$J$2:$J$99,C300),(INDEX('0.3.0 GO Calculation Values'!$K$2:$K$99,MATCH(C300,'0.3.0 GO Calculation Values'!$J$2:$J$99,0))),1)</f>
        <v>1</v>
      </c>
      <c r="T300" s="262" t="n">
        <f aca="false">ROUND(ROUND(2*((7/8)*MAX(L300,N300)+(1/8)*MIN(L300,N300)),0)*(1+(P300-75)/500),0)</f>
        <v>329</v>
      </c>
      <c r="U300" s="262" t="n">
        <f aca="false">ROUND(ROUND(2*((5/8)*MAX(M300,O300)+(3/8)*MIN(M300,O300)),0)*(1+(P300-75)/500),0)</f>
        <v>168</v>
      </c>
      <c r="V300" s="361" t="n">
        <f aca="false">ROUNDDOWN(K300*1.75+50,0)</f>
        <v>190</v>
      </c>
      <c r="W300" s="261" t="n">
        <v>0</v>
      </c>
      <c r="X300" s="261" t="s">
        <v>893</v>
      </c>
      <c r="Y300" s="364" t="s">
        <v>889</v>
      </c>
      <c r="Z300" s="364" t="n">
        <v>3</v>
      </c>
      <c r="AA300" s="364"/>
      <c r="AB300" s="365" t="n">
        <v>5</v>
      </c>
      <c r="AC300" s="364"/>
      <c r="AD300" s="364" t="n">
        <v>100</v>
      </c>
      <c r="AE300" s="366"/>
      <c r="AF300" s="364" t="s">
        <v>897</v>
      </c>
      <c r="AG300" s="364" t="s">
        <v>897</v>
      </c>
      <c r="AH300" s="366" t="s">
        <v>897</v>
      </c>
    </row>
    <row r="301" customFormat="false" ht="15.75" hidden="false" customHeight="false" outlineLevel="0" collapsed="false">
      <c r="A301" s="262" t="n">
        <v>258</v>
      </c>
      <c r="B301" s="361" t="n">
        <v>299</v>
      </c>
      <c r="C301" s="261" t="s">
        <v>898</v>
      </c>
      <c r="D301" s="261" t="s">
        <v>60</v>
      </c>
      <c r="E301" s="362" t="s">
        <v>898</v>
      </c>
      <c r="F301" s="261" t="s">
        <v>879</v>
      </c>
      <c r="G301" s="261" t="s">
        <v>229</v>
      </c>
      <c r="H301" s="261" t="n">
        <v>0</v>
      </c>
      <c r="I301" s="261" t="n">
        <v>1</v>
      </c>
      <c r="J301" s="361" t="n">
        <v>0</v>
      </c>
      <c r="K301" s="262" t="n">
        <v>50</v>
      </c>
      <c r="L301" s="262" t="n">
        <v>70</v>
      </c>
      <c r="M301" s="262" t="n">
        <v>50</v>
      </c>
      <c r="N301" s="262" t="n">
        <v>50</v>
      </c>
      <c r="O301" s="262" t="n">
        <v>50</v>
      </c>
      <c r="P301" s="361" t="n">
        <v>40</v>
      </c>
      <c r="Q301" s="261" t="s">
        <v>154</v>
      </c>
      <c r="R301" s="261"/>
      <c r="S301" s="363" t="n">
        <f aca="false" t="array" ref="S301:S301">IF(COUNTIF('0.3.0 GO Calculation Values'!$J$2:$J$99,C301),(INDEX('0.3.0 GO Calculation Values'!$K$2:$K$99,MATCH(C301,'0.3.0 GO Calculation Values'!$J$2:$J$99,0))),1)</f>
        <v>1</v>
      </c>
      <c r="T301" s="262" t="n">
        <f aca="false">ROUND(ROUND(2*((7/8)*MAX(L301,N301)+(1/8)*MIN(L301,N301)),0)*(1+(P301-75)/500),0)</f>
        <v>126</v>
      </c>
      <c r="U301" s="262" t="n">
        <f aca="false">ROUND(ROUND(2*((5/8)*MAX(M301,O301)+(3/8)*MIN(M301,O301)),0)*(1+(P301-75)/500),0)</f>
        <v>93</v>
      </c>
      <c r="V301" s="361" t="n">
        <f aca="false">ROUNDDOWN(K301*1.75+50,0)</f>
        <v>137</v>
      </c>
      <c r="W301" s="261" t="n">
        <v>1</v>
      </c>
      <c r="X301" s="261" t="s">
        <v>60</v>
      </c>
      <c r="Y301" s="364" t="s">
        <v>898</v>
      </c>
      <c r="Z301" s="364" t="n">
        <v>3</v>
      </c>
      <c r="AA301" s="364"/>
      <c r="AB301" s="365" t="n">
        <v>5</v>
      </c>
      <c r="AC301" s="364"/>
      <c r="AD301" s="364" t="n">
        <v>0</v>
      </c>
      <c r="AE301" s="366"/>
      <c r="AF301" s="364" t="s">
        <v>899</v>
      </c>
      <c r="AG301" s="364" t="s">
        <v>899</v>
      </c>
      <c r="AH301" s="366" t="s">
        <v>899</v>
      </c>
    </row>
    <row r="302" customFormat="false" ht="15.75" hidden="false" customHeight="false" outlineLevel="0" collapsed="false">
      <c r="A302" s="262" t="n">
        <v>259</v>
      </c>
      <c r="B302" s="361" t="n">
        <v>300</v>
      </c>
      <c r="C302" s="261" t="s">
        <v>900</v>
      </c>
      <c r="D302" s="261" t="s">
        <v>60</v>
      </c>
      <c r="E302" s="362" t="s">
        <v>900</v>
      </c>
      <c r="F302" s="261" t="s">
        <v>879</v>
      </c>
      <c r="G302" s="261" t="s">
        <v>229</v>
      </c>
      <c r="H302" s="261" t="n">
        <v>0</v>
      </c>
      <c r="I302" s="261" t="n">
        <v>2</v>
      </c>
      <c r="J302" s="361" t="n">
        <v>0</v>
      </c>
      <c r="K302" s="262" t="n">
        <v>70</v>
      </c>
      <c r="L302" s="262" t="n">
        <v>85</v>
      </c>
      <c r="M302" s="262" t="n">
        <v>70</v>
      </c>
      <c r="N302" s="262" t="n">
        <v>60</v>
      </c>
      <c r="O302" s="262" t="n">
        <v>70</v>
      </c>
      <c r="P302" s="361" t="n">
        <v>50</v>
      </c>
      <c r="Q302" s="261" t="s">
        <v>154</v>
      </c>
      <c r="R302" s="261" t="s">
        <v>148</v>
      </c>
      <c r="S302" s="363" t="n">
        <f aca="false" t="array" ref="S302:S302">IF(COUNTIF('0.3.0 GO Calculation Values'!$J$2:$J$99,C302),(INDEX('0.3.0 GO Calculation Values'!$K$2:$K$99,MATCH(C302,'0.3.0 GO Calculation Values'!$J$2:$J$99,0))),1)</f>
        <v>1</v>
      </c>
      <c r="T302" s="262" t="n">
        <f aca="false">ROUND(ROUND(2*((7/8)*MAX(L302,N302)+(1/8)*MIN(L302,N302)),0)*(1+(P302-75)/500),0)</f>
        <v>156</v>
      </c>
      <c r="U302" s="262" t="n">
        <f aca="false">ROUND(ROUND(2*((5/8)*MAX(M302,O302)+(3/8)*MIN(M302,O302)),0)*(1+(P302-75)/500),0)</f>
        <v>133</v>
      </c>
      <c r="V302" s="361" t="n">
        <f aca="false">ROUNDDOWN(K302*1.75+50,0)</f>
        <v>172</v>
      </c>
      <c r="W302" s="261" t="n">
        <v>1</v>
      </c>
      <c r="X302" s="261" t="s">
        <v>898</v>
      </c>
      <c r="Y302" s="364" t="s">
        <v>898</v>
      </c>
      <c r="Z302" s="364" t="n">
        <v>3</v>
      </c>
      <c r="AA302" s="364"/>
      <c r="AB302" s="365" t="n">
        <v>5</v>
      </c>
      <c r="AC302" s="364"/>
      <c r="AD302" s="364" t="n">
        <v>25</v>
      </c>
      <c r="AE302" s="366"/>
      <c r="AF302" s="364" t="s">
        <v>901</v>
      </c>
      <c r="AG302" s="364" t="s">
        <v>901</v>
      </c>
      <c r="AH302" s="366" t="s">
        <v>901</v>
      </c>
    </row>
    <row r="303" customFormat="false" ht="15.75" hidden="false" customHeight="false" outlineLevel="0" collapsed="false">
      <c r="A303" s="262" t="n">
        <v>260</v>
      </c>
      <c r="B303" s="361" t="n">
        <v>301</v>
      </c>
      <c r="C303" s="261" t="s">
        <v>902</v>
      </c>
      <c r="D303" s="261" t="s">
        <v>7</v>
      </c>
      <c r="E303" s="367" t="s">
        <v>902</v>
      </c>
      <c r="F303" s="261" t="s">
        <v>879</v>
      </c>
      <c r="G303" s="261" t="s">
        <v>229</v>
      </c>
      <c r="H303" s="261" t="n">
        <v>0</v>
      </c>
      <c r="I303" s="261" t="n">
        <v>3</v>
      </c>
      <c r="J303" s="361" t="n">
        <v>1</v>
      </c>
      <c r="K303" s="262" t="n">
        <v>100</v>
      </c>
      <c r="L303" s="262" t="n">
        <v>110</v>
      </c>
      <c r="M303" s="262" t="n">
        <v>90</v>
      </c>
      <c r="N303" s="262" t="n">
        <v>85</v>
      </c>
      <c r="O303" s="262" t="n">
        <v>90</v>
      </c>
      <c r="P303" s="361" t="n">
        <v>60</v>
      </c>
      <c r="Q303" s="261" t="s">
        <v>154</v>
      </c>
      <c r="R303" s="261" t="s">
        <v>148</v>
      </c>
      <c r="S303" s="363" t="n">
        <f aca="false" t="array" ref="S303:S303">IF(COUNTIF('0.3.0 GO Calculation Values'!$J$2:$J$99,C303),(INDEX('0.3.0 GO Calculation Values'!$K$2:$K$99,MATCH(C303,'0.3.0 GO Calculation Values'!$J$2:$J$99,0))),1)</f>
        <v>1</v>
      </c>
      <c r="T303" s="262" t="n">
        <f aca="false">ROUND(ROUND(2*((7/8)*MAX(L303,N303)+(1/8)*MIN(L303,N303)),0)*(1+(P303-75)/500),0)</f>
        <v>208</v>
      </c>
      <c r="U303" s="262" t="n">
        <f aca="false">ROUND(ROUND(2*((5/8)*MAX(M303,O303)+(3/8)*MIN(M303,O303)),0)*(1+(P303-75)/500),0)</f>
        <v>175</v>
      </c>
      <c r="V303" s="361" t="n">
        <f aca="false">ROUNDDOWN(K303*1.75+50,0)</f>
        <v>225</v>
      </c>
      <c r="W303" s="261" t="n">
        <v>1</v>
      </c>
      <c r="X303" s="261" t="s">
        <v>900</v>
      </c>
      <c r="Y303" s="364" t="s">
        <v>898</v>
      </c>
      <c r="Z303" s="364" t="n">
        <v>3</v>
      </c>
      <c r="AA303" s="364"/>
      <c r="AB303" s="365" t="n">
        <v>5</v>
      </c>
      <c r="AC303" s="364"/>
      <c r="AD303" s="364" t="n">
        <v>100</v>
      </c>
      <c r="AE303" s="366"/>
      <c r="AF303" s="364" t="s">
        <v>903</v>
      </c>
      <c r="AG303" s="364" t="s">
        <v>903</v>
      </c>
      <c r="AH303" s="366" t="s">
        <v>903</v>
      </c>
    </row>
    <row r="304" customFormat="false" ht="15.75" hidden="false" customHeight="false" outlineLevel="0" collapsed="false">
      <c r="A304" s="262" t="n">
        <v>260</v>
      </c>
      <c r="B304" s="361" t="n">
        <v>302</v>
      </c>
      <c r="C304" s="261" t="s">
        <v>902</v>
      </c>
      <c r="D304" s="261" t="s">
        <v>904</v>
      </c>
      <c r="E304" s="358" t="s">
        <v>905</v>
      </c>
      <c r="F304" s="261" t="s">
        <v>887</v>
      </c>
      <c r="G304" s="261" t="s">
        <v>229</v>
      </c>
      <c r="H304" s="261" t="n">
        <v>2</v>
      </c>
      <c r="I304" s="261" t="n">
        <v>3</v>
      </c>
      <c r="J304" s="361" t="n">
        <v>1</v>
      </c>
      <c r="K304" s="262" t="n">
        <v>100</v>
      </c>
      <c r="L304" s="262" t="n">
        <v>150</v>
      </c>
      <c r="M304" s="262" t="n">
        <v>110</v>
      </c>
      <c r="N304" s="262" t="n">
        <v>95</v>
      </c>
      <c r="O304" s="262" t="n">
        <v>110</v>
      </c>
      <c r="P304" s="361" t="n">
        <v>70</v>
      </c>
      <c r="Q304" s="261" t="s">
        <v>154</v>
      </c>
      <c r="R304" s="261" t="s">
        <v>148</v>
      </c>
      <c r="S304" s="363" t="n">
        <f aca="false" t="array" ref="S304:S304">IF(COUNTIF('0.3.0 GO Calculation Values'!$J$2:$J$99,C304),(INDEX('0.3.0 GO Calculation Values'!$K$2:$K$99,MATCH(C304,'0.3.0 GO Calculation Values'!$J$2:$J$99,0))),1)</f>
        <v>1</v>
      </c>
      <c r="T304" s="262" t="n">
        <f aca="false">ROUND(ROUND(2*((7/8)*MAX(L304,N304)+(1/8)*MIN(L304,N304)),0)*(1+(P304-75)/500),0)</f>
        <v>283</v>
      </c>
      <c r="U304" s="262" t="n">
        <f aca="false">ROUND(ROUND(2*((5/8)*MAX(M304,O304)+(3/8)*MIN(M304,O304)),0)*(1+(P304-75)/500),0)</f>
        <v>218</v>
      </c>
      <c r="V304" s="361" t="n">
        <f aca="false">ROUNDDOWN(K304*1.75+50,0)</f>
        <v>225</v>
      </c>
      <c r="W304" s="261" t="n">
        <v>0</v>
      </c>
      <c r="X304" s="261" t="s">
        <v>902</v>
      </c>
      <c r="Y304" s="364" t="s">
        <v>898</v>
      </c>
      <c r="Z304" s="364" t="n">
        <v>3</v>
      </c>
      <c r="AA304" s="364"/>
      <c r="AB304" s="365" t="n">
        <v>5</v>
      </c>
      <c r="AC304" s="364"/>
      <c r="AD304" s="364" t="n">
        <v>100</v>
      </c>
      <c r="AE304" s="366"/>
      <c r="AF304" s="364" t="s">
        <v>906</v>
      </c>
      <c r="AG304" s="364" t="s">
        <v>906</v>
      </c>
      <c r="AH304" s="366" t="s">
        <v>906</v>
      </c>
    </row>
    <row r="305" customFormat="false" ht="15.75" hidden="false" customHeight="false" outlineLevel="0" collapsed="false">
      <c r="A305" s="262" t="n">
        <v>261</v>
      </c>
      <c r="B305" s="361" t="n">
        <v>303</v>
      </c>
      <c r="C305" s="261" t="s">
        <v>907</v>
      </c>
      <c r="D305" s="261" t="s">
        <v>60</v>
      </c>
      <c r="E305" s="362" t="s">
        <v>907</v>
      </c>
      <c r="F305" s="261" t="s">
        <v>879</v>
      </c>
      <c r="G305" s="261" t="s">
        <v>144</v>
      </c>
      <c r="H305" s="261" t="n">
        <v>0</v>
      </c>
      <c r="I305" s="261" t="n">
        <v>1</v>
      </c>
      <c r="J305" s="361" t="n">
        <v>0</v>
      </c>
      <c r="K305" s="262" t="n">
        <v>35</v>
      </c>
      <c r="L305" s="262" t="n">
        <v>55</v>
      </c>
      <c r="M305" s="262" t="n">
        <v>35</v>
      </c>
      <c r="N305" s="262" t="n">
        <v>30</v>
      </c>
      <c r="O305" s="262" t="n">
        <v>30</v>
      </c>
      <c r="P305" s="361" t="n">
        <v>35</v>
      </c>
      <c r="Q305" s="261" t="s">
        <v>160</v>
      </c>
      <c r="R305" s="261"/>
      <c r="S305" s="363" t="n">
        <f aca="false" t="array" ref="S305:S305">IF(COUNTIF('0.3.0 GO Calculation Values'!$J$2:$J$99,C305),(INDEX('0.3.0 GO Calculation Values'!$K$2:$K$99,MATCH(C305,'0.3.0 GO Calculation Values'!$J$2:$J$99,0))),1)</f>
        <v>1</v>
      </c>
      <c r="T305" s="262" t="n">
        <f aca="false">ROUND(ROUND(2*((7/8)*MAX(L305,N305)+(1/8)*MIN(L305,N305)),0)*(1+(P305-75)/500),0)</f>
        <v>96</v>
      </c>
      <c r="U305" s="262" t="n">
        <f aca="false">ROUND(ROUND(2*((5/8)*MAX(M305,O305)+(3/8)*MIN(M305,O305)),0)*(1+(P305-75)/500),0)</f>
        <v>61</v>
      </c>
      <c r="V305" s="361" t="n">
        <f aca="false">ROUNDDOWN(K305*1.75+50,0)</f>
        <v>111</v>
      </c>
      <c r="W305" s="261" t="n">
        <v>1</v>
      </c>
      <c r="X305" s="261" t="s">
        <v>60</v>
      </c>
      <c r="Y305" s="364" t="s">
        <v>907</v>
      </c>
      <c r="Z305" s="364" t="n">
        <v>1</v>
      </c>
      <c r="AA305" s="261" t="n">
        <v>43147</v>
      </c>
      <c r="AB305" s="365" t="n">
        <v>2</v>
      </c>
      <c r="AC305" s="364"/>
      <c r="AD305" s="364" t="n">
        <v>0</v>
      </c>
      <c r="AE305" s="366"/>
      <c r="AF305" s="364" t="s">
        <v>908</v>
      </c>
      <c r="AG305" s="364" t="s">
        <v>908</v>
      </c>
      <c r="AH305" s="366" t="s">
        <v>908</v>
      </c>
    </row>
    <row r="306" customFormat="false" ht="15.75" hidden="false" customHeight="false" outlineLevel="0" collapsed="false">
      <c r="A306" s="262" t="n">
        <v>262</v>
      </c>
      <c r="B306" s="361" t="n">
        <v>304</v>
      </c>
      <c r="C306" s="261" t="s">
        <v>909</v>
      </c>
      <c r="D306" s="261" t="s">
        <v>60</v>
      </c>
      <c r="E306" s="362" t="s">
        <v>909</v>
      </c>
      <c r="F306" s="261" t="s">
        <v>879</v>
      </c>
      <c r="G306" s="261" t="s">
        <v>144</v>
      </c>
      <c r="H306" s="261" t="n">
        <v>0</v>
      </c>
      <c r="I306" s="261" t="n">
        <v>2</v>
      </c>
      <c r="J306" s="361" t="n">
        <v>1</v>
      </c>
      <c r="K306" s="262" t="n">
        <v>70</v>
      </c>
      <c r="L306" s="262" t="n">
        <v>90</v>
      </c>
      <c r="M306" s="262" t="n">
        <v>70</v>
      </c>
      <c r="N306" s="262" t="n">
        <v>60</v>
      </c>
      <c r="O306" s="262" t="n">
        <v>60</v>
      </c>
      <c r="P306" s="361" t="n">
        <v>70</v>
      </c>
      <c r="Q306" s="261" t="s">
        <v>160</v>
      </c>
      <c r="R306" s="261"/>
      <c r="S306" s="363" t="n">
        <f aca="false" t="array" ref="S306:S306">IF(COUNTIF('0.3.0 GO Calculation Values'!$J$2:$J$99,C306),(INDEX('0.3.0 GO Calculation Values'!$K$2:$K$99,MATCH(C306,'0.3.0 GO Calculation Values'!$J$2:$J$99,0))),1)</f>
        <v>1</v>
      </c>
      <c r="T306" s="262" t="n">
        <f aca="false">ROUND(ROUND(2*((7/8)*MAX(L306,N306)+(1/8)*MIN(L306,N306)),0)*(1+(P306-75)/500),0)</f>
        <v>171</v>
      </c>
      <c r="U306" s="262" t="n">
        <f aca="false">ROUND(ROUND(2*((5/8)*MAX(M306,O306)+(3/8)*MIN(M306,O306)),0)*(1+(P306-75)/500),0)</f>
        <v>132</v>
      </c>
      <c r="V306" s="361" t="n">
        <f aca="false">ROUNDDOWN(K306*1.75+50,0)</f>
        <v>172</v>
      </c>
      <c r="W306" s="261" t="n">
        <v>1</v>
      </c>
      <c r="X306" s="261" t="s">
        <v>907</v>
      </c>
      <c r="Y306" s="364" t="s">
        <v>907</v>
      </c>
      <c r="Z306" s="364" t="n">
        <v>1</v>
      </c>
      <c r="AA306" s="261" t="n">
        <v>43147</v>
      </c>
      <c r="AB306" s="365" t="n">
        <v>2</v>
      </c>
      <c r="AC306" s="364"/>
      <c r="AD306" s="364" t="n">
        <v>50</v>
      </c>
      <c r="AE306" s="366"/>
      <c r="AF306" s="364" t="s">
        <v>910</v>
      </c>
      <c r="AG306" s="364" t="s">
        <v>910</v>
      </c>
      <c r="AH306" s="366" t="s">
        <v>910</v>
      </c>
    </row>
    <row r="307" customFormat="false" ht="15.75" hidden="false" customHeight="false" outlineLevel="0" collapsed="false">
      <c r="A307" s="262" t="n">
        <v>263</v>
      </c>
      <c r="B307" s="361" t="n">
        <v>305</v>
      </c>
      <c r="C307" s="261" t="s">
        <v>911</v>
      </c>
      <c r="D307" s="261" t="s">
        <v>60</v>
      </c>
      <c r="E307" s="362" t="s">
        <v>911</v>
      </c>
      <c r="F307" s="261" t="s">
        <v>879</v>
      </c>
      <c r="G307" s="261" t="s">
        <v>144</v>
      </c>
      <c r="H307" s="261" t="n">
        <v>0</v>
      </c>
      <c r="I307" s="261" t="n">
        <v>1</v>
      </c>
      <c r="J307" s="361" t="n">
        <v>0</v>
      </c>
      <c r="K307" s="262" t="n">
        <v>38</v>
      </c>
      <c r="L307" s="262" t="n">
        <v>30</v>
      </c>
      <c r="M307" s="262" t="n">
        <v>41</v>
      </c>
      <c r="N307" s="262" t="n">
        <v>30</v>
      </c>
      <c r="O307" s="262" t="n">
        <v>41</v>
      </c>
      <c r="P307" s="361" t="n">
        <v>60</v>
      </c>
      <c r="Q307" s="261" t="s">
        <v>144</v>
      </c>
      <c r="R307" s="261"/>
      <c r="S307" s="363" t="n">
        <f aca="false" t="array" ref="S307:S307">IF(COUNTIF('0.3.0 GO Calculation Values'!$J$2:$J$99,C307),(INDEX('0.3.0 GO Calculation Values'!$K$2:$K$99,MATCH(C307,'0.3.0 GO Calculation Values'!$J$2:$J$99,0))),1)</f>
        <v>1</v>
      </c>
      <c r="T307" s="262" t="n">
        <f aca="false">ROUND(ROUND(2*((7/8)*MAX(L307,N307)+(1/8)*MIN(L307,N307)),0)*(1+(P307-75)/500),0)</f>
        <v>58</v>
      </c>
      <c r="U307" s="262" t="n">
        <f aca="false">ROUND(ROUND(2*((5/8)*MAX(M307,O307)+(3/8)*MIN(M307,O307)),0)*(1+(P307-75)/500),0)</f>
        <v>80</v>
      </c>
      <c r="V307" s="361" t="n">
        <f aca="false">ROUNDDOWN(K307*1.75+50,0)</f>
        <v>116</v>
      </c>
      <c r="W307" s="261" t="n">
        <v>1</v>
      </c>
      <c r="X307" s="261" t="s">
        <v>60</v>
      </c>
      <c r="Y307" s="364" t="s">
        <v>911</v>
      </c>
      <c r="Z307" s="364" t="n">
        <v>1</v>
      </c>
      <c r="AA307" s="364"/>
      <c r="AB307" s="365" t="n">
        <v>2</v>
      </c>
      <c r="AC307" s="364"/>
      <c r="AD307" s="364" t="n">
        <v>0</v>
      </c>
      <c r="AE307" s="366"/>
      <c r="AF307" s="364" t="s">
        <v>912</v>
      </c>
      <c r="AG307" s="364" t="s">
        <v>912</v>
      </c>
      <c r="AH307" s="366" t="s">
        <v>912</v>
      </c>
    </row>
    <row r="308" customFormat="false" ht="15.75" hidden="false" customHeight="false" outlineLevel="0" collapsed="false">
      <c r="A308" s="262" t="n">
        <v>264</v>
      </c>
      <c r="B308" s="361" t="n">
        <v>306</v>
      </c>
      <c r="C308" s="261" t="s">
        <v>913</v>
      </c>
      <c r="D308" s="261" t="s">
        <v>60</v>
      </c>
      <c r="E308" s="362" t="s">
        <v>913</v>
      </c>
      <c r="F308" s="261" t="s">
        <v>879</v>
      </c>
      <c r="G308" s="261" t="s">
        <v>144</v>
      </c>
      <c r="H308" s="261" t="n">
        <v>0</v>
      </c>
      <c r="I308" s="261" t="n">
        <v>2</v>
      </c>
      <c r="J308" s="361" t="n">
        <v>1</v>
      </c>
      <c r="K308" s="262" t="n">
        <v>78</v>
      </c>
      <c r="L308" s="262" t="n">
        <v>70</v>
      </c>
      <c r="M308" s="262" t="n">
        <v>61</v>
      </c>
      <c r="N308" s="262" t="n">
        <v>50</v>
      </c>
      <c r="O308" s="262" t="n">
        <v>61</v>
      </c>
      <c r="P308" s="361" t="n">
        <v>100</v>
      </c>
      <c r="Q308" s="261" t="s">
        <v>144</v>
      </c>
      <c r="R308" s="261"/>
      <c r="S308" s="363" t="n">
        <f aca="false" t="array" ref="S308:S308">IF(COUNTIF('0.3.0 GO Calculation Values'!$J$2:$J$99,C308),(INDEX('0.3.0 GO Calculation Values'!$K$2:$K$99,MATCH(C308,'0.3.0 GO Calculation Values'!$J$2:$J$99,0))),1)</f>
        <v>1</v>
      </c>
      <c r="T308" s="262" t="n">
        <f aca="false">ROUND(ROUND(2*((7/8)*MAX(L308,N308)+(1/8)*MIN(L308,N308)),0)*(1+(P308-75)/500),0)</f>
        <v>142</v>
      </c>
      <c r="U308" s="262" t="n">
        <f aca="false">ROUND(ROUND(2*((5/8)*MAX(M308,O308)+(3/8)*MIN(M308,O308)),0)*(1+(P308-75)/500),0)</f>
        <v>128</v>
      </c>
      <c r="V308" s="361" t="n">
        <f aca="false">ROUNDDOWN(K308*1.75+50,0)</f>
        <v>186</v>
      </c>
      <c r="W308" s="261" t="n">
        <v>1</v>
      </c>
      <c r="X308" s="261" t="s">
        <v>911</v>
      </c>
      <c r="Y308" s="364" t="s">
        <v>911</v>
      </c>
      <c r="Z308" s="364" t="n">
        <v>1</v>
      </c>
      <c r="AA308" s="364"/>
      <c r="AB308" s="365" t="n">
        <v>2</v>
      </c>
      <c r="AC308" s="364"/>
      <c r="AD308" s="364" t="n">
        <v>50</v>
      </c>
      <c r="AE308" s="366"/>
      <c r="AF308" s="364" t="s">
        <v>914</v>
      </c>
      <c r="AG308" s="364" t="s">
        <v>914</v>
      </c>
      <c r="AH308" s="366" t="s">
        <v>914</v>
      </c>
    </row>
    <row r="309" customFormat="false" ht="15.75" hidden="false" customHeight="false" outlineLevel="0" collapsed="false">
      <c r="A309" s="262" t="n">
        <v>265</v>
      </c>
      <c r="B309" s="361" t="n">
        <v>307</v>
      </c>
      <c r="C309" s="261" t="s">
        <v>915</v>
      </c>
      <c r="D309" s="261" t="s">
        <v>60</v>
      </c>
      <c r="E309" s="362" t="s">
        <v>915</v>
      </c>
      <c r="F309" s="261" t="s">
        <v>879</v>
      </c>
      <c r="G309" s="261" t="s">
        <v>144</v>
      </c>
      <c r="H309" s="261" t="n">
        <v>0</v>
      </c>
      <c r="I309" s="261" t="n">
        <v>1</v>
      </c>
      <c r="J309" s="361" t="n">
        <v>0</v>
      </c>
      <c r="K309" s="262" t="n">
        <v>45</v>
      </c>
      <c r="L309" s="262" t="n">
        <v>45</v>
      </c>
      <c r="M309" s="262" t="n">
        <v>35</v>
      </c>
      <c r="N309" s="262" t="n">
        <v>20</v>
      </c>
      <c r="O309" s="262" t="n">
        <v>30</v>
      </c>
      <c r="P309" s="361" t="n">
        <v>20</v>
      </c>
      <c r="Q309" s="261" t="s">
        <v>150</v>
      </c>
      <c r="R309" s="261"/>
      <c r="S309" s="363" t="n">
        <f aca="false" t="array" ref="S309:S309">IF(COUNTIF('0.3.0 GO Calculation Values'!$J$2:$J$99,C309),(INDEX('0.3.0 GO Calculation Values'!$K$2:$K$99,MATCH(C309,'0.3.0 GO Calculation Values'!$J$2:$J$99,0))),1)</f>
        <v>1</v>
      </c>
      <c r="T309" s="262" t="n">
        <f aca="false">ROUND(ROUND(2*((7/8)*MAX(L309,N309)+(1/8)*MIN(L309,N309)),0)*(1+(P309-75)/500),0)</f>
        <v>75</v>
      </c>
      <c r="U309" s="262" t="n">
        <f aca="false">ROUND(ROUND(2*((5/8)*MAX(M309,O309)+(3/8)*MIN(M309,O309)),0)*(1+(P309-75)/500),0)</f>
        <v>59</v>
      </c>
      <c r="V309" s="361" t="n">
        <f aca="false">ROUNDDOWN(K309*1.75+50,0)</f>
        <v>128</v>
      </c>
      <c r="W309" s="261" t="n">
        <v>1</v>
      </c>
      <c r="X309" s="261" t="s">
        <v>60</v>
      </c>
      <c r="Y309" s="364" t="s">
        <v>915</v>
      </c>
      <c r="Z309" s="364" t="n">
        <v>1</v>
      </c>
      <c r="AA309" s="364"/>
      <c r="AB309" s="365" t="n">
        <v>2</v>
      </c>
      <c r="AC309" s="364"/>
      <c r="AD309" s="364" t="n">
        <v>0</v>
      </c>
      <c r="AE309" s="366"/>
      <c r="AF309" s="364" t="s">
        <v>916</v>
      </c>
      <c r="AG309" s="364" t="s">
        <v>916</v>
      </c>
      <c r="AH309" s="366" t="s">
        <v>916</v>
      </c>
    </row>
    <row r="310" customFormat="false" ht="15.75" hidden="false" customHeight="false" outlineLevel="0" collapsed="false">
      <c r="A310" s="262" t="n">
        <v>266</v>
      </c>
      <c r="B310" s="361" t="n">
        <v>308</v>
      </c>
      <c r="C310" s="261" t="s">
        <v>917</v>
      </c>
      <c r="D310" s="261" t="s">
        <v>60</v>
      </c>
      <c r="E310" s="362" t="s">
        <v>917</v>
      </c>
      <c r="F310" s="261" t="s">
        <v>879</v>
      </c>
      <c r="G310" s="261" t="s">
        <v>144</v>
      </c>
      <c r="H310" s="261" t="n">
        <v>0</v>
      </c>
      <c r="I310" s="261" t="n">
        <v>2</v>
      </c>
      <c r="J310" s="361" t="n">
        <v>0</v>
      </c>
      <c r="K310" s="262" t="n">
        <v>50</v>
      </c>
      <c r="L310" s="262" t="n">
        <v>35</v>
      </c>
      <c r="M310" s="262" t="n">
        <v>55</v>
      </c>
      <c r="N310" s="262" t="n">
        <v>25</v>
      </c>
      <c r="O310" s="262" t="n">
        <v>25</v>
      </c>
      <c r="P310" s="361" t="n">
        <v>15</v>
      </c>
      <c r="Q310" s="261" t="s">
        <v>150</v>
      </c>
      <c r="R310" s="261"/>
      <c r="S310" s="363" t="n">
        <f aca="false" t="array" ref="S310:S310">IF(COUNTIF('0.3.0 GO Calculation Values'!$J$2:$J$99,C310),(INDEX('0.3.0 GO Calculation Values'!$K$2:$K$99,MATCH(C310,'0.3.0 GO Calculation Values'!$J$2:$J$99,0))),1)</f>
        <v>1</v>
      </c>
      <c r="T310" s="262" t="n">
        <f aca="false">ROUND(ROUND(2*((7/8)*MAX(L310,N310)+(1/8)*MIN(L310,N310)),0)*(1+(P310-75)/500),0)</f>
        <v>60</v>
      </c>
      <c r="U310" s="262" t="n">
        <f aca="false">ROUND(ROUND(2*((5/8)*MAX(M310,O310)+(3/8)*MIN(M310,O310)),0)*(1+(P310-75)/500),0)</f>
        <v>77</v>
      </c>
      <c r="V310" s="361" t="n">
        <f aca="false">ROUNDDOWN(K310*1.75+50,0)</f>
        <v>137</v>
      </c>
      <c r="W310" s="261" t="n">
        <v>1</v>
      </c>
      <c r="X310" s="261" t="s">
        <v>915</v>
      </c>
      <c r="Y310" s="364" t="s">
        <v>915</v>
      </c>
      <c r="Z310" s="364" t="n">
        <v>1</v>
      </c>
      <c r="AA310" s="364"/>
      <c r="AB310" s="365" t="n">
        <v>2</v>
      </c>
      <c r="AC310" s="364"/>
      <c r="AD310" s="364" t="n">
        <v>12</v>
      </c>
      <c r="AE310" s="366"/>
      <c r="AF310" s="364" t="s">
        <v>918</v>
      </c>
      <c r="AG310" s="364" t="s">
        <v>918</v>
      </c>
      <c r="AH310" s="366" t="s">
        <v>918</v>
      </c>
    </row>
    <row r="311" customFormat="false" ht="15.75" hidden="false" customHeight="false" outlineLevel="0" collapsed="false">
      <c r="A311" s="262" t="n">
        <v>267</v>
      </c>
      <c r="B311" s="361" t="n">
        <v>309</v>
      </c>
      <c r="C311" s="261" t="s">
        <v>919</v>
      </c>
      <c r="D311" s="261" t="s">
        <v>60</v>
      </c>
      <c r="E311" s="362" t="s">
        <v>919</v>
      </c>
      <c r="F311" s="261" t="s">
        <v>879</v>
      </c>
      <c r="G311" s="261" t="s">
        <v>144</v>
      </c>
      <c r="H311" s="261" t="n">
        <v>0</v>
      </c>
      <c r="I311" s="261" t="n">
        <v>3</v>
      </c>
      <c r="J311" s="361" t="n">
        <v>1</v>
      </c>
      <c r="K311" s="262" t="n">
        <v>60</v>
      </c>
      <c r="L311" s="262" t="n">
        <v>70</v>
      </c>
      <c r="M311" s="262" t="n">
        <v>50</v>
      </c>
      <c r="N311" s="262" t="n">
        <v>100</v>
      </c>
      <c r="O311" s="262" t="n">
        <v>50</v>
      </c>
      <c r="P311" s="361" t="n">
        <v>65</v>
      </c>
      <c r="Q311" s="261" t="s">
        <v>150</v>
      </c>
      <c r="R311" s="261" t="s">
        <v>146</v>
      </c>
      <c r="S311" s="363" t="n">
        <f aca="false" t="array" ref="S311:S311">IF(COUNTIF('0.3.0 GO Calculation Values'!$J$2:$J$99,C311),(INDEX('0.3.0 GO Calculation Values'!$K$2:$K$99,MATCH(C311,'0.3.0 GO Calculation Values'!$J$2:$J$99,0))),1)</f>
        <v>1</v>
      </c>
      <c r="T311" s="262" t="n">
        <f aca="false">ROUND(ROUND(2*((7/8)*MAX(L311,N311)+(1/8)*MIN(L311,N311)),0)*(1+(P311-75)/500),0)</f>
        <v>189</v>
      </c>
      <c r="U311" s="262" t="n">
        <f aca="false">ROUND(ROUND(2*((5/8)*MAX(M311,O311)+(3/8)*MIN(M311,O311)),0)*(1+(P311-75)/500),0)</f>
        <v>98</v>
      </c>
      <c r="V311" s="361" t="n">
        <f aca="false">ROUNDDOWN(K311*1.75+50,0)</f>
        <v>155</v>
      </c>
      <c r="W311" s="261" t="n">
        <v>1</v>
      </c>
      <c r="X311" s="261" t="s">
        <v>917</v>
      </c>
      <c r="Y311" s="364" t="s">
        <v>915</v>
      </c>
      <c r="Z311" s="364" t="n">
        <v>1</v>
      </c>
      <c r="AA311" s="364"/>
      <c r="AB311" s="365" t="n">
        <v>2</v>
      </c>
      <c r="AC311" s="364"/>
      <c r="AD311" s="364" t="n">
        <v>50</v>
      </c>
      <c r="AE311" s="366"/>
      <c r="AF311" s="364" t="s">
        <v>920</v>
      </c>
      <c r="AG311" s="364" t="s">
        <v>920</v>
      </c>
      <c r="AH311" s="366" t="s">
        <v>920</v>
      </c>
    </row>
    <row r="312" customFormat="false" ht="15.75" hidden="false" customHeight="false" outlineLevel="0" collapsed="false">
      <c r="A312" s="262" t="n">
        <v>268</v>
      </c>
      <c r="B312" s="361" t="n">
        <v>310</v>
      </c>
      <c r="C312" s="261" t="s">
        <v>921</v>
      </c>
      <c r="D312" s="261" t="s">
        <v>60</v>
      </c>
      <c r="E312" s="362" t="s">
        <v>921</v>
      </c>
      <c r="F312" s="261" t="s">
        <v>879</v>
      </c>
      <c r="G312" s="261" t="s">
        <v>144</v>
      </c>
      <c r="H312" s="261" t="n">
        <v>0</v>
      </c>
      <c r="I312" s="261" t="n">
        <v>2</v>
      </c>
      <c r="J312" s="361" t="n">
        <v>0</v>
      </c>
      <c r="K312" s="262" t="n">
        <v>50</v>
      </c>
      <c r="L312" s="262" t="n">
        <v>35</v>
      </c>
      <c r="M312" s="262" t="n">
        <v>55</v>
      </c>
      <c r="N312" s="262" t="n">
        <v>25</v>
      </c>
      <c r="O312" s="262" t="n">
        <v>25</v>
      </c>
      <c r="P312" s="361" t="n">
        <v>15</v>
      </c>
      <c r="Q312" s="261" t="s">
        <v>150</v>
      </c>
      <c r="R312" s="261"/>
      <c r="S312" s="363" t="n">
        <f aca="false" t="array" ref="S312:S312">IF(COUNTIF('0.3.0 GO Calculation Values'!$J$2:$J$99,C312),(INDEX('0.3.0 GO Calculation Values'!$K$2:$K$99,MATCH(C312,'0.3.0 GO Calculation Values'!$J$2:$J$99,0))),1)</f>
        <v>1</v>
      </c>
      <c r="T312" s="262" t="n">
        <f aca="false">ROUND(ROUND(2*((7/8)*MAX(L312,N312)+(1/8)*MIN(L312,N312)),0)*(1+(P312-75)/500),0)</f>
        <v>60</v>
      </c>
      <c r="U312" s="262" t="n">
        <f aca="false">ROUND(ROUND(2*((5/8)*MAX(M312,O312)+(3/8)*MIN(M312,O312)),0)*(1+(P312-75)/500),0)</f>
        <v>77</v>
      </c>
      <c r="V312" s="361" t="n">
        <f aca="false">ROUNDDOWN(K312*1.75+50,0)</f>
        <v>137</v>
      </c>
      <c r="W312" s="261" t="n">
        <v>1</v>
      </c>
      <c r="X312" s="261" t="s">
        <v>915</v>
      </c>
      <c r="Y312" s="364" t="s">
        <v>915</v>
      </c>
      <c r="Z312" s="364" t="n">
        <v>1</v>
      </c>
      <c r="AA312" s="364"/>
      <c r="AB312" s="365" t="n">
        <v>2</v>
      </c>
      <c r="AC312" s="364"/>
      <c r="AD312" s="364" t="n">
        <v>12</v>
      </c>
      <c r="AE312" s="366"/>
      <c r="AF312" s="364" t="s">
        <v>922</v>
      </c>
      <c r="AG312" s="364" t="s">
        <v>922</v>
      </c>
      <c r="AH312" s="366" t="s">
        <v>922</v>
      </c>
    </row>
    <row r="313" customFormat="false" ht="15.75" hidden="false" customHeight="false" outlineLevel="0" collapsed="false">
      <c r="A313" s="262" t="n">
        <v>269</v>
      </c>
      <c r="B313" s="361" t="n">
        <v>311</v>
      </c>
      <c r="C313" s="261" t="s">
        <v>923</v>
      </c>
      <c r="D313" s="261" t="s">
        <v>60</v>
      </c>
      <c r="E313" s="362" t="s">
        <v>923</v>
      </c>
      <c r="F313" s="261" t="s">
        <v>879</v>
      </c>
      <c r="G313" s="261" t="s">
        <v>144</v>
      </c>
      <c r="H313" s="261" t="n">
        <v>0</v>
      </c>
      <c r="I313" s="261" t="n">
        <v>3</v>
      </c>
      <c r="J313" s="361" t="n">
        <v>1</v>
      </c>
      <c r="K313" s="262" t="n">
        <v>60</v>
      </c>
      <c r="L313" s="262" t="n">
        <v>50</v>
      </c>
      <c r="M313" s="262" t="n">
        <v>70</v>
      </c>
      <c r="N313" s="262" t="n">
        <v>50</v>
      </c>
      <c r="O313" s="262" t="n">
        <v>90</v>
      </c>
      <c r="P313" s="361" t="n">
        <v>65</v>
      </c>
      <c r="Q313" s="261" t="s">
        <v>150</v>
      </c>
      <c r="R313" s="261" t="s">
        <v>147</v>
      </c>
      <c r="S313" s="363" t="n">
        <f aca="false" t="array" ref="S313:S313">IF(COUNTIF('0.3.0 GO Calculation Values'!$J$2:$J$99,C313),(INDEX('0.3.0 GO Calculation Values'!$K$2:$K$99,MATCH(C313,'0.3.0 GO Calculation Values'!$J$2:$J$99,0))),1)</f>
        <v>1</v>
      </c>
      <c r="T313" s="262" t="n">
        <f aca="false">ROUND(ROUND(2*((7/8)*MAX(L313,N313)+(1/8)*MIN(L313,N313)),0)*(1+(P313-75)/500),0)</f>
        <v>98</v>
      </c>
      <c r="U313" s="262" t="n">
        <f aca="false">ROUND(ROUND(2*((5/8)*MAX(M313,O313)+(3/8)*MIN(M313,O313)),0)*(1+(P313-75)/500),0)</f>
        <v>162</v>
      </c>
      <c r="V313" s="361" t="n">
        <f aca="false">ROUNDDOWN(K313*1.75+50,0)</f>
        <v>155</v>
      </c>
      <c r="W313" s="261" t="n">
        <v>1</v>
      </c>
      <c r="X313" s="261" t="s">
        <v>921</v>
      </c>
      <c r="Y313" s="364" t="s">
        <v>915</v>
      </c>
      <c r="Z313" s="364" t="n">
        <v>1</v>
      </c>
      <c r="AA313" s="364"/>
      <c r="AB313" s="365" t="n">
        <v>2</v>
      </c>
      <c r="AC313" s="364"/>
      <c r="AD313" s="364" t="n">
        <v>50</v>
      </c>
      <c r="AE313" s="366"/>
      <c r="AF313" s="364" t="s">
        <v>924</v>
      </c>
      <c r="AG313" s="364" t="s">
        <v>924</v>
      </c>
      <c r="AH313" s="366" t="s">
        <v>924</v>
      </c>
    </row>
    <row r="314" customFormat="false" ht="15.75" hidden="false" customHeight="false" outlineLevel="0" collapsed="false">
      <c r="A314" s="262" t="n">
        <v>270</v>
      </c>
      <c r="B314" s="361" t="n">
        <v>312</v>
      </c>
      <c r="C314" s="261" t="s">
        <v>925</v>
      </c>
      <c r="D314" s="261" t="s">
        <v>60</v>
      </c>
      <c r="E314" s="362" t="s">
        <v>925</v>
      </c>
      <c r="F314" s="261" t="s">
        <v>879</v>
      </c>
      <c r="G314" s="261" t="s">
        <v>144</v>
      </c>
      <c r="H314" s="261" t="n">
        <v>0</v>
      </c>
      <c r="I314" s="261" t="n">
        <v>1</v>
      </c>
      <c r="J314" s="361" t="n">
        <v>0</v>
      </c>
      <c r="K314" s="262" t="n">
        <v>40</v>
      </c>
      <c r="L314" s="262" t="n">
        <v>30</v>
      </c>
      <c r="M314" s="262" t="n">
        <v>30</v>
      </c>
      <c r="N314" s="262" t="n">
        <v>40</v>
      </c>
      <c r="O314" s="262" t="n">
        <v>50</v>
      </c>
      <c r="P314" s="361" t="n">
        <v>30</v>
      </c>
      <c r="Q314" s="261" t="s">
        <v>154</v>
      </c>
      <c r="R314" s="261" t="s">
        <v>155</v>
      </c>
      <c r="S314" s="363" t="n">
        <f aca="false" t="array" ref="S314:S314">IF(COUNTIF('0.3.0 GO Calculation Values'!$J$2:$J$99,C314),(INDEX('0.3.0 GO Calculation Values'!$K$2:$K$99,MATCH(C314,'0.3.0 GO Calculation Values'!$J$2:$J$99,0))),1)</f>
        <v>1</v>
      </c>
      <c r="T314" s="262" t="n">
        <f aca="false">ROUND(ROUND(2*((7/8)*MAX(L314,N314)+(1/8)*MIN(L314,N314)),0)*(1+(P314-75)/500),0)</f>
        <v>71</v>
      </c>
      <c r="U314" s="262" t="n">
        <f aca="false">ROUND(ROUND(2*((5/8)*MAX(M314,O314)+(3/8)*MIN(M314,O314)),0)*(1+(P314-75)/500),0)</f>
        <v>77</v>
      </c>
      <c r="V314" s="361" t="n">
        <f aca="false">ROUNDDOWN(K314*1.75+50,0)</f>
        <v>120</v>
      </c>
      <c r="W314" s="261" t="n">
        <v>1</v>
      </c>
      <c r="X314" s="261" t="s">
        <v>60</v>
      </c>
      <c r="Y314" s="364" t="s">
        <v>925</v>
      </c>
      <c r="Z314" s="364" t="n">
        <v>3</v>
      </c>
      <c r="AA314" s="364"/>
      <c r="AB314" s="365" t="n">
        <v>5</v>
      </c>
      <c r="AC314" s="364"/>
      <c r="AD314" s="364" t="n">
        <v>0</v>
      </c>
      <c r="AE314" s="366"/>
      <c r="AF314" s="364" t="s">
        <v>926</v>
      </c>
      <c r="AG314" s="364" t="s">
        <v>926</v>
      </c>
      <c r="AH314" s="366" t="s">
        <v>926</v>
      </c>
    </row>
    <row r="315" customFormat="false" ht="15.75" hidden="false" customHeight="false" outlineLevel="0" collapsed="false">
      <c r="A315" s="262" t="n">
        <v>271</v>
      </c>
      <c r="B315" s="361" t="n">
        <v>313</v>
      </c>
      <c r="C315" s="261" t="s">
        <v>927</v>
      </c>
      <c r="D315" s="261" t="s">
        <v>60</v>
      </c>
      <c r="E315" s="362" t="s">
        <v>927</v>
      </c>
      <c r="F315" s="261" t="s">
        <v>879</v>
      </c>
      <c r="G315" s="261" t="s">
        <v>144</v>
      </c>
      <c r="H315" s="261" t="n">
        <v>0</v>
      </c>
      <c r="I315" s="261" t="n">
        <v>2</v>
      </c>
      <c r="J315" s="361" t="n">
        <v>0</v>
      </c>
      <c r="K315" s="262" t="n">
        <v>60</v>
      </c>
      <c r="L315" s="262" t="n">
        <v>50</v>
      </c>
      <c r="M315" s="262" t="n">
        <v>50</v>
      </c>
      <c r="N315" s="262" t="n">
        <v>60</v>
      </c>
      <c r="O315" s="262" t="n">
        <v>70</v>
      </c>
      <c r="P315" s="361" t="n">
        <v>50</v>
      </c>
      <c r="Q315" s="261" t="s">
        <v>154</v>
      </c>
      <c r="R315" s="261" t="s">
        <v>155</v>
      </c>
      <c r="S315" s="363" t="n">
        <f aca="false" t="array" ref="S315:S315">IF(COUNTIF('0.3.0 GO Calculation Values'!$J$2:$J$99,C315),(INDEX('0.3.0 GO Calculation Values'!$K$2:$K$99,MATCH(C315,'0.3.0 GO Calculation Values'!$J$2:$J$99,0))),1)</f>
        <v>1</v>
      </c>
      <c r="T315" s="262" t="n">
        <f aca="false">ROUND(ROUND(2*((7/8)*MAX(L315,N315)+(1/8)*MIN(L315,N315)),0)*(1+(P315-75)/500),0)</f>
        <v>112</v>
      </c>
      <c r="U315" s="262" t="n">
        <f aca="false">ROUND(ROUND(2*((5/8)*MAX(M315,O315)+(3/8)*MIN(M315,O315)),0)*(1+(P315-75)/500),0)</f>
        <v>119</v>
      </c>
      <c r="V315" s="361" t="n">
        <f aca="false">ROUNDDOWN(K315*1.75+50,0)</f>
        <v>155</v>
      </c>
      <c r="W315" s="261" t="n">
        <v>1</v>
      </c>
      <c r="X315" s="261" t="s">
        <v>925</v>
      </c>
      <c r="Y315" s="364" t="s">
        <v>925</v>
      </c>
      <c r="Z315" s="364" t="n">
        <v>3</v>
      </c>
      <c r="AA315" s="364"/>
      <c r="AB315" s="365" t="n">
        <v>5</v>
      </c>
      <c r="AC315" s="364"/>
      <c r="AD315" s="364" t="n">
        <v>25</v>
      </c>
      <c r="AE315" s="366"/>
      <c r="AF315" s="364" t="s">
        <v>928</v>
      </c>
      <c r="AG315" s="364" t="s">
        <v>928</v>
      </c>
      <c r="AH315" s="366" t="s">
        <v>928</v>
      </c>
    </row>
    <row r="316" customFormat="false" ht="15.75" hidden="false" customHeight="false" outlineLevel="0" collapsed="false">
      <c r="A316" s="262" t="n">
        <v>272</v>
      </c>
      <c r="B316" s="361" t="n">
        <v>314</v>
      </c>
      <c r="C316" s="261" t="s">
        <v>929</v>
      </c>
      <c r="D316" s="261" t="s">
        <v>60</v>
      </c>
      <c r="E316" s="362" t="s">
        <v>929</v>
      </c>
      <c r="F316" s="261" t="s">
        <v>879</v>
      </c>
      <c r="G316" s="261" t="s">
        <v>144</v>
      </c>
      <c r="H316" s="261" t="n">
        <v>0</v>
      </c>
      <c r="I316" s="261" t="n">
        <v>3</v>
      </c>
      <c r="J316" s="361" t="n">
        <v>1</v>
      </c>
      <c r="K316" s="262" t="n">
        <v>80</v>
      </c>
      <c r="L316" s="262" t="n">
        <v>70</v>
      </c>
      <c r="M316" s="262" t="n">
        <v>70</v>
      </c>
      <c r="N316" s="262" t="n">
        <v>90</v>
      </c>
      <c r="O316" s="262" t="n">
        <v>100</v>
      </c>
      <c r="P316" s="361" t="n">
        <v>70</v>
      </c>
      <c r="Q316" s="261" t="s">
        <v>154</v>
      </c>
      <c r="R316" s="261" t="s">
        <v>155</v>
      </c>
      <c r="S316" s="363" t="n">
        <f aca="false" t="array" ref="S316:S316">IF(COUNTIF('0.3.0 GO Calculation Values'!$J$2:$J$99,C316),(INDEX('0.3.0 GO Calculation Values'!$K$2:$K$99,MATCH(C316,'0.3.0 GO Calculation Values'!$J$2:$J$99,0))),1)</f>
        <v>1</v>
      </c>
      <c r="T316" s="262" t="n">
        <f aca="false">ROUND(ROUND(2*((7/8)*MAX(L316,N316)+(1/8)*MIN(L316,N316)),0)*(1+(P316-75)/500),0)</f>
        <v>173</v>
      </c>
      <c r="U316" s="262" t="n">
        <f aca="false">ROUND(ROUND(2*((5/8)*MAX(M316,O316)+(3/8)*MIN(M316,O316)),0)*(1+(P316-75)/500),0)</f>
        <v>176</v>
      </c>
      <c r="V316" s="361" t="n">
        <f aca="false">ROUNDDOWN(K316*1.75+50,0)</f>
        <v>190</v>
      </c>
      <c r="W316" s="261" t="n">
        <v>1</v>
      </c>
      <c r="X316" s="261" t="s">
        <v>927</v>
      </c>
      <c r="Y316" s="364" t="s">
        <v>925</v>
      </c>
      <c r="Z316" s="364" t="n">
        <v>3</v>
      </c>
      <c r="AA316" s="364"/>
      <c r="AB316" s="365" t="n">
        <v>5</v>
      </c>
      <c r="AC316" s="364"/>
      <c r="AD316" s="364" t="n">
        <v>100</v>
      </c>
      <c r="AE316" s="366"/>
      <c r="AF316" s="364" t="s">
        <v>930</v>
      </c>
      <c r="AG316" s="364" t="s">
        <v>930</v>
      </c>
      <c r="AH316" s="366" t="s">
        <v>930</v>
      </c>
    </row>
    <row r="317" customFormat="false" ht="15.75" hidden="false" customHeight="false" outlineLevel="0" collapsed="false">
      <c r="A317" s="262" t="n">
        <v>273</v>
      </c>
      <c r="B317" s="361" t="n">
        <v>315</v>
      </c>
      <c r="C317" s="261" t="s">
        <v>931</v>
      </c>
      <c r="D317" s="261" t="s">
        <v>60</v>
      </c>
      <c r="E317" s="362" t="s">
        <v>931</v>
      </c>
      <c r="F317" s="261" t="s">
        <v>879</v>
      </c>
      <c r="G317" s="261" t="s">
        <v>144</v>
      </c>
      <c r="H317" s="261" t="n">
        <v>0</v>
      </c>
      <c r="I317" s="261" t="n">
        <v>1</v>
      </c>
      <c r="J317" s="361" t="n">
        <v>0</v>
      </c>
      <c r="K317" s="262" t="n">
        <v>40</v>
      </c>
      <c r="L317" s="262" t="n">
        <v>40</v>
      </c>
      <c r="M317" s="262" t="n">
        <v>50</v>
      </c>
      <c r="N317" s="262" t="n">
        <v>30</v>
      </c>
      <c r="O317" s="262" t="n">
        <v>30</v>
      </c>
      <c r="P317" s="361" t="n">
        <v>30</v>
      </c>
      <c r="Q317" s="261" t="s">
        <v>155</v>
      </c>
      <c r="R317" s="261"/>
      <c r="S317" s="363" t="n">
        <f aca="false" t="array" ref="S317:S317">IF(COUNTIF('0.3.0 GO Calculation Values'!$J$2:$J$99,C317),(INDEX('0.3.0 GO Calculation Values'!$K$2:$K$99,MATCH(C317,'0.3.0 GO Calculation Values'!$J$2:$J$99,0))),1)</f>
        <v>1</v>
      </c>
      <c r="T317" s="262" t="n">
        <f aca="false">ROUND(ROUND(2*((7/8)*MAX(L317,N317)+(1/8)*MIN(L317,N317)),0)*(1+(P317-75)/500),0)</f>
        <v>71</v>
      </c>
      <c r="U317" s="262" t="n">
        <f aca="false">ROUND(ROUND(2*((5/8)*MAX(M317,O317)+(3/8)*MIN(M317,O317)),0)*(1+(P317-75)/500),0)</f>
        <v>77</v>
      </c>
      <c r="V317" s="361" t="n">
        <f aca="false">ROUNDDOWN(K317*1.75+50,0)</f>
        <v>120</v>
      </c>
      <c r="W317" s="261" t="n">
        <v>1</v>
      </c>
      <c r="X317" s="261" t="s">
        <v>60</v>
      </c>
      <c r="Y317" s="364" t="s">
        <v>931</v>
      </c>
      <c r="Z317" s="364" t="n">
        <v>3</v>
      </c>
      <c r="AA317" s="364"/>
      <c r="AB317" s="365" t="n">
        <v>5</v>
      </c>
      <c r="AC317" s="364"/>
      <c r="AD317" s="364" t="n">
        <v>0</v>
      </c>
      <c r="AE317" s="366"/>
      <c r="AF317" s="364" t="s">
        <v>932</v>
      </c>
      <c r="AG317" s="364" t="s">
        <v>932</v>
      </c>
      <c r="AH317" s="366" t="s">
        <v>932</v>
      </c>
    </row>
    <row r="318" customFormat="false" ht="15.75" hidden="false" customHeight="false" outlineLevel="0" collapsed="false">
      <c r="A318" s="262" t="n">
        <v>274</v>
      </c>
      <c r="B318" s="361" t="n">
        <v>316</v>
      </c>
      <c r="C318" s="261" t="s">
        <v>933</v>
      </c>
      <c r="D318" s="261" t="s">
        <v>60</v>
      </c>
      <c r="E318" s="362" t="s">
        <v>933</v>
      </c>
      <c r="F318" s="261" t="s">
        <v>879</v>
      </c>
      <c r="G318" s="261" t="s">
        <v>144</v>
      </c>
      <c r="H318" s="261" t="n">
        <v>0</v>
      </c>
      <c r="I318" s="261" t="n">
        <v>2</v>
      </c>
      <c r="J318" s="361" t="n">
        <v>0</v>
      </c>
      <c r="K318" s="262" t="n">
        <v>70</v>
      </c>
      <c r="L318" s="262" t="n">
        <v>70</v>
      </c>
      <c r="M318" s="262" t="n">
        <v>40</v>
      </c>
      <c r="N318" s="262" t="n">
        <v>60</v>
      </c>
      <c r="O318" s="262" t="n">
        <v>40</v>
      </c>
      <c r="P318" s="361" t="n">
        <v>60</v>
      </c>
      <c r="Q318" s="261" t="s">
        <v>155</v>
      </c>
      <c r="R318" s="261" t="s">
        <v>160</v>
      </c>
      <c r="S318" s="363" t="n">
        <f aca="false" t="array" ref="S318:S318">IF(COUNTIF('0.3.0 GO Calculation Values'!$J$2:$J$99,C318),(INDEX('0.3.0 GO Calculation Values'!$K$2:$K$99,MATCH(C318,'0.3.0 GO Calculation Values'!$J$2:$J$99,0))),1)</f>
        <v>1</v>
      </c>
      <c r="T318" s="262" t="n">
        <f aca="false">ROUND(ROUND(2*((7/8)*MAX(L318,N318)+(1/8)*MIN(L318,N318)),0)*(1+(P318-75)/500),0)</f>
        <v>134</v>
      </c>
      <c r="U318" s="262" t="n">
        <f aca="false">ROUND(ROUND(2*((5/8)*MAX(M318,O318)+(3/8)*MIN(M318,O318)),0)*(1+(P318-75)/500),0)</f>
        <v>78</v>
      </c>
      <c r="V318" s="361" t="n">
        <f aca="false">ROUNDDOWN(K318*1.75+50,0)</f>
        <v>172</v>
      </c>
      <c r="W318" s="261" t="n">
        <v>1</v>
      </c>
      <c r="X318" s="261" t="s">
        <v>931</v>
      </c>
      <c r="Y318" s="364" t="s">
        <v>931</v>
      </c>
      <c r="Z318" s="364" t="n">
        <v>3</v>
      </c>
      <c r="AA318" s="364"/>
      <c r="AB318" s="365" t="n">
        <v>5</v>
      </c>
      <c r="AC318" s="364"/>
      <c r="AD318" s="364" t="n">
        <v>25</v>
      </c>
      <c r="AE318" s="366"/>
      <c r="AF318" s="364" t="s">
        <v>934</v>
      </c>
      <c r="AG318" s="364" t="s">
        <v>934</v>
      </c>
      <c r="AH318" s="366" t="s">
        <v>934</v>
      </c>
    </row>
    <row r="319" customFormat="false" ht="15.75" hidden="false" customHeight="false" outlineLevel="0" collapsed="false">
      <c r="A319" s="262" t="n">
        <v>275</v>
      </c>
      <c r="B319" s="361" t="n">
        <v>317</v>
      </c>
      <c r="C319" s="261" t="s">
        <v>935</v>
      </c>
      <c r="D319" s="261" t="s">
        <v>60</v>
      </c>
      <c r="E319" s="362" t="s">
        <v>935</v>
      </c>
      <c r="F319" s="261" t="s">
        <v>879</v>
      </c>
      <c r="G319" s="261" t="s">
        <v>144</v>
      </c>
      <c r="H319" s="261" t="n">
        <v>0</v>
      </c>
      <c r="I319" s="261" t="n">
        <v>3</v>
      </c>
      <c r="J319" s="361" t="n">
        <v>1</v>
      </c>
      <c r="K319" s="262" t="n">
        <v>90</v>
      </c>
      <c r="L319" s="262" t="n">
        <v>100</v>
      </c>
      <c r="M319" s="262" t="n">
        <v>60</v>
      </c>
      <c r="N319" s="262" t="n">
        <v>90</v>
      </c>
      <c r="O319" s="262" t="n">
        <v>60</v>
      </c>
      <c r="P319" s="361" t="n">
        <v>80</v>
      </c>
      <c r="Q319" s="261" t="s">
        <v>155</v>
      </c>
      <c r="R319" s="261" t="s">
        <v>160</v>
      </c>
      <c r="S319" s="363" t="n">
        <f aca="false" t="array" ref="S319:S319">IF(COUNTIF('0.3.0 GO Calculation Values'!$J$2:$J$99,C319),(INDEX('0.3.0 GO Calculation Values'!$K$2:$K$99,MATCH(C319,'0.3.0 GO Calculation Values'!$J$2:$J$99,0))),1)</f>
        <v>1</v>
      </c>
      <c r="T319" s="262" t="n">
        <f aca="false">ROUND(ROUND(2*((7/8)*MAX(L319,N319)+(1/8)*MIN(L319,N319)),0)*(1+(P319-75)/500),0)</f>
        <v>200</v>
      </c>
      <c r="U319" s="262" t="n">
        <f aca="false">ROUND(ROUND(2*((5/8)*MAX(M319,O319)+(3/8)*MIN(M319,O319)),0)*(1+(P319-75)/500),0)</f>
        <v>121</v>
      </c>
      <c r="V319" s="361" t="n">
        <f aca="false">ROUNDDOWN(K319*1.75+50,0)</f>
        <v>207</v>
      </c>
      <c r="W319" s="261" t="n">
        <v>1</v>
      </c>
      <c r="X319" s="261" t="s">
        <v>933</v>
      </c>
      <c r="Y319" s="364" t="s">
        <v>931</v>
      </c>
      <c r="Z319" s="364" t="n">
        <v>3</v>
      </c>
      <c r="AA319" s="364"/>
      <c r="AB319" s="365" t="n">
        <v>5</v>
      </c>
      <c r="AC319" s="364"/>
      <c r="AD319" s="364" t="n">
        <v>100</v>
      </c>
      <c r="AE319" s="366"/>
      <c r="AF319" s="364" t="s">
        <v>936</v>
      </c>
      <c r="AG319" s="364" t="s">
        <v>936</v>
      </c>
      <c r="AH319" s="366" t="s">
        <v>936</v>
      </c>
    </row>
    <row r="320" customFormat="false" ht="15.75" hidden="false" customHeight="false" outlineLevel="0" collapsed="false">
      <c r="A320" s="262" t="n">
        <v>276</v>
      </c>
      <c r="B320" s="361" t="n">
        <v>318</v>
      </c>
      <c r="C320" s="261" t="s">
        <v>937</v>
      </c>
      <c r="D320" s="261" t="s">
        <v>60</v>
      </c>
      <c r="E320" s="362" t="s">
        <v>937</v>
      </c>
      <c r="F320" s="261" t="s">
        <v>879</v>
      </c>
      <c r="G320" s="261" t="s">
        <v>144</v>
      </c>
      <c r="H320" s="261" t="n">
        <v>0</v>
      </c>
      <c r="I320" s="261" t="n">
        <v>1</v>
      </c>
      <c r="J320" s="361" t="n">
        <v>0</v>
      </c>
      <c r="K320" s="262" t="n">
        <v>40</v>
      </c>
      <c r="L320" s="262" t="n">
        <v>55</v>
      </c>
      <c r="M320" s="262" t="n">
        <v>30</v>
      </c>
      <c r="N320" s="262" t="n">
        <v>30</v>
      </c>
      <c r="O320" s="262" t="n">
        <v>30</v>
      </c>
      <c r="P320" s="361" t="n">
        <v>85</v>
      </c>
      <c r="Q320" s="261" t="s">
        <v>144</v>
      </c>
      <c r="R320" s="261" t="s">
        <v>146</v>
      </c>
      <c r="S320" s="363" t="n">
        <f aca="false" t="array" ref="S320:S320">IF(COUNTIF('0.3.0 GO Calculation Values'!$J$2:$J$99,C320),(INDEX('0.3.0 GO Calculation Values'!$K$2:$K$99,MATCH(C320,'0.3.0 GO Calculation Values'!$J$2:$J$99,0))),1)</f>
        <v>1</v>
      </c>
      <c r="T320" s="262" t="n">
        <f aca="false">ROUND(ROUND(2*((7/8)*MAX(L320,N320)+(1/8)*MIN(L320,N320)),0)*(1+(P320-75)/500),0)</f>
        <v>106</v>
      </c>
      <c r="U320" s="262" t="n">
        <f aca="false">ROUND(ROUND(2*((5/8)*MAX(M320,O320)+(3/8)*MIN(M320,O320)),0)*(1+(P320-75)/500),0)</f>
        <v>61</v>
      </c>
      <c r="V320" s="361" t="n">
        <f aca="false">ROUNDDOWN(K320*1.75+50,0)</f>
        <v>120</v>
      </c>
      <c r="W320" s="261" t="n">
        <v>1</v>
      </c>
      <c r="X320" s="261" t="s">
        <v>60</v>
      </c>
      <c r="Y320" s="364" t="s">
        <v>937</v>
      </c>
      <c r="Z320" s="364" t="n">
        <v>1</v>
      </c>
      <c r="AA320" s="364"/>
      <c r="AB320" s="365" t="n">
        <v>2</v>
      </c>
      <c r="AC320" s="364"/>
      <c r="AD320" s="364" t="n">
        <v>0</v>
      </c>
      <c r="AE320" s="366"/>
      <c r="AF320" s="364" t="s">
        <v>938</v>
      </c>
      <c r="AG320" s="364" t="s">
        <v>938</v>
      </c>
      <c r="AH320" s="366" t="s">
        <v>938</v>
      </c>
    </row>
    <row r="321" customFormat="false" ht="15.75" hidden="false" customHeight="false" outlineLevel="0" collapsed="false">
      <c r="A321" s="262" t="n">
        <v>277</v>
      </c>
      <c r="B321" s="361" t="n">
        <v>319</v>
      </c>
      <c r="C321" s="261" t="s">
        <v>939</v>
      </c>
      <c r="D321" s="261" t="s">
        <v>60</v>
      </c>
      <c r="E321" s="362" t="s">
        <v>939</v>
      </c>
      <c r="F321" s="261" t="s">
        <v>879</v>
      </c>
      <c r="G321" s="261" t="s">
        <v>144</v>
      </c>
      <c r="H321" s="261" t="n">
        <v>0</v>
      </c>
      <c r="I321" s="261" t="n">
        <v>2</v>
      </c>
      <c r="J321" s="361" t="n">
        <v>1</v>
      </c>
      <c r="K321" s="262" t="n">
        <v>60</v>
      </c>
      <c r="L321" s="262" t="n">
        <v>85</v>
      </c>
      <c r="M321" s="262" t="n">
        <v>60</v>
      </c>
      <c r="N321" s="262" t="n">
        <v>75</v>
      </c>
      <c r="O321" s="262" t="n">
        <v>50</v>
      </c>
      <c r="P321" s="361" t="n">
        <v>125</v>
      </c>
      <c r="Q321" s="261" t="s">
        <v>144</v>
      </c>
      <c r="R321" s="261" t="s">
        <v>146</v>
      </c>
      <c r="S321" s="363" t="n">
        <f aca="false" t="array" ref="S321:S321">IF(COUNTIF('0.3.0 GO Calculation Values'!$J$2:$J$99,C321),(INDEX('0.3.0 GO Calculation Values'!$K$2:$K$99,MATCH(C321,'0.3.0 GO Calculation Values'!$J$2:$J$99,0))),1)</f>
        <v>1</v>
      </c>
      <c r="T321" s="262" t="n">
        <f aca="false">ROUND(ROUND(2*((7/8)*MAX(L321,N321)+(1/8)*MIN(L321,N321)),0)*(1+(P321-75)/500),0)</f>
        <v>185</v>
      </c>
      <c r="U321" s="262" t="n">
        <f aca="false">ROUND(ROUND(2*((5/8)*MAX(M321,O321)+(3/8)*MIN(M321,O321)),0)*(1+(P321-75)/500),0)</f>
        <v>124</v>
      </c>
      <c r="V321" s="361" t="n">
        <f aca="false">ROUNDDOWN(K321*1.75+50,0)</f>
        <v>155</v>
      </c>
      <c r="W321" s="261" t="n">
        <v>1</v>
      </c>
      <c r="X321" s="261" t="s">
        <v>937</v>
      </c>
      <c r="Y321" s="364" t="s">
        <v>937</v>
      </c>
      <c r="Z321" s="364" t="n">
        <v>1</v>
      </c>
      <c r="AA321" s="364"/>
      <c r="AB321" s="365" t="n">
        <v>2</v>
      </c>
      <c r="AC321" s="364"/>
      <c r="AD321" s="364" t="n">
        <v>50</v>
      </c>
      <c r="AE321" s="366"/>
      <c r="AF321" s="364" t="s">
        <v>940</v>
      </c>
      <c r="AG321" s="364" t="s">
        <v>940</v>
      </c>
      <c r="AH321" s="366" t="s">
        <v>940</v>
      </c>
    </row>
    <row r="322" customFormat="false" ht="15.75" hidden="false" customHeight="false" outlineLevel="0" collapsed="false">
      <c r="A322" s="262" t="n">
        <v>278</v>
      </c>
      <c r="B322" s="361" t="n">
        <v>320</v>
      </c>
      <c r="C322" s="261" t="s">
        <v>941</v>
      </c>
      <c r="D322" s="261" t="s">
        <v>60</v>
      </c>
      <c r="E322" s="362" t="s">
        <v>941</v>
      </c>
      <c r="F322" s="261" t="s">
        <v>879</v>
      </c>
      <c r="G322" s="261" t="s">
        <v>144</v>
      </c>
      <c r="H322" s="261" t="n">
        <v>0</v>
      </c>
      <c r="I322" s="261" t="n">
        <v>1</v>
      </c>
      <c r="J322" s="361" t="n">
        <v>0</v>
      </c>
      <c r="K322" s="262" t="n">
        <v>40</v>
      </c>
      <c r="L322" s="262" t="n">
        <v>30</v>
      </c>
      <c r="M322" s="262" t="n">
        <v>30</v>
      </c>
      <c r="N322" s="262" t="n">
        <v>55</v>
      </c>
      <c r="O322" s="262" t="n">
        <v>30</v>
      </c>
      <c r="P322" s="361" t="n">
        <v>85</v>
      </c>
      <c r="Q322" s="261" t="s">
        <v>154</v>
      </c>
      <c r="R322" s="261" t="s">
        <v>146</v>
      </c>
      <c r="S322" s="363" t="n">
        <f aca="false" t="array" ref="S322:S322">IF(COUNTIF('0.3.0 GO Calculation Values'!$J$2:$J$99,C322),(INDEX('0.3.0 GO Calculation Values'!$K$2:$K$99,MATCH(C322,'0.3.0 GO Calculation Values'!$J$2:$J$99,0))),1)</f>
        <v>1</v>
      </c>
      <c r="T322" s="262" t="n">
        <f aca="false">ROUND(ROUND(2*((7/8)*MAX(L322,N322)+(1/8)*MIN(L322,N322)),0)*(1+(P322-75)/500),0)</f>
        <v>106</v>
      </c>
      <c r="U322" s="262" t="n">
        <f aca="false">ROUND(ROUND(2*((5/8)*MAX(M322,O322)+(3/8)*MIN(M322,O322)),0)*(1+(P322-75)/500),0)</f>
        <v>61</v>
      </c>
      <c r="V322" s="361" t="n">
        <f aca="false">ROUNDDOWN(K322*1.75+50,0)</f>
        <v>120</v>
      </c>
      <c r="W322" s="261" t="n">
        <v>1</v>
      </c>
      <c r="X322" s="261" t="s">
        <v>60</v>
      </c>
      <c r="Y322" s="364" t="s">
        <v>941</v>
      </c>
      <c r="Z322" s="364" t="n">
        <v>3</v>
      </c>
      <c r="AA322" s="364"/>
      <c r="AB322" s="365" t="n">
        <v>5</v>
      </c>
      <c r="AC322" s="364"/>
      <c r="AD322" s="364" t="n">
        <v>0</v>
      </c>
      <c r="AE322" s="366"/>
      <c r="AF322" s="364" t="s">
        <v>942</v>
      </c>
      <c r="AG322" s="364" t="s">
        <v>942</v>
      </c>
      <c r="AH322" s="366" t="s">
        <v>942</v>
      </c>
    </row>
    <row r="323" customFormat="false" ht="15.75" hidden="false" customHeight="false" outlineLevel="0" collapsed="false">
      <c r="A323" s="262" t="n">
        <v>279</v>
      </c>
      <c r="B323" s="361" t="n">
        <v>321</v>
      </c>
      <c r="C323" s="261" t="s">
        <v>943</v>
      </c>
      <c r="D323" s="261" t="s">
        <v>60</v>
      </c>
      <c r="E323" s="362" t="s">
        <v>943</v>
      </c>
      <c r="F323" s="261" t="s">
        <v>879</v>
      </c>
      <c r="G323" s="261" t="s">
        <v>144</v>
      </c>
      <c r="H323" s="261" t="n">
        <v>0</v>
      </c>
      <c r="I323" s="261" t="n">
        <v>2</v>
      </c>
      <c r="J323" s="361" t="n">
        <v>1</v>
      </c>
      <c r="K323" s="262" t="n">
        <v>60</v>
      </c>
      <c r="L323" s="262" t="n">
        <v>50</v>
      </c>
      <c r="M323" s="262" t="n">
        <v>100</v>
      </c>
      <c r="N323" s="262" t="n">
        <v>95</v>
      </c>
      <c r="O323" s="262" t="n">
        <v>70</v>
      </c>
      <c r="P323" s="361" t="n">
        <v>65</v>
      </c>
      <c r="Q323" s="261" t="s">
        <v>154</v>
      </c>
      <c r="R323" s="261" t="s">
        <v>146</v>
      </c>
      <c r="S323" s="363" t="n">
        <f aca="false" t="array" ref="S323:S323">IF(COUNTIF('0.3.0 GO Calculation Values'!$J$2:$J$99,C323),(INDEX('0.3.0 GO Calculation Values'!$K$2:$K$99,MATCH(C323,'0.3.0 GO Calculation Values'!$J$2:$J$99,0))),1)</f>
        <v>1</v>
      </c>
      <c r="T323" s="262" t="n">
        <f aca="false">ROUND(ROUND(2*((7/8)*MAX(L323,N323)+(1/8)*MIN(L323,N323)),0)*(1+(P323-75)/500),0)</f>
        <v>175</v>
      </c>
      <c r="U323" s="262" t="n">
        <f aca="false">ROUND(ROUND(2*((5/8)*MAX(M323,O323)+(3/8)*MIN(M323,O323)),0)*(1+(P323-75)/500),0)</f>
        <v>174</v>
      </c>
      <c r="V323" s="361" t="n">
        <f aca="false">ROUNDDOWN(K323*1.75+50,0)</f>
        <v>155</v>
      </c>
      <c r="W323" s="261" t="n">
        <v>1</v>
      </c>
      <c r="X323" s="261" t="s">
        <v>941</v>
      </c>
      <c r="Y323" s="364" t="s">
        <v>941</v>
      </c>
      <c r="Z323" s="364" t="n">
        <v>3</v>
      </c>
      <c r="AA323" s="364"/>
      <c r="AB323" s="365" t="n">
        <v>5</v>
      </c>
      <c r="AC323" s="364"/>
      <c r="AD323" s="364" t="n">
        <v>50</v>
      </c>
      <c r="AE323" s="366"/>
      <c r="AF323" s="364" t="s">
        <v>944</v>
      </c>
      <c r="AG323" s="364" t="s">
        <v>944</v>
      </c>
      <c r="AH323" s="366" t="s">
        <v>944</v>
      </c>
    </row>
    <row r="324" customFormat="false" ht="15.75" hidden="false" customHeight="false" outlineLevel="0" collapsed="false">
      <c r="A324" s="262" t="n">
        <v>280</v>
      </c>
      <c r="B324" s="361" t="n">
        <v>322</v>
      </c>
      <c r="C324" s="261" t="s">
        <v>945</v>
      </c>
      <c r="D324" s="261" t="s">
        <v>60</v>
      </c>
      <c r="E324" s="362" t="s">
        <v>945</v>
      </c>
      <c r="F324" s="261" t="s">
        <v>879</v>
      </c>
      <c r="G324" s="261" t="s">
        <v>144</v>
      </c>
      <c r="H324" s="261" t="n">
        <v>0</v>
      </c>
      <c r="I324" s="261" t="n">
        <v>1</v>
      </c>
      <c r="J324" s="361" t="n">
        <v>0</v>
      </c>
      <c r="K324" s="262" t="n">
        <v>28</v>
      </c>
      <c r="L324" s="262" t="n">
        <v>25</v>
      </c>
      <c r="M324" s="262" t="n">
        <v>25</v>
      </c>
      <c r="N324" s="262" t="n">
        <v>45</v>
      </c>
      <c r="O324" s="262" t="n">
        <v>35</v>
      </c>
      <c r="P324" s="361" t="n">
        <v>40</v>
      </c>
      <c r="Q324" s="261" t="s">
        <v>157</v>
      </c>
      <c r="R324" s="261" t="s">
        <v>161</v>
      </c>
      <c r="S324" s="363" t="n">
        <f aca="false" t="array" ref="S324:S324">IF(COUNTIF('0.3.0 GO Calculation Values'!$J$2:$J$99,C324),(INDEX('0.3.0 GO Calculation Values'!$K$2:$K$99,MATCH(C324,'0.3.0 GO Calculation Values'!$J$2:$J$99,0))),1)</f>
        <v>1</v>
      </c>
      <c r="T324" s="262" t="n">
        <f aca="false">ROUND(ROUND(2*((7/8)*MAX(L324,N324)+(1/8)*MIN(L324,N324)),0)*(1+(P324-75)/500),0)</f>
        <v>79</v>
      </c>
      <c r="U324" s="262" t="n">
        <f aca="false">ROUND(ROUND(2*((5/8)*MAX(M324,O324)+(3/8)*MIN(M324,O324)),0)*(1+(P324-75)/500),0)</f>
        <v>59</v>
      </c>
      <c r="V324" s="361" t="n">
        <f aca="false">ROUNDDOWN(K324*1.75+50,0)</f>
        <v>99</v>
      </c>
      <c r="W324" s="261" t="n">
        <v>1</v>
      </c>
      <c r="X324" s="261" t="s">
        <v>60</v>
      </c>
      <c r="Y324" s="364" t="s">
        <v>945</v>
      </c>
      <c r="Z324" s="364" t="n">
        <v>5</v>
      </c>
      <c r="AA324" s="364"/>
      <c r="AB324" s="365" t="n">
        <v>10</v>
      </c>
      <c r="AC324" s="364"/>
      <c r="AD324" s="364" t="n">
        <v>0</v>
      </c>
      <c r="AE324" s="366"/>
      <c r="AF324" s="364" t="s">
        <v>946</v>
      </c>
      <c r="AG324" s="364" t="s">
        <v>946</v>
      </c>
      <c r="AH324" s="366" t="s">
        <v>946</v>
      </c>
    </row>
    <row r="325" customFormat="false" ht="15.75" hidden="false" customHeight="false" outlineLevel="0" collapsed="false">
      <c r="A325" s="262" t="n">
        <v>281</v>
      </c>
      <c r="B325" s="361" t="n">
        <v>323</v>
      </c>
      <c r="C325" s="261" t="s">
        <v>947</v>
      </c>
      <c r="D325" s="261" t="s">
        <v>60</v>
      </c>
      <c r="E325" s="362" t="s">
        <v>947</v>
      </c>
      <c r="F325" s="261" t="s">
        <v>879</v>
      </c>
      <c r="G325" s="261" t="s">
        <v>144</v>
      </c>
      <c r="H325" s="261" t="n">
        <v>0</v>
      </c>
      <c r="I325" s="261" t="n">
        <v>2</v>
      </c>
      <c r="J325" s="361" t="n">
        <v>0</v>
      </c>
      <c r="K325" s="262" t="n">
        <v>38</v>
      </c>
      <c r="L325" s="262" t="n">
        <v>35</v>
      </c>
      <c r="M325" s="262" t="n">
        <v>35</v>
      </c>
      <c r="N325" s="262" t="n">
        <v>65</v>
      </c>
      <c r="O325" s="262" t="n">
        <v>55</v>
      </c>
      <c r="P325" s="361" t="n">
        <v>50</v>
      </c>
      <c r="Q325" s="261" t="s">
        <v>157</v>
      </c>
      <c r="R325" s="261" t="s">
        <v>161</v>
      </c>
      <c r="S325" s="363" t="n">
        <f aca="false" t="array" ref="S325:S325">IF(COUNTIF('0.3.0 GO Calculation Values'!$J$2:$J$99,C325),(INDEX('0.3.0 GO Calculation Values'!$K$2:$K$99,MATCH(C325,'0.3.0 GO Calculation Values'!$J$2:$J$99,0))),1)</f>
        <v>1</v>
      </c>
      <c r="T325" s="262" t="n">
        <f aca="false">ROUND(ROUND(2*((7/8)*MAX(L325,N325)+(1/8)*MIN(L325,N325)),0)*(1+(P325-75)/500),0)</f>
        <v>117</v>
      </c>
      <c r="U325" s="262" t="n">
        <f aca="false">ROUND(ROUND(2*((5/8)*MAX(M325,O325)+(3/8)*MIN(M325,O325)),0)*(1+(P325-75)/500),0)</f>
        <v>90</v>
      </c>
      <c r="V325" s="361" t="n">
        <f aca="false">ROUNDDOWN(K325*1.75+50,0)</f>
        <v>116</v>
      </c>
      <c r="W325" s="261" t="n">
        <v>1</v>
      </c>
      <c r="X325" s="261" t="s">
        <v>945</v>
      </c>
      <c r="Y325" s="364" t="s">
        <v>945</v>
      </c>
      <c r="Z325" s="364" t="n">
        <v>5</v>
      </c>
      <c r="AA325" s="364"/>
      <c r="AB325" s="365" t="n">
        <v>10</v>
      </c>
      <c r="AC325" s="364"/>
      <c r="AD325" s="364" t="n">
        <v>25</v>
      </c>
      <c r="AE325" s="366"/>
      <c r="AF325" s="364" t="s">
        <v>948</v>
      </c>
      <c r="AG325" s="364" t="s">
        <v>948</v>
      </c>
      <c r="AH325" s="366" t="s">
        <v>948</v>
      </c>
    </row>
    <row r="326" customFormat="false" ht="15.75" hidden="false" customHeight="false" outlineLevel="0" collapsed="false">
      <c r="A326" s="262" t="n">
        <v>282</v>
      </c>
      <c r="B326" s="361" t="n">
        <v>324</v>
      </c>
      <c r="C326" s="261" t="s">
        <v>949</v>
      </c>
      <c r="D326" s="261" t="s">
        <v>7</v>
      </c>
      <c r="E326" s="367" t="s">
        <v>949</v>
      </c>
      <c r="F326" s="261" t="s">
        <v>879</v>
      </c>
      <c r="G326" s="261" t="s">
        <v>144</v>
      </c>
      <c r="H326" s="261" t="n">
        <v>0</v>
      </c>
      <c r="I326" s="261" t="n">
        <v>3</v>
      </c>
      <c r="J326" s="361" t="n">
        <v>1</v>
      </c>
      <c r="K326" s="262" t="n">
        <v>68</v>
      </c>
      <c r="L326" s="262" t="n">
        <v>65</v>
      </c>
      <c r="M326" s="262" t="n">
        <v>65</v>
      </c>
      <c r="N326" s="262" t="n">
        <v>125</v>
      </c>
      <c r="O326" s="262" t="n">
        <v>115</v>
      </c>
      <c r="P326" s="361" t="n">
        <v>80</v>
      </c>
      <c r="Q326" s="261" t="s">
        <v>157</v>
      </c>
      <c r="R326" s="261" t="s">
        <v>161</v>
      </c>
      <c r="S326" s="363" t="n">
        <f aca="false" t="array" ref="S326:S326">IF(COUNTIF('0.3.0 GO Calculation Values'!$J$2:$J$99,C326),(INDEX('0.3.0 GO Calculation Values'!$K$2:$K$99,MATCH(C326,'0.3.0 GO Calculation Values'!$J$2:$J$99,0))),1)</f>
        <v>1</v>
      </c>
      <c r="T326" s="262" t="n">
        <f aca="false">ROUND(ROUND(2*((7/8)*MAX(L326,N326)+(1/8)*MIN(L326,N326)),0)*(1+(P326-75)/500),0)</f>
        <v>237</v>
      </c>
      <c r="U326" s="262" t="n">
        <f aca="false">ROUND(ROUND(2*((5/8)*MAX(M326,O326)+(3/8)*MIN(M326,O326)),0)*(1+(P326-75)/500),0)</f>
        <v>195</v>
      </c>
      <c r="V326" s="361" t="n">
        <f aca="false">ROUNDDOWN(K326*1.75+50,0)</f>
        <v>169</v>
      </c>
      <c r="W326" s="261" t="n">
        <v>1</v>
      </c>
      <c r="X326" s="261" t="s">
        <v>947</v>
      </c>
      <c r="Y326" s="364" t="s">
        <v>945</v>
      </c>
      <c r="Z326" s="364" t="n">
        <v>5</v>
      </c>
      <c r="AA326" s="364"/>
      <c r="AB326" s="365" t="n">
        <v>10</v>
      </c>
      <c r="AC326" s="364"/>
      <c r="AD326" s="364" t="n">
        <v>100</v>
      </c>
      <c r="AE326" s="366"/>
      <c r="AF326" s="364" t="s">
        <v>950</v>
      </c>
      <c r="AG326" s="364" t="s">
        <v>950</v>
      </c>
      <c r="AH326" s="366" t="s">
        <v>950</v>
      </c>
    </row>
    <row r="327" customFormat="false" ht="15.75" hidden="false" customHeight="false" outlineLevel="0" collapsed="false">
      <c r="A327" s="262" t="n">
        <v>282</v>
      </c>
      <c r="B327" s="361" t="n">
        <v>325</v>
      </c>
      <c r="C327" s="261" t="s">
        <v>949</v>
      </c>
      <c r="D327" s="261" t="s">
        <v>951</v>
      </c>
      <c r="E327" s="358" t="s">
        <v>952</v>
      </c>
      <c r="F327" s="261" t="s">
        <v>887</v>
      </c>
      <c r="G327" s="261" t="s">
        <v>144</v>
      </c>
      <c r="H327" s="261" t="n">
        <v>2</v>
      </c>
      <c r="I327" s="261" t="n">
        <v>3</v>
      </c>
      <c r="J327" s="361" t="n">
        <v>1</v>
      </c>
      <c r="K327" s="262" t="n">
        <v>68</v>
      </c>
      <c r="L327" s="262" t="n">
        <v>85</v>
      </c>
      <c r="M327" s="262" t="n">
        <v>65</v>
      </c>
      <c r="N327" s="262" t="n">
        <v>165</v>
      </c>
      <c r="O327" s="262" t="n">
        <v>135</v>
      </c>
      <c r="P327" s="361" t="n">
        <v>100</v>
      </c>
      <c r="Q327" s="261" t="s">
        <v>157</v>
      </c>
      <c r="R327" s="261" t="s">
        <v>161</v>
      </c>
      <c r="S327" s="363" t="n">
        <f aca="false" t="array" ref="S327:S327">IF(COUNTIF('0.3.0 GO Calculation Values'!$J$2:$J$99,C327),(INDEX('0.3.0 GO Calculation Values'!$K$2:$K$99,MATCH(C327,'0.3.0 GO Calculation Values'!$J$2:$J$99,0))),1)</f>
        <v>1</v>
      </c>
      <c r="T327" s="262" t="n">
        <f aca="false">ROUND(ROUND(2*((7/8)*MAX(L327,N327)+(1/8)*MIN(L327,N327)),0)*(1+(P327-75)/500),0)</f>
        <v>326</v>
      </c>
      <c r="U327" s="262" t="n">
        <f aca="false">ROUND(ROUND(2*((5/8)*MAX(M327,O327)+(3/8)*MIN(M327,O327)),0)*(1+(P327-75)/500),0)</f>
        <v>229</v>
      </c>
      <c r="V327" s="361" t="n">
        <f aca="false">ROUNDDOWN(K327*1.75+50,0)</f>
        <v>169</v>
      </c>
      <c r="W327" s="261" t="n">
        <v>0</v>
      </c>
      <c r="X327" s="261" t="s">
        <v>949</v>
      </c>
      <c r="Y327" s="364" t="s">
        <v>945</v>
      </c>
      <c r="Z327" s="364" t="n">
        <v>5</v>
      </c>
      <c r="AA327" s="364"/>
      <c r="AB327" s="365" t="n">
        <v>10</v>
      </c>
      <c r="AC327" s="364"/>
      <c r="AD327" s="364" t="n">
        <v>100</v>
      </c>
      <c r="AE327" s="366"/>
      <c r="AF327" s="364" t="s">
        <v>953</v>
      </c>
      <c r="AG327" s="364" t="s">
        <v>953</v>
      </c>
      <c r="AH327" s="366" t="s">
        <v>953</v>
      </c>
    </row>
    <row r="328" customFormat="false" ht="15.75" hidden="false" customHeight="false" outlineLevel="0" collapsed="false">
      <c r="A328" s="262" t="n">
        <v>283</v>
      </c>
      <c r="B328" s="361" t="n">
        <v>326</v>
      </c>
      <c r="C328" s="261" t="s">
        <v>954</v>
      </c>
      <c r="D328" s="261" t="s">
        <v>60</v>
      </c>
      <c r="E328" s="362" t="s">
        <v>954</v>
      </c>
      <c r="F328" s="261" t="s">
        <v>879</v>
      </c>
      <c r="G328" s="261" t="s">
        <v>144</v>
      </c>
      <c r="H328" s="261" t="n">
        <v>0</v>
      </c>
      <c r="I328" s="261" t="n">
        <v>1</v>
      </c>
      <c r="J328" s="361" t="n">
        <v>0</v>
      </c>
      <c r="K328" s="262" t="n">
        <v>40</v>
      </c>
      <c r="L328" s="262" t="n">
        <v>30</v>
      </c>
      <c r="M328" s="262" t="n">
        <v>32</v>
      </c>
      <c r="N328" s="262" t="n">
        <v>50</v>
      </c>
      <c r="O328" s="262" t="n">
        <v>52</v>
      </c>
      <c r="P328" s="361" t="n">
        <v>65</v>
      </c>
      <c r="Q328" s="261" t="s">
        <v>150</v>
      </c>
      <c r="R328" s="261" t="s">
        <v>154</v>
      </c>
      <c r="S328" s="363" t="n">
        <f aca="false" t="array" ref="S328:S328">IF(COUNTIF('0.3.0 GO Calculation Values'!$J$2:$J$99,C328),(INDEX('0.3.0 GO Calculation Values'!$K$2:$K$99,MATCH(C328,'0.3.0 GO Calculation Values'!$J$2:$J$99,0))),1)</f>
        <v>1</v>
      </c>
      <c r="T328" s="262" t="n">
        <f aca="false">ROUND(ROUND(2*((7/8)*MAX(L328,N328)+(1/8)*MIN(L328,N328)),0)*(1+(P328-75)/500),0)</f>
        <v>93</v>
      </c>
      <c r="U328" s="262" t="n">
        <f aca="false">ROUND(ROUND(2*((5/8)*MAX(M328,O328)+(3/8)*MIN(M328,O328)),0)*(1+(P328-75)/500),0)</f>
        <v>87</v>
      </c>
      <c r="V328" s="361" t="n">
        <f aca="false">ROUNDDOWN(K328*1.75+50,0)</f>
        <v>120</v>
      </c>
      <c r="W328" s="261" t="n">
        <v>1</v>
      </c>
      <c r="X328" s="261" t="s">
        <v>60</v>
      </c>
      <c r="Y328" s="364" t="s">
        <v>954</v>
      </c>
      <c r="Z328" s="364" t="n">
        <v>1</v>
      </c>
      <c r="AA328" s="364"/>
      <c r="AB328" s="365" t="s">
        <v>60</v>
      </c>
      <c r="AC328" s="364"/>
      <c r="AD328" s="364" t="n">
        <v>0</v>
      </c>
      <c r="AE328" s="366"/>
      <c r="AF328" s="364" t="s">
        <v>955</v>
      </c>
      <c r="AG328" s="364" t="s">
        <v>955</v>
      </c>
      <c r="AH328" s="366" t="s">
        <v>955</v>
      </c>
    </row>
    <row r="329" customFormat="false" ht="15.75" hidden="false" customHeight="false" outlineLevel="0" collapsed="false">
      <c r="A329" s="262" t="n">
        <v>284</v>
      </c>
      <c r="B329" s="361" t="n">
        <v>327</v>
      </c>
      <c r="C329" s="261" t="s">
        <v>956</v>
      </c>
      <c r="D329" s="261" t="s">
        <v>60</v>
      </c>
      <c r="E329" s="362" t="s">
        <v>956</v>
      </c>
      <c r="F329" s="261" t="s">
        <v>879</v>
      </c>
      <c r="G329" s="261" t="s">
        <v>144</v>
      </c>
      <c r="H329" s="261" t="n">
        <v>0</v>
      </c>
      <c r="I329" s="261" t="n">
        <v>2</v>
      </c>
      <c r="J329" s="361" t="n">
        <v>1</v>
      </c>
      <c r="K329" s="262" t="n">
        <v>70</v>
      </c>
      <c r="L329" s="262" t="n">
        <v>60</v>
      </c>
      <c r="M329" s="262" t="n">
        <v>62</v>
      </c>
      <c r="N329" s="262" t="n">
        <v>100</v>
      </c>
      <c r="O329" s="262" t="n">
        <v>82</v>
      </c>
      <c r="P329" s="361" t="n">
        <v>80</v>
      </c>
      <c r="Q329" s="261" t="s">
        <v>150</v>
      </c>
      <c r="R329" s="261" t="s">
        <v>146</v>
      </c>
      <c r="S329" s="363" t="n">
        <f aca="false" t="array" ref="S329:S329">IF(COUNTIF('0.3.0 GO Calculation Values'!$J$2:$J$99,C329),(INDEX('0.3.0 GO Calculation Values'!$K$2:$K$99,MATCH(C329,'0.3.0 GO Calculation Values'!$J$2:$J$99,0))),1)</f>
        <v>1</v>
      </c>
      <c r="T329" s="262" t="n">
        <f aca="false">ROUND(ROUND(2*((7/8)*MAX(L329,N329)+(1/8)*MIN(L329,N329)),0)*(1+(P329-75)/500),0)</f>
        <v>192</v>
      </c>
      <c r="U329" s="262" t="n">
        <f aca="false">ROUND(ROUND(2*((5/8)*MAX(M329,O329)+(3/8)*MIN(M329,O329)),0)*(1+(P329-75)/500),0)</f>
        <v>150</v>
      </c>
      <c r="V329" s="361" t="n">
        <f aca="false">ROUNDDOWN(K329*1.75+50,0)</f>
        <v>172</v>
      </c>
      <c r="W329" s="261" t="n">
        <v>1</v>
      </c>
      <c r="X329" s="261" t="s">
        <v>954</v>
      </c>
      <c r="Y329" s="364" t="s">
        <v>954</v>
      </c>
      <c r="Z329" s="364" t="n">
        <v>1</v>
      </c>
      <c r="AA329" s="364"/>
      <c r="AB329" s="365" t="s">
        <v>60</v>
      </c>
      <c r="AC329" s="364"/>
      <c r="AD329" s="364" t="n">
        <v>50</v>
      </c>
      <c r="AE329" s="366"/>
      <c r="AF329" s="364" t="s">
        <v>957</v>
      </c>
      <c r="AG329" s="364" t="s">
        <v>957</v>
      </c>
      <c r="AH329" s="366" t="s">
        <v>957</v>
      </c>
    </row>
    <row r="330" customFormat="false" ht="15.75" hidden="false" customHeight="false" outlineLevel="0" collapsed="false">
      <c r="A330" s="262" t="n">
        <v>285</v>
      </c>
      <c r="B330" s="361" t="n">
        <v>328</v>
      </c>
      <c r="C330" s="261" t="s">
        <v>958</v>
      </c>
      <c r="D330" s="261" t="s">
        <v>60</v>
      </c>
      <c r="E330" s="362" t="s">
        <v>958</v>
      </c>
      <c r="F330" s="261" t="s">
        <v>879</v>
      </c>
      <c r="G330" s="261" t="s">
        <v>144</v>
      </c>
      <c r="H330" s="261" t="n">
        <v>0</v>
      </c>
      <c r="I330" s="261" t="n">
        <v>1</v>
      </c>
      <c r="J330" s="361" t="n">
        <v>0</v>
      </c>
      <c r="K330" s="262" t="n">
        <v>60</v>
      </c>
      <c r="L330" s="262" t="n">
        <v>40</v>
      </c>
      <c r="M330" s="262" t="n">
        <v>60</v>
      </c>
      <c r="N330" s="262" t="n">
        <v>40</v>
      </c>
      <c r="O330" s="262" t="n">
        <v>60</v>
      </c>
      <c r="P330" s="361" t="n">
        <v>35</v>
      </c>
      <c r="Q330" s="261" t="s">
        <v>155</v>
      </c>
      <c r="R330" s="261"/>
      <c r="S330" s="363" t="n">
        <f aca="false" t="array" ref="S330:S330">IF(COUNTIF('0.3.0 GO Calculation Values'!$J$2:$J$99,C330),(INDEX('0.3.0 GO Calculation Values'!$K$2:$K$99,MATCH(C330,'0.3.0 GO Calculation Values'!$J$2:$J$99,0))),1)</f>
        <v>1</v>
      </c>
      <c r="T330" s="262" t="n">
        <f aca="false">ROUND(ROUND(2*((7/8)*MAX(L330,N330)+(1/8)*MIN(L330,N330)),0)*(1+(P330-75)/500),0)</f>
        <v>74</v>
      </c>
      <c r="U330" s="262" t="n">
        <f aca="false">ROUND(ROUND(2*((5/8)*MAX(M330,O330)+(3/8)*MIN(M330,O330)),0)*(1+(P330-75)/500),0)</f>
        <v>110</v>
      </c>
      <c r="V330" s="361" t="n">
        <f aca="false">ROUNDDOWN(K330*1.75+50,0)</f>
        <v>155</v>
      </c>
      <c r="W330" s="261" t="n">
        <v>1</v>
      </c>
      <c r="X330" s="261" t="s">
        <v>60</v>
      </c>
      <c r="Y330" s="364" t="s">
        <v>958</v>
      </c>
      <c r="Z330" s="364" t="n">
        <v>3</v>
      </c>
      <c r="AA330" s="364"/>
      <c r="AB330" s="365" t="n">
        <v>5</v>
      </c>
      <c r="AC330" s="364"/>
      <c r="AD330" s="364" t="n">
        <v>0</v>
      </c>
      <c r="AE330" s="366"/>
      <c r="AF330" s="364" t="s">
        <v>959</v>
      </c>
      <c r="AG330" s="364" t="s">
        <v>959</v>
      </c>
      <c r="AH330" s="366" t="s">
        <v>959</v>
      </c>
    </row>
    <row r="331" customFormat="false" ht="15.75" hidden="false" customHeight="false" outlineLevel="0" collapsed="false">
      <c r="A331" s="262" t="n">
        <v>286</v>
      </c>
      <c r="B331" s="361" t="n">
        <v>329</v>
      </c>
      <c r="C331" s="261" t="s">
        <v>960</v>
      </c>
      <c r="D331" s="261" t="s">
        <v>60</v>
      </c>
      <c r="E331" s="362" t="s">
        <v>960</v>
      </c>
      <c r="F331" s="261" t="s">
        <v>879</v>
      </c>
      <c r="G331" s="261" t="s">
        <v>144</v>
      </c>
      <c r="H331" s="261" t="n">
        <v>0</v>
      </c>
      <c r="I331" s="261" t="n">
        <v>2</v>
      </c>
      <c r="J331" s="361" t="n">
        <v>1</v>
      </c>
      <c r="K331" s="262" t="n">
        <v>60</v>
      </c>
      <c r="L331" s="262" t="n">
        <v>130</v>
      </c>
      <c r="M331" s="262" t="n">
        <v>80</v>
      </c>
      <c r="N331" s="262" t="n">
        <v>60</v>
      </c>
      <c r="O331" s="262" t="n">
        <v>60</v>
      </c>
      <c r="P331" s="361" t="n">
        <v>70</v>
      </c>
      <c r="Q331" s="261" t="s">
        <v>155</v>
      </c>
      <c r="R331" s="261" t="s">
        <v>145</v>
      </c>
      <c r="S331" s="363" t="n">
        <f aca="false" t="array" ref="S331:S331">IF(COUNTIF('0.3.0 GO Calculation Values'!$J$2:$J$99,C331),(INDEX('0.3.0 GO Calculation Values'!$K$2:$K$99,MATCH(C331,'0.3.0 GO Calculation Values'!$J$2:$J$99,0))),1)</f>
        <v>1</v>
      </c>
      <c r="T331" s="262" t="n">
        <f aca="false">ROUND(ROUND(2*((7/8)*MAX(L331,N331)+(1/8)*MIN(L331,N331)),0)*(1+(P331-75)/500),0)</f>
        <v>241</v>
      </c>
      <c r="U331" s="262" t="n">
        <f aca="false">ROUND(ROUND(2*((5/8)*MAX(M331,O331)+(3/8)*MIN(M331,O331)),0)*(1+(P331-75)/500),0)</f>
        <v>144</v>
      </c>
      <c r="V331" s="361" t="n">
        <f aca="false">ROUNDDOWN(K331*1.75+50,0)</f>
        <v>155</v>
      </c>
      <c r="W331" s="261" t="n">
        <v>1</v>
      </c>
      <c r="X331" s="261" t="s">
        <v>958</v>
      </c>
      <c r="Y331" s="364" t="s">
        <v>958</v>
      </c>
      <c r="Z331" s="364" t="n">
        <v>3</v>
      </c>
      <c r="AA331" s="364"/>
      <c r="AB331" s="365" t="n">
        <v>5</v>
      </c>
      <c r="AC331" s="364"/>
      <c r="AD331" s="364" t="n">
        <v>50</v>
      </c>
      <c r="AE331" s="366"/>
      <c r="AF331" s="364" t="s">
        <v>961</v>
      </c>
      <c r="AG331" s="364" t="s">
        <v>961</v>
      </c>
      <c r="AH331" s="366" t="s">
        <v>961</v>
      </c>
    </row>
    <row r="332" customFormat="false" ht="15.75" hidden="false" customHeight="false" outlineLevel="0" collapsed="false">
      <c r="A332" s="262" t="n">
        <v>287</v>
      </c>
      <c r="B332" s="361" t="n">
        <v>330</v>
      </c>
      <c r="C332" s="261" t="s">
        <v>962</v>
      </c>
      <c r="D332" s="261" t="s">
        <v>60</v>
      </c>
      <c r="E332" s="362" t="s">
        <v>962</v>
      </c>
      <c r="F332" s="261" t="s">
        <v>879</v>
      </c>
      <c r="G332" s="261" t="s">
        <v>144</v>
      </c>
      <c r="H332" s="261" t="n">
        <v>0</v>
      </c>
      <c r="I332" s="261" t="n">
        <v>1</v>
      </c>
      <c r="J332" s="361" t="n">
        <v>0</v>
      </c>
      <c r="K332" s="262" t="n">
        <v>60</v>
      </c>
      <c r="L332" s="262" t="n">
        <v>60</v>
      </c>
      <c r="M332" s="262" t="n">
        <v>60</v>
      </c>
      <c r="N332" s="262" t="n">
        <v>35</v>
      </c>
      <c r="O332" s="262" t="n">
        <v>35</v>
      </c>
      <c r="P332" s="361" t="n">
        <v>30</v>
      </c>
      <c r="Q332" s="261" t="s">
        <v>144</v>
      </c>
      <c r="R332" s="261"/>
      <c r="S332" s="363" t="n">
        <f aca="false" t="array" ref="S332:S332">IF(COUNTIF('0.3.0 GO Calculation Values'!$J$2:$J$99,C332),(INDEX('0.3.0 GO Calculation Values'!$K$2:$K$99,MATCH(C332,'0.3.0 GO Calculation Values'!$J$2:$J$99,0))),1)</f>
        <v>1</v>
      </c>
      <c r="T332" s="262" t="n">
        <f aca="false">ROUND(ROUND(2*((7/8)*MAX(L332,N332)+(1/8)*MIN(L332,N332)),0)*(1+(P332-75)/500),0)</f>
        <v>104</v>
      </c>
      <c r="U332" s="262" t="n">
        <f aca="false">ROUND(ROUND(2*((5/8)*MAX(M332,O332)+(3/8)*MIN(M332,O332)),0)*(1+(P332-75)/500),0)</f>
        <v>92</v>
      </c>
      <c r="V332" s="361" t="n">
        <f aca="false">ROUNDDOWN(K332*1.75+50,0)</f>
        <v>155</v>
      </c>
      <c r="W332" s="261" t="n">
        <v>1</v>
      </c>
      <c r="X332" s="261" t="s">
        <v>60</v>
      </c>
      <c r="Y332" s="364" t="s">
        <v>962</v>
      </c>
      <c r="Z332" s="364" t="n">
        <v>5</v>
      </c>
      <c r="AA332" s="364"/>
      <c r="AB332" s="365" t="n">
        <v>10</v>
      </c>
      <c r="AC332" s="364"/>
      <c r="AD332" s="364" t="n">
        <v>0</v>
      </c>
      <c r="AE332" s="366"/>
      <c r="AF332" s="364" t="s">
        <v>963</v>
      </c>
      <c r="AG332" s="364" t="s">
        <v>963</v>
      </c>
      <c r="AH332" s="366" t="s">
        <v>963</v>
      </c>
    </row>
    <row r="333" customFormat="false" ht="15.75" hidden="false" customHeight="false" outlineLevel="0" collapsed="false">
      <c r="A333" s="262" t="n">
        <v>288</v>
      </c>
      <c r="B333" s="361" t="n">
        <v>331</v>
      </c>
      <c r="C333" s="261" t="s">
        <v>964</v>
      </c>
      <c r="D333" s="261" t="s">
        <v>60</v>
      </c>
      <c r="E333" s="362" t="s">
        <v>964</v>
      </c>
      <c r="F333" s="261" t="s">
        <v>879</v>
      </c>
      <c r="G333" s="261" t="s">
        <v>144</v>
      </c>
      <c r="H333" s="261" t="n">
        <v>0</v>
      </c>
      <c r="I333" s="261" t="n">
        <v>2</v>
      </c>
      <c r="J333" s="361" t="n">
        <v>0</v>
      </c>
      <c r="K333" s="262" t="n">
        <v>80</v>
      </c>
      <c r="L333" s="262" t="n">
        <v>80</v>
      </c>
      <c r="M333" s="262" t="n">
        <v>80</v>
      </c>
      <c r="N333" s="262" t="n">
        <v>55</v>
      </c>
      <c r="O333" s="262" t="n">
        <v>55</v>
      </c>
      <c r="P333" s="361" t="n">
        <v>90</v>
      </c>
      <c r="Q333" s="261" t="s">
        <v>144</v>
      </c>
      <c r="R333" s="261"/>
      <c r="S333" s="363" t="n">
        <f aca="false" t="array" ref="S333:S333">IF(COUNTIF('0.3.0 GO Calculation Values'!$J$2:$J$99,C333),(INDEX('0.3.0 GO Calculation Values'!$K$2:$K$99,MATCH(C333,'0.3.0 GO Calculation Values'!$J$2:$J$99,0))),1)</f>
        <v>1</v>
      </c>
      <c r="T333" s="262" t="n">
        <f aca="false">ROUND(ROUND(2*((7/8)*MAX(L333,N333)+(1/8)*MIN(L333,N333)),0)*(1+(P333-75)/500),0)</f>
        <v>159</v>
      </c>
      <c r="U333" s="262" t="n">
        <f aca="false">ROUND(ROUND(2*((5/8)*MAX(M333,O333)+(3/8)*MIN(M333,O333)),0)*(1+(P333-75)/500),0)</f>
        <v>145</v>
      </c>
      <c r="V333" s="361" t="n">
        <f aca="false">ROUNDDOWN(K333*1.75+50,0)</f>
        <v>190</v>
      </c>
      <c r="W333" s="261" t="n">
        <v>1</v>
      </c>
      <c r="X333" s="261" t="s">
        <v>962</v>
      </c>
      <c r="Y333" s="364" t="s">
        <v>962</v>
      </c>
      <c r="Z333" s="364" t="n">
        <v>5</v>
      </c>
      <c r="AA333" s="364"/>
      <c r="AB333" s="365" t="n">
        <v>10</v>
      </c>
      <c r="AC333" s="364"/>
      <c r="AD333" s="364" t="n">
        <v>25</v>
      </c>
      <c r="AE333" s="366"/>
      <c r="AF333" s="364" t="s">
        <v>965</v>
      </c>
      <c r="AG333" s="364" t="s">
        <v>965</v>
      </c>
      <c r="AH333" s="366" t="s">
        <v>965</v>
      </c>
    </row>
    <row r="334" customFormat="false" ht="15.75" hidden="false" customHeight="false" outlineLevel="0" collapsed="false">
      <c r="A334" s="262" t="n">
        <v>289</v>
      </c>
      <c r="B334" s="361" t="n">
        <v>332</v>
      </c>
      <c r="C334" s="261" t="s">
        <v>966</v>
      </c>
      <c r="D334" s="261" t="s">
        <v>60</v>
      </c>
      <c r="E334" s="362" t="s">
        <v>966</v>
      </c>
      <c r="F334" s="261" t="s">
        <v>879</v>
      </c>
      <c r="G334" s="261" t="s">
        <v>144</v>
      </c>
      <c r="H334" s="261" t="n">
        <v>0</v>
      </c>
      <c r="I334" s="261" t="n">
        <v>3</v>
      </c>
      <c r="J334" s="361" t="n">
        <v>1</v>
      </c>
      <c r="K334" s="262" t="n">
        <v>150</v>
      </c>
      <c r="L334" s="262" t="n">
        <v>160</v>
      </c>
      <c r="M334" s="262" t="n">
        <v>100</v>
      </c>
      <c r="N334" s="262" t="n">
        <v>95</v>
      </c>
      <c r="O334" s="262" t="n">
        <v>65</v>
      </c>
      <c r="P334" s="361" t="n">
        <v>100</v>
      </c>
      <c r="Q334" s="261" t="s">
        <v>144</v>
      </c>
      <c r="R334" s="261"/>
      <c r="S334" s="368" t="n">
        <f aca="false" t="array" ref="S334:S334">IF(COUNTIF('0.3.0 GO Calculation Values'!$J$2:$J$99,C334),(INDEX('0.3.0 GO Calculation Values'!$K$2:$K$99,MATCH(C334,'0.3.0 GO Calculation Values'!$J$2:$J$99,0))),1)</f>
        <v>0.909090909090909</v>
      </c>
      <c r="T334" s="262" t="n">
        <f aca="false">ROUND(ROUND(2*((7/8)*MAX(L334,N334)+(1/8)*MIN(L334,N334)),0)*(1+(P334-75)/500),0)</f>
        <v>319</v>
      </c>
      <c r="U334" s="262" t="n">
        <f aca="false">ROUND(ROUND(2*((5/8)*MAX(M334,O334)+(3/8)*MIN(M334,O334)),0)*(1+(P334-75)/500),0)</f>
        <v>183</v>
      </c>
      <c r="V334" s="361" t="n">
        <f aca="false">ROUNDDOWN(K334*1.75+50,0)</f>
        <v>312</v>
      </c>
      <c r="W334" s="261" t="n">
        <v>1</v>
      </c>
      <c r="X334" s="261" t="s">
        <v>964</v>
      </c>
      <c r="Y334" s="364" t="s">
        <v>962</v>
      </c>
      <c r="Z334" s="364" t="n">
        <v>5</v>
      </c>
      <c r="AA334" s="364"/>
      <c r="AB334" s="365" t="n">
        <v>10</v>
      </c>
      <c r="AC334" s="364"/>
      <c r="AD334" s="364" t="n">
        <v>100</v>
      </c>
      <c r="AE334" s="366"/>
      <c r="AF334" s="364" t="s">
        <v>967</v>
      </c>
      <c r="AG334" s="364" t="s">
        <v>967</v>
      </c>
      <c r="AH334" s="366" t="s">
        <v>967</v>
      </c>
    </row>
    <row r="335" customFormat="false" ht="15.75" hidden="false" customHeight="false" outlineLevel="0" collapsed="false">
      <c r="A335" s="262" t="n">
        <v>290</v>
      </c>
      <c r="B335" s="361" t="n">
        <v>333</v>
      </c>
      <c r="C335" s="261" t="s">
        <v>968</v>
      </c>
      <c r="D335" s="261" t="s">
        <v>60</v>
      </c>
      <c r="E335" s="362" t="s">
        <v>968</v>
      </c>
      <c r="F335" s="261" t="s">
        <v>879</v>
      </c>
      <c r="G335" s="261" t="s">
        <v>144</v>
      </c>
      <c r="H335" s="261" t="n">
        <v>0</v>
      </c>
      <c r="I335" s="261" t="n">
        <v>1</v>
      </c>
      <c r="J335" s="361" t="n">
        <v>0</v>
      </c>
      <c r="K335" s="262" t="n">
        <v>31</v>
      </c>
      <c r="L335" s="262" t="n">
        <v>45</v>
      </c>
      <c r="M335" s="262" t="n">
        <v>90</v>
      </c>
      <c r="N335" s="262" t="n">
        <v>30</v>
      </c>
      <c r="O335" s="262" t="n">
        <v>30</v>
      </c>
      <c r="P335" s="361" t="n">
        <v>40</v>
      </c>
      <c r="Q335" s="261" t="s">
        <v>150</v>
      </c>
      <c r="R335" s="261" t="s">
        <v>148</v>
      </c>
      <c r="S335" s="363" t="n">
        <f aca="false" t="array" ref="S335:S335">IF(COUNTIF('0.3.0 GO Calculation Values'!$J$2:$J$99,C335),(INDEX('0.3.0 GO Calculation Values'!$K$2:$K$99,MATCH(C335,'0.3.0 GO Calculation Values'!$J$2:$J$99,0))),1)</f>
        <v>1</v>
      </c>
      <c r="T335" s="262" t="n">
        <f aca="false">ROUND(ROUND(2*((7/8)*MAX(L335,N335)+(1/8)*MIN(L335,N335)),0)*(1+(P335-75)/500),0)</f>
        <v>80</v>
      </c>
      <c r="U335" s="262" t="n">
        <f aca="false">ROUND(ROUND(2*((5/8)*MAX(M335,O335)+(3/8)*MIN(M335,O335)),0)*(1+(P335-75)/500),0)</f>
        <v>126</v>
      </c>
      <c r="V335" s="361" t="n">
        <f aca="false">ROUNDDOWN(K335*1.75+50,0)</f>
        <v>104</v>
      </c>
      <c r="W335" s="261" t="n">
        <v>1</v>
      </c>
      <c r="X335" s="261" t="s">
        <v>60</v>
      </c>
      <c r="Y335" s="364" t="s">
        <v>968</v>
      </c>
      <c r="Z335" s="364" t="n">
        <v>5</v>
      </c>
      <c r="AA335" s="364"/>
      <c r="AB335" s="365"/>
      <c r="AC335" s="364"/>
      <c r="AD335" s="364" t="n">
        <v>0</v>
      </c>
      <c r="AE335" s="366"/>
      <c r="AF335" s="364" t="s">
        <v>969</v>
      </c>
      <c r="AG335" s="364" t="s">
        <v>969</v>
      </c>
      <c r="AH335" s="366" t="s">
        <v>969</v>
      </c>
    </row>
    <row r="336" customFormat="false" ht="15.75" hidden="false" customHeight="false" outlineLevel="0" collapsed="false">
      <c r="A336" s="262" t="n">
        <v>291</v>
      </c>
      <c r="B336" s="361" t="n">
        <v>334</v>
      </c>
      <c r="C336" s="261" t="s">
        <v>970</v>
      </c>
      <c r="D336" s="261" t="s">
        <v>60</v>
      </c>
      <c r="E336" s="362" t="s">
        <v>970</v>
      </c>
      <c r="F336" s="261" t="s">
        <v>879</v>
      </c>
      <c r="G336" s="261" t="s">
        <v>144</v>
      </c>
      <c r="H336" s="261" t="n">
        <v>0</v>
      </c>
      <c r="I336" s="261" t="n">
        <v>2</v>
      </c>
      <c r="J336" s="361" t="n">
        <v>1</v>
      </c>
      <c r="K336" s="262" t="n">
        <v>61</v>
      </c>
      <c r="L336" s="262" t="n">
        <v>90</v>
      </c>
      <c r="M336" s="262" t="n">
        <v>45</v>
      </c>
      <c r="N336" s="262" t="n">
        <v>50</v>
      </c>
      <c r="O336" s="262" t="n">
        <v>50</v>
      </c>
      <c r="P336" s="361" t="n">
        <v>160</v>
      </c>
      <c r="Q336" s="261" t="s">
        <v>150</v>
      </c>
      <c r="R336" s="261" t="s">
        <v>146</v>
      </c>
      <c r="S336" s="363" t="n">
        <f aca="false" t="array" ref="S336:S336">IF(COUNTIF('0.3.0 GO Calculation Values'!$J$2:$J$99,C336),(INDEX('0.3.0 GO Calculation Values'!$K$2:$K$99,MATCH(C336,'0.3.0 GO Calculation Values'!$J$2:$J$99,0))),1)</f>
        <v>1</v>
      </c>
      <c r="T336" s="262" t="n">
        <f aca="false">ROUND(ROUND(2*((7/8)*MAX(L336,N336)+(1/8)*MIN(L336,N336)),0)*(1+(P336-75)/500),0)</f>
        <v>199</v>
      </c>
      <c r="U336" s="262" t="n">
        <f aca="false">ROUND(ROUND(2*((5/8)*MAX(M336,O336)+(3/8)*MIN(M336,O336)),0)*(1+(P336-75)/500),0)</f>
        <v>112</v>
      </c>
      <c r="V336" s="361" t="n">
        <f aca="false">ROUNDDOWN(K336*1.75+50,0)</f>
        <v>156</v>
      </c>
      <c r="W336" s="261" t="n">
        <v>1</v>
      </c>
      <c r="X336" s="261" t="s">
        <v>968</v>
      </c>
      <c r="Y336" s="364" t="s">
        <v>968</v>
      </c>
      <c r="Z336" s="364" t="n">
        <v>5</v>
      </c>
      <c r="AA336" s="364"/>
      <c r="AB336" s="365"/>
      <c r="AC336" s="364"/>
      <c r="AD336" s="364" t="n">
        <v>50</v>
      </c>
      <c r="AE336" s="366"/>
      <c r="AF336" s="364" t="s">
        <v>971</v>
      </c>
      <c r="AG336" s="364" t="s">
        <v>971</v>
      </c>
      <c r="AH336" s="366" t="s">
        <v>971</v>
      </c>
    </row>
    <row r="337" customFormat="false" ht="15.75" hidden="false" customHeight="false" outlineLevel="0" collapsed="false">
      <c r="A337" s="262" t="n">
        <v>292</v>
      </c>
      <c r="B337" s="361" t="n">
        <v>335</v>
      </c>
      <c r="C337" s="261" t="s">
        <v>972</v>
      </c>
      <c r="D337" s="261" t="s">
        <v>60</v>
      </c>
      <c r="E337" s="362" t="s">
        <v>972</v>
      </c>
      <c r="F337" s="261" t="s">
        <v>879</v>
      </c>
      <c r="G337" s="261" t="s">
        <v>144</v>
      </c>
      <c r="H337" s="261" t="n">
        <v>0</v>
      </c>
      <c r="I337" s="261" t="n">
        <v>2</v>
      </c>
      <c r="J337" s="361" t="n">
        <v>1</v>
      </c>
      <c r="K337" s="262" t="n">
        <v>1</v>
      </c>
      <c r="L337" s="262" t="n">
        <v>90</v>
      </c>
      <c r="M337" s="262" t="n">
        <v>45</v>
      </c>
      <c r="N337" s="262" t="n">
        <v>30</v>
      </c>
      <c r="O337" s="262" t="n">
        <v>30</v>
      </c>
      <c r="P337" s="361" t="n">
        <v>40</v>
      </c>
      <c r="Q337" s="261" t="s">
        <v>150</v>
      </c>
      <c r="R337" s="261" t="s">
        <v>151</v>
      </c>
      <c r="S337" s="363" t="n">
        <f aca="false" t="array" ref="S337:S337">IF(COUNTIF('0.3.0 GO Calculation Values'!$J$2:$J$99,C337),(INDEX('0.3.0 GO Calculation Values'!$K$2:$K$99,MATCH(C337,'0.3.0 GO Calculation Values'!$J$2:$J$99,0))),1)</f>
        <v>1</v>
      </c>
      <c r="T337" s="262" t="n">
        <f aca="false">ROUND(ROUND(2*((7/8)*MAX(L337,N337)+(1/8)*MIN(L337,N337)),0)*(1+(P337-75)/500),0)</f>
        <v>153</v>
      </c>
      <c r="U337" s="262" t="n">
        <f aca="false">ROUND(ROUND(2*((5/8)*MAX(M337,O337)+(3/8)*MIN(M337,O337)),0)*(1+(P337-75)/500),0)</f>
        <v>73</v>
      </c>
      <c r="V337" s="361" t="n">
        <f aca="false">ROUNDDOWN(K337*1.75+50,0)</f>
        <v>51</v>
      </c>
      <c r="W337" s="261" t="n">
        <v>1</v>
      </c>
      <c r="X337" s="261" t="s">
        <v>968</v>
      </c>
      <c r="Y337" s="364" t="s">
        <v>968</v>
      </c>
      <c r="Z337" s="364" t="n">
        <v>5</v>
      </c>
      <c r="AA337" s="364"/>
      <c r="AB337" s="365"/>
      <c r="AC337" s="364"/>
      <c r="AD337" s="364" t="n">
        <v>50</v>
      </c>
      <c r="AE337" s="366"/>
      <c r="AF337" s="364" t="s">
        <v>973</v>
      </c>
      <c r="AG337" s="364" t="s">
        <v>973</v>
      </c>
      <c r="AH337" s="366" t="s">
        <v>973</v>
      </c>
    </row>
    <row r="338" customFormat="false" ht="15.75" hidden="false" customHeight="false" outlineLevel="0" collapsed="false">
      <c r="A338" s="262" t="n">
        <v>293</v>
      </c>
      <c r="B338" s="361" t="n">
        <v>336</v>
      </c>
      <c r="C338" s="261" t="s">
        <v>974</v>
      </c>
      <c r="D338" s="261" t="s">
        <v>60</v>
      </c>
      <c r="E338" s="362" t="s">
        <v>974</v>
      </c>
      <c r="F338" s="261" t="s">
        <v>879</v>
      </c>
      <c r="G338" s="261" t="s">
        <v>144</v>
      </c>
      <c r="H338" s="261" t="n">
        <v>0</v>
      </c>
      <c r="I338" s="261" t="n">
        <v>1</v>
      </c>
      <c r="J338" s="361" t="n">
        <v>0</v>
      </c>
      <c r="K338" s="262" t="n">
        <v>64</v>
      </c>
      <c r="L338" s="262" t="n">
        <v>51</v>
      </c>
      <c r="M338" s="262" t="n">
        <v>23</v>
      </c>
      <c r="N338" s="262" t="n">
        <v>51</v>
      </c>
      <c r="O338" s="262" t="n">
        <v>23</v>
      </c>
      <c r="P338" s="361" t="n">
        <v>28</v>
      </c>
      <c r="Q338" s="261" t="s">
        <v>144</v>
      </c>
      <c r="R338" s="261"/>
      <c r="S338" s="363" t="n">
        <f aca="false" t="array" ref="S338:S338">IF(COUNTIF('0.3.0 GO Calculation Values'!$J$2:$J$99,C338),(INDEX('0.3.0 GO Calculation Values'!$K$2:$K$99,MATCH(C338,'0.3.0 GO Calculation Values'!$J$2:$J$99,0))),1)</f>
        <v>1</v>
      </c>
      <c r="T338" s="262" t="n">
        <f aca="false">ROUND(ROUND(2*((7/8)*MAX(L338,N338)+(1/8)*MIN(L338,N338)),0)*(1+(P338-75)/500),0)</f>
        <v>92</v>
      </c>
      <c r="U338" s="262" t="n">
        <f aca="false">ROUND(ROUND(2*((5/8)*MAX(M338,O338)+(3/8)*MIN(M338,O338)),0)*(1+(P338-75)/500),0)</f>
        <v>42</v>
      </c>
      <c r="V338" s="361" t="n">
        <f aca="false">ROUNDDOWN(K338*1.75+50,0)</f>
        <v>162</v>
      </c>
      <c r="W338" s="261" t="n">
        <v>1</v>
      </c>
      <c r="X338" s="261" t="s">
        <v>60</v>
      </c>
      <c r="Y338" s="364" t="s">
        <v>974</v>
      </c>
      <c r="Z338" s="364" t="n">
        <v>1</v>
      </c>
      <c r="AA338" s="364"/>
      <c r="AB338" s="365" t="n">
        <v>2</v>
      </c>
      <c r="AC338" s="364"/>
      <c r="AD338" s="364" t="n">
        <v>0</v>
      </c>
      <c r="AE338" s="366"/>
      <c r="AF338" s="364" t="s">
        <v>975</v>
      </c>
      <c r="AG338" s="364" t="s">
        <v>975</v>
      </c>
      <c r="AH338" s="366" t="s">
        <v>975</v>
      </c>
    </row>
    <row r="339" customFormat="false" ht="15.75" hidden="false" customHeight="false" outlineLevel="0" collapsed="false">
      <c r="A339" s="262" t="n">
        <v>294</v>
      </c>
      <c r="B339" s="361" t="n">
        <v>337</v>
      </c>
      <c r="C339" s="261" t="s">
        <v>976</v>
      </c>
      <c r="D339" s="261" t="s">
        <v>60</v>
      </c>
      <c r="E339" s="362" t="s">
        <v>976</v>
      </c>
      <c r="F339" s="261" t="s">
        <v>879</v>
      </c>
      <c r="G339" s="261" t="s">
        <v>144</v>
      </c>
      <c r="H339" s="261" t="n">
        <v>0</v>
      </c>
      <c r="I339" s="261" t="n">
        <v>2</v>
      </c>
      <c r="J339" s="361" t="n">
        <v>0</v>
      </c>
      <c r="K339" s="262" t="n">
        <v>84</v>
      </c>
      <c r="L339" s="262" t="n">
        <v>71</v>
      </c>
      <c r="M339" s="262" t="n">
        <v>43</v>
      </c>
      <c r="N339" s="262" t="n">
        <v>71</v>
      </c>
      <c r="O339" s="262" t="n">
        <v>43</v>
      </c>
      <c r="P339" s="361" t="n">
        <v>48</v>
      </c>
      <c r="Q339" s="261" t="s">
        <v>144</v>
      </c>
      <c r="R339" s="261"/>
      <c r="S339" s="363" t="n">
        <f aca="false" t="array" ref="S339:S339">IF(COUNTIF('0.3.0 GO Calculation Values'!$J$2:$J$99,C339),(INDEX('0.3.0 GO Calculation Values'!$K$2:$K$99,MATCH(C339,'0.3.0 GO Calculation Values'!$J$2:$J$99,0))),1)</f>
        <v>1</v>
      </c>
      <c r="T339" s="262" t="n">
        <f aca="false">ROUND(ROUND(2*((7/8)*MAX(L339,N339)+(1/8)*MIN(L339,N339)),0)*(1+(P339-75)/500),0)</f>
        <v>134</v>
      </c>
      <c r="U339" s="262" t="n">
        <f aca="false">ROUND(ROUND(2*((5/8)*MAX(M339,O339)+(3/8)*MIN(M339,O339)),0)*(1+(P339-75)/500),0)</f>
        <v>81</v>
      </c>
      <c r="V339" s="361" t="n">
        <f aca="false">ROUNDDOWN(K339*1.75+50,0)</f>
        <v>197</v>
      </c>
      <c r="W339" s="261" t="n">
        <v>1</v>
      </c>
      <c r="X339" s="261" t="s">
        <v>974</v>
      </c>
      <c r="Y339" s="364" t="s">
        <v>974</v>
      </c>
      <c r="Z339" s="364" t="n">
        <v>1</v>
      </c>
      <c r="AA339" s="364"/>
      <c r="AB339" s="365" t="n">
        <v>2</v>
      </c>
      <c r="AC339" s="364"/>
      <c r="AD339" s="364" t="n">
        <v>12</v>
      </c>
      <c r="AE339" s="366"/>
      <c r="AF339" s="364" t="s">
        <v>977</v>
      </c>
      <c r="AG339" s="364" t="s">
        <v>977</v>
      </c>
      <c r="AH339" s="366" t="s">
        <v>977</v>
      </c>
    </row>
    <row r="340" customFormat="false" ht="15.75" hidden="false" customHeight="false" outlineLevel="0" collapsed="false">
      <c r="A340" s="262" t="n">
        <v>295</v>
      </c>
      <c r="B340" s="361" t="n">
        <v>338</v>
      </c>
      <c r="C340" s="261" t="s">
        <v>978</v>
      </c>
      <c r="D340" s="261" t="s">
        <v>60</v>
      </c>
      <c r="E340" s="362" t="s">
        <v>978</v>
      </c>
      <c r="F340" s="261" t="s">
        <v>879</v>
      </c>
      <c r="G340" s="261" t="s">
        <v>144</v>
      </c>
      <c r="H340" s="261" t="n">
        <v>0</v>
      </c>
      <c r="I340" s="261" t="n">
        <v>3</v>
      </c>
      <c r="J340" s="361" t="n">
        <v>1</v>
      </c>
      <c r="K340" s="262" t="n">
        <v>104</v>
      </c>
      <c r="L340" s="262" t="n">
        <v>91</v>
      </c>
      <c r="M340" s="262" t="n">
        <v>63</v>
      </c>
      <c r="N340" s="262" t="n">
        <v>91</v>
      </c>
      <c r="O340" s="262" t="n">
        <v>73</v>
      </c>
      <c r="P340" s="361" t="n">
        <v>68</v>
      </c>
      <c r="Q340" s="261" t="s">
        <v>144</v>
      </c>
      <c r="R340" s="261"/>
      <c r="S340" s="363" t="n">
        <f aca="false" t="array" ref="S340:S340">IF(COUNTIF('0.3.0 GO Calculation Values'!$J$2:$J$99,C340),(INDEX('0.3.0 GO Calculation Values'!$K$2:$K$99,MATCH(C340,'0.3.0 GO Calculation Values'!$J$2:$J$99,0))),1)</f>
        <v>1</v>
      </c>
      <c r="T340" s="262" t="n">
        <f aca="false">ROUND(ROUND(2*((7/8)*MAX(L340,N340)+(1/8)*MIN(L340,N340)),0)*(1+(P340-75)/500),0)</f>
        <v>179</v>
      </c>
      <c r="U340" s="262" t="n">
        <f aca="false">ROUND(ROUND(2*((5/8)*MAX(M340,O340)+(3/8)*MIN(M340,O340)),0)*(1+(P340-75)/500),0)</f>
        <v>137</v>
      </c>
      <c r="V340" s="361" t="n">
        <f aca="false">ROUNDDOWN(K340*1.75+50,0)</f>
        <v>232</v>
      </c>
      <c r="W340" s="261" t="n">
        <v>1</v>
      </c>
      <c r="X340" s="261" t="s">
        <v>976</v>
      </c>
      <c r="Y340" s="364" t="s">
        <v>974</v>
      </c>
      <c r="Z340" s="364" t="n">
        <v>1</v>
      </c>
      <c r="AA340" s="364"/>
      <c r="AB340" s="365" t="n">
        <v>2</v>
      </c>
      <c r="AC340" s="364"/>
      <c r="AD340" s="364" t="n">
        <v>50</v>
      </c>
      <c r="AE340" s="366"/>
      <c r="AF340" s="364" t="s">
        <v>979</v>
      </c>
      <c r="AG340" s="364" t="s">
        <v>979</v>
      </c>
      <c r="AH340" s="366" t="s">
        <v>979</v>
      </c>
    </row>
    <row r="341" customFormat="false" ht="15.75" hidden="false" customHeight="false" outlineLevel="0" collapsed="false">
      <c r="A341" s="262" t="n">
        <v>296</v>
      </c>
      <c r="B341" s="361" t="n">
        <v>339</v>
      </c>
      <c r="C341" s="261" t="s">
        <v>980</v>
      </c>
      <c r="D341" s="261" t="s">
        <v>60</v>
      </c>
      <c r="E341" s="362" t="s">
        <v>980</v>
      </c>
      <c r="F341" s="261" t="s">
        <v>879</v>
      </c>
      <c r="G341" s="261" t="s">
        <v>144</v>
      </c>
      <c r="H341" s="261" t="n">
        <v>0</v>
      </c>
      <c r="I341" s="261" t="n">
        <v>1</v>
      </c>
      <c r="J341" s="361" t="n">
        <v>0</v>
      </c>
      <c r="K341" s="262" t="n">
        <v>72</v>
      </c>
      <c r="L341" s="262" t="n">
        <v>60</v>
      </c>
      <c r="M341" s="262" t="n">
        <v>30</v>
      </c>
      <c r="N341" s="262" t="n">
        <v>20</v>
      </c>
      <c r="O341" s="262" t="n">
        <v>30</v>
      </c>
      <c r="P341" s="361" t="n">
        <v>25</v>
      </c>
      <c r="Q341" s="261" t="s">
        <v>145</v>
      </c>
      <c r="R341" s="261"/>
      <c r="S341" s="363" t="n">
        <f aca="false" t="array" ref="S341:S341">IF(COUNTIF('0.3.0 GO Calculation Values'!$J$2:$J$99,C341),(INDEX('0.3.0 GO Calculation Values'!$K$2:$K$99,MATCH(C341,'0.3.0 GO Calculation Values'!$J$2:$J$99,0))),1)</f>
        <v>1</v>
      </c>
      <c r="T341" s="262" t="n">
        <f aca="false">ROUND(ROUND(2*((7/8)*MAX(L341,N341)+(1/8)*MIN(L341,N341)),0)*(1+(P341-75)/500),0)</f>
        <v>99</v>
      </c>
      <c r="U341" s="262" t="n">
        <f aca="false">ROUND(ROUND(2*((5/8)*MAX(M341,O341)+(3/8)*MIN(M341,O341)),0)*(1+(P341-75)/500),0)</f>
        <v>54</v>
      </c>
      <c r="V341" s="361" t="n">
        <f aca="false">ROUNDDOWN(K341*1.75+50,0)</f>
        <v>176</v>
      </c>
      <c r="W341" s="261" t="n">
        <v>1</v>
      </c>
      <c r="X341" s="261" t="s">
        <v>60</v>
      </c>
      <c r="Y341" s="364" t="s">
        <v>980</v>
      </c>
      <c r="Z341" s="364" t="n">
        <v>3</v>
      </c>
      <c r="AA341" s="364"/>
      <c r="AB341" s="365" t="n">
        <v>5</v>
      </c>
      <c r="AC341" s="364"/>
      <c r="AD341" s="364" t="n">
        <v>0</v>
      </c>
      <c r="AE341" s="366"/>
      <c r="AF341" s="364" t="s">
        <v>981</v>
      </c>
      <c r="AG341" s="364" t="s">
        <v>981</v>
      </c>
      <c r="AH341" s="366" t="s">
        <v>981</v>
      </c>
    </row>
    <row r="342" customFormat="false" ht="15.75" hidden="false" customHeight="false" outlineLevel="0" collapsed="false">
      <c r="A342" s="262" t="n">
        <v>297</v>
      </c>
      <c r="B342" s="361" t="n">
        <v>340</v>
      </c>
      <c r="C342" s="261" t="s">
        <v>982</v>
      </c>
      <c r="D342" s="261" t="s">
        <v>60</v>
      </c>
      <c r="E342" s="362" t="s">
        <v>982</v>
      </c>
      <c r="F342" s="261" t="s">
        <v>879</v>
      </c>
      <c r="G342" s="261" t="s">
        <v>144</v>
      </c>
      <c r="H342" s="261" t="n">
        <v>0</v>
      </c>
      <c r="I342" s="261" t="n">
        <v>2</v>
      </c>
      <c r="J342" s="361" t="n">
        <v>1</v>
      </c>
      <c r="K342" s="262" t="n">
        <v>144</v>
      </c>
      <c r="L342" s="262" t="n">
        <v>120</v>
      </c>
      <c r="M342" s="262" t="n">
        <v>60</v>
      </c>
      <c r="N342" s="262" t="n">
        <v>40</v>
      </c>
      <c r="O342" s="262" t="n">
        <v>60</v>
      </c>
      <c r="P342" s="361" t="n">
        <v>50</v>
      </c>
      <c r="Q342" s="261" t="s">
        <v>145</v>
      </c>
      <c r="R342" s="261"/>
      <c r="S342" s="363" t="n">
        <f aca="false" t="array" ref="S342:S342">IF(COUNTIF('0.3.0 GO Calculation Values'!$J$2:$J$99,C342),(INDEX('0.3.0 GO Calculation Values'!$K$2:$K$99,MATCH(C342,'0.3.0 GO Calculation Values'!$J$2:$J$99,0))),1)</f>
        <v>1</v>
      </c>
      <c r="T342" s="262" t="n">
        <f aca="false">ROUND(ROUND(2*((7/8)*MAX(L342,N342)+(1/8)*MIN(L342,N342)),0)*(1+(P342-75)/500),0)</f>
        <v>209</v>
      </c>
      <c r="U342" s="262" t="n">
        <f aca="false">ROUND(ROUND(2*((5/8)*MAX(M342,O342)+(3/8)*MIN(M342,O342)),0)*(1+(P342-75)/500),0)</f>
        <v>114</v>
      </c>
      <c r="V342" s="361" t="n">
        <f aca="false">ROUNDDOWN(K342*1.75+50,0)</f>
        <v>302</v>
      </c>
      <c r="W342" s="261" t="n">
        <v>1</v>
      </c>
      <c r="X342" s="261" t="s">
        <v>980</v>
      </c>
      <c r="Y342" s="364" t="s">
        <v>980</v>
      </c>
      <c r="Z342" s="364" t="n">
        <v>3</v>
      </c>
      <c r="AA342" s="364"/>
      <c r="AB342" s="365" t="n">
        <v>5</v>
      </c>
      <c r="AC342" s="364"/>
      <c r="AD342" s="364" t="n">
        <v>50</v>
      </c>
      <c r="AE342" s="366"/>
      <c r="AF342" s="364" t="s">
        <v>983</v>
      </c>
      <c r="AG342" s="364" t="s">
        <v>983</v>
      </c>
      <c r="AH342" s="366" t="s">
        <v>983</v>
      </c>
    </row>
    <row r="343" customFormat="false" ht="15.75" hidden="false" customHeight="false" outlineLevel="0" collapsed="false">
      <c r="A343" s="262" t="n">
        <v>298</v>
      </c>
      <c r="B343" s="361" t="n">
        <v>341</v>
      </c>
      <c r="C343" s="261" t="s">
        <v>719</v>
      </c>
      <c r="D343" s="261" t="s">
        <v>60</v>
      </c>
      <c r="E343" s="362" t="s">
        <v>719</v>
      </c>
      <c r="F343" s="261" t="s">
        <v>879</v>
      </c>
      <c r="G343" s="261" t="s">
        <v>693</v>
      </c>
      <c r="H343" s="261" t="n">
        <v>0</v>
      </c>
      <c r="I343" s="261" t="n">
        <v>1</v>
      </c>
      <c r="J343" s="361" t="n">
        <v>0</v>
      </c>
      <c r="K343" s="262" t="n">
        <v>50</v>
      </c>
      <c r="L343" s="262" t="n">
        <v>20</v>
      </c>
      <c r="M343" s="262" t="n">
        <v>40</v>
      </c>
      <c r="N343" s="262" t="n">
        <v>20</v>
      </c>
      <c r="O343" s="262" t="n">
        <v>40</v>
      </c>
      <c r="P343" s="361" t="n">
        <v>20</v>
      </c>
      <c r="Q343" s="261" t="s">
        <v>154</v>
      </c>
      <c r="R343" s="261" t="s">
        <v>161</v>
      </c>
      <c r="S343" s="363" t="n">
        <f aca="false" t="array" ref="S343:S343">IF(COUNTIF('0.3.0 GO Calculation Values'!$J$2:$J$99,C343),(INDEX('0.3.0 GO Calculation Values'!$K$2:$K$99,MATCH(C343,'0.3.0 GO Calculation Values'!$J$2:$J$99,0))),1)</f>
        <v>1</v>
      </c>
      <c r="T343" s="262" t="n">
        <f aca="false">ROUND(ROUND(2*((7/8)*MAX(L343,N343)+(1/8)*MIN(L343,N343)),0)*(1+(P343-75)/500),0)</f>
        <v>36</v>
      </c>
      <c r="U343" s="262" t="n">
        <f aca="false">ROUND(ROUND(2*((5/8)*MAX(M343,O343)+(3/8)*MIN(M343,O343)),0)*(1+(P343-75)/500),0)</f>
        <v>71</v>
      </c>
      <c r="V343" s="361" t="n">
        <f aca="false">ROUNDDOWN(K343*1.75+50,0)</f>
        <v>137</v>
      </c>
      <c r="W343" s="261" t="n">
        <v>1</v>
      </c>
      <c r="X343" s="261" t="s">
        <v>60</v>
      </c>
      <c r="Y343" s="364" t="s">
        <v>718</v>
      </c>
      <c r="Z343" s="364" t="n">
        <v>3</v>
      </c>
      <c r="AA343" s="364"/>
      <c r="AB343" s="365" t="s">
        <v>60</v>
      </c>
      <c r="AC343" s="364"/>
      <c r="AD343" s="364" t="n">
        <v>0</v>
      </c>
      <c r="AE343" s="366"/>
      <c r="AF343" s="364" t="s">
        <v>984</v>
      </c>
      <c r="AG343" s="364" t="s">
        <v>984</v>
      </c>
      <c r="AH343" s="366" t="s">
        <v>984</v>
      </c>
    </row>
    <row r="344" customFormat="false" ht="15.75" hidden="false" customHeight="false" outlineLevel="0" collapsed="false">
      <c r="A344" s="262" t="n">
        <v>299</v>
      </c>
      <c r="B344" s="361" t="n">
        <v>342</v>
      </c>
      <c r="C344" s="261" t="s">
        <v>985</v>
      </c>
      <c r="D344" s="261" t="s">
        <v>60</v>
      </c>
      <c r="E344" s="362" t="s">
        <v>985</v>
      </c>
      <c r="F344" s="261" t="s">
        <v>879</v>
      </c>
      <c r="G344" s="261" t="s">
        <v>144</v>
      </c>
      <c r="H344" s="261" t="n">
        <v>0</v>
      </c>
      <c r="I344" s="261" t="n">
        <v>1</v>
      </c>
      <c r="J344" s="361" t="n">
        <v>1</v>
      </c>
      <c r="K344" s="262" t="n">
        <v>30</v>
      </c>
      <c r="L344" s="262" t="n">
        <v>45</v>
      </c>
      <c r="M344" s="262" t="n">
        <v>135</v>
      </c>
      <c r="N344" s="262" t="n">
        <v>45</v>
      </c>
      <c r="O344" s="262" t="n">
        <v>90</v>
      </c>
      <c r="P344" s="361" t="n">
        <v>30</v>
      </c>
      <c r="Q344" s="261" t="s">
        <v>149</v>
      </c>
      <c r="R344" s="261"/>
      <c r="S344" s="363" t="n">
        <f aca="false" t="array" ref="S344:S344">IF(COUNTIF('0.3.0 GO Calculation Values'!$J$2:$J$99,C344),(INDEX('0.3.0 GO Calculation Values'!$K$2:$K$99,MATCH(C344,'0.3.0 GO Calculation Values'!$J$2:$J$99,0))),1)</f>
        <v>1</v>
      </c>
      <c r="T344" s="262" t="n">
        <f aca="false">ROUND(ROUND(2*((7/8)*MAX(L344,N344)+(1/8)*MIN(L344,N344)),0)*(1+(P344-75)/500),0)</f>
        <v>82</v>
      </c>
      <c r="U344" s="262" t="n">
        <f aca="false">ROUND(ROUND(2*((5/8)*MAX(M344,O344)+(3/8)*MIN(M344,O344)),0)*(1+(P344-75)/500),0)</f>
        <v>215</v>
      </c>
      <c r="V344" s="361" t="n">
        <f aca="false">ROUNDDOWN(K344*1.75+50,0)</f>
        <v>102</v>
      </c>
      <c r="W344" s="261" t="n">
        <v>1</v>
      </c>
      <c r="X344" s="261" t="s">
        <v>60</v>
      </c>
      <c r="Y344" s="364" t="s">
        <v>985</v>
      </c>
      <c r="Z344" s="364" t="n">
        <v>3</v>
      </c>
      <c r="AA344" s="364"/>
      <c r="AB344" s="365" t="n">
        <v>5</v>
      </c>
      <c r="AC344" s="364"/>
      <c r="AD344" s="364" t="n">
        <v>0</v>
      </c>
      <c r="AE344" s="366"/>
      <c r="AF344" s="364" t="s">
        <v>986</v>
      </c>
      <c r="AG344" s="364" t="s">
        <v>986</v>
      </c>
      <c r="AH344" s="366" t="s">
        <v>986</v>
      </c>
    </row>
    <row r="345" customFormat="false" ht="15.75" hidden="false" customHeight="false" outlineLevel="0" collapsed="false">
      <c r="A345" s="262" t="n">
        <v>300</v>
      </c>
      <c r="B345" s="361" t="n">
        <v>343</v>
      </c>
      <c r="C345" s="261" t="s">
        <v>987</v>
      </c>
      <c r="D345" s="261" t="s">
        <v>60</v>
      </c>
      <c r="E345" s="362" t="s">
        <v>987</v>
      </c>
      <c r="F345" s="261" t="s">
        <v>879</v>
      </c>
      <c r="G345" s="261" t="s">
        <v>144</v>
      </c>
      <c r="H345" s="261" t="n">
        <v>0</v>
      </c>
      <c r="I345" s="261" t="n">
        <v>1</v>
      </c>
      <c r="J345" s="361" t="n">
        <v>0</v>
      </c>
      <c r="K345" s="262" t="n">
        <v>50</v>
      </c>
      <c r="L345" s="262" t="n">
        <v>45</v>
      </c>
      <c r="M345" s="262" t="n">
        <v>45</v>
      </c>
      <c r="N345" s="262" t="n">
        <v>35</v>
      </c>
      <c r="O345" s="262" t="n">
        <v>35</v>
      </c>
      <c r="P345" s="361" t="n">
        <v>50</v>
      </c>
      <c r="Q345" s="261" t="s">
        <v>144</v>
      </c>
      <c r="R345" s="261"/>
      <c r="S345" s="363" t="n">
        <f aca="false" t="array" ref="S345:S345">IF(COUNTIF('0.3.0 GO Calculation Values'!$J$2:$J$99,C345),(INDEX('0.3.0 GO Calculation Values'!$K$2:$K$99,MATCH(C345,'0.3.0 GO Calculation Values'!$J$2:$J$99,0))),1)</f>
        <v>1</v>
      </c>
      <c r="T345" s="262" t="n">
        <f aca="false">ROUND(ROUND(2*((7/8)*MAX(L345,N345)+(1/8)*MIN(L345,N345)),0)*(1+(P345-75)/500),0)</f>
        <v>84</v>
      </c>
      <c r="U345" s="262" t="n">
        <f aca="false">ROUND(ROUND(2*((5/8)*MAX(M345,O345)+(3/8)*MIN(M345,O345)),0)*(1+(P345-75)/500),0)</f>
        <v>79</v>
      </c>
      <c r="V345" s="361" t="n">
        <f aca="false">ROUNDDOWN(K345*1.75+50,0)</f>
        <v>137</v>
      </c>
      <c r="W345" s="261" t="n">
        <v>1</v>
      </c>
      <c r="X345" s="261" t="s">
        <v>60</v>
      </c>
      <c r="Y345" s="364" t="s">
        <v>987</v>
      </c>
      <c r="Z345" s="364" t="n">
        <v>3</v>
      </c>
      <c r="AA345" s="364"/>
      <c r="AB345" s="365" t="n">
        <v>5</v>
      </c>
      <c r="AC345" s="364"/>
      <c r="AD345" s="364" t="n">
        <v>0</v>
      </c>
      <c r="AE345" s="366"/>
      <c r="AF345" s="364" t="s">
        <v>988</v>
      </c>
      <c r="AG345" s="364" t="s">
        <v>988</v>
      </c>
      <c r="AH345" s="366" t="s">
        <v>988</v>
      </c>
    </row>
    <row r="346" customFormat="false" ht="15.75" hidden="false" customHeight="false" outlineLevel="0" collapsed="false">
      <c r="A346" s="262" t="n">
        <v>301</v>
      </c>
      <c r="B346" s="361" t="n">
        <v>344</v>
      </c>
      <c r="C346" s="261" t="s">
        <v>989</v>
      </c>
      <c r="D346" s="261" t="s">
        <v>60</v>
      </c>
      <c r="E346" s="362" t="s">
        <v>989</v>
      </c>
      <c r="F346" s="261" t="s">
        <v>879</v>
      </c>
      <c r="G346" s="261" t="s">
        <v>144</v>
      </c>
      <c r="H346" s="261" t="n">
        <v>0</v>
      </c>
      <c r="I346" s="261" t="n">
        <v>2</v>
      </c>
      <c r="J346" s="361" t="n">
        <v>1</v>
      </c>
      <c r="K346" s="262" t="n">
        <v>70</v>
      </c>
      <c r="L346" s="262" t="n">
        <v>65</v>
      </c>
      <c r="M346" s="262" t="n">
        <v>65</v>
      </c>
      <c r="N346" s="262" t="n">
        <v>55</v>
      </c>
      <c r="O346" s="262" t="n">
        <v>55</v>
      </c>
      <c r="P346" s="361" t="n">
        <v>90</v>
      </c>
      <c r="Q346" s="261" t="s">
        <v>144</v>
      </c>
      <c r="R346" s="261"/>
      <c r="S346" s="363" t="n">
        <f aca="false" t="array" ref="S346:S346">IF(COUNTIF('0.3.0 GO Calculation Values'!$J$2:$J$99,C346),(INDEX('0.3.0 GO Calculation Values'!$K$2:$K$99,MATCH(C346,'0.3.0 GO Calculation Values'!$J$2:$J$99,0))),1)</f>
        <v>1</v>
      </c>
      <c r="T346" s="262" t="n">
        <f aca="false">ROUND(ROUND(2*((7/8)*MAX(L346,N346)+(1/8)*MIN(L346,N346)),0)*(1+(P346-75)/500),0)</f>
        <v>132</v>
      </c>
      <c r="U346" s="262" t="n">
        <f aca="false">ROUND(ROUND(2*((5/8)*MAX(M346,O346)+(3/8)*MIN(M346,O346)),0)*(1+(P346-75)/500),0)</f>
        <v>127</v>
      </c>
      <c r="V346" s="361" t="n">
        <f aca="false">ROUNDDOWN(K346*1.75+50,0)</f>
        <v>172</v>
      </c>
      <c r="W346" s="261" t="n">
        <v>1</v>
      </c>
      <c r="X346" s="261" t="s">
        <v>987</v>
      </c>
      <c r="Y346" s="364" t="s">
        <v>987</v>
      </c>
      <c r="Z346" s="364" t="n">
        <v>3</v>
      </c>
      <c r="AA346" s="364"/>
      <c r="AB346" s="365" t="n">
        <v>5</v>
      </c>
      <c r="AC346" s="364"/>
      <c r="AD346" s="364" t="n">
        <v>50</v>
      </c>
      <c r="AE346" s="366"/>
      <c r="AF346" s="364" t="s">
        <v>990</v>
      </c>
      <c r="AG346" s="364" t="s">
        <v>990</v>
      </c>
      <c r="AH346" s="366" t="s">
        <v>990</v>
      </c>
    </row>
    <row r="347" customFormat="false" ht="15.75" hidden="false" customHeight="false" outlineLevel="0" collapsed="false">
      <c r="A347" s="262" t="n">
        <v>302</v>
      </c>
      <c r="B347" s="361" t="n">
        <v>345</v>
      </c>
      <c r="C347" s="261" t="s">
        <v>991</v>
      </c>
      <c r="D347" s="261" t="s">
        <v>7</v>
      </c>
      <c r="E347" s="367" t="s">
        <v>991</v>
      </c>
      <c r="F347" s="261" t="s">
        <v>879</v>
      </c>
      <c r="G347" s="261" t="s">
        <v>144</v>
      </c>
      <c r="H347" s="261" t="n">
        <v>0</v>
      </c>
      <c r="I347" s="261" t="n">
        <v>1</v>
      </c>
      <c r="J347" s="361" t="n">
        <v>1</v>
      </c>
      <c r="K347" s="262" t="n">
        <v>50</v>
      </c>
      <c r="L347" s="262" t="n">
        <v>75</v>
      </c>
      <c r="M347" s="262" t="n">
        <v>75</v>
      </c>
      <c r="N347" s="262" t="n">
        <v>65</v>
      </c>
      <c r="O347" s="262" t="n">
        <v>65</v>
      </c>
      <c r="P347" s="361" t="n">
        <v>50</v>
      </c>
      <c r="Q347" s="261" t="s">
        <v>160</v>
      </c>
      <c r="R347" s="261" t="s">
        <v>151</v>
      </c>
      <c r="S347" s="363" t="n">
        <f aca="false" t="array" ref="S347:S347">IF(COUNTIF('0.3.0 GO Calculation Values'!$J$2:$J$99,C347),(INDEX('0.3.0 GO Calculation Values'!$K$2:$K$99,MATCH(C347,'0.3.0 GO Calculation Values'!$J$2:$J$99,0))),1)</f>
        <v>1</v>
      </c>
      <c r="T347" s="262" t="n">
        <f aca="false">ROUND(ROUND(2*((7/8)*MAX(L347,N347)+(1/8)*MIN(L347,N347)),0)*(1+(P347-75)/500),0)</f>
        <v>141</v>
      </c>
      <c r="U347" s="262" t="n">
        <f aca="false">ROUND(ROUND(2*((5/8)*MAX(M347,O347)+(3/8)*MIN(M347,O347)),0)*(1+(P347-75)/500),0)</f>
        <v>136</v>
      </c>
      <c r="V347" s="361" t="n">
        <f aca="false">ROUNDDOWN(K347*1.75+50,0)</f>
        <v>137</v>
      </c>
      <c r="W347" s="261" t="n">
        <v>1</v>
      </c>
      <c r="X347" s="261" t="s">
        <v>60</v>
      </c>
      <c r="Y347" s="364" t="s">
        <v>991</v>
      </c>
      <c r="Z347" s="364" t="n">
        <v>5</v>
      </c>
      <c r="AA347" s="261" t="n">
        <v>43028</v>
      </c>
      <c r="AB347" s="365" t="s">
        <v>60</v>
      </c>
      <c r="AC347" s="364"/>
      <c r="AD347" s="364" t="n">
        <v>0</v>
      </c>
      <c r="AE347" s="366"/>
      <c r="AF347" s="364" t="s">
        <v>992</v>
      </c>
      <c r="AG347" s="364" t="s">
        <v>992</v>
      </c>
      <c r="AH347" s="366" t="s">
        <v>992</v>
      </c>
    </row>
    <row r="348" customFormat="false" ht="15.75" hidden="false" customHeight="false" outlineLevel="0" collapsed="false">
      <c r="A348" s="262" t="n">
        <v>302</v>
      </c>
      <c r="B348" s="361" t="n">
        <v>346</v>
      </c>
      <c r="C348" s="261" t="s">
        <v>991</v>
      </c>
      <c r="D348" s="261" t="s">
        <v>993</v>
      </c>
      <c r="E348" s="358" t="s">
        <v>994</v>
      </c>
      <c r="F348" s="261" t="s">
        <v>887</v>
      </c>
      <c r="G348" s="261" t="s">
        <v>144</v>
      </c>
      <c r="H348" s="261" t="n">
        <v>2</v>
      </c>
      <c r="I348" s="261" t="n">
        <v>2</v>
      </c>
      <c r="J348" s="361" t="n">
        <v>1</v>
      </c>
      <c r="K348" s="262" t="n">
        <v>50</v>
      </c>
      <c r="L348" s="262" t="n">
        <v>85</v>
      </c>
      <c r="M348" s="262" t="n">
        <v>125</v>
      </c>
      <c r="N348" s="262" t="n">
        <v>85</v>
      </c>
      <c r="O348" s="262" t="n">
        <v>115</v>
      </c>
      <c r="P348" s="361" t="n">
        <v>20</v>
      </c>
      <c r="Q348" s="261" t="s">
        <v>160</v>
      </c>
      <c r="R348" s="261" t="s">
        <v>151</v>
      </c>
      <c r="S348" s="363" t="n">
        <f aca="false" t="array" ref="S348:S348">IF(COUNTIF('0.3.0 GO Calculation Values'!$J$2:$J$99,C348),(INDEX('0.3.0 GO Calculation Values'!$K$2:$K$99,MATCH(C348,'0.3.0 GO Calculation Values'!$J$2:$J$99,0))),1)</f>
        <v>1</v>
      </c>
      <c r="T348" s="262" t="n">
        <f aca="false">ROUND(ROUND(2*((7/8)*MAX(L348,N348)+(1/8)*MIN(L348,N348)),0)*(1+(P348-75)/500),0)</f>
        <v>151</v>
      </c>
      <c r="U348" s="262" t="n">
        <f aca="false">ROUND(ROUND(2*((5/8)*MAX(M348,O348)+(3/8)*MIN(M348,O348)),0)*(1+(P348-75)/500),0)</f>
        <v>216</v>
      </c>
      <c r="V348" s="361" t="n">
        <f aca="false">ROUNDDOWN(K348*1.75+50,0)</f>
        <v>137</v>
      </c>
      <c r="W348" s="261" t="n">
        <v>0</v>
      </c>
      <c r="X348" s="261" t="s">
        <v>991</v>
      </c>
      <c r="Y348" s="364" t="s">
        <v>991</v>
      </c>
      <c r="Z348" s="364" t="n">
        <v>5</v>
      </c>
      <c r="AA348" s="364"/>
      <c r="AB348" s="365" t="s">
        <v>60</v>
      </c>
      <c r="AC348" s="364"/>
      <c r="AD348" s="364" t="n">
        <v>0</v>
      </c>
      <c r="AE348" s="366"/>
      <c r="AF348" s="364" t="s">
        <v>995</v>
      </c>
      <c r="AG348" s="364" t="s">
        <v>995</v>
      </c>
      <c r="AH348" s="366" t="s">
        <v>995</v>
      </c>
    </row>
    <row r="349" customFormat="false" ht="15.75" hidden="false" customHeight="false" outlineLevel="0" collapsed="false">
      <c r="A349" s="262" t="n">
        <v>303</v>
      </c>
      <c r="B349" s="361" t="n">
        <v>347</v>
      </c>
      <c r="C349" s="261" t="s">
        <v>996</v>
      </c>
      <c r="D349" s="261" t="s">
        <v>7</v>
      </c>
      <c r="E349" s="367" t="s">
        <v>996</v>
      </c>
      <c r="F349" s="261" t="s">
        <v>879</v>
      </c>
      <c r="G349" s="261" t="s">
        <v>144</v>
      </c>
      <c r="H349" s="261" t="n">
        <v>0</v>
      </c>
      <c r="I349" s="261" t="n">
        <v>1</v>
      </c>
      <c r="J349" s="361" t="n">
        <v>1</v>
      </c>
      <c r="K349" s="262" t="n">
        <v>50</v>
      </c>
      <c r="L349" s="262" t="n">
        <v>85</v>
      </c>
      <c r="M349" s="262" t="n">
        <v>85</v>
      </c>
      <c r="N349" s="262" t="n">
        <v>55</v>
      </c>
      <c r="O349" s="262" t="n">
        <v>55</v>
      </c>
      <c r="P349" s="361" t="n">
        <v>50</v>
      </c>
      <c r="Q349" s="261" t="s">
        <v>152</v>
      </c>
      <c r="R349" s="261" t="s">
        <v>161</v>
      </c>
      <c r="S349" s="363" t="n">
        <f aca="false" t="array" ref="S349:S349">IF(COUNTIF('0.3.0 GO Calculation Values'!$J$2:$J$99,C349),(INDEX('0.3.0 GO Calculation Values'!$K$2:$K$99,MATCH(C349,'0.3.0 GO Calculation Values'!$J$2:$J$99,0))),1)</f>
        <v>1</v>
      </c>
      <c r="T349" s="262" t="n">
        <f aca="false">ROUND(ROUND(2*((7/8)*MAX(L349,N349)+(1/8)*MIN(L349,N349)),0)*(1+(P349-75)/500),0)</f>
        <v>155</v>
      </c>
      <c r="U349" s="262" t="n">
        <f aca="false">ROUND(ROUND(2*((5/8)*MAX(M349,O349)+(3/8)*MIN(M349,O349)),0)*(1+(P349-75)/500),0)</f>
        <v>141</v>
      </c>
      <c r="V349" s="361" t="n">
        <f aca="false">ROUNDDOWN(K349*1.75+50,0)</f>
        <v>137</v>
      </c>
      <c r="W349" s="261" t="n">
        <v>1</v>
      </c>
      <c r="X349" s="261" t="s">
        <v>60</v>
      </c>
      <c r="Y349" s="364" t="s">
        <v>996</v>
      </c>
      <c r="Z349" s="364" t="n">
        <v>5</v>
      </c>
      <c r="AA349" s="261" t="n">
        <v>43077</v>
      </c>
      <c r="AB349" s="365" t="s">
        <v>60</v>
      </c>
      <c r="AC349" s="364"/>
      <c r="AD349" s="364" t="n">
        <v>0</v>
      </c>
      <c r="AE349" s="366"/>
      <c r="AF349" s="364" t="s">
        <v>997</v>
      </c>
      <c r="AG349" s="364" t="s">
        <v>997</v>
      </c>
      <c r="AH349" s="366" t="s">
        <v>997</v>
      </c>
    </row>
    <row r="350" customFormat="false" ht="15.75" hidden="false" customHeight="false" outlineLevel="0" collapsed="false">
      <c r="A350" s="262" t="n">
        <v>303</v>
      </c>
      <c r="B350" s="361" t="n">
        <v>348</v>
      </c>
      <c r="C350" s="261" t="s">
        <v>996</v>
      </c>
      <c r="D350" s="261" t="s">
        <v>998</v>
      </c>
      <c r="E350" s="358" t="s">
        <v>999</v>
      </c>
      <c r="F350" s="261" t="s">
        <v>887</v>
      </c>
      <c r="G350" s="261" t="s">
        <v>144</v>
      </c>
      <c r="H350" s="261" t="n">
        <v>2</v>
      </c>
      <c r="I350" s="261" t="n">
        <v>2</v>
      </c>
      <c r="J350" s="361" t="n">
        <v>1</v>
      </c>
      <c r="K350" s="262" t="n">
        <v>50</v>
      </c>
      <c r="L350" s="262" t="n">
        <v>105</v>
      </c>
      <c r="M350" s="262" t="n">
        <v>125</v>
      </c>
      <c r="N350" s="262" t="n">
        <v>55</v>
      </c>
      <c r="O350" s="262" t="n">
        <v>95</v>
      </c>
      <c r="P350" s="361" t="n">
        <v>50</v>
      </c>
      <c r="Q350" s="261" t="s">
        <v>152</v>
      </c>
      <c r="R350" s="261" t="s">
        <v>161</v>
      </c>
      <c r="S350" s="363" t="n">
        <f aca="false" t="array" ref="S350:S350">IF(COUNTIF('0.3.0 GO Calculation Values'!$J$2:$J$99,C350),(INDEX('0.3.0 GO Calculation Values'!$K$2:$K$99,MATCH(C350,'0.3.0 GO Calculation Values'!$J$2:$J$99,0))),1)</f>
        <v>1</v>
      </c>
      <c r="T350" s="262" t="n">
        <f aca="false">ROUND(ROUND(2*((7/8)*MAX(L350,N350)+(1/8)*MIN(L350,N350)),0)*(1+(P350-75)/500),0)</f>
        <v>188</v>
      </c>
      <c r="U350" s="262" t="n">
        <f aca="false">ROUND(ROUND(2*((5/8)*MAX(M350,O350)+(3/8)*MIN(M350,O350)),0)*(1+(P350-75)/500),0)</f>
        <v>217</v>
      </c>
      <c r="V350" s="361" t="n">
        <f aca="false">ROUNDDOWN(K350*1.75+50,0)</f>
        <v>137</v>
      </c>
      <c r="W350" s="261" t="n">
        <v>0</v>
      </c>
      <c r="X350" s="261" t="s">
        <v>996</v>
      </c>
      <c r="Y350" s="364" t="s">
        <v>996</v>
      </c>
      <c r="Z350" s="364" t="n">
        <v>5</v>
      </c>
      <c r="AA350" s="364"/>
      <c r="AB350" s="365" t="s">
        <v>60</v>
      </c>
      <c r="AC350" s="364"/>
      <c r="AD350" s="364" t="n">
        <v>0</v>
      </c>
      <c r="AE350" s="366"/>
      <c r="AF350" s="364" t="s">
        <v>1000</v>
      </c>
      <c r="AG350" s="364" t="s">
        <v>1000</v>
      </c>
      <c r="AH350" s="366" t="s">
        <v>1000</v>
      </c>
    </row>
    <row r="351" customFormat="false" ht="15.75" hidden="false" customHeight="false" outlineLevel="0" collapsed="false">
      <c r="A351" s="262" t="n">
        <v>304</v>
      </c>
      <c r="B351" s="361" t="n">
        <v>349</v>
      </c>
      <c r="C351" s="261" t="s">
        <v>1001</v>
      </c>
      <c r="D351" s="261" t="s">
        <v>60</v>
      </c>
      <c r="E351" s="362" t="s">
        <v>1001</v>
      </c>
      <c r="F351" s="261" t="s">
        <v>879</v>
      </c>
      <c r="G351" s="261" t="s">
        <v>144</v>
      </c>
      <c r="H351" s="261" t="n">
        <v>0</v>
      </c>
      <c r="I351" s="261" t="n">
        <v>1</v>
      </c>
      <c r="J351" s="361" t="n">
        <v>0</v>
      </c>
      <c r="K351" s="262" t="n">
        <v>50</v>
      </c>
      <c r="L351" s="262" t="n">
        <v>70</v>
      </c>
      <c r="M351" s="262" t="n">
        <v>100</v>
      </c>
      <c r="N351" s="262" t="n">
        <v>40</v>
      </c>
      <c r="O351" s="262" t="n">
        <v>40</v>
      </c>
      <c r="P351" s="361" t="n">
        <v>30</v>
      </c>
      <c r="Q351" s="261" t="s">
        <v>149</v>
      </c>
      <c r="R351" s="261" t="s">
        <v>152</v>
      </c>
      <c r="S351" s="363" t="n">
        <f aca="false" t="array" ref="S351:S351">IF(COUNTIF('0.3.0 GO Calculation Values'!$J$2:$J$99,C351),(INDEX('0.3.0 GO Calculation Values'!$K$2:$K$99,MATCH(C351,'0.3.0 GO Calculation Values'!$J$2:$J$99,0))),1)</f>
        <v>1</v>
      </c>
      <c r="T351" s="262" t="n">
        <f aca="false">ROUND(ROUND(2*((7/8)*MAX(L351,N351)+(1/8)*MIN(L351,N351)),0)*(1+(P351-75)/500),0)</f>
        <v>121</v>
      </c>
      <c r="U351" s="262" t="n">
        <f aca="false">ROUND(ROUND(2*((5/8)*MAX(M351,O351)+(3/8)*MIN(M351,O351)),0)*(1+(P351-75)/500),0)</f>
        <v>141</v>
      </c>
      <c r="V351" s="361" t="n">
        <f aca="false">ROUNDDOWN(K351*1.75+50,0)</f>
        <v>137</v>
      </c>
      <c r="W351" s="261" t="n">
        <v>1</v>
      </c>
      <c r="X351" s="261" t="s">
        <v>60</v>
      </c>
      <c r="Y351" s="364" t="s">
        <v>1001</v>
      </c>
      <c r="Z351" s="364" t="n">
        <v>1</v>
      </c>
      <c r="AA351" s="261" t="n">
        <v>43124</v>
      </c>
      <c r="AB351" s="365" t="n">
        <v>2</v>
      </c>
      <c r="AC351" s="364"/>
      <c r="AD351" s="364" t="n">
        <v>0</v>
      </c>
      <c r="AE351" s="366"/>
      <c r="AF351" s="364" t="s">
        <v>1002</v>
      </c>
      <c r="AG351" s="364" t="s">
        <v>1002</v>
      </c>
      <c r="AH351" s="366" t="s">
        <v>1002</v>
      </c>
    </row>
    <row r="352" customFormat="false" ht="15.75" hidden="false" customHeight="false" outlineLevel="0" collapsed="false">
      <c r="A352" s="262" t="n">
        <v>305</v>
      </c>
      <c r="B352" s="361" t="n">
        <v>350</v>
      </c>
      <c r="C352" s="261" t="s">
        <v>1003</v>
      </c>
      <c r="D352" s="261" t="s">
        <v>60</v>
      </c>
      <c r="E352" s="362" t="s">
        <v>1003</v>
      </c>
      <c r="F352" s="261" t="s">
        <v>879</v>
      </c>
      <c r="G352" s="261" t="s">
        <v>144</v>
      </c>
      <c r="H352" s="261" t="n">
        <v>0</v>
      </c>
      <c r="I352" s="261" t="n">
        <v>2</v>
      </c>
      <c r="J352" s="361" t="n">
        <v>0</v>
      </c>
      <c r="K352" s="262" t="n">
        <v>60</v>
      </c>
      <c r="L352" s="262" t="n">
        <v>90</v>
      </c>
      <c r="M352" s="262" t="n">
        <v>140</v>
      </c>
      <c r="N352" s="262" t="n">
        <v>50</v>
      </c>
      <c r="O352" s="262" t="n">
        <v>50</v>
      </c>
      <c r="P352" s="361" t="n">
        <v>40</v>
      </c>
      <c r="Q352" s="261" t="s">
        <v>149</v>
      </c>
      <c r="R352" s="261" t="s">
        <v>152</v>
      </c>
      <c r="S352" s="363" t="n">
        <f aca="false" t="array" ref="S352:S352">IF(COUNTIF('0.3.0 GO Calculation Values'!$J$2:$J$99,C352),(INDEX('0.3.0 GO Calculation Values'!$K$2:$K$99,MATCH(C352,'0.3.0 GO Calculation Values'!$J$2:$J$99,0))),1)</f>
        <v>1</v>
      </c>
      <c r="T352" s="262" t="n">
        <f aca="false">ROUND(ROUND(2*((7/8)*MAX(L352,N352)+(1/8)*MIN(L352,N352)),0)*(1+(P352-75)/500),0)</f>
        <v>158</v>
      </c>
      <c r="U352" s="262" t="n">
        <f aca="false">ROUND(ROUND(2*((5/8)*MAX(M352,O352)+(3/8)*MIN(M352,O352)),0)*(1+(P352-75)/500),0)</f>
        <v>198</v>
      </c>
      <c r="V352" s="361" t="n">
        <f aca="false">ROUNDDOWN(K352*1.75+50,0)</f>
        <v>155</v>
      </c>
      <c r="W352" s="261" t="n">
        <v>1</v>
      </c>
      <c r="X352" s="261" t="s">
        <v>1001</v>
      </c>
      <c r="Y352" s="364" t="s">
        <v>1001</v>
      </c>
      <c r="Z352" s="364" t="n">
        <v>1</v>
      </c>
      <c r="AA352" s="261" t="n">
        <v>43124</v>
      </c>
      <c r="AB352" s="365" t="n">
        <v>2</v>
      </c>
      <c r="AC352" s="364"/>
      <c r="AD352" s="364" t="n">
        <v>25</v>
      </c>
      <c r="AE352" s="366"/>
      <c r="AF352" s="364" t="s">
        <v>1004</v>
      </c>
      <c r="AG352" s="364" t="s">
        <v>1004</v>
      </c>
      <c r="AH352" s="366" t="s">
        <v>1004</v>
      </c>
    </row>
    <row r="353" customFormat="false" ht="15.75" hidden="false" customHeight="false" outlineLevel="0" collapsed="false">
      <c r="A353" s="262" t="n">
        <v>306</v>
      </c>
      <c r="B353" s="361" t="n">
        <v>351</v>
      </c>
      <c r="C353" s="261" t="s">
        <v>1005</v>
      </c>
      <c r="D353" s="261" t="s">
        <v>7</v>
      </c>
      <c r="E353" s="367" t="s">
        <v>1005</v>
      </c>
      <c r="F353" s="261" t="s">
        <v>879</v>
      </c>
      <c r="G353" s="261" t="s">
        <v>144</v>
      </c>
      <c r="H353" s="261" t="n">
        <v>0</v>
      </c>
      <c r="I353" s="261" t="n">
        <v>3</v>
      </c>
      <c r="J353" s="361" t="n">
        <v>1</v>
      </c>
      <c r="K353" s="262" t="n">
        <v>70</v>
      </c>
      <c r="L353" s="262" t="n">
        <v>110</v>
      </c>
      <c r="M353" s="262" t="n">
        <v>180</v>
      </c>
      <c r="N353" s="262" t="n">
        <v>60</v>
      </c>
      <c r="O353" s="262" t="n">
        <v>60</v>
      </c>
      <c r="P353" s="361" t="n">
        <v>50</v>
      </c>
      <c r="Q353" s="261" t="s">
        <v>149</v>
      </c>
      <c r="R353" s="261" t="s">
        <v>152</v>
      </c>
      <c r="S353" s="363" t="n">
        <f aca="false" t="array" ref="S353:S353">IF(COUNTIF('0.3.0 GO Calculation Values'!$J$2:$J$99,C353),(INDEX('0.3.0 GO Calculation Values'!$K$2:$K$99,MATCH(C353,'0.3.0 GO Calculation Values'!$J$2:$J$99,0))),1)</f>
        <v>1</v>
      </c>
      <c r="T353" s="262" t="n">
        <f aca="false">ROUND(ROUND(2*((7/8)*MAX(L353,N353)+(1/8)*MIN(L353,N353)),0)*(1+(P353-75)/500),0)</f>
        <v>198</v>
      </c>
      <c r="U353" s="262" t="n">
        <f aca="false">ROUND(ROUND(2*((5/8)*MAX(M353,O353)+(3/8)*MIN(M353,O353)),0)*(1+(P353-75)/500),0)</f>
        <v>257</v>
      </c>
      <c r="V353" s="361" t="n">
        <f aca="false">ROUNDDOWN(K353*1.75+50,0)</f>
        <v>172</v>
      </c>
      <c r="W353" s="261" t="n">
        <v>1</v>
      </c>
      <c r="X353" s="261" t="s">
        <v>1003</v>
      </c>
      <c r="Y353" s="364" t="s">
        <v>1001</v>
      </c>
      <c r="Z353" s="364" t="n">
        <v>1</v>
      </c>
      <c r="AA353" s="261" t="n">
        <v>43124</v>
      </c>
      <c r="AB353" s="365" t="n">
        <v>2</v>
      </c>
      <c r="AC353" s="364"/>
      <c r="AD353" s="364" t="n">
        <v>100</v>
      </c>
      <c r="AE353" s="366"/>
      <c r="AF353" s="364" t="s">
        <v>1006</v>
      </c>
      <c r="AG353" s="364" t="s">
        <v>1006</v>
      </c>
      <c r="AH353" s="366" t="s">
        <v>1006</v>
      </c>
    </row>
    <row r="354" customFormat="false" ht="15.75" hidden="false" customHeight="false" outlineLevel="0" collapsed="false">
      <c r="A354" s="262" t="n">
        <v>306</v>
      </c>
      <c r="B354" s="361" t="n">
        <v>352</v>
      </c>
      <c r="C354" s="261" t="s">
        <v>1005</v>
      </c>
      <c r="D354" s="261" t="s">
        <v>1007</v>
      </c>
      <c r="E354" s="358" t="s">
        <v>1008</v>
      </c>
      <c r="F354" s="261" t="s">
        <v>887</v>
      </c>
      <c r="G354" s="261" t="s">
        <v>144</v>
      </c>
      <c r="H354" s="261" t="n">
        <v>2</v>
      </c>
      <c r="I354" s="261" t="n">
        <v>3</v>
      </c>
      <c r="J354" s="361" t="n">
        <v>1</v>
      </c>
      <c r="K354" s="262" t="n">
        <v>70</v>
      </c>
      <c r="L354" s="262" t="n">
        <v>140</v>
      </c>
      <c r="M354" s="262" t="n">
        <v>230</v>
      </c>
      <c r="N354" s="262" t="n">
        <v>60</v>
      </c>
      <c r="O354" s="262" t="n">
        <v>80</v>
      </c>
      <c r="P354" s="361" t="n">
        <v>50</v>
      </c>
      <c r="Q354" s="261" t="s">
        <v>152</v>
      </c>
      <c r="R354" s="261"/>
      <c r="S354" s="363" t="n">
        <f aca="false" t="array" ref="S354:S354">IF(COUNTIF('0.3.0 GO Calculation Values'!$J$2:$J$99,C354),(INDEX('0.3.0 GO Calculation Values'!$K$2:$K$99,MATCH(C354,'0.3.0 GO Calculation Values'!$J$2:$J$99,0))),1)</f>
        <v>1</v>
      </c>
      <c r="T354" s="262" t="n">
        <f aca="false">ROUND(ROUND(2*((7/8)*MAX(L354,N354)+(1/8)*MIN(L354,N354)),0)*(1+(P354-75)/500),0)</f>
        <v>247</v>
      </c>
      <c r="U354" s="262" t="n">
        <f aca="false">ROUND(ROUND(2*((5/8)*MAX(M354,O354)+(3/8)*MIN(M354,O354)),0)*(1+(P354-75)/500),0)</f>
        <v>331</v>
      </c>
      <c r="V354" s="361" t="n">
        <f aca="false">ROUNDDOWN(K354*1.75+50,0)</f>
        <v>172</v>
      </c>
      <c r="W354" s="261" t="n">
        <v>0</v>
      </c>
      <c r="X354" s="261" t="s">
        <v>1005</v>
      </c>
      <c r="Y354" s="364" t="s">
        <v>1001</v>
      </c>
      <c r="Z354" s="364" t="n">
        <v>1</v>
      </c>
      <c r="AA354" s="364"/>
      <c r="AB354" s="365" t="n">
        <v>2</v>
      </c>
      <c r="AC354" s="364"/>
      <c r="AD354" s="364" t="n">
        <v>100</v>
      </c>
      <c r="AE354" s="366"/>
      <c r="AF354" s="364" t="s">
        <v>1009</v>
      </c>
      <c r="AG354" s="364" t="s">
        <v>1009</v>
      </c>
      <c r="AH354" s="366" t="s">
        <v>1009</v>
      </c>
    </row>
    <row r="355" customFormat="false" ht="15.75" hidden="false" customHeight="false" outlineLevel="0" collapsed="false">
      <c r="A355" s="262" t="n">
        <v>307</v>
      </c>
      <c r="B355" s="361" t="n">
        <v>353</v>
      </c>
      <c r="C355" s="261" t="s">
        <v>1010</v>
      </c>
      <c r="D355" s="261" t="s">
        <v>60</v>
      </c>
      <c r="E355" s="362" t="s">
        <v>1010</v>
      </c>
      <c r="F355" s="261" t="s">
        <v>879</v>
      </c>
      <c r="G355" s="261" t="s">
        <v>144</v>
      </c>
      <c r="H355" s="261" t="n">
        <v>0</v>
      </c>
      <c r="I355" s="261" t="n">
        <v>1</v>
      </c>
      <c r="J355" s="361" t="n">
        <v>0</v>
      </c>
      <c r="K355" s="262" t="n">
        <v>30</v>
      </c>
      <c r="L355" s="262" t="n">
        <v>40</v>
      </c>
      <c r="M355" s="262" t="n">
        <v>55</v>
      </c>
      <c r="N355" s="262" t="n">
        <v>40</v>
      </c>
      <c r="O355" s="262" t="n">
        <v>55</v>
      </c>
      <c r="P355" s="361" t="n">
        <v>60</v>
      </c>
      <c r="Q355" s="261" t="s">
        <v>157</v>
      </c>
      <c r="R355" s="261" t="s">
        <v>145</v>
      </c>
      <c r="S355" s="363" t="n">
        <f aca="false" t="array" ref="S355:S355">IF(COUNTIF('0.3.0 GO Calculation Values'!$J$2:$J$99,C355),(INDEX('0.3.0 GO Calculation Values'!$K$2:$K$99,MATCH(C355,'0.3.0 GO Calculation Values'!$J$2:$J$99,0))),1)</f>
        <v>1</v>
      </c>
      <c r="T355" s="262" t="n">
        <f aca="false">ROUND(ROUND(2*((7/8)*MAX(L355,N355)+(1/8)*MIN(L355,N355)),0)*(1+(P355-75)/500),0)</f>
        <v>78</v>
      </c>
      <c r="U355" s="262" t="n">
        <f aca="false">ROUND(ROUND(2*((5/8)*MAX(M355,O355)+(3/8)*MIN(M355,O355)),0)*(1+(P355-75)/500),0)</f>
        <v>107</v>
      </c>
      <c r="V355" s="361" t="n">
        <f aca="false">ROUNDDOWN(K355*1.75+50,0)</f>
        <v>102</v>
      </c>
      <c r="W355" s="261" t="n">
        <v>1</v>
      </c>
      <c r="X355" s="261" t="s">
        <v>60</v>
      </c>
      <c r="Y355" s="364" t="s">
        <v>1010</v>
      </c>
      <c r="Z355" s="364" t="n">
        <v>3</v>
      </c>
      <c r="AA355" s="364"/>
      <c r="AB355" s="365" t="s">
        <v>60</v>
      </c>
      <c r="AC355" s="364"/>
      <c r="AD355" s="364" t="n">
        <v>0</v>
      </c>
      <c r="AE355" s="366"/>
      <c r="AF355" s="364" t="s">
        <v>1011</v>
      </c>
      <c r="AG355" s="364" t="s">
        <v>1011</v>
      </c>
      <c r="AH355" s="366" t="s">
        <v>1011</v>
      </c>
    </row>
    <row r="356" customFormat="false" ht="15.75" hidden="false" customHeight="false" outlineLevel="0" collapsed="false">
      <c r="A356" s="262" t="n">
        <v>308</v>
      </c>
      <c r="B356" s="361" t="n">
        <v>354</v>
      </c>
      <c r="C356" s="261" t="s">
        <v>1012</v>
      </c>
      <c r="D356" s="261" t="s">
        <v>7</v>
      </c>
      <c r="E356" s="367" t="s">
        <v>1012</v>
      </c>
      <c r="F356" s="261" t="s">
        <v>879</v>
      </c>
      <c r="G356" s="261" t="s">
        <v>144</v>
      </c>
      <c r="H356" s="261" t="n">
        <v>0</v>
      </c>
      <c r="I356" s="261" t="n">
        <v>2</v>
      </c>
      <c r="J356" s="361" t="n">
        <v>1</v>
      </c>
      <c r="K356" s="262" t="n">
        <v>60</v>
      </c>
      <c r="L356" s="262" t="n">
        <v>60</v>
      </c>
      <c r="M356" s="262" t="n">
        <v>75</v>
      </c>
      <c r="N356" s="262" t="n">
        <v>60</v>
      </c>
      <c r="O356" s="262" t="n">
        <v>75</v>
      </c>
      <c r="P356" s="361" t="n">
        <v>80</v>
      </c>
      <c r="Q356" s="261" t="s">
        <v>157</v>
      </c>
      <c r="R356" s="261" t="s">
        <v>145</v>
      </c>
      <c r="S356" s="363" t="n">
        <f aca="false" t="array" ref="S356:S356">IF(COUNTIF('0.3.0 GO Calculation Values'!$J$2:$J$99,C356),(INDEX('0.3.0 GO Calculation Values'!$K$2:$K$99,MATCH(C356,'0.3.0 GO Calculation Values'!$J$2:$J$99,0))),1)</f>
        <v>1</v>
      </c>
      <c r="T356" s="262" t="n">
        <f aca="false">ROUND(ROUND(2*((7/8)*MAX(L356,N356)+(1/8)*MIN(L356,N356)),0)*(1+(P356-75)/500),0)</f>
        <v>121</v>
      </c>
      <c r="U356" s="262" t="n">
        <f aca="false">ROUND(ROUND(2*((5/8)*MAX(M356,O356)+(3/8)*MIN(M356,O356)),0)*(1+(P356-75)/500),0)</f>
        <v>152</v>
      </c>
      <c r="V356" s="361" t="n">
        <f aca="false">ROUNDDOWN(K356*1.75+50,0)</f>
        <v>155</v>
      </c>
      <c r="W356" s="261" t="n">
        <v>1</v>
      </c>
      <c r="X356" s="261" t="s">
        <v>1010</v>
      </c>
      <c r="Y356" s="364" t="s">
        <v>1010</v>
      </c>
      <c r="Z356" s="364" t="n">
        <v>3</v>
      </c>
      <c r="AA356" s="364"/>
      <c r="AB356" s="365" t="s">
        <v>60</v>
      </c>
      <c r="AC356" s="364"/>
      <c r="AD356" s="364" t="n">
        <v>50</v>
      </c>
      <c r="AE356" s="366"/>
      <c r="AF356" s="364" t="s">
        <v>1013</v>
      </c>
      <c r="AG356" s="364" t="s">
        <v>1013</v>
      </c>
      <c r="AH356" s="366" t="s">
        <v>1013</v>
      </c>
    </row>
    <row r="357" customFormat="false" ht="15.75" hidden="false" customHeight="false" outlineLevel="0" collapsed="false">
      <c r="A357" s="262" t="n">
        <v>308</v>
      </c>
      <c r="B357" s="361" t="n">
        <v>355</v>
      </c>
      <c r="C357" s="261" t="s">
        <v>1012</v>
      </c>
      <c r="D357" s="261" t="s">
        <v>1014</v>
      </c>
      <c r="E357" s="358" t="s">
        <v>1015</v>
      </c>
      <c r="F357" s="261" t="s">
        <v>887</v>
      </c>
      <c r="G357" s="261" t="s">
        <v>144</v>
      </c>
      <c r="H357" s="261" t="n">
        <v>2</v>
      </c>
      <c r="I357" s="261" t="n">
        <v>3</v>
      </c>
      <c r="J357" s="361" t="n">
        <v>1</v>
      </c>
      <c r="K357" s="262" t="n">
        <v>60</v>
      </c>
      <c r="L357" s="262" t="n">
        <v>100</v>
      </c>
      <c r="M357" s="262" t="n">
        <v>85</v>
      </c>
      <c r="N357" s="262" t="n">
        <v>80</v>
      </c>
      <c r="O357" s="262" t="n">
        <v>85</v>
      </c>
      <c r="P357" s="361" t="n">
        <v>100</v>
      </c>
      <c r="Q357" s="261" t="s">
        <v>157</v>
      </c>
      <c r="R357" s="261" t="s">
        <v>145</v>
      </c>
      <c r="S357" s="363" t="n">
        <f aca="false" t="array" ref="S357:S357">IF(COUNTIF('0.3.0 GO Calculation Values'!$J$2:$J$99,C357),(INDEX('0.3.0 GO Calculation Values'!$K$2:$K$99,MATCH(C357,'0.3.0 GO Calculation Values'!$J$2:$J$99,0))),1)</f>
        <v>1</v>
      </c>
      <c r="T357" s="262" t="n">
        <f aca="false">ROUND(ROUND(2*((7/8)*MAX(L357,N357)+(1/8)*MIN(L357,N357)),0)*(1+(P357-75)/500),0)</f>
        <v>205</v>
      </c>
      <c r="U357" s="262" t="n">
        <f aca="false">ROUND(ROUND(2*((5/8)*MAX(M357,O357)+(3/8)*MIN(M357,O357)),0)*(1+(P357-75)/500),0)</f>
        <v>179</v>
      </c>
      <c r="V357" s="361" t="n">
        <f aca="false">ROUNDDOWN(K357*1.75+50,0)</f>
        <v>155</v>
      </c>
      <c r="W357" s="261" t="n">
        <v>0</v>
      </c>
      <c r="X357" s="261" t="s">
        <v>1012</v>
      </c>
      <c r="Y357" s="364" t="s">
        <v>1010</v>
      </c>
      <c r="Z357" s="364" t="n">
        <v>3</v>
      </c>
      <c r="AA357" s="364"/>
      <c r="AB357" s="365" t="s">
        <v>60</v>
      </c>
      <c r="AC357" s="364"/>
      <c r="AD357" s="364" t="n">
        <v>50</v>
      </c>
      <c r="AE357" s="366"/>
      <c r="AF357" s="364" t="s">
        <v>1016</v>
      </c>
      <c r="AG357" s="364" t="s">
        <v>1016</v>
      </c>
      <c r="AH357" s="366" t="s">
        <v>1016</v>
      </c>
    </row>
    <row r="358" customFormat="false" ht="15.75" hidden="false" customHeight="false" outlineLevel="0" collapsed="false">
      <c r="A358" s="262" t="n">
        <v>309</v>
      </c>
      <c r="B358" s="361" t="n">
        <v>356</v>
      </c>
      <c r="C358" s="261" t="s">
        <v>1017</v>
      </c>
      <c r="D358" s="261" t="s">
        <v>60</v>
      </c>
      <c r="E358" s="362" t="s">
        <v>1017</v>
      </c>
      <c r="F358" s="261" t="s">
        <v>879</v>
      </c>
      <c r="G358" s="261" t="s">
        <v>144</v>
      </c>
      <c r="H358" s="261" t="n">
        <v>0</v>
      </c>
      <c r="I358" s="261" t="n">
        <v>1</v>
      </c>
      <c r="J358" s="361" t="n">
        <v>0</v>
      </c>
      <c r="K358" s="262" t="n">
        <v>40</v>
      </c>
      <c r="L358" s="262" t="n">
        <v>45</v>
      </c>
      <c r="M358" s="262" t="n">
        <v>40</v>
      </c>
      <c r="N358" s="262" t="n">
        <v>65</v>
      </c>
      <c r="O358" s="262" t="n">
        <v>40</v>
      </c>
      <c r="P358" s="361" t="n">
        <v>65</v>
      </c>
      <c r="Q358" s="261" t="s">
        <v>156</v>
      </c>
      <c r="R358" s="261"/>
      <c r="S358" s="363" t="n">
        <f aca="false" t="array" ref="S358:S358">IF(COUNTIF('0.3.0 GO Calculation Values'!$J$2:$J$99,C358),(INDEX('0.3.0 GO Calculation Values'!$K$2:$K$99,MATCH(C358,'0.3.0 GO Calculation Values'!$J$2:$J$99,0))),1)</f>
        <v>1</v>
      </c>
      <c r="T358" s="262" t="n">
        <f aca="false">ROUND(ROUND(2*((7/8)*MAX(L358,N358)+(1/8)*MIN(L358,N358)),0)*(1+(P358-75)/500),0)</f>
        <v>123</v>
      </c>
      <c r="U358" s="262" t="n">
        <f aca="false">ROUND(ROUND(2*((5/8)*MAX(M358,O358)+(3/8)*MIN(M358,O358)),0)*(1+(P358-75)/500),0)</f>
        <v>78</v>
      </c>
      <c r="V358" s="361" t="n">
        <f aca="false">ROUNDDOWN(K358*1.75+50,0)</f>
        <v>120</v>
      </c>
      <c r="W358" s="261" t="n">
        <v>1</v>
      </c>
      <c r="X358" s="261" t="s">
        <v>60</v>
      </c>
      <c r="Y358" s="364" t="s">
        <v>1017</v>
      </c>
      <c r="Z358" s="364" t="n">
        <v>3</v>
      </c>
      <c r="AA358" s="364"/>
      <c r="AB358" s="365" t="s">
        <v>60</v>
      </c>
      <c r="AC358" s="364"/>
      <c r="AD358" s="364" t="n">
        <v>0</v>
      </c>
      <c r="AE358" s="366"/>
      <c r="AF358" s="364" t="s">
        <v>1018</v>
      </c>
      <c r="AG358" s="364" t="s">
        <v>1018</v>
      </c>
      <c r="AH358" s="366" t="s">
        <v>1018</v>
      </c>
    </row>
    <row r="359" customFormat="false" ht="15.75" hidden="false" customHeight="false" outlineLevel="0" collapsed="false">
      <c r="A359" s="262" t="n">
        <v>310</v>
      </c>
      <c r="B359" s="361" t="n">
        <v>357</v>
      </c>
      <c r="C359" s="261" t="s">
        <v>1019</v>
      </c>
      <c r="D359" s="261" t="s">
        <v>7</v>
      </c>
      <c r="E359" s="367" t="s">
        <v>1019</v>
      </c>
      <c r="F359" s="261" t="s">
        <v>879</v>
      </c>
      <c r="G359" s="261" t="s">
        <v>144</v>
      </c>
      <c r="H359" s="261" t="n">
        <v>0</v>
      </c>
      <c r="I359" s="261" t="n">
        <v>2</v>
      </c>
      <c r="J359" s="361" t="n">
        <v>1</v>
      </c>
      <c r="K359" s="262" t="n">
        <v>70</v>
      </c>
      <c r="L359" s="262" t="n">
        <v>75</v>
      </c>
      <c r="M359" s="262" t="n">
        <v>60</v>
      </c>
      <c r="N359" s="262" t="n">
        <v>105</v>
      </c>
      <c r="O359" s="262" t="n">
        <v>60</v>
      </c>
      <c r="P359" s="361" t="n">
        <v>105</v>
      </c>
      <c r="Q359" s="261" t="s">
        <v>156</v>
      </c>
      <c r="R359" s="261"/>
      <c r="S359" s="363" t="n">
        <f aca="false" t="array" ref="S359:S359">IF(COUNTIF('0.3.0 GO Calculation Values'!$J$2:$J$99,C359),(INDEX('0.3.0 GO Calculation Values'!$K$2:$K$99,MATCH(C359,'0.3.0 GO Calculation Values'!$J$2:$J$99,0))),1)</f>
        <v>1</v>
      </c>
      <c r="T359" s="262" t="n">
        <f aca="false">ROUND(ROUND(2*((7/8)*MAX(L359,N359)+(1/8)*MIN(L359,N359)),0)*(1+(P359-75)/500),0)</f>
        <v>215</v>
      </c>
      <c r="U359" s="262" t="n">
        <f aca="false">ROUND(ROUND(2*((5/8)*MAX(M359,O359)+(3/8)*MIN(M359,O359)),0)*(1+(P359-75)/500),0)</f>
        <v>127</v>
      </c>
      <c r="V359" s="361" t="n">
        <f aca="false">ROUNDDOWN(K359*1.75+50,0)</f>
        <v>172</v>
      </c>
      <c r="W359" s="261" t="n">
        <v>1</v>
      </c>
      <c r="X359" s="261" t="s">
        <v>1017</v>
      </c>
      <c r="Y359" s="364" t="s">
        <v>1017</v>
      </c>
      <c r="Z359" s="364" t="n">
        <v>3</v>
      </c>
      <c r="AA359" s="364"/>
      <c r="AB359" s="365" t="s">
        <v>60</v>
      </c>
      <c r="AC359" s="364"/>
      <c r="AD359" s="364" t="n">
        <v>50</v>
      </c>
      <c r="AE359" s="366"/>
      <c r="AF359" s="364" t="s">
        <v>1020</v>
      </c>
      <c r="AG359" s="364" t="s">
        <v>1020</v>
      </c>
      <c r="AH359" s="366" t="s">
        <v>1020</v>
      </c>
    </row>
    <row r="360" customFormat="false" ht="15.75" hidden="false" customHeight="false" outlineLevel="0" collapsed="false">
      <c r="A360" s="262" t="n">
        <v>310</v>
      </c>
      <c r="B360" s="361" t="n">
        <v>358</v>
      </c>
      <c r="C360" s="261" t="s">
        <v>1019</v>
      </c>
      <c r="D360" s="261" t="s">
        <v>1021</v>
      </c>
      <c r="E360" s="358" t="s">
        <v>1022</v>
      </c>
      <c r="F360" s="261" t="s">
        <v>887</v>
      </c>
      <c r="G360" s="261" t="s">
        <v>144</v>
      </c>
      <c r="H360" s="261" t="n">
        <v>2</v>
      </c>
      <c r="I360" s="261" t="n">
        <v>3</v>
      </c>
      <c r="J360" s="361" t="n">
        <v>1</v>
      </c>
      <c r="K360" s="262" t="n">
        <v>70</v>
      </c>
      <c r="L360" s="262" t="n">
        <v>75</v>
      </c>
      <c r="M360" s="262" t="n">
        <v>80</v>
      </c>
      <c r="N360" s="262" t="n">
        <v>135</v>
      </c>
      <c r="O360" s="262" t="n">
        <v>80</v>
      </c>
      <c r="P360" s="361" t="n">
        <v>135</v>
      </c>
      <c r="Q360" s="261" t="s">
        <v>156</v>
      </c>
      <c r="R360" s="261"/>
      <c r="S360" s="363" t="n">
        <f aca="false" t="array" ref="S360:S360">IF(COUNTIF('0.3.0 GO Calculation Values'!$J$2:$J$99,C360),(INDEX('0.3.0 GO Calculation Values'!$K$2:$K$99,MATCH(C360,'0.3.0 GO Calculation Values'!$J$2:$J$99,0))),1)</f>
        <v>1</v>
      </c>
      <c r="T360" s="262" t="n">
        <f aca="false">ROUND(ROUND(2*((7/8)*MAX(L360,N360)+(1/8)*MIN(L360,N360)),0)*(1+(P360-75)/500),0)</f>
        <v>286</v>
      </c>
      <c r="U360" s="262" t="n">
        <f aca="false">ROUND(ROUND(2*((5/8)*MAX(M360,O360)+(3/8)*MIN(M360,O360)),0)*(1+(P360-75)/500),0)</f>
        <v>179</v>
      </c>
      <c r="V360" s="361" t="n">
        <f aca="false">ROUNDDOWN(K360*1.75+50,0)</f>
        <v>172</v>
      </c>
      <c r="W360" s="261" t="n">
        <v>0</v>
      </c>
      <c r="X360" s="261" t="s">
        <v>1019</v>
      </c>
      <c r="Y360" s="364" t="s">
        <v>1017</v>
      </c>
      <c r="Z360" s="364" t="n">
        <v>3</v>
      </c>
      <c r="AA360" s="364"/>
      <c r="AB360" s="365" t="s">
        <v>60</v>
      </c>
      <c r="AC360" s="364"/>
      <c r="AD360" s="364" t="n">
        <v>50</v>
      </c>
      <c r="AE360" s="366"/>
      <c r="AF360" s="364" t="s">
        <v>1023</v>
      </c>
      <c r="AG360" s="364" t="s">
        <v>1023</v>
      </c>
      <c r="AH360" s="366" t="s">
        <v>1023</v>
      </c>
    </row>
    <row r="361" customFormat="false" ht="15.75" hidden="false" customHeight="false" outlineLevel="0" collapsed="false">
      <c r="A361" s="262" t="n">
        <v>311</v>
      </c>
      <c r="B361" s="361" t="n">
        <v>359</v>
      </c>
      <c r="C361" s="261" t="s">
        <v>1024</v>
      </c>
      <c r="D361" s="261" t="s">
        <v>60</v>
      </c>
      <c r="E361" s="362" t="s">
        <v>1024</v>
      </c>
      <c r="F361" s="261" t="s">
        <v>879</v>
      </c>
      <c r="G361" s="261" t="s">
        <v>144</v>
      </c>
      <c r="H361" s="261" t="n">
        <v>0</v>
      </c>
      <c r="I361" s="261" t="n">
        <v>1</v>
      </c>
      <c r="J361" s="361" t="n">
        <v>1</v>
      </c>
      <c r="K361" s="262" t="n">
        <v>60</v>
      </c>
      <c r="L361" s="262" t="n">
        <v>50</v>
      </c>
      <c r="M361" s="262" t="n">
        <v>40</v>
      </c>
      <c r="N361" s="262" t="n">
        <v>85</v>
      </c>
      <c r="O361" s="262" t="n">
        <v>75</v>
      </c>
      <c r="P361" s="361" t="n">
        <v>95</v>
      </c>
      <c r="Q361" s="261" t="s">
        <v>156</v>
      </c>
      <c r="R361" s="261"/>
      <c r="S361" s="363" t="n">
        <f aca="false" t="array" ref="S361:S361">IF(COUNTIF('0.3.0 GO Calculation Values'!$J$2:$J$99,C361),(INDEX('0.3.0 GO Calculation Values'!$K$2:$K$99,MATCH(C361,'0.3.0 GO Calculation Values'!$J$2:$J$99,0))),1)</f>
        <v>1</v>
      </c>
      <c r="T361" s="262" t="n">
        <f aca="false">ROUND(ROUND(2*((7/8)*MAX(L361,N361)+(1/8)*MIN(L361,N361)),0)*(1+(P361-75)/500),0)</f>
        <v>167</v>
      </c>
      <c r="U361" s="262" t="n">
        <f aca="false">ROUND(ROUND(2*((5/8)*MAX(M361,O361)+(3/8)*MIN(M361,O361)),0)*(1+(P361-75)/500),0)</f>
        <v>129</v>
      </c>
      <c r="V361" s="361" t="n">
        <f aca="false">ROUNDDOWN(K361*1.75+50,0)</f>
        <v>155</v>
      </c>
      <c r="W361" s="261" t="n">
        <v>1</v>
      </c>
      <c r="X361" s="261" t="s">
        <v>60</v>
      </c>
      <c r="Y361" s="364" t="s">
        <v>1024</v>
      </c>
      <c r="Z361" s="364" t="n">
        <v>3</v>
      </c>
      <c r="AA361" s="364"/>
      <c r="AB361" s="365" t="s">
        <v>60</v>
      </c>
      <c r="AC361" s="364"/>
      <c r="AD361" s="364" t="n">
        <v>0</v>
      </c>
      <c r="AE361" s="366"/>
      <c r="AF361" s="364" t="s">
        <v>1025</v>
      </c>
      <c r="AG361" s="364" t="s">
        <v>1025</v>
      </c>
      <c r="AH361" s="366" t="s">
        <v>1025</v>
      </c>
    </row>
    <row r="362" customFormat="false" ht="15.75" hidden="false" customHeight="false" outlineLevel="0" collapsed="false">
      <c r="A362" s="262" t="n">
        <v>312</v>
      </c>
      <c r="B362" s="361" t="n">
        <v>360</v>
      </c>
      <c r="C362" s="261" t="s">
        <v>1026</v>
      </c>
      <c r="D362" s="261" t="s">
        <v>60</v>
      </c>
      <c r="E362" s="362" t="s">
        <v>1026</v>
      </c>
      <c r="F362" s="261" t="s">
        <v>879</v>
      </c>
      <c r="G362" s="261" t="s">
        <v>144</v>
      </c>
      <c r="H362" s="261" t="n">
        <v>0</v>
      </c>
      <c r="I362" s="261" t="n">
        <v>1</v>
      </c>
      <c r="J362" s="361" t="n">
        <v>1</v>
      </c>
      <c r="K362" s="262" t="n">
        <v>60</v>
      </c>
      <c r="L362" s="262" t="n">
        <v>40</v>
      </c>
      <c r="M362" s="262" t="n">
        <v>50</v>
      </c>
      <c r="N362" s="262" t="n">
        <v>75</v>
      </c>
      <c r="O362" s="262" t="n">
        <v>85</v>
      </c>
      <c r="P362" s="361" t="n">
        <v>95</v>
      </c>
      <c r="Q362" s="261" t="s">
        <v>156</v>
      </c>
      <c r="R362" s="261"/>
      <c r="S362" s="363" t="n">
        <f aca="false" t="array" ref="S362:S362">IF(COUNTIF('0.3.0 GO Calculation Values'!$J$2:$J$99,C362),(INDEX('0.3.0 GO Calculation Values'!$K$2:$K$99,MATCH(C362,'0.3.0 GO Calculation Values'!$J$2:$J$99,0))),1)</f>
        <v>1</v>
      </c>
      <c r="T362" s="262" t="n">
        <f aca="false">ROUND(ROUND(2*((7/8)*MAX(L362,N362)+(1/8)*MIN(L362,N362)),0)*(1+(P362-75)/500),0)</f>
        <v>147</v>
      </c>
      <c r="U362" s="262" t="n">
        <f aca="false">ROUND(ROUND(2*((5/8)*MAX(M362,O362)+(3/8)*MIN(M362,O362)),0)*(1+(P362-75)/500),0)</f>
        <v>150</v>
      </c>
      <c r="V362" s="361" t="n">
        <f aca="false">ROUNDDOWN(K362*1.75+50,0)</f>
        <v>155</v>
      </c>
      <c r="W362" s="261" t="n">
        <v>1</v>
      </c>
      <c r="X362" s="261" t="s">
        <v>60</v>
      </c>
      <c r="Y362" s="364" t="s">
        <v>1026</v>
      </c>
      <c r="Z362" s="364" t="n">
        <v>3</v>
      </c>
      <c r="AA362" s="364"/>
      <c r="AB362" s="365" t="s">
        <v>60</v>
      </c>
      <c r="AC362" s="364"/>
      <c r="AD362" s="364" t="n">
        <v>0</v>
      </c>
      <c r="AE362" s="366"/>
      <c r="AF362" s="364" t="s">
        <v>1027</v>
      </c>
      <c r="AG362" s="364" t="s">
        <v>1027</v>
      </c>
      <c r="AH362" s="366" t="s">
        <v>1027</v>
      </c>
    </row>
    <row r="363" customFormat="false" ht="15.75" hidden="false" customHeight="false" outlineLevel="0" collapsed="false">
      <c r="A363" s="262" t="n">
        <v>313</v>
      </c>
      <c r="B363" s="361" t="n">
        <v>361</v>
      </c>
      <c r="C363" s="261" t="s">
        <v>1028</v>
      </c>
      <c r="D363" s="261" t="s">
        <v>60</v>
      </c>
      <c r="E363" s="362" t="s">
        <v>1028</v>
      </c>
      <c r="F363" s="261" t="s">
        <v>879</v>
      </c>
      <c r="G363" s="261" t="s">
        <v>144</v>
      </c>
      <c r="H363" s="261" t="n">
        <v>0</v>
      </c>
      <c r="I363" s="261" t="n">
        <v>1</v>
      </c>
      <c r="J363" s="361" t="n">
        <v>1</v>
      </c>
      <c r="K363" s="262" t="n">
        <v>65</v>
      </c>
      <c r="L363" s="262" t="n">
        <v>73</v>
      </c>
      <c r="M363" s="262" t="n">
        <v>75</v>
      </c>
      <c r="N363" s="262" t="n">
        <v>47</v>
      </c>
      <c r="O363" s="262" t="n">
        <v>85</v>
      </c>
      <c r="P363" s="361" t="n">
        <v>85</v>
      </c>
      <c r="Q363" s="261" t="s">
        <v>150</v>
      </c>
      <c r="R363" s="261"/>
      <c r="S363" s="363" t="n">
        <f aca="false" t="array" ref="S363:S363">IF(COUNTIF('0.3.0 GO Calculation Values'!$J$2:$J$99,C363),(INDEX('0.3.0 GO Calculation Values'!$K$2:$K$99,MATCH(C363,'0.3.0 GO Calculation Values'!$J$2:$J$99,0))),1)</f>
        <v>1</v>
      </c>
      <c r="T363" s="262" t="n">
        <f aca="false">ROUND(ROUND(2*((7/8)*MAX(L363,N363)+(1/8)*MIN(L363,N363)),0)*(1+(P363-75)/500),0)</f>
        <v>143</v>
      </c>
      <c r="U363" s="262" t="n">
        <f aca="false">ROUND(ROUND(2*((5/8)*MAX(M363,O363)+(3/8)*MIN(M363,O363)),0)*(1+(P363-75)/500),0)</f>
        <v>166</v>
      </c>
      <c r="V363" s="361" t="n">
        <f aca="false">ROUNDDOWN(K363*1.75+50,0)</f>
        <v>163</v>
      </c>
      <c r="W363" s="261" t="n">
        <v>1</v>
      </c>
      <c r="X363" s="261" t="s">
        <v>60</v>
      </c>
      <c r="Y363" s="364" t="s">
        <v>1028</v>
      </c>
      <c r="Z363" s="364" t="n">
        <v>3</v>
      </c>
      <c r="AA363" s="364"/>
      <c r="AB363" s="365" t="s">
        <v>60</v>
      </c>
      <c r="AC363" s="364"/>
      <c r="AD363" s="364" t="n">
        <v>0</v>
      </c>
      <c r="AE363" s="366"/>
      <c r="AF363" s="364" t="s">
        <v>1029</v>
      </c>
      <c r="AG363" s="364" t="s">
        <v>1029</v>
      </c>
      <c r="AH363" s="366" t="s">
        <v>1029</v>
      </c>
    </row>
    <row r="364" customFormat="false" ht="15.75" hidden="false" customHeight="false" outlineLevel="0" collapsed="false">
      <c r="A364" s="262" t="n">
        <v>314</v>
      </c>
      <c r="B364" s="361" t="n">
        <v>362</v>
      </c>
      <c r="C364" s="261" t="s">
        <v>1030</v>
      </c>
      <c r="D364" s="261" t="s">
        <v>60</v>
      </c>
      <c r="E364" s="362" t="s">
        <v>1030</v>
      </c>
      <c r="F364" s="261" t="s">
        <v>879</v>
      </c>
      <c r="G364" s="261" t="s">
        <v>144</v>
      </c>
      <c r="H364" s="261" t="n">
        <v>0</v>
      </c>
      <c r="I364" s="261" t="n">
        <v>1</v>
      </c>
      <c r="J364" s="361" t="n">
        <v>1</v>
      </c>
      <c r="K364" s="262" t="n">
        <v>65</v>
      </c>
      <c r="L364" s="262" t="n">
        <v>47</v>
      </c>
      <c r="M364" s="262" t="n">
        <v>75</v>
      </c>
      <c r="N364" s="262" t="n">
        <v>73</v>
      </c>
      <c r="O364" s="262" t="n">
        <v>85</v>
      </c>
      <c r="P364" s="361" t="n">
        <v>85</v>
      </c>
      <c r="Q364" s="261" t="s">
        <v>150</v>
      </c>
      <c r="R364" s="261"/>
      <c r="S364" s="363" t="n">
        <f aca="false" t="array" ref="S364:S364">IF(COUNTIF('0.3.0 GO Calculation Values'!$J$2:$J$99,C364),(INDEX('0.3.0 GO Calculation Values'!$K$2:$K$99,MATCH(C364,'0.3.0 GO Calculation Values'!$J$2:$J$99,0))),1)</f>
        <v>1</v>
      </c>
      <c r="T364" s="262" t="n">
        <f aca="false">ROUND(ROUND(2*((7/8)*MAX(L364,N364)+(1/8)*MIN(L364,N364)),0)*(1+(P364-75)/500),0)</f>
        <v>143</v>
      </c>
      <c r="U364" s="262" t="n">
        <f aca="false">ROUND(ROUND(2*((5/8)*MAX(M364,O364)+(3/8)*MIN(M364,O364)),0)*(1+(P364-75)/500),0)</f>
        <v>166</v>
      </c>
      <c r="V364" s="361" t="n">
        <f aca="false">ROUNDDOWN(K364*1.75+50,0)</f>
        <v>163</v>
      </c>
      <c r="W364" s="261" t="n">
        <v>1</v>
      </c>
      <c r="X364" s="261" t="s">
        <v>60</v>
      </c>
      <c r="Y364" s="364" t="s">
        <v>1030</v>
      </c>
      <c r="Z364" s="364" t="n">
        <v>3</v>
      </c>
      <c r="AA364" s="364"/>
      <c r="AB364" s="365" t="s">
        <v>60</v>
      </c>
      <c r="AC364" s="364"/>
      <c r="AD364" s="364" t="n">
        <v>0</v>
      </c>
      <c r="AE364" s="366"/>
      <c r="AF364" s="364" t="s">
        <v>1031</v>
      </c>
      <c r="AG364" s="364" t="s">
        <v>1031</v>
      </c>
      <c r="AH364" s="366" t="s">
        <v>1031</v>
      </c>
    </row>
    <row r="365" customFormat="false" ht="15.75" hidden="false" customHeight="false" outlineLevel="0" collapsed="false">
      <c r="A365" s="262" t="n">
        <v>315</v>
      </c>
      <c r="B365" s="361" t="n">
        <v>363</v>
      </c>
      <c r="C365" s="261" t="s">
        <v>1032</v>
      </c>
      <c r="D365" s="261" t="s">
        <v>60</v>
      </c>
      <c r="E365" s="362" t="s">
        <v>1032</v>
      </c>
      <c r="F365" s="261" t="s">
        <v>879</v>
      </c>
      <c r="G365" s="261" t="s">
        <v>144</v>
      </c>
      <c r="H365" s="261" t="n">
        <v>0</v>
      </c>
      <c r="I365" s="261" t="n">
        <v>2</v>
      </c>
      <c r="J365" s="361" t="n">
        <v>1</v>
      </c>
      <c r="K365" s="262" t="n">
        <v>50</v>
      </c>
      <c r="L365" s="262" t="n">
        <v>60</v>
      </c>
      <c r="M365" s="262" t="n">
        <v>45</v>
      </c>
      <c r="N365" s="262" t="n">
        <v>100</v>
      </c>
      <c r="O365" s="262" t="n">
        <v>80</v>
      </c>
      <c r="P365" s="361" t="n">
        <v>65</v>
      </c>
      <c r="Q365" s="261" t="s">
        <v>155</v>
      </c>
      <c r="R365" s="261" t="s">
        <v>147</v>
      </c>
      <c r="S365" s="363" t="n">
        <f aca="false" t="array" ref="S365:S365">IF(COUNTIF('0.3.0 GO Calculation Values'!$J$2:$J$99,C365),(INDEX('0.3.0 GO Calculation Values'!$K$2:$K$99,MATCH(C365,'0.3.0 GO Calculation Values'!$J$2:$J$99,0))),1)</f>
        <v>1</v>
      </c>
      <c r="T365" s="262" t="n">
        <f aca="false">ROUND(ROUND(2*((7/8)*MAX(L365,N365)+(1/8)*MIN(L365,N365)),0)*(1+(P365-75)/500),0)</f>
        <v>186</v>
      </c>
      <c r="U365" s="262" t="n">
        <f aca="false">ROUND(ROUND(2*((5/8)*MAX(M365,O365)+(3/8)*MIN(M365,O365)),0)*(1+(P365-75)/500),0)</f>
        <v>131</v>
      </c>
      <c r="V365" s="361" t="n">
        <f aca="false">ROUNDDOWN(K365*1.75+50,0)</f>
        <v>137</v>
      </c>
      <c r="W365" s="261" t="n">
        <v>1</v>
      </c>
      <c r="X365" s="261" t="s">
        <v>1033</v>
      </c>
      <c r="Y365" s="364" t="s">
        <v>1032</v>
      </c>
      <c r="Z365" s="364" t="n">
        <v>3</v>
      </c>
      <c r="AA365" s="364"/>
      <c r="AB365" s="365" t="s">
        <v>60</v>
      </c>
      <c r="AC365" s="364"/>
      <c r="AD365" s="364" t="n">
        <v>0</v>
      </c>
      <c r="AE365" s="366"/>
      <c r="AF365" s="364" t="s">
        <v>1034</v>
      </c>
      <c r="AG365" s="364" t="s">
        <v>1034</v>
      </c>
      <c r="AH365" s="366" t="s">
        <v>1034</v>
      </c>
    </row>
    <row r="366" customFormat="false" ht="15.75" hidden="false" customHeight="false" outlineLevel="0" collapsed="false">
      <c r="A366" s="262" t="n">
        <v>316</v>
      </c>
      <c r="B366" s="361" t="n">
        <v>364</v>
      </c>
      <c r="C366" s="261" t="s">
        <v>1035</v>
      </c>
      <c r="D366" s="261" t="s">
        <v>60</v>
      </c>
      <c r="E366" s="362" t="s">
        <v>1035</v>
      </c>
      <c r="F366" s="261" t="s">
        <v>879</v>
      </c>
      <c r="G366" s="261" t="s">
        <v>144</v>
      </c>
      <c r="H366" s="261" t="n">
        <v>0</v>
      </c>
      <c r="I366" s="261" t="n">
        <v>1</v>
      </c>
      <c r="J366" s="361" t="n">
        <v>0</v>
      </c>
      <c r="K366" s="262" t="n">
        <v>70</v>
      </c>
      <c r="L366" s="262" t="n">
        <v>43</v>
      </c>
      <c r="M366" s="262" t="n">
        <v>53</v>
      </c>
      <c r="N366" s="262" t="n">
        <v>43</v>
      </c>
      <c r="O366" s="262" t="n">
        <v>53</v>
      </c>
      <c r="P366" s="361" t="n">
        <v>40</v>
      </c>
      <c r="Q366" s="261" t="s">
        <v>147</v>
      </c>
      <c r="R366" s="261"/>
      <c r="S366" s="363" t="n">
        <f aca="false" t="array" ref="S366:S366">IF(COUNTIF('0.3.0 GO Calculation Values'!$J$2:$J$99,C366),(INDEX('0.3.0 GO Calculation Values'!$K$2:$K$99,MATCH(C366,'0.3.0 GO Calculation Values'!$J$2:$J$99,0))),1)</f>
        <v>1</v>
      </c>
      <c r="T366" s="262" t="n">
        <f aca="false">ROUND(ROUND(2*((7/8)*MAX(L366,N366)+(1/8)*MIN(L366,N366)),0)*(1+(P366-75)/500),0)</f>
        <v>80</v>
      </c>
      <c r="U366" s="262" t="n">
        <f aca="false">ROUND(ROUND(2*((5/8)*MAX(M366,O366)+(3/8)*MIN(M366,O366)),0)*(1+(P366-75)/500),0)</f>
        <v>99</v>
      </c>
      <c r="V366" s="361" t="n">
        <f aca="false">ROUNDDOWN(K366*1.75+50,0)</f>
        <v>172</v>
      </c>
      <c r="W366" s="261" t="n">
        <v>1</v>
      </c>
      <c r="X366" s="261" t="s">
        <v>60</v>
      </c>
      <c r="Y366" s="364" t="s">
        <v>1035</v>
      </c>
      <c r="Z366" s="364" t="n">
        <v>1</v>
      </c>
      <c r="AA366" s="364"/>
      <c r="AB366" s="365" t="n">
        <v>2</v>
      </c>
      <c r="AC366" s="364"/>
      <c r="AD366" s="364" t="n">
        <v>0</v>
      </c>
      <c r="AE366" s="366"/>
      <c r="AF366" s="364" t="s">
        <v>1036</v>
      </c>
      <c r="AG366" s="364" t="s">
        <v>1036</v>
      </c>
      <c r="AH366" s="366" t="s">
        <v>1036</v>
      </c>
    </row>
    <row r="367" customFormat="false" ht="15.75" hidden="false" customHeight="false" outlineLevel="0" collapsed="false">
      <c r="A367" s="262" t="n">
        <v>317</v>
      </c>
      <c r="B367" s="361" t="n">
        <v>365</v>
      </c>
      <c r="C367" s="261" t="s">
        <v>1037</v>
      </c>
      <c r="D367" s="261" t="s">
        <v>60</v>
      </c>
      <c r="E367" s="362" t="s">
        <v>1037</v>
      </c>
      <c r="F367" s="261" t="s">
        <v>879</v>
      </c>
      <c r="G367" s="261" t="s">
        <v>144</v>
      </c>
      <c r="H367" s="261" t="n">
        <v>0</v>
      </c>
      <c r="I367" s="261" t="n">
        <v>2</v>
      </c>
      <c r="J367" s="361" t="n">
        <v>1</v>
      </c>
      <c r="K367" s="262" t="n">
        <v>100</v>
      </c>
      <c r="L367" s="262" t="n">
        <v>73</v>
      </c>
      <c r="M367" s="262" t="n">
        <v>83</v>
      </c>
      <c r="N367" s="262" t="n">
        <v>73</v>
      </c>
      <c r="O367" s="262" t="n">
        <v>83</v>
      </c>
      <c r="P367" s="361" t="n">
        <v>55</v>
      </c>
      <c r="Q367" s="261" t="s">
        <v>147</v>
      </c>
      <c r="R367" s="261"/>
      <c r="S367" s="363" t="n">
        <f aca="false" t="array" ref="S367:S367">IF(COUNTIF('0.3.0 GO Calculation Values'!$J$2:$J$99,C367),(INDEX('0.3.0 GO Calculation Values'!$K$2:$K$99,MATCH(C367,'0.3.0 GO Calculation Values'!$J$2:$J$99,0))),1)</f>
        <v>1</v>
      </c>
      <c r="T367" s="262" t="n">
        <f aca="false">ROUND(ROUND(2*((7/8)*MAX(L367,N367)+(1/8)*MIN(L367,N367)),0)*(1+(P367-75)/500),0)</f>
        <v>140</v>
      </c>
      <c r="U367" s="262" t="n">
        <f aca="false">ROUND(ROUND(2*((5/8)*MAX(M367,O367)+(3/8)*MIN(M367,O367)),0)*(1+(P367-75)/500),0)</f>
        <v>159</v>
      </c>
      <c r="V367" s="361" t="n">
        <f aca="false">ROUNDDOWN(K367*1.75+50,0)</f>
        <v>225</v>
      </c>
      <c r="W367" s="261" t="n">
        <v>1</v>
      </c>
      <c r="X367" s="261" t="s">
        <v>1035</v>
      </c>
      <c r="Y367" s="364" t="s">
        <v>1035</v>
      </c>
      <c r="Z367" s="364" t="n">
        <v>1</v>
      </c>
      <c r="AA367" s="364"/>
      <c r="AB367" s="365" t="n">
        <v>2</v>
      </c>
      <c r="AC367" s="364"/>
      <c r="AD367" s="364" t="n">
        <v>50</v>
      </c>
      <c r="AE367" s="366"/>
      <c r="AF367" s="364" t="s">
        <v>1038</v>
      </c>
      <c r="AG367" s="364" t="s">
        <v>1038</v>
      </c>
      <c r="AH367" s="366" t="s">
        <v>1038</v>
      </c>
    </row>
    <row r="368" customFormat="false" ht="15.75" hidden="false" customHeight="false" outlineLevel="0" collapsed="false">
      <c r="A368" s="262" t="n">
        <v>318</v>
      </c>
      <c r="B368" s="361" t="n">
        <v>366</v>
      </c>
      <c r="C368" s="261" t="s">
        <v>1039</v>
      </c>
      <c r="D368" s="261" t="s">
        <v>60</v>
      </c>
      <c r="E368" s="362" t="s">
        <v>1039</v>
      </c>
      <c r="F368" s="261" t="s">
        <v>879</v>
      </c>
      <c r="G368" s="261" t="s">
        <v>144</v>
      </c>
      <c r="H368" s="261" t="n">
        <v>0</v>
      </c>
      <c r="I368" s="261" t="n">
        <v>1</v>
      </c>
      <c r="J368" s="361" t="n">
        <v>0</v>
      </c>
      <c r="K368" s="262" t="n">
        <v>45</v>
      </c>
      <c r="L368" s="262" t="n">
        <v>90</v>
      </c>
      <c r="M368" s="262" t="n">
        <v>20</v>
      </c>
      <c r="N368" s="262" t="n">
        <v>65</v>
      </c>
      <c r="O368" s="262" t="n">
        <v>20</v>
      </c>
      <c r="P368" s="361" t="n">
        <v>65</v>
      </c>
      <c r="Q368" s="261" t="s">
        <v>154</v>
      </c>
      <c r="R368" s="261" t="s">
        <v>160</v>
      </c>
      <c r="S368" s="363" t="n">
        <f aca="false" t="array" ref="S368:S368">IF(COUNTIF('0.3.0 GO Calculation Values'!$J$2:$J$99,C368),(INDEX('0.3.0 GO Calculation Values'!$K$2:$K$99,MATCH(C368,'0.3.0 GO Calculation Values'!$J$2:$J$99,0))),1)</f>
        <v>1</v>
      </c>
      <c r="T368" s="262" t="n">
        <f aca="false">ROUND(ROUND(2*((7/8)*MAX(L368,N368)+(1/8)*MIN(L368,N368)),0)*(1+(P368-75)/500),0)</f>
        <v>171</v>
      </c>
      <c r="U368" s="262" t="n">
        <f aca="false">ROUND(ROUND(2*((5/8)*MAX(M368,O368)+(3/8)*MIN(M368,O368)),0)*(1+(P368-75)/500),0)</f>
        <v>39</v>
      </c>
      <c r="V368" s="361" t="n">
        <f aca="false">ROUNDDOWN(K368*1.75+50,0)</f>
        <v>128</v>
      </c>
      <c r="W368" s="261" t="n">
        <v>1</v>
      </c>
      <c r="X368" s="261" t="s">
        <v>60</v>
      </c>
      <c r="Y368" s="364" t="s">
        <v>1039</v>
      </c>
      <c r="Z368" s="364" t="n">
        <v>3</v>
      </c>
      <c r="AA368" s="364"/>
      <c r="AB368" s="365" t="n">
        <v>5</v>
      </c>
      <c r="AC368" s="364"/>
      <c r="AD368" s="364" t="n">
        <v>0</v>
      </c>
      <c r="AE368" s="366"/>
      <c r="AF368" s="364" t="s">
        <v>1040</v>
      </c>
      <c r="AG368" s="364" t="s">
        <v>1040</v>
      </c>
      <c r="AH368" s="366" t="s">
        <v>1040</v>
      </c>
    </row>
    <row r="369" customFormat="false" ht="15.75" hidden="false" customHeight="false" outlineLevel="0" collapsed="false">
      <c r="A369" s="262" t="n">
        <v>319</v>
      </c>
      <c r="B369" s="361" t="n">
        <v>367</v>
      </c>
      <c r="C369" s="261" t="s">
        <v>1041</v>
      </c>
      <c r="D369" s="261" t="s">
        <v>7</v>
      </c>
      <c r="E369" s="367" t="s">
        <v>1041</v>
      </c>
      <c r="F369" s="261" t="s">
        <v>879</v>
      </c>
      <c r="G369" s="261" t="s">
        <v>144</v>
      </c>
      <c r="H369" s="261" t="n">
        <v>0</v>
      </c>
      <c r="I369" s="261" t="n">
        <v>2</v>
      </c>
      <c r="J369" s="361" t="n">
        <v>1</v>
      </c>
      <c r="K369" s="262" t="n">
        <v>70</v>
      </c>
      <c r="L369" s="262" t="n">
        <v>120</v>
      </c>
      <c r="M369" s="262" t="n">
        <v>40</v>
      </c>
      <c r="N369" s="262" t="n">
        <v>95</v>
      </c>
      <c r="O369" s="262" t="n">
        <v>40</v>
      </c>
      <c r="P369" s="361" t="n">
        <v>95</v>
      </c>
      <c r="Q369" s="261" t="s">
        <v>154</v>
      </c>
      <c r="R369" s="261" t="s">
        <v>160</v>
      </c>
      <c r="S369" s="363" t="n">
        <f aca="false" t="array" ref="S369:S369">IF(COUNTIF('0.3.0 GO Calculation Values'!$J$2:$J$99,C369),(INDEX('0.3.0 GO Calculation Values'!$K$2:$K$99,MATCH(C369,'0.3.0 GO Calculation Values'!$J$2:$J$99,0))),1)</f>
        <v>1</v>
      </c>
      <c r="T369" s="262" t="n">
        <f aca="false">ROUND(ROUND(2*((7/8)*MAX(L369,N369)+(1/8)*MIN(L369,N369)),0)*(1+(P369-75)/500),0)</f>
        <v>243</v>
      </c>
      <c r="U369" s="262" t="n">
        <f aca="false">ROUND(ROUND(2*((5/8)*MAX(M369,O369)+(3/8)*MIN(M369,O369)),0)*(1+(P369-75)/500),0)</f>
        <v>83</v>
      </c>
      <c r="V369" s="361" t="n">
        <f aca="false">ROUNDDOWN(K369*1.75+50,0)</f>
        <v>172</v>
      </c>
      <c r="W369" s="261" t="n">
        <v>1</v>
      </c>
      <c r="X369" s="261" t="s">
        <v>1039</v>
      </c>
      <c r="Y369" s="364" t="s">
        <v>1039</v>
      </c>
      <c r="Z369" s="364" t="n">
        <v>3</v>
      </c>
      <c r="AA369" s="364"/>
      <c r="AB369" s="365" t="n">
        <v>5</v>
      </c>
      <c r="AC369" s="364"/>
      <c r="AD369" s="364" t="n">
        <v>50</v>
      </c>
      <c r="AE369" s="366"/>
      <c r="AF369" s="364" t="s">
        <v>1042</v>
      </c>
      <c r="AG369" s="364" t="s">
        <v>1042</v>
      </c>
      <c r="AH369" s="366" t="s">
        <v>1042</v>
      </c>
    </row>
    <row r="370" customFormat="false" ht="15.75" hidden="false" customHeight="false" outlineLevel="0" collapsed="false">
      <c r="A370" s="262" t="n">
        <v>319</v>
      </c>
      <c r="B370" s="361" t="n">
        <v>368</v>
      </c>
      <c r="C370" s="261" t="s">
        <v>1041</v>
      </c>
      <c r="D370" s="261" t="s">
        <v>1043</v>
      </c>
      <c r="E370" s="358" t="s">
        <v>1044</v>
      </c>
      <c r="F370" s="261" t="s">
        <v>887</v>
      </c>
      <c r="G370" s="261" t="s">
        <v>144</v>
      </c>
      <c r="H370" s="261" t="n">
        <v>2</v>
      </c>
      <c r="I370" s="261" t="n">
        <v>3</v>
      </c>
      <c r="J370" s="361" t="n">
        <v>1</v>
      </c>
      <c r="K370" s="262" t="n">
        <v>70</v>
      </c>
      <c r="L370" s="262" t="n">
        <v>140</v>
      </c>
      <c r="M370" s="262" t="n">
        <v>70</v>
      </c>
      <c r="N370" s="262" t="n">
        <v>110</v>
      </c>
      <c r="O370" s="262" t="n">
        <v>65</v>
      </c>
      <c r="P370" s="361" t="n">
        <v>105</v>
      </c>
      <c r="Q370" s="261" t="s">
        <v>154</v>
      </c>
      <c r="R370" s="261" t="s">
        <v>160</v>
      </c>
      <c r="S370" s="363" t="n">
        <f aca="false" t="array" ref="S370:S370">IF(COUNTIF('0.3.0 GO Calculation Values'!$J$2:$J$99,C370),(INDEX('0.3.0 GO Calculation Values'!$K$2:$K$99,MATCH(C370,'0.3.0 GO Calculation Values'!$J$2:$J$99,0))),1)</f>
        <v>1</v>
      </c>
      <c r="T370" s="262" t="n">
        <f aca="false">ROUND(ROUND(2*((7/8)*MAX(L370,N370)+(1/8)*MIN(L370,N370)),0)*(1+(P370-75)/500),0)</f>
        <v>289</v>
      </c>
      <c r="U370" s="262" t="n">
        <f aca="false">ROUND(ROUND(2*((5/8)*MAX(M370,O370)+(3/8)*MIN(M370,O370)),0)*(1+(P370-75)/500),0)</f>
        <v>144</v>
      </c>
      <c r="V370" s="361" t="n">
        <f aca="false">ROUNDDOWN(K370*1.75+50,0)</f>
        <v>172</v>
      </c>
      <c r="W370" s="261" t="n">
        <v>0</v>
      </c>
      <c r="X370" s="261" t="s">
        <v>1041</v>
      </c>
      <c r="Y370" s="364" t="s">
        <v>1039</v>
      </c>
      <c r="Z370" s="364" t="n">
        <v>3</v>
      </c>
      <c r="AA370" s="364"/>
      <c r="AB370" s="365" t="n">
        <v>5</v>
      </c>
      <c r="AC370" s="364"/>
      <c r="AD370" s="364" t="n">
        <v>50</v>
      </c>
      <c r="AE370" s="366"/>
      <c r="AF370" s="364" t="s">
        <v>1045</v>
      </c>
      <c r="AG370" s="364" t="s">
        <v>1045</v>
      </c>
      <c r="AH370" s="366" t="s">
        <v>1045</v>
      </c>
    </row>
    <row r="371" customFormat="false" ht="15.75" hidden="false" customHeight="false" outlineLevel="0" collapsed="false">
      <c r="A371" s="262" t="n">
        <v>320</v>
      </c>
      <c r="B371" s="361" t="n">
        <v>369</v>
      </c>
      <c r="C371" s="261" t="s">
        <v>1046</v>
      </c>
      <c r="D371" s="261" t="s">
        <v>60</v>
      </c>
      <c r="E371" s="362" t="s">
        <v>1046</v>
      </c>
      <c r="F371" s="261" t="s">
        <v>879</v>
      </c>
      <c r="G371" s="261" t="s">
        <v>144</v>
      </c>
      <c r="H371" s="261" t="n">
        <v>0</v>
      </c>
      <c r="I371" s="261" t="n">
        <v>1</v>
      </c>
      <c r="J371" s="361" t="n">
        <v>0</v>
      </c>
      <c r="K371" s="262" t="n">
        <v>130</v>
      </c>
      <c r="L371" s="262" t="n">
        <v>70</v>
      </c>
      <c r="M371" s="262" t="n">
        <v>35</v>
      </c>
      <c r="N371" s="262" t="n">
        <v>70</v>
      </c>
      <c r="O371" s="262" t="n">
        <v>35</v>
      </c>
      <c r="P371" s="361" t="n">
        <v>60</v>
      </c>
      <c r="Q371" s="261" t="s">
        <v>154</v>
      </c>
      <c r="R371" s="261"/>
      <c r="S371" s="363" t="n">
        <f aca="false" t="array" ref="S371:S371">IF(COUNTIF('0.3.0 GO Calculation Values'!$J$2:$J$99,C371),(INDEX('0.3.0 GO Calculation Values'!$K$2:$K$99,MATCH(C371,'0.3.0 GO Calculation Values'!$J$2:$J$99,0))),1)</f>
        <v>1</v>
      </c>
      <c r="T371" s="262" t="n">
        <f aca="false">ROUND(ROUND(2*((7/8)*MAX(L371,N371)+(1/8)*MIN(L371,N371)),0)*(1+(P371-75)/500),0)</f>
        <v>136</v>
      </c>
      <c r="U371" s="262" t="n">
        <f aca="false">ROUND(ROUND(2*((5/8)*MAX(M371,O371)+(3/8)*MIN(M371,O371)),0)*(1+(P371-75)/500),0)</f>
        <v>68</v>
      </c>
      <c r="V371" s="361" t="n">
        <f aca="false">ROUNDDOWN(K371*1.75+50,0)</f>
        <v>277</v>
      </c>
      <c r="W371" s="261" t="n">
        <v>1</v>
      </c>
      <c r="X371" s="261" t="s">
        <v>60</v>
      </c>
      <c r="Y371" s="364" t="s">
        <v>1046</v>
      </c>
      <c r="Z371" s="364" t="n">
        <v>1</v>
      </c>
      <c r="AA371" s="364"/>
      <c r="AB371" s="365" t="n">
        <v>2</v>
      </c>
      <c r="AC371" s="364"/>
      <c r="AD371" s="364" t="n">
        <v>0</v>
      </c>
      <c r="AE371" s="366"/>
      <c r="AF371" s="364" t="s">
        <v>1047</v>
      </c>
      <c r="AG371" s="364" t="s">
        <v>1047</v>
      </c>
      <c r="AH371" s="366" t="s">
        <v>1047</v>
      </c>
    </row>
    <row r="372" customFormat="false" ht="15.75" hidden="false" customHeight="false" outlineLevel="0" collapsed="false">
      <c r="A372" s="262" t="n">
        <v>321</v>
      </c>
      <c r="B372" s="361" t="n">
        <v>370</v>
      </c>
      <c r="C372" s="261" t="s">
        <v>1048</v>
      </c>
      <c r="D372" s="261" t="s">
        <v>60</v>
      </c>
      <c r="E372" s="362" t="s">
        <v>1048</v>
      </c>
      <c r="F372" s="261" t="s">
        <v>879</v>
      </c>
      <c r="G372" s="261" t="s">
        <v>144</v>
      </c>
      <c r="H372" s="261" t="n">
        <v>0</v>
      </c>
      <c r="I372" s="261" t="n">
        <v>2</v>
      </c>
      <c r="J372" s="361" t="n">
        <v>1</v>
      </c>
      <c r="K372" s="262" t="n">
        <v>170</v>
      </c>
      <c r="L372" s="262" t="n">
        <v>90</v>
      </c>
      <c r="M372" s="262" t="n">
        <v>45</v>
      </c>
      <c r="N372" s="262" t="n">
        <v>90</v>
      </c>
      <c r="O372" s="262" t="n">
        <v>45</v>
      </c>
      <c r="P372" s="361" t="n">
        <v>60</v>
      </c>
      <c r="Q372" s="261" t="s">
        <v>154</v>
      </c>
      <c r="R372" s="261"/>
      <c r="S372" s="363" t="n">
        <f aca="false" t="array" ref="S372:S372">IF(COUNTIF('0.3.0 GO Calculation Values'!$J$2:$J$99,C372),(INDEX('0.3.0 GO Calculation Values'!$K$2:$K$99,MATCH(C372,'0.3.0 GO Calculation Values'!$J$2:$J$99,0))),1)</f>
        <v>1</v>
      </c>
      <c r="T372" s="262" t="n">
        <f aca="false">ROUND(ROUND(2*((7/8)*MAX(L372,N372)+(1/8)*MIN(L372,N372)),0)*(1+(P372-75)/500),0)</f>
        <v>175</v>
      </c>
      <c r="U372" s="262" t="n">
        <f aca="false">ROUND(ROUND(2*((5/8)*MAX(M372,O372)+(3/8)*MIN(M372,O372)),0)*(1+(P372-75)/500),0)</f>
        <v>87</v>
      </c>
      <c r="V372" s="361" t="n">
        <f aca="false">ROUNDDOWN(K372*1.75+50,0)</f>
        <v>347</v>
      </c>
      <c r="W372" s="261" t="n">
        <v>1</v>
      </c>
      <c r="X372" s="261" t="s">
        <v>1046</v>
      </c>
      <c r="Y372" s="364" t="s">
        <v>1046</v>
      </c>
      <c r="Z372" s="364" t="n">
        <v>1</v>
      </c>
      <c r="AA372" s="364"/>
      <c r="AB372" s="365" t="n">
        <v>2</v>
      </c>
      <c r="AC372" s="364"/>
      <c r="AD372" s="364" t="n">
        <v>400</v>
      </c>
      <c r="AE372" s="366"/>
      <c r="AF372" s="364" t="s">
        <v>1049</v>
      </c>
      <c r="AG372" s="364" t="s">
        <v>1049</v>
      </c>
      <c r="AH372" s="366" t="s">
        <v>1049</v>
      </c>
    </row>
    <row r="373" customFormat="false" ht="15.75" hidden="false" customHeight="false" outlineLevel="0" collapsed="false">
      <c r="A373" s="262" t="n">
        <v>322</v>
      </c>
      <c r="B373" s="361" t="n">
        <v>371</v>
      </c>
      <c r="C373" s="261" t="s">
        <v>1050</v>
      </c>
      <c r="D373" s="261" t="s">
        <v>60</v>
      </c>
      <c r="E373" s="362" t="s">
        <v>1050</v>
      </c>
      <c r="F373" s="261" t="s">
        <v>879</v>
      </c>
      <c r="G373" s="261" t="s">
        <v>144</v>
      </c>
      <c r="H373" s="261" t="n">
        <v>0</v>
      </c>
      <c r="I373" s="261" t="n">
        <v>1</v>
      </c>
      <c r="J373" s="361" t="n">
        <v>0</v>
      </c>
      <c r="K373" s="262" t="n">
        <v>60</v>
      </c>
      <c r="L373" s="262" t="n">
        <v>60</v>
      </c>
      <c r="M373" s="262" t="n">
        <v>40</v>
      </c>
      <c r="N373" s="262" t="n">
        <v>65</v>
      </c>
      <c r="O373" s="262" t="n">
        <v>45</v>
      </c>
      <c r="P373" s="361" t="n">
        <v>35</v>
      </c>
      <c r="Q373" s="261" t="s">
        <v>153</v>
      </c>
      <c r="R373" s="261" t="s">
        <v>148</v>
      </c>
      <c r="S373" s="363" t="n">
        <f aca="false" t="array" ref="S373:S373">IF(COUNTIF('0.3.0 GO Calculation Values'!$J$2:$J$99,C373),(INDEX('0.3.0 GO Calculation Values'!$K$2:$K$99,MATCH(C373,'0.3.0 GO Calculation Values'!$J$2:$J$99,0))),1)</f>
        <v>1</v>
      </c>
      <c r="T373" s="262" t="n">
        <f aca="false">ROUND(ROUND(2*((7/8)*MAX(L373,N373)+(1/8)*MIN(L373,N373)),0)*(1+(P373-75)/500),0)</f>
        <v>119</v>
      </c>
      <c r="U373" s="262" t="n">
        <f aca="false">ROUND(ROUND(2*((5/8)*MAX(M373,O373)+(3/8)*MIN(M373,O373)),0)*(1+(P373-75)/500),0)</f>
        <v>79</v>
      </c>
      <c r="V373" s="361" t="n">
        <f aca="false">ROUNDDOWN(K373*1.75+50,0)</f>
        <v>155</v>
      </c>
      <c r="W373" s="261" t="n">
        <v>1</v>
      </c>
      <c r="X373" s="261" t="s">
        <v>60</v>
      </c>
      <c r="Y373" s="364" t="s">
        <v>1050</v>
      </c>
      <c r="Z373" s="364" t="n">
        <v>3</v>
      </c>
      <c r="AA373" s="364"/>
      <c r="AB373" s="365" t="n">
        <v>5</v>
      </c>
      <c r="AC373" s="364"/>
      <c r="AD373" s="364" t="n">
        <v>0</v>
      </c>
      <c r="AE373" s="366"/>
      <c r="AF373" s="364" t="s">
        <v>1051</v>
      </c>
      <c r="AG373" s="364" t="s">
        <v>1051</v>
      </c>
      <c r="AH373" s="366" t="s">
        <v>1051</v>
      </c>
    </row>
    <row r="374" customFormat="false" ht="15.75" hidden="false" customHeight="false" outlineLevel="0" collapsed="false">
      <c r="A374" s="262" t="n">
        <v>323</v>
      </c>
      <c r="B374" s="361" t="n">
        <v>372</v>
      </c>
      <c r="C374" s="261" t="s">
        <v>1052</v>
      </c>
      <c r="D374" s="261" t="s">
        <v>7</v>
      </c>
      <c r="E374" s="367" t="s">
        <v>1052</v>
      </c>
      <c r="F374" s="261" t="s">
        <v>879</v>
      </c>
      <c r="G374" s="261" t="s">
        <v>144</v>
      </c>
      <c r="H374" s="261" t="n">
        <v>0</v>
      </c>
      <c r="I374" s="261" t="n">
        <v>2</v>
      </c>
      <c r="J374" s="361" t="n">
        <v>1</v>
      </c>
      <c r="K374" s="262" t="n">
        <v>70</v>
      </c>
      <c r="L374" s="262" t="n">
        <v>100</v>
      </c>
      <c r="M374" s="262" t="n">
        <v>70</v>
      </c>
      <c r="N374" s="262" t="n">
        <v>105</v>
      </c>
      <c r="O374" s="262" t="n">
        <v>75</v>
      </c>
      <c r="P374" s="361" t="n">
        <v>40</v>
      </c>
      <c r="Q374" s="261" t="s">
        <v>153</v>
      </c>
      <c r="R374" s="261" t="s">
        <v>148</v>
      </c>
      <c r="S374" s="363" t="n">
        <f aca="false" t="array" ref="S374:S374">IF(COUNTIF('0.3.0 GO Calculation Values'!$J$2:$J$99,C374),(INDEX('0.3.0 GO Calculation Values'!$K$2:$K$99,MATCH(C374,'0.3.0 GO Calculation Values'!$J$2:$J$99,0))),1)</f>
        <v>1</v>
      </c>
      <c r="T374" s="262" t="n">
        <f aca="false">ROUND(ROUND(2*((7/8)*MAX(L374,N374)+(1/8)*MIN(L374,N374)),0)*(1+(P374-75)/500),0)</f>
        <v>194</v>
      </c>
      <c r="U374" s="262" t="n">
        <f aca="false">ROUND(ROUND(2*((5/8)*MAX(M374,O374)+(3/8)*MIN(M374,O374)),0)*(1+(P374-75)/500),0)</f>
        <v>136</v>
      </c>
      <c r="V374" s="361" t="n">
        <f aca="false">ROUNDDOWN(K374*1.75+50,0)</f>
        <v>172</v>
      </c>
      <c r="W374" s="261" t="n">
        <v>1</v>
      </c>
      <c r="X374" s="261" t="s">
        <v>1050</v>
      </c>
      <c r="Y374" s="364" t="s">
        <v>1050</v>
      </c>
      <c r="Z374" s="364" t="n">
        <v>3</v>
      </c>
      <c r="AA374" s="364"/>
      <c r="AB374" s="365" t="n">
        <v>5</v>
      </c>
      <c r="AC374" s="364"/>
      <c r="AD374" s="364" t="n">
        <v>50</v>
      </c>
      <c r="AE374" s="366"/>
      <c r="AF374" s="364" t="s">
        <v>1053</v>
      </c>
      <c r="AG374" s="364" t="s">
        <v>1053</v>
      </c>
      <c r="AH374" s="366" t="s">
        <v>1053</v>
      </c>
    </row>
    <row r="375" customFormat="false" ht="15.75" hidden="false" customHeight="false" outlineLevel="0" collapsed="false">
      <c r="A375" s="262" t="n">
        <v>323</v>
      </c>
      <c r="B375" s="361" t="n">
        <v>373</v>
      </c>
      <c r="C375" s="261" t="s">
        <v>1052</v>
      </c>
      <c r="D375" s="261" t="s">
        <v>1054</v>
      </c>
      <c r="E375" s="358" t="s">
        <v>1055</v>
      </c>
      <c r="F375" s="261" t="s">
        <v>887</v>
      </c>
      <c r="G375" s="261" t="s">
        <v>144</v>
      </c>
      <c r="H375" s="261" t="n">
        <v>2</v>
      </c>
      <c r="I375" s="261" t="n">
        <v>3</v>
      </c>
      <c r="J375" s="361" t="n">
        <v>1</v>
      </c>
      <c r="K375" s="262" t="n">
        <v>70</v>
      </c>
      <c r="L375" s="262" t="n">
        <v>120</v>
      </c>
      <c r="M375" s="262" t="n">
        <v>100</v>
      </c>
      <c r="N375" s="262" t="n">
        <v>145</v>
      </c>
      <c r="O375" s="262" t="n">
        <v>105</v>
      </c>
      <c r="P375" s="361" t="n">
        <v>20</v>
      </c>
      <c r="Q375" s="261" t="s">
        <v>153</v>
      </c>
      <c r="R375" s="261" t="s">
        <v>148</v>
      </c>
      <c r="S375" s="363" t="n">
        <f aca="false" t="array" ref="S375:S375">IF(COUNTIF('0.3.0 GO Calculation Values'!$J$2:$J$99,C375),(INDEX('0.3.0 GO Calculation Values'!$K$2:$K$99,MATCH(C375,'0.3.0 GO Calculation Values'!$J$2:$J$99,0))),1)</f>
        <v>1</v>
      </c>
      <c r="T375" s="262" t="n">
        <f aca="false">ROUND(ROUND(2*((7/8)*MAX(L375,N375)+(1/8)*MIN(L375,N375)),0)*(1+(P375-75)/500),0)</f>
        <v>253</v>
      </c>
      <c r="U375" s="262" t="n">
        <f aca="false">ROUND(ROUND(2*((5/8)*MAX(M375,O375)+(3/8)*MIN(M375,O375)),0)*(1+(P375-75)/500),0)</f>
        <v>183</v>
      </c>
      <c r="V375" s="361" t="n">
        <f aca="false">ROUNDDOWN(K375*1.75+50,0)</f>
        <v>172</v>
      </c>
      <c r="W375" s="261" t="n">
        <v>0</v>
      </c>
      <c r="X375" s="261" t="s">
        <v>1052</v>
      </c>
      <c r="Y375" s="364" t="s">
        <v>1050</v>
      </c>
      <c r="Z375" s="364" t="n">
        <v>3</v>
      </c>
      <c r="AA375" s="364"/>
      <c r="AB375" s="365" t="n">
        <v>5</v>
      </c>
      <c r="AC375" s="364"/>
      <c r="AD375" s="364" t="n">
        <v>50</v>
      </c>
      <c r="AE375" s="366"/>
      <c r="AF375" s="364" t="s">
        <v>1056</v>
      </c>
      <c r="AG375" s="364" t="s">
        <v>1056</v>
      </c>
      <c r="AH375" s="366" t="s">
        <v>1056</v>
      </c>
    </row>
    <row r="376" customFormat="false" ht="15.75" hidden="false" customHeight="false" outlineLevel="0" collapsed="false">
      <c r="A376" s="262" t="n">
        <v>324</v>
      </c>
      <c r="B376" s="361" t="n">
        <v>374</v>
      </c>
      <c r="C376" s="261" t="s">
        <v>1057</v>
      </c>
      <c r="D376" s="261" t="s">
        <v>60</v>
      </c>
      <c r="E376" s="362" t="s">
        <v>1057</v>
      </c>
      <c r="F376" s="261" t="s">
        <v>879</v>
      </c>
      <c r="G376" s="261" t="s">
        <v>144</v>
      </c>
      <c r="H376" s="261" t="n">
        <v>0</v>
      </c>
      <c r="I376" s="261" t="n">
        <v>1</v>
      </c>
      <c r="J376" s="361" t="n">
        <v>1</v>
      </c>
      <c r="K376" s="262" t="n">
        <v>70</v>
      </c>
      <c r="L376" s="262" t="n">
        <v>85</v>
      </c>
      <c r="M376" s="262" t="n">
        <v>140</v>
      </c>
      <c r="N376" s="262" t="n">
        <v>85</v>
      </c>
      <c r="O376" s="262" t="n">
        <v>70</v>
      </c>
      <c r="P376" s="361" t="n">
        <v>20</v>
      </c>
      <c r="Q376" s="261" t="s">
        <v>153</v>
      </c>
      <c r="R376" s="261"/>
      <c r="S376" s="363" t="n">
        <f aca="false" t="array" ref="S376:S376">IF(COUNTIF('0.3.0 GO Calculation Values'!$J$2:$J$99,C376),(INDEX('0.3.0 GO Calculation Values'!$K$2:$K$99,MATCH(C376,'0.3.0 GO Calculation Values'!$J$2:$J$99,0))),1)</f>
        <v>1</v>
      </c>
      <c r="T376" s="262" t="n">
        <f aca="false">ROUND(ROUND(2*((7/8)*MAX(L376,N376)+(1/8)*MIN(L376,N376)),0)*(1+(P376-75)/500),0)</f>
        <v>151</v>
      </c>
      <c r="U376" s="262" t="n">
        <f aca="false">ROUND(ROUND(2*((5/8)*MAX(M376,O376)+(3/8)*MIN(M376,O376)),0)*(1+(P376-75)/500),0)</f>
        <v>203</v>
      </c>
      <c r="V376" s="361" t="n">
        <f aca="false">ROUNDDOWN(K376*1.75+50,0)</f>
        <v>172</v>
      </c>
      <c r="W376" s="261" t="n">
        <v>1</v>
      </c>
      <c r="X376" s="261" t="s">
        <v>60</v>
      </c>
      <c r="Y376" s="364" t="s">
        <v>1057</v>
      </c>
      <c r="Z376" s="364" t="n">
        <v>3</v>
      </c>
      <c r="AA376" s="364"/>
      <c r="AB376" s="365" t="s">
        <v>60</v>
      </c>
      <c r="AC376" s="364"/>
      <c r="AD376" s="364" t="n">
        <v>0</v>
      </c>
      <c r="AE376" s="366"/>
      <c r="AF376" s="364" t="s">
        <v>1058</v>
      </c>
      <c r="AG376" s="364" t="s">
        <v>1058</v>
      </c>
      <c r="AH376" s="366" t="s">
        <v>1058</v>
      </c>
    </row>
    <row r="377" customFormat="false" ht="15.75" hidden="false" customHeight="false" outlineLevel="0" collapsed="false">
      <c r="A377" s="262" t="n">
        <v>325</v>
      </c>
      <c r="B377" s="361" t="n">
        <v>375</v>
      </c>
      <c r="C377" s="261" t="s">
        <v>1059</v>
      </c>
      <c r="D377" s="261" t="s">
        <v>60</v>
      </c>
      <c r="E377" s="362" t="s">
        <v>1059</v>
      </c>
      <c r="F377" s="261" t="s">
        <v>879</v>
      </c>
      <c r="G377" s="261" t="s">
        <v>144</v>
      </c>
      <c r="H377" s="261" t="n">
        <v>0</v>
      </c>
      <c r="I377" s="261" t="n">
        <v>1</v>
      </c>
      <c r="J377" s="361" t="n">
        <v>0</v>
      </c>
      <c r="K377" s="262" t="n">
        <v>60</v>
      </c>
      <c r="L377" s="262" t="n">
        <v>25</v>
      </c>
      <c r="M377" s="262" t="n">
        <v>35</v>
      </c>
      <c r="N377" s="262" t="n">
        <v>70</v>
      </c>
      <c r="O377" s="262" t="n">
        <v>80</v>
      </c>
      <c r="P377" s="361" t="n">
        <v>60</v>
      </c>
      <c r="Q377" s="261" t="s">
        <v>157</v>
      </c>
      <c r="R377" s="261"/>
      <c r="S377" s="363" t="n">
        <f aca="false" t="array" ref="S377:S377">IF(COUNTIF('0.3.0 GO Calculation Values'!$J$2:$J$99,C377),(INDEX('0.3.0 GO Calculation Values'!$K$2:$K$99,MATCH(C377,'0.3.0 GO Calculation Values'!$J$2:$J$99,0))),1)</f>
        <v>1</v>
      </c>
      <c r="T377" s="262" t="n">
        <f aca="false">ROUND(ROUND(2*((7/8)*MAX(L377,N377)+(1/8)*MIN(L377,N377)),0)*(1+(P377-75)/500),0)</f>
        <v>125</v>
      </c>
      <c r="U377" s="262" t="n">
        <f aca="false">ROUND(ROUND(2*((5/8)*MAX(M377,O377)+(3/8)*MIN(M377,O377)),0)*(1+(P377-75)/500),0)</f>
        <v>122</v>
      </c>
      <c r="V377" s="361" t="n">
        <f aca="false">ROUNDDOWN(K377*1.75+50,0)</f>
        <v>155</v>
      </c>
      <c r="W377" s="261" t="n">
        <v>1</v>
      </c>
      <c r="X377" s="261" t="s">
        <v>60</v>
      </c>
      <c r="Y377" s="364" t="s">
        <v>1059</v>
      </c>
      <c r="Z377" s="364" t="n">
        <v>1</v>
      </c>
      <c r="AA377" s="364"/>
      <c r="AB377" s="365" t="n">
        <v>2</v>
      </c>
      <c r="AC377" s="364"/>
      <c r="AD377" s="364" t="n">
        <v>0</v>
      </c>
      <c r="AE377" s="366"/>
      <c r="AF377" s="364" t="s">
        <v>1060</v>
      </c>
      <c r="AG377" s="364" t="s">
        <v>1060</v>
      </c>
      <c r="AH377" s="366" t="s">
        <v>1060</v>
      </c>
    </row>
    <row r="378" customFormat="false" ht="15.75" hidden="false" customHeight="false" outlineLevel="0" collapsed="false">
      <c r="A378" s="262" t="n">
        <v>326</v>
      </c>
      <c r="B378" s="361" t="n">
        <v>376</v>
      </c>
      <c r="C378" s="261" t="s">
        <v>1061</v>
      </c>
      <c r="D378" s="261" t="s">
        <v>60</v>
      </c>
      <c r="E378" s="362" t="s">
        <v>1061</v>
      </c>
      <c r="F378" s="261" t="s">
        <v>879</v>
      </c>
      <c r="G378" s="261" t="s">
        <v>144</v>
      </c>
      <c r="H378" s="261" t="n">
        <v>0</v>
      </c>
      <c r="I378" s="261" t="n">
        <v>2</v>
      </c>
      <c r="J378" s="361" t="n">
        <v>1</v>
      </c>
      <c r="K378" s="262" t="n">
        <v>80</v>
      </c>
      <c r="L378" s="262" t="n">
        <v>45</v>
      </c>
      <c r="M378" s="262" t="n">
        <v>65</v>
      </c>
      <c r="N378" s="262" t="n">
        <v>90</v>
      </c>
      <c r="O378" s="262" t="n">
        <v>110</v>
      </c>
      <c r="P378" s="361" t="n">
        <v>80</v>
      </c>
      <c r="Q378" s="261" t="s">
        <v>157</v>
      </c>
      <c r="R378" s="261"/>
      <c r="S378" s="363" t="n">
        <f aca="false" t="array" ref="S378:S378">IF(COUNTIF('0.3.0 GO Calculation Values'!$J$2:$J$99,C378),(INDEX('0.3.0 GO Calculation Values'!$K$2:$K$99,MATCH(C378,'0.3.0 GO Calculation Values'!$J$2:$J$99,0))),1)</f>
        <v>1</v>
      </c>
      <c r="T378" s="262" t="n">
        <f aca="false">ROUND(ROUND(2*((7/8)*MAX(L378,N378)+(1/8)*MIN(L378,N378)),0)*(1+(P378-75)/500),0)</f>
        <v>171</v>
      </c>
      <c r="U378" s="262" t="n">
        <f aca="false">ROUND(ROUND(2*((5/8)*MAX(M378,O378)+(3/8)*MIN(M378,O378)),0)*(1+(P378-75)/500),0)</f>
        <v>188</v>
      </c>
      <c r="V378" s="361" t="n">
        <f aca="false">ROUNDDOWN(K378*1.75+50,0)</f>
        <v>190</v>
      </c>
      <c r="W378" s="261" t="n">
        <v>1</v>
      </c>
      <c r="X378" s="261" t="s">
        <v>1059</v>
      </c>
      <c r="Y378" s="364" t="s">
        <v>1059</v>
      </c>
      <c r="Z378" s="364" t="n">
        <v>1</v>
      </c>
      <c r="AA378" s="364"/>
      <c r="AB378" s="365" t="n">
        <v>2</v>
      </c>
      <c r="AC378" s="364"/>
      <c r="AD378" s="364" t="n">
        <v>50</v>
      </c>
      <c r="AE378" s="366"/>
      <c r="AF378" s="364" t="s">
        <v>1062</v>
      </c>
      <c r="AG378" s="364" t="s">
        <v>1062</v>
      </c>
      <c r="AH378" s="366" t="s">
        <v>1062</v>
      </c>
    </row>
    <row r="379" customFormat="false" ht="15.75" hidden="false" customHeight="false" outlineLevel="0" collapsed="false">
      <c r="A379" s="262" t="n">
        <v>327</v>
      </c>
      <c r="B379" s="361" t="n">
        <v>377</v>
      </c>
      <c r="C379" s="261" t="s">
        <v>1063</v>
      </c>
      <c r="D379" s="261" t="s">
        <v>60</v>
      </c>
      <c r="E379" s="362" t="s">
        <v>1063</v>
      </c>
      <c r="F379" s="261" t="s">
        <v>879</v>
      </c>
      <c r="G379" s="261" t="s">
        <v>144</v>
      </c>
      <c r="H379" s="261" t="n">
        <v>0</v>
      </c>
      <c r="I379" s="261" t="n">
        <v>1</v>
      </c>
      <c r="J379" s="361" t="n">
        <v>1</v>
      </c>
      <c r="K379" s="262" t="n">
        <v>60</v>
      </c>
      <c r="L379" s="262" t="n">
        <v>60</v>
      </c>
      <c r="M379" s="262" t="n">
        <v>60</v>
      </c>
      <c r="N379" s="262" t="n">
        <v>60</v>
      </c>
      <c r="O379" s="262" t="n">
        <v>60</v>
      </c>
      <c r="P379" s="361" t="n">
        <v>60</v>
      </c>
      <c r="Q379" s="261" t="s">
        <v>144</v>
      </c>
      <c r="R379" s="261"/>
      <c r="S379" s="363" t="n">
        <f aca="false" t="array" ref="S379:S379">IF(COUNTIF('0.3.0 GO Calculation Values'!$J$2:$J$99,C379),(INDEX('0.3.0 GO Calculation Values'!$K$2:$K$99,MATCH(C379,'0.3.0 GO Calculation Values'!$J$2:$J$99,0))),1)</f>
        <v>1</v>
      </c>
      <c r="T379" s="262" t="n">
        <f aca="false">ROUND(ROUND(2*((7/8)*MAX(L379,N379)+(1/8)*MIN(L379,N379)),0)*(1+(P379-75)/500),0)</f>
        <v>116</v>
      </c>
      <c r="U379" s="262" t="n">
        <f aca="false">ROUND(ROUND(2*((5/8)*MAX(M379,O379)+(3/8)*MIN(M379,O379)),0)*(1+(P379-75)/500),0)</f>
        <v>116</v>
      </c>
      <c r="V379" s="361" t="n">
        <f aca="false">ROUNDDOWN(K379*1.75+50,0)</f>
        <v>155</v>
      </c>
      <c r="W379" s="261" t="n">
        <v>1</v>
      </c>
      <c r="X379" s="261" t="s">
        <v>60</v>
      </c>
      <c r="Y379" s="364" t="s">
        <v>1063</v>
      </c>
      <c r="Z379" s="364" t="n">
        <v>3</v>
      </c>
      <c r="AA379" s="364"/>
      <c r="AB379" s="365" t="s">
        <v>60</v>
      </c>
      <c r="AC379" s="364"/>
      <c r="AD379" s="364" t="n">
        <v>0</v>
      </c>
      <c r="AE379" s="366"/>
      <c r="AF379" s="364" t="s">
        <v>1064</v>
      </c>
      <c r="AG379" s="364" t="s">
        <v>1064</v>
      </c>
      <c r="AH379" s="366" t="s">
        <v>1064</v>
      </c>
    </row>
    <row r="380" customFormat="false" ht="15.75" hidden="false" customHeight="false" outlineLevel="0" collapsed="false">
      <c r="A380" s="262" t="n">
        <v>328</v>
      </c>
      <c r="B380" s="361" t="n">
        <v>378</v>
      </c>
      <c r="C380" s="261" t="s">
        <v>1065</v>
      </c>
      <c r="D380" s="261" t="s">
        <v>60</v>
      </c>
      <c r="E380" s="362" t="s">
        <v>1065</v>
      </c>
      <c r="F380" s="261" t="s">
        <v>879</v>
      </c>
      <c r="G380" s="261" t="s">
        <v>144</v>
      </c>
      <c r="H380" s="261" t="n">
        <v>0</v>
      </c>
      <c r="I380" s="261" t="n">
        <v>1</v>
      </c>
      <c r="J380" s="361" t="n">
        <v>0</v>
      </c>
      <c r="K380" s="262" t="n">
        <v>45</v>
      </c>
      <c r="L380" s="262" t="n">
        <v>100</v>
      </c>
      <c r="M380" s="262" t="n">
        <v>45</v>
      </c>
      <c r="N380" s="262" t="n">
        <v>45</v>
      </c>
      <c r="O380" s="262" t="n">
        <v>45</v>
      </c>
      <c r="P380" s="361" t="n">
        <v>10</v>
      </c>
      <c r="Q380" s="261" t="s">
        <v>148</v>
      </c>
      <c r="R380" s="261"/>
      <c r="S380" s="363" t="n">
        <f aca="false" t="array" ref="S380:S380">IF(COUNTIF('0.3.0 GO Calculation Values'!$J$2:$J$99,C380),(INDEX('0.3.0 GO Calculation Values'!$K$2:$K$99,MATCH(C380,'0.3.0 GO Calculation Values'!$J$2:$J$99,0))),1)</f>
        <v>1</v>
      </c>
      <c r="T380" s="262" t="n">
        <f aca="false">ROUND(ROUND(2*((7/8)*MAX(L380,N380)+(1/8)*MIN(L380,N380)),0)*(1+(P380-75)/500),0)</f>
        <v>162</v>
      </c>
      <c r="U380" s="262" t="n">
        <f aca="false">ROUND(ROUND(2*((5/8)*MAX(M380,O380)+(3/8)*MIN(M380,O380)),0)*(1+(P380-75)/500),0)</f>
        <v>78</v>
      </c>
      <c r="V380" s="361" t="n">
        <f aca="false">ROUNDDOWN(K380*1.75+50,0)</f>
        <v>128</v>
      </c>
      <c r="W380" s="261" t="n">
        <v>1</v>
      </c>
      <c r="X380" s="261" t="s">
        <v>60</v>
      </c>
      <c r="Y380" s="364" t="s">
        <v>1065</v>
      </c>
      <c r="Z380" s="364" t="n">
        <v>5</v>
      </c>
      <c r="AA380" s="364"/>
      <c r="AB380" s="365" t="n">
        <v>10</v>
      </c>
      <c r="AC380" s="364"/>
      <c r="AD380" s="364" t="n">
        <v>0</v>
      </c>
      <c r="AE380" s="366"/>
      <c r="AF380" s="364" t="s">
        <v>1066</v>
      </c>
      <c r="AG380" s="364" t="s">
        <v>1066</v>
      </c>
      <c r="AH380" s="366" t="s">
        <v>1066</v>
      </c>
    </row>
    <row r="381" customFormat="false" ht="15.75" hidden="false" customHeight="false" outlineLevel="0" collapsed="false">
      <c r="A381" s="262" t="n">
        <v>329</v>
      </c>
      <c r="B381" s="361" t="n">
        <v>379</v>
      </c>
      <c r="C381" s="261" t="s">
        <v>1067</v>
      </c>
      <c r="D381" s="261" t="s">
        <v>60</v>
      </c>
      <c r="E381" s="362" t="s">
        <v>1067</v>
      </c>
      <c r="F381" s="261" t="s">
        <v>879</v>
      </c>
      <c r="G381" s="261" t="s">
        <v>144</v>
      </c>
      <c r="H381" s="261" t="n">
        <v>0</v>
      </c>
      <c r="I381" s="261" t="n">
        <v>2</v>
      </c>
      <c r="J381" s="361" t="n">
        <v>0</v>
      </c>
      <c r="K381" s="262" t="n">
        <v>50</v>
      </c>
      <c r="L381" s="262" t="n">
        <v>70</v>
      </c>
      <c r="M381" s="262" t="n">
        <v>50</v>
      </c>
      <c r="N381" s="262" t="n">
        <v>50</v>
      </c>
      <c r="O381" s="262" t="n">
        <v>50</v>
      </c>
      <c r="P381" s="361" t="n">
        <v>70</v>
      </c>
      <c r="Q381" s="261" t="s">
        <v>148</v>
      </c>
      <c r="R381" s="261" t="s">
        <v>159</v>
      </c>
      <c r="S381" s="363" t="n">
        <f aca="false" t="array" ref="S381:S381">IF(COUNTIF('0.3.0 GO Calculation Values'!$J$2:$J$99,C381),(INDEX('0.3.0 GO Calculation Values'!$K$2:$K$99,MATCH(C381,'0.3.0 GO Calculation Values'!$J$2:$J$99,0))),1)</f>
        <v>1</v>
      </c>
      <c r="T381" s="262" t="n">
        <f aca="false">ROUND(ROUND(2*((7/8)*MAX(L381,N381)+(1/8)*MIN(L381,N381)),0)*(1+(P381-75)/500),0)</f>
        <v>134</v>
      </c>
      <c r="U381" s="262" t="n">
        <f aca="false">ROUND(ROUND(2*((5/8)*MAX(M381,O381)+(3/8)*MIN(M381,O381)),0)*(1+(P381-75)/500),0)</f>
        <v>99</v>
      </c>
      <c r="V381" s="361" t="n">
        <f aca="false">ROUNDDOWN(K381*1.75+50,0)</f>
        <v>137</v>
      </c>
      <c r="W381" s="261" t="n">
        <v>1</v>
      </c>
      <c r="X381" s="261" t="s">
        <v>1065</v>
      </c>
      <c r="Y381" s="364" t="s">
        <v>1065</v>
      </c>
      <c r="Z381" s="364" t="n">
        <v>5</v>
      </c>
      <c r="AA381" s="364"/>
      <c r="AB381" s="365" t="n">
        <v>10</v>
      </c>
      <c r="AC381" s="364"/>
      <c r="AD381" s="364" t="n">
        <v>25</v>
      </c>
      <c r="AE381" s="366"/>
      <c r="AF381" s="364" t="s">
        <v>1068</v>
      </c>
      <c r="AG381" s="364" t="s">
        <v>1068</v>
      </c>
      <c r="AH381" s="366" t="s">
        <v>1068</v>
      </c>
    </row>
    <row r="382" customFormat="false" ht="15.75" hidden="false" customHeight="false" outlineLevel="0" collapsed="false">
      <c r="A382" s="262" t="n">
        <v>330</v>
      </c>
      <c r="B382" s="361" t="n">
        <v>380</v>
      </c>
      <c r="C382" s="261" t="s">
        <v>1069</v>
      </c>
      <c r="D382" s="261" t="s">
        <v>60</v>
      </c>
      <c r="E382" s="362" t="s">
        <v>1069</v>
      </c>
      <c r="F382" s="261" t="s">
        <v>879</v>
      </c>
      <c r="G382" s="261" t="s">
        <v>144</v>
      </c>
      <c r="H382" s="261" t="n">
        <v>0</v>
      </c>
      <c r="I382" s="261" t="n">
        <v>3</v>
      </c>
      <c r="J382" s="361" t="n">
        <v>1</v>
      </c>
      <c r="K382" s="262" t="n">
        <v>80</v>
      </c>
      <c r="L382" s="262" t="n">
        <v>100</v>
      </c>
      <c r="M382" s="262" t="n">
        <v>80</v>
      </c>
      <c r="N382" s="262" t="n">
        <v>80</v>
      </c>
      <c r="O382" s="262" t="n">
        <v>80</v>
      </c>
      <c r="P382" s="361" t="n">
        <v>100</v>
      </c>
      <c r="Q382" s="261" t="s">
        <v>148</v>
      </c>
      <c r="R382" s="261" t="s">
        <v>159</v>
      </c>
      <c r="S382" s="363" t="n">
        <f aca="false" t="array" ref="S382:S382">IF(COUNTIF('0.3.0 GO Calculation Values'!$J$2:$J$99,C382),(INDEX('0.3.0 GO Calculation Values'!$K$2:$K$99,MATCH(C382,'0.3.0 GO Calculation Values'!$J$2:$J$99,0))),1)</f>
        <v>1</v>
      </c>
      <c r="T382" s="262" t="n">
        <f aca="false">ROUND(ROUND(2*((7/8)*MAX(L382,N382)+(1/8)*MIN(L382,N382)),0)*(1+(P382-75)/500),0)</f>
        <v>205</v>
      </c>
      <c r="U382" s="262" t="n">
        <f aca="false">ROUND(ROUND(2*((5/8)*MAX(M382,O382)+(3/8)*MIN(M382,O382)),0)*(1+(P382-75)/500),0)</f>
        <v>168</v>
      </c>
      <c r="V382" s="361" t="n">
        <f aca="false">ROUNDDOWN(K382*1.75+50,0)</f>
        <v>190</v>
      </c>
      <c r="W382" s="261" t="n">
        <v>1</v>
      </c>
      <c r="X382" s="261" t="s">
        <v>1067</v>
      </c>
      <c r="Y382" s="364" t="s">
        <v>1065</v>
      </c>
      <c r="Z382" s="364" t="n">
        <v>5</v>
      </c>
      <c r="AA382" s="364"/>
      <c r="AB382" s="365" t="n">
        <v>10</v>
      </c>
      <c r="AC382" s="364"/>
      <c r="AD382" s="364" t="n">
        <v>100</v>
      </c>
      <c r="AE382" s="366"/>
      <c r="AF382" s="364" t="s">
        <v>1070</v>
      </c>
      <c r="AG382" s="364" t="s">
        <v>1070</v>
      </c>
      <c r="AH382" s="366" t="s">
        <v>1070</v>
      </c>
    </row>
    <row r="383" customFormat="false" ht="15.75" hidden="false" customHeight="false" outlineLevel="0" collapsed="false">
      <c r="A383" s="262" t="n">
        <v>331</v>
      </c>
      <c r="B383" s="361" t="n">
        <v>381</v>
      </c>
      <c r="C383" s="261" t="s">
        <v>1071</v>
      </c>
      <c r="D383" s="261" t="s">
        <v>60</v>
      </c>
      <c r="E383" s="362" t="s">
        <v>1071</v>
      </c>
      <c r="F383" s="261" t="s">
        <v>879</v>
      </c>
      <c r="G383" s="261" t="s">
        <v>144</v>
      </c>
      <c r="H383" s="261" t="n">
        <v>0</v>
      </c>
      <c r="I383" s="261" t="n">
        <v>1</v>
      </c>
      <c r="J383" s="361" t="n">
        <v>0</v>
      </c>
      <c r="K383" s="262" t="n">
        <v>50</v>
      </c>
      <c r="L383" s="262" t="n">
        <v>85</v>
      </c>
      <c r="M383" s="262" t="n">
        <v>40</v>
      </c>
      <c r="N383" s="262" t="n">
        <v>85</v>
      </c>
      <c r="O383" s="262" t="n">
        <v>40</v>
      </c>
      <c r="P383" s="361" t="n">
        <v>35</v>
      </c>
      <c r="Q383" s="261" t="s">
        <v>155</v>
      </c>
      <c r="R383" s="261"/>
      <c r="S383" s="363" t="n">
        <f aca="false" t="array" ref="S383:S383">IF(COUNTIF('0.3.0 GO Calculation Values'!$J$2:$J$99,C383),(INDEX('0.3.0 GO Calculation Values'!$K$2:$K$99,MATCH(C383,'0.3.0 GO Calculation Values'!$J$2:$J$99,0))),1)</f>
        <v>1</v>
      </c>
      <c r="T383" s="262" t="n">
        <f aca="false">ROUND(ROUND(2*((7/8)*MAX(L383,N383)+(1/8)*MIN(L383,N383)),0)*(1+(P383-75)/500),0)</f>
        <v>156</v>
      </c>
      <c r="U383" s="262" t="n">
        <f aca="false">ROUND(ROUND(2*((5/8)*MAX(M383,O383)+(3/8)*MIN(M383,O383)),0)*(1+(P383-75)/500),0)</f>
        <v>74</v>
      </c>
      <c r="V383" s="361" t="n">
        <f aca="false">ROUNDDOWN(K383*1.75+50,0)</f>
        <v>137</v>
      </c>
      <c r="W383" s="261" t="n">
        <v>1</v>
      </c>
      <c r="X383" s="261" t="s">
        <v>60</v>
      </c>
      <c r="Y383" s="364" t="s">
        <v>1071</v>
      </c>
      <c r="Z383" s="364" t="n">
        <v>3</v>
      </c>
      <c r="AA383" s="364"/>
      <c r="AB383" s="365" t="n">
        <v>5</v>
      </c>
      <c r="AC383" s="364"/>
      <c r="AD383" s="364" t="n">
        <v>0</v>
      </c>
      <c r="AE383" s="366"/>
      <c r="AF383" s="364" t="s">
        <v>1072</v>
      </c>
      <c r="AG383" s="364" t="s">
        <v>1072</v>
      </c>
      <c r="AH383" s="366" t="s">
        <v>1072</v>
      </c>
    </row>
    <row r="384" customFormat="false" ht="15.75" hidden="false" customHeight="false" outlineLevel="0" collapsed="false">
      <c r="A384" s="262" t="n">
        <v>332</v>
      </c>
      <c r="B384" s="361" t="n">
        <v>382</v>
      </c>
      <c r="C384" s="261" t="s">
        <v>1073</v>
      </c>
      <c r="D384" s="261" t="s">
        <v>60</v>
      </c>
      <c r="E384" s="362" t="s">
        <v>1073</v>
      </c>
      <c r="F384" s="261" t="s">
        <v>879</v>
      </c>
      <c r="G384" s="261" t="s">
        <v>144</v>
      </c>
      <c r="H384" s="261" t="n">
        <v>0</v>
      </c>
      <c r="I384" s="261" t="n">
        <v>2</v>
      </c>
      <c r="J384" s="361" t="n">
        <v>1</v>
      </c>
      <c r="K384" s="262" t="n">
        <v>70</v>
      </c>
      <c r="L384" s="262" t="n">
        <v>115</v>
      </c>
      <c r="M384" s="262" t="n">
        <v>60</v>
      </c>
      <c r="N384" s="262" t="n">
        <v>115</v>
      </c>
      <c r="O384" s="262" t="n">
        <v>60</v>
      </c>
      <c r="P384" s="361" t="n">
        <v>55</v>
      </c>
      <c r="Q384" s="261" t="s">
        <v>155</v>
      </c>
      <c r="R384" s="261" t="s">
        <v>160</v>
      </c>
      <c r="S384" s="363" t="n">
        <f aca="false" t="array" ref="S384:S384">IF(COUNTIF('0.3.0 GO Calculation Values'!$J$2:$J$99,C384),(INDEX('0.3.0 GO Calculation Values'!$K$2:$K$99,MATCH(C384,'0.3.0 GO Calculation Values'!$J$2:$J$99,0))),1)</f>
        <v>1</v>
      </c>
      <c r="T384" s="262" t="n">
        <f aca="false">ROUND(ROUND(2*((7/8)*MAX(L384,N384)+(1/8)*MIN(L384,N384)),0)*(1+(P384-75)/500),0)</f>
        <v>221</v>
      </c>
      <c r="U384" s="262" t="n">
        <f aca="false">ROUND(ROUND(2*((5/8)*MAX(M384,O384)+(3/8)*MIN(M384,O384)),0)*(1+(P384-75)/500),0)</f>
        <v>115</v>
      </c>
      <c r="V384" s="361" t="n">
        <f aca="false">ROUNDDOWN(K384*1.75+50,0)</f>
        <v>172</v>
      </c>
      <c r="W384" s="261" t="n">
        <v>1</v>
      </c>
      <c r="X384" s="261" t="s">
        <v>1071</v>
      </c>
      <c r="Y384" s="364" t="s">
        <v>1071</v>
      </c>
      <c r="Z384" s="364" t="n">
        <v>3</v>
      </c>
      <c r="AA384" s="364"/>
      <c r="AB384" s="365" t="n">
        <v>5</v>
      </c>
      <c r="AC384" s="364"/>
      <c r="AD384" s="364" t="n">
        <v>50</v>
      </c>
      <c r="AE384" s="366"/>
      <c r="AF384" s="364" t="s">
        <v>1074</v>
      </c>
      <c r="AG384" s="364" t="s">
        <v>1074</v>
      </c>
      <c r="AH384" s="366" t="s">
        <v>1074</v>
      </c>
    </row>
    <row r="385" customFormat="false" ht="15.75" hidden="false" customHeight="false" outlineLevel="0" collapsed="false">
      <c r="A385" s="262" t="n">
        <v>333</v>
      </c>
      <c r="B385" s="361" t="n">
        <v>383</v>
      </c>
      <c r="C385" s="261" t="s">
        <v>1075</v>
      </c>
      <c r="D385" s="261" t="s">
        <v>60</v>
      </c>
      <c r="E385" s="362" t="s">
        <v>1075</v>
      </c>
      <c r="F385" s="261" t="s">
        <v>879</v>
      </c>
      <c r="G385" s="261" t="s">
        <v>144</v>
      </c>
      <c r="H385" s="261" t="n">
        <v>0</v>
      </c>
      <c r="I385" s="261" t="n">
        <v>1</v>
      </c>
      <c r="J385" s="361" t="n">
        <v>0</v>
      </c>
      <c r="K385" s="262" t="n">
        <v>45</v>
      </c>
      <c r="L385" s="262" t="n">
        <v>40</v>
      </c>
      <c r="M385" s="262" t="n">
        <v>60</v>
      </c>
      <c r="N385" s="262" t="n">
        <v>40</v>
      </c>
      <c r="O385" s="262" t="n">
        <v>75</v>
      </c>
      <c r="P385" s="361" t="n">
        <v>50</v>
      </c>
      <c r="Q385" s="261" t="s">
        <v>144</v>
      </c>
      <c r="R385" s="261" t="s">
        <v>146</v>
      </c>
      <c r="S385" s="363" t="n">
        <f aca="false" t="array" ref="S385:S385">IF(COUNTIF('0.3.0 GO Calculation Values'!$J$2:$J$99,C385),(INDEX('0.3.0 GO Calculation Values'!$K$2:$K$99,MATCH(C385,'0.3.0 GO Calculation Values'!$J$2:$J$99,0))),1)</f>
        <v>1</v>
      </c>
      <c r="T385" s="262" t="n">
        <f aca="false">ROUND(ROUND(2*((7/8)*MAX(L385,N385)+(1/8)*MIN(L385,N385)),0)*(1+(P385-75)/500),0)</f>
        <v>76</v>
      </c>
      <c r="U385" s="262" t="n">
        <f aca="false">ROUND(ROUND(2*((5/8)*MAX(M385,O385)+(3/8)*MIN(M385,O385)),0)*(1+(P385-75)/500),0)</f>
        <v>132</v>
      </c>
      <c r="V385" s="361" t="n">
        <f aca="false">ROUNDDOWN(K385*1.75+50,0)</f>
        <v>128</v>
      </c>
      <c r="W385" s="261" t="n">
        <v>1</v>
      </c>
      <c r="X385" s="261" t="s">
        <v>60</v>
      </c>
      <c r="Y385" s="364" t="s">
        <v>1075</v>
      </c>
      <c r="Z385" s="364" t="n">
        <v>1</v>
      </c>
      <c r="AA385" s="261" t="n">
        <v>43139</v>
      </c>
      <c r="AB385" s="365" t="n">
        <v>2</v>
      </c>
      <c r="AC385" s="364"/>
      <c r="AD385" s="364" t="n">
        <v>0</v>
      </c>
      <c r="AE385" s="366"/>
      <c r="AF385" s="364" t="s">
        <v>1076</v>
      </c>
      <c r="AG385" s="364" t="s">
        <v>1076</v>
      </c>
      <c r="AH385" s="366" t="s">
        <v>1076</v>
      </c>
    </row>
    <row r="386" customFormat="false" ht="15.75" hidden="false" customHeight="false" outlineLevel="0" collapsed="false">
      <c r="A386" s="262" t="n">
        <v>334</v>
      </c>
      <c r="B386" s="361" t="n">
        <v>384</v>
      </c>
      <c r="C386" s="261" t="s">
        <v>1077</v>
      </c>
      <c r="D386" s="261" t="s">
        <v>7</v>
      </c>
      <c r="E386" s="367" t="s">
        <v>1077</v>
      </c>
      <c r="F386" s="261" t="s">
        <v>879</v>
      </c>
      <c r="G386" s="261" t="s">
        <v>144</v>
      </c>
      <c r="H386" s="261" t="n">
        <v>0</v>
      </c>
      <c r="I386" s="261" t="n">
        <v>2</v>
      </c>
      <c r="J386" s="361" t="n">
        <v>1</v>
      </c>
      <c r="K386" s="262" t="n">
        <v>75</v>
      </c>
      <c r="L386" s="262" t="n">
        <v>70</v>
      </c>
      <c r="M386" s="262" t="n">
        <v>90</v>
      </c>
      <c r="N386" s="262" t="n">
        <v>70</v>
      </c>
      <c r="O386" s="262" t="n">
        <v>105</v>
      </c>
      <c r="P386" s="361" t="n">
        <v>80</v>
      </c>
      <c r="Q386" s="261" t="s">
        <v>159</v>
      </c>
      <c r="R386" s="261" t="s">
        <v>146</v>
      </c>
      <c r="S386" s="363" t="n">
        <f aca="false" t="array" ref="S386:S386">IF(COUNTIF('0.3.0 GO Calculation Values'!$J$2:$J$99,C386),(INDEX('0.3.0 GO Calculation Values'!$K$2:$K$99,MATCH(C386,'0.3.0 GO Calculation Values'!$J$2:$J$99,0))),1)</f>
        <v>1</v>
      </c>
      <c r="T386" s="262" t="n">
        <f aca="false">ROUND(ROUND(2*((7/8)*MAX(L386,N386)+(1/8)*MIN(L386,N386)),0)*(1+(P386-75)/500),0)</f>
        <v>141</v>
      </c>
      <c r="U386" s="262" t="n">
        <f aca="false">ROUND(ROUND(2*((5/8)*MAX(M386,O386)+(3/8)*MIN(M386,O386)),0)*(1+(P386-75)/500),0)</f>
        <v>201</v>
      </c>
      <c r="V386" s="361" t="n">
        <f aca="false">ROUNDDOWN(K386*1.75+50,0)</f>
        <v>181</v>
      </c>
      <c r="W386" s="261" t="n">
        <v>1</v>
      </c>
      <c r="X386" s="261" t="s">
        <v>1075</v>
      </c>
      <c r="Y386" s="364" t="s">
        <v>1075</v>
      </c>
      <c r="Z386" s="364" t="n">
        <v>1</v>
      </c>
      <c r="AA386" s="261" t="n">
        <v>43139</v>
      </c>
      <c r="AB386" s="365" t="n">
        <v>2</v>
      </c>
      <c r="AC386" s="364"/>
      <c r="AD386" s="364" t="n">
        <v>400</v>
      </c>
      <c r="AE386" s="366"/>
      <c r="AF386" s="364" t="s">
        <v>1078</v>
      </c>
      <c r="AG386" s="364" t="s">
        <v>1078</v>
      </c>
      <c r="AH386" s="366" t="s">
        <v>1078</v>
      </c>
    </row>
    <row r="387" customFormat="false" ht="15.75" hidden="false" customHeight="false" outlineLevel="0" collapsed="false">
      <c r="A387" s="262" t="n">
        <v>334</v>
      </c>
      <c r="B387" s="361" t="n">
        <v>385</v>
      </c>
      <c r="C387" s="261" t="s">
        <v>1077</v>
      </c>
      <c r="D387" s="261" t="s">
        <v>1079</v>
      </c>
      <c r="E387" s="358" t="s">
        <v>1080</v>
      </c>
      <c r="F387" s="261" t="s">
        <v>887</v>
      </c>
      <c r="G387" s="261" t="s">
        <v>144</v>
      </c>
      <c r="H387" s="261" t="n">
        <v>2</v>
      </c>
      <c r="I387" s="261" t="n">
        <v>3</v>
      </c>
      <c r="J387" s="361" t="n">
        <v>1</v>
      </c>
      <c r="K387" s="262" t="n">
        <v>75</v>
      </c>
      <c r="L387" s="262" t="n">
        <v>110</v>
      </c>
      <c r="M387" s="262" t="n">
        <v>110</v>
      </c>
      <c r="N387" s="262" t="n">
        <v>110</v>
      </c>
      <c r="O387" s="262" t="n">
        <v>105</v>
      </c>
      <c r="P387" s="361" t="n">
        <v>80</v>
      </c>
      <c r="Q387" s="261" t="s">
        <v>159</v>
      </c>
      <c r="R387" s="261" t="s">
        <v>161</v>
      </c>
      <c r="S387" s="363" t="n">
        <f aca="false" t="array" ref="S387:S387">IF(COUNTIF('0.3.0 GO Calculation Values'!$J$2:$J$99,C387),(INDEX('0.3.0 GO Calculation Values'!$K$2:$K$99,MATCH(C387,'0.3.0 GO Calculation Values'!$J$2:$J$99,0))),1)</f>
        <v>1</v>
      </c>
      <c r="T387" s="262" t="n">
        <f aca="false">ROUND(ROUND(2*((7/8)*MAX(L387,N387)+(1/8)*MIN(L387,N387)),0)*(1+(P387-75)/500),0)</f>
        <v>222</v>
      </c>
      <c r="U387" s="262" t="n">
        <f aca="false">ROUND(ROUND(2*((5/8)*MAX(M387,O387)+(3/8)*MIN(M387,O387)),0)*(1+(P387-75)/500),0)</f>
        <v>218</v>
      </c>
      <c r="V387" s="361" t="n">
        <f aca="false">ROUNDDOWN(K387*1.75+50,0)</f>
        <v>181</v>
      </c>
      <c r="W387" s="261" t="n">
        <v>0</v>
      </c>
      <c r="X387" s="261" t="s">
        <v>1077</v>
      </c>
      <c r="Y387" s="364" t="s">
        <v>1075</v>
      </c>
      <c r="Z387" s="364" t="n">
        <v>1</v>
      </c>
      <c r="AA387" s="364"/>
      <c r="AB387" s="365" t="n">
        <v>2</v>
      </c>
      <c r="AC387" s="364"/>
      <c r="AD387" s="364" t="n">
        <v>400</v>
      </c>
      <c r="AE387" s="366"/>
      <c r="AF387" s="364" t="s">
        <v>1081</v>
      </c>
      <c r="AG387" s="364" t="s">
        <v>1081</v>
      </c>
      <c r="AH387" s="366" t="s">
        <v>1081</v>
      </c>
    </row>
    <row r="388" customFormat="false" ht="15.75" hidden="false" customHeight="false" outlineLevel="0" collapsed="false">
      <c r="A388" s="262" t="n">
        <v>335</v>
      </c>
      <c r="B388" s="361" t="n">
        <v>386</v>
      </c>
      <c r="C388" s="261" t="s">
        <v>1082</v>
      </c>
      <c r="D388" s="261" t="s">
        <v>60</v>
      </c>
      <c r="E388" s="362" t="s">
        <v>1082</v>
      </c>
      <c r="F388" s="261" t="s">
        <v>879</v>
      </c>
      <c r="G388" s="261" t="s">
        <v>144</v>
      </c>
      <c r="H388" s="261" t="n">
        <v>0</v>
      </c>
      <c r="I388" s="261" t="n">
        <v>1</v>
      </c>
      <c r="J388" s="361" t="n">
        <v>1</v>
      </c>
      <c r="K388" s="262" t="n">
        <v>73</v>
      </c>
      <c r="L388" s="262" t="n">
        <v>115</v>
      </c>
      <c r="M388" s="262" t="n">
        <v>60</v>
      </c>
      <c r="N388" s="262" t="n">
        <v>60</v>
      </c>
      <c r="O388" s="262" t="n">
        <v>60</v>
      </c>
      <c r="P388" s="361" t="n">
        <v>90</v>
      </c>
      <c r="Q388" s="261" t="s">
        <v>144</v>
      </c>
      <c r="R388" s="261"/>
      <c r="S388" s="363" t="n">
        <f aca="false" t="array" ref="S388:S388">IF(COUNTIF('0.3.0 GO Calculation Values'!$J$2:$J$99,C388),(INDEX('0.3.0 GO Calculation Values'!$K$2:$K$99,MATCH(C388,'0.3.0 GO Calculation Values'!$J$2:$J$99,0))),1)</f>
        <v>1</v>
      </c>
      <c r="T388" s="262" t="n">
        <f aca="false">ROUND(ROUND(2*((7/8)*MAX(L388,N388)+(1/8)*MIN(L388,N388)),0)*(1+(P388-75)/500),0)</f>
        <v>222</v>
      </c>
      <c r="U388" s="262" t="n">
        <f aca="false">ROUND(ROUND(2*((5/8)*MAX(M388,O388)+(3/8)*MIN(M388,O388)),0)*(1+(P388-75)/500),0)</f>
        <v>124</v>
      </c>
      <c r="V388" s="361" t="n">
        <f aca="false">ROUNDDOWN(K388*1.75+50,0)</f>
        <v>177</v>
      </c>
      <c r="W388" s="261" t="n">
        <v>1</v>
      </c>
      <c r="X388" s="261" t="s">
        <v>60</v>
      </c>
      <c r="Y388" s="364" t="s">
        <v>1082</v>
      </c>
      <c r="Z388" s="364" t="n">
        <v>3</v>
      </c>
      <c r="AA388" s="364"/>
      <c r="AB388" s="365" t="s">
        <v>60</v>
      </c>
      <c r="AC388" s="364"/>
      <c r="AD388" s="364" t="n">
        <v>0</v>
      </c>
      <c r="AE388" s="366"/>
      <c r="AF388" s="364" t="s">
        <v>1083</v>
      </c>
      <c r="AG388" s="364" t="s">
        <v>1083</v>
      </c>
      <c r="AH388" s="366" t="s">
        <v>1083</v>
      </c>
    </row>
    <row r="389" customFormat="false" ht="15.75" hidden="false" customHeight="false" outlineLevel="0" collapsed="false">
      <c r="A389" s="262" t="n">
        <v>336</v>
      </c>
      <c r="B389" s="361" t="n">
        <v>387</v>
      </c>
      <c r="C389" s="261" t="s">
        <v>1084</v>
      </c>
      <c r="D389" s="261" t="s">
        <v>60</v>
      </c>
      <c r="E389" s="362" t="s">
        <v>1084</v>
      </c>
      <c r="F389" s="261" t="s">
        <v>879</v>
      </c>
      <c r="G389" s="261" t="s">
        <v>144</v>
      </c>
      <c r="H389" s="261" t="n">
        <v>0</v>
      </c>
      <c r="I389" s="261" t="n">
        <v>1</v>
      </c>
      <c r="J389" s="361" t="n">
        <v>1</v>
      </c>
      <c r="K389" s="262" t="n">
        <v>73</v>
      </c>
      <c r="L389" s="262" t="n">
        <v>100</v>
      </c>
      <c r="M389" s="262" t="n">
        <v>60</v>
      </c>
      <c r="N389" s="262" t="n">
        <v>100</v>
      </c>
      <c r="O389" s="262" t="n">
        <v>60</v>
      </c>
      <c r="P389" s="361" t="n">
        <v>65</v>
      </c>
      <c r="Q389" s="261" t="s">
        <v>147</v>
      </c>
      <c r="R389" s="261"/>
      <c r="S389" s="363" t="n">
        <f aca="false" t="array" ref="S389:S389">IF(COUNTIF('0.3.0 GO Calculation Values'!$J$2:$J$99,C389),(INDEX('0.3.0 GO Calculation Values'!$K$2:$K$99,MATCH(C389,'0.3.0 GO Calculation Values'!$J$2:$J$99,0))),1)</f>
        <v>1</v>
      </c>
      <c r="T389" s="262" t="n">
        <f aca="false">ROUND(ROUND(2*((7/8)*MAX(L389,N389)+(1/8)*MIN(L389,N389)),0)*(1+(P389-75)/500),0)</f>
        <v>196</v>
      </c>
      <c r="U389" s="262" t="n">
        <f aca="false">ROUND(ROUND(2*((5/8)*MAX(M389,O389)+(3/8)*MIN(M389,O389)),0)*(1+(P389-75)/500),0)</f>
        <v>118</v>
      </c>
      <c r="V389" s="361" t="n">
        <f aca="false">ROUNDDOWN(K389*1.75+50,0)</f>
        <v>177</v>
      </c>
      <c r="W389" s="261" t="n">
        <v>1</v>
      </c>
      <c r="X389" s="261" t="s">
        <v>60</v>
      </c>
      <c r="Y389" s="364" t="s">
        <v>1084</v>
      </c>
      <c r="Z389" s="364" t="n">
        <v>3</v>
      </c>
      <c r="AA389" s="364"/>
      <c r="AB389" s="365" t="s">
        <v>60</v>
      </c>
      <c r="AC389" s="364"/>
      <c r="AD389" s="364" t="n">
        <v>0</v>
      </c>
      <c r="AE389" s="366"/>
      <c r="AF389" s="364" t="s">
        <v>1085</v>
      </c>
      <c r="AG389" s="364" t="s">
        <v>1085</v>
      </c>
      <c r="AH389" s="366" t="s">
        <v>1085</v>
      </c>
    </row>
    <row r="390" customFormat="false" ht="15.75" hidden="false" customHeight="false" outlineLevel="0" collapsed="false">
      <c r="A390" s="262" t="n">
        <v>337</v>
      </c>
      <c r="B390" s="361" t="n">
        <v>388</v>
      </c>
      <c r="C390" s="261" t="s">
        <v>1086</v>
      </c>
      <c r="D390" s="261" t="s">
        <v>60</v>
      </c>
      <c r="E390" s="362" t="s">
        <v>1086</v>
      </c>
      <c r="F390" s="261" t="s">
        <v>879</v>
      </c>
      <c r="G390" s="261" t="s">
        <v>144</v>
      </c>
      <c r="H390" s="261" t="n">
        <v>0</v>
      </c>
      <c r="I390" s="261" t="n">
        <v>1</v>
      </c>
      <c r="J390" s="361" t="n">
        <v>1</v>
      </c>
      <c r="K390" s="262" t="n">
        <v>90</v>
      </c>
      <c r="L390" s="262" t="n">
        <v>55</v>
      </c>
      <c r="M390" s="262" t="n">
        <v>65</v>
      </c>
      <c r="N390" s="262" t="n">
        <v>95</v>
      </c>
      <c r="O390" s="262" t="n">
        <v>85</v>
      </c>
      <c r="P390" s="361" t="n">
        <v>70</v>
      </c>
      <c r="Q390" s="261" t="s">
        <v>149</v>
      </c>
      <c r="R390" s="261" t="s">
        <v>157</v>
      </c>
      <c r="S390" s="363" t="n">
        <f aca="false" t="array" ref="S390:S390">IF(COUNTIF('0.3.0 GO Calculation Values'!$J$2:$J$99,C390),(INDEX('0.3.0 GO Calculation Values'!$K$2:$K$99,MATCH(C390,'0.3.0 GO Calculation Values'!$J$2:$J$99,0))),1)</f>
        <v>1</v>
      </c>
      <c r="T390" s="262" t="n">
        <f aca="false">ROUND(ROUND(2*((7/8)*MAX(L390,N390)+(1/8)*MIN(L390,N390)),0)*(1+(P390-75)/500),0)</f>
        <v>178</v>
      </c>
      <c r="U390" s="262" t="n">
        <f aca="false">ROUND(ROUND(2*((5/8)*MAX(M390,O390)+(3/8)*MIN(M390,O390)),0)*(1+(P390-75)/500),0)</f>
        <v>153</v>
      </c>
      <c r="V390" s="361" t="n">
        <f aca="false">ROUNDDOWN(K390*1.75+50,0)</f>
        <v>207</v>
      </c>
      <c r="W390" s="261" t="n">
        <v>1</v>
      </c>
      <c r="X390" s="261" t="s">
        <v>60</v>
      </c>
      <c r="Y390" s="364" t="s">
        <v>1086</v>
      </c>
      <c r="Z390" s="364" t="n">
        <v>3</v>
      </c>
      <c r="AA390" s="364"/>
      <c r="AB390" s="365" t="s">
        <v>60</v>
      </c>
      <c r="AC390" s="364"/>
      <c r="AD390" s="364" t="n">
        <v>0</v>
      </c>
      <c r="AE390" s="366"/>
      <c r="AF390" s="364" t="s">
        <v>1087</v>
      </c>
      <c r="AG390" s="364" t="s">
        <v>1087</v>
      </c>
      <c r="AH390" s="366" t="s">
        <v>1087</v>
      </c>
    </row>
    <row r="391" customFormat="false" ht="15.75" hidden="false" customHeight="false" outlineLevel="0" collapsed="false">
      <c r="A391" s="262" t="n">
        <v>338</v>
      </c>
      <c r="B391" s="361" t="n">
        <v>389</v>
      </c>
      <c r="C391" s="261" t="s">
        <v>1088</v>
      </c>
      <c r="D391" s="261" t="s">
        <v>60</v>
      </c>
      <c r="E391" s="362" t="s">
        <v>1088</v>
      </c>
      <c r="F391" s="261" t="s">
        <v>879</v>
      </c>
      <c r="G391" s="261" t="s">
        <v>144</v>
      </c>
      <c r="H391" s="261" t="n">
        <v>0</v>
      </c>
      <c r="I391" s="261" t="n">
        <v>1</v>
      </c>
      <c r="J391" s="361" t="n">
        <v>1</v>
      </c>
      <c r="K391" s="262" t="n">
        <v>90</v>
      </c>
      <c r="L391" s="262" t="n">
        <v>95</v>
      </c>
      <c r="M391" s="262" t="n">
        <v>85</v>
      </c>
      <c r="N391" s="262" t="n">
        <v>55</v>
      </c>
      <c r="O391" s="262" t="n">
        <v>65</v>
      </c>
      <c r="P391" s="361" t="n">
        <v>70</v>
      </c>
      <c r="Q391" s="261" t="s">
        <v>149</v>
      </c>
      <c r="R391" s="261" t="s">
        <v>157</v>
      </c>
      <c r="S391" s="363" t="n">
        <f aca="false" t="array" ref="S391:S391">IF(COUNTIF('0.3.0 GO Calculation Values'!$J$2:$J$99,C391),(INDEX('0.3.0 GO Calculation Values'!$K$2:$K$99,MATCH(C391,'0.3.0 GO Calculation Values'!$J$2:$J$99,0))),1)</f>
        <v>1</v>
      </c>
      <c r="T391" s="262" t="n">
        <f aca="false">ROUND(ROUND(2*((7/8)*MAX(L391,N391)+(1/8)*MIN(L391,N391)),0)*(1+(P391-75)/500),0)</f>
        <v>178</v>
      </c>
      <c r="U391" s="262" t="n">
        <f aca="false">ROUND(ROUND(2*((5/8)*MAX(M391,O391)+(3/8)*MIN(M391,O391)),0)*(1+(P391-75)/500),0)</f>
        <v>153</v>
      </c>
      <c r="V391" s="361" t="n">
        <f aca="false">ROUNDDOWN(K391*1.75+50,0)</f>
        <v>207</v>
      </c>
      <c r="W391" s="261" t="n">
        <v>1</v>
      </c>
      <c r="X391" s="261" t="s">
        <v>60</v>
      </c>
      <c r="Y391" s="364" t="s">
        <v>1088</v>
      </c>
      <c r="Z391" s="364" t="n">
        <v>3</v>
      </c>
      <c r="AA391" s="364"/>
      <c r="AB391" s="365" t="s">
        <v>60</v>
      </c>
      <c r="AC391" s="364"/>
      <c r="AD391" s="364" t="n">
        <v>0</v>
      </c>
      <c r="AE391" s="366"/>
      <c r="AF391" s="364" t="s">
        <v>1089</v>
      </c>
      <c r="AG391" s="364" t="s">
        <v>1089</v>
      </c>
      <c r="AH391" s="366" t="s">
        <v>1089</v>
      </c>
    </row>
    <row r="392" customFormat="false" ht="15.75" hidden="false" customHeight="false" outlineLevel="0" collapsed="false">
      <c r="A392" s="262" t="n">
        <v>339</v>
      </c>
      <c r="B392" s="361" t="n">
        <v>390</v>
      </c>
      <c r="C392" s="261" t="s">
        <v>1090</v>
      </c>
      <c r="D392" s="261" t="s">
        <v>60</v>
      </c>
      <c r="E392" s="362" t="s">
        <v>1090</v>
      </c>
      <c r="F392" s="261" t="s">
        <v>879</v>
      </c>
      <c r="G392" s="261" t="s">
        <v>144</v>
      </c>
      <c r="H392" s="261" t="n">
        <v>0</v>
      </c>
      <c r="I392" s="261" t="n">
        <v>1</v>
      </c>
      <c r="J392" s="361" t="n">
        <v>0</v>
      </c>
      <c r="K392" s="262" t="n">
        <v>50</v>
      </c>
      <c r="L392" s="262" t="n">
        <v>48</v>
      </c>
      <c r="M392" s="262" t="n">
        <v>43</v>
      </c>
      <c r="N392" s="262" t="n">
        <v>46</v>
      </c>
      <c r="O392" s="262" t="n">
        <v>41</v>
      </c>
      <c r="P392" s="361" t="n">
        <v>60</v>
      </c>
      <c r="Q392" s="261" t="s">
        <v>154</v>
      </c>
      <c r="R392" s="261" t="s">
        <v>148</v>
      </c>
      <c r="S392" s="363" t="n">
        <f aca="false" t="array" ref="S392:S392">IF(COUNTIF('0.3.0 GO Calculation Values'!$J$2:$J$99,C392),(INDEX('0.3.0 GO Calculation Values'!$K$2:$K$99,MATCH(C392,'0.3.0 GO Calculation Values'!$J$2:$J$99,0))),1)</f>
        <v>1</v>
      </c>
      <c r="T392" s="262" t="n">
        <f aca="false">ROUND(ROUND(2*((7/8)*MAX(L392,N392)+(1/8)*MIN(L392,N392)),0)*(1+(P392-75)/500),0)</f>
        <v>93</v>
      </c>
      <c r="U392" s="262" t="n">
        <f aca="false">ROUND(ROUND(2*((5/8)*MAX(M392,O392)+(3/8)*MIN(M392,O392)),0)*(1+(P392-75)/500),0)</f>
        <v>82</v>
      </c>
      <c r="V392" s="361" t="n">
        <f aca="false">ROUNDDOWN(K392*1.75+50,0)</f>
        <v>137</v>
      </c>
      <c r="W392" s="261" t="n">
        <v>1</v>
      </c>
      <c r="X392" s="261" t="s">
        <v>60</v>
      </c>
      <c r="Y392" s="364" t="s">
        <v>1090</v>
      </c>
      <c r="Z392" s="364" t="n">
        <v>1</v>
      </c>
      <c r="AA392" s="364"/>
      <c r="AB392" s="365" t="n">
        <v>2</v>
      </c>
      <c r="AC392" s="364"/>
      <c r="AD392" s="364" t="n">
        <v>0</v>
      </c>
      <c r="AE392" s="366"/>
      <c r="AF392" s="364" t="s">
        <v>1091</v>
      </c>
      <c r="AG392" s="364" t="s">
        <v>1091</v>
      </c>
      <c r="AH392" s="366" t="s">
        <v>1091</v>
      </c>
    </row>
    <row r="393" customFormat="false" ht="15.75" hidden="false" customHeight="false" outlineLevel="0" collapsed="false">
      <c r="A393" s="262" t="n">
        <v>340</v>
      </c>
      <c r="B393" s="361" t="n">
        <v>391</v>
      </c>
      <c r="C393" s="261" t="s">
        <v>1092</v>
      </c>
      <c r="D393" s="261" t="s">
        <v>60</v>
      </c>
      <c r="E393" s="362" t="s">
        <v>1092</v>
      </c>
      <c r="F393" s="261" t="s">
        <v>879</v>
      </c>
      <c r="G393" s="261" t="s">
        <v>144</v>
      </c>
      <c r="H393" s="261" t="n">
        <v>0</v>
      </c>
      <c r="I393" s="261" t="n">
        <v>2</v>
      </c>
      <c r="J393" s="361" t="n">
        <v>1</v>
      </c>
      <c r="K393" s="262" t="n">
        <v>110</v>
      </c>
      <c r="L393" s="262" t="n">
        <v>78</v>
      </c>
      <c r="M393" s="262" t="n">
        <v>73</v>
      </c>
      <c r="N393" s="262" t="n">
        <v>76</v>
      </c>
      <c r="O393" s="262" t="n">
        <v>71</v>
      </c>
      <c r="P393" s="361" t="n">
        <v>60</v>
      </c>
      <c r="Q393" s="261" t="s">
        <v>154</v>
      </c>
      <c r="R393" s="261" t="s">
        <v>148</v>
      </c>
      <c r="S393" s="363" t="n">
        <f aca="false" t="array" ref="S393:S393">IF(COUNTIF('0.3.0 GO Calculation Values'!$J$2:$J$99,C393),(INDEX('0.3.0 GO Calculation Values'!$K$2:$K$99,MATCH(C393,'0.3.0 GO Calculation Values'!$J$2:$J$99,0))),1)</f>
        <v>1</v>
      </c>
      <c r="T393" s="262" t="n">
        <f aca="false">ROUND(ROUND(2*((7/8)*MAX(L393,N393)+(1/8)*MIN(L393,N393)),0)*(1+(P393-75)/500),0)</f>
        <v>151</v>
      </c>
      <c r="U393" s="262" t="n">
        <f aca="false">ROUND(ROUND(2*((5/8)*MAX(M393,O393)+(3/8)*MIN(M393,O393)),0)*(1+(P393-75)/500),0)</f>
        <v>141</v>
      </c>
      <c r="V393" s="361" t="n">
        <f aca="false">ROUNDDOWN(K393*1.75+50,0)</f>
        <v>242</v>
      </c>
      <c r="W393" s="261" t="n">
        <v>1</v>
      </c>
      <c r="X393" s="261" t="s">
        <v>1090</v>
      </c>
      <c r="Y393" s="364" t="s">
        <v>1090</v>
      </c>
      <c r="Z393" s="364" t="n">
        <v>1</v>
      </c>
      <c r="AA393" s="364"/>
      <c r="AB393" s="365" t="n">
        <v>2</v>
      </c>
      <c r="AC393" s="364"/>
      <c r="AD393" s="364" t="n">
        <v>50</v>
      </c>
      <c r="AE393" s="366"/>
      <c r="AF393" s="364" t="s">
        <v>1093</v>
      </c>
      <c r="AG393" s="364" t="s">
        <v>1093</v>
      </c>
      <c r="AH393" s="366" t="s">
        <v>1093</v>
      </c>
    </row>
    <row r="394" customFormat="false" ht="15.75" hidden="false" customHeight="false" outlineLevel="0" collapsed="false">
      <c r="A394" s="262" t="n">
        <v>341</v>
      </c>
      <c r="B394" s="361" t="n">
        <v>392</v>
      </c>
      <c r="C394" s="261" t="s">
        <v>1094</v>
      </c>
      <c r="D394" s="261" t="s">
        <v>60</v>
      </c>
      <c r="E394" s="362" t="s">
        <v>1094</v>
      </c>
      <c r="F394" s="261" t="s">
        <v>879</v>
      </c>
      <c r="G394" s="261" t="s">
        <v>144</v>
      </c>
      <c r="H394" s="261" t="n">
        <v>0</v>
      </c>
      <c r="I394" s="261" t="n">
        <v>1</v>
      </c>
      <c r="J394" s="361" t="n">
        <v>0</v>
      </c>
      <c r="K394" s="262" t="n">
        <v>43</v>
      </c>
      <c r="L394" s="262" t="n">
        <v>80</v>
      </c>
      <c r="M394" s="262" t="n">
        <v>65</v>
      </c>
      <c r="N394" s="262" t="n">
        <v>50</v>
      </c>
      <c r="O394" s="262" t="n">
        <v>35</v>
      </c>
      <c r="P394" s="361" t="n">
        <v>35</v>
      </c>
      <c r="Q394" s="261" t="s">
        <v>154</v>
      </c>
      <c r="R394" s="261"/>
      <c r="S394" s="363" t="n">
        <f aca="false" t="array" ref="S394:S394">IF(COUNTIF('0.3.0 GO Calculation Values'!$J$2:$J$99,C394),(INDEX('0.3.0 GO Calculation Values'!$K$2:$K$99,MATCH(C394,'0.3.0 GO Calculation Values'!$J$2:$J$99,0))),1)</f>
        <v>1</v>
      </c>
      <c r="T394" s="262" t="n">
        <f aca="false">ROUND(ROUND(2*((7/8)*MAX(L394,N394)+(1/8)*MIN(L394,N394)),0)*(1+(P394-75)/500),0)</f>
        <v>141</v>
      </c>
      <c r="U394" s="262" t="n">
        <f aca="false">ROUND(ROUND(2*((5/8)*MAX(M394,O394)+(3/8)*MIN(M394,O394)),0)*(1+(P394-75)/500),0)</f>
        <v>99</v>
      </c>
      <c r="V394" s="361" t="n">
        <f aca="false">ROUNDDOWN(K394*1.75+50,0)</f>
        <v>125</v>
      </c>
      <c r="W394" s="261" t="n">
        <v>1</v>
      </c>
      <c r="X394" s="261" t="s">
        <v>60</v>
      </c>
      <c r="Y394" s="364" t="s">
        <v>1094</v>
      </c>
      <c r="Z394" s="364" t="n">
        <v>3</v>
      </c>
      <c r="AA394" s="364"/>
      <c r="AB394" s="365" t="n">
        <v>5</v>
      </c>
      <c r="AC394" s="364"/>
      <c r="AD394" s="364" t="n">
        <v>0</v>
      </c>
      <c r="AE394" s="366"/>
      <c r="AF394" s="364" t="s">
        <v>1095</v>
      </c>
      <c r="AG394" s="364" t="s">
        <v>1095</v>
      </c>
      <c r="AH394" s="366" t="s">
        <v>1095</v>
      </c>
    </row>
    <row r="395" customFormat="false" ht="15.75" hidden="false" customHeight="false" outlineLevel="0" collapsed="false">
      <c r="A395" s="262" t="n">
        <v>342</v>
      </c>
      <c r="B395" s="361" t="n">
        <v>393</v>
      </c>
      <c r="C395" s="261" t="s">
        <v>1096</v>
      </c>
      <c r="D395" s="261" t="s">
        <v>60</v>
      </c>
      <c r="E395" s="362" t="s">
        <v>1096</v>
      </c>
      <c r="F395" s="261" t="s">
        <v>879</v>
      </c>
      <c r="G395" s="261" t="s">
        <v>144</v>
      </c>
      <c r="H395" s="261" t="n">
        <v>0</v>
      </c>
      <c r="I395" s="261" t="n">
        <v>2</v>
      </c>
      <c r="J395" s="361" t="n">
        <v>1</v>
      </c>
      <c r="K395" s="262" t="n">
        <v>63</v>
      </c>
      <c r="L395" s="262" t="n">
        <v>120</v>
      </c>
      <c r="M395" s="262" t="n">
        <v>85</v>
      </c>
      <c r="N395" s="262" t="n">
        <v>90</v>
      </c>
      <c r="O395" s="262" t="n">
        <v>55</v>
      </c>
      <c r="P395" s="361" t="n">
        <v>55</v>
      </c>
      <c r="Q395" s="261" t="s">
        <v>154</v>
      </c>
      <c r="R395" s="261" t="s">
        <v>160</v>
      </c>
      <c r="S395" s="363" t="n">
        <f aca="false" t="array" ref="S395:S395">IF(COUNTIF('0.3.0 GO Calculation Values'!$J$2:$J$99,C395),(INDEX('0.3.0 GO Calculation Values'!$K$2:$K$99,MATCH(C395,'0.3.0 GO Calculation Values'!$J$2:$J$99,0))),1)</f>
        <v>1</v>
      </c>
      <c r="T395" s="262" t="n">
        <f aca="false">ROUND(ROUND(2*((7/8)*MAX(L395,N395)+(1/8)*MIN(L395,N395)),0)*(1+(P395-75)/500),0)</f>
        <v>224</v>
      </c>
      <c r="U395" s="262" t="n">
        <f aca="false">ROUND(ROUND(2*((5/8)*MAX(M395,O395)+(3/8)*MIN(M395,O395)),0)*(1+(P395-75)/500),0)</f>
        <v>142</v>
      </c>
      <c r="V395" s="361" t="n">
        <f aca="false">ROUNDDOWN(K395*1.75+50,0)</f>
        <v>160</v>
      </c>
      <c r="W395" s="261" t="n">
        <v>1</v>
      </c>
      <c r="X395" s="261" t="s">
        <v>1094</v>
      </c>
      <c r="Y395" s="364" t="s">
        <v>1094</v>
      </c>
      <c r="Z395" s="364" t="n">
        <v>3</v>
      </c>
      <c r="AA395" s="364"/>
      <c r="AB395" s="365" t="n">
        <v>5</v>
      </c>
      <c r="AC395" s="364"/>
      <c r="AD395" s="364" t="n">
        <v>50</v>
      </c>
      <c r="AE395" s="366"/>
      <c r="AF395" s="364" t="s">
        <v>1097</v>
      </c>
      <c r="AG395" s="364" t="s">
        <v>1097</v>
      </c>
      <c r="AH395" s="366" t="s">
        <v>1097</v>
      </c>
    </row>
    <row r="396" customFormat="false" ht="15.75" hidden="false" customHeight="false" outlineLevel="0" collapsed="false">
      <c r="A396" s="262" t="n">
        <v>343</v>
      </c>
      <c r="B396" s="361" t="n">
        <v>394</v>
      </c>
      <c r="C396" s="261" t="s">
        <v>1098</v>
      </c>
      <c r="D396" s="261" t="s">
        <v>60</v>
      </c>
      <c r="E396" s="362" t="s">
        <v>1098</v>
      </c>
      <c r="F396" s="261" t="s">
        <v>879</v>
      </c>
      <c r="G396" s="261" t="s">
        <v>144</v>
      </c>
      <c r="H396" s="261" t="n">
        <v>0</v>
      </c>
      <c r="I396" s="261" t="n">
        <v>1</v>
      </c>
      <c r="J396" s="361" t="n">
        <v>0</v>
      </c>
      <c r="K396" s="262" t="n">
        <v>40</v>
      </c>
      <c r="L396" s="262" t="n">
        <v>40</v>
      </c>
      <c r="M396" s="262" t="n">
        <v>55</v>
      </c>
      <c r="N396" s="262" t="n">
        <v>40</v>
      </c>
      <c r="O396" s="262" t="n">
        <v>70</v>
      </c>
      <c r="P396" s="361" t="n">
        <v>55</v>
      </c>
      <c r="Q396" s="261" t="s">
        <v>148</v>
      </c>
      <c r="R396" s="261" t="s">
        <v>157</v>
      </c>
      <c r="S396" s="363" t="n">
        <f aca="false" t="array" ref="S396:S396">IF(COUNTIF('0.3.0 GO Calculation Values'!$J$2:$J$99,C396),(INDEX('0.3.0 GO Calculation Values'!$K$2:$K$99,MATCH(C396,'0.3.0 GO Calculation Values'!$J$2:$J$99,0))),1)</f>
        <v>1</v>
      </c>
      <c r="T396" s="262" t="n">
        <f aca="false">ROUND(ROUND(2*((7/8)*MAX(L396,N396)+(1/8)*MIN(L396,N396)),0)*(1+(P396-75)/500),0)</f>
        <v>77</v>
      </c>
      <c r="U396" s="262" t="n">
        <f aca="false">ROUND(ROUND(2*((5/8)*MAX(M396,O396)+(3/8)*MIN(M396,O396)),0)*(1+(P396-75)/500),0)</f>
        <v>124</v>
      </c>
      <c r="V396" s="361" t="n">
        <f aca="false">ROUNDDOWN(K396*1.75+50,0)</f>
        <v>120</v>
      </c>
      <c r="W396" s="261" t="n">
        <v>1</v>
      </c>
      <c r="X396" s="261" t="s">
        <v>60</v>
      </c>
      <c r="Y396" s="364" t="s">
        <v>1098</v>
      </c>
      <c r="Z396" s="364" t="n">
        <v>3</v>
      </c>
      <c r="AA396" s="364"/>
      <c r="AB396" s="365" t="n">
        <v>5</v>
      </c>
      <c r="AC396" s="364"/>
      <c r="AD396" s="364" t="n">
        <v>0</v>
      </c>
      <c r="AE396" s="366"/>
      <c r="AF396" s="364" t="s">
        <v>1099</v>
      </c>
      <c r="AG396" s="364" t="s">
        <v>1099</v>
      </c>
      <c r="AH396" s="366" t="s">
        <v>1099</v>
      </c>
    </row>
    <row r="397" customFormat="false" ht="15.75" hidden="false" customHeight="false" outlineLevel="0" collapsed="false">
      <c r="A397" s="262" t="n">
        <v>344</v>
      </c>
      <c r="B397" s="361" t="n">
        <v>395</v>
      </c>
      <c r="C397" s="261" t="s">
        <v>1100</v>
      </c>
      <c r="D397" s="261" t="s">
        <v>60</v>
      </c>
      <c r="E397" s="362" t="s">
        <v>1100</v>
      </c>
      <c r="F397" s="261" t="s">
        <v>879</v>
      </c>
      <c r="G397" s="261" t="s">
        <v>144</v>
      </c>
      <c r="H397" s="261" t="n">
        <v>0</v>
      </c>
      <c r="I397" s="261" t="n">
        <v>2</v>
      </c>
      <c r="J397" s="361" t="n">
        <v>1</v>
      </c>
      <c r="K397" s="262" t="n">
        <v>60</v>
      </c>
      <c r="L397" s="262" t="n">
        <v>70</v>
      </c>
      <c r="M397" s="262" t="n">
        <v>105</v>
      </c>
      <c r="N397" s="262" t="n">
        <v>70</v>
      </c>
      <c r="O397" s="262" t="n">
        <v>120</v>
      </c>
      <c r="P397" s="361" t="n">
        <v>75</v>
      </c>
      <c r="Q397" s="261" t="s">
        <v>148</v>
      </c>
      <c r="R397" s="261" t="s">
        <v>157</v>
      </c>
      <c r="S397" s="363" t="n">
        <f aca="false" t="array" ref="S397:S397">IF(COUNTIF('0.3.0 GO Calculation Values'!$J$2:$J$99,C397),(INDEX('0.3.0 GO Calculation Values'!$K$2:$K$99,MATCH(C397,'0.3.0 GO Calculation Values'!$J$2:$J$99,0))),1)</f>
        <v>1</v>
      </c>
      <c r="T397" s="262" t="n">
        <f aca="false">ROUND(ROUND(2*((7/8)*MAX(L397,N397)+(1/8)*MIN(L397,N397)),0)*(1+(P397-75)/500),0)</f>
        <v>140</v>
      </c>
      <c r="U397" s="262" t="n">
        <f aca="false">ROUND(ROUND(2*((5/8)*MAX(M397,O397)+(3/8)*MIN(M397,O397)),0)*(1+(P397-75)/500),0)</f>
        <v>229</v>
      </c>
      <c r="V397" s="361" t="n">
        <f aca="false">ROUNDDOWN(K397*1.75+50,0)</f>
        <v>155</v>
      </c>
      <c r="W397" s="261" t="n">
        <v>1</v>
      </c>
      <c r="X397" s="261" t="s">
        <v>1098</v>
      </c>
      <c r="Y397" s="364" t="s">
        <v>1098</v>
      </c>
      <c r="Z397" s="364" t="n">
        <v>3</v>
      </c>
      <c r="AA397" s="364"/>
      <c r="AB397" s="365" t="n">
        <v>5</v>
      </c>
      <c r="AC397" s="364"/>
      <c r="AD397" s="364" t="n">
        <v>50</v>
      </c>
      <c r="AE397" s="366"/>
      <c r="AF397" s="364" t="s">
        <v>1101</v>
      </c>
      <c r="AG397" s="364" t="s">
        <v>1101</v>
      </c>
      <c r="AH397" s="366" t="s">
        <v>1101</v>
      </c>
    </row>
    <row r="398" customFormat="false" ht="15.75" hidden="false" customHeight="false" outlineLevel="0" collapsed="false">
      <c r="A398" s="262" t="n">
        <v>345</v>
      </c>
      <c r="B398" s="361" t="n">
        <v>396</v>
      </c>
      <c r="C398" s="261" t="s">
        <v>1102</v>
      </c>
      <c r="D398" s="261" t="s">
        <v>60</v>
      </c>
      <c r="E398" s="362" t="s">
        <v>1102</v>
      </c>
      <c r="F398" s="261" t="s">
        <v>879</v>
      </c>
      <c r="G398" s="261" t="s">
        <v>144</v>
      </c>
      <c r="H398" s="261" t="n">
        <v>0</v>
      </c>
      <c r="I398" s="261" t="n">
        <v>1</v>
      </c>
      <c r="J398" s="361" t="n">
        <v>0</v>
      </c>
      <c r="K398" s="262" t="n">
        <v>66</v>
      </c>
      <c r="L398" s="262" t="n">
        <v>41</v>
      </c>
      <c r="M398" s="262" t="n">
        <v>77</v>
      </c>
      <c r="N398" s="262" t="n">
        <v>61</v>
      </c>
      <c r="O398" s="262" t="n">
        <v>87</v>
      </c>
      <c r="P398" s="361" t="n">
        <v>23</v>
      </c>
      <c r="Q398" s="261" t="s">
        <v>149</v>
      </c>
      <c r="R398" s="261" t="s">
        <v>155</v>
      </c>
      <c r="S398" s="363" t="n">
        <f aca="false" t="array" ref="S398:S398">IF(COUNTIF('0.3.0 GO Calculation Values'!$J$2:$J$99,C398),(INDEX('0.3.0 GO Calculation Values'!$K$2:$K$99,MATCH(C398,'0.3.0 GO Calculation Values'!$J$2:$J$99,0))),1)</f>
        <v>1</v>
      </c>
      <c r="T398" s="262" t="n">
        <f aca="false">ROUND(ROUND(2*((7/8)*MAX(L398,N398)+(1/8)*MIN(L398,N398)),0)*(1+(P398-75)/500),0)</f>
        <v>105</v>
      </c>
      <c r="U398" s="262" t="n">
        <f aca="false">ROUND(ROUND(2*((5/8)*MAX(M398,O398)+(3/8)*MIN(M398,O398)),0)*(1+(P398-75)/500),0)</f>
        <v>150</v>
      </c>
      <c r="V398" s="361" t="n">
        <f aca="false">ROUNDDOWN(K398*1.75+50,0)</f>
        <v>165</v>
      </c>
      <c r="W398" s="261" t="n">
        <v>1</v>
      </c>
      <c r="X398" s="261" t="s">
        <v>60</v>
      </c>
      <c r="Y398" s="364" t="s">
        <v>1102</v>
      </c>
      <c r="Z398" s="364" t="n">
        <v>3</v>
      </c>
      <c r="AA398" s="364"/>
      <c r="AB398" s="365" t="n">
        <v>5</v>
      </c>
      <c r="AC398" s="364"/>
      <c r="AD398" s="364" t="n">
        <v>0</v>
      </c>
      <c r="AE398" s="366"/>
      <c r="AF398" s="364" t="s">
        <v>1103</v>
      </c>
      <c r="AG398" s="364" t="s">
        <v>1103</v>
      </c>
      <c r="AH398" s="366" t="s">
        <v>1103</v>
      </c>
    </row>
    <row r="399" customFormat="false" ht="15.75" hidden="false" customHeight="false" outlineLevel="0" collapsed="false">
      <c r="A399" s="262" t="n">
        <v>346</v>
      </c>
      <c r="B399" s="361" t="n">
        <v>397</v>
      </c>
      <c r="C399" s="261" t="s">
        <v>1104</v>
      </c>
      <c r="D399" s="261" t="s">
        <v>60</v>
      </c>
      <c r="E399" s="362" t="s">
        <v>1104</v>
      </c>
      <c r="F399" s="261" t="s">
        <v>879</v>
      </c>
      <c r="G399" s="261" t="s">
        <v>144</v>
      </c>
      <c r="H399" s="261" t="n">
        <v>0</v>
      </c>
      <c r="I399" s="261" t="n">
        <v>2</v>
      </c>
      <c r="J399" s="361" t="n">
        <v>1</v>
      </c>
      <c r="K399" s="262" t="n">
        <v>86</v>
      </c>
      <c r="L399" s="262" t="n">
        <v>81</v>
      </c>
      <c r="M399" s="262" t="n">
        <v>97</v>
      </c>
      <c r="N399" s="262" t="n">
        <v>81</v>
      </c>
      <c r="O399" s="262" t="n">
        <v>107</v>
      </c>
      <c r="P399" s="361" t="n">
        <v>43</v>
      </c>
      <c r="Q399" s="261" t="s">
        <v>149</v>
      </c>
      <c r="R399" s="261" t="s">
        <v>155</v>
      </c>
      <c r="S399" s="363" t="n">
        <f aca="false" t="array" ref="S399:S399">IF(COUNTIF('0.3.0 GO Calculation Values'!$J$2:$J$99,C399),(INDEX('0.3.0 GO Calculation Values'!$K$2:$K$99,MATCH(C399,'0.3.0 GO Calculation Values'!$J$2:$J$99,0))),1)</f>
        <v>1</v>
      </c>
      <c r="T399" s="262" t="n">
        <f aca="false">ROUND(ROUND(2*((7/8)*MAX(L399,N399)+(1/8)*MIN(L399,N399)),0)*(1+(P399-75)/500),0)</f>
        <v>152</v>
      </c>
      <c r="U399" s="262" t="n">
        <f aca="false">ROUND(ROUND(2*((5/8)*MAX(M399,O399)+(3/8)*MIN(M399,O399)),0)*(1+(P399-75)/500),0)</f>
        <v>194</v>
      </c>
      <c r="V399" s="361" t="n">
        <f aca="false">ROUNDDOWN(K399*1.75+50,0)</f>
        <v>200</v>
      </c>
      <c r="W399" s="261" t="n">
        <v>1</v>
      </c>
      <c r="X399" s="261" t="s">
        <v>1102</v>
      </c>
      <c r="Y399" s="364" t="s">
        <v>1102</v>
      </c>
      <c r="Z399" s="364" t="n">
        <v>3</v>
      </c>
      <c r="AA399" s="364"/>
      <c r="AB399" s="365" t="n">
        <v>5</v>
      </c>
      <c r="AC399" s="364"/>
      <c r="AD399" s="364" t="n">
        <v>50</v>
      </c>
      <c r="AE399" s="366"/>
      <c r="AF399" s="364" t="s">
        <v>1105</v>
      </c>
      <c r="AG399" s="364" t="s">
        <v>1105</v>
      </c>
      <c r="AH399" s="366" t="s">
        <v>1105</v>
      </c>
    </row>
    <row r="400" customFormat="false" ht="15.75" hidden="false" customHeight="false" outlineLevel="0" collapsed="false">
      <c r="A400" s="262" t="n">
        <v>347</v>
      </c>
      <c r="B400" s="361" t="n">
        <v>398</v>
      </c>
      <c r="C400" s="261" t="s">
        <v>1106</v>
      </c>
      <c r="D400" s="261" t="s">
        <v>60</v>
      </c>
      <c r="E400" s="362" t="s">
        <v>1106</v>
      </c>
      <c r="F400" s="261" t="s">
        <v>879</v>
      </c>
      <c r="G400" s="261" t="s">
        <v>144</v>
      </c>
      <c r="H400" s="261" t="n">
        <v>0</v>
      </c>
      <c r="I400" s="261" t="n">
        <v>1</v>
      </c>
      <c r="J400" s="361" t="n">
        <v>0</v>
      </c>
      <c r="K400" s="262" t="n">
        <v>45</v>
      </c>
      <c r="L400" s="262" t="n">
        <v>95</v>
      </c>
      <c r="M400" s="262" t="n">
        <v>50</v>
      </c>
      <c r="N400" s="262" t="n">
        <v>40</v>
      </c>
      <c r="O400" s="262" t="n">
        <v>50</v>
      </c>
      <c r="P400" s="361" t="n">
        <v>75</v>
      </c>
      <c r="Q400" s="261" t="s">
        <v>149</v>
      </c>
      <c r="R400" s="261" t="s">
        <v>150</v>
      </c>
      <c r="S400" s="363" t="n">
        <f aca="false" t="array" ref="S400:S400">IF(COUNTIF('0.3.0 GO Calculation Values'!$J$2:$J$99,C400),(INDEX('0.3.0 GO Calculation Values'!$K$2:$K$99,MATCH(C400,'0.3.0 GO Calculation Values'!$J$2:$J$99,0))),1)</f>
        <v>1</v>
      </c>
      <c r="T400" s="262" t="n">
        <f aca="false">ROUND(ROUND(2*((7/8)*MAX(L400,N400)+(1/8)*MIN(L400,N400)),0)*(1+(P400-75)/500),0)</f>
        <v>176</v>
      </c>
      <c r="U400" s="262" t="n">
        <f aca="false">ROUND(ROUND(2*((5/8)*MAX(M400,O400)+(3/8)*MIN(M400,O400)),0)*(1+(P400-75)/500),0)</f>
        <v>100</v>
      </c>
      <c r="V400" s="361" t="n">
        <f aca="false">ROUNDDOWN(K400*1.75+50,0)</f>
        <v>128</v>
      </c>
      <c r="W400" s="261" t="n">
        <v>1</v>
      </c>
      <c r="X400" s="261" t="s">
        <v>60</v>
      </c>
      <c r="Y400" s="364" t="s">
        <v>1106</v>
      </c>
      <c r="Z400" s="364" t="n">
        <v>3</v>
      </c>
      <c r="AA400" s="364"/>
      <c r="AB400" s="365" t="n">
        <v>5</v>
      </c>
      <c r="AC400" s="364"/>
      <c r="AD400" s="364" t="n">
        <v>0</v>
      </c>
      <c r="AE400" s="366"/>
      <c r="AF400" s="364" t="s">
        <v>1107</v>
      </c>
      <c r="AG400" s="364" t="s">
        <v>1107</v>
      </c>
      <c r="AH400" s="366" t="s">
        <v>1107</v>
      </c>
    </row>
    <row r="401" customFormat="false" ht="15.75" hidden="false" customHeight="false" outlineLevel="0" collapsed="false">
      <c r="A401" s="262" t="n">
        <v>348</v>
      </c>
      <c r="B401" s="361" t="n">
        <v>399</v>
      </c>
      <c r="C401" s="261" t="s">
        <v>1108</v>
      </c>
      <c r="D401" s="261" t="s">
        <v>60</v>
      </c>
      <c r="E401" s="362" t="s">
        <v>1108</v>
      </c>
      <c r="F401" s="261" t="s">
        <v>879</v>
      </c>
      <c r="G401" s="261" t="s">
        <v>144</v>
      </c>
      <c r="H401" s="261" t="n">
        <v>0</v>
      </c>
      <c r="I401" s="261" t="n">
        <v>2</v>
      </c>
      <c r="J401" s="361" t="n">
        <v>1</v>
      </c>
      <c r="K401" s="262" t="n">
        <v>75</v>
      </c>
      <c r="L401" s="262" t="n">
        <v>125</v>
      </c>
      <c r="M401" s="262" t="n">
        <v>100</v>
      </c>
      <c r="N401" s="262" t="n">
        <v>70</v>
      </c>
      <c r="O401" s="262" t="n">
        <v>80</v>
      </c>
      <c r="P401" s="361" t="n">
        <v>45</v>
      </c>
      <c r="Q401" s="261" t="s">
        <v>149</v>
      </c>
      <c r="R401" s="261" t="s">
        <v>150</v>
      </c>
      <c r="S401" s="363" t="n">
        <f aca="false" t="array" ref="S401:S401">IF(COUNTIF('0.3.0 GO Calculation Values'!$J$2:$J$99,C401),(INDEX('0.3.0 GO Calculation Values'!$K$2:$K$99,MATCH(C401,'0.3.0 GO Calculation Values'!$J$2:$J$99,0))),1)</f>
        <v>1</v>
      </c>
      <c r="T401" s="262" t="n">
        <f aca="false">ROUND(ROUND(2*((7/8)*MAX(L401,N401)+(1/8)*MIN(L401,N401)),0)*(1+(P401-75)/500),0)</f>
        <v>222</v>
      </c>
      <c r="U401" s="262" t="n">
        <f aca="false">ROUND(ROUND(2*((5/8)*MAX(M401,O401)+(3/8)*MIN(M401,O401)),0)*(1+(P401-75)/500),0)</f>
        <v>174</v>
      </c>
      <c r="V401" s="361" t="n">
        <f aca="false">ROUNDDOWN(K401*1.75+50,0)</f>
        <v>181</v>
      </c>
      <c r="W401" s="261" t="n">
        <v>1</v>
      </c>
      <c r="X401" s="261" t="s">
        <v>1106</v>
      </c>
      <c r="Y401" s="364" t="s">
        <v>1106</v>
      </c>
      <c r="Z401" s="364" t="n">
        <v>3</v>
      </c>
      <c r="AA401" s="364"/>
      <c r="AB401" s="365" t="n">
        <v>5</v>
      </c>
      <c r="AC401" s="364"/>
      <c r="AD401" s="364" t="n">
        <v>50</v>
      </c>
      <c r="AE401" s="366"/>
      <c r="AF401" s="364" t="s">
        <v>1109</v>
      </c>
      <c r="AG401" s="364" t="s">
        <v>1109</v>
      </c>
      <c r="AH401" s="366" t="s">
        <v>1109</v>
      </c>
    </row>
    <row r="402" customFormat="false" ht="15.75" hidden="false" customHeight="false" outlineLevel="0" collapsed="false">
      <c r="A402" s="262" t="n">
        <v>349</v>
      </c>
      <c r="B402" s="361" t="n">
        <v>400</v>
      </c>
      <c r="C402" s="261" t="s">
        <v>1110</v>
      </c>
      <c r="D402" s="261" t="s">
        <v>60</v>
      </c>
      <c r="E402" s="362" t="s">
        <v>1110</v>
      </c>
      <c r="F402" s="261" t="s">
        <v>879</v>
      </c>
      <c r="G402" s="261" t="s">
        <v>144</v>
      </c>
      <c r="H402" s="261" t="n">
        <v>0</v>
      </c>
      <c r="I402" s="261" t="n">
        <v>1</v>
      </c>
      <c r="J402" s="361" t="n">
        <v>0</v>
      </c>
      <c r="K402" s="262" t="n">
        <v>20</v>
      </c>
      <c r="L402" s="262" t="n">
        <v>15</v>
      </c>
      <c r="M402" s="262" t="n">
        <v>20</v>
      </c>
      <c r="N402" s="262" t="n">
        <v>10</v>
      </c>
      <c r="O402" s="262" t="n">
        <v>55</v>
      </c>
      <c r="P402" s="361" t="n">
        <v>80</v>
      </c>
      <c r="Q402" s="261" t="s">
        <v>154</v>
      </c>
      <c r="R402" s="261"/>
      <c r="S402" s="363" t="n">
        <f aca="false" t="array" ref="S402:S402">IF(COUNTIF('0.3.0 GO Calculation Values'!$J$2:$J$99,C402),(INDEX('0.3.0 GO Calculation Values'!$K$2:$K$99,MATCH(C402,'0.3.0 GO Calculation Values'!$J$2:$J$99,0))),1)</f>
        <v>1</v>
      </c>
      <c r="T402" s="262" t="n">
        <f aca="false">ROUND(ROUND(2*((7/8)*MAX(L402,N402)+(1/8)*MIN(L402,N402)),0)*(1+(P402-75)/500),0)</f>
        <v>29</v>
      </c>
      <c r="U402" s="262" t="n">
        <f aca="false">ROUND(ROUND(2*((5/8)*MAX(M402,O402)+(3/8)*MIN(M402,O402)),0)*(1+(P402-75)/500),0)</f>
        <v>85</v>
      </c>
      <c r="V402" s="361" t="n">
        <f aca="false">ROUNDDOWN(K402*1.75+50,0)</f>
        <v>85</v>
      </c>
      <c r="W402" s="261" t="n">
        <v>1</v>
      </c>
      <c r="X402" s="261" t="s">
        <v>60</v>
      </c>
      <c r="Y402" s="364" t="s">
        <v>1110</v>
      </c>
      <c r="Z402" s="364" t="n">
        <v>5</v>
      </c>
      <c r="AA402" s="364"/>
      <c r="AB402" s="365" t="n">
        <v>10</v>
      </c>
      <c r="AC402" s="364"/>
      <c r="AD402" s="364" t="n">
        <v>0</v>
      </c>
      <c r="AE402" s="366"/>
      <c r="AF402" s="364" t="s">
        <v>1111</v>
      </c>
      <c r="AG402" s="364" t="s">
        <v>1111</v>
      </c>
      <c r="AH402" s="366" t="s">
        <v>1111</v>
      </c>
    </row>
    <row r="403" customFormat="false" ht="15.75" hidden="false" customHeight="false" outlineLevel="0" collapsed="false">
      <c r="A403" s="262" t="n">
        <v>350</v>
      </c>
      <c r="B403" s="361" t="n">
        <v>401</v>
      </c>
      <c r="C403" s="261" t="s">
        <v>1112</v>
      </c>
      <c r="D403" s="261" t="s">
        <v>60</v>
      </c>
      <c r="E403" s="362" t="s">
        <v>1112</v>
      </c>
      <c r="F403" s="261" t="s">
        <v>879</v>
      </c>
      <c r="G403" s="261" t="s">
        <v>144</v>
      </c>
      <c r="H403" s="261" t="n">
        <v>0</v>
      </c>
      <c r="I403" s="261" t="n">
        <v>2</v>
      </c>
      <c r="J403" s="361" t="n">
        <v>1</v>
      </c>
      <c r="K403" s="262" t="n">
        <v>95</v>
      </c>
      <c r="L403" s="262" t="n">
        <v>60</v>
      </c>
      <c r="M403" s="262" t="n">
        <v>79</v>
      </c>
      <c r="N403" s="262" t="n">
        <v>100</v>
      </c>
      <c r="O403" s="262" t="n">
        <v>125</v>
      </c>
      <c r="P403" s="361" t="n">
        <v>81</v>
      </c>
      <c r="Q403" s="261" t="s">
        <v>154</v>
      </c>
      <c r="R403" s="261"/>
      <c r="S403" s="363" t="n">
        <f aca="false" t="array" ref="S403:S403">IF(COUNTIF('0.3.0 GO Calculation Values'!$J$2:$J$99,C403),(INDEX('0.3.0 GO Calculation Values'!$K$2:$K$99,MATCH(C403,'0.3.0 GO Calculation Values'!$J$2:$J$99,0))),1)</f>
        <v>1</v>
      </c>
      <c r="T403" s="262" t="n">
        <f aca="false">ROUND(ROUND(2*((7/8)*MAX(L403,N403)+(1/8)*MIN(L403,N403)),0)*(1+(P403-75)/500),0)</f>
        <v>192</v>
      </c>
      <c r="U403" s="262" t="n">
        <f aca="false">ROUND(ROUND(2*((5/8)*MAX(M403,O403)+(3/8)*MIN(M403,O403)),0)*(1+(P403-75)/500),0)</f>
        <v>219</v>
      </c>
      <c r="V403" s="361" t="n">
        <f aca="false">ROUNDDOWN(K403*1.75+50,0)</f>
        <v>216</v>
      </c>
      <c r="W403" s="261" t="n">
        <v>1</v>
      </c>
      <c r="X403" s="261" t="s">
        <v>1110</v>
      </c>
      <c r="Y403" s="364" t="s">
        <v>1110</v>
      </c>
      <c r="Z403" s="364" t="n">
        <v>5</v>
      </c>
      <c r="AA403" s="364"/>
      <c r="AB403" s="365" t="n">
        <v>10</v>
      </c>
      <c r="AC403" s="364"/>
      <c r="AD403" s="364" t="n">
        <v>100</v>
      </c>
      <c r="AE403" s="362" t="s">
        <v>1113</v>
      </c>
      <c r="AF403" s="364" t="s">
        <v>1114</v>
      </c>
      <c r="AG403" s="364" t="s">
        <v>1114</v>
      </c>
      <c r="AH403" s="366" t="s">
        <v>1114</v>
      </c>
    </row>
    <row r="404" customFormat="false" ht="15.75" hidden="false" customHeight="false" outlineLevel="0" collapsed="false">
      <c r="A404" s="262" t="n">
        <v>351</v>
      </c>
      <c r="B404" s="361" t="n">
        <v>402</v>
      </c>
      <c r="C404" s="261" t="s">
        <v>1115</v>
      </c>
      <c r="D404" s="261" t="s">
        <v>144</v>
      </c>
      <c r="E404" s="358" t="s">
        <v>1115</v>
      </c>
      <c r="F404" s="261" t="s">
        <v>879</v>
      </c>
      <c r="G404" s="261" t="s">
        <v>144</v>
      </c>
      <c r="H404" s="261" t="n">
        <v>0</v>
      </c>
      <c r="I404" s="261" t="n">
        <v>1</v>
      </c>
      <c r="J404" s="361" t="n">
        <v>1</v>
      </c>
      <c r="K404" s="262" t="n">
        <v>70</v>
      </c>
      <c r="L404" s="262" t="n">
        <v>70</v>
      </c>
      <c r="M404" s="262" t="n">
        <v>70</v>
      </c>
      <c r="N404" s="262" t="n">
        <v>70</v>
      </c>
      <c r="O404" s="262" t="n">
        <v>70</v>
      </c>
      <c r="P404" s="361" t="n">
        <v>70</v>
      </c>
      <c r="Q404" s="261" t="s">
        <v>144</v>
      </c>
      <c r="R404" s="261"/>
      <c r="S404" s="363" t="n">
        <f aca="false" t="array" ref="S404:S404">IF(COUNTIF('0.3.0 GO Calculation Values'!$J$2:$J$99,C404),(INDEX('0.3.0 GO Calculation Values'!$K$2:$K$99,MATCH(C404,'0.3.0 GO Calculation Values'!$J$2:$J$99,0))),1)</f>
        <v>1</v>
      </c>
      <c r="T404" s="262" t="n">
        <f aca="false">ROUND(ROUND(2*((7/8)*MAX(L404,N404)+(1/8)*MIN(L404,N404)),0)*(1+(P404-75)/500),0)</f>
        <v>139</v>
      </c>
      <c r="U404" s="262" t="n">
        <f aca="false">ROUND(ROUND(2*((5/8)*MAX(M404,O404)+(3/8)*MIN(M404,O404)),0)*(1+(P404-75)/500),0)</f>
        <v>139</v>
      </c>
      <c r="V404" s="361" t="n">
        <f aca="false">ROUNDDOWN(K404*1.75+50,0)</f>
        <v>172</v>
      </c>
      <c r="W404" s="261" t="n">
        <v>1</v>
      </c>
      <c r="X404" s="261" t="s">
        <v>60</v>
      </c>
      <c r="Y404" s="364" t="s">
        <v>1115</v>
      </c>
      <c r="Z404" s="364" t="n">
        <v>5</v>
      </c>
      <c r="AA404" s="364"/>
      <c r="AB404" s="365" t="s">
        <v>60</v>
      </c>
      <c r="AC404" s="364"/>
      <c r="AD404" s="364" t="n">
        <v>0</v>
      </c>
      <c r="AE404" s="366"/>
      <c r="AF404" s="364" t="s">
        <v>1116</v>
      </c>
      <c r="AG404" s="364" t="s">
        <v>1116</v>
      </c>
      <c r="AH404" s="366" t="s">
        <v>1116</v>
      </c>
    </row>
    <row r="405" customFormat="false" ht="15.75" hidden="false" customHeight="false" outlineLevel="0" collapsed="false">
      <c r="A405" s="262" t="n">
        <v>351</v>
      </c>
      <c r="B405" s="361" t="n">
        <v>403</v>
      </c>
      <c r="C405" s="261" t="s">
        <v>1115</v>
      </c>
      <c r="D405" s="261" t="s">
        <v>1117</v>
      </c>
      <c r="E405" s="358" t="s">
        <v>1118</v>
      </c>
      <c r="F405" s="261" t="s">
        <v>879</v>
      </c>
      <c r="G405" s="261" t="s">
        <v>144</v>
      </c>
      <c r="H405" s="261" t="n">
        <v>1</v>
      </c>
      <c r="I405" s="261" t="n">
        <v>1</v>
      </c>
      <c r="J405" s="361" t="n">
        <v>1</v>
      </c>
      <c r="K405" s="262" t="n">
        <v>70</v>
      </c>
      <c r="L405" s="262" t="n">
        <v>70</v>
      </c>
      <c r="M405" s="262" t="n">
        <v>70</v>
      </c>
      <c r="N405" s="262" t="n">
        <v>70</v>
      </c>
      <c r="O405" s="262" t="n">
        <v>70</v>
      </c>
      <c r="P405" s="361" t="n">
        <v>70</v>
      </c>
      <c r="Q405" s="261" t="s">
        <v>153</v>
      </c>
      <c r="R405" s="261"/>
      <c r="S405" s="363" t="n">
        <f aca="false" t="array" ref="S405:S405">IF(COUNTIF('0.3.0 GO Calculation Values'!$J$2:$J$99,C405),(INDEX('0.3.0 GO Calculation Values'!$K$2:$K$99,MATCH(C405,'0.3.0 GO Calculation Values'!$J$2:$J$99,0))),1)</f>
        <v>1</v>
      </c>
      <c r="T405" s="262" t="n">
        <f aca="false">ROUND(ROUND(2*((7/8)*MAX(L405,N405)+(1/8)*MIN(L405,N405)),0)*(1+(P405-75)/500),0)</f>
        <v>139</v>
      </c>
      <c r="U405" s="262" t="n">
        <f aca="false">ROUND(ROUND(2*((5/8)*MAX(M405,O405)+(3/8)*MIN(M405,O405)),0)*(1+(P405-75)/500),0)</f>
        <v>139</v>
      </c>
      <c r="V405" s="361" t="n">
        <f aca="false">ROUNDDOWN(K405*1.75+50,0)</f>
        <v>172</v>
      </c>
      <c r="W405" s="261" t="n">
        <v>1</v>
      </c>
      <c r="X405" s="261" t="s">
        <v>60</v>
      </c>
      <c r="Y405" s="364" t="s">
        <v>1115</v>
      </c>
      <c r="Z405" s="364" t="n">
        <v>5</v>
      </c>
      <c r="AA405" s="364"/>
      <c r="AB405" s="365" t="s">
        <v>60</v>
      </c>
      <c r="AC405" s="364"/>
      <c r="AD405" s="364" t="n">
        <v>0</v>
      </c>
      <c r="AE405" s="366"/>
      <c r="AF405" s="364" t="s">
        <v>1116</v>
      </c>
      <c r="AG405" s="261" t="s">
        <v>1119</v>
      </c>
      <c r="AH405" s="362" t="s">
        <v>1119</v>
      </c>
    </row>
    <row r="406" customFormat="false" ht="15.75" hidden="false" customHeight="false" outlineLevel="0" collapsed="false">
      <c r="A406" s="262" t="n">
        <v>351</v>
      </c>
      <c r="B406" s="361" t="n">
        <v>404</v>
      </c>
      <c r="C406" s="261" t="s">
        <v>1115</v>
      </c>
      <c r="D406" s="261" t="s">
        <v>1120</v>
      </c>
      <c r="E406" s="358" t="s">
        <v>1121</v>
      </c>
      <c r="F406" s="261" t="s">
        <v>879</v>
      </c>
      <c r="G406" s="261" t="s">
        <v>144</v>
      </c>
      <c r="H406" s="261" t="n">
        <v>1</v>
      </c>
      <c r="I406" s="261" t="n">
        <v>1</v>
      </c>
      <c r="J406" s="361" t="n">
        <v>1</v>
      </c>
      <c r="K406" s="262" t="n">
        <v>70</v>
      </c>
      <c r="L406" s="262" t="n">
        <v>70</v>
      </c>
      <c r="M406" s="262" t="n">
        <v>70</v>
      </c>
      <c r="N406" s="262" t="n">
        <v>70</v>
      </c>
      <c r="O406" s="262" t="n">
        <v>70</v>
      </c>
      <c r="P406" s="361" t="n">
        <v>70</v>
      </c>
      <c r="Q406" s="261" t="s">
        <v>154</v>
      </c>
      <c r="R406" s="261"/>
      <c r="S406" s="363" t="n">
        <f aca="false" t="array" ref="S406:S406">IF(COUNTIF('0.3.0 GO Calculation Values'!$J$2:$J$99,C406),(INDEX('0.3.0 GO Calculation Values'!$K$2:$K$99,MATCH(C406,'0.3.0 GO Calculation Values'!$J$2:$J$99,0))),1)</f>
        <v>1</v>
      </c>
      <c r="T406" s="262" t="n">
        <f aca="false">ROUND(ROUND(2*((7/8)*MAX(L406,N406)+(1/8)*MIN(L406,N406)),0)*(1+(P406-75)/500),0)</f>
        <v>139</v>
      </c>
      <c r="U406" s="262" t="n">
        <f aca="false">ROUND(ROUND(2*((5/8)*MAX(M406,O406)+(3/8)*MIN(M406,O406)),0)*(1+(P406-75)/500),0)</f>
        <v>139</v>
      </c>
      <c r="V406" s="361" t="n">
        <f aca="false">ROUNDDOWN(K406*1.75+50,0)</f>
        <v>172</v>
      </c>
      <c r="W406" s="261" t="n">
        <v>1</v>
      </c>
      <c r="X406" s="261" t="s">
        <v>60</v>
      </c>
      <c r="Y406" s="364" t="s">
        <v>1115</v>
      </c>
      <c r="Z406" s="364" t="n">
        <v>5</v>
      </c>
      <c r="AA406" s="364"/>
      <c r="AB406" s="365" t="s">
        <v>60</v>
      </c>
      <c r="AC406" s="364"/>
      <c r="AD406" s="364" t="n">
        <v>0</v>
      </c>
      <c r="AE406" s="366"/>
      <c r="AF406" s="364" t="s">
        <v>1116</v>
      </c>
      <c r="AG406" s="261" t="s">
        <v>1122</v>
      </c>
      <c r="AH406" s="362" t="s">
        <v>1122</v>
      </c>
    </row>
    <row r="407" customFormat="false" ht="15.75" hidden="false" customHeight="false" outlineLevel="0" collapsed="false">
      <c r="A407" s="262" t="n">
        <v>351</v>
      </c>
      <c r="B407" s="361" t="n">
        <v>405</v>
      </c>
      <c r="C407" s="261" t="s">
        <v>1115</v>
      </c>
      <c r="D407" s="261" t="s">
        <v>1123</v>
      </c>
      <c r="E407" s="358" t="s">
        <v>1124</v>
      </c>
      <c r="F407" s="261" t="s">
        <v>879</v>
      </c>
      <c r="G407" s="261" t="s">
        <v>144</v>
      </c>
      <c r="H407" s="261" t="n">
        <v>1</v>
      </c>
      <c r="I407" s="261" t="n">
        <v>1</v>
      </c>
      <c r="J407" s="361" t="n">
        <v>1</v>
      </c>
      <c r="K407" s="262" t="n">
        <v>70</v>
      </c>
      <c r="L407" s="262" t="n">
        <v>70</v>
      </c>
      <c r="M407" s="262" t="n">
        <v>70</v>
      </c>
      <c r="N407" s="262" t="n">
        <v>70</v>
      </c>
      <c r="O407" s="262" t="n">
        <v>70</v>
      </c>
      <c r="P407" s="361" t="n">
        <v>70</v>
      </c>
      <c r="Q407" s="261" t="s">
        <v>158</v>
      </c>
      <c r="R407" s="261"/>
      <c r="S407" s="363" t="n">
        <f aca="false" t="array" ref="S407:S407">IF(COUNTIF('0.3.0 GO Calculation Values'!$J$2:$J$99,C407),(INDEX('0.3.0 GO Calculation Values'!$K$2:$K$99,MATCH(C407,'0.3.0 GO Calculation Values'!$J$2:$J$99,0))),1)</f>
        <v>1</v>
      </c>
      <c r="T407" s="262" t="n">
        <f aca="false">ROUND(ROUND(2*((7/8)*MAX(L407,N407)+(1/8)*MIN(L407,N407)),0)*(1+(P407-75)/500),0)</f>
        <v>139</v>
      </c>
      <c r="U407" s="262" t="n">
        <f aca="false">ROUND(ROUND(2*((5/8)*MAX(M407,O407)+(3/8)*MIN(M407,O407)),0)*(1+(P407-75)/500),0)</f>
        <v>139</v>
      </c>
      <c r="V407" s="361" t="n">
        <f aca="false">ROUNDDOWN(K407*1.75+50,0)</f>
        <v>172</v>
      </c>
      <c r="W407" s="261" t="n">
        <v>1</v>
      </c>
      <c r="X407" s="261" t="s">
        <v>60</v>
      </c>
      <c r="Y407" s="364" t="s">
        <v>1115</v>
      </c>
      <c r="Z407" s="364" t="n">
        <v>5</v>
      </c>
      <c r="AA407" s="364"/>
      <c r="AB407" s="365" t="s">
        <v>60</v>
      </c>
      <c r="AC407" s="364"/>
      <c r="AD407" s="364" t="n">
        <v>0</v>
      </c>
      <c r="AE407" s="366"/>
      <c r="AF407" s="364" t="s">
        <v>1116</v>
      </c>
      <c r="AG407" s="261" t="s">
        <v>1125</v>
      </c>
      <c r="AH407" s="362" t="s">
        <v>1125</v>
      </c>
    </row>
    <row r="408" customFormat="false" ht="15.75" hidden="false" customHeight="false" outlineLevel="0" collapsed="false">
      <c r="A408" s="262" t="n">
        <v>352</v>
      </c>
      <c r="B408" s="361" t="n">
        <v>406</v>
      </c>
      <c r="C408" s="261" t="s">
        <v>1126</v>
      </c>
      <c r="D408" s="261" t="s">
        <v>60</v>
      </c>
      <c r="E408" s="362" t="s">
        <v>1126</v>
      </c>
      <c r="F408" s="261" t="s">
        <v>879</v>
      </c>
      <c r="G408" s="261" t="s">
        <v>144</v>
      </c>
      <c r="H408" s="261" t="n">
        <v>0</v>
      </c>
      <c r="I408" s="261" t="n">
        <v>1</v>
      </c>
      <c r="J408" s="361" t="n">
        <v>1</v>
      </c>
      <c r="K408" s="262" t="n">
        <v>60</v>
      </c>
      <c r="L408" s="262" t="n">
        <v>90</v>
      </c>
      <c r="M408" s="262" t="n">
        <v>70</v>
      </c>
      <c r="N408" s="262" t="n">
        <v>60</v>
      </c>
      <c r="O408" s="262" t="n">
        <v>120</v>
      </c>
      <c r="P408" s="361" t="n">
        <v>40</v>
      </c>
      <c r="Q408" s="261" t="s">
        <v>144</v>
      </c>
      <c r="R408" s="261"/>
      <c r="S408" s="363" t="n">
        <f aca="false" t="array" ref="S408:S408">IF(COUNTIF('0.3.0 GO Calculation Values'!$J$2:$J$99,C408),(INDEX('0.3.0 GO Calculation Values'!$K$2:$K$99,MATCH(C408,'0.3.0 GO Calculation Values'!$J$2:$J$99,0))),1)</f>
        <v>1</v>
      </c>
      <c r="T408" s="262" t="n">
        <f aca="false">ROUND(ROUND(2*((7/8)*MAX(L408,N408)+(1/8)*MIN(L408,N408)),0)*(1+(P408-75)/500),0)</f>
        <v>161</v>
      </c>
      <c r="U408" s="262" t="n">
        <f aca="false">ROUND(ROUND(2*((5/8)*MAX(M408,O408)+(3/8)*MIN(M408,O408)),0)*(1+(P408-75)/500),0)</f>
        <v>189</v>
      </c>
      <c r="V408" s="361" t="n">
        <f aca="false">ROUNDDOWN(K408*1.75+50,0)</f>
        <v>155</v>
      </c>
      <c r="W408" s="261" t="n">
        <v>1</v>
      </c>
      <c r="X408" s="261" t="s">
        <v>60</v>
      </c>
      <c r="Y408" s="364" t="s">
        <v>1126</v>
      </c>
      <c r="Z408" s="364" t="n">
        <v>5</v>
      </c>
      <c r="AA408" s="364"/>
      <c r="AB408" s="365"/>
      <c r="AC408" s="364"/>
      <c r="AD408" s="364" t="n">
        <v>0</v>
      </c>
      <c r="AE408" s="366"/>
      <c r="AF408" s="364" t="s">
        <v>1127</v>
      </c>
      <c r="AG408" s="364" t="s">
        <v>1127</v>
      </c>
      <c r="AH408" s="366" t="s">
        <v>1127</v>
      </c>
    </row>
    <row r="409" customFormat="false" ht="15.75" hidden="false" customHeight="false" outlineLevel="0" collapsed="false">
      <c r="A409" s="262" t="n">
        <v>353</v>
      </c>
      <c r="B409" s="361" t="n">
        <v>407</v>
      </c>
      <c r="C409" s="261" t="s">
        <v>1128</v>
      </c>
      <c r="D409" s="261" t="s">
        <v>60</v>
      </c>
      <c r="E409" s="362" t="s">
        <v>1128</v>
      </c>
      <c r="F409" s="261" t="s">
        <v>879</v>
      </c>
      <c r="G409" s="261" t="s">
        <v>144</v>
      </c>
      <c r="H409" s="261" t="n">
        <v>0</v>
      </c>
      <c r="I409" s="261" t="n">
        <v>1</v>
      </c>
      <c r="J409" s="361" t="n">
        <v>0</v>
      </c>
      <c r="K409" s="262" t="n">
        <v>44</v>
      </c>
      <c r="L409" s="262" t="n">
        <v>75</v>
      </c>
      <c r="M409" s="262" t="n">
        <v>35</v>
      </c>
      <c r="N409" s="262" t="n">
        <v>63</v>
      </c>
      <c r="O409" s="262" t="n">
        <v>33</v>
      </c>
      <c r="P409" s="361" t="n">
        <v>45</v>
      </c>
      <c r="Q409" s="261" t="s">
        <v>151</v>
      </c>
      <c r="R409" s="261"/>
      <c r="S409" s="363" t="n">
        <f aca="false" t="array" ref="S409:S409">IF(COUNTIF('0.3.0 GO Calculation Values'!$J$2:$J$99,C409),(INDEX('0.3.0 GO Calculation Values'!$K$2:$K$99,MATCH(C409,'0.3.0 GO Calculation Values'!$J$2:$J$99,0))),1)</f>
        <v>1</v>
      </c>
      <c r="T409" s="262" t="n">
        <f aca="false">ROUND(ROUND(2*((7/8)*MAX(L409,N409)+(1/8)*MIN(L409,N409)),0)*(1+(P409-75)/500),0)</f>
        <v>138</v>
      </c>
      <c r="U409" s="262" t="n">
        <f aca="false">ROUND(ROUND(2*((5/8)*MAX(M409,O409)+(3/8)*MIN(M409,O409)),0)*(1+(P409-75)/500),0)</f>
        <v>65</v>
      </c>
      <c r="V409" s="361" t="n">
        <f aca="false">ROUNDDOWN(K409*1.75+50,0)</f>
        <v>127</v>
      </c>
      <c r="W409" s="261" t="n">
        <v>1</v>
      </c>
      <c r="X409" s="261" t="s">
        <v>60</v>
      </c>
      <c r="Y409" s="364" t="s">
        <v>1128</v>
      </c>
      <c r="Z409" s="364" t="n">
        <v>3</v>
      </c>
      <c r="AA409" s="261" t="n">
        <v>43039</v>
      </c>
      <c r="AB409" s="365" t="n">
        <v>5</v>
      </c>
      <c r="AC409" s="364"/>
      <c r="AD409" s="364" t="n">
        <v>0</v>
      </c>
      <c r="AE409" s="366"/>
      <c r="AF409" s="364" t="s">
        <v>1129</v>
      </c>
      <c r="AG409" s="364" t="s">
        <v>1129</v>
      </c>
      <c r="AH409" s="366" t="s">
        <v>1129</v>
      </c>
    </row>
    <row r="410" customFormat="false" ht="15.75" hidden="false" customHeight="false" outlineLevel="0" collapsed="false">
      <c r="A410" s="262" t="n">
        <v>354</v>
      </c>
      <c r="B410" s="361" t="n">
        <v>408</v>
      </c>
      <c r="C410" s="261" t="s">
        <v>1130</v>
      </c>
      <c r="D410" s="261" t="s">
        <v>7</v>
      </c>
      <c r="E410" s="367" t="s">
        <v>1130</v>
      </c>
      <c r="F410" s="261" t="s">
        <v>879</v>
      </c>
      <c r="G410" s="261" t="s">
        <v>144</v>
      </c>
      <c r="H410" s="261" t="n">
        <v>0</v>
      </c>
      <c r="I410" s="261" t="n">
        <v>2</v>
      </c>
      <c r="J410" s="361" t="n">
        <v>1</v>
      </c>
      <c r="K410" s="262" t="n">
        <v>64</v>
      </c>
      <c r="L410" s="262" t="n">
        <v>115</v>
      </c>
      <c r="M410" s="262" t="n">
        <v>65</v>
      </c>
      <c r="N410" s="262" t="n">
        <v>83</v>
      </c>
      <c r="O410" s="262" t="n">
        <v>63</v>
      </c>
      <c r="P410" s="361" t="n">
        <v>65</v>
      </c>
      <c r="Q410" s="261" t="s">
        <v>151</v>
      </c>
      <c r="R410" s="261"/>
      <c r="S410" s="363" t="n">
        <f aca="false" t="array" ref="S410:S410">IF(COUNTIF('0.3.0 GO Calculation Values'!$J$2:$J$99,C410),(INDEX('0.3.0 GO Calculation Values'!$K$2:$K$99,MATCH(C410,'0.3.0 GO Calculation Values'!$J$2:$J$99,0))),1)</f>
        <v>1</v>
      </c>
      <c r="T410" s="262" t="n">
        <f aca="false">ROUND(ROUND(2*((7/8)*MAX(L410,N410)+(1/8)*MIN(L410,N410)),0)*(1+(P410-75)/500),0)</f>
        <v>218</v>
      </c>
      <c r="U410" s="262" t="n">
        <f aca="false">ROUND(ROUND(2*((5/8)*MAX(M410,O410)+(3/8)*MIN(M410,O410)),0)*(1+(P410-75)/500),0)</f>
        <v>126</v>
      </c>
      <c r="V410" s="361" t="n">
        <f aca="false">ROUNDDOWN(K410*1.75+50,0)</f>
        <v>162</v>
      </c>
      <c r="W410" s="261" t="n">
        <v>1</v>
      </c>
      <c r="X410" s="261" t="s">
        <v>1128</v>
      </c>
      <c r="Y410" s="364" t="s">
        <v>1128</v>
      </c>
      <c r="Z410" s="364" t="n">
        <v>3</v>
      </c>
      <c r="AA410" s="261" t="n">
        <v>43039</v>
      </c>
      <c r="AB410" s="365" t="n">
        <v>5</v>
      </c>
      <c r="AC410" s="364"/>
      <c r="AD410" s="364" t="n">
        <v>50</v>
      </c>
      <c r="AE410" s="366"/>
      <c r="AF410" s="364" t="s">
        <v>1131</v>
      </c>
      <c r="AG410" s="364" t="s">
        <v>1131</v>
      </c>
      <c r="AH410" s="366" t="s">
        <v>1131</v>
      </c>
    </row>
    <row r="411" customFormat="false" ht="15.75" hidden="false" customHeight="false" outlineLevel="0" collapsed="false">
      <c r="A411" s="262" t="n">
        <v>354</v>
      </c>
      <c r="B411" s="361" t="n">
        <v>409</v>
      </c>
      <c r="C411" s="261" t="s">
        <v>1130</v>
      </c>
      <c r="D411" s="261" t="s">
        <v>1132</v>
      </c>
      <c r="E411" s="358" t="s">
        <v>1133</v>
      </c>
      <c r="F411" s="261" t="s">
        <v>887</v>
      </c>
      <c r="G411" s="261" t="s">
        <v>144</v>
      </c>
      <c r="H411" s="261" t="n">
        <v>2</v>
      </c>
      <c r="I411" s="261" t="n">
        <v>3</v>
      </c>
      <c r="J411" s="361" t="n">
        <v>1</v>
      </c>
      <c r="K411" s="262" t="n">
        <v>64</v>
      </c>
      <c r="L411" s="262" t="n">
        <v>165</v>
      </c>
      <c r="M411" s="262" t="n">
        <v>75</v>
      </c>
      <c r="N411" s="262" t="n">
        <v>93</v>
      </c>
      <c r="O411" s="262" t="n">
        <v>83</v>
      </c>
      <c r="P411" s="361" t="n">
        <v>75</v>
      </c>
      <c r="Q411" s="261" t="s">
        <v>151</v>
      </c>
      <c r="R411" s="261"/>
      <c r="S411" s="363" t="n">
        <f aca="false" t="array" ref="S411:S411">IF(COUNTIF('0.3.0 GO Calculation Values'!$J$2:$J$99,C411),(INDEX('0.3.0 GO Calculation Values'!$K$2:$K$99,MATCH(C411,'0.3.0 GO Calculation Values'!$J$2:$J$99,0))),1)</f>
        <v>1</v>
      </c>
      <c r="T411" s="262" t="n">
        <f aca="false">ROUND(ROUND(2*((7/8)*MAX(L411,N411)+(1/8)*MIN(L411,N411)),0)*(1+(P411-75)/500),0)</f>
        <v>312</v>
      </c>
      <c r="U411" s="262" t="n">
        <f aca="false">ROUND(ROUND(2*((5/8)*MAX(M411,O411)+(3/8)*MIN(M411,O411)),0)*(1+(P411-75)/500),0)</f>
        <v>160</v>
      </c>
      <c r="V411" s="361" t="n">
        <f aca="false">ROUNDDOWN(K411*1.75+50,0)</f>
        <v>162</v>
      </c>
      <c r="W411" s="261" t="n">
        <v>0</v>
      </c>
      <c r="X411" s="261" t="s">
        <v>1130</v>
      </c>
      <c r="Y411" s="364" t="s">
        <v>1128</v>
      </c>
      <c r="Z411" s="364" t="n">
        <v>3</v>
      </c>
      <c r="AA411" s="364"/>
      <c r="AB411" s="365" t="n">
        <v>5</v>
      </c>
      <c r="AC411" s="364"/>
      <c r="AD411" s="364" t="n">
        <v>50</v>
      </c>
      <c r="AE411" s="366"/>
      <c r="AF411" s="364" t="s">
        <v>1134</v>
      </c>
      <c r="AG411" s="364" t="s">
        <v>1134</v>
      </c>
      <c r="AH411" s="366" t="s">
        <v>1134</v>
      </c>
    </row>
    <row r="412" customFormat="false" ht="15.75" hidden="false" customHeight="false" outlineLevel="0" collapsed="false">
      <c r="A412" s="262" t="n">
        <v>355</v>
      </c>
      <c r="B412" s="361" t="n">
        <v>410</v>
      </c>
      <c r="C412" s="261" t="s">
        <v>1135</v>
      </c>
      <c r="D412" s="261" t="s">
        <v>60</v>
      </c>
      <c r="E412" s="362" t="s">
        <v>1135</v>
      </c>
      <c r="F412" s="261" t="s">
        <v>879</v>
      </c>
      <c r="G412" s="261" t="s">
        <v>144</v>
      </c>
      <c r="H412" s="261" t="n">
        <v>0</v>
      </c>
      <c r="I412" s="261" t="n">
        <v>1</v>
      </c>
      <c r="J412" s="361" t="n">
        <v>0</v>
      </c>
      <c r="K412" s="262" t="n">
        <v>20</v>
      </c>
      <c r="L412" s="262" t="n">
        <v>40</v>
      </c>
      <c r="M412" s="262" t="n">
        <v>90</v>
      </c>
      <c r="N412" s="262" t="n">
        <v>30</v>
      </c>
      <c r="O412" s="262" t="n">
        <v>90</v>
      </c>
      <c r="P412" s="361" t="n">
        <v>25</v>
      </c>
      <c r="Q412" s="261" t="s">
        <v>151</v>
      </c>
      <c r="R412" s="261"/>
      <c r="S412" s="363" t="n">
        <f aca="false" t="array" ref="S412:S412">IF(COUNTIF('0.3.0 GO Calculation Values'!$J$2:$J$99,C412),(INDEX('0.3.0 GO Calculation Values'!$K$2:$K$99,MATCH(C412,'0.3.0 GO Calculation Values'!$J$2:$J$99,0))),1)</f>
        <v>1</v>
      </c>
      <c r="T412" s="262" t="n">
        <f aca="false">ROUND(ROUND(2*((7/8)*MAX(L412,N412)+(1/8)*MIN(L412,N412)),0)*(1+(P412-75)/500),0)</f>
        <v>70</v>
      </c>
      <c r="U412" s="262" t="n">
        <f aca="false">ROUND(ROUND(2*((5/8)*MAX(M412,O412)+(3/8)*MIN(M412,O412)),0)*(1+(P412-75)/500),0)</f>
        <v>162</v>
      </c>
      <c r="V412" s="361" t="n">
        <f aca="false">ROUNDDOWN(K412*1.75+50,0)</f>
        <v>85</v>
      </c>
      <c r="W412" s="261" t="n">
        <v>1</v>
      </c>
      <c r="X412" s="261" t="s">
        <v>60</v>
      </c>
      <c r="Y412" s="364" t="s">
        <v>1135</v>
      </c>
      <c r="Z412" s="364" t="n">
        <v>3</v>
      </c>
      <c r="AA412" s="261" t="n">
        <v>43034</v>
      </c>
      <c r="AB412" s="365" t="n">
        <v>5</v>
      </c>
      <c r="AC412" s="364"/>
      <c r="AD412" s="364" t="n">
        <v>0</v>
      </c>
      <c r="AE412" s="366"/>
      <c r="AF412" s="364" t="s">
        <v>1136</v>
      </c>
      <c r="AG412" s="364" t="s">
        <v>1136</v>
      </c>
      <c r="AH412" s="366" t="s">
        <v>1136</v>
      </c>
    </row>
    <row r="413" customFormat="false" ht="15.75" hidden="false" customHeight="false" outlineLevel="0" collapsed="false">
      <c r="A413" s="262" t="n">
        <v>356</v>
      </c>
      <c r="B413" s="361" t="n">
        <v>411</v>
      </c>
      <c r="C413" s="261" t="s">
        <v>1137</v>
      </c>
      <c r="D413" s="261" t="s">
        <v>60</v>
      </c>
      <c r="E413" s="362" t="s">
        <v>1137</v>
      </c>
      <c r="F413" s="261" t="s">
        <v>879</v>
      </c>
      <c r="G413" s="261" t="s">
        <v>144</v>
      </c>
      <c r="H413" s="261" t="n">
        <v>0</v>
      </c>
      <c r="I413" s="261" t="n">
        <v>2</v>
      </c>
      <c r="J413" s="361" t="n">
        <v>1</v>
      </c>
      <c r="K413" s="262" t="n">
        <v>40</v>
      </c>
      <c r="L413" s="262" t="n">
        <v>70</v>
      </c>
      <c r="M413" s="262" t="n">
        <v>130</v>
      </c>
      <c r="N413" s="262" t="n">
        <v>60</v>
      </c>
      <c r="O413" s="262" t="n">
        <v>130</v>
      </c>
      <c r="P413" s="361" t="n">
        <v>25</v>
      </c>
      <c r="Q413" s="261" t="s">
        <v>151</v>
      </c>
      <c r="R413" s="261"/>
      <c r="S413" s="363" t="n">
        <f aca="false" t="array" ref="S413:S413">IF(COUNTIF('0.3.0 GO Calculation Values'!$J$2:$J$99,C413),(INDEX('0.3.0 GO Calculation Values'!$K$2:$K$99,MATCH(C413,'0.3.0 GO Calculation Values'!$J$2:$J$99,0))),1)</f>
        <v>1</v>
      </c>
      <c r="T413" s="262" t="n">
        <f aca="false">ROUND(ROUND(2*((7/8)*MAX(L413,N413)+(1/8)*MIN(L413,N413)),0)*(1+(P413-75)/500),0)</f>
        <v>124</v>
      </c>
      <c r="U413" s="262" t="n">
        <f aca="false">ROUND(ROUND(2*((5/8)*MAX(M413,O413)+(3/8)*MIN(M413,O413)),0)*(1+(P413-75)/500),0)</f>
        <v>234</v>
      </c>
      <c r="V413" s="361" t="n">
        <f aca="false">ROUNDDOWN(K413*1.75+50,0)</f>
        <v>120</v>
      </c>
      <c r="W413" s="261" t="n">
        <v>1</v>
      </c>
      <c r="X413" s="261" t="s">
        <v>1135</v>
      </c>
      <c r="Y413" s="364" t="s">
        <v>1135</v>
      </c>
      <c r="Z413" s="364" t="n">
        <v>3</v>
      </c>
      <c r="AA413" s="261" t="n">
        <v>43034</v>
      </c>
      <c r="AB413" s="365" t="n">
        <v>5</v>
      </c>
      <c r="AC413" s="364"/>
      <c r="AD413" s="364" t="n">
        <v>50</v>
      </c>
      <c r="AE413" s="366"/>
      <c r="AF413" s="364" t="s">
        <v>1138</v>
      </c>
      <c r="AG413" s="364" t="s">
        <v>1138</v>
      </c>
      <c r="AH413" s="366" t="s">
        <v>1138</v>
      </c>
    </row>
    <row r="414" customFormat="false" ht="15.75" hidden="false" customHeight="false" outlineLevel="0" collapsed="false">
      <c r="A414" s="262" t="n">
        <v>357</v>
      </c>
      <c r="B414" s="361" t="n">
        <v>412</v>
      </c>
      <c r="C414" s="261" t="s">
        <v>1139</v>
      </c>
      <c r="D414" s="261" t="s">
        <v>60</v>
      </c>
      <c r="E414" s="362" t="s">
        <v>1139</v>
      </c>
      <c r="F414" s="261" t="s">
        <v>879</v>
      </c>
      <c r="G414" s="261" t="s">
        <v>144</v>
      </c>
      <c r="H414" s="261" t="n">
        <v>0</v>
      </c>
      <c r="I414" s="261" t="n">
        <v>1</v>
      </c>
      <c r="J414" s="361" t="n">
        <v>1</v>
      </c>
      <c r="K414" s="262" t="n">
        <v>99</v>
      </c>
      <c r="L414" s="262" t="n">
        <v>68</v>
      </c>
      <c r="M414" s="262" t="n">
        <v>83</v>
      </c>
      <c r="N414" s="262" t="n">
        <v>72</v>
      </c>
      <c r="O414" s="262" t="n">
        <v>87</v>
      </c>
      <c r="P414" s="361" t="n">
        <v>51</v>
      </c>
      <c r="Q414" s="261" t="s">
        <v>155</v>
      </c>
      <c r="R414" s="261" t="s">
        <v>146</v>
      </c>
      <c r="S414" s="363" t="n">
        <f aca="false" t="array" ref="S414:S414">IF(COUNTIF('0.3.0 GO Calculation Values'!$J$2:$J$99,C414),(INDEX('0.3.0 GO Calculation Values'!$K$2:$K$99,MATCH(C414,'0.3.0 GO Calculation Values'!$J$2:$J$99,0))),1)</f>
        <v>1</v>
      </c>
      <c r="T414" s="262" t="n">
        <f aca="false">ROUND(ROUND(2*((7/8)*MAX(L414,N414)+(1/8)*MIN(L414,N414)),0)*(1+(P414-75)/500),0)</f>
        <v>136</v>
      </c>
      <c r="U414" s="262" t="n">
        <f aca="false">ROUND(ROUND(2*((5/8)*MAX(M414,O414)+(3/8)*MIN(M414,O414)),0)*(1+(P414-75)/500),0)</f>
        <v>163</v>
      </c>
      <c r="V414" s="361" t="n">
        <f aca="false">ROUNDDOWN(K414*1.75+50,0)</f>
        <v>223</v>
      </c>
      <c r="W414" s="261" t="n">
        <v>1</v>
      </c>
      <c r="X414" s="261" t="s">
        <v>60</v>
      </c>
      <c r="Y414" s="364" t="s">
        <v>1139</v>
      </c>
      <c r="Z414" s="364" t="n">
        <v>5</v>
      </c>
      <c r="AA414" s="364"/>
      <c r="AB414" s="365" t="s">
        <v>60</v>
      </c>
      <c r="AC414" s="364"/>
      <c r="AD414" s="364" t="n">
        <v>0</v>
      </c>
      <c r="AE414" s="366"/>
      <c r="AF414" s="364" t="s">
        <v>1140</v>
      </c>
      <c r="AG414" s="364" t="s">
        <v>1140</v>
      </c>
      <c r="AH414" s="366" t="s">
        <v>1140</v>
      </c>
    </row>
    <row r="415" customFormat="false" ht="15.75" hidden="false" customHeight="false" outlineLevel="0" collapsed="false">
      <c r="A415" s="262" t="n">
        <v>358</v>
      </c>
      <c r="B415" s="361" t="n">
        <v>413</v>
      </c>
      <c r="C415" s="261" t="s">
        <v>1141</v>
      </c>
      <c r="D415" s="261" t="s">
        <v>60</v>
      </c>
      <c r="E415" s="362" t="s">
        <v>1141</v>
      </c>
      <c r="F415" s="261" t="s">
        <v>879</v>
      </c>
      <c r="G415" s="261" t="s">
        <v>144</v>
      </c>
      <c r="H415" s="261" t="n">
        <v>0</v>
      </c>
      <c r="I415" s="261" t="n">
        <v>2</v>
      </c>
      <c r="J415" s="361" t="n">
        <v>1</v>
      </c>
      <c r="K415" s="262" t="n">
        <v>75</v>
      </c>
      <c r="L415" s="262" t="n">
        <v>50</v>
      </c>
      <c r="M415" s="262" t="n">
        <v>80</v>
      </c>
      <c r="N415" s="262" t="n">
        <v>95</v>
      </c>
      <c r="O415" s="262" t="n">
        <v>90</v>
      </c>
      <c r="P415" s="361" t="n">
        <v>65</v>
      </c>
      <c r="Q415" s="261" t="s">
        <v>157</v>
      </c>
      <c r="R415" s="261"/>
      <c r="S415" s="363" t="n">
        <f aca="false" t="array" ref="S415:S415">IF(COUNTIF('0.3.0 GO Calculation Values'!$J$2:$J$99,C415),(INDEX('0.3.0 GO Calculation Values'!$K$2:$K$99,MATCH(C415,'0.3.0 GO Calculation Values'!$J$2:$J$99,0))),1)</f>
        <v>1</v>
      </c>
      <c r="T415" s="262" t="n">
        <f aca="false">ROUND(ROUND(2*((7/8)*MAX(L415,N415)+(1/8)*MIN(L415,N415)),0)*(1+(P415-75)/500),0)</f>
        <v>175</v>
      </c>
      <c r="U415" s="262" t="n">
        <f aca="false">ROUND(ROUND(2*((5/8)*MAX(M415,O415)+(3/8)*MIN(M415,O415)),0)*(1+(P415-75)/500),0)</f>
        <v>170</v>
      </c>
      <c r="V415" s="361" t="n">
        <f aca="false">ROUNDDOWN(K415*1.75+50,0)</f>
        <v>181</v>
      </c>
      <c r="W415" s="261" t="n">
        <v>1</v>
      </c>
      <c r="X415" s="261" t="s">
        <v>1142</v>
      </c>
      <c r="Y415" s="364" t="s">
        <v>1141</v>
      </c>
      <c r="Z415" s="364" t="n">
        <v>5</v>
      </c>
      <c r="AA415" s="364"/>
      <c r="AB415" s="365" t="n">
        <v>10</v>
      </c>
      <c r="AC415" s="364"/>
      <c r="AD415" s="364" t="n">
        <v>0</v>
      </c>
      <c r="AE415" s="366"/>
      <c r="AF415" s="364" t="s">
        <v>1143</v>
      </c>
      <c r="AG415" s="364" t="s">
        <v>1143</v>
      </c>
      <c r="AH415" s="366" t="s">
        <v>1143</v>
      </c>
    </row>
    <row r="416" customFormat="false" ht="15.75" hidden="false" customHeight="false" outlineLevel="0" collapsed="false">
      <c r="A416" s="262" t="n">
        <v>359</v>
      </c>
      <c r="B416" s="361" t="n">
        <v>414</v>
      </c>
      <c r="C416" s="261" t="s">
        <v>1144</v>
      </c>
      <c r="D416" s="261" t="s">
        <v>7</v>
      </c>
      <c r="E416" s="367" t="s">
        <v>1144</v>
      </c>
      <c r="F416" s="261" t="s">
        <v>879</v>
      </c>
      <c r="G416" s="261" t="s">
        <v>144</v>
      </c>
      <c r="H416" s="261" t="n">
        <v>0</v>
      </c>
      <c r="I416" s="261" t="n">
        <v>1</v>
      </c>
      <c r="J416" s="361" t="n">
        <v>1</v>
      </c>
      <c r="K416" s="262" t="n">
        <v>65</v>
      </c>
      <c r="L416" s="262" t="n">
        <v>130</v>
      </c>
      <c r="M416" s="262" t="n">
        <v>60</v>
      </c>
      <c r="N416" s="262" t="n">
        <v>75</v>
      </c>
      <c r="O416" s="262" t="n">
        <v>60</v>
      </c>
      <c r="P416" s="361" t="n">
        <v>75</v>
      </c>
      <c r="Q416" s="261" t="s">
        <v>160</v>
      </c>
      <c r="R416" s="261"/>
      <c r="S416" s="363" t="n">
        <f aca="false" t="array" ref="S416:S416">IF(COUNTIF('0.3.0 GO Calculation Values'!$J$2:$J$99,C416),(INDEX('0.3.0 GO Calculation Values'!$K$2:$K$99,MATCH(C416,'0.3.0 GO Calculation Values'!$J$2:$J$99,0))),1)</f>
        <v>1</v>
      </c>
      <c r="T416" s="262" t="n">
        <f aca="false">ROUND(ROUND(2*((7/8)*MAX(L416,N416)+(1/8)*MIN(L416,N416)),0)*(1+(P416-75)/500),0)</f>
        <v>246</v>
      </c>
      <c r="U416" s="262" t="n">
        <f aca="false">ROUND(ROUND(2*((5/8)*MAX(M416,O416)+(3/8)*MIN(M416,O416)),0)*(1+(P416-75)/500),0)</f>
        <v>120</v>
      </c>
      <c r="V416" s="361" t="n">
        <f aca="false">ROUNDDOWN(K416*1.75+50,0)</f>
        <v>163</v>
      </c>
      <c r="W416" s="261" t="n">
        <v>1</v>
      </c>
      <c r="X416" s="261" t="s">
        <v>60</v>
      </c>
      <c r="Y416" s="364" t="s">
        <v>1144</v>
      </c>
      <c r="Z416" s="364" t="n">
        <v>5</v>
      </c>
      <c r="AA416" s="261" t="n">
        <v>43077</v>
      </c>
      <c r="AB416" s="365" t="s">
        <v>60</v>
      </c>
      <c r="AC416" s="364"/>
      <c r="AD416" s="364" t="n">
        <v>0</v>
      </c>
      <c r="AE416" s="366"/>
      <c r="AF416" s="364" t="s">
        <v>1145</v>
      </c>
      <c r="AG416" s="364" t="s">
        <v>1145</v>
      </c>
      <c r="AH416" s="366" t="s">
        <v>1145</v>
      </c>
    </row>
    <row r="417" customFormat="false" ht="15.75" hidden="false" customHeight="false" outlineLevel="0" collapsed="false">
      <c r="A417" s="262" t="n">
        <v>359</v>
      </c>
      <c r="B417" s="361" t="n">
        <v>415</v>
      </c>
      <c r="C417" s="261" t="s">
        <v>1144</v>
      </c>
      <c r="D417" s="261" t="s">
        <v>1146</v>
      </c>
      <c r="E417" s="358" t="s">
        <v>1147</v>
      </c>
      <c r="F417" s="261" t="s">
        <v>887</v>
      </c>
      <c r="G417" s="261" t="s">
        <v>144</v>
      </c>
      <c r="H417" s="261" t="n">
        <v>2</v>
      </c>
      <c r="I417" s="261" t="n">
        <v>2</v>
      </c>
      <c r="J417" s="361" t="n">
        <v>1</v>
      </c>
      <c r="K417" s="262" t="n">
        <v>65</v>
      </c>
      <c r="L417" s="262" t="n">
        <v>150</v>
      </c>
      <c r="M417" s="262" t="n">
        <v>60</v>
      </c>
      <c r="N417" s="262" t="n">
        <v>115</v>
      </c>
      <c r="O417" s="262" t="n">
        <v>60</v>
      </c>
      <c r="P417" s="361" t="n">
        <v>115</v>
      </c>
      <c r="Q417" s="261" t="s">
        <v>160</v>
      </c>
      <c r="R417" s="261"/>
      <c r="S417" s="363" t="n">
        <f aca="false" t="array" ref="S417:S417">IF(COUNTIF('0.3.0 GO Calculation Values'!$J$2:$J$99,C417),(INDEX('0.3.0 GO Calculation Values'!$K$2:$K$99,MATCH(C417,'0.3.0 GO Calculation Values'!$J$2:$J$99,0))),1)</f>
        <v>1</v>
      </c>
      <c r="T417" s="262" t="n">
        <f aca="false">ROUND(ROUND(2*((7/8)*MAX(L417,N417)+(1/8)*MIN(L417,N417)),0)*(1+(P417-75)/500),0)</f>
        <v>314</v>
      </c>
      <c r="U417" s="262" t="n">
        <f aca="false">ROUND(ROUND(2*((5/8)*MAX(M417,O417)+(3/8)*MIN(M417,O417)),0)*(1+(P417-75)/500),0)</f>
        <v>130</v>
      </c>
      <c r="V417" s="361" t="n">
        <f aca="false">ROUNDDOWN(K417*1.75+50,0)</f>
        <v>163</v>
      </c>
      <c r="W417" s="261" t="n">
        <v>0</v>
      </c>
      <c r="X417" s="261" t="s">
        <v>1144</v>
      </c>
      <c r="Y417" s="364" t="s">
        <v>1144</v>
      </c>
      <c r="Z417" s="364" t="n">
        <v>5</v>
      </c>
      <c r="AA417" s="364"/>
      <c r="AB417" s="365" t="s">
        <v>60</v>
      </c>
      <c r="AC417" s="364"/>
      <c r="AD417" s="364" t="n">
        <v>0</v>
      </c>
      <c r="AE417" s="366"/>
      <c r="AF417" s="364" t="s">
        <v>1148</v>
      </c>
      <c r="AG417" s="364" t="s">
        <v>1148</v>
      </c>
      <c r="AH417" s="366" t="s">
        <v>1148</v>
      </c>
    </row>
    <row r="418" customFormat="false" ht="15.75" hidden="false" customHeight="false" outlineLevel="0" collapsed="false">
      <c r="A418" s="262" t="n">
        <v>360</v>
      </c>
      <c r="B418" s="361" t="n">
        <v>416</v>
      </c>
      <c r="C418" s="261" t="s">
        <v>762</v>
      </c>
      <c r="D418" s="261" t="s">
        <v>60</v>
      </c>
      <c r="E418" s="362" t="s">
        <v>762</v>
      </c>
      <c r="F418" s="261" t="s">
        <v>879</v>
      </c>
      <c r="G418" s="261" t="s">
        <v>693</v>
      </c>
      <c r="H418" s="261" t="n">
        <v>0</v>
      </c>
      <c r="I418" s="261" t="n">
        <v>1</v>
      </c>
      <c r="J418" s="361" t="n">
        <v>0</v>
      </c>
      <c r="K418" s="262" t="n">
        <v>95</v>
      </c>
      <c r="L418" s="262" t="n">
        <v>23</v>
      </c>
      <c r="M418" s="262" t="n">
        <v>48</v>
      </c>
      <c r="N418" s="262" t="n">
        <v>23</v>
      </c>
      <c r="O418" s="262" t="n">
        <v>48</v>
      </c>
      <c r="P418" s="361" t="n">
        <v>23</v>
      </c>
      <c r="Q418" s="261" t="s">
        <v>157</v>
      </c>
      <c r="R418" s="261"/>
      <c r="S418" s="363" t="n">
        <f aca="false" t="array" ref="S418:S418">IF(COUNTIF('0.3.0 GO Calculation Values'!$J$2:$J$99,C418),(INDEX('0.3.0 GO Calculation Values'!$K$2:$K$99,MATCH(C418,'0.3.0 GO Calculation Values'!$J$2:$J$99,0))),1)</f>
        <v>1</v>
      </c>
      <c r="T418" s="262" t="n">
        <f aca="false">ROUND(ROUND(2*((7/8)*MAX(L418,N418)+(1/8)*MIN(L418,N418)),0)*(1+(P418-75)/500),0)</f>
        <v>41</v>
      </c>
      <c r="U418" s="262" t="n">
        <f aca="false">ROUND(ROUND(2*((5/8)*MAX(M418,O418)+(3/8)*MIN(M418,O418)),0)*(1+(P418-75)/500),0)</f>
        <v>86</v>
      </c>
      <c r="V418" s="361" t="n">
        <f aca="false">ROUNDDOWN(K418*1.75+50,0)</f>
        <v>216</v>
      </c>
      <c r="W418" s="261" t="n">
        <v>1</v>
      </c>
      <c r="X418" s="261" t="s">
        <v>60</v>
      </c>
      <c r="Y418" s="364" t="s">
        <v>761</v>
      </c>
      <c r="Z418" s="364" t="n">
        <v>3</v>
      </c>
      <c r="AA418" s="364"/>
      <c r="AB418" s="365" t="n">
        <v>5</v>
      </c>
      <c r="AC418" s="364"/>
      <c r="AD418" s="364" t="n">
        <v>0</v>
      </c>
      <c r="AE418" s="366"/>
      <c r="AF418" s="364" t="s">
        <v>1149</v>
      </c>
      <c r="AG418" s="364" t="s">
        <v>1149</v>
      </c>
      <c r="AH418" s="366" t="s">
        <v>1149</v>
      </c>
    </row>
    <row r="419" customFormat="false" ht="15.75" hidden="false" customHeight="false" outlineLevel="0" collapsed="false">
      <c r="A419" s="262" t="n">
        <v>361</v>
      </c>
      <c r="B419" s="361" t="n">
        <v>417</v>
      </c>
      <c r="C419" s="261" t="s">
        <v>1150</v>
      </c>
      <c r="D419" s="261" t="s">
        <v>60</v>
      </c>
      <c r="E419" s="362" t="s">
        <v>1150</v>
      </c>
      <c r="F419" s="261" t="s">
        <v>879</v>
      </c>
      <c r="G419" s="261" t="s">
        <v>144</v>
      </c>
      <c r="H419" s="261" t="n">
        <v>0</v>
      </c>
      <c r="I419" s="261" t="n">
        <v>1</v>
      </c>
      <c r="J419" s="361" t="n">
        <v>0</v>
      </c>
      <c r="K419" s="262" t="n">
        <v>50</v>
      </c>
      <c r="L419" s="262" t="n">
        <v>50</v>
      </c>
      <c r="M419" s="262" t="n">
        <v>50</v>
      </c>
      <c r="N419" s="262" t="n">
        <v>50</v>
      </c>
      <c r="O419" s="262" t="n">
        <v>50</v>
      </c>
      <c r="P419" s="361" t="n">
        <v>50</v>
      </c>
      <c r="Q419" s="261" t="s">
        <v>158</v>
      </c>
      <c r="R419" s="261"/>
      <c r="S419" s="363" t="n">
        <f aca="false" t="array" ref="S419:S419">IF(COUNTIF('0.3.0 GO Calculation Values'!$J$2:$J$99,C419),(INDEX('0.3.0 GO Calculation Values'!$K$2:$K$99,MATCH(C419,'0.3.0 GO Calculation Values'!$J$2:$J$99,0))),1)</f>
        <v>1</v>
      </c>
      <c r="T419" s="262" t="n">
        <f aca="false">ROUND(ROUND(2*((7/8)*MAX(L419,N419)+(1/8)*MIN(L419,N419)),0)*(1+(P419-75)/500),0)</f>
        <v>95</v>
      </c>
      <c r="U419" s="262" t="n">
        <f aca="false">ROUND(ROUND(2*((5/8)*MAX(M419,O419)+(3/8)*MIN(M419,O419)),0)*(1+(P419-75)/500),0)</f>
        <v>95</v>
      </c>
      <c r="V419" s="361" t="n">
        <f aca="false">ROUNDDOWN(K419*1.75+50,0)</f>
        <v>137</v>
      </c>
      <c r="W419" s="261" t="n">
        <v>1</v>
      </c>
      <c r="X419" s="261" t="s">
        <v>60</v>
      </c>
      <c r="Y419" s="364" t="s">
        <v>1150</v>
      </c>
      <c r="Z419" s="364" t="n">
        <v>3</v>
      </c>
      <c r="AA419" s="261" t="n">
        <v>43090</v>
      </c>
      <c r="AB419" s="365" t="n">
        <v>5</v>
      </c>
      <c r="AC419" s="364"/>
      <c r="AD419" s="364" t="n">
        <v>0</v>
      </c>
      <c r="AE419" s="366"/>
      <c r="AF419" s="364" t="s">
        <v>1151</v>
      </c>
      <c r="AG419" s="364" t="s">
        <v>1151</v>
      </c>
      <c r="AH419" s="366" t="s">
        <v>1151</v>
      </c>
    </row>
    <row r="420" customFormat="false" ht="15.75" hidden="false" customHeight="false" outlineLevel="0" collapsed="false">
      <c r="A420" s="262" t="n">
        <v>362</v>
      </c>
      <c r="B420" s="361" t="n">
        <v>418</v>
      </c>
      <c r="C420" s="261" t="s">
        <v>1152</v>
      </c>
      <c r="D420" s="261" t="s">
        <v>7</v>
      </c>
      <c r="E420" s="367" t="s">
        <v>1152</v>
      </c>
      <c r="F420" s="261" t="s">
        <v>879</v>
      </c>
      <c r="G420" s="261" t="s">
        <v>144</v>
      </c>
      <c r="H420" s="261" t="n">
        <v>0</v>
      </c>
      <c r="I420" s="261" t="n">
        <v>2</v>
      </c>
      <c r="J420" s="361" t="n">
        <v>1</v>
      </c>
      <c r="K420" s="262" t="n">
        <v>80</v>
      </c>
      <c r="L420" s="262" t="n">
        <v>80</v>
      </c>
      <c r="M420" s="262" t="n">
        <v>80</v>
      </c>
      <c r="N420" s="262" t="n">
        <v>80</v>
      </c>
      <c r="O420" s="262" t="n">
        <v>80</v>
      </c>
      <c r="P420" s="361" t="n">
        <v>80</v>
      </c>
      <c r="Q420" s="261" t="s">
        <v>158</v>
      </c>
      <c r="R420" s="261"/>
      <c r="S420" s="363" t="n">
        <f aca="false" t="array" ref="S420:S420">IF(COUNTIF('0.3.0 GO Calculation Values'!$J$2:$J$99,C420),(INDEX('0.3.0 GO Calculation Values'!$K$2:$K$99,MATCH(C420,'0.3.0 GO Calculation Values'!$J$2:$J$99,0))),1)</f>
        <v>1</v>
      </c>
      <c r="T420" s="262" t="n">
        <f aca="false">ROUND(ROUND(2*((7/8)*MAX(L420,N420)+(1/8)*MIN(L420,N420)),0)*(1+(P420-75)/500),0)</f>
        <v>162</v>
      </c>
      <c r="U420" s="262" t="n">
        <f aca="false">ROUND(ROUND(2*((5/8)*MAX(M420,O420)+(3/8)*MIN(M420,O420)),0)*(1+(P420-75)/500),0)</f>
        <v>162</v>
      </c>
      <c r="V420" s="361" t="n">
        <f aca="false">ROUNDDOWN(K420*1.75+50,0)</f>
        <v>190</v>
      </c>
      <c r="W420" s="261" t="n">
        <v>1</v>
      </c>
      <c r="X420" s="261" t="s">
        <v>1150</v>
      </c>
      <c r="Y420" s="364" t="s">
        <v>1150</v>
      </c>
      <c r="Z420" s="364" t="n">
        <v>3</v>
      </c>
      <c r="AA420" s="261" t="n">
        <v>43090</v>
      </c>
      <c r="AB420" s="365" t="n">
        <v>5</v>
      </c>
      <c r="AC420" s="364"/>
      <c r="AD420" s="364" t="n">
        <v>50</v>
      </c>
      <c r="AE420" s="366"/>
      <c r="AF420" s="364" t="s">
        <v>1153</v>
      </c>
      <c r="AG420" s="364" t="s">
        <v>1153</v>
      </c>
      <c r="AH420" s="366" t="s">
        <v>1153</v>
      </c>
    </row>
    <row r="421" customFormat="false" ht="15.75" hidden="false" customHeight="false" outlineLevel="0" collapsed="false">
      <c r="A421" s="262" t="n">
        <v>362</v>
      </c>
      <c r="B421" s="361" t="n">
        <v>419</v>
      </c>
      <c r="C421" s="261" t="s">
        <v>1152</v>
      </c>
      <c r="D421" s="261" t="s">
        <v>1154</v>
      </c>
      <c r="E421" s="358" t="s">
        <v>1155</v>
      </c>
      <c r="F421" s="261" t="s">
        <v>887</v>
      </c>
      <c r="G421" s="261" t="s">
        <v>144</v>
      </c>
      <c r="H421" s="261" t="n">
        <v>2</v>
      </c>
      <c r="I421" s="261" t="n">
        <v>3</v>
      </c>
      <c r="J421" s="361" t="n">
        <v>1</v>
      </c>
      <c r="K421" s="262" t="n">
        <v>80</v>
      </c>
      <c r="L421" s="262" t="n">
        <v>120</v>
      </c>
      <c r="M421" s="262" t="n">
        <v>80</v>
      </c>
      <c r="N421" s="262" t="n">
        <v>120</v>
      </c>
      <c r="O421" s="262" t="n">
        <v>80</v>
      </c>
      <c r="P421" s="361" t="n">
        <v>100</v>
      </c>
      <c r="Q421" s="261" t="s">
        <v>158</v>
      </c>
      <c r="R421" s="261"/>
      <c r="S421" s="363" t="n">
        <f aca="false" t="array" ref="S421:S421">IF(COUNTIF('0.3.0 GO Calculation Values'!$J$2:$J$99,C421),(INDEX('0.3.0 GO Calculation Values'!$K$2:$K$99,MATCH(C421,'0.3.0 GO Calculation Values'!$J$2:$J$99,0))),1)</f>
        <v>1</v>
      </c>
      <c r="T421" s="262" t="n">
        <f aca="false">ROUND(ROUND(2*((7/8)*MAX(L421,N421)+(1/8)*MIN(L421,N421)),0)*(1+(P421-75)/500),0)</f>
        <v>252</v>
      </c>
      <c r="U421" s="262" t="n">
        <f aca="false">ROUND(ROUND(2*((5/8)*MAX(M421,O421)+(3/8)*MIN(M421,O421)),0)*(1+(P421-75)/500),0)</f>
        <v>168</v>
      </c>
      <c r="V421" s="361" t="n">
        <f aca="false">ROUNDDOWN(K421*1.75+50,0)</f>
        <v>190</v>
      </c>
      <c r="W421" s="261" t="n">
        <v>0</v>
      </c>
      <c r="X421" s="261" t="s">
        <v>1152</v>
      </c>
      <c r="Y421" s="364" t="s">
        <v>1150</v>
      </c>
      <c r="Z421" s="364" t="n">
        <v>3</v>
      </c>
      <c r="AA421" s="364"/>
      <c r="AB421" s="365" t="n">
        <v>5</v>
      </c>
      <c r="AC421" s="364"/>
      <c r="AD421" s="364" t="n">
        <v>50</v>
      </c>
      <c r="AE421" s="366"/>
      <c r="AF421" s="364" t="s">
        <v>1156</v>
      </c>
      <c r="AG421" s="364" t="s">
        <v>1156</v>
      </c>
      <c r="AH421" s="366" t="s">
        <v>1156</v>
      </c>
    </row>
    <row r="422" customFormat="false" ht="15.75" hidden="false" customHeight="false" outlineLevel="0" collapsed="false">
      <c r="A422" s="262" t="n">
        <v>363</v>
      </c>
      <c r="B422" s="361" t="n">
        <v>420</v>
      </c>
      <c r="C422" s="261" t="s">
        <v>1157</v>
      </c>
      <c r="D422" s="261" t="s">
        <v>60</v>
      </c>
      <c r="E422" s="362" t="s">
        <v>1157</v>
      </c>
      <c r="F422" s="261" t="s">
        <v>879</v>
      </c>
      <c r="G422" s="261" t="s">
        <v>144</v>
      </c>
      <c r="H422" s="261" t="n">
        <v>0</v>
      </c>
      <c r="I422" s="261" t="n">
        <v>1</v>
      </c>
      <c r="J422" s="361" t="n">
        <v>0</v>
      </c>
      <c r="K422" s="262" t="n">
        <v>70</v>
      </c>
      <c r="L422" s="262" t="n">
        <v>40</v>
      </c>
      <c r="M422" s="262" t="n">
        <v>50</v>
      </c>
      <c r="N422" s="262" t="n">
        <v>55</v>
      </c>
      <c r="O422" s="262" t="n">
        <v>50</v>
      </c>
      <c r="P422" s="361" t="n">
        <v>25</v>
      </c>
      <c r="Q422" s="261" t="s">
        <v>158</v>
      </c>
      <c r="R422" s="261" t="s">
        <v>154</v>
      </c>
      <c r="S422" s="363" t="n">
        <f aca="false" t="array" ref="S422:S422">IF(COUNTIF('0.3.0 GO Calculation Values'!$J$2:$J$99,C422),(INDEX('0.3.0 GO Calculation Values'!$K$2:$K$99,MATCH(C422,'0.3.0 GO Calculation Values'!$J$2:$J$99,0))),1)</f>
        <v>1</v>
      </c>
      <c r="T422" s="262" t="n">
        <f aca="false">ROUND(ROUND(2*((7/8)*MAX(L422,N422)+(1/8)*MIN(L422,N422)),0)*(1+(P422-75)/500),0)</f>
        <v>95</v>
      </c>
      <c r="U422" s="262" t="n">
        <f aca="false">ROUND(ROUND(2*((5/8)*MAX(M422,O422)+(3/8)*MIN(M422,O422)),0)*(1+(P422-75)/500),0)</f>
        <v>90</v>
      </c>
      <c r="V422" s="361" t="n">
        <f aca="false">ROUNDDOWN(K422*1.75+50,0)</f>
        <v>172</v>
      </c>
      <c r="W422" s="261" t="n">
        <v>1</v>
      </c>
      <c r="X422" s="261" t="s">
        <v>60</v>
      </c>
      <c r="Y422" s="364" t="s">
        <v>1157</v>
      </c>
      <c r="Z422" s="364" t="n">
        <v>3</v>
      </c>
      <c r="AA422" s="364"/>
      <c r="AB422" s="365" t="n">
        <v>2</v>
      </c>
      <c r="AC422" s="364"/>
      <c r="AD422" s="364" t="n">
        <v>0</v>
      </c>
      <c r="AE422" s="366"/>
      <c r="AF422" s="364" t="s">
        <v>1158</v>
      </c>
      <c r="AG422" s="364" t="s">
        <v>1158</v>
      </c>
      <c r="AH422" s="366" t="s">
        <v>1158</v>
      </c>
    </row>
    <row r="423" customFormat="false" ht="15.75" hidden="false" customHeight="false" outlineLevel="0" collapsed="false">
      <c r="A423" s="262" t="n">
        <v>364</v>
      </c>
      <c r="B423" s="361" t="n">
        <v>421</v>
      </c>
      <c r="C423" s="261" t="s">
        <v>1159</v>
      </c>
      <c r="D423" s="261" t="s">
        <v>60</v>
      </c>
      <c r="E423" s="362" t="s">
        <v>1159</v>
      </c>
      <c r="F423" s="261" t="s">
        <v>879</v>
      </c>
      <c r="G423" s="261" t="s">
        <v>144</v>
      </c>
      <c r="H423" s="261" t="n">
        <v>0</v>
      </c>
      <c r="I423" s="261" t="n">
        <v>2</v>
      </c>
      <c r="J423" s="361" t="n">
        <v>0</v>
      </c>
      <c r="K423" s="262" t="n">
        <v>90</v>
      </c>
      <c r="L423" s="262" t="n">
        <v>60</v>
      </c>
      <c r="M423" s="262" t="n">
        <v>70</v>
      </c>
      <c r="N423" s="262" t="n">
        <v>75</v>
      </c>
      <c r="O423" s="262" t="n">
        <v>70</v>
      </c>
      <c r="P423" s="361" t="n">
        <v>45</v>
      </c>
      <c r="Q423" s="261" t="s">
        <v>158</v>
      </c>
      <c r="R423" s="261" t="s">
        <v>154</v>
      </c>
      <c r="S423" s="363" t="n">
        <f aca="false" t="array" ref="S423:S423">IF(COUNTIF('0.3.0 GO Calculation Values'!$J$2:$J$99,C423),(INDEX('0.3.0 GO Calculation Values'!$K$2:$K$99,MATCH(C423,'0.3.0 GO Calculation Values'!$J$2:$J$99,0))),1)</f>
        <v>1</v>
      </c>
      <c r="T423" s="262" t="n">
        <f aca="false">ROUND(ROUND(2*((7/8)*MAX(L423,N423)+(1/8)*MIN(L423,N423)),0)*(1+(P423-75)/500),0)</f>
        <v>137</v>
      </c>
      <c r="U423" s="262" t="n">
        <f aca="false">ROUND(ROUND(2*((5/8)*MAX(M423,O423)+(3/8)*MIN(M423,O423)),0)*(1+(P423-75)/500),0)</f>
        <v>132</v>
      </c>
      <c r="V423" s="361" t="n">
        <f aca="false">ROUNDDOWN(K423*1.75+50,0)</f>
        <v>207</v>
      </c>
      <c r="W423" s="261" t="n">
        <v>1</v>
      </c>
      <c r="X423" s="261" t="s">
        <v>1157</v>
      </c>
      <c r="Y423" s="364" t="s">
        <v>1157</v>
      </c>
      <c r="Z423" s="364" t="n">
        <v>3</v>
      </c>
      <c r="AA423" s="364"/>
      <c r="AB423" s="365" t="n">
        <v>2</v>
      </c>
      <c r="AC423" s="364"/>
      <c r="AD423" s="364" t="n">
        <v>25</v>
      </c>
      <c r="AE423" s="366"/>
      <c r="AF423" s="364" t="s">
        <v>1160</v>
      </c>
      <c r="AG423" s="364" t="s">
        <v>1160</v>
      </c>
      <c r="AH423" s="366" t="s">
        <v>1160</v>
      </c>
    </row>
    <row r="424" customFormat="false" ht="15.75" hidden="false" customHeight="false" outlineLevel="0" collapsed="false">
      <c r="A424" s="262" t="n">
        <v>365</v>
      </c>
      <c r="B424" s="361" t="n">
        <v>422</v>
      </c>
      <c r="C424" s="261" t="s">
        <v>1161</v>
      </c>
      <c r="D424" s="261" t="s">
        <v>60</v>
      </c>
      <c r="E424" s="362" t="s">
        <v>1161</v>
      </c>
      <c r="F424" s="261" t="s">
        <v>879</v>
      </c>
      <c r="G424" s="261" t="s">
        <v>144</v>
      </c>
      <c r="H424" s="261" t="n">
        <v>0</v>
      </c>
      <c r="I424" s="261" t="n">
        <v>3</v>
      </c>
      <c r="J424" s="361" t="n">
        <v>1</v>
      </c>
      <c r="K424" s="262" t="n">
        <v>110</v>
      </c>
      <c r="L424" s="262" t="n">
        <v>80</v>
      </c>
      <c r="M424" s="262" t="n">
        <v>90</v>
      </c>
      <c r="N424" s="262" t="n">
        <v>95</v>
      </c>
      <c r="O424" s="262" t="n">
        <v>90</v>
      </c>
      <c r="P424" s="361" t="n">
        <v>65</v>
      </c>
      <c r="Q424" s="261" t="s">
        <v>158</v>
      </c>
      <c r="R424" s="261" t="s">
        <v>154</v>
      </c>
      <c r="S424" s="363" t="n">
        <f aca="false" t="array" ref="S424:S424">IF(COUNTIF('0.3.0 GO Calculation Values'!$J$2:$J$99,C424),(INDEX('0.3.0 GO Calculation Values'!$K$2:$K$99,MATCH(C424,'0.3.0 GO Calculation Values'!$J$2:$J$99,0))),1)</f>
        <v>1</v>
      </c>
      <c r="T424" s="262" t="n">
        <f aca="false">ROUND(ROUND(2*((7/8)*MAX(L424,N424)+(1/8)*MIN(L424,N424)),0)*(1+(P424-75)/500),0)</f>
        <v>182</v>
      </c>
      <c r="U424" s="262" t="n">
        <f aca="false">ROUND(ROUND(2*((5/8)*MAX(M424,O424)+(3/8)*MIN(M424,O424)),0)*(1+(P424-75)/500),0)</f>
        <v>176</v>
      </c>
      <c r="V424" s="361" t="n">
        <f aca="false">ROUNDDOWN(K424*1.75+50,0)</f>
        <v>242</v>
      </c>
      <c r="W424" s="261" t="n">
        <v>1</v>
      </c>
      <c r="X424" s="261" t="s">
        <v>1159</v>
      </c>
      <c r="Y424" s="364" t="s">
        <v>1157</v>
      </c>
      <c r="Z424" s="364" t="n">
        <v>3</v>
      </c>
      <c r="AA424" s="364"/>
      <c r="AB424" s="365" t="n">
        <v>2</v>
      </c>
      <c r="AC424" s="364"/>
      <c r="AD424" s="364" t="n">
        <v>100</v>
      </c>
      <c r="AE424" s="366"/>
      <c r="AF424" s="364" t="s">
        <v>1162</v>
      </c>
      <c r="AG424" s="364" t="s">
        <v>1162</v>
      </c>
      <c r="AH424" s="366" t="s">
        <v>1162</v>
      </c>
    </row>
    <row r="425" customFormat="false" ht="15.75" hidden="false" customHeight="false" outlineLevel="0" collapsed="false">
      <c r="A425" s="262" t="n">
        <v>366</v>
      </c>
      <c r="B425" s="361" t="n">
        <v>423</v>
      </c>
      <c r="C425" s="261" t="s">
        <v>1163</v>
      </c>
      <c r="D425" s="261" t="s">
        <v>60</v>
      </c>
      <c r="E425" s="362" t="s">
        <v>1163</v>
      </c>
      <c r="F425" s="261" t="s">
        <v>879</v>
      </c>
      <c r="G425" s="261" t="s">
        <v>144</v>
      </c>
      <c r="H425" s="261" t="n">
        <v>0</v>
      </c>
      <c r="I425" s="261" t="n">
        <v>1</v>
      </c>
      <c r="J425" s="361" t="n">
        <v>0</v>
      </c>
      <c r="K425" s="262" t="n">
        <v>35</v>
      </c>
      <c r="L425" s="262" t="n">
        <v>64</v>
      </c>
      <c r="M425" s="262" t="n">
        <v>85</v>
      </c>
      <c r="N425" s="262" t="n">
        <v>74</v>
      </c>
      <c r="O425" s="262" t="n">
        <v>55</v>
      </c>
      <c r="P425" s="361" t="n">
        <v>32</v>
      </c>
      <c r="Q425" s="261" t="s">
        <v>154</v>
      </c>
      <c r="R425" s="261"/>
      <c r="S425" s="363" t="n">
        <f aca="false" t="array" ref="S425:S425">IF(COUNTIF('0.3.0 GO Calculation Values'!$J$2:$J$99,C425),(INDEX('0.3.0 GO Calculation Values'!$K$2:$K$99,MATCH(C425,'0.3.0 GO Calculation Values'!$J$2:$J$99,0))),1)</f>
        <v>1</v>
      </c>
      <c r="T425" s="262" t="n">
        <f aca="false">ROUND(ROUND(2*((7/8)*MAX(L425,N425)+(1/8)*MIN(L425,N425)),0)*(1+(P425-75)/500),0)</f>
        <v>133</v>
      </c>
      <c r="U425" s="262" t="n">
        <f aca="false">ROUND(ROUND(2*((5/8)*MAX(M425,O425)+(3/8)*MIN(M425,O425)),0)*(1+(P425-75)/500),0)</f>
        <v>135</v>
      </c>
      <c r="V425" s="361" t="n">
        <f aca="false">ROUNDDOWN(K425*1.75+50,0)</f>
        <v>111</v>
      </c>
      <c r="W425" s="261" t="n">
        <v>1</v>
      </c>
      <c r="X425" s="261" t="s">
        <v>60</v>
      </c>
      <c r="Y425" s="364" t="s">
        <v>1163</v>
      </c>
      <c r="Z425" s="364" t="n">
        <v>3</v>
      </c>
      <c r="AA425" s="364"/>
      <c r="AB425" s="365"/>
      <c r="AC425" s="364"/>
      <c r="AD425" s="364" t="n">
        <v>0</v>
      </c>
      <c r="AE425" s="366"/>
      <c r="AF425" s="364" t="s">
        <v>1164</v>
      </c>
      <c r="AG425" s="364" t="s">
        <v>1164</v>
      </c>
      <c r="AH425" s="366" t="s">
        <v>1164</v>
      </c>
    </row>
    <row r="426" customFormat="false" ht="15.75" hidden="false" customHeight="false" outlineLevel="0" collapsed="false">
      <c r="A426" s="262" t="n">
        <v>367</v>
      </c>
      <c r="B426" s="361" t="n">
        <v>424</v>
      </c>
      <c r="C426" s="261" t="s">
        <v>1165</v>
      </c>
      <c r="D426" s="261" t="s">
        <v>60</v>
      </c>
      <c r="E426" s="362" t="s">
        <v>1165</v>
      </c>
      <c r="F426" s="261" t="s">
        <v>879</v>
      </c>
      <c r="G426" s="261" t="s">
        <v>144</v>
      </c>
      <c r="H426" s="261" t="n">
        <v>0</v>
      </c>
      <c r="I426" s="261" t="n">
        <v>2</v>
      </c>
      <c r="J426" s="361" t="n">
        <v>1</v>
      </c>
      <c r="K426" s="262" t="n">
        <v>55</v>
      </c>
      <c r="L426" s="262" t="n">
        <v>104</v>
      </c>
      <c r="M426" s="262" t="n">
        <v>105</v>
      </c>
      <c r="N426" s="262" t="n">
        <v>94</v>
      </c>
      <c r="O426" s="262" t="n">
        <v>75</v>
      </c>
      <c r="P426" s="361" t="n">
        <v>52</v>
      </c>
      <c r="Q426" s="261" t="s">
        <v>154</v>
      </c>
      <c r="R426" s="261"/>
      <c r="S426" s="363" t="n">
        <f aca="false" t="array" ref="S426:S426">IF(COUNTIF('0.3.0 GO Calculation Values'!$J$2:$J$99,C426),(INDEX('0.3.0 GO Calculation Values'!$K$2:$K$99,MATCH(C426,'0.3.0 GO Calculation Values'!$J$2:$J$99,0))),1)</f>
        <v>1</v>
      </c>
      <c r="T426" s="262" t="n">
        <f aca="false">ROUND(ROUND(2*((7/8)*MAX(L426,N426)+(1/8)*MIN(L426,N426)),0)*(1+(P426-75)/500),0)</f>
        <v>197</v>
      </c>
      <c r="U426" s="262" t="n">
        <f aca="false">ROUND(ROUND(2*((5/8)*MAX(M426,O426)+(3/8)*MIN(M426,O426)),0)*(1+(P426-75)/500),0)</f>
        <v>179</v>
      </c>
      <c r="V426" s="361" t="n">
        <f aca="false">ROUNDDOWN(K426*1.75+50,0)</f>
        <v>146</v>
      </c>
      <c r="W426" s="261" t="n">
        <v>1</v>
      </c>
      <c r="X426" s="261" t="s">
        <v>1163</v>
      </c>
      <c r="Y426" s="364" t="s">
        <v>1163</v>
      </c>
      <c r="Z426" s="364" t="n">
        <v>3</v>
      </c>
      <c r="AA426" s="364"/>
      <c r="AB426" s="365"/>
      <c r="AC426" s="364"/>
      <c r="AD426" s="364" t="n">
        <v>50</v>
      </c>
      <c r="AE426" s="366"/>
      <c r="AF426" s="364" t="s">
        <v>1166</v>
      </c>
      <c r="AG426" s="364" t="s">
        <v>1166</v>
      </c>
      <c r="AH426" s="366" t="s">
        <v>1166</v>
      </c>
    </row>
    <row r="427" customFormat="false" ht="15.75" hidden="false" customHeight="false" outlineLevel="0" collapsed="false">
      <c r="A427" s="262" t="n">
        <v>368</v>
      </c>
      <c r="B427" s="361" t="n">
        <v>425</v>
      </c>
      <c r="C427" s="261" t="s">
        <v>1167</v>
      </c>
      <c r="D427" s="261" t="s">
        <v>60</v>
      </c>
      <c r="E427" s="362" t="s">
        <v>1167</v>
      </c>
      <c r="F427" s="261" t="s">
        <v>879</v>
      </c>
      <c r="G427" s="261" t="s">
        <v>144</v>
      </c>
      <c r="H427" s="261" t="n">
        <v>0</v>
      </c>
      <c r="I427" s="261" t="n">
        <v>2</v>
      </c>
      <c r="J427" s="361" t="n">
        <v>1</v>
      </c>
      <c r="K427" s="262" t="n">
        <v>55</v>
      </c>
      <c r="L427" s="262" t="n">
        <v>84</v>
      </c>
      <c r="M427" s="262" t="n">
        <v>105</v>
      </c>
      <c r="N427" s="262" t="n">
        <v>114</v>
      </c>
      <c r="O427" s="262" t="n">
        <v>75</v>
      </c>
      <c r="P427" s="361" t="n">
        <v>52</v>
      </c>
      <c r="Q427" s="261" t="s">
        <v>154</v>
      </c>
      <c r="R427" s="261"/>
      <c r="S427" s="363" t="n">
        <f aca="false" t="array" ref="S427:S427">IF(COUNTIF('0.3.0 GO Calculation Values'!$J$2:$J$99,C427),(INDEX('0.3.0 GO Calculation Values'!$K$2:$K$99,MATCH(C427,'0.3.0 GO Calculation Values'!$J$2:$J$99,0))),1)</f>
        <v>1</v>
      </c>
      <c r="T427" s="262" t="n">
        <f aca="false">ROUND(ROUND(2*((7/8)*MAX(L427,N427)+(1/8)*MIN(L427,N427)),0)*(1+(P427-75)/500),0)</f>
        <v>211</v>
      </c>
      <c r="U427" s="262" t="n">
        <f aca="false">ROUND(ROUND(2*((5/8)*MAX(M427,O427)+(3/8)*MIN(M427,O427)),0)*(1+(P427-75)/500),0)</f>
        <v>179</v>
      </c>
      <c r="V427" s="361" t="n">
        <f aca="false">ROUNDDOWN(K427*1.75+50,0)</f>
        <v>146</v>
      </c>
      <c r="W427" s="261" t="n">
        <v>1</v>
      </c>
      <c r="X427" s="261" t="s">
        <v>1163</v>
      </c>
      <c r="Y427" s="364" t="s">
        <v>1163</v>
      </c>
      <c r="Z427" s="364" t="n">
        <v>3</v>
      </c>
      <c r="AA427" s="364"/>
      <c r="AB427" s="365"/>
      <c r="AC427" s="364"/>
      <c r="AD427" s="364" t="n">
        <v>50</v>
      </c>
      <c r="AE427" s="366"/>
      <c r="AF427" s="364" t="s">
        <v>1168</v>
      </c>
      <c r="AG427" s="364" t="s">
        <v>1168</v>
      </c>
      <c r="AH427" s="366" t="s">
        <v>1168</v>
      </c>
    </row>
    <row r="428" customFormat="false" ht="15.75" hidden="false" customHeight="false" outlineLevel="0" collapsed="false">
      <c r="A428" s="262" t="n">
        <v>369</v>
      </c>
      <c r="B428" s="361" t="n">
        <v>426</v>
      </c>
      <c r="C428" s="261" t="s">
        <v>1169</v>
      </c>
      <c r="D428" s="261" t="s">
        <v>60</v>
      </c>
      <c r="E428" s="362" t="s">
        <v>1169</v>
      </c>
      <c r="F428" s="261" t="s">
        <v>879</v>
      </c>
      <c r="G428" s="261" t="s">
        <v>144</v>
      </c>
      <c r="H428" s="261" t="n">
        <v>0</v>
      </c>
      <c r="I428" s="261" t="n">
        <v>1</v>
      </c>
      <c r="J428" s="361" t="n">
        <v>1</v>
      </c>
      <c r="K428" s="262" t="n">
        <v>100</v>
      </c>
      <c r="L428" s="262" t="n">
        <v>90</v>
      </c>
      <c r="M428" s="262" t="n">
        <v>130</v>
      </c>
      <c r="N428" s="262" t="n">
        <v>45</v>
      </c>
      <c r="O428" s="262" t="n">
        <v>65</v>
      </c>
      <c r="P428" s="361" t="n">
        <v>55</v>
      </c>
      <c r="Q428" s="261" t="s">
        <v>154</v>
      </c>
      <c r="R428" s="261" t="s">
        <v>149</v>
      </c>
      <c r="S428" s="363" t="n">
        <f aca="false" t="array" ref="S428:S428">IF(COUNTIF('0.3.0 GO Calculation Values'!$J$2:$J$99,C428),(INDEX('0.3.0 GO Calculation Values'!$K$2:$K$99,MATCH(C428,'0.3.0 GO Calculation Values'!$J$2:$J$99,0))),1)</f>
        <v>1</v>
      </c>
      <c r="T428" s="262" t="n">
        <f aca="false">ROUND(ROUND(2*((7/8)*MAX(L428,N428)+(1/8)*MIN(L428,N428)),0)*(1+(P428-75)/500),0)</f>
        <v>162</v>
      </c>
      <c r="U428" s="262" t="n">
        <f aca="false">ROUND(ROUND(2*((5/8)*MAX(M428,O428)+(3/8)*MIN(M428,O428)),0)*(1+(P428-75)/500),0)</f>
        <v>203</v>
      </c>
      <c r="V428" s="361" t="n">
        <f aca="false">ROUNDDOWN(K428*1.75+50,0)</f>
        <v>225</v>
      </c>
      <c r="W428" s="261" t="n">
        <v>1</v>
      </c>
      <c r="X428" s="261" t="s">
        <v>60</v>
      </c>
      <c r="Y428" s="364" t="s">
        <v>1169</v>
      </c>
      <c r="Z428" s="364" t="n">
        <v>5</v>
      </c>
      <c r="AA428" s="364"/>
      <c r="AB428" s="365" t="s">
        <v>60</v>
      </c>
      <c r="AC428" s="364"/>
      <c r="AD428" s="364" t="n">
        <v>0</v>
      </c>
      <c r="AE428" s="366"/>
      <c r="AF428" s="364" t="s">
        <v>1170</v>
      </c>
      <c r="AG428" s="364" t="s">
        <v>1170</v>
      </c>
      <c r="AH428" s="366" t="s">
        <v>1170</v>
      </c>
    </row>
    <row r="429" customFormat="false" ht="15.75" hidden="false" customHeight="false" outlineLevel="0" collapsed="false">
      <c r="A429" s="262" t="n">
        <v>370</v>
      </c>
      <c r="B429" s="361" t="n">
        <v>427</v>
      </c>
      <c r="C429" s="261" t="s">
        <v>1171</v>
      </c>
      <c r="D429" s="261" t="s">
        <v>60</v>
      </c>
      <c r="E429" s="362" t="s">
        <v>1171</v>
      </c>
      <c r="F429" s="261" t="s">
        <v>879</v>
      </c>
      <c r="G429" s="261" t="s">
        <v>144</v>
      </c>
      <c r="H429" s="261" t="n">
        <v>0</v>
      </c>
      <c r="I429" s="261" t="n">
        <v>1</v>
      </c>
      <c r="J429" s="361" t="n">
        <v>1</v>
      </c>
      <c r="K429" s="262" t="n">
        <v>43</v>
      </c>
      <c r="L429" s="262" t="n">
        <v>30</v>
      </c>
      <c r="M429" s="262" t="n">
        <v>55</v>
      </c>
      <c r="N429" s="262" t="n">
        <v>40</v>
      </c>
      <c r="O429" s="262" t="n">
        <v>65</v>
      </c>
      <c r="P429" s="361" t="n">
        <v>97</v>
      </c>
      <c r="Q429" s="261" t="s">
        <v>154</v>
      </c>
      <c r="R429" s="261"/>
      <c r="S429" s="363" t="n">
        <f aca="false" t="array" ref="S429:S429">IF(COUNTIF('0.3.0 GO Calculation Values'!$J$2:$J$99,C429),(INDEX('0.3.0 GO Calculation Values'!$K$2:$K$99,MATCH(C429,'0.3.0 GO Calculation Values'!$J$2:$J$99,0))),1)</f>
        <v>1</v>
      </c>
      <c r="T429" s="262" t="n">
        <f aca="false">ROUND(ROUND(2*((7/8)*MAX(L429,N429)+(1/8)*MIN(L429,N429)),0)*(1+(P429-75)/500),0)</f>
        <v>81</v>
      </c>
      <c r="U429" s="262" t="n">
        <f aca="false">ROUND(ROUND(2*((5/8)*MAX(M429,O429)+(3/8)*MIN(M429,O429)),0)*(1+(P429-75)/500),0)</f>
        <v>128</v>
      </c>
      <c r="V429" s="361" t="n">
        <f aca="false">ROUNDDOWN(K429*1.75+50,0)</f>
        <v>125</v>
      </c>
      <c r="W429" s="261" t="n">
        <v>1</v>
      </c>
      <c r="X429" s="261" t="s">
        <v>60</v>
      </c>
      <c r="Y429" s="364" t="s">
        <v>1171</v>
      </c>
      <c r="Z429" s="364" t="n">
        <v>3</v>
      </c>
      <c r="AA429" s="261" t="n">
        <v>43145</v>
      </c>
      <c r="AB429" s="365" t="n">
        <v>2</v>
      </c>
      <c r="AC429" s="364"/>
      <c r="AD429" s="364" t="n">
        <v>0</v>
      </c>
      <c r="AE429" s="366"/>
      <c r="AF429" s="364" t="s">
        <v>1172</v>
      </c>
      <c r="AG429" s="364" t="s">
        <v>1172</v>
      </c>
      <c r="AH429" s="366" t="s">
        <v>1172</v>
      </c>
    </row>
    <row r="430" customFormat="false" ht="15.75" hidden="false" customHeight="false" outlineLevel="0" collapsed="false">
      <c r="A430" s="262" t="n">
        <v>371</v>
      </c>
      <c r="B430" s="361" t="n">
        <v>428</v>
      </c>
      <c r="C430" s="261" t="s">
        <v>1173</v>
      </c>
      <c r="D430" s="261" t="s">
        <v>60</v>
      </c>
      <c r="E430" s="362" t="s">
        <v>1173</v>
      </c>
      <c r="F430" s="261" t="s">
        <v>879</v>
      </c>
      <c r="G430" s="261" t="s">
        <v>632</v>
      </c>
      <c r="H430" s="261" t="n">
        <v>0</v>
      </c>
      <c r="I430" s="261" t="n">
        <v>1</v>
      </c>
      <c r="J430" s="361" t="n">
        <v>0</v>
      </c>
      <c r="K430" s="262" t="n">
        <v>45</v>
      </c>
      <c r="L430" s="262" t="n">
        <v>75</v>
      </c>
      <c r="M430" s="262" t="n">
        <v>60</v>
      </c>
      <c r="N430" s="262" t="n">
        <v>40</v>
      </c>
      <c r="O430" s="262" t="n">
        <v>30</v>
      </c>
      <c r="P430" s="361" t="n">
        <v>50</v>
      </c>
      <c r="Q430" s="261" t="s">
        <v>159</v>
      </c>
      <c r="R430" s="261"/>
      <c r="S430" s="363" t="n">
        <f aca="false" t="array" ref="S430:S430">IF(COUNTIF('0.3.0 GO Calculation Values'!$J$2:$J$99,C430),(INDEX('0.3.0 GO Calculation Values'!$K$2:$K$99,MATCH(C430,'0.3.0 GO Calculation Values'!$J$2:$J$99,0))),1)</f>
        <v>1</v>
      </c>
      <c r="T430" s="262" t="n">
        <f aca="false">ROUND(ROUND(2*((7/8)*MAX(L430,N430)+(1/8)*MIN(L430,N430)),0)*(1+(P430-75)/500),0)</f>
        <v>134</v>
      </c>
      <c r="U430" s="262" t="n">
        <f aca="false">ROUND(ROUND(2*((5/8)*MAX(M430,O430)+(3/8)*MIN(M430,O430)),0)*(1+(P430-75)/500),0)</f>
        <v>93</v>
      </c>
      <c r="V430" s="361" t="n">
        <f aca="false">ROUNDDOWN(K430*1.75+50,0)</f>
        <v>128</v>
      </c>
      <c r="W430" s="261" t="n">
        <v>1</v>
      </c>
      <c r="X430" s="261" t="s">
        <v>60</v>
      </c>
      <c r="Y430" s="364" t="s">
        <v>1173</v>
      </c>
      <c r="Z430" s="364" t="n">
        <v>5</v>
      </c>
      <c r="AA430" s="364"/>
      <c r="AB430" s="365" t="n">
        <v>10</v>
      </c>
      <c r="AC430" s="364"/>
      <c r="AD430" s="364" t="n">
        <v>0</v>
      </c>
      <c r="AE430" s="366"/>
      <c r="AF430" s="364" t="s">
        <v>1174</v>
      </c>
      <c r="AG430" s="364" t="s">
        <v>1174</v>
      </c>
      <c r="AH430" s="366" t="s">
        <v>1174</v>
      </c>
    </row>
    <row r="431" customFormat="false" ht="15.75" hidden="false" customHeight="false" outlineLevel="0" collapsed="false">
      <c r="A431" s="262" t="n">
        <v>372</v>
      </c>
      <c r="B431" s="361" t="n">
        <v>429</v>
      </c>
      <c r="C431" s="261" t="s">
        <v>1175</v>
      </c>
      <c r="D431" s="261" t="s">
        <v>60</v>
      </c>
      <c r="E431" s="362" t="s">
        <v>1175</v>
      </c>
      <c r="F431" s="261" t="s">
        <v>879</v>
      </c>
      <c r="G431" s="261" t="s">
        <v>632</v>
      </c>
      <c r="H431" s="261" t="n">
        <v>0</v>
      </c>
      <c r="I431" s="261" t="n">
        <v>2</v>
      </c>
      <c r="J431" s="361" t="n">
        <v>0</v>
      </c>
      <c r="K431" s="262" t="n">
        <v>65</v>
      </c>
      <c r="L431" s="262" t="n">
        <v>95</v>
      </c>
      <c r="M431" s="262" t="n">
        <v>100</v>
      </c>
      <c r="N431" s="262" t="n">
        <v>60</v>
      </c>
      <c r="O431" s="262" t="n">
        <v>50</v>
      </c>
      <c r="P431" s="361" t="n">
        <v>50</v>
      </c>
      <c r="Q431" s="261" t="s">
        <v>159</v>
      </c>
      <c r="R431" s="261"/>
      <c r="S431" s="363" t="n">
        <f aca="false" t="array" ref="S431:S431">IF(COUNTIF('0.3.0 GO Calculation Values'!$J$2:$J$99,C431),(INDEX('0.3.0 GO Calculation Values'!$K$2:$K$99,MATCH(C431,'0.3.0 GO Calculation Values'!$J$2:$J$99,0))),1)</f>
        <v>1</v>
      </c>
      <c r="T431" s="262" t="n">
        <f aca="false">ROUND(ROUND(2*((7/8)*MAX(L431,N431)+(1/8)*MIN(L431,N431)),0)*(1+(P431-75)/500),0)</f>
        <v>172</v>
      </c>
      <c r="U431" s="262" t="n">
        <f aca="false">ROUND(ROUND(2*((5/8)*MAX(M431,O431)+(3/8)*MIN(M431,O431)),0)*(1+(P431-75)/500),0)</f>
        <v>155</v>
      </c>
      <c r="V431" s="361" t="n">
        <f aca="false">ROUNDDOWN(K431*1.75+50,0)</f>
        <v>163</v>
      </c>
      <c r="W431" s="261" t="n">
        <v>1</v>
      </c>
      <c r="X431" s="261" t="s">
        <v>1173</v>
      </c>
      <c r="Y431" s="364" t="s">
        <v>1173</v>
      </c>
      <c r="Z431" s="364" t="n">
        <v>5</v>
      </c>
      <c r="AA431" s="364"/>
      <c r="AB431" s="365" t="n">
        <v>10</v>
      </c>
      <c r="AC431" s="364"/>
      <c r="AD431" s="364" t="n">
        <v>25</v>
      </c>
      <c r="AE431" s="366"/>
      <c r="AF431" s="364" t="s">
        <v>1176</v>
      </c>
      <c r="AG431" s="364" t="s">
        <v>1176</v>
      </c>
      <c r="AH431" s="366" t="s">
        <v>1176</v>
      </c>
    </row>
    <row r="432" customFormat="false" ht="15.75" hidden="false" customHeight="false" outlineLevel="0" collapsed="false">
      <c r="A432" s="262" t="n">
        <v>373</v>
      </c>
      <c r="B432" s="361" t="n">
        <v>430</v>
      </c>
      <c r="C432" s="261" t="s">
        <v>1177</v>
      </c>
      <c r="D432" s="261" t="s">
        <v>7</v>
      </c>
      <c r="E432" s="367" t="s">
        <v>1177</v>
      </c>
      <c r="F432" s="261" t="s">
        <v>879</v>
      </c>
      <c r="G432" s="261" t="s">
        <v>632</v>
      </c>
      <c r="H432" s="261" t="n">
        <v>0</v>
      </c>
      <c r="I432" s="261" t="n">
        <v>3</v>
      </c>
      <c r="J432" s="361" t="n">
        <v>1</v>
      </c>
      <c r="K432" s="262" t="n">
        <v>95</v>
      </c>
      <c r="L432" s="262" t="n">
        <v>135</v>
      </c>
      <c r="M432" s="262" t="n">
        <v>80</v>
      </c>
      <c r="N432" s="262" t="n">
        <v>110</v>
      </c>
      <c r="O432" s="262" t="n">
        <v>80</v>
      </c>
      <c r="P432" s="361" t="n">
        <v>100</v>
      </c>
      <c r="Q432" s="261" t="s">
        <v>159</v>
      </c>
      <c r="R432" s="261" t="s">
        <v>146</v>
      </c>
      <c r="S432" s="363" t="n">
        <f aca="false" t="array" ref="S432:S432">IF(COUNTIF('0.3.0 GO Calculation Values'!$J$2:$J$99,C432),(INDEX('0.3.0 GO Calculation Values'!$K$2:$K$99,MATCH(C432,'0.3.0 GO Calculation Values'!$J$2:$J$99,0))),1)</f>
        <v>1</v>
      </c>
      <c r="T432" s="262" t="n">
        <f aca="false">ROUND(ROUND(2*((7/8)*MAX(L432,N432)+(1/8)*MIN(L432,N432)),0)*(1+(P432-75)/500),0)</f>
        <v>277</v>
      </c>
      <c r="U432" s="262" t="n">
        <f aca="false">ROUND(ROUND(2*((5/8)*MAX(M432,O432)+(3/8)*MIN(M432,O432)),0)*(1+(P432-75)/500),0)</f>
        <v>168</v>
      </c>
      <c r="V432" s="361" t="n">
        <f aca="false">ROUNDDOWN(K432*1.75+50,0)</f>
        <v>216</v>
      </c>
      <c r="W432" s="261" t="n">
        <v>1</v>
      </c>
      <c r="X432" s="261" t="s">
        <v>1175</v>
      </c>
      <c r="Y432" s="364" t="s">
        <v>1173</v>
      </c>
      <c r="Z432" s="364" t="n">
        <v>5</v>
      </c>
      <c r="AA432" s="364"/>
      <c r="AB432" s="365" t="n">
        <v>10</v>
      </c>
      <c r="AC432" s="364"/>
      <c r="AD432" s="364" t="n">
        <v>100</v>
      </c>
      <c r="AE432" s="366"/>
      <c r="AF432" s="364" t="s">
        <v>1178</v>
      </c>
      <c r="AG432" s="364" t="s">
        <v>1178</v>
      </c>
      <c r="AH432" s="366" t="s">
        <v>1178</v>
      </c>
    </row>
    <row r="433" customFormat="false" ht="15.75" hidden="false" customHeight="false" outlineLevel="0" collapsed="false">
      <c r="A433" s="262" t="n">
        <v>373</v>
      </c>
      <c r="B433" s="361" t="n">
        <v>431</v>
      </c>
      <c r="C433" s="261" t="s">
        <v>1177</v>
      </c>
      <c r="D433" s="261" t="s">
        <v>1179</v>
      </c>
      <c r="E433" s="358" t="s">
        <v>1180</v>
      </c>
      <c r="F433" s="261" t="s">
        <v>887</v>
      </c>
      <c r="G433" s="261" t="s">
        <v>632</v>
      </c>
      <c r="H433" s="261" t="n">
        <v>2</v>
      </c>
      <c r="I433" s="261" t="n">
        <v>3</v>
      </c>
      <c r="J433" s="361" t="n">
        <v>1</v>
      </c>
      <c r="K433" s="262" t="n">
        <v>95</v>
      </c>
      <c r="L433" s="262" t="n">
        <v>145</v>
      </c>
      <c r="M433" s="262" t="n">
        <v>130</v>
      </c>
      <c r="N433" s="262" t="n">
        <v>120</v>
      </c>
      <c r="O433" s="262" t="n">
        <v>90</v>
      </c>
      <c r="P433" s="361" t="n">
        <v>120</v>
      </c>
      <c r="Q433" s="261" t="s">
        <v>159</v>
      </c>
      <c r="R433" s="261" t="s">
        <v>146</v>
      </c>
      <c r="S433" s="363" t="n">
        <f aca="false" t="array" ref="S433:S433">IF(COUNTIF('0.3.0 GO Calculation Values'!$J$2:$J$99,C433),(INDEX('0.3.0 GO Calculation Values'!$K$2:$K$99,MATCH(C433,'0.3.0 GO Calculation Values'!$J$2:$J$99,0))),1)</f>
        <v>1</v>
      </c>
      <c r="T433" s="262" t="n">
        <f aca="false">ROUND(ROUND(2*((7/8)*MAX(L433,N433)+(1/8)*MIN(L433,N433)),0)*(1+(P433-75)/500),0)</f>
        <v>310</v>
      </c>
      <c r="U433" s="262" t="n">
        <f aca="false">ROUND(ROUND(2*((5/8)*MAX(M433,O433)+(3/8)*MIN(M433,O433)),0)*(1+(P433-75)/500),0)</f>
        <v>251</v>
      </c>
      <c r="V433" s="361" t="n">
        <f aca="false">ROUNDDOWN(K433*1.75+50,0)</f>
        <v>216</v>
      </c>
      <c r="W433" s="261" t="n">
        <v>0</v>
      </c>
      <c r="X433" s="261" t="s">
        <v>1177</v>
      </c>
      <c r="Y433" s="364" t="s">
        <v>1173</v>
      </c>
      <c r="Z433" s="364" t="n">
        <v>5</v>
      </c>
      <c r="AA433" s="364"/>
      <c r="AB433" s="365" t="n">
        <v>10</v>
      </c>
      <c r="AC433" s="364"/>
      <c r="AD433" s="364" t="n">
        <v>100</v>
      </c>
      <c r="AE433" s="366"/>
      <c r="AF433" s="364" t="s">
        <v>1181</v>
      </c>
      <c r="AG433" s="364" t="s">
        <v>1181</v>
      </c>
      <c r="AH433" s="366" t="s">
        <v>1181</v>
      </c>
    </row>
    <row r="434" customFormat="false" ht="15.75" hidden="false" customHeight="false" outlineLevel="0" collapsed="false">
      <c r="A434" s="262" t="n">
        <v>374</v>
      </c>
      <c r="B434" s="361" t="n">
        <v>432</v>
      </c>
      <c r="C434" s="261" t="s">
        <v>1182</v>
      </c>
      <c r="D434" s="261" t="s">
        <v>60</v>
      </c>
      <c r="E434" s="362" t="s">
        <v>1182</v>
      </c>
      <c r="F434" s="261" t="s">
        <v>879</v>
      </c>
      <c r="G434" s="261" t="s">
        <v>632</v>
      </c>
      <c r="H434" s="261" t="n">
        <v>0</v>
      </c>
      <c r="I434" s="261" t="n">
        <v>1</v>
      </c>
      <c r="J434" s="361" t="n">
        <v>0</v>
      </c>
      <c r="K434" s="262" t="n">
        <v>40</v>
      </c>
      <c r="L434" s="262" t="n">
        <v>55</v>
      </c>
      <c r="M434" s="262" t="n">
        <v>80</v>
      </c>
      <c r="N434" s="262" t="n">
        <v>35</v>
      </c>
      <c r="O434" s="262" t="n">
        <v>60</v>
      </c>
      <c r="P434" s="361" t="n">
        <v>30</v>
      </c>
      <c r="Q434" s="261" t="s">
        <v>152</v>
      </c>
      <c r="R434" s="261" t="s">
        <v>157</v>
      </c>
      <c r="S434" s="363" t="n">
        <f aca="false" t="array" ref="S434:S434">IF(COUNTIF('0.3.0 GO Calculation Values'!$J$2:$J$99,C434),(INDEX('0.3.0 GO Calculation Values'!$K$2:$K$99,MATCH(C434,'0.3.0 GO Calculation Values'!$J$2:$J$99,0))),1)</f>
        <v>1</v>
      </c>
      <c r="T434" s="262" t="n">
        <f aca="false">ROUND(ROUND(2*((7/8)*MAX(L434,N434)+(1/8)*MIN(L434,N434)),0)*(1+(P434-75)/500),0)</f>
        <v>96</v>
      </c>
      <c r="U434" s="262" t="n">
        <f aca="false">ROUND(ROUND(2*((5/8)*MAX(M434,O434)+(3/8)*MIN(M434,O434)),0)*(1+(P434-75)/500),0)</f>
        <v>132</v>
      </c>
      <c r="V434" s="361" t="n">
        <f aca="false">ROUNDDOWN(K434*1.75+50,0)</f>
        <v>120</v>
      </c>
      <c r="W434" s="261" t="n">
        <v>1</v>
      </c>
      <c r="X434" s="261" t="s">
        <v>60</v>
      </c>
      <c r="Y434" s="364" t="s">
        <v>1182</v>
      </c>
      <c r="Z434" s="364" t="n">
        <v>5</v>
      </c>
      <c r="AA434" s="364"/>
      <c r="AB434" s="365" t="n">
        <v>10</v>
      </c>
      <c r="AC434" s="364"/>
      <c r="AD434" s="364" t="n">
        <v>0</v>
      </c>
      <c r="AE434" s="366"/>
      <c r="AF434" s="364" t="s">
        <v>1183</v>
      </c>
      <c r="AG434" s="364" t="s">
        <v>1183</v>
      </c>
      <c r="AH434" s="366" t="s">
        <v>1183</v>
      </c>
    </row>
    <row r="435" customFormat="false" ht="15.75" hidden="false" customHeight="false" outlineLevel="0" collapsed="false">
      <c r="A435" s="262" t="n">
        <v>375</v>
      </c>
      <c r="B435" s="361" t="n">
        <v>433</v>
      </c>
      <c r="C435" s="261" t="s">
        <v>1184</v>
      </c>
      <c r="D435" s="261" t="s">
        <v>60</v>
      </c>
      <c r="E435" s="362" t="s">
        <v>1184</v>
      </c>
      <c r="F435" s="261" t="s">
        <v>879</v>
      </c>
      <c r="G435" s="261" t="s">
        <v>632</v>
      </c>
      <c r="H435" s="261" t="n">
        <v>0</v>
      </c>
      <c r="I435" s="261" t="n">
        <v>2</v>
      </c>
      <c r="J435" s="361" t="n">
        <v>0</v>
      </c>
      <c r="K435" s="262" t="n">
        <v>60</v>
      </c>
      <c r="L435" s="262" t="n">
        <v>75</v>
      </c>
      <c r="M435" s="262" t="n">
        <v>100</v>
      </c>
      <c r="N435" s="262" t="n">
        <v>55</v>
      </c>
      <c r="O435" s="262" t="n">
        <v>80</v>
      </c>
      <c r="P435" s="361" t="n">
        <v>50</v>
      </c>
      <c r="Q435" s="261" t="s">
        <v>152</v>
      </c>
      <c r="R435" s="261" t="s">
        <v>157</v>
      </c>
      <c r="S435" s="363" t="n">
        <f aca="false" t="array" ref="S435:S435">IF(COUNTIF('0.3.0 GO Calculation Values'!$J$2:$J$99,C435),(INDEX('0.3.0 GO Calculation Values'!$K$2:$K$99,MATCH(C435,'0.3.0 GO Calculation Values'!$J$2:$J$99,0))),1)</f>
        <v>1</v>
      </c>
      <c r="T435" s="262" t="n">
        <f aca="false">ROUND(ROUND(2*((7/8)*MAX(L435,N435)+(1/8)*MIN(L435,N435)),0)*(1+(P435-75)/500),0)</f>
        <v>138</v>
      </c>
      <c r="U435" s="262" t="n">
        <f aca="false">ROUND(ROUND(2*((5/8)*MAX(M435,O435)+(3/8)*MIN(M435,O435)),0)*(1+(P435-75)/500),0)</f>
        <v>176</v>
      </c>
      <c r="V435" s="361" t="n">
        <f aca="false">ROUNDDOWN(K435*1.75+50,0)</f>
        <v>155</v>
      </c>
      <c r="W435" s="261" t="n">
        <v>1</v>
      </c>
      <c r="X435" s="261" t="s">
        <v>1182</v>
      </c>
      <c r="Y435" s="364" t="s">
        <v>1182</v>
      </c>
      <c r="Z435" s="364" t="n">
        <v>5</v>
      </c>
      <c r="AA435" s="364"/>
      <c r="AB435" s="365" t="n">
        <v>10</v>
      </c>
      <c r="AC435" s="364"/>
      <c r="AD435" s="364" t="n">
        <v>25</v>
      </c>
      <c r="AE435" s="366"/>
      <c r="AF435" s="364" t="s">
        <v>1185</v>
      </c>
      <c r="AG435" s="364" t="s">
        <v>1185</v>
      </c>
      <c r="AH435" s="366" t="s">
        <v>1185</v>
      </c>
    </row>
    <row r="436" customFormat="false" ht="15.75" hidden="false" customHeight="false" outlineLevel="0" collapsed="false">
      <c r="A436" s="262" t="n">
        <v>376</v>
      </c>
      <c r="B436" s="361" t="n">
        <v>434</v>
      </c>
      <c r="C436" s="261" t="s">
        <v>1186</v>
      </c>
      <c r="D436" s="261" t="s">
        <v>7</v>
      </c>
      <c r="E436" s="367" t="s">
        <v>1186</v>
      </c>
      <c r="F436" s="261" t="s">
        <v>879</v>
      </c>
      <c r="G436" s="261" t="s">
        <v>632</v>
      </c>
      <c r="H436" s="261" t="n">
        <v>0</v>
      </c>
      <c r="I436" s="261" t="n">
        <v>3</v>
      </c>
      <c r="J436" s="361" t="n">
        <v>1</v>
      </c>
      <c r="K436" s="262" t="n">
        <v>80</v>
      </c>
      <c r="L436" s="262" t="n">
        <v>135</v>
      </c>
      <c r="M436" s="262" t="n">
        <v>130</v>
      </c>
      <c r="N436" s="262" t="n">
        <v>95</v>
      </c>
      <c r="O436" s="262" t="n">
        <v>90</v>
      </c>
      <c r="P436" s="361" t="n">
        <v>70</v>
      </c>
      <c r="Q436" s="261" t="s">
        <v>152</v>
      </c>
      <c r="R436" s="261" t="s">
        <v>157</v>
      </c>
      <c r="S436" s="363" t="n">
        <f aca="false" t="array" ref="S436:S436">IF(COUNTIF('0.3.0 GO Calculation Values'!$J$2:$J$99,C436),(INDEX('0.3.0 GO Calculation Values'!$K$2:$K$99,MATCH(C436,'0.3.0 GO Calculation Values'!$J$2:$J$99,0))),1)</f>
        <v>1</v>
      </c>
      <c r="T436" s="262" t="n">
        <f aca="false">ROUND(ROUND(2*((7/8)*MAX(L436,N436)+(1/8)*MIN(L436,N436)),0)*(1+(P436-75)/500),0)</f>
        <v>257</v>
      </c>
      <c r="U436" s="262" t="n">
        <f aca="false">ROUND(ROUND(2*((5/8)*MAX(M436,O436)+(3/8)*MIN(M436,O436)),0)*(1+(P436-75)/500),0)</f>
        <v>228</v>
      </c>
      <c r="V436" s="361" t="n">
        <f aca="false">ROUNDDOWN(K436*1.75+50,0)</f>
        <v>190</v>
      </c>
      <c r="W436" s="261" t="n">
        <v>1</v>
      </c>
      <c r="X436" s="261" t="s">
        <v>1184</v>
      </c>
      <c r="Y436" s="364" t="s">
        <v>1182</v>
      </c>
      <c r="Z436" s="364" t="n">
        <v>5</v>
      </c>
      <c r="AA436" s="364"/>
      <c r="AB436" s="365" t="n">
        <v>10</v>
      </c>
      <c r="AC436" s="364"/>
      <c r="AD436" s="364" t="n">
        <v>100</v>
      </c>
      <c r="AE436" s="366"/>
      <c r="AF436" s="364" t="s">
        <v>1187</v>
      </c>
      <c r="AG436" s="364" t="s">
        <v>1187</v>
      </c>
      <c r="AH436" s="366" t="s">
        <v>1187</v>
      </c>
    </row>
    <row r="437" customFormat="false" ht="15.75" hidden="false" customHeight="false" outlineLevel="0" collapsed="false">
      <c r="A437" s="262" t="n">
        <v>376</v>
      </c>
      <c r="B437" s="361" t="n">
        <v>435</v>
      </c>
      <c r="C437" s="261" t="s">
        <v>1186</v>
      </c>
      <c r="D437" s="261" t="s">
        <v>1188</v>
      </c>
      <c r="E437" s="358" t="s">
        <v>1189</v>
      </c>
      <c r="F437" s="261" t="s">
        <v>887</v>
      </c>
      <c r="G437" s="261" t="s">
        <v>632</v>
      </c>
      <c r="H437" s="261" t="n">
        <v>2</v>
      </c>
      <c r="I437" s="261" t="n">
        <v>3</v>
      </c>
      <c r="J437" s="361" t="n">
        <v>1</v>
      </c>
      <c r="K437" s="262" t="n">
        <v>80</v>
      </c>
      <c r="L437" s="262" t="n">
        <v>145</v>
      </c>
      <c r="M437" s="262" t="n">
        <v>150</v>
      </c>
      <c r="N437" s="262" t="n">
        <v>105</v>
      </c>
      <c r="O437" s="262" t="n">
        <v>110</v>
      </c>
      <c r="P437" s="361" t="n">
        <v>110</v>
      </c>
      <c r="Q437" s="261" t="s">
        <v>152</v>
      </c>
      <c r="R437" s="261" t="s">
        <v>157</v>
      </c>
      <c r="S437" s="363" t="n">
        <f aca="false" t="array" ref="S437:S437">IF(COUNTIF('0.3.0 GO Calculation Values'!$J$2:$J$99,C437),(INDEX('0.3.0 GO Calculation Values'!$K$2:$K$99,MATCH(C437,'0.3.0 GO Calculation Values'!$J$2:$J$99,0))),1)</f>
        <v>1</v>
      </c>
      <c r="T437" s="262" t="n">
        <f aca="false">ROUND(ROUND(2*((7/8)*MAX(L437,N437)+(1/8)*MIN(L437,N437)),0)*(1+(P437-75)/500),0)</f>
        <v>300</v>
      </c>
      <c r="U437" s="262" t="n">
        <f aca="false">ROUND(ROUND(2*((5/8)*MAX(M437,O437)+(3/8)*MIN(M437,O437)),0)*(1+(P437-75)/500),0)</f>
        <v>289</v>
      </c>
      <c r="V437" s="361" t="n">
        <f aca="false">ROUNDDOWN(K437*1.75+50,0)</f>
        <v>190</v>
      </c>
      <c r="W437" s="261" t="n">
        <v>0</v>
      </c>
      <c r="X437" s="261" t="s">
        <v>1186</v>
      </c>
      <c r="Y437" s="364" t="s">
        <v>1182</v>
      </c>
      <c r="Z437" s="364" t="n">
        <v>5</v>
      </c>
      <c r="AA437" s="364"/>
      <c r="AB437" s="365" t="n">
        <v>10</v>
      </c>
      <c r="AC437" s="364"/>
      <c r="AD437" s="364" t="n">
        <v>100</v>
      </c>
      <c r="AE437" s="366"/>
      <c r="AF437" s="364" t="s">
        <v>1190</v>
      </c>
      <c r="AG437" s="364" t="s">
        <v>1190</v>
      </c>
      <c r="AH437" s="366" t="s">
        <v>1190</v>
      </c>
    </row>
    <row r="438" customFormat="false" ht="15.75" hidden="false" customHeight="false" outlineLevel="0" collapsed="false">
      <c r="A438" s="262" t="n">
        <v>377</v>
      </c>
      <c r="B438" s="361" t="n">
        <v>436</v>
      </c>
      <c r="C438" s="261" t="s">
        <v>1191</v>
      </c>
      <c r="D438" s="261" t="s">
        <v>60</v>
      </c>
      <c r="E438" s="362" t="s">
        <v>1191</v>
      </c>
      <c r="F438" s="261" t="s">
        <v>879</v>
      </c>
      <c r="G438" s="261" t="s">
        <v>625</v>
      </c>
      <c r="H438" s="261" t="n">
        <v>0</v>
      </c>
      <c r="I438" s="261" t="n">
        <v>1</v>
      </c>
      <c r="J438" s="361" t="n">
        <v>1</v>
      </c>
      <c r="K438" s="262" t="n">
        <v>80</v>
      </c>
      <c r="L438" s="262" t="n">
        <v>100</v>
      </c>
      <c r="M438" s="262" t="n">
        <v>200</v>
      </c>
      <c r="N438" s="262" t="n">
        <v>50</v>
      </c>
      <c r="O438" s="262" t="n">
        <v>100</v>
      </c>
      <c r="P438" s="361" t="n">
        <v>50</v>
      </c>
      <c r="Q438" s="261" t="s">
        <v>149</v>
      </c>
      <c r="R438" s="261"/>
      <c r="S438" s="363" t="n">
        <f aca="false" t="array" ref="S438:S438">IF(COUNTIF('0.3.0 GO Calculation Values'!$J$2:$J$99,C438),(INDEX('0.3.0 GO Calculation Values'!$K$2:$K$99,MATCH(C438,'0.3.0 GO Calculation Values'!$J$2:$J$99,0))),1)</f>
        <v>1</v>
      </c>
      <c r="T438" s="262" t="n">
        <f aca="false">ROUND(ROUND(2*((7/8)*MAX(L438,N438)+(1/8)*MIN(L438,N438)),0)*(1+(P438-75)/500),0)</f>
        <v>179</v>
      </c>
      <c r="U438" s="262" t="n">
        <f aca="false">ROUND(ROUND(2*((5/8)*MAX(M438,O438)+(3/8)*MIN(M438,O438)),0)*(1+(P438-75)/500),0)</f>
        <v>309</v>
      </c>
      <c r="V438" s="361" t="n">
        <f aca="false">ROUNDDOWN(K438*1.75+50,0)</f>
        <v>190</v>
      </c>
      <c r="W438" s="261" t="n">
        <v>1</v>
      </c>
      <c r="X438" s="261" t="s">
        <v>60</v>
      </c>
      <c r="Y438" s="364" t="s">
        <v>1191</v>
      </c>
      <c r="Z438" s="364" t="n">
        <v>20</v>
      </c>
      <c r="AA438" s="364"/>
      <c r="AB438" s="365" t="s">
        <v>60</v>
      </c>
      <c r="AC438" s="364"/>
      <c r="AD438" s="364" t="n">
        <v>0</v>
      </c>
      <c r="AE438" s="366"/>
      <c r="AF438" s="364" t="s">
        <v>1192</v>
      </c>
      <c r="AG438" s="364" t="s">
        <v>1192</v>
      </c>
      <c r="AH438" s="366" t="s">
        <v>1192</v>
      </c>
    </row>
    <row r="439" customFormat="false" ht="15.75" hidden="false" customHeight="false" outlineLevel="0" collapsed="false">
      <c r="A439" s="262" t="n">
        <v>378</v>
      </c>
      <c r="B439" s="361" t="n">
        <v>437</v>
      </c>
      <c r="C439" s="261" t="s">
        <v>1193</v>
      </c>
      <c r="D439" s="261" t="s">
        <v>60</v>
      </c>
      <c r="E439" s="362" t="s">
        <v>1193</v>
      </c>
      <c r="F439" s="261" t="s">
        <v>879</v>
      </c>
      <c r="G439" s="261" t="s">
        <v>625</v>
      </c>
      <c r="H439" s="261" t="n">
        <v>0</v>
      </c>
      <c r="I439" s="261" t="n">
        <v>1</v>
      </c>
      <c r="J439" s="361" t="n">
        <v>1</v>
      </c>
      <c r="K439" s="262" t="n">
        <v>80</v>
      </c>
      <c r="L439" s="262" t="n">
        <v>50</v>
      </c>
      <c r="M439" s="262" t="n">
        <v>100</v>
      </c>
      <c r="N439" s="262" t="n">
        <v>100</v>
      </c>
      <c r="O439" s="262" t="n">
        <v>200</v>
      </c>
      <c r="P439" s="361" t="n">
        <v>50</v>
      </c>
      <c r="Q439" s="261" t="s">
        <v>158</v>
      </c>
      <c r="R439" s="261"/>
      <c r="S439" s="363" t="n">
        <f aca="false" t="array" ref="S439:S439">IF(COUNTIF('0.3.0 GO Calculation Values'!$J$2:$J$99,C439),(INDEX('0.3.0 GO Calculation Values'!$K$2:$K$99,MATCH(C439,'0.3.0 GO Calculation Values'!$J$2:$J$99,0))),1)</f>
        <v>1</v>
      </c>
      <c r="T439" s="262" t="n">
        <f aca="false">ROUND(ROUND(2*((7/8)*MAX(L439,N439)+(1/8)*MIN(L439,N439)),0)*(1+(P439-75)/500),0)</f>
        <v>179</v>
      </c>
      <c r="U439" s="262" t="n">
        <f aca="false">ROUND(ROUND(2*((5/8)*MAX(M439,O439)+(3/8)*MIN(M439,O439)),0)*(1+(P439-75)/500),0)</f>
        <v>309</v>
      </c>
      <c r="V439" s="361" t="n">
        <f aca="false">ROUNDDOWN(K439*1.75+50,0)</f>
        <v>190</v>
      </c>
      <c r="W439" s="261" t="n">
        <v>1</v>
      </c>
      <c r="X439" s="261" t="s">
        <v>60</v>
      </c>
      <c r="Y439" s="364" t="s">
        <v>1193</v>
      </c>
      <c r="Z439" s="364" t="n">
        <v>20</v>
      </c>
      <c r="AA439" s="364"/>
      <c r="AB439" s="365" t="s">
        <v>60</v>
      </c>
      <c r="AC439" s="364"/>
      <c r="AD439" s="364" t="n">
        <v>0</v>
      </c>
      <c r="AE439" s="366"/>
      <c r="AF439" s="364" t="s">
        <v>1194</v>
      </c>
      <c r="AG439" s="364" t="s">
        <v>1194</v>
      </c>
      <c r="AH439" s="366" t="s">
        <v>1194</v>
      </c>
    </row>
    <row r="440" customFormat="false" ht="15.75" hidden="false" customHeight="false" outlineLevel="0" collapsed="false">
      <c r="A440" s="262" t="n">
        <v>379</v>
      </c>
      <c r="B440" s="361" t="n">
        <v>438</v>
      </c>
      <c r="C440" s="261" t="s">
        <v>1195</v>
      </c>
      <c r="D440" s="261" t="s">
        <v>60</v>
      </c>
      <c r="E440" s="362" t="s">
        <v>1195</v>
      </c>
      <c r="F440" s="261" t="s">
        <v>879</v>
      </c>
      <c r="G440" s="261" t="s">
        <v>625</v>
      </c>
      <c r="H440" s="261" t="n">
        <v>0</v>
      </c>
      <c r="I440" s="261" t="n">
        <v>1</v>
      </c>
      <c r="J440" s="361" t="n">
        <v>1</v>
      </c>
      <c r="K440" s="262" t="n">
        <v>80</v>
      </c>
      <c r="L440" s="262" t="n">
        <v>75</v>
      </c>
      <c r="M440" s="262" t="n">
        <v>150</v>
      </c>
      <c r="N440" s="262" t="n">
        <v>75</v>
      </c>
      <c r="O440" s="262" t="n">
        <v>150</v>
      </c>
      <c r="P440" s="361" t="n">
        <v>50</v>
      </c>
      <c r="Q440" s="261" t="s">
        <v>152</v>
      </c>
      <c r="R440" s="261"/>
      <c r="S440" s="363" t="n">
        <f aca="false" t="array" ref="S440:S440">IF(COUNTIF('0.3.0 GO Calculation Values'!$J$2:$J$99,C440),(INDEX('0.3.0 GO Calculation Values'!$K$2:$K$99,MATCH(C440,'0.3.0 GO Calculation Values'!$J$2:$J$99,0))),1)</f>
        <v>1</v>
      </c>
      <c r="T440" s="262" t="n">
        <f aca="false">ROUND(ROUND(2*((7/8)*MAX(L440,N440)+(1/8)*MIN(L440,N440)),0)*(1+(P440-75)/500),0)</f>
        <v>143</v>
      </c>
      <c r="U440" s="262" t="n">
        <f aca="false">ROUND(ROUND(2*((5/8)*MAX(M440,O440)+(3/8)*MIN(M440,O440)),0)*(1+(P440-75)/500),0)</f>
        <v>285</v>
      </c>
      <c r="V440" s="361" t="n">
        <f aca="false">ROUNDDOWN(K440*1.75+50,0)</f>
        <v>190</v>
      </c>
      <c r="W440" s="261" t="n">
        <v>1</v>
      </c>
      <c r="X440" s="261" t="s">
        <v>60</v>
      </c>
      <c r="Y440" s="364" t="s">
        <v>1195</v>
      </c>
      <c r="Z440" s="364" t="n">
        <v>20</v>
      </c>
      <c r="AA440" s="364"/>
      <c r="AB440" s="365" t="s">
        <v>60</v>
      </c>
      <c r="AC440" s="364"/>
      <c r="AD440" s="364" t="n">
        <v>0</v>
      </c>
      <c r="AE440" s="366"/>
      <c r="AF440" s="364" t="s">
        <v>1196</v>
      </c>
      <c r="AG440" s="364" t="s">
        <v>1196</v>
      </c>
      <c r="AH440" s="366" t="s">
        <v>1196</v>
      </c>
    </row>
    <row r="441" customFormat="false" ht="15.75" hidden="false" customHeight="false" outlineLevel="0" collapsed="false">
      <c r="A441" s="262" t="n">
        <v>380</v>
      </c>
      <c r="B441" s="361" t="n">
        <v>439</v>
      </c>
      <c r="C441" s="261" t="s">
        <v>1197</v>
      </c>
      <c r="D441" s="261" t="s">
        <v>7</v>
      </c>
      <c r="E441" s="367" t="s">
        <v>1197</v>
      </c>
      <c r="F441" s="261" t="s">
        <v>879</v>
      </c>
      <c r="G441" s="261" t="s">
        <v>1198</v>
      </c>
      <c r="H441" s="261" t="n">
        <v>0</v>
      </c>
      <c r="I441" s="261" t="n">
        <v>1</v>
      </c>
      <c r="J441" s="361" t="n">
        <v>1</v>
      </c>
      <c r="K441" s="262" t="n">
        <v>80</v>
      </c>
      <c r="L441" s="262" t="n">
        <v>80</v>
      </c>
      <c r="M441" s="262" t="n">
        <v>90</v>
      </c>
      <c r="N441" s="262" t="n">
        <v>110</v>
      </c>
      <c r="O441" s="262" t="n">
        <v>130</v>
      </c>
      <c r="P441" s="361" t="n">
        <v>110</v>
      </c>
      <c r="Q441" s="261" t="s">
        <v>159</v>
      </c>
      <c r="R441" s="261" t="s">
        <v>157</v>
      </c>
      <c r="S441" s="363" t="n">
        <f aca="false" t="array" ref="S441:S441">IF(COUNTIF('0.3.0 GO Calculation Values'!$J$2:$J$99,C441),(INDEX('0.3.0 GO Calculation Values'!$K$2:$K$99,MATCH(C441,'0.3.0 GO Calculation Values'!$J$2:$J$99,0))),1)</f>
        <v>1</v>
      </c>
      <c r="T441" s="262" t="n">
        <f aca="false">ROUND(ROUND(2*((7/8)*MAX(L441,N441)+(1/8)*MIN(L441,N441)),0)*(1+(P441-75)/500),0)</f>
        <v>228</v>
      </c>
      <c r="U441" s="262" t="n">
        <f aca="false">ROUND(ROUND(2*((5/8)*MAX(M441,O441)+(3/8)*MIN(M441,O441)),0)*(1+(P441-75)/500),0)</f>
        <v>246</v>
      </c>
      <c r="V441" s="361" t="n">
        <f aca="false">ROUNDDOWN(K441*1.75+50,0)</f>
        <v>190</v>
      </c>
      <c r="W441" s="261" t="n">
        <v>1</v>
      </c>
      <c r="X441" s="261" t="s">
        <v>60</v>
      </c>
      <c r="Y441" s="364" t="s">
        <v>1197</v>
      </c>
      <c r="Z441" s="364" t="n">
        <v>20</v>
      </c>
      <c r="AA441" s="364"/>
      <c r="AB441" s="365" t="s">
        <v>60</v>
      </c>
      <c r="AC441" s="364"/>
      <c r="AD441" s="364" t="n">
        <v>0</v>
      </c>
      <c r="AE441" s="366"/>
      <c r="AF441" s="364" t="s">
        <v>1199</v>
      </c>
      <c r="AG441" s="364" t="s">
        <v>1199</v>
      </c>
      <c r="AH441" s="366" t="s">
        <v>1199</v>
      </c>
    </row>
    <row r="442" customFormat="false" ht="15.75" hidden="false" customHeight="false" outlineLevel="0" collapsed="false">
      <c r="A442" s="262" t="n">
        <v>380</v>
      </c>
      <c r="B442" s="361" t="n">
        <v>440</v>
      </c>
      <c r="C442" s="261" t="s">
        <v>1197</v>
      </c>
      <c r="D442" s="261" t="s">
        <v>1200</v>
      </c>
      <c r="E442" s="358" t="s">
        <v>1201</v>
      </c>
      <c r="F442" s="261" t="s">
        <v>887</v>
      </c>
      <c r="G442" s="261" t="s">
        <v>1198</v>
      </c>
      <c r="H442" s="261" t="n">
        <v>2</v>
      </c>
      <c r="I442" s="261" t="n">
        <v>2</v>
      </c>
      <c r="J442" s="361" t="n">
        <v>1</v>
      </c>
      <c r="K442" s="262" t="n">
        <v>80</v>
      </c>
      <c r="L442" s="262" t="n">
        <v>100</v>
      </c>
      <c r="M442" s="262" t="n">
        <v>120</v>
      </c>
      <c r="N442" s="262" t="n">
        <v>140</v>
      </c>
      <c r="O442" s="262" t="n">
        <v>150</v>
      </c>
      <c r="P442" s="361" t="n">
        <v>110</v>
      </c>
      <c r="Q442" s="261" t="s">
        <v>159</v>
      </c>
      <c r="R442" s="261" t="s">
        <v>157</v>
      </c>
      <c r="S442" s="363" t="n">
        <f aca="false" t="array" ref="S442:S442">IF(COUNTIF('0.3.0 GO Calculation Values'!$J$2:$J$99,C442),(INDEX('0.3.0 GO Calculation Values'!$K$2:$K$99,MATCH(C442,'0.3.0 GO Calculation Values'!$J$2:$J$99,0))),1)</f>
        <v>1</v>
      </c>
      <c r="T442" s="262" t="n">
        <f aca="false">ROUND(ROUND(2*((7/8)*MAX(L442,N442)+(1/8)*MIN(L442,N442)),0)*(1+(P442-75)/500),0)</f>
        <v>289</v>
      </c>
      <c r="U442" s="262" t="n">
        <f aca="false">ROUND(ROUND(2*((5/8)*MAX(M442,O442)+(3/8)*MIN(M442,O442)),0)*(1+(P442-75)/500),0)</f>
        <v>297</v>
      </c>
      <c r="V442" s="361" t="n">
        <f aca="false">ROUNDDOWN(K442*1.75+50,0)</f>
        <v>190</v>
      </c>
      <c r="W442" s="261" t="n">
        <v>0</v>
      </c>
      <c r="X442" s="261" t="s">
        <v>1197</v>
      </c>
      <c r="Y442" s="364" t="s">
        <v>1197</v>
      </c>
      <c r="Z442" s="364" t="n">
        <v>20</v>
      </c>
      <c r="AA442" s="364"/>
      <c r="AB442" s="365" t="s">
        <v>60</v>
      </c>
      <c r="AC442" s="364"/>
      <c r="AD442" s="364" t="n">
        <v>0</v>
      </c>
      <c r="AE442" s="366"/>
      <c r="AF442" s="364" t="s">
        <v>1202</v>
      </c>
      <c r="AG442" s="364" t="s">
        <v>1202</v>
      </c>
      <c r="AH442" s="366" t="s">
        <v>1202</v>
      </c>
    </row>
    <row r="443" customFormat="false" ht="15.75" hidden="false" customHeight="false" outlineLevel="0" collapsed="false">
      <c r="A443" s="262" t="n">
        <v>381</v>
      </c>
      <c r="B443" s="361" t="n">
        <v>441</v>
      </c>
      <c r="C443" s="261" t="s">
        <v>1203</v>
      </c>
      <c r="D443" s="261" t="s">
        <v>7</v>
      </c>
      <c r="E443" s="367" t="s">
        <v>1203</v>
      </c>
      <c r="F443" s="261" t="s">
        <v>879</v>
      </c>
      <c r="G443" s="261" t="s">
        <v>1198</v>
      </c>
      <c r="H443" s="261" t="n">
        <v>0</v>
      </c>
      <c r="I443" s="261" t="n">
        <v>1</v>
      </c>
      <c r="J443" s="361" t="n">
        <v>1</v>
      </c>
      <c r="K443" s="262" t="n">
        <v>80</v>
      </c>
      <c r="L443" s="262" t="n">
        <v>90</v>
      </c>
      <c r="M443" s="262" t="n">
        <v>80</v>
      </c>
      <c r="N443" s="262" t="n">
        <v>130</v>
      </c>
      <c r="O443" s="262" t="n">
        <v>110</v>
      </c>
      <c r="P443" s="361" t="n">
        <v>110</v>
      </c>
      <c r="Q443" s="261" t="s">
        <v>159</v>
      </c>
      <c r="R443" s="261" t="s">
        <v>157</v>
      </c>
      <c r="S443" s="363" t="n">
        <f aca="false" t="array" ref="S443:S443">IF(COUNTIF('0.3.0 GO Calculation Values'!$J$2:$J$99,C443),(INDEX('0.3.0 GO Calculation Values'!$K$2:$K$99,MATCH(C443,'0.3.0 GO Calculation Values'!$J$2:$J$99,0))),1)</f>
        <v>1</v>
      </c>
      <c r="T443" s="262" t="n">
        <f aca="false">ROUND(ROUND(2*((7/8)*MAX(L443,N443)+(1/8)*MIN(L443,N443)),0)*(1+(P443-75)/500),0)</f>
        <v>268</v>
      </c>
      <c r="U443" s="262" t="n">
        <f aca="false">ROUND(ROUND(2*((5/8)*MAX(M443,O443)+(3/8)*MIN(M443,O443)),0)*(1+(P443-75)/500),0)</f>
        <v>212</v>
      </c>
      <c r="V443" s="361" t="n">
        <f aca="false">ROUNDDOWN(K443*1.75+50,0)</f>
        <v>190</v>
      </c>
      <c r="W443" s="261" t="n">
        <v>1</v>
      </c>
      <c r="X443" s="261" t="s">
        <v>60</v>
      </c>
      <c r="Y443" s="364" t="s">
        <v>1203</v>
      </c>
      <c r="Z443" s="364" t="n">
        <v>20</v>
      </c>
      <c r="AA443" s="364"/>
      <c r="AB443" s="365" t="s">
        <v>60</v>
      </c>
      <c r="AC443" s="364"/>
      <c r="AD443" s="364" t="n">
        <v>0</v>
      </c>
      <c r="AE443" s="366"/>
      <c r="AF443" s="364" t="s">
        <v>1204</v>
      </c>
      <c r="AG443" s="364" t="s">
        <v>1204</v>
      </c>
      <c r="AH443" s="366" t="s">
        <v>1204</v>
      </c>
    </row>
    <row r="444" customFormat="false" ht="15.75" hidden="false" customHeight="false" outlineLevel="0" collapsed="false">
      <c r="A444" s="262" t="n">
        <v>381</v>
      </c>
      <c r="B444" s="361" t="n">
        <v>442</v>
      </c>
      <c r="C444" s="261" t="s">
        <v>1203</v>
      </c>
      <c r="D444" s="261" t="s">
        <v>1205</v>
      </c>
      <c r="E444" s="358" t="s">
        <v>1206</v>
      </c>
      <c r="F444" s="261" t="s">
        <v>887</v>
      </c>
      <c r="G444" s="261" t="s">
        <v>1198</v>
      </c>
      <c r="H444" s="261" t="n">
        <v>2</v>
      </c>
      <c r="I444" s="261" t="n">
        <v>2</v>
      </c>
      <c r="J444" s="361" t="n">
        <v>1</v>
      </c>
      <c r="K444" s="262" t="n">
        <v>80</v>
      </c>
      <c r="L444" s="262" t="n">
        <v>130</v>
      </c>
      <c r="M444" s="262" t="n">
        <v>100</v>
      </c>
      <c r="N444" s="262" t="n">
        <v>160</v>
      </c>
      <c r="O444" s="262" t="n">
        <v>120</v>
      </c>
      <c r="P444" s="361" t="n">
        <v>110</v>
      </c>
      <c r="Q444" s="261" t="s">
        <v>159</v>
      </c>
      <c r="R444" s="261" t="s">
        <v>157</v>
      </c>
      <c r="S444" s="363" t="n">
        <f aca="false" t="array" ref="S444:S444">IF(COUNTIF('0.3.0 GO Calculation Values'!$J$2:$J$99,C444),(INDEX('0.3.0 GO Calculation Values'!$K$2:$K$99,MATCH(C444,'0.3.0 GO Calculation Values'!$J$2:$J$99,0))),1)</f>
        <v>1</v>
      </c>
      <c r="T444" s="262" t="n">
        <f aca="false">ROUND(ROUND(2*((7/8)*MAX(L444,N444)+(1/8)*MIN(L444,N444)),0)*(1+(P444-75)/500),0)</f>
        <v>335</v>
      </c>
      <c r="U444" s="262" t="n">
        <f aca="false">ROUND(ROUND(2*((5/8)*MAX(M444,O444)+(3/8)*MIN(M444,O444)),0)*(1+(P444-75)/500),0)</f>
        <v>241</v>
      </c>
      <c r="V444" s="361" t="n">
        <f aca="false">ROUNDDOWN(K444*1.75+50,0)</f>
        <v>190</v>
      </c>
      <c r="W444" s="261" t="n">
        <v>0</v>
      </c>
      <c r="X444" s="261" t="s">
        <v>1203</v>
      </c>
      <c r="Y444" s="364" t="s">
        <v>1203</v>
      </c>
      <c r="Z444" s="364" t="n">
        <v>20</v>
      </c>
      <c r="AA444" s="364"/>
      <c r="AB444" s="365" t="s">
        <v>60</v>
      </c>
      <c r="AC444" s="364"/>
      <c r="AD444" s="364" t="n">
        <v>0</v>
      </c>
      <c r="AE444" s="366"/>
      <c r="AF444" s="364" t="s">
        <v>1207</v>
      </c>
      <c r="AG444" s="364" t="s">
        <v>1207</v>
      </c>
      <c r="AH444" s="366" t="s">
        <v>1207</v>
      </c>
    </row>
    <row r="445" customFormat="false" ht="15.75" hidden="false" customHeight="false" outlineLevel="0" collapsed="false">
      <c r="A445" s="262" t="n">
        <v>382</v>
      </c>
      <c r="B445" s="361" t="n">
        <v>443</v>
      </c>
      <c r="C445" s="261" t="s">
        <v>1208</v>
      </c>
      <c r="D445" s="261" t="s">
        <v>7</v>
      </c>
      <c r="E445" s="367" t="s">
        <v>1208</v>
      </c>
      <c r="F445" s="261" t="s">
        <v>879</v>
      </c>
      <c r="G445" s="261" t="s">
        <v>639</v>
      </c>
      <c r="H445" s="261" t="n">
        <v>0</v>
      </c>
      <c r="I445" s="261" t="n">
        <v>1</v>
      </c>
      <c r="J445" s="361" t="n">
        <v>1</v>
      </c>
      <c r="K445" s="262" t="n">
        <v>100</v>
      </c>
      <c r="L445" s="262" t="n">
        <v>100</v>
      </c>
      <c r="M445" s="262" t="n">
        <v>90</v>
      </c>
      <c r="N445" s="262" t="n">
        <v>150</v>
      </c>
      <c r="O445" s="262" t="n">
        <v>140</v>
      </c>
      <c r="P445" s="361" t="n">
        <v>90</v>
      </c>
      <c r="Q445" s="261" t="s">
        <v>154</v>
      </c>
      <c r="R445" s="261"/>
      <c r="S445" s="368" t="n">
        <f aca="false" t="array" ref="S445:S445">IF(COUNTIF('0.3.0 GO Calculation Values'!$J$2:$J$99,C445),(INDEX('0.3.0 GO Calculation Values'!$K$2:$K$99,MATCH(C445,'0.3.0 GO Calculation Values'!$J$2:$J$99,0))),1)</f>
        <v>0.909090909090909</v>
      </c>
      <c r="T445" s="262" t="n">
        <f aca="false">ROUND(ROUND(2*((7/8)*MAX(L445,N445)+(1/8)*MIN(L445,N445)),0)*(1+(P445-75)/500),0)</f>
        <v>297</v>
      </c>
      <c r="U445" s="262" t="n">
        <f aca="false">ROUND(ROUND(2*((5/8)*MAX(M445,O445)+(3/8)*MIN(M445,O445)),0)*(1+(P445-75)/500),0)</f>
        <v>250</v>
      </c>
      <c r="V445" s="361" t="n">
        <f aca="false">ROUNDDOWN(K445*1.75+50,0)</f>
        <v>225</v>
      </c>
      <c r="W445" s="261" t="n">
        <v>1</v>
      </c>
      <c r="X445" s="261" t="s">
        <v>60</v>
      </c>
      <c r="Y445" s="364" t="s">
        <v>1208</v>
      </c>
      <c r="Z445" s="364" t="n">
        <v>20</v>
      </c>
      <c r="AA445" s="364"/>
      <c r="AB445" s="365" t="s">
        <v>60</v>
      </c>
      <c r="AC445" s="364"/>
      <c r="AD445" s="364" t="n">
        <v>0</v>
      </c>
      <c r="AE445" s="366"/>
      <c r="AF445" s="364" t="s">
        <v>1209</v>
      </c>
      <c r="AG445" s="364" t="s">
        <v>1209</v>
      </c>
      <c r="AH445" s="366" t="s">
        <v>1209</v>
      </c>
    </row>
    <row r="446" customFormat="false" ht="15.75" hidden="false" customHeight="false" outlineLevel="0" collapsed="false">
      <c r="A446" s="262" t="n">
        <v>382</v>
      </c>
      <c r="B446" s="361" t="n">
        <v>444</v>
      </c>
      <c r="C446" s="261" t="s">
        <v>1208</v>
      </c>
      <c r="D446" s="261" t="s">
        <v>1210</v>
      </c>
      <c r="E446" s="358" t="s">
        <v>1211</v>
      </c>
      <c r="F446" s="261" t="s">
        <v>887</v>
      </c>
      <c r="G446" s="261" t="s">
        <v>639</v>
      </c>
      <c r="H446" s="261" t="n">
        <v>2</v>
      </c>
      <c r="I446" s="261" t="n">
        <v>2</v>
      </c>
      <c r="J446" s="361" t="n">
        <v>1</v>
      </c>
      <c r="K446" s="262" t="n">
        <v>100</v>
      </c>
      <c r="L446" s="262" t="n">
        <v>150</v>
      </c>
      <c r="M446" s="262" t="n">
        <v>90</v>
      </c>
      <c r="N446" s="262" t="n">
        <v>180</v>
      </c>
      <c r="O446" s="262" t="n">
        <v>160</v>
      </c>
      <c r="P446" s="361" t="n">
        <v>90</v>
      </c>
      <c r="Q446" s="261" t="s">
        <v>154</v>
      </c>
      <c r="R446" s="261"/>
      <c r="S446" s="368" t="n">
        <f aca="false" t="array" ref="S446:S446">IF(COUNTIF('0.3.0 GO Calculation Values'!$J$2:$J$99,C446),(INDEX('0.3.0 GO Calculation Values'!$K$2:$K$99,MATCH(C446,'0.3.0 GO Calculation Values'!$J$2:$J$99,0))),1)</f>
        <v>0.909090909090909</v>
      </c>
      <c r="T446" s="262" t="n">
        <f aca="false">ROUND(ROUND(2*((7/8)*MAX(L446,N446)+(1/8)*MIN(L446,N446)),0)*(1+(P446-75)/500),0)</f>
        <v>364</v>
      </c>
      <c r="U446" s="262" t="n">
        <f aca="false">ROUND(ROUND(2*((5/8)*MAX(M446,O446)+(3/8)*MIN(M446,O446)),0)*(1+(P446-75)/500),0)</f>
        <v>276</v>
      </c>
      <c r="V446" s="361" t="n">
        <f aca="false">ROUNDDOWN(K446*1.75+50,0)</f>
        <v>225</v>
      </c>
      <c r="W446" s="261" t="n">
        <v>0</v>
      </c>
      <c r="X446" s="261" t="s">
        <v>1208</v>
      </c>
      <c r="Y446" s="364" t="s">
        <v>1208</v>
      </c>
      <c r="Z446" s="364" t="n">
        <v>20</v>
      </c>
      <c r="AA446" s="364"/>
      <c r="AB446" s="365" t="s">
        <v>60</v>
      </c>
      <c r="AC446" s="364"/>
      <c r="AD446" s="364" t="n">
        <v>0</v>
      </c>
      <c r="AE446" s="366"/>
      <c r="AF446" s="261" t="s">
        <v>1212</v>
      </c>
      <c r="AG446" s="261" t="s">
        <v>1212</v>
      </c>
      <c r="AH446" s="362" t="s">
        <v>1212</v>
      </c>
    </row>
    <row r="447" customFormat="false" ht="15.75" hidden="false" customHeight="false" outlineLevel="0" collapsed="false">
      <c r="A447" s="262" t="n">
        <v>383</v>
      </c>
      <c r="B447" s="361" t="n">
        <v>445</v>
      </c>
      <c r="C447" s="261" t="s">
        <v>1213</v>
      </c>
      <c r="D447" s="261" t="s">
        <v>7</v>
      </c>
      <c r="E447" s="367" t="s">
        <v>1213</v>
      </c>
      <c r="F447" s="261" t="s">
        <v>879</v>
      </c>
      <c r="G447" s="261" t="s">
        <v>639</v>
      </c>
      <c r="H447" s="261" t="n">
        <v>0</v>
      </c>
      <c r="I447" s="261" t="n">
        <v>1</v>
      </c>
      <c r="J447" s="361" t="n">
        <v>1</v>
      </c>
      <c r="K447" s="262" t="n">
        <v>100</v>
      </c>
      <c r="L447" s="262" t="n">
        <v>150</v>
      </c>
      <c r="M447" s="262" t="n">
        <v>140</v>
      </c>
      <c r="N447" s="262" t="n">
        <v>100</v>
      </c>
      <c r="O447" s="262" t="n">
        <v>90</v>
      </c>
      <c r="P447" s="361" t="n">
        <v>90</v>
      </c>
      <c r="Q447" s="261" t="s">
        <v>148</v>
      </c>
      <c r="R447" s="261"/>
      <c r="S447" s="368" t="n">
        <f aca="false" t="array" ref="S447:S447">IF(COUNTIF('0.3.0 GO Calculation Values'!$J$2:$J$99,C447),(INDEX('0.3.0 GO Calculation Values'!$K$2:$K$99,MATCH(C447,'0.3.0 GO Calculation Values'!$J$2:$J$99,0))),1)</f>
        <v>0.909090909090909</v>
      </c>
      <c r="T447" s="262" t="n">
        <f aca="false">ROUND(ROUND(2*((7/8)*MAX(L447,N447)+(1/8)*MIN(L447,N447)),0)*(1+(P447-75)/500),0)</f>
        <v>297</v>
      </c>
      <c r="U447" s="262" t="n">
        <f aca="false">ROUND(ROUND(2*((5/8)*MAX(M447,O447)+(3/8)*MIN(M447,O447)),0)*(1+(P447-75)/500),0)</f>
        <v>250</v>
      </c>
      <c r="V447" s="361" t="n">
        <f aca="false">ROUNDDOWN(K447*1.75+50,0)</f>
        <v>225</v>
      </c>
      <c r="W447" s="261" t="n">
        <v>1</v>
      </c>
      <c r="X447" s="261" t="s">
        <v>60</v>
      </c>
      <c r="Y447" s="364" t="s">
        <v>1213</v>
      </c>
      <c r="Z447" s="364" t="n">
        <v>20</v>
      </c>
      <c r="AA447" s="364"/>
      <c r="AB447" s="365" t="s">
        <v>60</v>
      </c>
      <c r="AC447" s="364"/>
      <c r="AD447" s="364" t="n">
        <v>0</v>
      </c>
      <c r="AE447" s="366"/>
      <c r="AF447" s="364" t="s">
        <v>1214</v>
      </c>
      <c r="AG447" s="364" t="s">
        <v>1214</v>
      </c>
      <c r="AH447" s="366" t="s">
        <v>1214</v>
      </c>
    </row>
    <row r="448" customFormat="false" ht="15.75" hidden="false" customHeight="false" outlineLevel="0" collapsed="false">
      <c r="A448" s="262" t="n">
        <v>383</v>
      </c>
      <c r="B448" s="361" t="n">
        <v>446</v>
      </c>
      <c r="C448" s="261" t="s">
        <v>1213</v>
      </c>
      <c r="D448" s="261" t="s">
        <v>1215</v>
      </c>
      <c r="E448" s="358" t="s">
        <v>1216</v>
      </c>
      <c r="F448" s="261" t="s">
        <v>887</v>
      </c>
      <c r="G448" s="261" t="s">
        <v>639</v>
      </c>
      <c r="H448" s="261" t="n">
        <v>2</v>
      </c>
      <c r="I448" s="261" t="n">
        <v>2</v>
      </c>
      <c r="J448" s="361" t="n">
        <v>1</v>
      </c>
      <c r="K448" s="262" t="n">
        <v>100</v>
      </c>
      <c r="L448" s="262" t="n">
        <v>180</v>
      </c>
      <c r="M448" s="262" t="n">
        <v>160</v>
      </c>
      <c r="N448" s="262" t="n">
        <v>150</v>
      </c>
      <c r="O448" s="262" t="n">
        <v>90</v>
      </c>
      <c r="P448" s="361" t="n">
        <v>90</v>
      </c>
      <c r="Q448" s="261" t="s">
        <v>148</v>
      </c>
      <c r="R448" s="261" t="s">
        <v>153</v>
      </c>
      <c r="S448" s="368" t="n">
        <f aca="false" t="array" ref="S448:S448">IF(COUNTIF('0.3.0 GO Calculation Values'!$J$2:$J$99,C448),(INDEX('0.3.0 GO Calculation Values'!$K$2:$K$99,MATCH(C448,'0.3.0 GO Calculation Values'!$J$2:$J$99,0))),1)</f>
        <v>0.909090909090909</v>
      </c>
      <c r="T448" s="262" t="n">
        <f aca="false">ROUND(ROUND(2*((7/8)*MAX(L448,N448)+(1/8)*MIN(L448,N448)),0)*(1+(P448-75)/500),0)</f>
        <v>364</v>
      </c>
      <c r="U448" s="262" t="n">
        <f aca="false">ROUND(ROUND(2*((5/8)*MAX(M448,O448)+(3/8)*MIN(M448,O448)),0)*(1+(P448-75)/500),0)</f>
        <v>276</v>
      </c>
      <c r="V448" s="361" t="n">
        <f aca="false">ROUNDDOWN(K448*1.75+50,0)</f>
        <v>225</v>
      </c>
      <c r="W448" s="261" t="n">
        <v>0</v>
      </c>
      <c r="X448" s="261" t="s">
        <v>1213</v>
      </c>
      <c r="Y448" s="364" t="s">
        <v>1213</v>
      </c>
      <c r="Z448" s="364" t="n">
        <v>20</v>
      </c>
      <c r="AA448" s="364"/>
      <c r="AB448" s="365" t="s">
        <v>60</v>
      </c>
      <c r="AC448" s="364"/>
      <c r="AD448" s="364" t="n">
        <v>0</v>
      </c>
      <c r="AE448" s="366"/>
      <c r="AF448" s="261" t="s">
        <v>1217</v>
      </c>
      <c r="AG448" s="261" t="s">
        <v>1217</v>
      </c>
      <c r="AH448" s="362" t="s">
        <v>1217</v>
      </c>
    </row>
    <row r="449" customFormat="false" ht="15.75" hidden="false" customHeight="false" outlineLevel="0" collapsed="false">
      <c r="A449" s="262" t="n">
        <v>384</v>
      </c>
      <c r="B449" s="361" t="n">
        <v>447</v>
      </c>
      <c r="C449" s="261" t="s">
        <v>1218</v>
      </c>
      <c r="D449" s="261" t="s">
        <v>7</v>
      </c>
      <c r="E449" s="367" t="s">
        <v>1218</v>
      </c>
      <c r="F449" s="261" t="s">
        <v>879</v>
      </c>
      <c r="G449" s="261" t="s">
        <v>639</v>
      </c>
      <c r="H449" s="261" t="n">
        <v>0</v>
      </c>
      <c r="I449" s="261" t="n">
        <v>1</v>
      </c>
      <c r="J449" s="361" t="n">
        <v>1</v>
      </c>
      <c r="K449" s="262" t="n">
        <v>105</v>
      </c>
      <c r="L449" s="262" t="n">
        <v>150</v>
      </c>
      <c r="M449" s="262" t="n">
        <v>90</v>
      </c>
      <c r="N449" s="262" t="n">
        <v>150</v>
      </c>
      <c r="O449" s="262" t="n">
        <v>90</v>
      </c>
      <c r="P449" s="361" t="n">
        <v>95</v>
      </c>
      <c r="Q449" s="261" t="s">
        <v>159</v>
      </c>
      <c r="R449" s="261" t="s">
        <v>146</v>
      </c>
      <c r="S449" s="368" t="n">
        <f aca="false" t="array" ref="S449:S449">IF(COUNTIF('0.3.0 GO Calculation Values'!$J$2:$J$99,C449),(INDEX('0.3.0 GO Calculation Values'!$K$2:$K$99,MATCH(C449,'0.3.0 GO Calculation Values'!$J$2:$J$99,0))),1)</f>
        <v>0.909090909090909</v>
      </c>
      <c r="T449" s="262" t="n">
        <f aca="false">ROUND(ROUND(2*((7/8)*MAX(L449,N449)+(1/8)*MIN(L449,N449)),0)*(1+(P449-75)/500),0)</f>
        <v>312</v>
      </c>
      <c r="U449" s="262" t="n">
        <f aca="false">ROUND(ROUND(2*((5/8)*MAX(M449,O449)+(3/8)*MIN(M449,O449)),0)*(1+(P449-75)/500),0)</f>
        <v>187</v>
      </c>
      <c r="V449" s="361" t="n">
        <f aca="false">ROUNDDOWN(K449*1.75+50,0)</f>
        <v>233</v>
      </c>
      <c r="W449" s="261" t="n">
        <v>1</v>
      </c>
      <c r="X449" s="261" t="s">
        <v>60</v>
      </c>
      <c r="Y449" s="364" t="s">
        <v>1218</v>
      </c>
      <c r="Z449" s="364" t="n">
        <v>20</v>
      </c>
      <c r="AA449" s="364"/>
      <c r="AB449" s="365" t="s">
        <v>60</v>
      </c>
      <c r="AC449" s="364"/>
      <c r="AD449" s="364" t="n">
        <v>0</v>
      </c>
      <c r="AE449" s="366"/>
      <c r="AF449" s="364" t="s">
        <v>1219</v>
      </c>
      <c r="AG449" s="364" t="s">
        <v>1219</v>
      </c>
      <c r="AH449" s="366" t="s">
        <v>1219</v>
      </c>
    </row>
    <row r="450" customFormat="false" ht="15.75" hidden="false" customHeight="false" outlineLevel="0" collapsed="false">
      <c r="A450" s="262" t="n">
        <v>384</v>
      </c>
      <c r="B450" s="361" t="n">
        <v>448</v>
      </c>
      <c r="C450" s="261" t="s">
        <v>1218</v>
      </c>
      <c r="D450" s="261" t="s">
        <v>1220</v>
      </c>
      <c r="E450" s="358" t="s">
        <v>1221</v>
      </c>
      <c r="F450" s="261" t="s">
        <v>887</v>
      </c>
      <c r="G450" s="261" t="s">
        <v>639</v>
      </c>
      <c r="H450" s="261" t="n">
        <v>2</v>
      </c>
      <c r="I450" s="261" t="n">
        <v>2</v>
      </c>
      <c r="J450" s="361" t="n">
        <v>1</v>
      </c>
      <c r="K450" s="262" t="n">
        <v>105</v>
      </c>
      <c r="L450" s="262" t="n">
        <v>180</v>
      </c>
      <c r="M450" s="262" t="n">
        <v>100</v>
      </c>
      <c r="N450" s="262" t="n">
        <v>180</v>
      </c>
      <c r="O450" s="262" t="n">
        <v>100</v>
      </c>
      <c r="P450" s="361" t="n">
        <v>115</v>
      </c>
      <c r="Q450" s="261" t="s">
        <v>159</v>
      </c>
      <c r="R450" s="261" t="s">
        <v>146</v>
      </c>
      <c r="S450" s="368" t="n">
        <f aca="false" t="array" ref="S450:S450">IF(COUNTIF('0.3.0 GO Calculation Values'!$J$2:$J$99,C450),(INDEX('0.3.0 GO Calculation Values'!$K$2:$K$99,MATCH(C450,'0.3.0 GO Calculation Values'!$J$2:$J$99,0))),1)</f>
        <v>0.909090909090909</v>
      </c>
      <c r="T450" s="262" t="n">
        <f aca="false">ROUND(ROUND(2*((7/8)*MAX(L450,N450)+(1/8)*MIN(L450,N450)),0)*(1+(P450-75)/500),0)</f>
        <v>389</v>
      </c>
      <c r="U450" s="262" t="n">
        <f aca="false">ROUND(ROUND(2*((5/8)*MAX(M450,O450)+(3/8)*MIN(M450,O450)),0)*(1+(P450-75)/500),0)</f>
        <v>216</v>
      </c>
      <c r="V450" s="361" t="n">
        <f aca="false">ROUNDDOWN(K450*1.75+50,0)</f>
        <v>233</v>
      </c>
      <c r="W450" s="261" t="n">
        <v>0</v>
      </c>
      <c r="X450" s="261" t="s">
        <v>1218</v>
      </c>
      <c r="Y450" s="364" t="s">
        <v>1218</v>
      </c>
      <c r="Z450" s="364" t="n">
        <v>20</v>
      </c>
      <c r="AA450" s="364"/>
      <c r="AB450" s="365" t="s">
        <v>60</v>
      </c>
      <c r="AC450" s="364"/>
      <c r="AD450" s="364" t="n">
        <v>0</v>
      </c>
      <c r="AE450" s="366"/>
      <c r="AF450" s="364" t="s">
        <v>1222</v>
      </c>
      <c r="AG450" s="364" t="s">
        <v>1222</v>
      </c>
      <c r="AH450" s="366" t="s">
        <v>1222</v>
      </c>
    </row>
    <row r="451" customFormat="false" ht="15.75" hidden="false" customHeight="false" outlineLevel="0" collapsed="false">
      <c r="A451" s="262" t="n">
        <v>385</v>
      </c>
      <c r="B451" s="361" t="n">
        <v>449</v>
      </c>
      <c r="C451" s="261" t="s">
        <v>1223</v>
      </c>
      <c r="D451" s="261" t="s">
        <v>60</v>
      </c>
      <c r="E451" s="362" t="s">
        <v>1223</v>
      </c>
      <c r="F451" s="261" t="s">
        <v>879</v>
      </c>
      <c r="G451" s="261" t="s">
        <v>650</v>
      </c>
      <c r="H451" s="261" t="n">
        <v>0</v>
      </c>
      <c r="I451" s="261" t="n">
        <v>1</v>
      </c>
      <c r="J451" s="361" t="n">
        <v>1</v>
      </c>
      <c r="K451" s="262" t="n">
        <v>100</v>
      </c>
      <c r="L451" s="262" t="n">
        <v>100</v>
      </c>
      <c r="M451" s="262" t="n">
        <v>100</v>
      </c>
      <c r="N451" s="262" t="n">
        <v>100</v>
      </c>
      <c r="O451" s="262" t="n">
        <v>100</v>
      </c>
      <c r="P451" s="361" t="n">
        <v>100</v>
      </c>
      <c r="Q451" s="261" t="s">
        <v>152</v>
      </c>
      <c r="R451" s="261" t="s">
        <v>157</v>
      </c>
      <c r="S451" s="363" t="n">
        <f aca="false" t="array" ref="S451:S451">IF(COUNTIF('0.3.0 GO Calculation Values'!$J$2:$J$99,C451),(INDEX('0.3.0 GO Calculation Values'!$K$2:$K$99,MATCH(C451,'0.3.0 GO Calculation Values'!$J$2:$J$99,0))),1)</f>
        <v>1</v>
      </c>
      <c r="T451" s="262" t="n">
        <f aca="false">ROUND(ROUND(2*((7/8)*MAX(L451,N451)+(1/8)*MIN(L451,N451)),0)*(1+(P451-75)/500),0)</f>
        <v>210</v>
      </c>
      <c r="U451" s="262" t="n">
        <f aca="false">ROUND(ROUND(2*((5/8)*MAX(M451,O451)+(3/8)*MIN(M451,O451)),0)*(1+(P451-75)/500),0)</f>
        <v>210</v>
      </c>
      <c r="V451" s="361" t="n">
        <f aca="false">ROUNDDOWN(K451*1.75+50,0)</f>
        <v>225</v>
      </c>
      <c r="W451" s="261" t="n">
        <v>1</v>
      </c>
      <c r="X451" s="261" t="s">
        <v>60</v>
      </c>
      <c r="Y451" s="364" t="s">
        <v>1223</v>
      </c>
      <c r="Z451" s="364" t="n">
        <v>20</v>
      </c>
      <c r="AA451" s="364"/>
      <c r="AB451" s="365" t="s">
        <v>60</v>
      </c>
      <c r="AC451" s="364"/>
      <c r="AD451" s="364" t="n">
        <v>0</v>
      </c>
      <c r="AE451" s="366"/>
      <c r="AF451" s="364" t="s">
        <v>1224</v>
      </c>
      <c r="AG451" s="364" t="s">
        <v>1224</v>
      </c>
      <c r="AH451" s="366" t="s">
        <v>1224</v>
      </c>
    </row>
    <row r="452" customFormat="false" ht="15.75" hidden="false" customHeight="false" outlineLevel="0" collapsed="false">
      <c r="A452" s="262" t="n">
        <v>386</v>
      </c>
      <c r="B452" s="361" t="n">
        <v>450</v>
      </c>
      <c r="C452" s="261" t="s">
        <v>80</v>
      </c>
      <c r="D452" s="261" t="s">
        <v>7</v>
      </c>
      <c r="E452" s="358" t="s">
        <v>80</v>
      </c>
      <c r="F452" s="261" t="s">
        <v>879</v>
      </c>
      <c r="G452" s="261" t="s">
        <v>650</v>
      </c>
      <c r="H452" s="261" t="n">
        <v>0</v>
      </c>
      <c r="I452" s="261" t="n">
        <v>1</v>
      </c>
      <c r="J452" s="361" t="n">
        <v>1</v>
      </c>
      <c r="K452" s="262" t="n">
        <v>50</v>
      </c>
      <c r="L452" s="262" t="n">
        <v>150</v>
      </c>
      <c r="M452" s="262" t="n">
        <v>50</v>
      </c>
      <c r="N452" s="262" t="n">
        <v>150</v>
      </c>
      <c r="O452" s="262" t="n">
        <v>50</v>
      </c>
      <c r="P452" s="361" t="n">
        <v>150</v>
      </c>
      <c r="Q452" s="261" t="s">
        <v>157</v>
      </c>
      <c r="R452" s="261"/>
      <c r="S452" s="363" t="n">
        <f aca="false" t="array" ref="S452:S452">IF(COUNTIF('0.3.0 GO Calculation Values'!$J$2:$J$99,C452),(INDEX('0.3.0 GO Calculation Values'!$K$2:$K$99,MATCH(C452,'0.3.0 GO Calculation Values'!$J$2:$J$99,0))),1)</f>
        <v>1</v>
      </c>
      <c r="T452" s="262" t="n">
        <f aca="false">ROUND(ROUND(2*((7/8)*MAX(L452,N452)+(1/8)*MIN(L452,N452)),0)*(1+(P452-75)/500),0)</f>
        <v>345</v>
      </c>
      <c r="U452" s="262" t="n">
        <f aca="false">ROUND(ROUND(2*((5/8)*MAX(M452,O452)+(3/8)*MIN(M452,O452)),0)*(1+(P452-75)/500),0)</f>
        <v>115</v>
      </c>
      <c r="V452" s="361" t="n">
        <f aca="false">ROUNDDOWN(K452*1.75+50,0)</f>
        <v>137</v>
      </c>
      <c r="W452" s="261" t="n">
        <v>1</v>
      </c>
      <c r="X452" s="261" t="s">
        <v>60</v>
      </c>
      <c r="Y452" s="364" t="s">
        <v>80</v>
      </c>
      <c r="Z452" s="364" t="n">
        <v>20</v>
      </c>
      <c r="AA452" s="364"/>
      <c r="AB452" s="365" t="s">
        <v>60</v>
      </c>
      <c r="AC452" s="364"/>
      <c r="AD452" s="364" t="n">
        <v>0</v>
      </c>
      <c r="AE452" s="366"/>
      <c r="AF452" s="261" t="s">
        <v>1225</v>
      </c>
      <c r="AG452" s="261" t="s">
        <v>1226</v>
      </c>
      <c r="AH452" s="362" t="s">
        <v>1226</v>
      </c>
    </row>
    <row r="453" customFormat="false" ht="15.75" hidden="false" customHeight="false" outlineLevel="0" collapsed="false">
      <c r="A453" s="262" t="n">
        <v>386</v>
      </c>
      <c r="B453" s="361" t="n">
        <v>451</v>
      </c>
      <c r="C453" s="261" t="s">
        <v>80</v>
      </c>
      <c r="D453" s="261" t="s">
        <v>1227</v>
      </c>
      <c r="E453" s="358" t="s">
        <v>1228</v>
      </c>
      <c r="F453" s="261" t="s">
        <v>879</v>
      </c>
      <c r="G453" s="261" t="s">
        <v>650</v>
      </c>
      <c r="H453" s="261" t="n">
        <v>1</v>
      </c>
      <c r="I453" s="261" t="n">
        <v>1</v>
      </c>
      <c r="J453" s="361" t="n">
        <v>1</v>
      </c>
      <c r="K453" s="262" t="n">
        <v>50</v>
      </c>
      <c r="L453" s="262" t="n">
        <v>180</v>
      </c>
      <c r="M453" s="262" t="n">
        <v>20</v>
      </c>
      <c r="N453" s="262" t="n">
        <v>180</v>
      </c>
      <c r="O453" s="262" t="n">
        <v>20</v>
      </c>
      <c r="P453" s="361" t="n">
        <v>150</v>
      </c>
      <c r="Q453" s="261" t="s">
        <v>157</v>
      </c>
      <c r="R453" s="261"/>
      <c r="S453" s="363" t="n">
        <f aca="false" t="array" ref="S453:S453">IF(COUNTIF('0.3.0 GO Calculation Values'!$J$2:$J$99,C453),(INDEX('0.3.0 GO Calculation Values'!$K$2:$K$99,MATCH(C453,'0.3.0 GO Calculation Values'!$J$2:$J$99,0))),1)</f>
        <v>1</v>
      </c>
      <c r="T453" s="262" t="n">
        <f aca="false">ROUND(ROUND(2*((7/8)*MAX(L453,N453)+(1/8)*MIN(L453,N453)),0)*(1+(P453-75)/500),0)</f>
        <v>414</v>
      </c>
      <c r="U453" s="262" t="n">
        <f aca="false">ROUND(ROUND(2*((5/8)*MAX(M453,O453)+(3/8)*MIN(M453,O453)),0)*(1+(P453-75)/500),0)</f>
        <v>46</v>
      </c>
      <c r="V453" s="361" t="n">
        <f aca="false">ROUNDDOWN(K453*1.75+50,0)</f>
        <v>137</v>
      </c>
      <c r="W453" s="261" t="n">
        <v>1</v>
      </c>
      <c r="X453" s="261" t="s">
        <v>60</v>
      </c>
      <c r="Y453" s="364" t="s">
        <v>80</v>
      </c>
      <c r="Z453" s="364" t="n">
        <v>20</v>
      </c>
      <c r="AA453" s="364"/>
      <c r="AB453" s="365" t="s">
        <v>60</v>
      </c>
      <c r="AC453" s="364"/>
      <c r="AD453" s="364" t="n">
        <v>0</v>
      </c>
      <c r="AE453" s="366"/>
      <c r="AF453" s="261" t="s">
        <v>1229</v>
      </c>
      <c r="AG453" s="261" t="s">
        <v>1229</v>
      </c>
      <c r="AH453" s="362" t="s">
        <v>1229</v>
      </c>
    </row>
    <row r="454" customFormat="false" ht="15.75" hidden="false" customHeight="false" outlineLevel="0" collapsed="false">
      <c r="A454" s="262" t="n">
        <v>386</v>
      </c>
      <c r="B454" s="361" t="n">
        <v>452</v>
      </c>
      <c r="C454" s="261" t="s">
        <v>80</v>
      </c>
      <c r="D454" s="261" t="s">
        <v>1230</v>
      </c>
      <c r="E454" s="358" t="s">
        <v>1231</v>
      </c>
      <c r="F454" s="261" t="s">
        <v>879</v>
      </c>
      <c r="G454" s="261" t="s">
        <v>650</v>
      </c>
      <c r="H454" s="261" t="n">
        <v>1</v>
      </c>
      <c r="I454" s="261" t="n">
        <v>1</v>
      </c>
      <c r="J454" s="361" t="n">
        <v>1</v>
      </c>
      <c r="K454" s="262" t="n">
        <v>50</v>
      </c>
      <c r="L454" s="262" t="n">
        <v>70</v>
      </c>
      <c r="M454" s="262" t="n">
        <v>160</v>
      </c>
      <c r="N454" s="262" t="n">
        <v>70</v>
      </c>
      <c r="O454" s="262" t="n">
        <v>160</v>
      </c>
      <c r="P454" s="361" t="n">
        <v>90</v>
      </c>
      <c r="Q454" s="261" t="s">
        <v>157</v>
      </c>
      <c r="R454" s="261"/>
      <c r="S454" s="363" t="n">
        <f aca="false" t="array" ref="S454:S454">IF(COUNTIF('0.3.0 GO Calculation Values'!$J$2:$J$99,C454),(INDEX('0.3.0 GO Calculation Values'!$K$2:$K$99,MATCH(C454,'0.3.0 GO Calculation Values'!$J$2:$J$99,0))),1)</f>
        <v>1</v>
      </c>
      <c r="T454" s="262" t="n">
        <f aca="false">ROUND(ROUND(2*((7/8)*MAX(L454,N454)+(1/8)*MIN(L454,N454)),0)*(1+(P454-75)/500),0)</f>
        <v>144</v>
      </c>
      <c r="U454" s="262" t="n">
        <f aca="false">ROUND(ROUND(2*((5/8)*MAX(M454,O454)+(3/8)*MIN(M454,O454)),0)*(1+(P454-75)/500),0)</f>
        <v>330</v>
      </c>
      <c r="V454" s="361" t="n">
        <f aca="false">ROUNDDOWN(K454*1.75+50,0)</f>
        <v>137</v>
      </c>
      <c r="W454" s="261" t="n">
        <v>1</v>
      </c>
      <c r="X454" s="261" t="s">
        <v>60</v>
      </c>
      <c r="Y454" s="364" t="s">
        <v>80</v>
      </c>
      <c r="Z454" s="364" t="n">
        <v>20</v>
      </c>
      <c r="AA454" s="364"/>
      <c r="AB454" s="365" t="s">
        <v>60</v>
      </c>
      <c r="AC454" s="364"/>
      <c r="AD454" s="364" t="n">
        <v>0</v>
      </c>
      <c r="AE454" s="366"/>
      <c r="AF454" s="261" t="s">
        <v>1232</v>
      </c>
      <c r="AG454" s="261" t="s">
        <v>1232</v>
      </c>
      <c r="AH454" s="362" t="s">
        <v>1232</v>
      </c>
    </row>
    <row r="455" customFormat="false" ht="15.75" hidden="false" customHeight="false" outlineLevel="0" collapsed="false">
      <c r="A455" s="262" t="n">
        <v>386</v>
      </c>
      <c r="B455" s="361" t="n">
        <v>453</v>
      </c>
      <c r="C455" s="261" t="s">
        <v>80</v>
      </c>
      <c r="D455" s="261" t="s">
        <v>1233</v>
      </c>
      <c r="E455" s="358" t="s">
        <v>1234</v>
      </c>
      <c r="F455" s="261" t="s">
        <v>879</v>
      </c>
      <c r="G455" s="261" t="s">
        <v>650</v>
      </c>
      <c r="H455" s="261" t="n">
        <v>1</v>
      </c>
      <c r="I455" s="261" t="n">
        <v>1</v>
      </c>
      <c r="J455" s="361" t="n">
        <v>1</v>
      </c>
      <c r="K455" s="262" t="n">
        <v>50</v>
      </c>
      <c r="L455" s="262" t="n">
        <v>95</v>
      </c>
      <c r="M455" s="262" t="n">
        <v>90</v>
      </c>
      <c r="N455" s="262" t="n">
        <v>95</v>
      </c>
      <c r="O455" s="262" t="n">
        <v>90</v>
      </c>
      <c r="P455" s="361" t="n">
        <v>180</v>
      </c>
      <c r="Q455" s="261" t="s">
        <v>157</v>
      </c>
      <c r="R455" s="261"/>
      <c r="S455" s="363" t="n">
        <f aca="false" t="array" ref="S455:S455">IF(COUNTIF('0.3.0 GO Calculation Values'!$J$2:$J$99,C455),(INDEX('0.3.0 GO Calculation Values'!$K$2:$K$99,MATCH(C455,'0.3.0 GO Calculation Values'!$J$2:$J$99,0))),1)</f>
        <v>1</v>
      </c>
      <c r="T455" s="262" t="n">
        <f aca="false">ROUND(ROUND(2*((7/8)*MAX(L455,N455)+(1/8)*MIN(L455,N455)),0)*(1+(P455-75)/500),0)</f>
        <v>230</v>
      </c>
      <c r="U455" s="262" t="n">
        <f aca="false">ROUND(ROUND(2*((5/8)*MAX(M455,O455)+(3/8)*MIN(M455,O455)),0)*(1+(P455-75)/500),0)</f>
        <v>218</v>
      </c>
      <c r="V455" s="361" t="n">
        <f aca="false">ROUNDDOWN(K455*1.75+50,0)</f>
        <v>137</v>
      </c>
      <c r="W455" s="261" t="n">
        <v>1</v>
      </c>
      <c r="X455" s="261" t="s">
        <v>60</v>
      </c>
      <c r="Y455" s="364" t="s">
        <v>80</v>
      </c>
      <c r="Z455" s="364" t="n">
        <v>20</v>
      </c>
      <c r="AA455" s="364"/>
      <c r="AB455" s="365" t="s">
        <v>60</v>
      </c>
      <c r="AC455" s="364"/>
      <c r="AD455" s="364" t="n">
        <v>0</v>
      </c>
      <c r="AE455" s="366"/>
      <c r="AF455" s="261" t="s">
        <v>1235</v>
      </c>
      <c r="AG455" s="261" t="s">
        <v>1235</v>
      </c>
      <c r="AH455" s="362" t="s">
        <v>1235</v>
      </c>
    </row>
    <row r="456" customFormat="false" ht="15.75" hidden="false" customHeight="false" outlineLevel="0" collapsed="false">
      <c r="A456" s="262" t="n">
        <v>387</v>
      </c>
      <c r="B456" s="361" t="n">
        <v>454</v>
      </c>
      <c r="C456" s="261" t="s">
        <v>1236</v>
      </c>
      <c r="D456" s="261" t="s">
        <v>60</v>
      </c>
      <c r="E456" s="362" t="s">
        <v>1236</v>
      </c>
      <c r="F456" s="261" t="s">
        <v>1237</v>
      </c>
      <c r="G456" s="261" t="s">
        <v>229</v>
      </c>
      <c r="H456" s="261" t="n">
        <v>0</v>
      </c>
      <c r="I456" s="261" t="n">
        <v>1</v>
      </c>
      <c r="J456" s="361" t="n">
        <v>0</v>
      </c>
      <c r="K456" s="262" t="n">
        <v>55</v>
      </c>
      <c r="L456" s="262" t="n">
        <v>68</v>
      </c>
      <c r="M456" s="262" t="n">
        <v>64</v>
      </c>
      <c r="N456" s="262" t="n">
        <v>45</v>
      </c>
      <c r="O456" s="262" t="n">
        <v>55</v>
      </c>
      <c r="P456" s="361" t="n">
        <v>31</v>
      </c>
      <c r="Q456" s="261" t="s">
        <v>155</v>
      </c>
      <c r="R456" s="261"/>
      <c r="S456" s="363" t="n">
        <f aca="false" t="array" ref="S456:S456">IF(COUNTIF('0.3.0 GO Calculation Values'!$J$2:$J$99,C456),(INDEX('0.3.0 GO Calculation Values'!$K$2:$K$99,MATCH(C456,'0.3.0 GO Calculation Values'!$J$2:$J$99,0))),1)</f>
        <v>1</v>
      </c>
      <c r="T456" s="262" t="n">
        <f aca="false">ROUND(ROUND(2*((7/8)*MAX(L456,N456)+(1/8)*MIN(L456,N456)),0)*(1+(P456-75)/500),0)</f>
        <v>119</v>
      </c>
      <c r="U456" s="262" t="n">
        <f aca="false">ROUND(ROUND(2*((5/8)*MAX(M456,O456)+(3/8)*MIN(M456,O456)),0)*(1+(P456-75)/500),0)</f>
        <v>110</v>
      </c>
      <c r="V456" s="361" t="n">
        <f aca="false">ROUNDDOWN(K456*1.75+50,0)</f>
        <v>146</v>
      </c>
      <c r="W456" s="261" t="n">
        <v>0</v>
      </c>
      <c r="X456" s="261" t="s">
        <v>60</v>
      </c>
      <c r="Y456" s="364" t="s">
        <v>1236</v>
      </c>
      <c r="Z456" s="364"/>
      <c r="AA456" s="364"/>
      <c r="AB456" s="365"/>
      <c r="AC456" s="364"/>
      <c r="AD456" s="364"/>
      <c r="AE456" s="366"/>
      <c r="AF456" s="364" t="s">
        <v>1238</v>
      </c>
      <c r="AG456" s="364" t="s">
        <v>1238</v>
      </c>
      <c r="AH456" s="366" t="s">
        <v>1238</v>
      </c>
    </row>
    <row r="457" customFormat="false" ht="15.75" hidden="false" customHeight="false" outlineLevel="0" collapsed="false">
      <c r="A457" s="262" t="n">
        <v>388</v>
      </c>
      <c r="B457" s="361" t="n">
        <v>455</v>
      </c>
      <c r="C457" s="261" t="s">
        <v>1239</v>
      </c>
      <c r="D457" s="261" t="s">
        <v>60</v>
      </c>
      <c r="E457" s="362" t="s">
        <v>1239</v>
      </c>
      <c r="F457" s="261" t="s">
        <v>1237</v>
      </c>
      <c r="G457" s="261" t="s">
        <v>229</v>
      </c>
      <c r="H457" s="261" t="n">
        <v>0</v>
      </c>
      <c r="I457" s="261" t="n">
        <v>2</v>
      </c>
      <c r="J457" s="361" t="n">
        <v>0</v>
      </c>
      <c r="K457" s="262" t="n">
        <v>75</v>
      </c>
      <c r="L457" s="262" t="n">
        <v>89</v>
      </c>
      <c r="M457" s="262" t="n">
        <v>85</v>
      </c>
      <c r="N457" s="262" t="n">
        <v>55</v>
      </c>
      <c r="O457" s="262" t="n">
        <v>65</v>
      </c>
      <c r="P457" s="361" t="n">
        <v>36</v>
      </c>
      <c r="Q457" s="261" t="s">
        <v>155</v>
      </c>
      <c r="R457" s="261"/>
      <c r="S457" s="363" t="n">
        <f aca="false" t="array" ref="S457:S457">IF(COUNTIF('0.3.0 GO Calculation Values'!$J$2:$J$99,C457),(INDEX('0.3.0 GO Calculation Values'!$K$2:$K$99,MATCH(C457,'0.3.0 GO Calculation Values'!$J$2:$J$99,0))),1)</f>
        <v>1</v>
      </c>
      <c r="T457" s="262" t="n">
        <f aca="false">ROUND(ROUND(2*((7/8)*MAX(L457,N457)+(1/8)*MIN(L457,N457)),0)*(1+(P457-75)/500),0)</f>
        <v>157</v>
      </c>
      <c r="U457" s="262" t="n">
        <f aca="false">ROUND(ROUND(2*((5/8)*MAX(M457,O457)+(3/8)*MIN(M457,O457)),0)*(1+(P457-75)/500),0)</f>
        <v>143</v>
      </c>
      <c r="V457" s="361" t="n">
        <f aca="false">ROUNDDOWN(K457*1.75+50,0)</f>
        <v>181</v>
      </c>
      <c r="W457" s="261" t="n">
        <v>0</v>
      </c>
      <c r="X457" s="261" t="s">
        <v>1236</v>
      </c>
      <c r="Y457" s="364" t="s">
        <v>1236</v>
      </c>
      <c r="Z457" s="364"/>
      <c r="AA457" s="364"/>
      <c r="AB457" s="365"/>
      <c r="AC457" s="364"/>
      <c r="AD457" s="364"/>
      <c r="AE457" s="366"/>
      <c r="AF457" s="364" t="s">
        <v>1240</v>
      </c>
      <c r="AG457" s="364" t="s">
        <v>1240</v>
      </c>
      <c r="AH457" s="366" t="s">
        <v>1240</v>
      </c>
    </row>
    <row r="458" customFormat="false" ht="15.75" hidden="false" customHeight="false" outlineLevel="0" collapsed="false">
      <c r="A458" s="262" t="n">
        <v>389</v>
      </c>
      <c r="B458" s="361" t="n">
        <v>456</v>
      </c>
      <c r="C458" s="261" t="s">
        <v>1241</v>
      </c>
      <c r="D458" s="261" t="s">
        <v>60</v>
      </c>
      <c r="E458" s="362" t="s">
        <v>1241</v>
      </c>
      <c r="F458" s="261" t="s">
        <v>1237</v>
      </c>
      <c r="G458" s="261" t="s">
        <v>229</v>
      </c>
      <c r="H458" s="261" t="n">
        <v>0</v>
      </c>
      <c r="I458" s="261" t="n">
        <v>3</v>
      </c>
      <c r="J458" s="361" t="n">
        <v>1</v>
      </c>
      <c r="K458" s="262" t="n">
        <v>95</v>
      </c>
      <c r="L458" s="262" t="n">
        <v>109</v>
      </c>
      <c r="M458" s="262" t="n">
        <v>105</v>
      </c>
      <c r="N458" s="262" t="n">
        <v>75</v>
      </c>
      <c r="O458" s="262" t="n">
        <v>85</v>
      </c>
      <c r="P458" s="361" t="n">
        <v>56</v>
      </c>
      <c r="Q458" s="261" t="s">
        <v>155</v>
      </c>
      <c r="R458" s="261" t="s">
        <v>148</v>
      </c>
      <c r="S458" s="363" t="n">
        <f aca="false" t="array" ref="S458:S458">IF(COUNTIF('0.3.0 GO Calculation Values'!$J$2:$J$99,C458),(INDEX('0.3.0 GO Calculation Values'!$K$2:$K$99,MATCH(C458,'0.3.0 GO Calculation Values'!$J$2:$J$99,0))),1)</f>
        <v>1</v>
      </c>
      <c r="T458" s="262" t="n">
        <f aca="false">ROUND(ROUND(2*((7/8)*MAX(L458,N458)+(1/8)*MIN(L458,N458)),0)*(1+(P458-75)/500),0)</f>
        <v>202</v>
      </c>
      <c r="U458" s="262" t="n">
        <f aca="false">ROUND(ROUND(2*((5/8)*MAX(M458,O458)+(3/8)*MIN(M458,O458)),0)*(1+(P458-75)/500),0)</f>
        <v>188</v>
      </c>
      <c r="V458" s="361" t="n">
        <f aca="false">ROUNDDOWN(K458*1.75+50,0)</f>
        <v>216</v>
      </c>
      <c r="W458" s="261" t="n">
        <v>0</v>
      </c>
      <c r="X458" s="261" t="s">
        <v>1239</v>
      </c>
      <c r="Y458" s="364" t="s">
        <v>1236</v>
      </c>
      <c r="Z458" s="364"/>
      <c r="AA458" s="364"/>
      <c r="AB458" s="365"/>
      <c r="AC458" s="364"/>
      <c r="AD458" s="364"/>
      <c r="AE458" s="366"/>
      <c r="AF458" s="364" t="s">
        <v>1242</v>
      </c>
      <c r="AG458" s="364" t="s">
        <v>1242</v>
      </c>
      <c r="AH458" s="366" t="s">
        <v>1242</v>
      </c>
    </row>
    <row r="459" customFormat="false" ht="15.75" hidden="false" customHeight="false" outlineLevel="0" collapsed="false">
      <c r="A459" s="262" t="n">
        <v>390</v>
      </c>
      <c r="B459" s="361" t="n">
        <v>457</v>
      </c>
      <c r="C459" s="261" t="s">
        <v>1243</v>
      </c>
      <c r="D459" s="261" t="s">
        <v>60</v>
      </c>
      <c r="E459" s="362" t="s">
        <v>1243</v>
      </c>
      <c r="F459" s="261" t="s">
        <v>1237</v>
      </c>
      <c r="G459" s="261" t="s">
        <v>229</v>
      </c>
      <c r="H459" s="261" t="n">
        <v>0</v>
      </c>
      <c r="I459" s="261" t="n">
        <v>1</v>
      </c>
      <c r="J459" s="361" t="n">
        <v>0</v>
      </c>
      <c r="K459" s="262" t="n">
        <v>44</v>
      </c>
      <c r="L459" s="262" t="n">
        <v>58</v>
      </c>
      <c r="M459" s="262" t="n">
        <v>44</v>
      </c>
      <c r="N459" s="262" t="n">
        <v>58</v>
      </c>
      <c r="O459" s="262" t="n">
        <v>44</v>
      </c>
      <c r="P459" s="361" t="n">
        <v>61</v>
      </c>
      <c r="Q459" s="261" t="s">
        <v>153</v>
      </c>
      <c r="R459" s="261"/>
      <c r="S459" s="363" t="n">
        <f aca="false" t="array" ref="S459:S459">IF(COUNTIF('0.3.0 GO Calculation Values'!$J$2:$J$99,C459),(INDEX('0.3.0 GO Calculation Values'!$K$2:$K$99,MATCH(C459,'0.3.0 GO Calculation Values'!$J$2:$J$99,0))),1)</f>
        <v>1</v>
      </c>
      <c r="T459" s="262" t="n">
        <f aca="false">ROUND(ROUND(2*((7/8)*MAX(L459,N459)+(1/8)*MIN(L459,N459)),0)*(1+(P459-75)/500),0)</f>
        <v>113</v>
      </c>
      <c r="U459" s="262" t="n">
        <f aca="false">ROUND(ROUND(2*((5/8)*MAX(M459,O459)+(3/8)*MIN(M459,O459)),0)*(1+(P459-75)/500),0)</f>
        <v>86</v>
      </c>
      <c r="V459" s="361" t="n">
        <f aca="false">ROUNDDOWN(K459*1.75+50,0)</f>
        <v>127</v>
      </c>
      <c r="W459" s="261" t="n">
        <v>0</v>
      </c>
      <c r="X459" s="261" t="s">
        <v>60</v>
      </c>
      <c r="Y459" s="364" t="s">
        <v>1243</v>
      </c>
      <c r="Z459" s="364"/>
      <c r="AA459" s="364"/>
      <c r="AB459" s="365"/>
      <c r="AC459" s="364"/>
      <c r="AD459" s="364"/>
      <c r="AE459" s="366"/>
      <c r="AF459" s="364" t="s">
        <v>1244</v>
      </c>
      <c r="AG459" s="364" t="s">
        <v>1244</v>
      </c>
      <c r="AH459" s="366" t="s">
        <v>1244</v>
      </c>
    </row>
    <row r="460" customFormat="false" ht="15.75" hidden="false" customHeight="false" outlineLevel="0" collapsed="false">
      <c r="A460" s="262" t="n">
        <v>391</v>
      </c>
      <c r="B460" s="361" t="n">
        <v>458</v>
      </c>
      <c r="C460" s="261" t="s">
        <v>1245</v>
      </c>
      <c r="D460" s="261" t="s">
        <v>60</v>
      </c>
      <c r="E460" s="362" t="s">
        <v>1245</v>
      </c>
      <c r="F460" s="261" t="s">
        <v>1237</v>
      </c>
      <c r="G460" s="261" t="s">
        <v>229</v>
      </c>
      <c r="H460" s="261" t="n">
        <v>0</v>
      </c>
      <c r="I460" s="261" t="n">
        <v>2</v>
      </c>
      <c r="J460" s="361" t="n">
        <v>0</v>
      </c>
      <c r="K460" s="262" t="n">
        <v>64</v>
      </c>
      <c r="L460" s="262" t="n">
        <v>78</v>
      </c>
      <c r="M460" s="262" t="n">
        <v>52</v>
      </c>
      <c r="N460" s="262" t="n">
        <v>78</v>
      </c>
      <c r="O460" s="262" t="n">
        <v>52</v>
      </c>
      <c r="P460" s="361" t="n">
        <v>81</v>
      </c>
      <c r="Q460" s="261" t="s">
        <v>153</v>
      </c>
      <c r="R460" s="261" t="s">
        <v>145</v>
      </c>
      <c r="S460" s="363" t="n">
        <f aca="false" t="array" ref="S460:S460">IF(COUNTIF('0.3.0 GO Calculation Values'!$J$2:$J$99,C460),(INDEX('0.3.0 GO Calculation Values'!$K$2:$K$99,MATCH(C460,'0.3.0 GO Calculation Values'!$J$2:$J$99,0))),1)</f>
        <v>1</v>
      </c>
      <c r="T460" s="262" t="n">
        <f aca="false">ROUND(ROUND(2*((7/8)*MAX(L460,N460)+(1/8)*MIN(L460,N460)),0)*(1+(P460-75)/500),0)</f>
        <v>158</v>
      </c>
      <c r="U460" s="262" t="n">
        <f aca="false">ROUND(ROUND(2*((5/8)*MAX(M460,O460)+(3/8)*MIN(M460,O460)),0)*(1+(P460-75)/500),0)</f>
        <v>105</v>
      </c>
      <c r="V460" s="361" t="n">
        <f aca="false">ROUNDDOWN(K460*1.75+50,0)</f>
        <v>162</v>
      </c>
      <c r="W460" s="261" t="n">
        <v>0</v>
      </c>
      <c r="X460" s="261" t="s">
        <v>1243</v>
      </c>
      <c r="Y460" s="364" t="s">
        <v>1243</v>
      </c>
      <c r="Z460" s="364"/>
      <c r="AA460" s="364"/>
      <c r="AB460" s="365"/>
      <c r="AC460" s="364"/>
      <c r="AD460" s="364"/>
      <c r="AE460" s="366"/>
      <c r="AF460" s="364" t="s">
        <v>1246</v>
      </c>
      <c r="AG460" s="364" t="s">
        <v>1246</v>
      </c>
      <c r="AH460" s="366" t="s">
        <v>1246</v>
      </c>
    </row>
    <row r="461" customFormat="false" ht="15.75" hidden="false" customHeight="false" outlineLevel="0" collapsed="false">
      <c r="A461" s="262" t="n">
        <v>392</v>
      </c>
      <c r="B461" s="361" t="n">
        <v>459</v>
      </c>
      <c r="C461" s="261" t="s">
        <v>1247</v>
      </c>
      <c r="D461" s="261" t="s">
        <v>60</v>
      </c>
      <c r="E461" s="362" t="s">
        <v>1247</v>
      </c>
      <c r="F461" s="261" t="s">
        <v>1237</v>
      </c>
      <c r="G461" s="261" t="s">
        <v>229</v>
      </c>
      <c r="H461" s="261" t="n">
        <v>0</v>
      </c>
      <c r="I461" s="261" t="n">
        <v>3</v>
      </c>
      <c r="J461" s="361" t="n">
        <v>1</v>
      </c>
      <c r="K461" s="262" t="n">
        <v>76</v>
      </c>
      <c r="L461" s="262" t="n">
        <v>104</v>
      </c>
      <c r="M461" s="262" t="n">
        <v>71</v>
      </c>
      <c r="N461" s="262" t="n">
        <v>104</v>
      </c>
      <c r="O461" s="262" t="n">
        <v>71</v>
      </c>
      <c r="P461" s="361" t="n">
        <v>108</v>
      </c>
      <c r="Q461" s="261" t="s">
        <v>153</v>
      </c>
      <c r="R461" s="261" t="s">
        <v>145</v>
      </c>
      <c r="S461" s="363" t="n">
        <f aca="false" t="array" ref="S461:S461">IF(COUNTIF('0.3.0 GO Calculation Values'!$J$2:$J$99,C461),(INDEX('0.3.0 GO Calculation Values'!$K$2:$K$99,MATCH(C461,'0.3.0 GO Calculation Values'!$J$2:$J$99,0))),1)</f>
        <v>1</v>
      </c>
      <c r="T461" s="262" t="n">
        <f aca="false">ROUND(ROUND(2*((7/8)*MAX(L461,N461)+(1/8)*MIN(L461,N461)),0)*(1+(P461-75)/500),0)</f>
        <v>222</v>
      </c>
      <c r="U461" s="262" t="n">
        <f aca="false">ROUND(ROUND(2*((5/8)*MAX(M461,O461)+(3/8)*MIN(M461,O461)),0)*(1+(P461-75)/500),0)</f>
        <v>151</v>
      </c>
      <c r="V461" s="361" t="n">
        <f aca="false">ROUNDDOWN(K461*1.75+50,0)</f>
        <v>183</v>
      </c>
      <c r="W461" s="261" t="n">
        <v>0</v>
      </c>
      <c r="X461" s="261" t="s">
        <v>1245</v>
      </c>
      <c r="Y461" s="364" t="s">
        <v>1243</v>
      </c>
      <c r="Z461" s="364"/>
      <c r="AA461" s="364"/>
      <c r="AB461" s="365"/>
      <c r="AC461" s="364"/>
      <c r="AD461" s="364"/>
      <c r="AE461" s="366"/>
      <c r="AF461" s="364" t="s">
        <v>1248</v>
      </c>
      <c r="AG461" s="364" t="s">
        <v>1248</v>
      </c>
      <c r="AH461" s="366" t="s">
        <v>1248</v>
      </c>
    </row>
    <row r="462" customFormat="false" ht="15.75" hidden="false" customHeight="false" outlineLevel="0" collapsed="false">
      <c r="A462" s="262" t="n">
        <v>393</v>
      </c>
      <c r="B462" s="361" t="n">
        <v>460</v>
      </c>
      <c r="C462" s="261" t="s">
        <v>1249</v>
      </c>
      <c r="D462" s="261" t="s">
        <v>60</v>
      </c>
      <c r="E462" s="362" t="s">
        <v>1249</v>
      </c>
      <c r="F462" s="261" t="s">
        <v>1237</v>
      </c>
      <c r="G462" s="261" t="s">
        <v>229</v>
      </c>
      <c r="H462" s="261" t="n">
        <v>0</v>
      </c>
      <c r="I462" s="261" t="n">
        <v>1</v>
      </c>
      <c r="J462" s="361" t="n">
        <v>0</v>
      </c>
      <c r="K462" s="262" t="n">
        <v>53</v>
      </c>
      <c r="L462" s="262" t="n">
        <v>51</v>
      </c>
      <c r="M462" s="262" t="n">
        <v>53</v>
      </c>
      <c r="N462" s="262" t="n">
        <v>61</v>
      </c>
      <c r="O462" s="262" t="n">
        <v>56</v>
      </c>
      <c r="P462" s="361" t="n">
        <v>40</v>
      </c>
      <c r="Q462" s="261" t="s">
        <v>154</v>
      </c>
      <c r="R462" s="261"/>
      <c r="S462" s="363" t="n">
        <f aca="false" t="array" ref="S462:S462">IF(COUNTIF('0.3.0 GO Calculation Values'!$J$2:$J$99,C462),(INDEX('0.3.0 GO Calculation Values'!$K$2:$K$99,MATCH(C462,'0.3.0 GO Calculation Values'!$J$2:$J$99,0))),1)</f>
        <v>1</v>
      </c>
      <c r="T462" s="262" t="n">
        <f aca="false">ROUND(ROUND(2*((7/8)*MAX(L462,N462)+(1/8)*MIN(L462,N462)),0)*(1+(P462-75)/500),0)</f>
        <v>112</v>
      </c>
      <c r="U462" s="262" t="n">
        <f aca="false">ROUND(ROUND(2*((5/8)*MAX(M462,O462)+(3/8)*MIN(M462,O462)),0)*(1+(P462-75)/500),0)</f>
        <v>102</v>
      </c>
      <c r="V462" s="361" t="n">
        <f aca="false">ROUNDDOWN(K462*1.75+50,0)</f>
        <v>142</v>
      </c>
      <c r="W462" s="261" t="n">
        <v>0</v>
      </c>
      <c r="X462" s="261" t="s">
        <v>60</v>
      </c>
      <c r="Y462" s="364" t="s">
        <v>1249</v>
      </c>
      <c r="Z462" s="364"/>
      <c r="AA462" s="364"/>
      <c r="AB462" s="365"/>
      <c r="AC462" s="364"/>
      <c r="AD462" s="364"/>
      <c r="AE462" s="366"/>
      <c r="AF462" s="364" t="s">
        <v>1250</v>
      </c>
      <c r="AG462" s="364" t="s">
        <v>1250</v>
      </c>
      <c r="AH462" s="366" t="s">
        <v>1250</v>
      </c>
    </row>
    <row r="463" customFormat="false" ht="15.75" hidden="false" customHeight="false" outlineLevel="0" collapsed="false">
      <c r="A463" s="262" t="n">
        <v>394</v>
      </c>
      <c r="B463" s="361" t="n">
        <v>461</v>
      </c>
      <c r="C463" s="261" t="s">
        <v>1251</v>
      </c>
      <c r="D463" s="261" t="s">
        <v>60</v>
      </c>
      <c r="E463" s="362" t="s">
        <v>1251</v>
      </c>
      <c r="F463" s="261" t="s">
        <v>1237</v>
      </c>
      <c r="G463" s="261" t="s">
        <v>229</v>
      </c>
      <c r="H463" s="261" t="n">
        <v>0</v>
      </c>
      <c r="I463" s="261" t="n">
        <v>2</v>
      </c>
      <c r="J463" s="361" t="n">
        <v>0</v>
      </c>
      <c r="K463" s="262" t="n">
        <v>64</v>
      </c>
      <c r="L463" s="262" t="n">
        <v>66</v>
      </c>
      <c r="M463" s="262" t="n">
        <v>68</v>
      </c>
      <c r="N463" s="262" t="n">
        <v>81</v>
      </c>
      <c r="O463" s="262" t="n">
        <v>76</v>
      </c>
      <c r="P463" s="361" t="n">
        <v>50</v>
      </c>
      <c r="Q463" s="261" t="s">
        <v>154</v>
      </c>
      <c r="R463" s="261"/>
      <c r="S463" s="363" t="n">
        <f aca="false" t="array" ref="S463:S463">IF(COUNTIF('0.3.0 GO Calculation Values'!$J$2:$J$99,C463),(INDEX('0.3.0 GO Calculation Values'!$K$2:$K$99,MATCH(C463,'0.3.0 GO Calculation Values'!$J$2:$J$99,0))),1)</f>
        <v>1</v>
      </c>
      <c r="T463" s="262" t="n">
        <f aca="false">ROUND(ROUND(2*((7/8)*MAX(L463,N463)+(1/8)*MIN(L463,N463)),0)*(1+(P463-75)/500),0)</f>
        <v>150</v>
      </c>
      <c r="U463" s="262" t="n">
        <f aca="false">ROUND(ROUND(2*((5/8)*MAX(M463,O463)+(3/8)*MIN(M463,O463)),0)*(1+(P463-75)/500),0)</f>
        <v>139</v>
      </c>
      <c r="V463" s="361" t="n">
        <f aca="false">ROUNDDOWN(K463*1.75+50,0)</f>
        <v>162</v>
      </c>
      <c r="W463" s="261" t="n">
        <v>0</v>
      </c>
      <c r="X463" s="261" t="s">
        <v>1249</v>
      </c>
      <c r="Y463" s="364" t="s">
        <v>1249</v>
      </c>
      <c r="Z463" s="364"/>
      <c r="AA463" s="364"/>
      <c r="AB463" s="365"/>
      <c r="AC463" s="364"/>
      <c r="AD463" s="364"/>
      <c r="AE463" s="366"/>
      <c r="AF463" s="364" t="s">
        <v>1252</v>
      </c>
      <c r="AG463" s="364" t="s">
        <v>1252</v>
      </c>
      <c r="AH463" s="366" t="s">
        <v>1252</v>
      </c>
    </row>
    <row r="464" customFormat="false" ht="15.75" hidden="false" customHeight="false" outlineLevel="0" collapsed="false">
      <c r="A464" s="262" t="n">
        <v>395</v>
      </c>
      <c r="B464" s="361" t="n">
        <v>462</v>
      </c>
      <c r="C464" s="261" t="s">
        <v>1253</v>
      </c>
      <c r="D464" s="261" t="s">
        <v>60</v>
      </c>
      <c r="E464" s="362" t="s">
        <v>1253</v>
      </c>
      <c r="F464" s="261" t="s">
        <v>1237</v>
      </c>
      <c r="G464" s="261" t="s">
        <v>229</v>
      </c>
      <c r="H464" s="261" t="n">
        <v>0</v>
      </c>
      <c r="I464" s="261" t="n">
        <v>3</v>
      </c>
      <c r="J464" s="361" t="n">
        <v>1</v>
      </c>
      <c r="K464" s="262" t="n">
        <v>84</v>
      </c>
      <c r="L464" s="262" t="n">
        <v>86</v>
      </c>
      <c r="M464" s="262" t="n">
        <v>88</v>
      </c>
      <c r="N464" s="262" t="n">
        <v>111</v>
      </c>
      <c r="O464" s="262" t="n">
        <v>101</v>
      </c>
      <c r="P464" s="361" t="n">
        <v>60</v>
      </c>
      <c r="Q464" s="261" t="s">
        <v>154</v>
      </c>
      <c r="R464" s="261" t="s">
        <v>152</v>
      </c>
      <c r="S464" s="363" t="n">
        <f aca="false" t="array" ref="S464:S464">IF(COUNTIF('0.3.0 GO Calculation Values'!$J$2:$J$99,C464),(INDEX('0.3.0 GO Calculation Values'!$K$2:$K$99,MATCH(C464,'0.3.0 GO Calculation Values'!$J$2:$J$99,0))),1)</f>
        <v>1</v>
      </c>
      <c r="T464" s="262" t="n">
        <f aca="false">ROUND(ROUND(2*((7/8)*MAX(L464,N464)+(1/8)*MIN(L464,N464)),0)*(1+(P464-75)/500),0)</f>
        <v>210</v>
      </c>
      <c r="U464" s="262" t="n">
        <f aca="false">ROUND(ROUND(2*((5/8)*MAX(M464,O464)+(3/8)*MIN(M464,O464)),0)*(1+(P464-75)/500),0)</f>
        <v>186</v>
      </c>
      <c r="V464" s="361" t="n">
        <f aca="false">ROUNDDOWN(K464*1.75+50,0)</f>
        <v>197</v>
      </c>
      <c r="W464" s="261" t="n">
        <v>0</v>
      </c>
      <c r="X464" s="261" t="s">
        <v>1251</v>
      </c>
      <c r="Y464" s="364" t="s">
        <v>1249</v>
      </c>
      <c r="Z464" s="364"/>
      <c r="AA464" s="364"/>
      <c r="AB464" s="365"/>
      <c r="AC464" s="364"/>
      <c r="AD464" s="364"/>
      <c r="AE464" s="366"/>
      <c r="AF464" s="364" t="s">
        <v>1254</v>
      </c>
      <c r="AG464" s="364" t="s">
        <v>1254</v>
      </c>
      <c r="AH464" s="366" t="s">
        <v>1254</v>
      </c>
    </row>
    <row r="465" customFormat="false" ht="15.75" hidden="false" customHeight="false" outlineLevel="0" collapsed="false">
      <c r="A465" s="262" t="n">
        <v>396</v>
      </c>
      <c r="B465" s="361" t="n">
        <v>463</v>
      </c>
      <c r="C465" s="261" t="s">
        <v>1255</v>
      </c>
      <c r="D465" s="261" t="s">
        <v>60</v>
      </c>
      <c r="E465" s="362" t="s">
        <v>1255</v>
      </c>
      <c r="F465" s="261" t="s">
        <v>1237</v>
      </c>
      <c r="G465" s="261" t="s">
        <v>144</v>
      </c>
      <c r="H465" s="261" t="n">
        <v>0</v>
      </c>
      <c r="I465" s="261" t="n">
        <v>1</v>
      </c>
      <c r="J465" s="361" t="n">
        <v>0</v>
      </c>
      <c r="K465" s="262" t="n">
        <v>40</v>
      </c>
      <c r="L465" s="262" t="n">
        <v>55</v>
      </c>
      <c r="M465" s="262" t="n">
        <v>30</v>
      </c>
      <c r="N465" s="262" t="n">
        <v>30</v>
      </c>
      <c r="O465" s="262" t="n">
        <v>30</v>
      </c>
      <c r="P465" s="361" t="n">
        <v>60</v>
      </c>
      <c r="Q465" s="261" t="s">
        <v>144</v>
      </c>
      <c r="R465" s="261" t="s">
        <v>146</v>
      </c>
      <c r="S465" s="363" t="n">
        <f aca="false" t="array" ref="S465:S465">IF(COUNTIF('0.3.0 GO Calculation Values'!$J$2:$J$99,C465),(INDEX('0.3.0 GO Calculation Values'!$K$2:$K$99,MATCH(C465,'0.3.0 GO Calculation Values'!$J$2:$J$99,0))),1)</f>
        <v>1</v>
      </c>
      <c r="T465" s="262" t="n">
        <f aca="false">ROUND(ROUND(2*((7/8)*MAX(L465,N465)+(1/8)*MIN(L465,N465)),0)*(1+(P465-75)/500),0)</f>
        <v>101</v>
      </c>
      <c r="U465" s="262" t="n">
        <f aca="false">ROUND(ROUND(2*((5/8)*MAX(M465,O465)+(3/8)*MIN(M465,O465)),0)*(1+(P465-75)/500),0)</f>
        <v>58</v>
      </c>
      <c r="V465" s="361" t="n">
        <f aca="false">ROUNDDOWN(K465*1.75+50,0)</f>
        <v>120</v>
      </c>
      <c r="W465" s="261" t="n">
        <v>0</v>
      </c>
      <c r="X465" s="261" t="s">
        <v>60</v>
      </c>
      <c r="Y465" s="364" t="s">
        <v>1255</v>
      </c>
      <c r="Z465" s="364"/>
      <c r="AA465" s="364"/>
      <c r="AB465" s="365"/>
      <c r="AC465" s="364"/>
      <c r="AD465" s="364"/>
      <c r="AE465" s="366"/>
      <c r="AF465" s="364" t="s">
        <v>1256</v>
      </c>
      <c r="AG465" s="364" t="s">
        <v>1256</v>
      </c>
      <c r="AH465" s="366" t="s">
        <v>1256</v>
      </c>
    </row>
    <row r="466" customFormat="false" ht="15.75" hidden="false" customHeight="false" outlineLevel="0" collapsed="false">
      <c r="A466" s="262" t="n">
        <v>397</v>
      </c>
      <c r="B466" s="361" t="n">
        <v>464</v>
      </c>
      <c r="C466" s="261" t="s">
        <v>1257</v>
      </c>
      <c r="D466" s="261" t="s">
        <v>60</v>
      </c>
      <c r="E466" s="362" t="s">
        <v>1257</v>
      </c>
      <c r="F466" s="261" t="s">
        <v>1237</v>
      </c>
      <c r="G466" s="261" t="s">
        <v>144</v>
      </c>
      <c r="H466" s="261" t="n">
        <v>0</v>
      </c>
      <c r="I466" s="261" t="n">
        <v>2</v>
      </c>
      <c r="J466" s="361" t="n">
        <v>0</v>
      </c>
      <c r="K466" s="262" t="n">
        <v>55</v>
      </c>
      <c r="L466" s="262" t="n">
        <v>75</v>
      </c>
      <c r="M466" s="262" t="n">
        <v>50</v>
      </c>
      <c r="N466" s="262" t="n">
        <v>40</v>
      </c>
      <c r="O466" s="262" t="n">
        <v>40</v>
      </c>
      <c r="P466" s="361" t="n">
        <v>80</v>
      </c>
      <c r="Q466" s="261" t="s">
        <v>144</v>
      </c>
      <c r="R466" s="261" t="s">
        <v>146</v>
      </c>
      <c r="S466" s="363" t="n">
        <f aca="false" t="array" ref="S466:S466">IF(COUNTIF('0.3.0 GO Calculation Values'!$J$2:$J$99,C466),(INDEX('0.3.0 GO Calculation Values'!$K$2:$K$99,MATCH(C466,'0.3.0 GO Calculation Values'!$J$2:$J$99,0))),1)</f>
        <v>1</v>
      </c>
      <c r="T466" s="262" t="n">
        <f aca="false">ROUND(ROUND(2*((7/8)*MAX(L466,N466)+(1/8)*MIN(L466,N466)),0)*(1+(P466-75)/500),0)</f>
        <v>142</v>
      </c>
      <c r="U466" s="262" t="n">
        <f aca="false">ROUND(ROUND(2*((5/8)*MAX(M466,O466)+(3/8)*MIN(M466,O466)),0)*(1+(P466-75)/500),0)</f>
        <v>94</v>
      </c>
      <c r="V466" s="361" t="n">
        <f aca="false">ROUNDDOWN(K466*1.75+50,0)</f>
        <v>146</v>
      </c>
      <c r="W466" s="261" t="n">
        <v>0</v>
      </c>
      <c r="X466" s="261" t="s">
        <v>1255</v>
      </c>
      <c r="Y466" s="364" t="s">
        <v>1255</v>
      </c>
      <c r="Z466" s="364"/>
      <c r="AA466" s="364"/>
      <c r="AB466" s="365"/>
      <c r="AC466" s="364"/>
      <c r="AD466" s="364"/>
      <c r="AE466" s="366"/>
      <c r="AF466" s="364" t="s">
        <v>1258</v>
      </c>
      <c r="AG466" s="364" t="s">
        <v>1258</v>
      </c>
      <c r="AH466" s="366" t="s">
        <v>1258</v>
      </c>
    </row>
    <row r="467" customFormat="false" ht="15.75" hidden="false" customHeight="false" outlineLevel="0" collapsed="false">
      <c r="A467" s="262" t="n">
        <v>398</v>
      </c>
      <c r="B467" s="361" t="n">
        <v>465</v>
      </c>
      <c r="C467" s="261" t="s">
        <v>1259</v>
      </c>
      <c r="D467" s="261" t="s">
        <v>60</v>
      </c>
      <c r="E467" s="362" t="s">
        <v>1259</v>
      </c>
      <c r="F467" s="261" t="s">
        <v>1237</v>
      </c>
      <c r="G467" s="261" t="s">
        <v>144</v>
      </c>
      <c r="H467" s="261" t="n">
        <v>0</v>
      </c>
      <c r="I467" s="261" t="n">
        <v>3</v>
      </c>
      <c r="J467" s="361" t="n">
        <v>1</v>
      </c>
      <c r="K467" s="262" t="n">
        <v>85</v>
      </c>
      <c r="L467" s="262" t="n">
        <v>120</v>
      </c>
      <c r="M467" s="262" t="n">
        <v>70</v>
      </c>
      <c r="N467" s="262" t="n">
        <v>50</v>
      </c>
      <c r="O467" s="262" t="n">
        <v>60</v>
      </c>
      <c r="P467" s="361" t="n">
        <v>100</v>
      </c>
      <c r="Q467" s="261" t="s">
        <v>144</v>
      </c>
      <c r="R467" s="261" t="s">
        <v>146</v>
      </c>
      <c r="S467" s="363" t="n">
        <f aca="false" t="array" ref="S467:S467">IF(COUNTIF('0.3.0 GO Calculation Values'!$J$2:$J$99,C467),(INDEX('0.3.0 GO Calculation Values'!$K$2:$K$99,MATCH(C467,'0.3.0 GO Calculation Values'!$J$2:$J$99,0))),1)</f>
        <v>1</v>
      </c>
      <c r="T467" s="262" t="n">
        <f aca="false">ROUND(ROUND(2*((7/8)*MAX(L467,N467)+(1/8)*MIN(L467,N467)),0)*(1+(P467-75)/500),0)</f>
        <v>234</v>
      </c>
      <c r="U467" s="262" t="n">
        <f aca="false">ROUND(ROUND(2*((5/8)*MAX(M467,O467)+(3/8)*MIN(M467,O467)),0)*(1+(P467-75)/500),0)</f>
        <v>140</v>
      </c>
      <c r="V467" s="361" t="n">
        <f aca="false">ROUNDDOWN(K467*1.75+50,0)</f>
        <v>198</v>
      </c>
      <c r="W467" s="261" t="n">
        <v>0</v>
      </c>
      <c r="X467" s="261" t="s">
        <v>1257</v>
      </c>
      <c r="Y467" s="364" t="s">
        <v>1255</v>
      </c>
      <c r="Z467" s="364"/>
      <c r="AA467" s="364"/>
      <c r="AB467" s="365"/>
      <c r="AC467" s="364"/>
      <c r="AD467" s="364"/>
      <c r="AE467" s="366"/>
      <c r="AF467" s="364" t="s">
        <v>1260</v>
      </c>
      <c r="AG467" s="364" t="s">
        <v>1260</v>
      </c>
      <c r="AH467" s="366" t="s">
        <v>1260</v>
      </c>
    </row>
    <row r="468" customFormat="false" ht="15.75" hidden="false" customHeight="false" outlineLevel="0" collapsed="false">
      <c r="A468" s="262" t="n">
        <v>399</v>
      </c>
      <c r="B468" s="361" t="n">
        <v>466</v>
      </c>
      <c r="C468" s="261" t="s">
        <v>1261</v>
      </c>
      <c r="D468" s="261" t="s">
        <v>60</v>
      </c>
      <c r="E468" s="362" t="s">
        <v>1261</v>
      </c>
      <c r="F468" s="261" t="s">
        <v>1237</v>
      </c>
      <c r="G468" s="261" t="s">
        <v>144</v>
      </c>
      <c r="H468" s="261" t="n">
        <v>0</v>
      </c>
      <c r="I468" s="261" t="n">
        <v>1</v>
      </c>
      <c r="J468" s="361" t="n">
        <v>0</v>
      </c>
      <c r="K468" s="262" t="n">
        <v>59</v>
      </c>
      <c r="L468" s="262" t="n">
        <v>45</v>
      </c>
      <c r="M468" s="262" t="n">
        <v>40</v>
      </c>
      <c r="N468" s="262" t="n">
        <v>35</v>
      </c>
      <c r="O468" s="262" t="n">
        <v>40</v>
      </c>
      <c r="P468" s="361" t="n">
        <v>31</v>
      </c>
      <c r="Q468" s="261" t="s">
        <v>144</v>
      </c>
      <c r="R468" s="261" t="s">
        <v>154</v>
      </c>
      <c r="S468" s="363" t="n">
        <f aca="false" t="array" ref="S468:S468">IF(COUNTIF('0.3.0 GO Calculation Values'!$J$2:$J$99,C468),(INDEX('0.3.0 GO Calculation Values'!$K$2:$K$99,MATCH(C468,'0.3.0 GO Calculation Values'!$J$2:$J$99,0))),1)</f>
        <v>1</v>
      </c>
      <c r="T468" s="262" t="n">
        <f aca="false">ROUND(ROUND(2*((7/8)*MAX(L468,N468)+(1/8)*MIN(L468,N468)),0)*(1+(P468-75)/500),0)</f>
        <v>80</v>
      </c>
      <c r="U468" s="262" t="n">
        <f aca="false">ROUND(ROUND(2*((5/8)*MAX(M468,O468)+(3/8)*MIN(M468,O468)),0)*(1+(P468-75)/500),0)</f>
        <v>73</v>
      </c>
      <c r="V468" s="361" t="n">
        <f aca="false">ROUNDDOWN(K468*1.75+50,0)</f>
        <v>153</v>
      </c>
      <c r="W468" s="261" t="n">
        <v>0</v>
      </c>
      <c r="X468" s="261" t="s">
        <v>60</v>
      </c>
      <c r="Y468" s="364" t="s">
        <v>1261</v>
      </c>
      <c r="Z468" s="364"/>
      <c r="AA468" s="364"/>
      <c r="AB468" s="365"/>
      <c r="AC468" s="364"/>
      <c r="AD468" s="364"/>
      <c r="AE468" s="366"/>
      <c r="AF468" s="364" t="s">
        <v>1262</v>
      </c>
      <c r="AG468" s="364" t="s">
        <v>1262</v>
      </c>
      <c r="AH468" s="366" t="s">
        <v>1262</v>
      </c>
    </row>
    <row r="469" customFormat="false" ht="15.75" hidden="false" customHeight="false" outlineLevel="0" collapsed="false">
      <c r="A469" s="262" t="n">
        <v>400</v>
      </c>
      <c r="B469" s="361" t="n">
        <v>467</v>
      </c>
      <c r="C469" s="261" t="s">
        <v>1263</v>
      </c>
      <c r="D469" s="261" t="s">
        <v>60</v>
      </c>
      <c r="E469" s="362" t="s">
        <v>1263</v>
      </c>
      <c r="F469" s="261" t="s">
        <v>1237</v>
      </c>
      <c r="G469" s="261" t="s">
        <v>144</v>
      </c>
      <c r="H469" s="261" t="n">
        <v>0</v>
      </c>
      <c r="I469" s="261" t="n">
        <v>2</v>
      </c>
      <c r="J469" s="361" t="n">
        <v>1</v>
      </c>
      <c r="K469" s="262" t="n">
        <v>79</v>
      </c>
      <c r="L469" s="262" t="n">
        <v>85</v>
      </c>
      <c r="M469" s="262" t="n">
        <v>60</v>
      </c>
      <c r="N469" s="262" t="n">
        <v>55</v>
      </c>
      <c r="O469" s="262" t="n">
        <v>60</v>
      </c>
      <c r="P469" s="361" t="n">
        <v>71</v>
      </c>
      <c r="Q469" s="261" t="s">
        <v>144</v>
      </c>
      <c r="R469" s="261" t="s">
        <v>154</v>
      </c>
      <c r="S469" s="363" t="n">
        <f aca="false" t="array" ref="S469:S469">IF(COUNTIF('0.3.0 GO Calculation Values'!$J$2:$J$99,C469),(INDEX('0.3.0 GO Calculation Values'!$K$2:$K$99,MATCH(C469,'0.3.0 GO Calculation Values'!$J$2:$J$99,0))),1)</f>
        <v>1</v>
      </c>
      <c r="T469" s="262" t="n">
        <f aca="false">ROUND(ROUND(2*((7/8)*MAX(L469,N469)+(1/8)*MIN(L469,N469)),0)*(1+(P469-75)/500),0)</f>
        <v>162</v>
      </c>
      <c r="U469" s="262" t="n">
        <f aca="false">ROUND(ROUND(2*((5/8)*MAX(M469,O469)+(3/8)*MIN(M469,O469)),0)*(1+(P469-75)/500),0)</f>
        <v>119</v>
      </c>
      <c r="V469" s="361" t="n">
        <f aca="false">ROUNDDOWN(K469*1.75+50,0)</f>
        <v>188</v>
      </c>
      <c r="W469" s="261" t="n">
        <v>0</v>
      </c>
      <c r="X469" s="261" t="s">
        <v>1261</v>
      </c>
      <c r="Y469" s="364" t="s">
        <v>1261</v>
      </c>
      <c r="Z469" s="364"/>
      <c r="AA469" s="364"/>
      <c r="AB469" s="365"/>
      <c r="AC469" s="364"/>
      <c r="AD469" s="364"/>
      <c r="AE469" s="366"/>
      <c r="AF469" s="364" t="s">
        <v>1264</v>
      </c>
      <c r="AG469" s="364" t="s">
        <v>1264</v>
      </c>
      <c r="AH469" s="366" t="s">
        <v>1264</v>
      </c>
    </row>
    <row r="470" customFormat="false" ht="15.75" hidden="false" customHeight="false" outlineLevel="0" collapsed="false">
      <c r="A470" s="262" t="n">
        <v>401</v>
      </c>
      <c r="B470" s="361" t="n">
        <v>468</v>
      </c>
      <c r="C470" s="261" t="s">
        <v>1265</v>
      </c>
      <c r="D470" s="261" t="s">
        <v>60</v>
      </c>
      <c r="E470" s="362" t="s">
        <v>1265</v>
      </c>
      <c r="F470" s="261" t="s">
        <v>1237</v>
      </c>
      <c r="G470" s="261" t="s">
        <v>144</v>
      </c>
      <c r="H470" s="261" t="n">
        <v>0</v>
      </c>
      <c r="I470" s="261" t="n">
        <v>1</v>
      </c>
      <c r="J470" s="361" t="n">
        <v>0</v>
      </c>
      <c r="K470" s="262" t="n">
        <v>37</v>
      </c>
      <c r="L470" s="262" t="n">
        <v>25</v>
      </c>
      <c r="M470" s="262" t="n">
        <v>41</v>
      </c>
      <c r="N470" s="262" t="n">
        <v>25</v>
      </c>
      <c r="O470" s="262" t="n">
        <v>41</v>
      </c>
      <c r="P470" s="361" t="n">
        <v>25</v>
      </c>
      <c r="Q470" s="261" t="s">
        <v>150</v>
      </c>
      <c r="R470" s="261"/>
      <c r="S470" s="363" t="n">
        <f aca="false" t="array" ref="S470:S470">IF(COUNTIF('0.3.0 GO Calculation Values'!$J$2:$J$99,C470),(INDEX('0.3.0 GO Calculation Values'!$K$2:$K$99,MATCH(C470,'0.3.0 GO Calculation Values'!$J$2:$J$99,0))),1)</f>
        <v>1</v>
      </c>
      <c r="T470" s="262" t="n">
        <f aca="false">ROUND(ROUND(2*((7/8)*MAX(L470,N470)+(1/8)*MIN(L470,N470)),0)*(1+(P470-75)/500),0)</f>
        <v>45</v>
      </c>
      <c r="U470" s="262" t="n">
        <f aca="false">ROUND(ROUND(2*((5/8)*MAX(M470,O470)+(3/8)*MIN(M470,O470)),0)*(1+(P470-75)/500),0)</f>
        <v>74</v>
      </c>
      <c r="V470" s="361" t="n">
        <f aca="false">ROUNDDOWN(K470*1.75+50,0)</f>
        <v>114</v>
      </c>
      <c r="W470" s="261" t="n">
        <v>0</v>
      </c>
      <c r="X470" s="261" t="s">
        <v>60</v>
      </c>
      <c r="Y470" s="364" t="s">
        <v>1265</v>
      </c>
      <c r="Z470" s="364"/>
      <c r="AA470" s="364"/>
      <c r="AB470" s="365"/>
      <c r="AC470" s="364"/>
      <c r="AD470" s="364"/>
      <c r="AE470" s="366"/>
      <c r="AF470" s="364" t="s">
        <v>1266</v>
      </c>
      <c r="AG470" s="364" t="s">
        <v>1266</v>
      </c>
      <c r="AH470" s="366" t="s">
        <v>1266</v>
      </c>
    </row>
    <row r="471" customFormat="false" ht="15.75" hidden="false" customHeight="false" outlineLevel="0" collapsed="false">
      <c r="A471" s="262" t="n">
        <v>402</v>
      </c>
      <c r="B471" s="361" t="n">
        <v>469</v>
      </c>
      <c r="C471" s="261" t="s">
        <v>1267</v>
      </c>
      <c r="D471" s="261" t="s">
        <v>60</v>
      </c>
      <c r="E471" s="362" t="s">
        <v>1267</v>
      </c>
      <c r="F471" s="261" t="s">
        <v>1237</v>
      </c>
      <c r="G471" s="261" t="s">
        <v>144</v>
      </c>
      <c r="H471" s="261" t="n">
        <v>0</v>
      </c>
      <c r="I471" s="261" t="n">
        <v>2</v>
      </c>
      <c r="J471" s="361" t="n">
        <v>1</v>
      </c>
      <c r="K471" s="262" t="n">
        <v>77</v>
      </c>
      <c r="L471" s="262" t="n">
        <v>85</v>
      </c>
      <c r="M471" s="262" t="n">
        <v>51</v>
      </c>
      <c r="N471" s="262" t="n">
        <v>55</v>
      </c>
      <c r="O471" s="262" t="n">
        <v>51</v>
      </c>
      <c r="P471" s="361" t="n">
        <v>65</v>
      </c>
      <c r="Q471" s="261" t="s">
        <v>150</v>
      </c>
      <c r="R471" s="261"/>
      <c r="S471" s="363" t="n">
        <f aca="false" t="array" ref="S471:S471">IF(COUNTIF('0.3.0 GO Calculation Values'!$J$2:$J$99,C471),(INDEX('0.3.0 GO Calculation Values'!$K$2:$K$99,MATCH(C471,'0.3.0 GO Calculation Values'!$J$2:$J$99,0))),1)</f>
        <v>1</v>
      </c>
      <c r="T471" s="262" t="n">
        <f aca="false">ROUND(ROUND(2*((7/8)*MAX(L471,N471)+(1/8)*MIN(L471,N471)),0)*(1+(P471-75)/500),0)</f>
        <v>160</v>
      </c>
      <c r="U471" s="262" t="n">
        <f aca="false">ROUND(ROUND(2*((5/8)*MAX(M471,O471)+(3/8)*MIN(M471,O471)),0)*(1+(P471-75)/500),0)</f>
        <v>100</v>
      </c>
      <c r="V471" s="361" t="n">
        <f aca="false">ROUNDDOWN(K471*1.75+50,0)</f>
        <v>184</v>
      </c>
      <c r="W471" s="261" t="n">
        <v>0</v>
      </c>
      <c r="X471" s="261" t="s">
        <v>1265</v>
      </c>
      <c r="Y471" s="364" t="s">
        <v>1265</v>
      </c>
      <c r="Z471" s="364"/>
      <c r="AA471" s="364"/>
      <c r="AB471" s="365"/>
      <c r="AC471" s="364"/>
      <c r="AD471" s="364"/>
      <c r="AE471" s="366"/>
      <c r="AF471" s="364" t="s">
        <v>1268</v>
      </c>
      <c r="AG471" s="364" t="s">
        <v>1268</v>
      </c>
      <c r="AH471" s="366" t="s">
        <v>1268</v>
      </c>
    </row>
    <row r="472" customFormat="false" ht="15.75" hidden="false" customHeight="false" outlineLevel="0" collapsed="false">
      <c r="A472" s="262" t="n">
        <v>403</v>
      </c>
      <c r="B472" s="361" t="n">
        <v>470</v>
      </c>
      <c r="C472" s="261" t="s">
        <v>1269</v>
      </c>
      <c r="D472" s="261" t="s">
        <v>60</v>
      </c>
      <c r="E472" s="362" t="s">
        <v>1269</v>
      </c>
      <c r="F472" s="261" t="s">
        <v>1237</v>
      </c>
      <c r="G472" s="261" t="s">
        <v>144</v>
      </c>
      <c r="H472" s="261" t="n">
        <v>0</v>
      </c>
      <c r="I472" s="261" t="n">
        <v>1</v>
      </c>
      <c r="J472" s="361" t="n">
        <v>0</v>
      </c>
      <c r="K472" s="262" t="n">
        <v>45</v>
      </c>
      <c r="L472" s="262" t="n">
        <v>65</v>
      </c>
      <c r="M472" s="262" t="n">
        <v>34</v>
      </c>
      <c r="N472" s="262" t="n">
        <v>40</v>
      </c>
      <c r="O472" s="262" t="n">
        <v>34</v>
      </c>
      <c r="P472" s="361" t="n">
        <v>45</v>
      </c>
      <c r="Q472" s="261" t="s">
        <v>156</v>
      </c>
      <c r="R472" s="261"/>
      <c r="S472" s="363" t="n">
        <f aca="false" t="array" ref="S472:S472">IF(COUNTIF('0.3.0 GO Calculation Values'!$J$2:$J$99,C472),(INDEX('0.3.0 GO Calculation Values'!$K$2:$K$99,MATCH(C472,'0.3.0 GO Calculation Values'!$J$2:$J$99,0))),1)</f>
        <v>1</v>
      </c>
      <c r="T472" s="262" t="n">
        <f aca="false">ROUND(ROUND(2*((7/8)*MAX(L472,N472)+(1/8)*MIN(L472,N472)),0)*(1+(P472-75)/500),0)</f>
        <v>117</v>
      </c>
      <c r="U472" s="262" t="n">
        <f aca="false">ROUND(ROUND(2*((5/8)*MAX(M472,O472)+(3/8)*MIN(M472,O472)),0)*(1+(P472-75)/500),0)</f>
        <v>64</v>
      </c>
      <c r="V472" s="361" t="n">
        <f aca="false">ROUNDDOWN(K472*1.75+50,0)</f>
        <v>128</v>
      </c>
      <c r="W472" s="261" t="n">
        <v>0</v>
      </c>
      <c r="X472" s="261" t="s">
        <v>60</v>
      </c>
      <c r="Y472" s="364" t="s">
        <v>1269</v>
      </c>
      <c r="Z472" s="364"/>
      <c r="AA472" s="364"/>
      <c r="AB472" s="365"/>
      <c r="AC472" s="364"/>
      <c r="AD472" s="364"/>
      <c r="AE472" s="366"/>
      <c r="AF472" s="364" t="s">
        <v>1270</v>
      </c>
      <c r="AG472" s="364" t="s">
        <v>1270</v>
      </c>
      <c r="AH472" s="366" t="s">
        <v>1270</v>
      </c>
    </row>
    <row r="473" customFormat="false" ht="15.75" hidden="false" customHeight="false" outlineLevel="0" collapsed="false">
      <c r="A473" s="262" t="n">
        <v>404</v>
      </c>
      <c r="B473" s="361" t="n">
        <v>471</v>
      </c>
      <c r="C473" s="261" t="s">
        <v>1271</v>
      </c>
      <c r="D473" s="261" t="s">
        <v>60</v>
      </c>
      <c r="E473" s="362" t="s">
        <v>1271</v>
      </c>
      <c r="F473" s="261" t="s">
        <v>1237</v>
      </c>
      <c r="G473" s="261" t="s">
        <v>144</v>
      </c>
      <c r="H473" s="261" t="n">
        <v>0</v>
      </c>
      <c r="I473" s="261" t="n">
        <v>2</v>
      </c>
      <c r="J473" s="361" t="n">
        <v>0</v>
      </c>
      <c r="K473" s="262" t="n">
        <v>60</v>
      </c>
      <c r="L473" s="262" t="n">
        <v>85</v>
      </c>
      <c r="M473" s="262" t="n">
        <v>49</v>
      </c>
      <c r="N473" s="262" t="n">
        <v>60</v>
      </c>
      <c r="O473" s="262" t="n">
        <v>49</v>
      </c>
      <c r="P473" s="361" t="n">
        <v>60</v>
      </c>
      <c r="Q473" s="261" t="s">
        <v>156</v>
      </c>
      <c r="R473" s="261"/>
      <c r="S473" s="363" t="n">
        <f aca="false" t="array" ref="S473:S473">IF(COUNTIF('0.3.0 GO Calculation Values'!$J$2:$J$99,C473),(INDEX('0.3.0 GO Calculation Values'!$K$2:$K$99,MATCH(C473,'0.3.0 GO Calculation Values'!$J$2:$J$99,0))),1)</f>
        <v>1</v>
      </c>
      <c r="T473" s="262" t="n">
        <f aca="false">ROUND(ROUND(2*((7/8)*MAX(L473,N473)+(1/8)*MIN(L473,N473)),0)*(1+(P473-75)/500),0)</f>
        <v>159</v>
      </c>
      <c r="U473" s="262" t="n">
        <f aca="false">ROUND(ROUND(2*((5/8)*MAX(M473,O473)+(3/8)*MIN(M473,O473)),0)*(1+(P473-75)/500),0)</f>
        <v>95</v>
      </c>
      <c r="V473" s="361" t="n">
        <f aca="false">ROUNDDOWN(K473*1.75+50,0)</f>
        <v>155</v>
      </c>
      <c r="W473" s="261" t="n">
        <v>0</v>
      </c>
      <c r="X473" s="261" t="s">
        <v>1269</v>
      </c>
      <c r="Y473" s="364" t="s">
        <v>1269</v>
      </c>
      <c r="Z473" s="364"/>
      <c r="AA473" s="364"/>
      <c r="AB473" s="365"/>
      <c r="AC473" s="364"/>
      <c r="AD473" s="364"/>
      <c r="AE473" s="366"/>
      <c r="AF473" s="364" t="s">
        <v>1272</v>
      </c>
      <c r="AG473" s="364" t="s">
        <v>1272</v>
      </c>
      <c r="AH473" s="366" t="s">
        <v>1272</v>
      </c>
    </row>
    <row r="474" customFormat="false" ht="15.75" hidden="false" customHeight="false" outlineLevel="0" collapsed="false">
      <c r="A474" s="262" t="n">
        <v>405</v>
      </c>
      <c r="B474" s="361" t="n">
        <v>472</v>
      </c>
      <c r="C474" s="261" t="s">
        <v>1273</v>
      </c>
      <c r="D474" s="261" t="s">
        <v>60</v>
      </c>
      <c r="E474" s="362" t="s">
        <v>1273</v>
      </c>
      <c r="F474" s="261" t="s">
        <v>1237</v>
      </c>
      <c r="G474" s="261" t="s">
        <v>144</v>
      </c>
      <c r="H474" s="261" t="n">
        <v>0</v>
      </c>
      <c r="I474" s="261" t="n">
        <v>3</v>
      </c>
      <c r="J474" s="361" t="n">
        <v>1</v>
      </c>
      <c r="K474" s="262" t="n">
        <v>80</v>
      </c>
      <c r="L474" s="262" t="n">
        <v>120</v>
      </c>
      <c r="M474" s="262" t="n">
        <v>79</v>
      </c>
      <c r="N474" s="262" t="n">
        <v>95</v>
      </c>
      <c r="O474" s="262" t="n">
        <v>79</v>
      </c>
      <c r="P474" s="361" t="n">
        <v>70</v>
      </c>
      <c r="Q474" s="261" t="s">
        <v>156</v>
      </c>
      <c r="R474" s="261"/>
      <c r="S474" s="363" t="n">
        <f aca="false" t="array" ref="S474:S474">IF(COUNTIF('0.3.0 GO Calculation Values'!$J$2:$J$99,C474),(INDEX('0.3.0 GO Calculation Values'!$K$2:$K$99,MATCH(C474,'0.3.0 GO Calculation Values'!$J$2:$J$99,0))),1)</f>
        <v>1</v>
      </c>
      <c r="T474" s="262" t="n">
        <f aca="false">ROUND(ROUND(2*((7/8)*MAX(L474,N474)+(1/8)*MIN(L474,N474)),0)*(1+(P474-75)/500),0)</f>
        <v>232</v>
      </c>
      <c r="U474" s="262" t="n">
        <f aca="false">ROUND(ROUND(2*((5/8)*MAX(M474,O474)+(3/8)*MIN(M474,O474)),0)*(1+(P474-75)/500),0)</f>
        <v>156</v>
      </c>
      <c r="V474" s="361" t="n">
        <f aca="false">ROUNDDOWN(K474*1.75+50,0)</f>
        <v>190</v>
      </c>
      <c r="W474" s="261" t="n">
        <v>0</v>
      </c>
      <c r="X474" s="261" t="s">
        <v>1271</v>
      </c>
      <c r="Y474" s="364" t="s">
        <v>1269</v>
      </c>
      <c r="Z474" s="364"/>
      <c r="AA474" s="364"/>
      <c r="AB474" s="365"/>
      <c r="AC474" s="364"/>
      <c r="AD474" s="364"/>
      <c r="AE474" s="366"/>
      <c r="AF474" s="364" t="s">
        <v>1274</v>
      </c>
      <c r="AG474" s="364" t="s">
        <v>1274</v>
      </c>
      <c r="AH474" s="366" t="s">
        <v>1274</v>
      </c>
    </row>
    <row r="475" customFormat="false" ht="15.75" hidden="false" customHeight="false" outlineLevel="0" collapsed="false">
      <c r="A475" s="262" t="n">
        <v>406</v>
      </c>
      <c r="B475" s="361" t="n">
        <v>473</v>
      </c>
      <c r="C475" s="261" t="s">
        <v>1033</v>
      </c>
      <c r="D475" s="261" t="s">
        <v>60</v>
      </c>
      <c r="E475" s="362" t="s">
        <v>1033</v>
      </c>
      <c r="F475" s="261" t="s">
        <v>1237</v>
      </c>
      <c r="G475" s="261" t="s">
        <v>693</v>
      </c>
      <c r="H475" s="261" t="n">
        <v>0</v>
      </c>
      <c r="I475" s="261" t="n">
        <v>1</v>
      </c>
      <c r="J475" s="361" t="n">
        <v>0</v>
      </c>
      <c r="K475" s="262" t="n">
        <v>40</v>
      </c>
      <c r="L475" s="262" t="n">
        <v>30</v>
      </c>
      <c r="M475" s="262" t="n">
        <v>35</v>
      </c>
      <c r="N475" s="262" t="n">
        <v>50</v>
      </c>
      <c r="O475" s="262" t="n">
        <v>70</v>
      </c>
      <c r="P475" s="361" t="n">
        <v>55</v>
      </c>
      <c r="Q475" s="261" t="s">
        <v>155</v>
      </c>
      <c r="R475" s="261" t="s">
        <v>147</v>
      </c>
      <c r="S475" s="363" t="n">
        <f aca="false" t="array" ref="S475:S475">IF(COUNTIF('0.3.0 GO Calculation Values'!$J$2:$J$99,C475),(INDEX('0.3.0 GO Calculation Values'!$K$2:$K$99,MATCH(C475,'0.3.0 GO Calculation Values'!$J$2:$J$99,0))),1)</f>
        <v>1</v>
      </c>
      <c r="T475" s="262" t="n">
        <f aca="false">ROUND(ROUND(2*((7/8)*MAX(L475,N475)+(1/8)*MIN(L475,N475)),0)*(1+(P475-75)/500),0)</f>
        <v>91</v>
      </c>
      <c r="U475" s="262" t="n">
        <f aca="false">ROUND(ROUND(2*((5/8)*MAX(M475,O475)+(3/8)*MIN(M475,O475)),0)*(1+(P475-75)/500),0)</f>
        <v>109</v>
      </c>
      <c r="V475" s="361" t="n">
        <f aca="false">ROUNDDOWN(K475*1.75+50,0)</f>
        <v>120</v>
      </c>
      <c r="W475" s="261" t="n">
        <v>0</v>
      </c>
      <c r="X475" s="261" t="s">
        <v>60</v>
      </c>
      <c r="Y475" s="364" t="s">
        <v>1032</v>
      </c>
      <c r="Z475" s="364" t="n">
        <v>3</v>
      </c>
      <c r="AA475" s="364"/>
      <c r="AB475" s="365"/>
      <c r="AC475" s="364"/>
      <c r="AD475" s="364"/>
      <c r="AE475" s="366"/>
      <c r="AF475" s="364" t="s">
        <v>1275</v>
      </c>
      <c r="AG475" s="364" t="s">
        <v>1275</v>
      </c>
      <c r="AH475" s="366" t="s">
        <v>1275</v>
      </c>
    </row>
    <row r="476" customFormat="false" ht="15.75" hidden="false" customHeight="false" outlineLevel="0" collapsed="false">
      <c r="A476" s="262" t="n">
        <v>407</v>
      </c>
      <c r="B476" s="361" t="n">
        <v>474</v>
      </c>
      <c r="C476" s="261" t="s">
        <v>1276</v>
      </c>
      <c r="D476" s="261" t="s">
        <v>60</v>
      </c>
      <c r="E476" s="362" t="s">
        <v>1276</v>
      </c>
      <c r="F476" s="261" t="s">
        <v>1237</v>
      </c>
      <c r="G476" s="261" t="s">
        <v>144</v>
      </c>
      <c r="H476" s="261" t="n">
        <v>0</v>
      </c>
      <c r="I476" s="261" t="n">
        <v>3</v>
      </c>
      <c r="J476" s="361" t="n">
        <v>1</v>
      </c>
      <c r="K476" s="262" t="n">
        <v>60</v>
      </c>
      <c r="L476" s="262" t="n">
        <v>70</v>
      </c>
      <c r="M476" s="262" t="n">
        <v>65</v>
      </c>
      <c r="N476" s="262" t="n">
        <v>125</v>
      </c>
      <c r="O476" s="262" t="n">
        <v>105</v>
      </c>
      <c r="P476" s="361" t="n">
        <v>90</v>
      </c>
      <c r="Q476" s="261" t="s">
        <v>155</v>
      </c>
      <c r="R476" s="261" t="s">
        <v>147</v>
      </c>
      <c r="S476" s="363" t="n">
        <f aca="false" t="array" ref="S476:S476">IF(COUNTIF('0.3.0 GO Calculation Values'!$J$2:$J$99,C476),(INDEX('0.3.0 GO Calculation Values'!$K$2:$K$99,MATCH(C476,'0.3.0 GO Calculation Values'!$J$2:$J$99,0))),1)</f>
        <v>1</v>
      </c>
      <c r="T476" s="262" t="n">
        <f aca="false">ROUND(ROUND(2*((7/8)*MAX(L476,N476)+(1/8)*MIN(L476,N476)),0)*(1+(P476-75)/500),0)</f>
        <v>243</v>
      </c>
      <c r="U476" s="262" t="n">
        <f aca="false">ROUND(ROUND(2*((5/8)*MAX(M476,O476)+(3/8)*MIN(M476,O476)),0)*(1+(P476-75)/500),0)</f>
        <v>185</v>
      </c>
      <c r="V476" s="361" t="n">
        <f aca="false">ROUNDDOWN(K476*1.75+50,0)</f>
        <v>155</v>
      </c>
      <c r="W476" s="261" t="n">
        <v>0</v>
      </c>
      <c r="X476" s="261" t="s">
        <v>1032</v>
      </c>
      <c r="Y476" s="364" t="s">
        <v>1032</v>
      </c>
      <c r="Z476" s="364" t="n">
        <v>3</v>
      </c>
      <c r="AA476" s="364"/>
      <c r="AB476" s="365"/>
      <c r="AC476" s="364"/>
      <c r="AD476" s="364"/>
      <c r="AE476" s="366"/>
      <c r="AF476" s="364" t="s">
        <v>1277</v>
      </c>
      <c r="AG476" s="364" t="s">
        <v>1277</v>
      </c>
      <c r="AH476" s="366" t="s">
        <v>1277</v>
      </c>
    </row>
    <row r="477" customFormat="false" ht="15.75" hidden="false" customHeight="false" outlineLevel="0" collapsed="false">
      <c r="A477" s="262" t="n">
        <v>408</v>
      </c>
      <c r="B477" s="361" t="n">
        <v>475</v>
      </c>
      <c r="C477" s="261" t="s">
        <v>1278</v>
      </c>
      <c r="D477" s="261" t="s">
        <v>60</v>
      </c>
      <c r="E477" s="362" t="s">
        <v>1278</v>
      </c>
      <c r="F477" s="261" t="s">
        <v>1237</v>
      </c>
      <c r="G477" s="261" t="s">
        <v>144</v>
      </c>
      <c r="H477" s="261" t="n">
        <v>0</v>
      </c>
      <c r="I477" s="261" t="n">
        <v>1</v>
      </c>
      <c r="J477" s="361" t="n">
        <v>0</v>
      </c>
      <c r="K477" s="262" t="n">
        <v>67</v>
      </c>
      <c r="L477" s="262" t="n">
        <v>125</v>
      </c>
      <c r="M477" s="262" t="n">
        <v>40</v>
      </c>
      <c r="N477" s="262" t="n">
        <v>30</v>
      </c>
      <c r="O477" s="262" t="n">
        <v>30</v>
      </c>
      <c r="P477" s="361" t="n">
        <v>58</v>
      </c>
      <c r="Q477" s="261" t="s">
        <v>149</v>
      </c>
      <c r="R477" s="261"/>
      <c r="S477" s="363" t="n">
        <f aca="false" t="array" ref="S477:S477">IF(COUNTIF('0.3.0 GO Calculation Values'!$J$2:$J$99,C477),(INDEX('0.3.0 GO Calculation Values'!$K$2:$K$99,MATCH(C477,'0.3.0 GO Calculation Values'!$J$2:$J$99,0))),1)</f>
        <v>1</v>
      </c>
      <c r="T477" s="262" t="n">
        <f aca="false">ROUND(ROUND(2*((7/8)*MAX(L477,N477)+(1/8)*MIN(L477,N477)),0)*(1+(P477-75)/500),0)</f>
        <v>218</v>
      </c>
      <c r="U477" s="262" t="n">
        <f aca="false">ROUND(ROUND(2*((5/8)*MAX(M477,O477)+(3/8)*MIN(M477,O477)),0)*(1+(P477-75)/500),0)</f>
        <v>71</v>
      </c>
      <c r="V477" s="361" t="n">
        <f aca="false">ROUNDDOWN(K477*1.75+50,0)</f>
        <v>167</v>
      </c>
      <c r="W477" s="261" t="n">
        <v>0</v>
      </c>
      <c r="X477" s="261" t="s">
        <v>60</v>
      </c>
      <c r="Y477" s="364" t="s">
        <v>1278</v>
      </c>
      <c r="Z477" s="364"/>
      <c r="AA477" s="364"/>
      <c r="AB477" s="365"/>
      <c r="AC477" s="364"/>
      <c r="AD477" s="364"/>
      <c r="AE477" s="366"/>
      <c r="AF477" s="364" t="s">
        <v>1279</v>
      </c>
      <c r="AG477" s="364" t="s">
        <v>1279</v>
      </c>
      <c r="AH477" s="366" t="s">
        <v>1279</v>
      </c>
    </row>
    <row r="478" customFormat="false" ht="15.75" hidden="false" customHeight="false" outlineLevel="0" collapsed="false">
      <c r="A478" s="262" t="n">
        <v>409</v>
      </c>
      <c r="B478" s="361" t="n">
        <v>476</v>
      </c>
      <c r="C478" s="261" t="s">
        <v>1280</v>
      </c>
      <c r="D478" s="261" t="s">
        <v>60</v>
      </c>
      <c r="E478" s="362" t="s">
        <v>1280</v>
      </c>
      <c r="F478" s="261" t="s">
        <v>1237</v>
      </c>
      <c r="G478" s="261" t="s">
        <v>144</v>
      </c>
      <c r="H478" s="261" t="n">
        <v>0</v>
      </c>
      <c r="I478" s="261" t="n">
        <v>2</v>
      </c>
      <c r="J478" s="361" t="n">
        <v>1</v>
      </c>
      <c r="K478" s="262" t="n">
        <v>97</v>
      </c>
      <c r="L478" s="262" t="n">
        <v>165</v>
      </c>
      <c r="M478" s="262" t="n">
        <v>60</v>
      </c>
      <c r="N478" s="262" t="n">
        <v>65</v>
      </c>
      <c r="O478" s="262" t="n">
        <v>50</v>
      </c>
      <c r="P478" s="361" t="n">
        <v>58</v>
      </c>
      <c r="Q478" s="261" t="s">
        <v>149</v>
      </c>
      <c r="R478" s="261"/>
      <c r="S478" s="363" t="n">
        <f aca="false" t="array" ref="S478:S478">IF(COUNTIF('0.3.0 GO Calculation Values'!$J$2:$J$99,C478),(INDEX('0.3.0 GO Calculation Values'!$K$2:$K$99,MATCH(C478,'0.3.0 GO Calculation Values'!$J$2:$J$99,0))),1)</f>
        <v>1</v>
      </c>
      <c r="T478" s="262" t="n">
        <f aca="false">ROUND(ROUND(2*((7/8)*MAX(L478,N478)+(1/8)*MIN(L478,N478)),0)*(1+(P478-75)/500),0)</f>
        <v>295</v>
      </c>
      <c r="U478" s="262" t="n">
        <f aca="false">ROUND(ROUND(2*((5/8)*MAX(M478,O478)+(3/8)*MIN(M478,O478)),0)*(1+(P478-75)/500),0)</f>
        <v>109</v>
      </c>
      <c r="V478" s="361" t="n">
        <f aca="false">ROUNDDOWN(K478*1.75+50,0)</f>
        <v>219</v>
      </c>
      <c r="W478" s="261" t="n">
        <v>0</v>
      </c>
      <c r="X478" s="261" t="s">
        <v>1278</v>
      </c>
      <c r="Y478" s="364" t="s">
        <v>1278</v>
      </c>
      <c r="Z478" s="364"/>
      <c r="AA478" s="364"/>
      <c r="AB478" s="365"/>
      <c r="AC478" s="364"/>
      <c r="AD478" s="364"/>
      <c r="AE478" s="366"/>
      <c r="AF478" s="364" t="s">
        <v>1281</v>
      </c>
      <c r="AG478" s="364" t="s">
        <v>1281</v>
      </c>
      <c r="AH478" s="366" t="s">
        <v>1281</v>
      </c>
    </row>
    <row r="479" customFormat="false" ht="15.75" hidden="false" customHeight="false" outlineLevel="0" collapsed="false">
      <c r="A479" s="262" t="n">
        <v>410</v>
      </c>
      <c r="B479" s="361" t="n">
        <v>477</v>
      </c>
      <c r="C479" s="261" t="s">
        <v>1282</v>
      </c>
      <c r="D479" s="261" t="s">
        <v>60</v>
      </c>
      <c r="E479" s="362" t="s">
        <v>1282</v>
      </c>
      <c r="F479" s="261" t="s">
        <v>1237</v>
      </c>
      <c r="G479" s="261" t="s">
        <v>144</v>
      </c>
      <c r="H479" s="261" t="n">
        <v>0</v>
      </c>
      <c r="I479" s="261" t="n">
        <v>1</v>
      </c>
      <c r="J479" s="361" t="n">
        <v>0</v>
      </c>
      <c r="K479" s="262" t="n">
        <v>30</v>
      </c>
      <c r="L479" s="262" t="n">
        <v>42</v>
      </c>
      <c r="M479" s="262" t="n">
        <v>118</v>
      </c>
      <c r="N479" s="262" t="n">
        <v>42</v>
      </c>
      <c r="O479" s="262" t="n">
        <v>88</v>
      </c>
      <c r="P479" s="361" t="n">
        <v>30</v>
      </c>
      <c r="Q479" s="261" t="s">
        <v>149</v>
      </c>
      <c r="R479" s="261" t="s">
        <v>152</v>
      </c>
      <c r="S479" s="363" t="n">
        <f aca="false" t="array" ref="S479:S479">IF(COUNTIF('0.3.0 GO Calculation Values'!$J$2:$J$99,C479),(INDEX('0.3.0 GO Calculation Values'!$K$2:$K$99,MATCH(C479,'0.3.0 GO Calculation Values'!$J$2:$J$99,0))),1)</f>
        <v>1</v>
      </c>
      <c r="T479" s="262" t="n">
        <f aca="false">ROUND(ROUND(2*((7/8)*MAX(L479,N479)+(1/8)*MIN(L479,N479)),0)*(1+(P479-75)/500),0)</f>
        <v>76</v>
      </c>
      <c r="U479" s="262" t="n">
        <f aca="false">ROUND(ROUND(2*((5/8)*MAX(M479,O479)+(3/8)*MIN(M479,O479)),0)*(1+(P479-75)/500),0)</f>
        <v>195</v>
      </c>
      <c r="V479" s="361" t="n">
        <f aca="false">ROUNDDOWN(K479*1.75+50,0)</f>
        <v>102</v>
      </c>
      <c r="W479" s="261" t="n">
        <v>0</v>
      </c>
      <c r="X479" s="261" t="s">
        <v>60</v>
      </c>
      <c r="Y479" s="364" t="s">
        <v>1282</v>
      </c>
      <c r="Z479" s="364"/>
      <c r="AA479" s="364"/>
      <c r="AB479" s="365"/>
      <c r="AC479" s="364"/>
      <c r="AD479" s="364"/>
      <c r="AE479" s="366"/>
      <c r="AF479" s="364" t="s">
        <v>1283</v>
      </c>
      <c r="AG479" s="364" t="s">
        <v>1283</v>
      </c>
      <c r="AH479" s="366" t="s">
        <v>1283</v>
      </c>
    </row>
    <row r="480" customFormat="false" ht="15.75" hidden="false" customHeight="false" outlineLevel="0" collapsed="false">
      <c r="A480" s="262" t="n">
        <v>411</v>
      </c>
      <c r="B480" s="361" t="n">
        <v>478</v>
      </c>
      <c r="C480" s="261" t="s">
        <v>1284</v>
      </c>
      <c r="D480" s="261" t="s">
        <v>60</v>
      </c>
      <c r="E480" s="362" t="s">
        <v>1284</v>
      </c>
      <c r="F480" s="261" t="s">
        <v>1237</v>
      </c>
      <c r="G480" s="261" t="s">
        <v>144</v>
      </c>
      <c r="H480" s="261" t="n">
        <v>0</v>
      </c>
      <c r="I480" s="261" t="n">
        <v>2</v>
      </c>
      <c r="J480" s="361" t="n">
        <v>1</v>
      </c>
      <c r="K480" s="262" t="n">
        <v>60</v>
      </c>
      <c r="L480" s="262" t="n">
        <v>52</v>
      </c>
      <c r="M480" s="262" t="n">
        <v>168</v>
      </c>
      <c r="N480" s="262" t="n">
        <v>47</v>
      </c>
      <c r="O480" s="262" t="n">
        <v>138</v>
      </c>
      <c r="P480" s="361" t="n">
        <v>30</v>
      </c>
      <c r="Q480" s="261" t="s">
        <v>149</v>
      </c>
      <c r="R480" s="261" t="s">
        <v>152</v>
      </c>
      <c r="S480" s="363" t="n">
        <f aca="false" t="array" ref="S480:S480">IF(COUNTIF('0.3.0 GO Calculation Values'!$J$2:$J$99,C480),(INDEX('0.3.0 GO Calculation Values'!$K$2:$K$99,MATCH(C480,'0.3.0 GO Calculation Values'!$J$2:$J$99,0))),1)</f>
        <v>1</v>
      </c>
      <c r="T480" s="262" t="n">
        <f aca="false">ROUND(ROUND(2*((7/8)*MAX(L480,N480)+(1/8)*MIN(L480,N480)),0)*(1+(P480-75)/500),0)</f>
        <v>94</v>
      </c>
      <c r="U480" s="262" t="n">
        <f aca="false">ROUND(ROUND(2*((5/8)*MAX(M480,O480)+(3/8)*MIN(M480,O480)),0)*(1+(P480-75)/500),0)</f>
        <v>286</v>
      </c>
      <c r="V480" s="361" t="n">
        <f aca="false">ROUNDDOWN(K480*1.75+50,0)</f>
        <v>155</v>
      </c>
      <c r="W480" s="261" t="n">
        <v>0</v>
      </c>
      <c r="X480" s="261" t="s">
        <v>1282</v>
      </c>
      <c r="Y480" s="364" t="s">
        <v>1282</v>
      </c>
      <c r="Z480" s="364"/>
      <c r="AA480" s="364"/>
      <c r="AB480" s="365"/>
      <c r="AC480" s="364"/>
      <c r="AD480" s="364"/>
      <c r="AE480" s="366"/>
      <c r="AF480" s="364" t="s">
        <v>1285</v>
      </c>
      <c r="AG480" s="364" t="s">
        <v>1285</v>
      </c>
      <c r="AH480" s="366" t="s">
        <v>1285</v>
      </c>
    </row>
    <row r="481" customFormat="false" ht="15.75" hidden="false" customHeight="false" outlineLevel="0" collapsed="false">
      <c r="A481" s="262" t="n">
        <v>412</v>
      </c>
      <c r="B481" s="361" t="n">
        <v>479</v>
      </c>
      <c r="C481" s="261" t="s">
        <v>1286</v>
      </c>
      <c r="D481" s="261" t="s">
        <v>60</v>
      </c>
      <c r="E481" s="362" t="s">
        <v>1286</v>
      </c>
      <c r="F481" s="261" t="s">
        <v>1237</v>
      </c>
      <c r="G481" s="261" t="s">
        <v>144</v>
      </c>
      <c r="H481" s="261" t="n">
        <v>0</v>
      </c>
      <c r="I481" s="261" t="n">
        <v>1</v>
      </c>
      <c r="J481" s="361" t="n">
        <v>0</v>
      </c>
      <c r="K481" s="262" t="n">
        <v>40</v>
      </c>
      <c r="L481" s="262" t="n">
        <v>29</v>
      </c>
      <c r="M481" s="262" t="n">
        <v>45</v>
      </c>
      <c r="N481" s="262" t="n">
        <v>29</v>
      </c>
      <c r="O481" s="262" t="n">
        <v>45</v>
      </c>
      <c r="P481" s="361" t="n">
        <v>36</v>
      </c>
      <c r="Q481" s="261" t="s">
        <v>150</v>
      </c>
      <c r="R481" s="261"/>
      <c r="S481" s="363" t="n">
        <f aca="false" t="array" ref="S481:S481">IF(COUNTIF('0.3.0 GO Calculation Values'!$J$2:$J$99,C481),(INDEX('0.3.0 GO Calculation Values'!$K$2:$K$99,MATCH(C481,'0.3.0 GO Calculation Values'!$J$2:$J$99,0))),1)</f>
        <v>1</v>
      </c>
      <c r="T481" s="262" t="n">
        <f aca="false">ROUND(ROUND(2*((7/8)*MAX(L481,N481)+(1/8)*MIN(L481,N481)),0)*(1+(P481-75)/500),0)</f>
        <v>53</v>
      </c>
      <c r="U481" s="262" t="n">
        <f aca="false">ROUND(ROUND(2*((5/8)*MAX(M481,O481)+(3/8)*MIN(M481,O481)),0)*(1+(P481-75)/500),0)</f>
        <v>83</v>
      </c>
      <c r="V481" s="361" t="n">
        <f aca="false">ROUNDDOWN(K481*1.75+50,0)</f>
        <v>120</v>
      </c>
      <c r="W481" s="261" t="n">
        <v>0</v>
      </c>
      <c r="X481" s="261" t="s">
        <v>60</v>
      </c>
      <c r="Y481" s="364" t="s">
        <v>1286</v>
      </c>
      <c r="Z481" s="364"/>
      <c r="AA481" s="364"/>
      <c r="AB481" s="365"/>
      <c r="AC481" s="364"/>
      <c r="AD481" s="364"/>
      <c r="AE481" s="366"/>
      <c r="AF481" s="364" t="s">
        <v>1287</v>
      </c>
      <c r="AG481" s="364" t="s">
        <v>1287</v>
      </c>
      <c r="AH481" s="366" t="s">
        <v>1287</v>
      </c>
    </row>
    <row r="482" customFormat="false" ht="15.75" hidden="false" customHeight="false" outlineLevel="0" collapsed="false">
      <c r="A482" s="262" t="n">
        <v>413</v>
      </c>
      <c r="B482" s="361" t="n">
        <v>480</v>
      </c>
      <c r="C482" s="261" t="s">
        <v>1288</v>
      </c>
      <c r="D482" s="261" t="s">
        <v>1289</v>
      </c>
      <c r="E482" s="358" t="s">
        <v>1290</v>
      </c>
      <c r="F482" s="261" t="s">
        <v>1237</v>
      </c>
      <c r="G482" s="261" t="s">
        <v>144</v>
      </c>
      <c r="H482" s="261" t="n">
        <v>0</v>
      </c>
      <c r="I482" s="261" t="n">
        <v>2</v>
      </c>
      <c r="J482" s="361" t="n">
        <v>1</v>
      </c>
      <c r="K482" s="262" t="n">
        <v>60</v>
      </c>
      <c r="L482" s="262" t="n">
        <v>59</v>
      </c>
      <c r="M482" s="262" t="n">
        <v>85</v>
      </c>
      <c r="N482" s="262" t="n">
        <v>79</v>
      </c>
      <c r="O482" s="262" t="n">
        <v>105</v>
      </c>
      <c r="P482" s="361" t="n">
        <v>36</v>
      </c>
      <c r="Q482" s="261" t="s">
        <v>150</v>
      </c>
      <c r="R482" s="261" t="s">
        <v>155</v>
      </c>
      <c r="S482" s="363" t="n">
        <f aca="false" t="array" ref="S482:S482">IF(COUNTIF('0.3.0 GO Calculation Values'!$J$2:$J$99,C482),(INDEX('0.3.0 GO Calculation Values'!$K$2:$K$99,MATCH(C482,'0.3.0 GO Calculation Values'!$J$2:$J$99,0))),1)</f>
        <v>1</v>
      </c>
      <c r="T482" s="262" t="n">
        <f aca="false">ROUND(ROUND(2*((7/8)*MAX(L482,N482)+(1/8)*MIN(L482,N482)),0)*(1+(P482-75)/500),0)</f>
        <v>141</v>
      </c>
      <c r="U482" s="262" t="n">
        <f aca="false">ROUND(ROUND(2*((5/8)*MAX(M482,O482)+(3/8)*MIN(M482,O482)),0)*(1+(P482-75)/500),0)</f>
        <v>180</v>
      </c>
      <c r="V482" s="361" t="n">
        <f aca="false">ROUNDDOWN(K482*1.75+50,0)</f>
        <v>155</v>
      </c>
      <c r="W482" s="261" t="n">
        <v>0</v>
      </c>
      <c r="X482" s="261" t="s">
        <v>1286</v>
      </c>
      <c r="Y482" s="364" t="s">
        <v>1286</v>
      </c>
      <c r="Z482" s="364"/>
      <c r="AA482" s="364"/>
      <c r="AB482" s="365"/>
      <c r="AC482" s="364"/>
      <c r="AD482" s="364"/>
      <c r="AE482" s="366"/>
      <c r="AF482" s="261" t="s">
        <v>1291</v>
      </c>
      <c r="AG482" s="261" t="s">
        <v>1292</v>
      </c>
      <c r="AH482" s="362" t="s">
        <v>1292</v>
      </c>
    </row>
    <row r="483" customFormat="false" ht="15.75" hidden="false" customHeight="false" outlineLevel="0" collapsed="false">
      <c r="A483" s="262" t="n">
        <v>413</v>
      </c>
      <c r="B483" s="361" t="n">
        <v>481</v>
      </c>
      <c r="C483" s="261" t="s">
        <v>1288</v>
      </c>
      <c r="D483" s="261" t="s">
        <v>1293</v>
      </c>
      <c r="E483" s="358" t="s">
        <v>1294</v>
      </c>
      <c r="F483" s="261" t="s">
        <v>1237</v>
      </c>
      <c r="G483" s="261" t="s">
        <v>144</v>
      </c>
      <c r="H483" s="261" t="n">
        <v>0</v>
      </c>
      <c r="I483" s="261" t="n">
        <v>2</v>
      </c>
      <c r="J483" s="361" t="n">
        <v>1</v>
      </c>
      <c r="K483" s="262" t="n">
        <v>60</v>
      </c>
      <c r="L483" s="262" t="n">
        <v>59</v>
      </c>
      <c r="M483" s="262" t="n">
        <v>85</v>
      </c>
      <c r="N483" s="262" t="n">
        <v>79</v>
      </c>
      <c r="O483" s="262" t="n">
        <v>105</v>
      </c>
      <c r="P483" s="361" t="n">
        <v>36</v>
      </c>
      <c r="Q483" s="261" t="s">
        <v>150</v>
      </c>
      <c r="R483" s="261" t="s">
        <v>148</v>
      </c>
      <c r="S483" s="363" t="n">
        <f aca="false" t="array" ref="S483:S483">IF(COUNTIF('0.3.0 GO Calculation Values'!$J$2:$J$99,C483),(INDEX('0.3.0 GO Calculation Values'!$K$2:$K$99,MATCH(C483,'0.3.0 GO Calculation Values'!$J$2:$J$99,0))),1)</f>
        <v>1</v>
      </c>
      <c r="T483" s="262" t="n">
        <f aca="false">ROUND(ROUND(2*((7/8)*MAX(L483,N483)+(1/8)*MIN(L483,N483)),0)*(1+(P483-75)/500),0)</f>
        <v>141</v>
      </c>
      <c r="U483" s="262" t="n">
        <f aca="false">ROUND(ROUND(2*((5/8)*MAX(M483,O483)+(3/8)*MIN(M483,O483)),0)*(1+(P483-75)/500),0)</f>
        <v>180</v>
      </c>
      <c r="V483" s="361" t="n">
        <f aca="false">ROUNDDOWN(K483*1.75+50,0)</f>
        <v>155</v>
      </c>
      <c r="W483" s="261" t="n">
        <v>0</v>
      </c>
      <c r="X483" s="261" t="s">
        <v>1286</v>
      </c>
      <c r="Y483" s="364" t="s">
        <v>1286</v>
      </c>
      <c r="Z483" s="364"/>
      <c r="AA483" s="364"/>
      <c r="AB483" s="365"/>
      <c r="AC483" s="364"/>
      <c r="AD483" s="364"/>
      <c r="AE483" s="366"/>
      <c r="AF483" s="261" t="s">
        <v>1295</v>
      </c>
      <c r="AG483" s="261" t="s">
        <v>1295</v>
      </c>
      <c r="AH483" s="362" t="s">
        <v>1295</v>
      </c>
    </row>
    <row r="484" customFormat="false" ht="15.75" hidden="false" customHeight="false" outlineLevel="0" collapsed="false">
      <c r="A484" s="262" t="n">
        <v>413</v>
      </c>
      <c r="B484" s="361" t="n">
        <v>482</v>
      </c>
      <c r="C484" s="261" t="s">
        <v>1288</v>
      </c>
      <c r="D484" s="261" t="s">
        <v>1296</v>
      </c>
      <c r="E484" s="358" t="s">
        <v>1297</v>
      </c>
      <c r="F484" s="261" t="s">
        <v>1237</v>
      </c>
      <c r="G484" s="261" t="s">
        <v>144</v>
      </c>
      <c r="H484" s="261" t="n">
        <v>0</v>
      </c>
      <c r="I484" s="261" t="n">
        <v>2</v>
      </c>
      <c r="J484" s="361" t="n">
        <v>1</v>
      </c>
      <c r="K484" s="262" t="n">
        <v>60</v>
      </c>
      <c r="L484" s="262" t="n">
        <v>59</v>
      </c>
      <c r="M484" s="262" t="n">
        <v>85</v>
      </c>
      <c r="N484" s="262" t="n">
        <v>79</v>
      </c>
      <c r="O484" s="262" t="n">
        <v>105</v>
      </c>
      <c r="P484" s="361" t="n">
        <v>36</v>
      </c>
      <c r="Q484" s="261" t="s">
        <v>150</v>
      </c>
      <c r="R484" s="261" t="s">
        <v>152</v>
      </c>
      <c r="S484" s="363" t="n">
        <f aca="false" t="array" ref="S484:S484">IF(COUNTIF('0.3.0 GO Calculation Values'!$J$2:$J$99,C484),(INDEX('0.3.0 GO Calculation Values'!$K$2:$K$99,MATCH(C484,'0.3.0 GO Calculation Values'!$J$2:$J$99,0))),1)</f>
        <v>1</v>
      </c>
      <c r="T484" s="262" t="n">
        <f aca="false">ROUND(ROUND(2*((7/8)*MAX(L484,N484)+(1/8)*MIN(L484,N484)),0)*(1+(P484-75)/500),0)</f>
        <v>141</v>
      </c>
      <c r="U484" s="262" t="n">
        <f aca="false">ROUND(ROUND(2*((5/8)*MAX(M484,O484)+(3/8)*MIN(M484,O484)),0)*(1+(P484-75)/500),0)</f>
        <v>180</v>
      </c>
      <c r="V484" s="361" t="n">
        <f aca="false">ROUNDDOWN(K484*1.75+50,0)</f>
        <v>155</v>
      </c>
      <c r="W484" s="261" t="n">
        <v>0</v>
      </c>
      <c r="X484" s="261" t="s">
        <v>1286</v>
      </c>
      <c r="Y484" s="364" t="s">
        <v>1286</v>
      </c>
      <c r="Z484" s="364"/>
      <c r="AA484" s="364"/>
      <c r="AB484" s="365"/>
      <c r="AC484" s="364"/>
      <c r="AD484" s="364"/>
      <c r="AE484" s="366"/>
      <c r="AF484" s="261" t="s">
        <v>1298</v>
      </c>
      <c r="AG484" s="261" t="s">
        <v>1298</v>
      </c>
      <c r="AH484" s="362" t="s">
        <v>1298</v>
      </c>
    </row>
    <row r="485" customFormat="false" ht="15.75" hidden="false" customHeight="false" outlineLevel="0" collapsed="false">
      <c r="A485" s="262" t="n">
        <v>414</v>
      </c>
      <c r="B485" s="361" t="n">
        <v>483</v>
      </c>
      <c r="C485" s="261" t="s">
        <v>1299</v>
      </c>
      <c r="D485" s="261" t="s">
        <v>60</v>
      </c>
      <c r="E485" s="362" t="s">
        <v>1299</v>
      </c>
      <c r="F485" s="261" t="s">
        <v>1237</v>
      </c>
      <c r="G485" s="261" t="s">
        <v>144</v>
      </c>
      <c r="H485" s="261" t="n">
        <v>0</v>
      </c>
      <c r="I485" s="261" t="n">
        <v>2</v>
      </c>
      <c r="J485" s="361" t="n">
        <v>1</v>
      </c>
      <c r="K485" s="262" t="n">
        <v>70</v>
      </c>
      <c r="L485" s="262" t="n">
        <v>94</v>
      </c>
      <c r="M485" s="262" t="n">
        <v>50</v>
      </c>
      <c r="N485" s="262" t="n">
        <v>94</v>
      </c>
      <c r="O485" s="262" t="n">
        <v>50</v>
      </c>
      <c r="P485" s="361" t="n">
        <v>66</v>
      </c>
      <c r="Q485" s="261" t="s">
        <v>150</v>
      </c>
      <c r="R485" s="261" t="s">
        <v>146</v>
      </c>
      <c r="S485" s="363" t="n">
        <f aca="false" t="array" ref="S485:S485">IF(COUNTIF('0.3.0 GO Calculation Values'!$J$2:$J$99,C485),(INDEX('0.3.0 GO Calculation Values'!$K$2:$K$99,MATCH(C485,'0.3.0 GO Calculation Values'!$J$2:$J$99,0))),1)</f>
        <v>1</v>
      </c>
      <c r="T485" s="262" t="n">
        <f aca="false">ROUND(ROUND(2*((7/8)*MAX(L485,N485)+(1/8)*MIN(L485,N485)),0)*(1+(P485-75)/500),0)</f>
        <v>185</v>
      </c>
      <c r="U485" s="262" t="n">
        <f aca="false">ROUND(ROUND(2*((5/8)*MAX(M485,O485)+(3/8)*MIN(M485,O485)),0)*(1+(P485-75)/500),0)</f>
        <v>98</v>
      </c>
      <c r="V485" s="361" t="n">
        <f aca="false">ROUNDDOWN(K485*1.75+50,0)</f>
        <v>172</v>
      </c>
      <c r="W485" s="261" t="n">
        <v>0</v>
      </c>
      <c r="X485" s="261" t="s">
        <v>1286</v>
      </c>
      <c r="Y485" s="364" t="s">
        <v>1286</v>
      </c>
      <c r="Z485" s="364"/>
      <c r="AA485" s="364"/>
      <c r="AB485" s="365"/>
      <c r="AC485" s="364"/>
      <c r="AD485" s="364"/>
      <c r="AE485" s="366"/>
      <c r="AF485" s="364" t="s">
        <v>1300</v>
      </c>
      <c r="AG485" s="364" t="s">
        <v>1300</v>
      </c>
      <c r="AH485" s="366" t="s">
        <v>1300</v>
      </c>
    </row>
    <row r="486" customFormat="false" ht="15.75" hidden="false" customHeight="false" outlineLevel="0" collapsed="false">
      <c r="A486" s="262" t="n">
        <v>415</v>
      </c>
      <c r="B486" s="361" t="n">
        <v>484</v>
      </c>
      <c r="C486" s="261" t="s">
        <v>1301</v>
      </c>
      <c r="D486" s="261" t="s">
        <v>60</v>
      </c>
      <c r="E486" s="362" t="s">
        <v>1301</v>
      </c>
      <c r="F486" s="261" t="s">
        <v>1237</v>
      </c>
      <c r="G486" s="261" t="s">
        <v>144</v>
      </c>
      <c r="H486" s="261" t="n">
        <v>0</v>
      </c>
      <c r="I486" s="261" t="n">
        <v>1</v>
      </c>
      <c r="J486" s="361" t="n">
        <v>0</v>
      </c>
      <c r="K486" s="262" t="n">
        <v>30</v>
      </c>
      <c r="L486" s="262" t="n">
        <v>30</v>
      </c>
      <c r="M486" s="262" t="n">
        <v>42</v>
      </c>
      <c r="N486" s="262" t="n">
        <v>30</v>
      </c>
      <c r="O486" s="262" t="n">
        <v>42</v>
      </c>
      <c r="P486" s="361" t="n">
        <v>70</v>
      </c>
      <c r="Q486" s="261" t="s">
        <v>150</v>
      </c>
      <c r="R486" s="261" t="s">
        <v>146</v>
      </c>
      <c r="S486" s="363" t="n">
        <f aca="false" t="array" ref="S486:S486">IF(COUNTIF('0.3.0 GO Calculation Values'!$J$2:$J$99,C486),(INDEX('0.3.0 GO Calculation Values'!$K$2:$K$99,MATCH(C486,'0.3.0 GO Calculation Values'!$J$2:$J$99,0))),1)</f>
        <v>1</v>
      </c>
      <c r="T486" s="262" t="n">
        <f aca="false">ROUND(ROUND(2*((7/8)*MAX(L486,N486)+(1/8)*MIN(L486,N486)),0)*(1+(P486-75)/500),0)</f>
        <v>59</v>
      </c>
      <c r="U486" s="262" t="n">
        <f aca="false">ROUND(ROUND(2*((5/8)*MAX(M486,O486)+(3/8)*MIN(M486,O486)),0)*(1+(P486-75)/500),0)</f>
        <v>83</v>
      </c>
      <c r="V486" s="361" t="n">
        <f aca="false">ROUNDDOWN(K486*1.75+50,0)</f>
        <v>102</v>
      </c>
      <c r="W486" s="261" t="n">
        <v>0</v>
      </c>
      <c r="X486" s="261" t="s">
        <v>60</v>
      </c>
      <c r="Y486" s="364" t="s">
        <v>1301</v>
      </c>
      <c r="Z486" s="364"/>
      <c r="AA486" s="364"/>
      <c r="AB486" s="365"/>
      <c r="AC486" s="364"/>
      <c r="AD486" s="364"/>
      <c r="AE486" s="366"/>
      <c r="AF486" s="364" t="s">
        <v>1302</v>
      </c>
      <c r="AG486" s="364" t="s">
        <v>1302</v>
      </c>
      <c r="AH486" s="366" t="s">
        <v>1302</v>
      </c>
    </row>
    <row r="487" customFormat="false" ht="15.75" hidden="false" customHeight="false" outlineLevel="0" collapsed="false">
      <c r="A487" s="262" t="n">
        <v>416</v>
      </c>
      <c r="B487" s="361" t="n">
        <v>485</v>
      </c>
      <c r="C487" s="261" t="s">
        <v>1303</v>
      </c>
      <c r="D487" s="261" t="s">
        <v>60</v>
      </c>
      <c r="E487" s="362" t="s">
        <v>1303</v>
      </c>
      <c r="F487" s="261" t="s">
        <v>1237</v>
      </c>
      <c r="G487" s="261" t="s">
        <v>144</v>
      </c>
      <c r="H487" s="261" t="n">
        <v>0</v>
      </c>
      <c r="I487" s="261" t="n">
        <v>2</v>
      </c>
      <c r="J487" s="361" t="n">
        <v>1</v>
      </c>
      <c r="K487" s="262" t="n">
        <v>70</v>
      </c>
      <c r="L487" s="262" t="n">
        <v>80</v>
      </c>
      <c r="M487" s="262" t="n">
        <v>102</v>
      </c>
      <c r="N487" s="262" t="n">
        <v>80</v>
      </c>
      <c r="O487" s="262" t="n">
        <v>102</v>
      </c>
      <c r="P487" s="361" t="n">
        <v>40</v>
      </c>
      <c r="Q487" s="261" t="s">
        <v>150</v>
      </c>
      <c r="R487" s="261" t="s">
        <v>146</v>
      </c>
      <c r="S487" s="363" t="n">
        <f aca="false" t="array" ref="S487:S487">IF(COUNTIF('0.3.0 GO Calculation Values'!$J$2:$J$99,C487),(INDEX('0.3.0 GO Calculation Values'!$K$2:$K$99,MATCH(C487,'0.3.0 GO Calculation Values'!$J$2:$J$99,0))),1)</f>
        <v>1</v>
      </c>
      <c r="T487" s="262" t="n">
        <f aca="false">ROUND(ROUND(2*((7/8)*MAX(L487,N487)+(1/8)*MIN(L487,N487)),0)*(1+(P487-75)/500),0)</f>
        <v>149</v>
      </c>
      <c r="U487" s="262" t="n">
        <f aca="false">ROUND(ROUND(2*((5/8)*MAX(M487,O487)+(3/8)*MIN(M487,O487)),0)*(1+(P487-75)/500),0)</f>
        <v>190</v>
      </c>
      <c r="V487" s="361" t="n">
        <f aca="false">ROUNDDOWN(K487*1.75+50,0)</f>
        <v>172</v>
      </c>
      <c r="W487" s="261" t="n">
        <v>0</v>
      </c>
      <c r="X487" s="261" t="s">
        <v>1301</v>
      </c>
      <c r="Y487" s="364" t="s">
        <v>1301</v>
      </c>
      <c r="Z487" s="364"/>
      <c r="AA487" s="364"/>
      <c r="AB487" s="365"/>
      <c r="AC487" s="364"/>
      <c r="AD487" s="364"/>
      <c r="AE487" s="366"/>
      <c r="AF487" s="364" t="s">
        <v>1304</v>
      </c>
      <c r="AG487" s="364" t="s">
        <v>1304</v>
      </c>
      <c r="AH487" s="366" t="s">
        <v>1304</v>
      </c>
    </row>
    <row r="488" customFormat="false" ht="15.75" hidden="false" customHeight="false" outlineLevel="0" collapsed="false">
      <c r="A488" s="262" t="n">
        <v>417</v>
      </c>
      <c r="B488" s="361" t="n">
        <v>486</v>
      </c>
      <c r="C488" s="261" t="s">
        <v>1305</v>
      </c>
      <c r="D488" s="261" t="s">
        <v>60</v>
      </c>
      <c r="E488" s="362" t="s">
        <v>1305</v>
      </c>
      <c r="F488" s="261" t="s">
        <v>1237</v>
      </c>
      <c r="G488" s="261" t="s">
        <v>144</v>
      </c>
      <c r="H488" s="261" t="n">
        <v>0</v>
      </c>
      <c r="I488" s="261" t="n">
        <v>1</v>
      </c>
      <c r="J488" s="361" t="n">
        <v>1</v>
      </c>
      <c r="K488" s="262" t="n">
        <v>60</v>
      </c>
      <c r="L488" s="262" t="n">
        <v>45</v>
      </c>
      <c r="M488" s="262" t="n">
        <v>70</v>
      </c>
      <c r="N488" s="262" t="n">
        <v>45</v>
      </c>
      <c r="O488" s="262" t="n">
        <v>90</v>
      </c>
      <c r="P488" s="361" t="n">
        <v>95</v>
      </c>
      <c r="Q488" s="261" t="s">
        <v>156</v>
      </c>
      <c r="R488" s="261"/>
      <c r="S488" s="363" t="n">
        <f aca="false" t="array" ref="S488:S488">IF(COUNTIF('0.3.0 GO Calculation Values'!$J$2:$J$99,C488),(INDEX('0.3.0 GO Calculation Values'!$K$2:$K$99,MATCH(C488,'0.3.0 GO Calculation Values'!$J$2:$J$99,0))),1)</f>
        <v>1</v>
      </c>
      <c r="T488" s="262" t="n">
        <f aca="false">ROUND(ROUND(2*((7/8)*MAX(L488,N488)+(1/8)*MIN(L488,N488)),0)*(1+(P488-75)/500),0)</f>
        <v>94</v>
      </c>
      <c r="U488" s="262" t="n">
        <f aca="false">ROUND(ROUND(2*((5/8)*MAX(M488,O488)+(3/8)*MIN(M488,O488)),0)*(1+(P488-75)/500),0)</f>
        <v>172</v>
      </c>
      <c r="V488" s="361" t="n">
        <f aca="false">ROUNDDOWN(K488*1.75+50,0)</f>
        <v>155</v>
      </c>
      <c r="W488" s="261" t="n">
        <v>0</v>
      </c>
      <c r="X488" s="261" t="s">
        <v>60</v>
      </c>
      <c r="Y488" s="364" t="s">
        <v>1305</v>
      </c>
      <c r="Z488" s="364"/>
      <c r="AA488" s="364"/>
      <c r="AB488" s="365"/>
      <c r="AC488" s="364"/>
      <c r="AD488" s="364"/>
      <c r="AE488" s="366"/>
      <c r="AF488" s="364" t="s">
        <v>1306</v>
      </c>
      <c r="AG488" s="364" t="s">
        <v>1306</v>
      </c>
      <c r="AH488" s="366" t="s">
        <v>1306</v>
      </c>
    </row>
    <row r="489" customFormat="false" ht="15.75" hidden="false" customHeight="false" outlineLevel="0" collapsed="false">
      <c r="A489" s="262" t="n">
        <v>418</v>
      </c>
      <c r="B489" s="361" t="n">
        <v>487</v>
      </c>
      <c r="C489" s="261" t="s">
        <v>1307</v>
      </c>
      <c r="D489" s="261" t="s">
        <v>60</v>
      </c>
      <c r="E489" s="362" t="s">
        <v>1307</v>
      </c>
      <c r="F489" s="261" t="s">
        <v>1237</v>
      </c>
      <c r="G489" s="261" t="s">
        <v>144</v>
      </c>
      <c r="H489" s="261" t="n">
        <v>0</v>
      </c>
      <c r="I489" s="261" t="n">
        <v>1</v>
      </c>
      <c r="J489" s="361" t="n">
        <v>0</v>
      </c>
      <c r="K489" s="262" t="n">
        <v>55</v>
      </c>
      <c r="L489" s="262" t="n">
        <v>65</v>
      </c>
      <c r="M489" s="262" t="n">
        <v>35</v>
      </c>
      <c r="N489" s="262" t="n">
        <v>60</v>
      </c>
      <c r="O489" s="262" t="n">
        <v>30</v>
      </c>
      <c r="P489" s="361" t="n">
        <v>85</v>
      </c>
      <c r="Q489" s="261" t="s">
        <v>154</v>
      </c>
      <c r="R489" s="261"/>
      <c r="S489" s="363" t="n">
        <f aca="false" t="array" ref="S489:S489">IF(COUNTIF('0.3.0 GO Calculation Values'!$J$2:$J$99,C489),(INDEX('0.3.0 GO Calculation Values'!$K$2:$K$99,MATCH(C489,'0.3.0 GO Calculation Values'!$J$2:$J$99,0))),1)</f>
        <v>1</v>
      </c>
      <c r="T489" s="262" t="n">
        <f aca="false">ROUND(ROUND(2*((7/8)*MAX(L489,N489)+(1/8)*MIN(L489,N489)),0)*(1+(P489-75)/500),0)</f>
        <v>132</v>
      </c>
      <c r="U489" s="262" t="n">
        <f aca="false">ROUND(ROUND(2*((5/8)*MAX(M489,O489)+(3/8)*MIN(M489,O489)),0)*(1+(P489-75)/500),0)</f>
        <v>67</v>
      </c>
      <c r="V489" s="361" t="n">
        <f aca="false">ROUNDDOWN(K489*1.75+50,0)</f>
        <v>146</v>
      </c>
      <c r="W489" s="261" t="n">
        <v>0</v>
      </c>
      <c r="X489" s="261" t="s">
        <v>60</v>
      </c>
      <c r="Y489" s="364" t="s">
        <v>1307</v>
      </c>
      <c r="Z489" s="364"/>
      <c r="AA489" s="364"/>
      <c r="AB489" s="365"/>
      <c r="AC489" s="364"/>
      <c r="AD489" s="364"/>
      <c r="AE489" s="366"/>
      <c r="AF489" s="364" t="s">
        <v>1308</v>
      </c>
      <c r="AG489" s="364" t="s">
        <v>1308</v>
      </c>
      <c r="AH489" s="366" t="s">
        <v>1308</v>
      </c>
    </row>
    <row r="490" customFormat="false" ht="15.75" hidden="false" customHeight="false" outlineLevel="0" collapsed="false">
      <c r="A490" s="262" t="n">
        <v>419</v>
      </c>
      <c r="B490" s="361" t="n">
        <v>488</v>
      </c>
      <c r="C490" s="261" t="s">
        <v>1309</v>
      </c>
      <c r="D490" s="261" t="s">
        <v>60</v>
      </c>
      <c r="E490" s="362" t="s">
        <v>1309</v>
      </c>
      <c r="F490" s="261" t="s">
        <v>1237</v>
      </c>
      <c r="G490" s="261" t="s">
        <v>144</v>
      </c>
      <c r="H490" s="261" t="n">
        <v>0</v>
      </c>
      <c r="I490" s="261" t="n">
        <v>2</v>
      </c>
      <c r="J490" s="361" t="n">
        <v>1</v>
      </c>
      <c r="K490" s="262" t="n">
        <v>85</v>
      </c>
      <c r="L490" s="262" t="n">
        <v>105</v>
      </c>
      <c r="M490" s="262" t="n">
        <v>55</v>
      </c>
      <c r="N490" s="262" t="n">
        <v>85</v>
      </c>
      <c r="O490" s="262" t="n">
        <v>50</v>
      </c>
      <c r="P490" s="361" t="n">
        <v>115</v>
      </c>
      <c r="Q490" s="261" t="s">
        <v>154</v>
      </c>
      <c r="R490" s="261"/>
      <c r="S490" s="363" t="n">
        <f aca="false" t="array" ref="S490:S490">IF(COUNTIF('0.3.0 GO Calculation Values'!$J$2:$J$99,C490),(INDEX('0.3.0 GO Calculation Values'!$K$2:$K$99,MATCH(C490,'0.3.0 GO Calculation Values'!$J$2:$J$99,0))),1)</f>
        <v>1</v>
      </c>
      <c r="T490" s="262" t="n">
        <f aca="false">ROUND(ROUND(2*((7/8)*MAX(L490,N490)+(1/8)*MIN(L490,N490)),0)*(1+(P490-75)/500),0)</f>
        <v>221</v>
      </c>
      <c r="U490" s="262" t="n">
        <f aca="false">ROUND(ROUND(2*((5/8)*MAX(M490,O490)+(3/8)*MIN(M490,O490)),0)*(1+(P490-75)/500),0)</f>
        <v>114</v>
      </c>
      <c r="V490" s="361" t="n">
        <f aca="false">ROUNDDOWN(K490*1.75+50,0)</f>
        <v>198</v>
      </c>
      <c r="W490" s="261" t="n">
        <v>0</v>
      </c>
      <c r="X490" s="261" t="s">
        <v>1307</v>
      </c>
      <c r="Y490" s="364" t="s">
        <v>1307</v>
      </c>
      <c r="Z490" s="364"/>
      <c r="AA490" s="364"/>
      <c r="AB490" s="365"/>
      <c r="AC490" s="364"/>
      <c r="AD490" s="364"/>
      <c r="AE490" s="366"/>
      <c r="AF490" s="364" t="s">
        <v>1310</v>
      </c>
      <c r="AG490" s="364" t="s">
        <v>1310</v>
      </c>
      <c r="AH490" s="366" t="s">
        <v>1310</v>
      </c>
    </row>
    <row r="491" customFormat="false" ht="15.75" hidden="false" customHeight="false" outlineLevel="0" collapsed="false">
      <c r="A491" s="262" t="n">
        <v>420</v>
      </c>
      <c r="B491" s="361" t="n">
        <v>489</v>
      </c>
      <c r="C491" s="261" t="s">
        <v>1311</v>
      </c>
      <c r="D491" s="261" t="s">
        <v>60</v>
      </c>
      <c r="E491" s="362" t="s">
        <v>1311</v>
      </c>
      <c r="F491" s="261" t="s">
        <v>1237</v>
      </c>
      <c r="G491" s="261" t="s">
        <v>144</v>
      </c>
      <c r="H491" s="261" t="n">
        <v>0</v>
      </c>
      <c r="I491" s="261" t="n">
        <v>1</v>
      </c>
      <c r="J491" s="361" t="n">
        <v>0</v>
      </c>
      <c r="K491" s="262" t="n">
        <v>45</v>
      </c>
      <c r="L491" s="262" t="n">
        <v>35</v>
      </c>
      <c r="M491" s="262" t="n">
        <v>45</v>
      </c>
      <c r="N491" s="262" t="n">
        <v>62</v>
      </c>
      <c r="O491" s="262" t="n">
        <v>53</v>
      </c>
      <c r="P491" s="361" t="n">
        <v>35</v>
      </c>
      <c r="Q491" s="261" t="s">
        <v>155</v>
      </c>
      <c r="R491" s="261"/>
      <c r="S491" s="363" t="n">
        <f aca="false" t="array" ref="S491:S491">IF(COUNTIF('0.3.0 GO Calculation Values'!$J$2:$J$99,C491),(INDEX('0.3.0 GO Calculation Values'!$K$2:$K$99,MATCH(C491,'0.3.0 GO Calculation Values'!$J$2:$J$99,0))),1)</f>
        <v>1</v>
      </c>
      <c r="T491" s="262" t="n">
        <f aca="false">ROUND(ROUND(2*((7/8)*MAX(L491,N491)+(1/8)*MIN(L491,N491)),0)*(1+(P491-75)/500),0)</f>
        <v>108</v>
      </c>
      <c r="U491" s="262" t="n">
        <f aca="false">ROUND(ROUND(2*((5/8)*MAX(M491,O491)+(3/8)*MIN(M491,O491)),0)*(1+(P491-75)/500),0)</f>
        <v>92</v>
      </c>
      <c r="V491" s="361" t="n">
        <f aca="false">ROUNDDOWN(K491*1.75+50,0)</f>
        <v>128</v>
      </c>
      <c r="W491" s="261" t="n">
        <v>0</v>
      </c>
      <c r="X491" s="261" t="s">
        <v>60</v>
      </c>
      <c r="Y491" s="364" t="s">
        <v>1311</v>
      </c>
      <c r="Z491" s="364"/>
      <c r="AA491" s="364"/>
      <c r="AB491" s="365"/>
      <c r="AC491" s="364"/>
      <c r="AD491" s="364"/>
      <c r="AE491" s="366"/>
      <c r="AF491" s="364" t="s">
        <v>1312</v>
      </c>
      <c r="AG491" s="364" t="s">
        <v>1312</v>
      </c>
      <c r="AH491" s="366" t="s">
        <v>1312</v>
      </c>
    </row>
    <row r="492" customFormat="false" ht="15.75" hidden="false" customHeight="false" outlineLevel="0" collapsed="false">
      <c r="A492" s="262" t="n">
        <v>421</v>
      </c>
      <c r="B492" s="361" t="n">
        <v>490</v>
      </c>
      <c r="C492" s="261" t="s">
        <v>1313</v>
      </c>
      <c r="D492" s="261" t="s">
        <v>60</v>
      </c>
      <c r="E492" s="362" t="s">
        <v>1313</v>
      </c>
      <c r="F492" s="261" t="s">
        <v>1237</v>
      </c>
      <c r="G492" s="261" t="s">
        <v>144</v>
      </c>
      <c r="H492" s="261" t="n">
        <v>0</v>
      </c>
      <c r="I492" s="261" t="n">
        <v>2</v>
      </c>
      <c r="J492" s="361" t="n">
        <v>1</v>
      </c>
      <c r="K492" s="262" t="n">
        <v>70</v>
      </c>
      <c r="L492" s="262" t="n">
        <v>60</v>
      </c>
      <c r="M492" s="262" t="n">
        <v>70</v>
      </c>
      <c r="N492" s="262" t="n">
        <v>87</v>
      </c>
      <c r="O492" s="262" t="n">
        <v>78</v>
      </c>
      <c r="P492" s="361" t="n">
        <v>85</v>
      </c>
      <c r="Q492" s="261" t="s">
        <v>155</v>
      </c>
      <c r="R492" s="261"/>
      <c r="S492" s="363" t="n">
        <f aca="false" t="array" ref="S492:S492">IF(COUNTIF('0.3.0 GO Calculation Values'!$J$2:$J$99,C492),(INDEX('0.3.0 GO Calculation Values'!$K$2:$K$99,MATCH(C492,'0.3.0 GO Calculation Values'!$J$2:$J$99,0))),1)</f>
        <v>1</v>
      </c>
      <c r="T492" s="262" t="n">
        <f aca="false">ROUND(ROUND(2*((7/8)*MAX(L492,N492)+(1/8)*MIN(L492,N492)),0)*(1+(P492-75)/500),0)</f>
        <v>170</v>
      </c>
      <c r="U492" s="262" t="n">
        <f aca="false">ROUND(ROUND(2*((5/8)*MAX(M492,O492)+(3/8)*MIN(M492,O492)),0)*(1+(P492-75)/500),0)</f>
        <v>153</v>
      </c>
      <c r="V492" s="361" t="n">
        <f aca="false">ROUNDDOWN(K492*1.75+50,0)</f>
        <v>172</v>
      </c>
      <c r="W492" s="261" t="n">
        <v>0</v>
      </c>
      <c r="X492" s="261" t="s">
        <v>1311</v>
      </c>
      <c r="Y492" s="364" t="s">
        <v>1311</v>
      </c>
      <c r="Z492" s="364"/>
      <c r="AA492" s="364"/>
      <c r="AB492" s="365"/>
      <c r="AC492" s="364"/>
      <c r="AD492" s="364"/>
      <c r="AE492" s="366"/>
      <c r="AF492" s="364" t="s">
        <v>1314</v>
      </c>
      <c r="AG492" s="364" t="s">
        <v>1314</v>
      </c>
      <c r="AH492" s="366" t="s">
        <v>1314</v>
      </c>
    </row>
    <row r="493" customFormat="false" ht="15.75" hidden="false" customHeight="false" outlineLevel="0" collapsed="false">
      <c r="A493" s="262" t="n">
        <v>422</v>
      </c>
      <c r="B493" s="361" t="n">
        <v>491</v>
      </c>
      <c r="C493" s="261" t="s">
        <v>1315</v>
      </c>
      <c r="D493" s="261" t="s">
        <v>60</v>
      </c>
      <c r="E493" s="362" t="s">
        <v>1315</v>
      </c>
      <c r="F493" s="261" t="s">
        <v>1237</v>
      </c>
      <c r="G493" s="261" t="s">
        <v>144</v>
      </c>
      <c r="H493" s="261" t="n">
        <v>0</v>
      </c>
      <c r="I493" s="261" t="n">
        <v>1</v>
      </c>
      <c r="J493" s="361" t="n">
        <v>0</v>
      </c>
      <c r="K493" s="262" t="n">
        <v>76</v>
      </c>
      <c r="L493" s="262" t="n">
        <v>48</v>
      </c>
      <c r="M493" s="262" t="n">
        <v>48</v>
      </c>
      <c r="N493" s="262" t="n">
        <v>57</v>
      </c>
      <c r="O493" s="262" t="n">
        <v>62</v>
      </c>
      <c r="P493" s="361" t="n">
        <v>34</v>
      </c>
      <c r="Q493" s="261" t="s">
        <v>154</v>
      </c>
      <c r="R493" s="261" t="s">
        <v>148</v>
      </c>
      <c r="S493" s="363" t="n">
        <f aca="false" t="array" ref="S493:S493">IF(COUNTIF('0.3.0 GO Calculation Values'!$J$2:$J$99,C493),(INDEX('0.3.0 GO Calculation Values'!$K$2:$K$99,MATCH(C493,'0.3.0 GO Calculation Values'!$J$2:$J$99,0))),1)</f>
        <v>1</v>
      </c>
      <c r="T493" s="262" t="n">
        <f aca="false">ROUND(ROUND(2*((7/8)*MAX(L493,N493)+(1/8)*MIN(L493,N493)),0)*(1+(P493-75)/500),0)</f>
        <v>103</v>
      </c>
      <c r="U493" s="262" t="n">
        <f aca="false">ROUND(ROUND(2*((5/8)*MAX(M493,O493)+(3/8)*MIN(M493,O493)),0)*(1+(P493-75)/500),0)</f>
        <v>105</v>
      </c>
      <c r="V493" s="361" t="n">
        <f aca="false">ROUNDDOWN(K493*1.75+50,0)</f>
        <v>183</v>
      </c>
      <c r="W493" s="261" t="n">
        <v>0</v>
      </c>
      <c r="X493" s="261" t="s">
        <v>60</v>
      </c>
      <c r="Y493" s="364" t="s">
        <v>1315</v>
      </c>
      <c r="Z493" s="364"/>
      <c r="AA493" s="364"/>
      <c r="AB493" s="365"/>
      <c r="AC493" s="364"/>
      <c r="AD493" s="364"/>
      <c r="AE493" s="366"/>
      <c r="AF493" s="364" t="s">
        <v>1316</v>
      </c>
      <c r="AG493" s="364" t="s">
        <v>1316</v>
      </c>
      <c r="AH493" s="366" t="s">
        <v>1316</v>
      </c>
    </row>
    <row r="494" customFormat="false" ht="15.75" hidden="false" customHeight="false" outlineLevel="0" collapsed="false">
      <c r="A494" s="262" t="n">
        <v>423</v>
      </c>
      <c r="B494" s="361" t="n">
        <v>492</v>
      </c>
      <c r="C494" s="261" t="s">
        <v>1317</v>
      </c>
      <c r="D494" s="261" t="s">
        <v>60</v>
      </c>
      <c r="E494" s="362" t="s">
        <v>1317</v>
      </c>
      <c r="F494" s="261" t="s">
        <v>1237</v>
      </c>
      <c r="G494" s="261" t="s">
        <v>144</v>
      </c>
      <c r="H494" s="261" t="n">
        <v>0</v>
      </c>
      <c r="I494" s="261" t="n">
        <v>2</v>
      </c>
      <c r="J494" s="361" t="n">
        <v>1</v>
      </c>
      <c r="K494" s="262" t="n">
        <v>111</v>
      </c>
      <c r="L494" s="262" t="n">
        <v>83</v>
      </c>
      <c r="M494" s="262" t="n">
        <v>68</v>
      </c>
      <c r="N494" s="262" t="n">
        <v>92</v>
      </c>
      <c r="O494" s="262" t="n">
        <v>82</v>
      </c>
      <c r="P494" s="361" t="n">
        <v>39</v>
      </c>
      <c r="Q494" s="261" t="s">
        <v>154</v>
      </c>
      <c r="R494" s="261" t="s">
        <v>148</v>
      </c>
      <c r="S494" s="363" t="n">
        <f aca="false" t="array" ref="S494:S494">IF(COUNTIF('0.3.0 GO Calculation Values'!$J$2:$J$99,C494),(INDEX('0.3.0 GO Calculation Values'!$K$2:$K$99,MATCH(C494,'0.3.0 GO Calculation Values'!$J$2:$J$99,0))),1)</f>
        <v>1</v>
      </c>
      <c r="T494" s="262" t="n">
        <f aca="false">ROUND(ROUND(2*((7/8)*MAX(L494,N494)+(1/8)*MIN(L494,N494)),0)*(1+(P494-75)/500),0)</f>
        <v>169</v>
      </c>
      <c r="U494" s="262" t="n">
        <f aca="false">ROUND(ROUND(2*((5/8)*MAX(M494,O494)+(3/8)*MIN(M494,O494)),0)*(1+(P494-75)/500),0)</f>
        <v>143</v>
      </c>
      <c r="V494" s="361" t="n">
        <f aca="false">ROUNDDOWN(K494*1.75+50,0)</f>
        <v>244</v>
      </c>
      <c r="W494" s="261" t="n">
        <v>0</v>
      </c>
      <c r="X494" s="261" t="s">
        <v>1315</v>
      </c>
      <c r="Y494" s="364" t="s">
        <v>1315</v>
      </c>
      <c r="Z494" s="364"/>
      <c r="AA494" s="364"/>
      <c r="AB494" s="365"/>
      <c r="AC494" s="364"/>
      <c r="AD494" s="364"/>
      <c r="AE494" s="366"/>
      <c r="AF494" s="364" t="s">
        <v>1318</v>
      </c>
      <c r="AG494" s="364" t="s">
        <v>1318</v>
      </c>
      <c r="AH494" s="366" t="s">
        <v>1318</v>
      </c>
    </row>
    <row r="495" customFormat="false" ht="15.75" hidden="false" customHeight="false" outlineLevel="0" collapsed="false">
      <c r="A495" s="262" t="n">
        <v>424</v>
      </c>
      <c r="B495" s="361" t="n">
        <v>493</v>
      </c>
      <c r="C495" s="261" t="s">
        <v>1319</v>
      </c>
      <c r="D495" s="261" t="s">
        <v>60</v>
      </c>
      <c r="E495" s="362" t="s">
        <v>1319</v>
      </c>
      <c r="F495" s="261" t="s">
        <v>1237</v>
      </c>
      <c r="G495" s="261" t="s">
        <v>144</v>
      </c>
      <c r="H495" s="261" t="n">
        <v>0</v>
      </c>
      <c r="I495" s="261" t="n">
        <v>2</v>
      </c>
      <c r="J495" s="361" t="n">
        <v>1</v>
      </c>
      <c r="K495" s="262" t="n">
        <v>75</v>
      </c>
      <c r="L495" s="262" t="n">
        <v>100</v>
      </c>
      <c r="M495" s="262" t="n">
        <v>66</v>
      </c>
      <c r="N495" s="262" t="n">
        <v>60</v>
      </c>
      <c r="O495" s="262" t="n">
        <v>66</v>
      </c>
      <c r="P495" s="361" t="n">
        <v>115</v>
      </c>
      <c r="Q495" s="261" t="s">
        <v>144</v>
      </c>
      <c r="R495" s="261"/>
      <c r="S495" s="363" t="n">
        <f aca="false" t="array" ref="S495:S495">IF(COUNTIF('0.3.0 GO Calculation Values'!$J$2:$J$99,C495),(INDEX('0.3.0 GO Calculation Values'!$K$2:$K$99,MATCH(C495,'0.3.0 GO Calculation Values'!$J$2:$J$99,0))),1)</f>
        <v>1</v>
      </c>
      <c r="T495" s="262" t="n">
        <f aca="false">ROUND(ROUND(2*((7/8)*MAX(L495,N495)+(1/8)*MIN(L495,N495)),0)*(1+(P495-75)/500),0)</f>
        <v>205</v>
      </c>
      <c r="U495" s="262" t="n">
        <f aca="false">ROUND(ROUND(2*((5/8)*MAX(M495,O495)+(3/8)*MIN(M495,O495)),0)*(1+(P495-75)/500),0)</f>
        <v>143</v>
      </c>
      <c r="V495" s="361" t="n">
        <f aca="false">ROUNDDOWN(K495*1.75+50,0)</f>
        <v>181</v>
      </c>
      <c r="W495" s="261" t="n">
        <v>0</v>
      </c>
      <c r="X495" s="261" t="s">
        <v>735</v>
      </c>
      <c r="Y495" s="364" t="s">
        <v>735</v>
      </c>
      <c r="Z495" s="364" t="n">
        <v>3</v>
      </c>
      <c r="AA495" s="364"/>
      <c r="AB495" s="365"/>
      <c r="AC495" s="364"/>
      <c r="AD495" s="364"/>
      <c r="AE495" s="366"/>
      <c r="AF495" s="364" t="s">
        <v>1320</v>
      </c>
      <c r="AG495" s="364" t="s">
        <v>1320</v>
      </c>
      <c r="AH495" s="366" t="s">
        <v>1320</v>
      </c>
    </row>
    <row r="496" customFormat="false" ht="15.75" hidden="false" customHeight="false" outlineLevel="0" collapsed="false">
      <c r="A496" s="262" t="n">
        <v>425</v>
      </c>
      <c r="B496" s="361" t="n">
        <v>494</v>
      </c>
      <c r="C496" s="261" t="s">
        <v>1321</v>
      </c>
      <c r="D496" s="261" t="s">
        <v>60</v>
      </c>
      <c r="E496" s="362" t="s">
        <v>1321</v>
      </c>
      <c r="F496" s="261" t="s">
        <v>1237</v>
      </c>
      <c r="G496" s="261" t="s">
        <v>144</v>
      </c>
      <c r="H496" s="261" t="n">
        <v>0</v>
      </c>
      <c r="I496" s="261" t="n">
        <v>1</v>
      </c>
      <c r="J496" s="361" t="n">
        <v>0</v>
      </c>
      <c r="K496" s="262" t="n">
        <v>90</v>
      </c>
      <c r="L496" s="262" t="n">
        <v>50</v>
      </c>
      <c r="M496" s="262" t="n">
        <v>34</v>
      </c>
      <c r="N496" s="262" t="n">
        <v>60</v>
      </c>
      <c r="O496" s="262" t="n">
        <v>44</v>
      </c>
      <c r="P496" s="361" t="n">
        <v>70</v>
      </c>
      <c r="Q496" s="261" t="s">
        <v>151</v>
      </c>
      <c r="R496" s="261" t="s">
        <v>146</v>
      </c>
      <c r="S496" s="363" t="n">
        <f aca="false" t="array" ref="S496:S496">IF(COUNTIF('0.3.0 GO Calculation Values'!$J$2:$J$99,C496),(INDEX('0.3.0 GO Calculation Values'!$K$2:$K$99,MATCH(C496,'0.3.0 GO Calculation Values'!$J$2:$J$99,0))),1)</f>
        <v>1</v>
      </c>
      <c r="T496" s="262" t="n">
        <f aca="false">ROUND(ROUND(2*((7/8)*MAX(L496,N496)+(1/8)*MIN(L496,N496)),0)*(1+(P496-75)/500),0)</f>
        <v>117</v>
      </c>
      <c r="U496" s="262" t="n">
        <f aca="false">ROUND(ROUND(2*((5/8)*MAX(M496,O496)+(3/8)*MIN(M496,O496)),0)*(1+(P496-75)/500),0)</f>
        <v>80</v>
      </c>
      <c r="V496" s="361" t="n">
        <f aca="false">ROUNDDOWN(K496*1.75+50,0)</f>
        <v>207</v>
      </c>
      <c r="W496" s="261" t="n">
        <v>0</v>
      </c>
      <c r="X496" s="261" t="s">
        <v>60</v>
      </c>
      <c r="Y496" s="364" t="s">
        <v>1321</v>
      </c>
      <c r="Z496" s="364"/>
      <c r="AA496" s="364"/>
      <c r="AB496" s="365"/>
      <c r="AC496" s="364"/>
      <c r="AD496" s="364"/>
      <c r="AE496" s="366"/>
      <c r="AF496" s="364" t="s">
        <v>1322</v>
      </c>
      <c r="AG496" s="364" t="s">
        <v>1322</v>
      </c>
      <c r="AH496" s="366" t="s">
        <v>1322</v>
      </c>
    </row>
    <row r="497" customFormat="false" ht="15.75" hidden="false" customHeight="false" outlineLevel="0" collapsed="false">
      <c r="A497" s="262" t="n">
        <v>426</v>
      </c>
      <c r="B497" s="361" t="n">
        <v>495</v>
      </c>
      <c r="C497" s="261" t="s">
        <v>1323</v>
      </c>
      <c r="D497" s="261" t="s">
        <v>60</v>
      </c>
      <c r="E497" s="362" t="s">
        <v>1323</v>
      </c>
      <c r="F497" s="261" t="s">
        <v>1237</v>
      </c>
      <c r="G497" s="261" t="s">
        <v>144</v>
      </c>
      <c r="H497" s="261" t="n">
        <v>0</v>
      </c>
      <c r="I497" s="261" t="n">
        <v>2</v>
      </c>
      <c r="J497" s="361" t="n">
        <v>1</v>
      </c>
      <c r="K497" s="262" t="n">
        <v>150</v>
      </c>
      <c r="L497" s="262" t="n">
        <v>80</v>
      </c>
      <c r="M497" s="262" t="n">
        <v>44</v>
      </c>
      <c r="N497" s="262" t="n">
        <v>90</v>
      </c>
      <c r="O497" s="262" t="n">
        <v>54</v>
      </c>
      <c r="P497" s="361" t="n">
        <v>80</v>
      </c>
      <c r="Q497" s="261" t="s">
        <v>151</v>
      </c>
      <c r="R497" s="261" t="s">
        <v>146</v>
      </c>
      <c r="S497" s="363" t="n">
        <f aca="false" t="array" ref="S497:S497">IF(COUNTIF('0.3.0 GO Calculation Values'!$J$2:$J$99,C497),(INDEX('0.3.0 GO Calculation Values'!$K$2:$K$99,MATCH(C497,'0.3.0 GO Calculation Values'!$J$2:$J$99,0))),1)</f>
        <v>1</v>
      </c>
      <c r="T497" s="262" t="n">
        <f aca="false">ROUND(ROUND(2*((7/8)*MAX(L497,N497)+(1/8)*MIN(L497,N497)),0)*(1+(P497-75)/500),0)</f>
        <v>180</v>
      </c>
      <c r="U497" s="262" t="n">
        <f aca="false">ROUND(ROUND(2*((5/8)*MAX(M497,O497)+(3/8)*MIN(M497,O497)),0)*(1+(P497-75)/500),0)</f>
        <v>102</v>
      </c>
      <c r="V497" s="361" t="n">
        <f aca="false">ROUNDDOWN(K497*1.75+50,0)</f>
        <v>312</v>
      </c>
      <c r="W497" s="261" t="n">
        <v>0</v>
      </c>
      <c r="X497" s="261" t="s">
        <v>1321</v>
      </c>
      <c r="Y497" s="364" t="s">
        <v>1321</v>
      </c>
      <c r="Z497" s="364"/>
      <c r="AA497" s="364"/>
      <c r="AB497" s="365"/>
      <c r="AC497" s="364"/>
      <c r="AD497" s="364"/>
      <c r="AE497" s="366"/>
      <c r="AF497" s="364" t="s">
        <v>1324</v>
      </c>
      <c r="AG497" s="364" t="s">
        <v>1324</v>
      </c>
      <c r="AH497" s="366" t="s">
        <v>1324</v>
      </c>
    </row>
    <row r="498" customFormat="false" ht="15.75" hidden="false" customHeight="false" outlineLevel="0" collapsed="false">
      <c r="A498" s="262" t="n">
        <v>427</v>
      </c>
      <c r="B498" s="361" t="n">
        <v>496</v>
      </c>
      <c r="C498" s="261" t="s">
        <v>1325</v>
      </c>
      <c r="D498" s="261" t="s">
        <v>60</v>
      </c>
      <c r="E498" s="362" t="s">
        <v>1325</v>
      </c>
      <c r="F498" s="261" t="s">
        <v>1237</v>
      </c>
      <c r="G498" s="261" t="s">
        <v>144</v>
      </c>
      <c r="H498" s="261" t="n">
        <v>0</v>
      </c>
      <c r="I498" s="261" t="n">
        <v>1</v>
      </c>
      <c r="J498" s="361" t="n">
        <v>0</v>
      </c>
      <c r="K498" s="262" t="n">
        <v>55</v>
      </c>
      <c r="L498" s="262" t="n">
        <v>66</v>
      </c>
      <c r="M498" s="262" t="n">
        <v>44</v>
      </c>
      <c r="N498" s="262" t="n">
        <v>44</v>
      </c>
      <c r="O498" s="262" t="n">
        <v>56</v>
      </c>
      <c r="P498" s="361" t="n">
        <v>85</v>
      </c>
      <c r="Q498" s="261" t="s">
        <v>144</v>
      </c>
      <c r="R498" s="261"/>
      <c r="S498" s="363" t="n">
        <f aca="false" t="array" ref="S498:S498">IF(COUNTIF('0.3.0 GO Calculation Values'!$J$2:$J$99,C498),(INDEX('0.3.0 GO Calculation Values'!$K$2:$K$99,MATCH(C498,'0.3.0 GO Calculation Values'!$J$2:$J$99,0))),1)</f>
        <v>1</v>
      </c>
      <c r="T498" s="262" t="n">
        <f aca="false">ROUND(ROUND(2*((7/8)*MAX(L498,N498)+(1/8)*MIN(L498,N498)),0)*(1+(P498-75)/500),0)</f>
        <v>130</v>
      </c>
      <c r="U498" s="262" t="n">
        <f aca="false">ROUND(ROUND(2*((5/8)*MAX(M498,O498)+(3/8)*MIN(M498,O498)),0)*(1+(P498-75)/500),0)</f>
        <v>105</v>
      </c>
      <c r="V498" s="361" t="n">
        <f aca="false">ROUNDDOWN(K498*1.75+50,0)</f>
        <v>146</v>
      </c>
      <c r="W498" s="261" t="n">
        <v>0</v>
      </c>
      <c r="X498" s="261" t="s">
        <v>60</v>
      </c>
      <c r="Y498" s="364" t="s">
        <v>1325</v>
      </c>
      <c r="Z498" s="364"/>
      <c r="AA498" s="364"/>
      <c r="AB498" s="365"/>
      <c r="AC498" s="364"/>
      <c r="AD498" s="364"/>
      <c r="AE498" s="366"/>
      <c r="AF498" s="364" t="s">
        <v>1326</v>
      </c>
      <c r="AG498" s="364" t="s">
        <v>1326</v>
      </c>
      <c r="AH498" s="366" t="s">
        <v>1326</v>
      </c>
    </row>
    <row r="499" customFormat="false" ht="15.75" hidden="false" customHeight="false" outlineLevel="0" collapsed="false">
      <c r="A499" s="262" t="n">
        <v>428</v>
      </c>
      <c r="B499" s="361" t="n">
        <v>497</v>
      </c>
      <c r="C499" s="261" t="s">
        <v>1327</v>
      </c>
      <c r="D499" s="261" t="s">
        <v>7</v>
      </c>
      <c r="E499" s="367" t="s">
        <v>1327</v>
      </c>
      <c r="F499" s="261" t="s">
        <v>1237</v>
      </c>
      <c r="G499" s="261" t="s">
        <v>144</v>
      </c>
      <c r="H499" s="261" t="n">
        <v>0</v>
      </c>
      <c r="I499" s="261" t="n">
        <v>2</v>
      </c>
      <c r="J499" s="361" t="n">
        <v>1</v>
      </c>
      <c r="K499" s="262" t="n">
        <v>65</v>
      </c>
      <c r="L499" s="262" t="n">
        <v>76</v>
      </c>
      <c r="M499" s="262" t="n">
        <v>84</v>
      </c>
      <c r="N499" s="262" t="n">
        <v>54</v>
      </c>
      <c r="O499" s="262" t="n">
        <v>96</v>
      </c>
      <c r="P499" s="361" t="n">
        <v>105</v>
      </c>
      <c r="Q499" s="261" t="s">
        <v>144</v>
      </c>
      <c r="R499" s="261"/>
      <c r="S499" s="363" t="n">
        <f aca="false" t="array" ref="S499:S499">IF(COUNTIF('0.3.0 GO Calculation Values'!$J$2:$J$99,C499),(INDEX('0.3.0 GO Calculation Values'!$K$2:$K$99,MATCH(C499,'0.3.0 GO Calculation Values'!$J$2:$J$99,0))),1)</f>
        <v>1</v>
      </c>
      <c r="T499" s="262" t="n">
        <f aca="false">ROUND(ROUND(2*((7/8)*MAX(L499,N499)+(1/8)*MIN(L499,N499)),0)*(1+(P499-75)/500),0)</f>
        <v>156</v>
      </c>
      <c r="U499" s="262" t="n">
        <f aca="false">ROUND(ROUND(2*((5/8)*MAX(M499,O499)+(3/8)*MIN(M499,O499)),0)*(1+(P499-75)/500),0)</f>
        <v>194</v>
      </c>
      <c r="V499" s="361" t="n">
        <f aca="false">ROUNDDOWN(K499*1.75+50,0)</f>
        <v>163</v>
      </c>
      <c r="W499" s="261" t="n">
        <v>0</v>
      </c>
      <c r="X499" s="261" t="s">
        <v>1325</v>
      </c>
      <c r="Y499" s="364" t="s">
        <v>1325</v>
      </c>
      <c r="Z499" s="364"/>
      <c r="AA499" s="364"/>
      <c r="AB499" s="365"/>
      <c r="AC499" s="364"/>
      <c r="AD499" s="364"/>
      <c r="AE499" s="366"/>
      <c r="AF499" s="364" t="s">
        <v>1328</v>
      </c>
      <c r="AG499" s="364" t="s">
        <v>1328</v>
      </c>
      <c r="AH499" s="366" t="s">
        <v>1328</v>
      </c>
    </row>
    <row r="500" customFormat="false" ht="15.75" hidden="false" customHeight="false" outlineLevel="0" collapsed="false">
      <c r="A500" s="262" t="n">
        <v>428</v>
      </c>
      <c r="B500" s="361" t="n">
        <v>498</v>
      </c>
      <c r="C500" s="261" t="s">
        <v>1327</v>
      </c>
      <c r="D500" s="261" t="s">
        <v>1329</v>
      </c>
      <c r="E500" s="358" t="s">
        <v>1330</v>
      </c>
      <c r="F500" s="261" t="s">
        <v>1331</v>
      </c>
      <c r="G500" s="261" t="s">
        <v>144</v>
      </c>
      <c r="H500" s="261" t="n">
        <v>2</v>
      </c>
      <c r="I500" s="261" t="n">
        <v>3</v>
      </c>
      <c r="J500" s="361" t="n">
        <v>1</v>
      </c>
      <c r="K500" s="262" t="n">
        <v>65</v>
      </c>
      <c r="L500" s="262" t="n">
        <v>136</v>
      </c>
      <c r="M500" s="262" t="n">
        <v>94</v>
      </c>
      <c r="N500" s="262" t="n">
        <v>54</v>
      </c>
      <c r="O500" s="262" t="n">
        <v>96</v>
      </c>
      <c r="P500" s="361" t="n">
        <v>135</v>
      </c>
      <c r="Q500" s="261" t="s">
        <v>144</v>
      </c>
      <c r="R500" s="261" t="s">
        <v>145</v>
      </c>
      <c r="S500" s="363" t="n">
        <f aca="false" t="array" ref="S500:S500">IF(COUNTIF('0.3.0 GO Calculation Values'!$J$2:$J$99,C500),(INDEX('0.3.0 GO Calculation Values'!$K$2:$K$99,MATCH(C500,'0.3.0 GO Calculation Values'!$J$2:$J$99,0))),1)</f>
        <v>1</v>
      </c>
      <c r="T500" s="262" t="n">
        <f aca="false">ROUND(ROUND(2*((7/8)*MAX(L500,N500)+(1/8)*MIN(L500,N500)),0)*(1+(P500-75)/500),0)</f>
        <v>282</v>
      </c>
      <c r="U500" s="262" t="n">
        <f aca="false">ROUND(ROUND(2*((5/8)*MAX(M500,O500)+(3/8)*MIN(M500,O500)),0)*(1+(P500-75)/500),0)</f>
        <v>214</v>
      </c>
      <c r="V500" s="361" t="n">
        <f aca="false">ROUNDDOWN(K500*1.75+50,0)</f>
        <v>163</v>
      </c>
      <c r="W500" s="261" t="n">
        <v>0</v>
      </c>
      <c r="X500" s="261" t="s">
        <v>1327</v>
      </c>
      <c r="Y500" s="364" t="s">
        <v>1325</v>
      </c>
      <c r="Z500" s="364"/>
      <c r="AA500" s="364"/>
      <c r="AB500" s="365"/>
      <c r="AC500" s="364"/>
      <c r="AD500" s="364"/>
      <c r="AE500" s="366"/>
      <c r="AF500" s="364" t="s">
        <v>1332</v>
      </c>
      <c r="AG500" s="364" t="s">
        <v>1332</v>
      </c>
      <c r="AH500" s="366" t="s">
        <v>1332</v>
      </c>
    </row>
    <row r="501" customFormat="false" ht="15.75" hidden="false" customHeight="false" outlineLevel="0" collapsed="false">
      <c r="A501" s="262" t="n">
        <v>429</v>
      </c>
      <c r="B501" s="361" t="n">
        <v>499</v>
      </c>
      <c r="C501" s="261" t="s">
        <v>1333</v>
      </c>
      <c r="D501" s="261" t="s">
        <v>60</v>
      </c>
      <c r="E501" s="362" t="s">
        <v>1333</v>
      </c>
      <c r="F501" s="261" t="s">
        <v>1237</v>
      </c>
      <c r="G501" s="261" t="s">
        <v>144</v>
      </c>
      <c r="H501" s="261" t="n">
        <v>0</v>
      </c>
      <c r="I501" s="261" t="n">
        <v>2</v>
      </c>
      <c r="J501" s="361" t="n">
        <v>1</v>
      </c>
      <c r="K501" s="262" t="n">
        <v>60</v>
      </c>
      <c r="L501" s="262" t="n">
        <v>60</v>
      </c>
      <c r="M501" s="262" t="n">
        <v>60</v>
      </c>
      <c r="N501" s="262" t="n">
        <v>105</v>
      </c>
      <c r="O501" s="262" t="n">
        <v>105</v>
      </c>
      <c r="P501" s="361" t="n">
        <v>105</v>
      </c>
      <c r="Q501" s="261" t="s">
        <v>151</v>
      </c>
      <c r="R501" s="261"/>
      <c r="S501" s="363" t="n">
        <f aca="false" t="array" ref="S501:S501">IF(COUNTIF('0.3.0 GO Calculation Values'!$J$2:$J$99,C501),(INDEX('0.3.0 GO Calculation Values'!$K$2:$K$99,MATCH(C501,'0.3.0 GO Calculation Values'!$J$2:$J$99,0))),1)</f>
        <v>1</v>
      </c>
      <c r="T501" s="262" t="n">
        <f aca="false">ROUND(ROUND(2*((7/8)*MAX(L501,N501)+(1/8)*MIN(L501,N501)),0)*(1+(P501-75)/500),0)</f>
        <v>211</v>
      </c>
      <c r="U501" s="262" t="n">
        <f aca="false">ROUND(ROUND(2*((5/8)*MAX(M501,O501)+(3/8)*MIN(M501,O501)),0)*(1+(P501-75)/500),0)</f>
        <v>187</v>
      </c>
      <c r="V501" s="361" t="n">
        <f aca="false">ROUNDDOWN(K501*1.75+50,0)</f>
        <v>155</v>
      </c>
      <c r="W501" s="261" t="n">
        <v>0</v>
      </c>
      <c r="X501" s="261" t="s">
        <v>757</v>
      </c>
      <c r="Y501" s="364" t="s">
        <v>757</v>
      </c>
      <c r="Z501" s="364" t="n">
        <v>3</v>
      </c>
      <c r="AA501" s="364"/>
      <c r="AB501" s="365"/>
      <c r="AC501" s="364"/>
      <c r="AD501" s="364"/>
      <c r="AE501" s="366"/>
      <c r="AF501" s="364" t="s">
        <v>1334</v>
      </c>
      <c r="AG501" s="364" t="s">
        <v>1334</v>
      </c>
      <c r="AH501" s="366" t="s">
        <v>1334</v>
      </c>
    </row>
    <row r="502" customFormat="false" ht="15.75" hidden="false" customHeight="false" outlineLevel="0" collapsed="false">
      <c r="A502" s="262" t="n">
        <v>430</v>
      </c>
      <c r="B502" s="361" t="n">
        <v>500</v>
      </c>
      <c r="C502" s="261" t="s">
        <v>1335</v>
      </c>
      <c r="D502" s="261" t="s">
        <v>60</v>
      </c>
      <c r="E502" s="362" t="s">
        <v>1335</v>
      </c>
      <c r="F502" s="261" t="s">
        <v>1237</v>
      </c>
      <c r="G502" s="261" t="s">
        <v>144</v>
      </c>
      <c r="H502" s="261" t="n">
        <v>0</v>
      </c>
      <c r="I502" s="261" t="n">
        <v>2</v>
      </c>
      <c r="J502" s="361" t="n">
        <v>1</v>
      </c>
      <c r="K502" s="262" t="n">
        <v>100</v>
      </c>
      <c r="L502" s="262" t="n">
        <v>125</v>
      </c>
      <c r="M502" s="262" t="n">
        <v>52</v>
      </c>
      <c r="N502" s="262" t="n">
        <v>105</v>
      </c>
      <c r="O502" s="262" t="n">
        <v>52</v>
      </c>
      <c r="P502" s="361" t="n">
        <v>71</v>
      </c>
      <c r="Q502" s="261" t="s">
        <v>160</v>
      </c>
      <c r="R502" s="261" t="s">
        <v>146</v>
      </c>
      <c r="S502" s="363" t="n">
        <f aca="false" t="array" ref="S502:S502">IF(COUNTIF('0.3.0 GO Calculation Values'!$J$2:$J$99,C502),(INDEX('0.3.0 GO Calculation Values'!$K$2:$K$99,MATCH(C502,'0.3.0 GO Calculation Values'!$J$2:$J$99,0))),1)</f>
        <v>1</v>
      </c>
      <c r="T502" s="262" t="n">
        <f aca="false">ROUND(ROUND(2*((7/8)*MAX(L502,N502)+(1/8)*MIN(L502,N502)),0)*(1+(P502-75)/500),0)</f>
        <v>243</v>
      </c>
      <c r="U502" s="262" t="n">
        <f aca="false">ROUND(ROUND(2*((5/8)*MAX(M502,O502)+(3/8)*MIN(M502,O502)),0)*(1+(P502-75)/500),0)</f>
        <v>103</v>
      </c>
      <c r="V502" s="361" t="n">
        <f aca="false">ROUNDDOWN(K502*1.75+50,0)</f>
        <v>225</v>
      </c>
      <c r="W502" s="261" t="n">
        <v>0</v>
      </c>
      <c r="X502" s="261" t="s">
        <v>753</v>
      </c>
      <c r="Y502" s="364" t="s">
        <v>753</v>
      </c>
      <c r="Z502" s="364" t="n">
        <v>3</v>
      </c>
      <c r="AA502" s="364"/>
      <c r="AB502" s="365"/>
      <c r="AC502" s="364"/>
      <c r="AD502" s="364"/>
      <c r="AE502" s="366"/>
      <c r="AF502" s="364" t="s">
        <v>1336</v>
      </c>
      <c r="AG502" s="364" t="s">
        <v>1336</v>
      </c>
      <c r="AH502" s="366" t="s">
        <v>1336</v>
      </c>
    </row>
    <row r="503" customFormat="false" ht="15.75" hidden="false" customHeight="false" outlineLevel="0" collapsed="false">
      <c r="A503" s="262" t="n">
        <v>431</v>
      </c>
      <c r="B503" s="361" t="n">
        <v>501</v>
      </c>
      <c r="C503" s="261" t="s">
        <v>1337</v>
      </c>
      <c r="D503" s="261" t="s">
        <v>60</v>
      </c>
      <c r="E503" s="362" t="s">
        <v>1337</v>
      </c>
      <c r="F503" s="261" t="s">
        <v>1237</v>
      </c>
      <c r="G503" s="261" t="s">
        <v>144</v>
      </c>
      <c r="H503" s="261" t="n">
        <v>0</v>
      </c>
      <c r="I503" s="261" t="n">
        <v>1</v>
      </c>
      <c r="J503" s="361" t="n">
        <v>0</v>
      </c>
      <c r="K503" s="262" t="n">
        <v>49</v>
      </c>
      <c r="L503" s="262" t="n">
        <v>55</v>
      </c>
      <c r="M503" s="262" t="n">
        <v>42</v>
      </c>
      <c r="N503" s="262" t="n">
        <v>42</v>
      </c>
      <c r="O503" s="262" t="n">
        <v>37</v>
      </c>
      <c r="P503" s="361" t="n">
        <v>85</v>
      </c>
      <c r="Q503" s="261" t="s">
        <v>144</v>
      </c>
      <c r="R503" s="261"/>
      <c r="S503" s="363" t="n">
        <f aca="false" t="array" ref="S503:S503">IF(COUNTIF('0.3.0 GO Calculation Values'!$J$2:$J$99,C503),(INDEX('0.3.0 GO Calculation Values'!$K$2:$K$99,MATCH(C503,'0.3.0 GO Calculation Values'!$J$2:$J$99,0))),1)</f>
        <v>1</v>
      </c>
      <c r="T503" s="262" t="n">
        <f aca="false">ROUND(ROUND(2*((7/8)*MAX(L503,N503)+(1/8)*MIN(L503,N503)),0)*(1+(P503-75)/500),0)</f>
        <v>109</v>
      </c>
      <c r="U503" s="262" t="n">
        <f aca="false">ROUND(ROUND(2*((5/8)*MAX(M503,O503)+(3/8)*MIN(M503,O503)),0)*(1+(P503-75)/500),0)</f>
        <v>82</v>
      </c>
      <c r="V503" s="361" t="n">
        <f aca="false">ROUNDDOWN(K503*1.75+50,0)</f>
        <v>135</v>
      </c>
      <c r="W503" s="261" t="n">
        <v>0</v>
      </c>
      <c r="X503" s="261" t="s">
        <v>60</v>
      </c>
      <c r="Y503" s="364" t="s">
        <v>1337</v>
      </c>
      <c r="Z503" s="364"/>
      <c r="AA503" s="364"/>
      <c r="AB503" s="365"/>
      <c r="AC503" s="364"/>
      <c r="AD503" s="364"/>
      <c r="AE503" s="366"/>
      <c r="AF503" s="364" t="s">
        <v>1338</v>
      </c>
      <c r="AG503" s="364" t="s">
        <v>1338</v>
      </c>
      <c r="AH503" s="366" t="s">
        <v>1338</v>
      </c>
    </row>
    <row r="504" customFormat="false" ht="15.75" hidden="false" customHeight="false" outlineLevel="0" collapsed="false">
      <c r="A504" s="262" t="n">
        <v>432</v>
      </c>
      <c r="B504" s="361" t="n">
        <v>502</v>
      </c>
      <c r="C504" s="261" t="s">
        <v>1339</v>
      </c>
      <c r="D504" s="261" t="s">
        <v>60</v>
      </c>
      <c r="E504" s="362" t="s">
        <v>1339</v>
      </c>
      <c r="F504" s="261" t="s">
        <v>1237</v>
      </c>
      <c r="G504" s="261" t="s">
        <v>144</v>
      </c>
      <c r="H504" s="261" t="n">
        <v>0</v>
      </c>
      <c r="I504" s="261" t="n">
        <v>2</v>
      </c>
      <c r="J504" s="361" t="n">
        <v>1</v>
      </c>
      <c r="K504" s="262" t="n">
        <v>71</v>
      </c>
      <c r="L504" s="262" t="n">
        <v>82</v>
      </c>
      <c r="M504" s="262" t="n">
        <v>64</v>
      </c>
      <c r="N504" s="262" t="n">
        <v>64</v>
      </c>
      <c r="O504" s="262" t="n">
        <v>59</v>
      </c>
      <c r="P504" s="361" t="n">
        <v>112</v>
      </c>
      <c r="Q504" s="261" t="s">
        <v>144</v>
      </c>
      <c r="R504" s="261"/>
      <c r="S504" s="363" t="n">
        <f aca="false" t="array" ref="S504:S504">IF(COUNTIF('0.3.0 GO Calculation Values'!$J$2:$J$99,C504),(INDEX('0.3.0 GO Calculation Values'!$K$2:$K$99,MATCH(C504,'0.3.0 GO Calculation Values'!$J$2:$J$99,0))),1)</f>
        <v>1</v>
      </c>
      <c r="T504" s="262" t="n">
        <f aca="false">ROUND(ROUND(2*((7/8)*MAX(L504,N504)+(1/8)*MIN(L504,N504)),0)*(1+(P504-75)/500),0)</f>
        <v>172</v>
      </c>
      <c r="U504" s="262" t="n">
        <f aca="false">ROUND(ROUND(2*((5/8)*MAX(M504,O504)+(3/8)*MIN(M504,O504)),0)*(1+(P504-75)/500),0)</f>
        <v>133</v>
      </c>
      <c r="V504" s="361" t="n">
        <f aca="false">ROUNDDOWN(K504*1.75+50,0)</f>
        <v>174</v>
      </c>
      <c r="W504" s="261" t="n">
        <v>0</v>
      </c>
      <c r="X504" s="261" t="s">
        <v>1337</v>
      </c>
      <c r="Y504" s="364" t="s">
        <v>1337</v>
      </c>
      <c r="Z504" s="364"/>
      <c r="AA504" s="364"/>
      <c r="AB504" s="365"/>
      <c r="AC504" s="364"/>
      <c r="AD504" s="364"/>
      <c r="AE504" s="366"/>
      <c r="AF504" s="364" t="s">
        <v>1340</v>
      </c>
      <c r="AG504" s="364" t="s">
        <v>1340</v>
      </c>
      <c r="AH504" s="366" t="s">
        <v>1340</v>
      </c>
    </row>
    <row r="505" customFormat="false" ht="15.75" hidden="false" customHeight="false" outlineLevel="0" collapsed="false">
      <c r="A505" s="262" t="n">
        <v>433</v>
      </c>
      <c r="B505" s="361" t="n">
        <v>503</v>
      </c>
      <c r="C505" s="261" t="s">
        <v>1142</v>
      </c>
      <c r="D505" s="261" t="s">
        <v>60</v>
      </c>
      <c r="E505" s="362" t="s">
        <v>1142</v>
      </c>
      <c r="F505" s="261" t="s">
        <v>1237</v>
      </c>
      <c r="G505" s="261" t="s">
        <v>693</v>
      </c>
      <c r="H505" s="261" t="n">
        <v>0</v>
      </c>
      <c r="I505" s="261" t="n">
        <v>1</v>
      </c>
      <c r="J505" s="361" t="n">
        <v>0</v>
      </c>
      <c r="K505" s="262" t="n">
        <v>45</v>
      </c>
      <c r="L505" s="262" t="n">
        <v>30</v>
      </c>
      <c r="M505" s="262" t="n">
        <v>50</v>
      </c>
      <c r="N505" s="262" t="n">
        <v>65</v>
      </c>
      <c r="O505" s="262" t="n">
        <v>50</v>
      </c>
      <c r="P505" s="361" t="n">
        <v>45</v>
      </c>
      <c r="Q505" s="261" t="s">
        <v>157</v>
      </c>
      <c r="R505" s="261"/>
      <c r="S505" s="363" t="n">
        <f aca="false" t="array" ref="S505:S505">IF(COUNTIF('0.3.0 GO Calculation Values'!$J$2:$J$99,C505),(INDEX('0.3.0 GO Calculation Values'!$K$2:$K$99,MATCH(C505,'0.3.0 GO Calculation Values'!$J$2:$J$99,0))),1)</f>
        <v>1</v>
      </c>
      <c r="T505" s="262" t="n">
        <f aca="false">ROUND(ROUND(2*((7/8)*MAX(L505,N505)+(1/8)*MIN(L505,N505)),0)*(1+(P505-75)/500),0)</f>
        <v>114</v>
      </c>
      <c r="U505" s="262" t="n">
        <f aca="false">ROUND(ROUND(2*((5/8)*MAX(M505,O505)+(3/8)*MIN(M505,O505)),0)*(1+(P505-75)/500),0)</f>
        <v>94</v>
      </c>
      <c r="V505" s="361" t="n">
        <f aca="false">ROUNDDOWN(K505*1.75+50,0)</f>
        <v>128</v>
      </c>
      <c r="W505" s="261" t="n">
        <v>0</v>
      </c>
      <c r="X505" s="261" t="s">
        <v>60</v>
      </c>
      <c r="Y505" s="364" t="s">
        <v>1141</v>
      </c>
      <c r="Z505" s="364" t="n">
        <v>5</v>
      </c>
      <c r="AA505" s="364"/>
      <c r="AB505" s="365"/>
      <c r="AC505" s="364"/>
      <c r="AD505" s="364"/>
      <c r="AE505" s="366"/>
      <c r="AF505" s="364" t="s">
        <v>1341</v>
      </c>
      <c r="AG505" s="364" t="s">
        <v>1341</v>
      </c>
      <c r="AH505" s="366" t="s">
        <v>1341</v>
      </c>
    </row>
    <row r="506" customFormat="false" ht="15.75" hidden="false" customHeight="false" outlineLevel="0" collapsed="false">
      <c r="A506" s="262" t="n">
        <v>434</v>
      </c>
      <c r="B506" s="361" t="n">
        <v>504</v>
      </c>
      <c r="C506" s="261" t="s">
        <v>1342</v>
      </c>
      <c r="D506" s="261" t="s">
        <v>60</v>
      </c>
      <c r="E506" s="362" t="s">
        <v>1342</v>
      </c>
      <c r="F506" s="261" t="s">
        <v>1237</v>
      </c>
      <c r="G506" s="261" t="s">
        <v>144</v>
      </c>
      <c r="H506" s="261" t="n">
        <v>0</v>
      </c>
      <c r="I506" s="261" t="n">
        <v>1</v>
      </c>
      <c r="J506" s="361" t="n">
        <v>0</v>
      </c>
      <c r="K506" s="262" t="n">
        <v>63</v>
      </c>
      <c r="L506" s="262" t="n">
        <v>63</v>
      </c>
      <c r="M506" s="262" t="n">
        <v>47</v>
      </c>
      <c r="N506" s="262" t="n">
        <v>41</v>
      </c>
      <c r="O506" s="262" t="n">
        <v>41</v>
      </c>
      <c r="P506" s="361" t="n">
        <v>74</v>
      </c>
      <c r="Q506" s="261" t="s">
        <v>147</v>
      </c>
      <c r="R506" s="261" t="s">
        <v>160</v>
      </c>
      <c r="S506" s="363" t="n">
        <f aca="false" t="array" ref="S506:S506">IF(COUNTIF('0.3.0 GO Calculation Values'!$J$2:$J$99,C506),(INDEX('0.3.0 GO Calculation Values'!$K$2:$K$99,MATCH(C506,'0.3.0 GO Calculation Values'!$J$2:$J$99,0))),1)</f>
        <v>1</v>
      </c>
      <c r="T506" s="262" t="n">
        <f aca="false">ROUND(ROUND(2*((7/8)*MAX(L506,N506)+(1/8)*MIN(L506,N506)),0)*(1+(P506-75)/500),0)</f>
        <v>121</v>
      </c>
      <c r="U506" s="262" t="n">
        <f aca="false">ROUND(ROUND(2*((5/8)*MAX(M506,O506)+(3/8)*MIN(M506,O506)),0)*(1+(P506-75)/500),0)</f>
        <v>90</v>
      </c>
      <c r="V506" s="361" t="n">
        <f aca="false">ROUNDDOWN(K506*1.75+50,0)</f>
        <v>160</v>
      </c>
      <c r="W506" s="261" t="n">
        <v>0</v>
      </c>
      <c r="X506" s="261" t="s">
        <v>60</v>
      </c>
      <c r="Y506" s="364" t="s">
        <v>1342</v>
      </c>
      <c r="Z506" s="364"/>
      <c r="AA506" s="364"/>
      <c r="AB506" s="365"/>
      <c r="AC506" s="364"/>
      <c r="AD506" s="364"/>
      <c r="AE506" s="366"/>
      <c r="AF506" s="364" t="s">
        <v>1343</v>
      </c>
      <c r="AG506" s="364" t="s">
        <v>1343</v>
      </c>
      <c r="AH506" s="366" t="s">
        <v>1343</v>
      </c>
    </row>
    <row r="507" customFormat="false" ht="15.75" hidden="false" customHeight="false" outlineLevel="0" collapsed="false">
      <c r="A507" s="262" t="n">
        <v>435</v>
      </c>
      <c r="B507" s="361" t="n">
        <v>505</v>
      </c>
      <c r="C507" s="261" t="s">
        <v>1344</v>
      </c>
      <c r="D507" s="261" t="s">
        <v>60</v>
      </c>
      <c r="E507" s="362" t="s">
        <v>1344</v>
      </c>
      <c r="F507" s="261" t="s">
        <v>1237</v>
      </c>
      <c r="G507" s="261" t="s">
        <v>144</v>
      </c>
      <c r="H507" s="261" t="n">
        <v>0</v>
      </c>
      <c r="I507" s="261" t="n">
        <v>2</v>
      </c>
      <c r="J507" s="361" t="n">
        <v>1</v>
      </c>
      <c r="K507" s="262" t="n">
        <v>103</v>
      </c>
      <c r="L507" s="262" t="n">
        <v>93</v>
      </c>
      <c r="M507" s="262" t="n">
        <v>67</v>
      </c>
      <c r="N507" s="262" t="n">
        <v>71</v>
      </c>
      <c r="O507" s="262" t="n">
        <v>61</v>
      </c>
      <c r="P507" s="361" t="n">
        <v>84</v>
      </c>
      <c r="Q507" s="261" t="s">
        <v>147</v>
      </c>
      <c r="R507" s="261" t="s">
        <v>160</v>
      </c>
      <c r="S507" s="363" t="n">
        <f aca="false" t="array" ref="S507:S507">IF(COUNTIF('0.3.0 GO Calculation Values'!$J$2:$J$99,C507),(INDEX('0.3.0 GO Calculation Values'!$K$2:$K$99,MATCH(C507,'0.3.0 GO Calculation Values'!$J$2:$J$99,0))),1)</f>
        <v>1</v>
      </c>
      <c r="T507" s="262" t="n">
        <f aca="false">ROUND(ROUND(2*((7/8)*MAX(L507,N507)+(1/8)*MIN(L507,N507)),0)*(1+(P507-75)/500),0)</f>
        <v>184</v>
      </c>
      <c r="U507" s="262" t="n">
        <f aca="false">ROUND(ROUND(2*((5/8)*MAX(M507,O507)+(3/8)*MIN(M507,O507)),0)*(1+(P507-75)/500),0)</f>
        <v>132</v>
      </c>
      <c r="V507" s="361" t="n">
        <f aca="false">ROUNDDOWN(K507*1.75+50,0)</f>
        <v>230</v>
      </c>
      <c r="W507" s="261" t="n">
        <v>0</v>
      </c>
      <c r="X507" s="261" t="s">
        <v>1342</v>
      </c>
      <c r="Y507" s="364" t="s">
        <v>1342</v>
      </c>
      <c r="Z507" s="364"/>
      <c r="AA507" s="364"/>
      <c r="AB507" s="365"/>
      <c r="AC507" s="364"/>
      <c r="AD507" s="364"/>
      <c r="AE507" s="366"/>
      <c r="AF507" s="364" t="s">
        <v>1345</v>
      </c>
      <c r="AG507" s="364" t="s">
        <v>1345</v>
      </c>
      <c r="AH507" s="366" t="s">
        <v>1345</v>
      </c>
    </row>
    <row r="508" customFormat="false" ht="15.75" hidden="false" customHeight="false" outlineLevel="0" collapsed="false">
      <c r="A508" s="262" t="n">
        <v>436</v>
      </c>
      <c r="B508" s="361" t="n">
        <v>506</v>
      </c>
      <c r="C508" s="261" t="s">
        <v>1346</v>
      </c>
      <c r="D508" s="261" t="s">
        <v>60</v>
      </c>
      <c r="E508" s="362" t="s">
        <v>1346</v>
      </c>
      <c r="F508" s="261" t="s">
        <v>1237</v>
      </c>
      <c r="G508" s="261" t="s">
        <v>144</v>
      </c>
      <c r="H508" s="261" t="n">
        <v>0</v>
      </c>
      <c r="I508" s="261" t="n">
        <v>1</v>
      </c>
      <c r="J508" s="361" t="n">
        <v>0</v>
      </c>
      <c r="K508" s="262" t="n">
        <v>57</v>
      </c>
      <c r="L508" s="262" t="n">
        <v>24</v>
      </c>
      <c r="M508" s="262" t="n">
        <v>86</v>
      </c>
      <c r="N508" s="262" t="n">
        <v>24</v>
      </c>
      <c r="O508" s="262" t="n">
        <v>86</v>
      </c>
      <c r="P508" s="361" t="n">
        <v>23</v>
      </c>
      <c r="Q508" s="261" t="s">
        <v>152</v>
      </c>
      <c r="R508" s="261" t="s">
        <v>157</v>
      </c>
      <c r="S508" s="363" t="n">
        <f aca="false" t="array" ref="S508:S508">IF(COUNTIF('0.3.0 GO Calculation Values'!$J$2:$J$99,C508),(INDEX('0.3.0 GO Calculation Values'!$K$2:$K$99,MATCH(C508,'0.3.0 GO Calculation Values'!$J$2:$J$99,0))),1)</f>
        <v>1</v>
      </c>
      <c r="T508" s="262" t="n">
        <f aca="false">ROUND(ROUND(2*((7/8)*MAX(L508,N508)+(1/8)*MIN(L508,N508)),0)*(1+(P508-75)/500),0)</f>
        <v>43</v>
      </c>
      <c r="U508" s="262" t="n">
        <f aca="false">ROUND(ROUND(2*((5/8)*MAX(M508,O508)+(3/8)*MIN(M508,O508)),0)*(1+(P508-75)/500),0)</f>
        <v>154</v>
      </c>
      <c r="V508" s="361" t="n">
        <f aca="false">ROUNDDOWN(K508*1.75+50,0)</f>
        <v>149</v>
      </c>
      <c r="W508" s="261" t="n">
        <v>0</v>
      </c>
      <c r="X508" s="261" t="s">
        <v>60</v>
      </c>
      <c r="Y508" s="364" t="s">
        <v>1346</v>
      </c>
      <c r="Z508" s="364"/>
      <c r="AA508" s="364"/>
      <c r="AB508" s="365"/>
      <c r="AC508" s="364"/>
      <c r="AD508" s="364"/>
      <c r="AE508" s="366"/>
      <c r="AF508" s="364" t="s">
        <v>1347</v>
      </c>
      <c r="AG508" s="364" t="s">
        <v>1347</v>
      </c>
      <c r="AH508" s="366" t="s">
        <v>1347</v>
      </c>
    </row>
    <row r="509" customFormat="false" ht="15.75" hidden="false" customHeight="false" outlineLevel="0" collapsed="false">
      <c r="A509" s="262" t="n">
        <v>437</v>
      </c>
      <c r="B509" s="361" t="n">
        <v>507</v>
      </c>
      <c r="C509" s="261" t="s">
        <v>1348</v>
      </c>
      <c r="D509" s="261" t="s">
        <v>60</v>
      </c>
      <c r="E509" s="362" t="s">
        <v>1348</v>
      </c>
      <c r="F509" s="261" t="s">
        <v>1237</v>
      </c>
      <c r="G509" s="261" t="s">
        <v>144</v>
      </c>
      <c r="H509" s="261" t="n">
        <v>0</v>
      </c>
      <c r="I509" s="261" t="n">
        <v>2</v>
      </c>
      <c r="J509" s="361" t="n">
        <v>1</v>
      </c>
      <c r="K509" s="262" t="n">
        <v>67</v>
      </c>
      <c r="L509" s="262" t="n">
        <v>89</v>
      </c>
      <c r="M509" s="262" t="n">
        <v>116</v>
      </c>
      <c r="N509" s="262" t="n">
        <v>79</v>
      </c>
      <c r="O509" s="262" t="n">
        <v>116</v>
      </c>
      <c r="P509" s="361" t="n">
        <v>33</v>
      </c>
      <c r="Q509" s="261" t="s">
        <v>152</v>
      </c>
      <c r="R509" s="261" t="s">
        <v>157</v>
      </c>
      <c r="S509" s="363" t="n">
        <f aca="false" t="array" ref="S509:S509">IF(COUNTIF('0.3.0 GO Calculation Values'!$J$2:$J$99,C509),(INDEX('0.3.0 GO Calculation Values'!$K$2:$K$99,MATCH(C509,'0.3.0 GO Calculation Values'!$J$2:$J$99,0))),1)</f>
        <v>1</v>
      </c>
      <c r="T509" s="262" t="n">
        <f aca="false">ROUND(ROUND(2*((7/8)*MAX(L509,N509)+(1/8)*MIN(L509,N509)),0)*(1+(P509-75)/500),0)</f>
        <v>161</v>
      </c>
      <c r="U509" s="262" t="n">
        <f aca="false">ROUND(ROUND(2*((5/8)*MAX(M509,O509)+(3/8)*MIN(M509,O509)),0)*(1+(P509-75)/500),0)</f>
        <v>213</v>
      </c>
      <c r="V509" s="361" t="n">
        <f aca="false">ROUNDDOWN(K509*1.75+50,0)</f>
        <v>167</v>
      </c>
      <c r="W509" s="261" t="n">
        <v>0</v>
      </c>
      <c r="X509" s="261" t="s">
        <v>1346</v>
      </c>
      <c r="Y509" s="364" t="s">
        <v>1346</v>
      </c>
      <c r="Z509" s="364"/>
      <c r="AA509" s="364"/>
      <c r="AB509" s="365"/>
      <c r="AC509" s="364"/>
      <c r="AD509" s="364"/>
      <c r="AE509" s="366"/>
      <c r="AF509" s="364" t="s">
        <v>1349</v>
      </c>
      <c r="AG509" s="364" t="s">
        <v>1349</v>
      </c>
      <c r="AH509" s="366" t="s">
        <v>1349</v>
      </c>
    </row>
    <row r="510" customFormat="false" ht="15.75" hidden="false" customHeight="false" outlineLevel="0" collapsed="false">
      <c r="A510" s="262" t="n">
        <v>438</v>
      </c>
      <c r="B510" s="361" t="n">
        <v>508</v>
      </c>
      <c r="C510" s="261" t="s">
        <v>724</v>
      </c>
      <c r="D510" s="261" t="s">
        <v>60</v>
      </c>
      <c r="E510" s="362" t="s">
        <v>724</v>
      </c>
      <c r="F510" s="261" t="s">
        <v>1237</v>
      </c>
      <c r="G510" s="261" t="s">
        <v>693</v>
      </c>
      <c r="H510" s="261" t="n">
        <v>0</v>
      </c>
      <c r="I510" s="261" t="n">
        <v>1</v>
      </c>
      <c r="J510" s="361" t="n">
        <v>0</v>
      </c>
      <c r="K510" s="262" t="n">
        <v>50</v>
      </c>
      <c r="L510" s="262" t="n">
        <v>80</v>
      </c>
      <c r="M510" s="262" t="n">
        <v>95</v>
      </c>
      <c r="N510" s="262" t="n">
        <v>10</v>
      </c>
      <c r="O510" s="262" t="n">
        <v>45</v>
      </c>
      <c r="P510" s="361" t="n">
        <v>10</v>
      </c>
      <c r="Q510" s="261" t="s">
        <v>149</v>
      </c>
      <c r="R510" s="261"/>
      <c r="S510" s="363" t="n">
        <f aca="false" t="array" ref="S510:S510">IF(COUNTIF('0.3.0 GO Calculation Values'!$J$2:$J$99,C510),(INDEX('0.3.0 GO Calculation Values'!$K$2:$K$99,MATCH(C510,'0.3.0 GO Calculation Values'!$J$2:$J$99,0))),1)</f>
        <v>1</v>
      </c>
      <c r="T510" s="262" t="n">
        <f aca="false">ROUND(ROUND(2*((7/8)*MAX(L510,N510)+(1/8)*MIN(L510,N510)),0)*(1+(P510-75)/500),0)</f>
        <v>124</v>
      </c>
      <c r="U510" s="262" t="n">
        <f aca="false">ROUND(ROUND(2*((5/8)*MAX(M510,O510)+(3/8)*MIN(M510,O510)),0)*(1+(P510-75)/500),0)</f>
        <v>133</v>
      </c>
      <c r="V510" s="361" t="n">
        <f aca="false">ROUNDDOWN(K510*1.75+50,0)</f>
        <v>137</v>
      </c>
      <c r="W510" s="261" t="n">
        <v>0</v>
      </c>
      <c r="X510" s="261" t="s">
        <v>60</v>
      </c>
      <c r="Y510" s="364" t="s">
        <v>723</v>
      </c>
      <c r="Z510" s="364" t="n">
        <v>5</v>
      </c>
      <c r="AA510" s="364"/>
      <c r="AB510" s="365"/>
      <c r="AC510" s="364"/>
      <c r="AD510" s="364"/>
      <c r="AE510" s="366"/>
      <c r="AF510" s="364" t="s">
        <v>1350</v>
      </c>
      <c r="AG510" s="364" t="s">
        <v>1350</v>
      </c>
      <c r="AH510" s="366" t="s">
        <v>1350</v>
      </c>
    </row>
    <row r="511" customFormat="false" ht="15.75" hidden="false" customHeight="false" outlineLevel="0" collapsed="false">
      <c r="A511" s="262" t="n">
        <v>439</v>
      </c>
      <c r="B511" s="361" t="n">
        <v>509</v>
      </c>
      <c r="C511" s="261" t="s">
        <v>567</v>
      </c>
      <c r="D511" s="261" t="s">
        <v>60</v>
      </c>
      <c r="E511" s="362" t="s">
        <v>567</v>
      </c>
      <c r="F511" s="261" t="s">
        <v>1237</v>
      </c>
      <c r="G511" s="261" t="s">
        <v>693</v>
      </c>
      <c r="H511" s="261" t="n">
        <v>0</v>
      </c>
      <c r="I511" s="261" t="n">
        <v>1</v>
      </c>
      <c r="J511" s="361" t="n">
        <v>0</v>
      </c>
      <c r="K511" s="262" t="n">
        <v>20</v>
      </c>
      <c r="L511" s="262" t="n">
        <v>25</v>
      </c>
      <c r="M511" s="262" t="n">
        <v>45</v>
      </c>
      <c r="N511" s="262" t="n">
        <v>70</v>
      </c>
      <c r="O511" s="262" t="n">
        <v>90</v>
      </c>
      <c r="P511" s="361" t="n">
        <v>60</v>
      </c>
      <c r="Q511" s="261" t="s">
        <v>157</v>
      </c>
      <c r="R511" s="261" t="s">
        <v>161</v>
      </c>
      <c r="S511" s="363" t="n">
        <f aca="false" t="array" ref="S511:S511">IF(COUNTIF('0.3.0 GO Calculation Values'!$J$2:$J$99,C511),(INDEX('0.3.0 GO Calculation Values'!$K$2:$K$99,MATCH(C511,'0.3.0 GO Calculation Values'!$J$2:$J$99,0))),1)</f>
        <v>1</v>
      </c>
      <c r="T511" s="262" t="n">
        <f aca="false">ROUND(ROUND(2*((7/8)*MAX(L511,N511)+(1/8)*MIN(L511,N511)),0)*(1+(P511-75)/500),0)</f>
        <v>125</v>
      </c>
      <c r="U511" s="262" t="n">
        <f aca="false">ROUND(ROUND(2*((5/8)*MAX(M511,O511)+(3/8)*MIN(M511,O511)),0)*(1+(P511-75)/500),0)</f>
        <v>142</v>
      </c>
      <c r="V511" s="361" t="n">
        <f aca="false">ROUNDDOWN(K511*1.75+50,0)</f>
        <v>85</v>
      </c>
      <c r="W511" s="261" t="n">
        <v>0</v>
      </c>
      <c r="X511" s="261" t="s">
        <v>60</v>
      </c>
      <c r="Y511" s="364" t="s">
        <v>566</v>
      </c>
      <c r="Z511" s="364" t="n">
        <v>5</v>
      </c>
      <c r="AA511" s="364"/>
      <c r="AB511" s="365"/>
      <c r="AC511" s="364"/>
      <c r="AD511" s="364"/>
      <c r="AE511" s="366"/>
      <c r="AF511" s="261" t="s">
        <v>1351</v>
      </c>
      <c r="AG511" s="261" t="s">
        <v>1352</v>
      </c>
      <c r="AH511" s="362" t="s">
        <v>1351</v>
      </c>
    </row>
    <row r="512" customFormat="false" ht="15.75" hidden="false" customHeight="false" outlineLevel="0" collapsed="false">
      <c r="A512" s="262" t="n">
        <v>440</v>
      </c>
      <c r="B512" s="361" t="n">
        <v>510</v>
      </c>
      <c r="C512" s="261" t="s">
        <v>545</v>
      </c>
      <c r="D512" s="261" t="s">
        <v>60</v>
      </c>
      <c r="E512" s="362" t="s">
        <v>545</v>
      </c>
      <c r="F512" s="261" t="s">
        <v>1237</v>
      </c>
      <c r="G512" s="261" t="s">
        <v>693</v>
      </c>
      <c r="H512" s="261" t="n">
        <v>0</v>
      </c>
      <c r="I512" s="261" t="n">
        <v>1</v>
      </c>
      <c r="J512" s="361" t="n">
        <v>0</v>
      </c>
      <c r="K512" s="262" t="n">
        <v>100</v>
      </c>
      <c r="L512" s="262" t="n">
        <v>5</v>
      </c>
      <c r="M512" s="262" t="n">
        <v>5</v>
      </c>
      <c r="N512" s="262" t="n">
        <v>15</v>
      </c>
      <c r="O512" s="262" t="n">
        <v>65</v>
      </c>
      <c r="P512" s="361" t="n">
        <v>30</v>
      </c>
      <c r="Q512" s="261" t="s">
        <v>144</v>
      </c>
      <c r="R512" s="261"/>
      <c r="S512" s="363" t="n">
        <f aca="false" t="array" ref="S512:S512">IF(COUNTIF('0.3.0 GO Calculation Values'!$J$2:$J$99,C512),(INDEX('0.3.0 GO Calculation Values'!$K$2:$K$99,MATCH(C512,'0.3.0 GO Calculation Values'!$J$2:$J$99,0))),1)</f>
        <v>1</v>
      </c>
      <c r="T512" s="262" t="n">
        <f aca="false">ROUND(ROUND(2*((7/8)*MAX(L512,N512)+(1/8)*MIN(L512,N512)),0)*(1+(P512-75)/500),0)</f>
        <v>25</v>
      </c>
      <c r="U512" s="262" t="n">
        <f aca="false">ROUND(ROUND(2*((5/8)*MAX(M512,O512)+(3/8)*MIN(M512,O512)),0)*(1+(P512-75)/500),0)</f>
        <v>77</v>
      </c>
      <c r="V512" s="361" t="n">
        <f aca="false">ROUNDDOWN(K512*1.75+50,0)</f>
        <v>225</v>
      </c>
      <c r="W512" s="261" t="n">
        <v>0</v>
      </c>
      <c r="X512" s="261" t="s">
        <v>60</v>
      </c>
      <c r="Y512" s="364" t="s">
        <v>544</v>
      </c>
      <c r="Z512" s="364" t="n">
        <v>5</v>
      </c>
      <c r="AA512" s="364"/>
      <c r="AB512" s="365"/>
      <c r="AC512" s="364"/>
      <c r="AD512" s="364"/>
      <c r="AE512" s="366"/>
      <c r="AF512" s="364" t="s">
        <v>1353</v>
      </c>
      <c r="AG512" s="364" t="s">
        <v>1353</v>
      </c>
      <c r="AH512" s="366" t="s">
        <v>1353</v>
      </c>
    </row>
    <row r="513" customFormat="false" ht="15.75" hidden="false" customHeight="false" outlineLevel="0" collapsed="false">
      <c r="A513" s="262" t="n">
        <v>441</v>
      </c>
      <c r="B513" s="361" t="n">
        <v>511</v>
      </c>
      <c r="C513" s="261" t="s">
        <v>1354</v>
      </c>
      <c r="D513" s="261" t="s">
        <v>60</v>
      </c>
      <c r="E513" s="362" t="s">
        <v>1354</v>
      </c>
      <c r="F513" s="261" t="s">
        <v>1237</v>
      </c>
      <c r="G513" s="261" t="s">
        <v>144</v>
      </c>
      <c r="H513" s="261" t="n">
        <v>0</v>
      </c>
      <c r="I513" s="261" t="n">
        <v>1</v>
      </c>
      <c r="J513" s="361" t="n">
        <v>1</v>
      </c>
      <c r="K513" s="262" t="n">
        <v>76</v>
      </c>
      <c r="L513" s="262" t="n">
        <v>65</v>
      </c>
      <c r="M513" s="262" t="n">
        <v>45</v>
      </c>
      <c r="N513" s="262" t="n">
        <v>92</v>
      </c>
      <c r="O513" s="262" t="n">
        <v>42</v>
      </c>
      <c r="P513" s="361" t="n">
        <v>91</v>
      </c>
      <c r="Q513" s="261" t="s">
        <v>144</v>
      </c>
      <c r="R513" s="261" t="s">
        <v>146</v>
      </c>
      <c r="S513" s="363" t="n">
        <f aca="false" t="array" ref="S513:S513">IF(COUNTIF('0.3.0 GO Calculation Values'!$J$2:$J$99,C513),(INDEX('0.3.0 GO Calculation Values'!$K$2:$K$99,MATCH(C513,'0.3.0 GO Calculation Values'!$J$2:$J$99,0))),1)</f>
        <v>1</v>
      </c>
      <c r="T513" s="262" t="n">
        <f aca="false">ROUND(ROUND(2*((7/8)*MAX(L513,N513)+(1/8)*MIN(L513,N513)),0)*(1+(P513-75)/500),0)</f>
        <v>183</v>
      </c>
      <c r="U513" s="262" t="n">
        <f aca="false">ROUND(ROUND(2*((5/8)*MAX(M513,O513)+(3/8)*MIN(M513,O513)),0)*(1+(P513-75)/500),0)</f>
        <v>91</v>
      </c>
      <c r="V513" s="361" t="n">
        <f aca="false">ROUNDDOWN(K513*1.75+50,0)</f>
        <v>183</v>
      </c>
      <c r="W513" s="261" t="n">
        <v>0</v>
      </c>
      <c r="X513" s="261" t="s">
        <v>60</v>
      </c>
      <c r="Y513" s="364" t="s">
        <v>1354</v>
      </c>
      <c r="Z513" s="364"/>
      <c r="AA513" s="364"/>
      <c r="AB513" s="365"/>
      <c r="AC513" s="364"/>
      <c r="AD513" s="364"/>
      <c r="AE513" s="366"/>
      <c r="AF513" s="364" t="s">
        <v>1355</v>
      </c>
      <c r="AG513" s="364" t="s">
        <v>1355</v>
      </c>
      <c r="AH513" s="366" t="s">
        <v>1355</v>
      </c>
    </row>
    <row r="514" customFormat="false" ht="15.75" hidden="false" customHeight="false" outlineLevel="0" collapsed="false">
      <c r="A514" s="262" t="n">
        <v>442</v>
      </c>
      <c r="B514" s="361" t="n">
        <v>512</v>
      </c>
      <c r="C514" s="261" t="s">
        <v>1356</v>
      </c>
      <c r="D514" s="261" t="s">
        <v>60</v>
      </c>
      <c r="E514" s="362" t="s">
        <v>1356</v>
      </c>
      <c r="F514" s="261" t="s">
        <v>1237</v>
      </c>
      <c r="G514" s="261" t="s">
        <v>144</v>
      </c>
      <c r="H514" s="261" t="n">
        <v>0</v>
      </c>
      <c r="I514" s="261" t="n">
        <v>1</v>
      </c>
      <c r="J514" s="361" t="n">
        <v>1</v>
      </c>
      <c r="K514" s="262" t="n">
        <v>50</v>
      </c>
      <c r="L514" s="262" t="n">
        <v>92</v>
      </c>
      <c r="M514" s="262" t="n">
        <v>108</v>
      </c>
      <c r="N514" s="262" t="n">
        <v>92</v>
      </c>
      <c r="O514" s="262" t="n">
        <v>108</v>
      </c>
      <c r="P514" s="361" t="n">
        <v>35</v>
      </c>
      <c r="Q514" s="261" t="s">
        <v>151</v>
      </c>
      <c r="R514" s="261" t="s">
        <v>160</v>
      </c>
      <c r="S514" s="363" t="n">
        <f aca="false" t="array" ref="S514:S514">IF(COUNTIF('0.3.0 GO Calculation Values'!$J$2:$J$99,C514),(INDEX('0.3.0 GO Calculation Values'!$K$2:$K$99,MATCH(C514,'0.3.0 GO Calculation Values'!$J$2:$J$99,0))),1)</f>
        <v>1</v>
      </c>
      <c r="T514" s="262" t="n">
        <f aca="false">ROUND(ROUND(2*((7/8)*MAX(L514,N514)+(1/8)*MIN(L514,N514)),0)*(1+(P514-75)/500),0)</f>
        <v>169</v>
      </c>
      <c r="U514" s="262" t="n">
        <f aca="false">ROUND(ROUND(2*((5/8)*MAX(M514,O514)+(3/8)*MIN(M514,O514)),0)*(1+(P514-75)/500),0)</f>
        <v>199</v>
      </c>
      <c r="V514" s="361" t="n">
        <f aca="false">ROUNDDOWN(K514*1.75+50,0)</f>
        <v>137</v>
      </c>
      <c r="W514" s="261" t="n">
        <v>0</v>
      </c>
      <c r="X514" s="261" t="s">
        <v>60</v>
      </c>
      <c r="Y514" s="364" t="s">
        <v>1356</v>
      </c>
      <c r="Z514" s="364"/>
      <c r="AA514" s="364"/>
      <c r="AB514" s="365"/>
      <c r="AC514" s="364"/>
      <c r="AD514" s="364"/>
      <c r="AE514" s="366"/>
      <c r="AF514" s="364" t="s">
        <v>1357</v>
      </c>
      <c r="AG514" s="364" t="s">
        <v>1357</v>
      </c>
      <c r="AH514" s="366" t="s">
        <v>1357</v>
      </c>
    </row>
    <row r="515" customFormat="false" ht="15.75" hidden="false" customHeight="false" outlineLevel="0" collapsed="false">
      <c r="A515" s="262" t="n">
        <v>443</v>
      </c>
      <c r="B515" s="361" t="n">
        <v>513</v>
      </c>
      <c r="C515" s="261" t="s">
        <v>1358</v>
      </c>
      <c r="D515" s="261" t="s">
        <v>60</v>
      </c>
      <c r="E515" s="362" t="s">
        <v>1358</v>
      </c>
      <c r="F515" s="261" t="s">
        <v>1237</v>
      </c>
      <c r="G515" s="261" t="s">
        <v>632</v>
      </c>
      <c r="H515" s="261" t="n">
        <v>0</v>
      </c>
      <c r="I515" s="261" t="n">
        <v>1</v>
      </c>
      <c r="J515" s="361" t="n">
        <v>0</v>
      </c>
      <c r="K515" s="262" t="n">
        <v>58</v>
      </c>
      <c r="L515" s="262" t="n">
        <v>70</v>
      </c>
      <c r="M515" s="262" t="n">
        <v>45</v>
      </c>
      <c r="N515" s="262" t="n">
        <v>40</v>
      </c>
      <c r="O515" s="262" t="n">
        <v>45</v>
      </c>
      <c r="P515" s="361" t="n">
        <v>42</v>
      </c>
      <c r="Q515" s="261" t="s">
        <v>159</v>
      </c>
      <c r="R515" s="261" t="s">
        <v>148</v>
      </c>
      <c r="S515" s="363" t="n">
        <f aca="false" t="array" ref="S515:S515">IF(COUNTIF('0.3.0 GO Calculation Values'!$J$2:$J$99,C515),(INDEX('0.3.0 GO Calculation Values'!$K$2:$K$99,MATCH(C515,'0.3.0 GO Calculation Values'!$J$2:$J$99,0))),1)</f>
        <v>1</v>
      </c>
      <c r="T515" s="262" t="n">
        <f aca="false">ROUND(ROUND(2*((7/8)*MAX(L515,N515)+(1/8)*MIN(L515,N515)),0)*(1+(P515-75)/500),0)</f>
        <v>124</v>
      </c>
      <c r="U515" s="262" t="n">
        <f aca="false">ROUND(ROUND(2*((5/8)*MAX(M515,O515)+(3/8)*MIN(M515,O515)),0)*(1+(P515-75)/500),0)</f>
        <v>84</v>
      </c>
      <c r="V515" s="361" t="n">
        <f aca="false">ROUNDDOWN(K515*1.75+50,0)</f>
        <v>151</v>
      </c>
      <c r="W515" s="261" t="n">
        <v>0</v>
      </c>
      <c r="X515" s="261" t="s">
        <v>60</v>
      </c>
      <c r="Y515" s="364" t="s">
        <v>1358</v>
      </c>
      <c r="Z515" s="364"/>
      <c r="AA515" s="364"/>
      <c r="AB515" s="365"/>
      <c r="AC515" s="364"/>
      <c r="AD515" s="364"/>
      <c r="AE515" s="366"/>
      <c r="AF515" s="364" t="s">
        <v>1359</v>
      </c>
      <c r="AG515" s="364" t="s">
        <v>1359</v>
      </c>
      <c r="AH515" s="366" t="s">
        <v>1359</v>
      </c>
    </row>
    <row r="516" customFormat="false" ht="15.75" hidden="false" customHeight="false" outlineLevel="0" collapsed="false">
      <c r="A516" s="262" t="n">
        <v>444</v>
      </c>
      <c r="B516" s="361" t="n">
        <v>514</v>
      </c>
      <c r="C516" s="261" t="s">
        <v>1360</v>
      </c>
      <c r="D516" s="261" t="s">
        <v>60</v>
      </c>
      <c r="E516" s="362" t="s">
        <v>1360</v>
      </c>
      <c r="F516" s="261" t="s">
        <v>1237</v>
      </c>
      <c r="G516" s="261" t="s">
        <v>632</v>
      </c>
      <c r="H516" s="261" t="n">
        <v>0</v>
      </c>
      <c r="I516" s="261" t="n">
        <v>2</v>
      </c>
      <c r="J516" s="361" t="n">
        <v>0</v>
      </c>
      <c r="K516" s="262" t="n">
        <v>68</v>
      </c>
      <c r="L516" s="262" t="n">
        <v>90</v>
      </c>
      <c r="M516" s="262" t="n">
        <v>65</v>
      </c>
      <c r="N516" s="262" t="n">
        <v>50</v>
      </c>
      <c r="O516" s="262" t="n">
        <v>55</v>
      </c>
      <c r="P516" s="361" t="n">
        <v>82</v>
      </c>
      <c r="Q516" s="261" t="s">
        <v>159</v>
      </c>
      <c r="R516" s="261" t="s">
        <v>148</v>
      </c>
      <c r="S516" s="363" t="n">
        <f aca="false" t="array" ref="S516:S516">IF(COUNTIF('0.3.0 GO Calculation Values'!$J$2:$J$99,C516),(INDEX('0.3.0 GO Calculation Values'!$K$2:$K$99,MATCH(C516,'0.3.0 GO Calculation Values'!$J$2:$J$99,0))),1)</f>
        <v>1</v>
      </c>
      <c r="T516" s="262" t="n">
        <f aca="false">ROUND(ROUND(2*((7/8)*MAX(L516,N516)+(1/8)*MIN(L516,N516)),0)*(1+(P516-75)/500),0)</f>
        <v>172</v>
      </c>
      <c r="U516" s="262" t="n">
        <f aca="false">ROUND(ROUND(2*((5/8)*MAX(M516,O516)+(3/8)*MIN(M516,O516)),0)*(1+(P516-75)/500),0)</f>
        <v>125</v>
      </c>
      <c r="V516" s="361" t="n">
        <f aca="false">ROUNDDOWN(K516*1.75+50,0)</f>
        <v>169</v>
      </c>
      <c r="W516" s="261" t="n">
        <v>0</v>
      </c>
      <c r="X516" s="261" t="s">
        <v>1358</v>
      </c>
      <c r="Y516" s="364" t="s">
        <v>1358</v>
      </c>
      <c r="Z516" s="364"/>
      <c r="AA516" s="364"/>
      <c r="AB516" s="365"/>
      <c r="AC516" s="364"/>
      <c r="AD516" s="364"/>
      <c r="AE516" s="366"/>
      <c r="AF516" s="364" t="s">
        <v>1361</v>
      </c>
      <c r="AG516" s="364" t="s">
        <v>1361</v>
      </c>
      <c r="AH516" s="366" t="s">
        <v>1361</v>
      </c>
    </row>
    <row r="517" customFormat="false" ht="15.75" hidden="false" customHeight="false" outlineLevel="0" collapsed="false">
      <c r="A517" s="262" t="n">
        <v>445</v>
      </c>
      <c r="B517" s="361" t="n">
        <v>515</v>
      </c>
      <c r="C517" s="261" t="s">
        <v>1362</v>
      </c>
      <c r="D517" s="261" t="s">
        <v>7</v>
      </c>
      <c r="E517" s="367" t="s">
        <v>1362</v>
      </c>
      <c r="F517" s="261" t="s">
        <v>1237</v>
      </c>
      <c r="G517" s="261" t="s">
        <v>632</v>
      </c>
      <c r="H517" s="261" t="n">
        <v>0</v>
      </c>
      <c r="I517" s="261" t="n">
        <v>3</v>
      </c>
      <c r="J517" s="361" t="n">
        <v>1</v>
      </c>
      <c r="K517" s="262" t="n">
        <v>108</v>
      </c>
      <c r="L517" s="262" t="n">
        <v>130</v>
      </c>
      <c r="M517" s="262" t="n">
        <v>95</v>
      </c>
      <c r="N517" s="262" t="n">
        <v>80</v>
      </c>
      <c r="O517" s="262" t="n">
        <v>85</v>
      </c>
      <c r="P517" s="361" t="n">
        <v>102</v>
      </c>
      <c r="Q517" s="261" t="s">
        <v>159</v>
      </c>
      <c r="R517" s="261" t="s">
        <v>148</v>
      </c>
      <c r="S517" s="363" t="n">
        <f aca="false" t="array" ref="S517:S517">IF(COUNTIF('0.3.0 GO Calculation Values'!$J$2:$J$99,C517),(INDEX('0.3.0 GO Calculation Values'!$K$2:$K$99,MATCH(C517,'0.3.0 GO Calculation Values'!$J$2:$J$99,0))),1)</f>
        <v>1</v>
      </c>
      <c r="T517" s="262" t="n">
        <f aca="false">ROUND(ROUND(2*((7/8)*MAX(L517,N517)+(1/8)*MIN(L517,N517)),0)*(1+(P517-75)/500),0)</f>
        <v>261</v>
      </c>
      <c r="U517" s="262" t="n">
        <f aca="false">ROUND(ROUND(2*((5/8)*MAX(M517,O517)+(3/8)*MIN(M517,O517)),0)*(1+(P517-75)/500),0)</f>
        <v>193</v>
      </c>
      <c r="V517" s="361" t="n">
        <f aca="false">ROUNDDOWN(K517*1.75+50,0)</f>
        <v>239</v>
      </c>
      <c r="W517" s="261" t="n">
        <v>0</v>
      </c>
      <c r="X517" s="261" t="s">
        <v>1360</v>
      </c>
      <c r="Y517" s="364" t="s">
        <v>1358</v>
      </c>
      <c r="Z517" s="364"/>
      <c r="AA517" s="364"/>
      <c r="AB517" s="365"/>
      <c r="AC517" s="364"/>
      <c r="AD517" s="364"/>
      <c r="AE517" s="366"/>
      <c r="AF517" s="364" t="s">
        <v>1363</v>
      </c>
      <c r="AG517" s="364" t="s">
        <v>1363</v>
      </c>
      <c r="AH517" s="366" t="s">
        <v>1363</v>
      </c>
    </row>
    <row r="518" customFormat="false" ht="15.75" hidden="false" customHeight="false" outlineLevel="0" collapsed="false">
      <c r="A518" s="262" t="n">
        <v>445</v>
      </c>
      <c r="B518" s="361" t="n">
        <v>516</v>
      </c>
      <c r="C518" s="261" t="s">
        <v>1362</v>
      </c>
      <c r="D518" s="261" t="s">
        <v>1364</v>
      </c>
      <c r="E518" s="358" t="s">
        <v>1365</v>
      </c>
      <c r="F518" s="261" t="s">
        <v>1331</v>
      </c>
      <c r="G518" s="261" t="s">
        <v>632</v>
      </c>
      <c r="H518" s="261" t="n">
        <v>2</v>
      </c>
      <c r="I518" s="261" t="n">
        <v>3</v>
      </c>
      <c r="J518" s="361" t="n">
        <v>1</v>
      </c>
      <c r="K518" s="262" t="n">
        <v>108</v>
      </c>
      <c r="L518" s="262" t="n">
        <v>170</v>
      </c>
      <c r="M518" s="262" t="n">
        <v>115</v>
      </c>
      <c r="N518" s="262" t="n">
        <v>120</v>
      </c>
      <c r="O518" s="262" t="n">
        <v>95</v>
      </c>
      <c r="P518" s="361" t="n">
        <v>92</v>
      </c>
      <c r="Q518" s="261" t="s">
        <v>159</v>
      </c>
      <c r="R518" s="261" t="s">
        <v>148</v>
      </c>
      <c r="S518" s="363" t="n">
        <f aca="false" t="array" ref="S518:S518">IF(COUNTIF('0.3.0 GO Calculation Values'!$J$2:$J$99,C518),(INDEX('0.3.0 GO Calculation Values'!$K$2:$K$99,MATCH(C518,'0.3.0 GO Calculation Values'!$J$2:$J$99,0))),1)</f>
        <v>1</v>
      </c>
      <c r="T518" s="262" t="n">
        <f aca="false">ROUND(ROUND(2*((7/8)*MAX(L518,N518)+(1/8)*MIN(L518,N518)),0)*(1+(P518-75)/500),0)</f>
        <v>339</v>
      </c>
      <c r="U518" s="262" t="n">
        <f aca="false">ROUND(ROUND(2*((5/8)*MAX(M518,O518)+(3/8)*MIN(M518,O518)),0)*(1+(P518-75)/500),0)</f>
        <v>222</v>
      </c>
      <c r="V518" s="361" t="n">
        <f aca="false">ROUNDDOWN(K518*1.75+50,0)</f>
        <v>239</v>
      </c>
      <c r="W518" s="261" t="n">
        <v>0</v>
      </c>
      <c r="X518" s="261" t="s">
        <v>1362</v>
      </c>
      <c r="Y518" s="364" t="s">
        <v>1358</v>
      </c>
      <c r="Z518" s="364"/>
      <c r="AA518" s="364"/>
      <c r="AB518" s="365"/>
      <c r="AC518" s="364"/>
      <c r="AD518" s="364"/>
      <c r="AE518" s="366"/>
      <c r="AF518" s="364" t="s">
        <v>1366</v>
      </c>
      <c r="AG518" s="364" t="s">
        <v>1366</v>
      </c>
      <c r="AH518" s="366" t="s">
        <v>1366</v>
      </c>
    </row>
    <row r="519" customFormat="false" ht="15.75" hidden="false" customHeight="false" outlineLevel="0" collapsed="false">
      <c r="A519" s="262" t="n">
        <v>446</v>
      </c>
      <c r="B519" s="361" t="n">
        <v>517</v>
      </c>
      <c r="C519" s="261" t="s">
        <v>622</v>
      </c>
      <c r="D519" s="261" t="s">
        <v>60</v>
      </c>
      <c r="E519" s="362" t="s">
        <v>622</v>
      </c>
      <c r="F519" s="261" t="s">
        <v>1237</v>
      </c>
      <c r="G519" s="261" t="s">
        <v>693</v>
      </c>
      <c r="H519" s="261" t="n">
        <v>0</v>
      </c>
      <c r="I519" s="261" t="n">
        <v>1</v>
      </c>
      <c r="J519" s="361" t="n">
        <v>0</v>
      </c>
      <c r="K519" s="262" t="n">
        <v>135</v>
      </c>
      <c r="L519" s="262" t="n">
        <v>85</v>
      </c>
      <c r="M519" s="262" t="n">
        <v>40</v>
      </c>
      <c r="N519" s="262" t="n">
        <v>40</v>
      </c>
      <c r="O519" s="262" t="n">
        <v>85</v>
      </c>
      <c r="P519" s="361" t="n">
        <v>5</v>
      </c>
      <c r="Q519" s="261" t="s">
        <v>144</v>
      </c>
      <c r="R519" s="261"/>
      <c r="S519" s="363" t="n">
        <f aca="false" t="array" ref="S519:S519">IF(COUNTIF('0.3.0 GO Calculation Values'!$J$2:$J$99,C519),(INDEX('0.3.0 GO Calculation Values'!$K$2:$K$99,MATCH(C519,'0.3.0 GO Calculation Values'!$J$2:$J$99,0))),1)</f>
        <v>1</v>
      </c>
      <c r="T519" s="262" t="n">
        <f aca="false">ROUND(ROUND(2*((7/8)*MAX(L519,N519)+(1/8)*MIN(L519,N519)),0)*(1+(P519-75)/500),0)</f>
        <v>137</v>
      </c>
      <c r="U519" s="262" t="n">
        <f aca="false">ROUND(ROUND(2*((5/8)*MAX(M519,O519)+(3/8)*MIN(M519,O519)),0)*(1+(P519-75)/500),0)</f>
        <v>117</v>
      </c>
      <c r="V519" s="361" t="n">
        <f aca="false">ROUNDDOWN(K519*1.75+50,0)</f>
        <v>286</v>
      </c>
      <c r="W519" s="261" t="n">
        <v>0</v>
      </c>
      <c r="X519" s="261" t="s">
        <v>60</v>
      </c>
      <c r="Y519" s="364" t="s">
        <v>621</v>
      </c>
      <c r="Z519" s="364" t="n">
        <v>5</v>
      </c>
      <c r="AA519" s="364"/>
      <c r="AB519" s="365"/>
      <c r="AC519" s="364"/>
      <c r="AD519" s="364"/>
      <c r="AE519" s="366"/>
      <c r="AF519" s="364" t="s">
        <v>1367</v>
      </c>
      <c r="AG519" s="364" t="s">
        <v>1367</v>
      </c>
      <c r="AH519" s="366" t="s">
        <v>1367</v>
      </c>
    </row>
    <row r="520" customFormat="false" ht="15.75" hidden="false" customHeight="false" outlineLevel="0" collapsed="false">
      <c r="A520" s="262" t="n">
        <v>447</v>
      </c>
      <c r="B520" s="361" t="n">
        <v>518</v>
      </c>
      <c r="C520" s="261" t="s">
        <v>1368</v>
      </c>
      <c r="D520" s="261" t="s">
        <v>60</v>
      </c>
      <c r="E520" s="362" t="s">
        <v>1368</v>
      </c>
      <c r="F520" s="261" t="s">
        <v>1237</v>
      </c>
      <c r="G520" s="261" t="s">
        <v>693</v>
      </c>
      <c r="H520" s="261" t="n">
        <v>0</v>
      </c>
      <c r="I520" s="261" t="n">
        <v>1</v>
      </c>
      <c r="J520" s="361" t="n">
        <v>0</v>
      </c>
      <c r="K520" s="262" t="n">
        <v>40</v>
      </c>
      <c r="L520" s="262" t="n">
        <v>70</v>
      </c>
      <c r="M520" s="262" t="n">
        <v>40</v>
      </c>
      <c r="N520" s="262" t="n">
        <v>35</v>
      </c>
      <c r="O520" s="262" t="n">
        <v>40</v>
      </c>
      <c r="P520" s="361" t="n">
        <v>60</v>
      </c>
      <c r="Q520" s="261" t="s">
        <v>145</v>
      </c>
      <c r="R520" s="261"/>
      <c r="S520" s="363" t="n">
        <f aca="false" t="array" ref="S520:S520">IF(COUNTIF('0.3.0 GO Calculation Values'!$J$2:$J$99,C520),(INDEX('0.3.0 GO Calculation Values'!$K$2:$K$99,MATCH(C520,'0.3.0 GO Calculation Values'!$J$2:$J$99,0))),1)</f>
        <v>1</v>
      </c>
      <c r="T520" s="262" t="n">
        <f aca="false">ROUND(ROUND(2*((7/8)*MAX(L520,N520)+(1/8)*MIN(L520,N520)),0)*(1+(P520-75)/500),0)</f>
        <v>127</v>
      </c>
      <c r="U520" s="262" t="n">
        <f aca="false">ROUND(ROUND(2*((5/8)*MAX(M520,O520)+(3/8)*MIN(M520,O520)),0)*(1+(P520-75)/500),0)</f>
        <v>78</v>
      </c>
      <c r="V520" s="361" t="n">
        <f aca="false">ROUNDDOWN(K520*1.75+50,0)</f>
        <v>120</v>
      </c>
      <c r="W520" s="261" t="n">
        <v>0</v>
      </c>
      <c r="X520" s="261" t="s">
        <v>60</v>
      </c>
      <c r="Y520" s="261" t="s">
        <v>1368</v>
      </c>
      <c r="Z520" s="364"/>
      <c r="AA520" s="364"/>
      <c r="AB520" s="365"/>
      <c r="AC520" s="364"/>
      <c r="AD520" s="364"/>
      <c r="AE520" s="366"/>
      <c r="AF520" s="364" t="s">
        <v>1369</v>
      </c>
      <c r="AG520" s="364" t="s">
        <v>1369</v>
      </c>
      <c r="AH520" s="366" t="s">
        <v>1369</v>
      </c>
    </row>
    <row r="521" customFormat="false" ht="15.75" hidden="false" customHeight="false" outlineLevel="0" collapsed="false">
      <c r="A521" s="262" t="n">
        <v>448</v>
      </c>
      <c r="B521" s="361" t="n">
        <v>519</v>
      </c>
      <c r="C521" s="261" t="s">
        <v>1370</v>
      </c>
      <c r="D521" s="261" t="s">
        <v>7</v>
      </c>
      <c r="E521" s="367" t="s">
        <v>1370</v>
      </c>
      <c r="F521" s="261" t="s">
        <v>1237</v>
      </c>
      <c r="G521" s="261" t="s">
        <v>144</v>
      </c>
      <c r="H521" s="261" t="n">
        <v>0</v>
      </c>
      <c r="I521" s="261" t="n">
        <v>2</v>
      </c>
      <c r="J521" s="361" t="n">
        <v>1</v>
      </c>
      <c r="K521" s="262" t="n">
        <v>70</v>
      </c>
      <c r="L521" s="262" t="n">
        <v>110</v>
      </c>
      <c r="M521" s="262" t="n">
        <v>70</v>
      </c>
      <c r="N521" s="262" t="n">
        <v>115</v>
      </c>
      <c r="O521" s="262" t="n">
        <v>70</v>
      </c>
      <c r="P521" s="361" t="n">
        <v>90</v>
      </c>
      <c r="Q521" s="261" t="s">
        <v>145</v>
      </c>
      <c r="R521" s="261" t="s">
        <v>152</v>
      </c>
      <c r="S521" s="363" t="n">
        <f aca="false" t="array" ref="S521:S521">IF(COUNTIF('0.3.0 GO Calculation Values'!$J$2:$J$99,C521),(INDEX('0.3.0 GO Calculation Values'!$K$2:$K$99,MATCH(C521,'0.3.0 GO Calculation Values'!$J$2:$J$99,0))),1)</f>
        <v>1</v>
      </c>
      <c r="T521" s="262" t="n">
        <f aca="false">ROUND(ROUND(2*((7/8)*MAX(L521,N521)+(1/8)*MIN(L521,N521)),0)*(1+(P521-75)/500),0)</f>
        <v>236</v>
      </c>
      <c r="U521" s="262" t="n">
        <f aca="false">ROUND(ROUND(2*((5/8)*MAX(M521,O521)+(3/8)*MIN(M521,O521)),0)*(1+(P521-75)/500),0)</f>
        <v>144</v>
      </c>
      <c r="V521" s="361" t="n">
        <f aca="false">ROUNDDOWN(K521*1.75+50,0)</f>
        <v>172</v>
      </c>
      <c r="W521" s="261" t="n">
        <v>0</v>
      </c>
      <c r="X521" s="261" t="s">
        <v>1368</v>
      </c>
      <c r="Y521" s="261" t="s">
        <v>1368</v>
      </c>
      <c r="Z521" s="364"/>
      <c r="AA521" s="364"/>
      <c r="AB521" s="365"/>
      <c r="AC521" s="364"/>
      <c r="AD521" s="364"/>
      <c r="AE521" s="366"/>
      <c r="AF521" s="364" t="s">
        <v>1371</v>
      </c>
      <c r="AG521" s="364" t="s">
        <v>1371</v>
      </c>
      <c r="AH521" s="366" t="s">
        <v>1371</v>
      </c>
    </row>
    <row r="522" customFormat="false" ht="15.75" hidden="false" customHeight="false" outlineLevel="0" collapsed="false">
      <c r="A522" s="262" t="n">
        <v>448</v>
      </c>
      <c r="B522" s="361" t="n">
        <v>520</v>
      </c>
      <c r="C522" s="261" t="s">
        <v>1370</v>
      </c>
      <c r="D522" s="261" t="s">
        <v>1372</v>
      </c>
      <c r="E522" s="358" t="s">
        <v>1373</v>
      </c>
      <c r="F522" s="261" t="s">
        <v>1331</v>
      </c>
      <c r="G522" s="261" t="s">
        <v>144</v>
      </c>
      <c r="H522" s="261" t="n">
        <v>2</v>
      </c>
      <c r="I522" s="261" t="n">
        <v>3</v>
      </c>
      <c r="J522" s="361" t="n">
        <v>1</v>
      </c>
      <c r="K522" s="262" t="n">
        <v>70</v>
      </c>
      <c r="L522" s="262" t="n">
        <v>145</v>
      </c>
      <c r="M522" s="262" t="n">
        <v>88</v>
      </c>
      <c r="N522" s="262" t="n">
        <v>140</v>
      </c>
      <c r="O522" s="262" t="n">
        <v>70</v>
      </c>
      <c r="P522" s="361" t="n">
        <v>112</v>
      </c>
      <c r="Q522" s="261" t="s">
        <v>145</v>
      </c>
      <c r="R522" s="261" t="s">
        <v>152</v>
      </c>
      <c r="S522" s="363" t="n">
        <f aca="false" t="array" ref="S522:S522">IF(COUNTIF('0.3.0 GO Calculation Values'!$J$2:$J$99,C522),(INDEX('0.3.0 GO Calculation Values'!$K$2:$K$99,MATCH(C522,'0.3.0 GO Calculation Values'!$J$2:$J$99,0))),1)</f>
        <v>1</v>
      </c>
      <c r="T522" s="262" t="n">
        <f aca="false">ROUND(ROUND(2*((7/8)*MAX(L522,N522)+(1/8)*MIN(L522,N522)),0)*(1+(P522-75)/500),0)</f>
        <v>310</v>
      </c>
      <c r="U522" s="262" t="n">
        <f aca="false">ROUND(ROUND(2*((5/8)*MAX(M522,O522)+(3/8)*MIN(M522,O522)),0)*(1+(P522-75)/500),0)</f>
        <v>175</v>
      </c>
      <c r="V522" s="361" t="n">
        <f aca="false">ROUNDDOWN(K522*1.75+50,0)</f>
        <v>172</v>
      </c>
      <c r="W522" s="261" t="n">
        <v>0</v>
      </c>
      <c r="X522" s="261" t="s">
        <v>1370</v>
      </c>
      <c r="Y522" s="261" t="s">
        <v>1368</v>
      </c>
      <c r="Z522" s="364"/>
      <c r="AA522" s="364"/>
      <c r="AB522" s="365"/>
      <c r="AC522" s="364"/>
      <c r="AD522" s="364"/>
      <c r="AE522" s="366"/>
      <c r="AF522" s="364" t="s">
        <v>1374</v>
      </c>
      <c r="AG522" s="364" t="s">
        <v>1374</v>
      </c>
      <c r="AH522" s="366" t="s">
        <v>1374</v>
      </c>
    </row>
    <row r="523" customFormat="false" ht="15.75" hidden="false" customHeight="false" outlineLevel="0" collapsed="false">
      <c r="A523" s="262" t="n">
        <v>449</v>
      </c>
      <c r="B523" s="361" t="n">
        <v>521</v>
      </c>
      <c r="C523" s="261" t="s">
        <v>1375</v>
      </c>
      <c r="D523" s="261" t="s">
        <v>60</v>
      </c>
      <c r="E523" s="362" t="s">
        <v>1375</v>
      </c>
      <c r="F523" s="261" t="s">
        <v>1237</v>
      </c>
      <c r="G523" s="261" t="s">
        <v>144</v>
      </c>
      <c r="H523" s="261" t="n">
        <v>0</v>
      </c>
      <c r="I523" s="261" t="n">
        <v>1</v>
      </c>
      <c r="J523" s="361" t="n">
        <v>0</v>
      </c>
      <c r="K523" s="262" t="n">
        <v>68</v>
      </c>
      <c r="L523" s="262" t="n">
        <v>72</v>
      </c>
      <c r="M523" s="262" t="n">
        <v>78</v>
      </c>
      <c r="N523" s="262" t="n">
        <v>38</v>
      </c>
      <c r="O523" s="262" t="n">
        <v>42</v>
      </c>
      <c r="P523" s="361" t="n">
        <v>32</v>
      </c>
      <c r="Q523" s="261" t="s">
        <v>148</v>
      </c>
      <c r="R523" s="261"/>
      <c r="S523" s="363" t="n">
        <f aca="false" t="array" ref="S523:S523">IF(COUNTIF('0.3.0 GO Calculation Values'!$J$2:$J$99,C523),(INDEX('0.3.0 GO Calculation Values'!$K$2:$K$99,MATCH(C523,'0.3.0 GO Calculation Values'!$J$2:$J$99,0))),1)</f>
        <v>1</v>
      </c>
      <c r="T523" s="262" t="n">
        <f aca="false">ROUND(ROUND(2*((7/8)*MAX(L523,N523)+(1/8)*MIN(L523,N523)),0)*(1+(P523-75)/500),0)</f>
        <v>124</v>
      </c>
      <c r="U523" s="262" t="n">
        <f aca="false">ROUND(ROUND(2*((5/8)*MAX(M523,O523)+(3/8)*MIN(M523,O523)),0)*(1+(P523-75)/500),0)</f>
        <v>118</v>
      </c>
      <c r="V523" s="361" t="n">
        <f aca="false">ROUNDDOWN(K523*1.75+50,0)</f>
        <v>169</v>
      </c>
      <c r="W523" s="261" t="n">
        <v>0</v>
      </c>
      <c r="X523" s="261" t="s">
        <v>60</v>
      </c>
      <c r="Y523" s="364" t="s">
        <v>1375</v>
      </c>
      <c r="Z523" s="364"/>
      <c r="AA523" s="364"/>
      <c r="AB523" s="365"/>
      <c r="AC523" s="364"/>
      <c r="AD523" s="364"/>
      <c r="AE523" s="366"/>
      <c r="AF523" s="364" t="s">
        <v>1376</v>
      </c>
      <c r="AG523" s="364" t="s">
        <v>1376</v>
      </c>
      <c r="AH523" s="366" t="s">
        <v>1376</v>
      </c>
    </row>
    <row r="524" customFormat="false" ht="15.75" hidden="false" customHeight="false" outlineLevel="0" collapsed="false">
      <c r="A524" s="262" t="n">
        <v>450</v>
      </c>
      <c r="B524" s="361" t="n">
        <v>522</v>
      </c>
      <c r="C524" s="261" t="s">
        <v>1377</v>
      </c>
      <c r="D524" s="261" t="s">
        <v>60</v>
      </c>
      <c r="E524" s="362" t="s">
        <v>1377</v>
      </c>
      <c r="F524" s="261" t="s">
        <v>1237</v>
      </c>
      <c r="G524" s="261" t="s">
        <v>144</v>
      </c>
      <c r="H524" s="261" t="n">
        <v>0</v>
      </c>
      <c r="I524" s="261" t="n">
        <v>2</v>
      </c>
      <c r="J524" s="361" t="n">
        <v>1</v>
      </c>
      <c r="K524" s="262" t="n">
        <v>108</v>
      </c>
      <c r="L524" s="262" t="n">
        <v>112</v>
      </c>
      <c r="M524" s="262" t="n">
        <v>118</v>
      </c>
      <c r="N524" s="262" t="n">
        <v>68</v>
      </c>
      <c r="O524" s="262" t="n">
        <v>72</v>
      </c>
      <c r="P524" s="361" t="n">
        <v>47</v>
      </c>
      <c r="Q524" s="261" t="s">
        <v>148</v>
      </c>
      <c r="R524" s="261"/>
      <c r="S524" s="363" t="n">
        <f aca="false" t="array" ref="S524:S524">IF(COUNTIF('0.3.0 GO Calculation Values'!$J$2:$J$99,C524),(INDEX('0.3.0 GO Calculation Values'!$K$2:$K$99,MATCH(C524,'0.3.0 GO Calculation Values'!$J$2:$J$99,0))),1)</f>
        <v>1</v>
      </c>
      <c r="T524" s="262" t="n">
        <f aca="false">ROUND(ROUND(2*((7/8)*MAX(L524,N524)+(1/8)*MIN(L524,N524)),0)*(1+(P524-75)/500),0)</f>
        <v>201</v>
      </c>
      <c r="U524" s="262" t="n">
        <f aca="false">ROUND(ROUND(2*((5/8)*MAX(M524,O524)+(3/8)*MIN(M524,O524)),0)*(1+(P524-75)/500),0)</f>
        <v>191</v>
      </c>
      <c r="V524" s="361" t="n">
        <f aca="false">ROUNDDOWN(K524*1.75+50,0)</f>
        <v>239</v>
      </c>
      <c r="W524" s="261" t="n">
        <v>0</v>
      </c>
      <c r="X524" s="261" t="s">
        <v>1375</v>
      </c>
      <c r="Y524" s="364" t="s">
        <v>1375</v>
      </c>
      <c r="Z524" s="364"/>
      <c r="AA524" s="364"/>
      <c r="AB524" s="365"/>
      <c r="AC524" s="364"/>
      <c r="AD524" s="364"/>
      <c r="AE524" s="366"/>
      <c r="AF524" s="364" t="s">
        <v>1378</v>
      </c>
      <c r="AG524" s="364" t="s">
        <v>1378</v>
      </c>
      <c r="AH524" s="366" t="s">
        <v>1378</v>
      </c>
    </row>
    <row r="525" customFormat="false" ht="15.75" hidden="false" customHeight="false" outlineLevel="0" collapsed="false">
      <c r="A525" s="262" t="n">
        <v>451</v>
      </c>
      <c r="B525" s="361" t="n">
        <v>523</v>
      </c>
      <c r="C525" s="261" t="s">
        <v>1379</v>
      </c>
      <c r="D525" s="261" t="s">
        <v>60</v>
      </c>
      <c r="E525" s="362" t="s">
        <v>1379</v>
      </c>
      <c r="F525" s="261" t="s">
        <v>1237</v>
      </c>
      <c r="G525" s="261" t="s">
        <v>144</v>
      </c>
      <c r="H525" s="261" t="n">
        <v>0</v>
      </c>
      <c r="I525" s="261" t="n">
        <v>1</v>
      </c>
      <c r="J525" s="361" t="n">
        <v>0</v>
      </c>
      <c r="K525" s="262" t="n">
        <v>40</v>
      </c>
      <c r="L525" s="262" t="n">
        <v>50</v>
      </c>
      <c r="M525" s="262" t="n">
        <v>90</v>
      </c>
      <c r="N525" s="262" t="n">
        <v>30</v>
      </c>
      <c r="O525" s="262" t="n">
        <v>55</v>
      </c>
      <c r="P525" s="361" t="n">
        <v>65</v>
      </c>
      <c r="Q525" s="261" t="s">
        <v>147</v>
      </c>
      <c r="R525" s="261" t="s">
        <v>150</v>
      </c>
      <c r="S525" s="363" t="n">
        <f aca="false" t="array" ref="S525:S525">IF(COUNTIF('0.3.0 GO Calculation Values'!$J$2:$J$99,C525),(INDEX('0.3.0 GO Calculation Values'!$K$2:$K$99,MATCH(C525,'0.3.0 GO Calculation Values'!$J$2:$J$99,0))),1)</f>
        <v>1</v>
      </c>
      <c r="T525" s="262" t="n">
        <f aca="false">ROUND(ROUND(2*((7/8)*MAX(L525,N525)+(1/8)*MIN(L525,N525)),0)*(1+(P525-75)/500),0)</f>
        <v>93</v>
      </c>
      <c r="U525" s="262" t="n">
        <f aca="false">ROUND(ROUND(2*((5/8)*MAX(M525,O525)+(3/8)*MIN(M525,O525)),0)*(1+(P525-75)/500),0)</f>
        <v>151</v>
      </c>
      <c r="V525" s="361" t="n">
        <f aca="false">ROUNDDOWN(K525*1.75+50,0)</f>
        <v>120</v>
      </c>
      <c r="W525" s="261" t="n">
        <v>0</v>
      </c>
      <c r="X525" s="261" t="s">
        <v>60</v>
      </c>
      <c r="Y525" s="364" t="s">
        <v>1379</v>
      </c>
      <c r="Z525" s="364"/>
      <c r="AA525" s="364"/>
      <c r="AB525" s="365"/>
      <c r="AC525" s="364"/>
      <c r="AD525" s="364"/>
      <c r="AE525" s="366"/>
      <c r="AF525" s="364" t="s">
        <v>1380</v>
      </c>
      <c r="AG525" s="364" t="s">
        <v>1380</v>
      </c>
      <c r="AH525" s="366" t="s">
        <v>1380</v>
      </c>
    </row>
    <row r="526" customFormat="false" ht="15.75" hidden="false" customHeight="false" outlineLevel="0" collapsed="false">
      <c r="A526" s="262" t="n">
        <v>452</v>
      </c>
      <c r="B526" s="361" t="n">
        <v>524</v>
      </c>
      <c r="C526" s="261" t="s">
        <v>1381</v>
      </c>
      <c r="D526" s="261" t="s">
        <v>60</v>
      </c>
      <c r="E526" s="362" t="s">
        <v>1381</v>
      </c>
      <c r="F526" s="261" t="s">
        <v>1237</v>
      </c>
      <c r="G526" s="261" t="s">
        <v>144</v>
      </c>
      <c r="H526" s="261" t="n">
        <v>0</v>
      </c>
      <c r="I526" s="261" t="n">
        <v>2</v>
      </c>
      <c r="J526" s="361" t="n">
        <v>1</v>
      </c>
      <c r="K526" s="262" t="n">
        <v>70</v>
      </c>
      <c r="L526" s="262" t="n">
        <v>90</v>
      </c>
      <c r="M526" s="262" t="n">
        <v>110</v>
      </c>
      <c r="N526" s="262" t="n">
        <v>60</v>
      </c>
      <c r="O526" s="262" t="n">
        <v>75</v>
      </c>
      <c r="P526" s="361" t="n">
        <v>95</v>
      </c>
      <c r="Q526" s="261" t="s">
        <v>147</v>
      </c>
      <c r="R526" s="261" t="s">
        <v>160</v>
      </c>
      <c r="S526" s="363" t="n">
        <f aca="false" t="array" ref="S526:S526">IF(COUNTIF('0.3.0 GO Calculation Values'!$J$2:$J$99,C526),(INDEX('0.3.0 GO Calculation Values'!$K$2:$K$99,MATCH(C526,'0.3.0 GO Calculation Values'!$J$2:$J$99,0))),1)</f>
        <v>1</v>
      </c>
      <c r="T526" s="262" t="n">
        <f aca="false">ROUND(ROUND(2*((7/8)*MAX(L526,N526)+(1/8)*MIN(L526,N526)),0)*(1+(P526-75)/500),0)</f>
        <v>180</v>
      </c>
      <c r="U526" s="262" t="n">
        <f aca="false">ROUND(ROUND(2*((5/8)*MAX(M526,O526)+(3/8)*MIN(M526,O526)),0)*(1+(P526-75)/500),0)</f>
        <v>202</v>
      </c>
      <c r="V526" s="361" t="n">
        <f aca="false">ROUNDDOWN(K526*1.75+50,0)</f>
        <v>172</v>
      </c>
      <c r="W526" s="261" t="n">
        <v>0</v>
      </c>
      <c r="X526" s="261" t="s">
        <v>1379</v>
      </c>
      <c r="Y526" s="364" t="s">
        <v>1379</v>
      </c>
      <c r="Z526" s="364"/>
      <c r="AA526" s="364"/>
      <c r="AB526" s="365"/>
      <c r="AC526" s="364"/>
      <c r="AD526" s="364"/>
      <c r="AE526" s="366"/>
      <c r="AF526" s="364" t="s">
        <v>1382</v>
      </c>
      <c r="AG526" s="364" t="s">
        <v>1382</v>
      </c>
      <c r="AH526" s="366" t="s">
        <v>1382</v>
      </c>
    </row>
    <row r="527" customFormat="false" ht="15.75" hidden="false" customHeight="false" outlineLevel="0" collapsed="false">
      <c r="A527" s="262" t="n">
        <v>453</v>
      </c>
      <c r="B527" s="361" t="n">
        <v>525</v>
      </c>
      <c r="C527" s="261" t="s">
        <v>1383</v>
      </c>
      <c r="D527" s="261" t="s">
        <v>60</v>
      </c>
      <c r="E527" s="362" t="s">
        <v>1383</v>
      </c>
      <c r="F527" s="261" t="s">
        <v>1237</v>
      </c>
      <c r="G527" s="261" t="s">
        <v>144</v>
      </c>
      <c r="H527" s="261" t="n">
        <v>0</v>
      </c>
      <c r="I527" s="261" t="n">
        <v>1</v>
      </c>
      <c r="J527" s="361" t="n">
        <v>0</v>
      </c>
      <c r="K527" s="262" t="n">
        <v>48</v>
      </c>
      <c r="L527" s="262" t="n">
        <v>61</v>
      </c>
      <c r="M527" s="262" t="n">
        <v>40</v>
      </c>
      <c r="N527" s="262" t="n">
        <v>61</v>
      </c>
      <c r="O527" s="262" t="n">
        <v>40</v>
      </c>
      <c r="P527" s="361" t="n">
        <v>50</v>
      </c>
      <c r="Q527" s="261" t="s">
        <v>147</v>
      </c>
      <c r="R527" s="261" t="s">
        <v>145</v>
      </c>
      <c r="S527" s="363" t="n">
        <f aca="false" t="array" ref="S527:S527">IF(COUNTIF('0.3.0 GO Calculation Values'!$J$2:$J$99,C527),(INDEX('0.3.0 GO Calculation Values'!$K$2:$K$99,MATCH(C527,'0.3.0 GO Calculation Values'!$J$2:$J$99,0))),1)</f>
        <v>1</v>
      </c>
      <c r="T527" s="262" t="n">
        <f aca="false">ROUND(ROUND(2*((7/8)*MAX(L527,N527)+(1/8)*MIN(L527,N527)),0)*(1+(P527-75)/500),0)</f>
        <v>116</v>
      </c>
      <c r="U527" s="262" t="n">
        <f aca="false">ROUND(ROUND(2*((5/8)*MAX(M527,O527)+(3/8)*MIN(M527,O527)),0)*(1+(P527-75)/500),0)</f>
        <v>76</v>
      </c>
      <c r="V527" s="361" t="n">
        <f aca="false">ROUNDDOWN(K527*1.75+50,0)</f>
        <v>134</v>
      </c>
      <c r="W527" s="261" t="n">
        <v>0</v>
      </c>
      <c r="X527" s="261" t="s">
        <v>60</v>
      </c>
      <c r="Y527" s="364" t="s">
        <v>1383</v>
      </c>
      <c r="Z527" s="364"/>
      <c r="AA527" s="364"/>
      <c r="AB527" s="365"/>
      <c r="AC527" s="364"/>
      <c r="AD527" s="364"/>
      <c r="AE527" s="366"/>
      <c r="AF527" s="364" t="s">
        <v>1384</v>
      </c>
      <c r="AG527" s="364" t="s">
        <v>1384</v>
      </c>
      <c r="AH527" s="366" t="s">
        <v>1384</v>
      </c>
    </row>
    <row r="528" customFormat="false" ht="15.75" hidden="false" customHeight="false" outlineLevel="0" collapsed="false">
      <c r="A528" s="262" t="n">
        <v>454</v>
      </c>
      <c r="B528" s="361" t="n">
        <v>526</v>
      </c>
      <c r="C528" s="261" t="s">
        <v>1385</v>
      </c>
      <c r="D528" s="261" t="s">
        <v>60</v>
      </c>
      <c r="E528" s="362" t="s">
        <v>1385</v>
      </c>
      <c r="F528" s="261" t="s">
        <v>1237</v>
      </c>
      <c r="G528" s="261" t="s">
        <v>144</v>
      </c>
      <c r="H528" s="261" t="n">
        <v>0</v>
      </c>
      <c r="I528" s="261" t="n">
        <v>2</v>
      </c>
      <c r="J528" s="361" t="n">
        <v>1</v>
      </c>
      <c r="K528" s="262" t="n">
        <v>83</v>
      </c>
      <c r="L528" s="262" t="n">
        <v>106</v>
      </c>
      <c r="M528" s="262" t="n">
        <v>65</v>
      </c>
      <c r="N528" s="262" t="n">
        <v>86</v>
      </c>
      <c r="O528" s="262" t="n">
        <v>65</v>
      </c>
      <c r="P528" s="361" t="n">
        <v>85</v>
      </c>
      <c r="Q528" s="261" t="s">
        <v>147</v>
      </c>
      <c r="R528" s="261" t="s">
        <v>145</v>
      </c>
      <c r="S528" s="363" t="n">
        <f aca="false" t="array" ref="S528:S528">IF(COUNTIF('0.3.0 GO Calculation Values'!$J$2:$J$99,C528),(INDEX('0.3.0 GO Calculation Values'!$K$2:$K$99,MATCH(C528,'0.3.0 GO Calculation Values'!$J$2:$J$99,0))),1)</f>
        <v>1</v>
      </c>
      <c r="T528" s="262" t="n">
        <f aca="false">ROUND(ROUND(2*((7/8)*MAX(L528,N528)+(1/8)*MIN(L528,N528)),0)*(1+(P528-75)/500),0)</f>
        <v>211</v>
      </c>
      <c r="U528" s="262" t="n">
        <f aca="false">ROUND(ROUND(2*((5/8)*MAX(M528,O528)+(3/8)*MIN(M528,O528)),0)*(1+(P528-75)/500),0)</f>
        <v>133</v>
      </c>
      <c r="V528" s="361" t="n">
        <f aca="false">ROUNDDOWN(K528*1.75+50,0)</f>
        <v>195</v>
      </c>
      <c r="W528" s="261" t="n">
        <v>0</v>
      </c>
      <c r="X528" s="261" t="s">
        <v>1383</v>
      </c>
      <c r="Y528" s="364" t="s">
        <v>1383</v>
      </c>
      <c r="Z528" s="364"/>
      <c r="AA528" s="364"/>
      <c r="AB528" s="365"/>
      <c r="AC528" s="364"/>
      <c r="AD528" s="364"/>
      <c r="AE528" s="366"/>
      <c r="AF528" s="364" t="s">
        <v>1386</v>
      </c>
      <c r="AG528" s="364" t="s">
        <v>1386</v>
      </c>
      <c r="AH528" s="366" t="s">
        <v>1386</v>
      </c>
    </row>
    <row r="529" customFormat="false" ht="15.75" hidden="false" customHeight="false" outlineLevel="0" collapsed="false">
      <c r="A529" s="262" t="n">
        <v>455</v>
      </c>
      <c r="B529" s="361" t="n">
        <v>527</v>
      </c>
      <c r="C529" s="261" t="s">
        <v>1387</v>
      </c>
      <c r="D529" s="261" t="s">
        <v>60</v>
      </c>
      <c r="E529" s="362" t="s">
        <v>1387</v>
      </c>
      <c r="F529" s="261" t="s">
        <v>1237</v>
      </c>
      <c r="G529" s="261" t="s">
        <v>144</v>
      </c>
      <c r="H529" s="261" t="n">
        <v>0</v>
      </c>
      <c r="I529" s="261" t="n">
        <v>1</v>
      </c>
      <c r="J529" s="361" t="n">
        <v>1</v>
      </c>
      <c r="K529" s="262" t="n">
        <v>74</v>
      </c>
      <c r="L529" s="262" t="n">
        <v>100</v>
      </c>
      <c r="M529" s="262" t="n">
        <v>72</v>
      </c>
      <c r="N529" s="262" t="n">
        <v>90</v>
      </c>
      <c r="O529" s="262" t="n">
        <v>72</v>
      </c>
      <c r="P529" s="361" t="n">
        <v>46</v>
      </c>
      <c r="Q529" s="261" t="s">
        <v>155</v>
      </c>
      <c r="R529" s="261"/>
      <c r="S529" s="363" t="n">
        <f aca="false" t="array" ref="S529:S529">IF(COUNTIF('0.3.0 GO Calculation Values'!$J$2:$J$99,C529),(INDEX('0.3.0 GO Calculation Values'!$K$2:$K$99,MATCH(C529,'0.3.0 GO Calculation Values'!$J$2:$J$99,0))),1)</f>
        <v>1</v>
      </c>
      <c r="T529" s="262" t="n">
        <f aca="false">ROUND(ROUND(2*((7/8)*MAX(L529,N529)+(1/8)*MIN(L529,N529)),0)*(1+(P529-75)/500),0)</f>
        <v>187</v>
      </c>
      <c r="U529" s="262" t="n">
        <f aca="false">ROUND(ROUND(2*((5/8)*MAX(M529,O529)+(3/8)*MIN(M529,O529)),0)*(1+(P529-75)/500),0)</f>
        <v>136</v>
      </c>
      <c r="V529" s="361" t="n">
        <f aca="false">ROUNDDOWN(K529*1.75+50,0)</f>
        <v>179</v>
      </c>
      <c r="W529" s="261" t="n">
        <v>0</v>
      </c>
      <c r="X529" s="261" t="s">
        <v>60</v>
      </c>
      <c r="Y529" s="364" t="s">
        <v>1387</v>
      </c>
      <c r="Z529" s="364"/>
      <c r="AA529" s="364"/>
      <c r="AB529" s="365"/>
      <c r="AC529" s="364"/>
      <c r="AD529" s="364"/>
      <c r="AE529" s="366"/>
      <c r="AF529" s="364" t="s">
        <v>1388</v>
      </c>
      <c r="AG529" s="364" t="s">
        <v>1388</v>
      </c>
      <c r="AH529" s="366" t="s">
        <v>1388</v>
      </c>
    </row>
    <row r="530" customFormat="false" ht="15.75" hidden="false" customHeight="false" outlineLevel="0" collapsed="false">
      <c r="A530" s="262" t="n">
        <v>456</v>
      </c>
      <c r="B530" s="361" t="n">
        <v>528</v>
      </c>
      <c r="C530" s="261" t="s">
        <v>1389</v>
      </c>
      <c r="D530" s="261" t="s">
        <v>60</v>
      </c>
      <c r="E530" s="362" t="s">
        <v>1389</v>
      </c>
      <c r="F530" s="261" t="s">
        <v>1237</v>
      </c>
      <c r="G530" s="261" t="s">
        <v>144</v>
      </c>
      <c r="H530" s="261" t="n">
        <v>0</v>
      </c>
      <c r="I530" s="261" t="n">
        <v>1</v>
      </c>
      <c r="J530" s="361" t="n">
        <v>0</v>
      </c>
      <c r="K530" s="262" t="n">
        <v>49</v>
      </c>
      <c r="L530" s="262" t="n">
        <v>49</v>
      </c>
      <c r="M530" s="262" t="n">
        <v>56</v>
      </c>
      <c r="N530" s="262" t="n">
        <v>49</v>
      </c>
      <c r="O530" s="262" t="n">
        <v>61</v>
      </c>
      <c r="P530" s="361" t="n">
        <v>66</v>
      </c>
      <c r="Q530" s="261" t="s">
        <v>154</v>
      </c>
      <c r="R530" s="261"/>
      <c r="S530" s="363" t="n">
        <f aca="false" t="array" ref="S530:S530">IF(COUNTIF('0.3.0 GO Calculation Values'!$J$2:$J$99,C530),(INDEX('0.3.0 GO Calculation Values'!$K$2:$K$99,MATCH(C530,'0.3.0 GO Calculation Values'!$J$2:$J$99,0))),1)</f>
        <v>1</v>
      </c>
      <c r="T530" s="262" t="n">
        <f aca="false">ROUND(ROUND(2*((7/8)*MAX(L530,N530)+(1/8)*MIN(L530,N530)),0)*(1+(P530-75)/500),0)</f>
        <v>96</v>
      </c>
      <c r="U530" s="262" t="n">
        <f aca="false">ROUND(ROUND(2*((5/8)*MAX(M530,O530)+(3/8)*MIN(M530,O530)),0)*(1+(P530-75)/500),0)</f>
        <v>116</v>
      </c>
      <c r="V530" s="361" t="n">
        <f aca="false">ROUNDDOWN(K530*1.75+50,0)</f>
        <v>135</v>
      </c>
      <c r="W530" s="261" t="n">
        <v>0</v>
      </c>
      <c r="X530" s="261" t="s">
        <v>60</v>
      </c>
      <c r="Y530" s="364" t="s">
        <v>1389</v>
      </c>
      <c r="Z530" s="364"/>
      <c r="AA530" s="364"/>
      <c r="AB530" s="365"/>
      <c r="AC530" s="364"/>
      <c r="AD530" s="364"/>
      <c r="AE530" s="366"/>
      <c r="AF530" s="364" t="s">
        <v>1390</v>
      </c>
      <c r="AG530" s="364" t="s">
        <v>1390</v>
      </c>
      <c r="AH530" s="366" t="s">
        <v>1390</v>
      </c>
    </row>
    <row r="531" customFormat="false" ht="15.75" hidden="false" customHeight="false" outlineLevel="0" collapsed="false">
      <c r="A531" s="262" t="n">
        <v>457</v>
      </c>
      <c r="B531" s="361" t="n">
        <v>529</v>
      </c>
      <c r="C531" s="261" t="s">
        <v>1391</v>
      </c>
      <c r="D531" s="261" t="s">
        <v>60</v>
      </c>
      <c r="E531" s="362" t="s">
        <v>1391</v>
      </c>
      <c r="F531" s="261" t="s">
        <v>1237</v>
      </c>
      <c r="G531" s="261" t="s">
        <v>144</v>
      </c>
      <c r="H531" s="261" t="n">
        <v>0</v>
      </c>
      <c r="I531" s="261" t="n">
        <v>2</v>
      </c>
      <c r="J531" s="361" t="n">
        <v>1</v>
      </c>
      <c r="K531" s="262" t="n">
        <v>69</v>
      </c>
      <c r="L531" s="262" t="n">
        <v>69</v>
      </c>
      <c r="M531" s="262" t="n">
        <v>76</v>
      </c>
      <c r="N531" s="262" t="n">
        <v>69</v>
      </c>
      <c r="O531" s="262" t="n">
        <v>86</v>
      </c>
      <c r="P531" s="361" t="n">
        <v>91</v>
      </c>
      <c r="Q531" s="261" t="s">
        <v>154</v>
      </c>
      <c r="R531" s="261"/>
      <c r="S531" s="363" t="n">
        <f aca="false" t="array" ref="S531:S531">IF(COUNTIF('0.3.0 GO Calculation Values'!$J$2:$J$99,C531),(INDEX('0.3.0 GO Calculation Values'!$K$2:$K$99,MATCH(C531,'0.3.0 GO Calculation Values'!$J$2:$J$99,0))),1)</f>
        <v>1</v>
      </c>
      <c r="T531" s="262" t="n">
        <f aca="false">ROUND(ROUND(2*((7/8)*MAX(L531,N531)+(1/8)*MIN(L531,N531)),0)*(1+(P531-75)/500),0)</f>
        <v>142</v>
      </c>
      <c r="U531" s="262" t="n">
        <f aca="false">ROUND(ROUND(2*((5/8)*MAX(M531,O531)+(3/8)*MIN(M531,O531)),0)*(1+(P531-75)/500),0)</f>
        <v>170</v>
      </c>
      <c r="V531" s="361" t="n">
        <f aca="false">ROUNDDOWN(K531*1.75+50,0)</f>
        <v>170</v>
      </c>
      <c r="W531" s="261" t="n">
        <v>0</v>
      </c>
      <c r="X531" s="261" t="s">
        <v>1389</v>
      </c>
      <c r="Y531" s="364" t="s">
        <v>1389</v>
      </c>
      <c r="Z531" s="364"/>
      <c r="AA531" s="364"/>
      <c r="AB531" s="365"/>
      <c r="AC531" s="364"/>
      <c r="AD531" s="364"/>
      <c r="AE531" s="366"/>
      <c r="AF531" s="364" t="s">
        <v>1392</v>
      </c>
      <c r="AG531" s="364" t="s">
        <v>1392</v>
      </c>
      <c r="AH531" s="366" t="s">
        <v>1392</v>
      </c>
    </row>
    <row r="532" customFormat="false" ht="15.75" hidden="false" customHeight="false" outlineLevel="0" collapsed="false">
      <c r="A532" s="262" t="n">
        <v>458</v>
      </c>
      <c r="B532" s="361" t="n">
        <v>530</v>
      </c>
      <c r="C532" s="261" t="s">
        <v>821</v>
      </c>
      <c r="D532" s="261" t="s">
        <v>60</v>
      </c>
      <c r="E532" s="362" t="s">
        <v>821</v>
      </c>
      <c r="F532" s="261" t="s">
        <v>1237</v>
      </c>
      <c r="G532" s="261" t="s">
        <v>693</v>
      </c>
      <c r="H532" s="261" t="n">
        <v>0</v>
      </c>
      <c r="I532" s="261" t="n">
        <v>1</v>
      </c>
      <c r="J532" s="361" t="n">
        <v>0</v>
      </c>
      <c r="K532" s="262" t="n">
        <v>45</v>
      </c>
      <c r="L532" s="262" t="n">
        <v>20</v>
      </c>
      <c r="M532" s="262" t="n">
        <v>50</v>
      </c>
      <c r="N532" s="262" t="n">
        <v>60</v>
      </c>
      <c r="O532" s="262" t="n">
        <v>120</v>
      </c>
      <c r="P532" s="361" t="n">
        <v>50</v>
      </c>
      <c r="Q532" s="261" t="s">
        <v>154</v>
      </c>
      <c r="R532" s="261" t="s">
        <v>146</v>
      </c>
      <c r="S532" s="363" t="n">
        <f aca="false" t="array" ref="S532:S532">IF(COUNTIF('0.3.0 GO Calculation Values'!$J$2:$J$99,C532),(INDEX('0.3.0 GO Calculation Values'!$K$2:$K$99,MATCH(C532,'0.3.0 GO Calculation Values'!$J$2:$J$99,0))),1)</f>
        <v>1</v>
      </c>
      <c r="T532" s="262" t="n">
        <f aca="false">ROUND(ROUND(2*((7/8)*MAX(L532,N532)+(1/8)*MIN(L532,N532)),0)*(1+(P532-75)/500),0)</f>
        <v>105</v>
      </c>
      <c r="U532" s="262" t="n">
        <f aca="false">ROUND(ROUND(2*((5/8)*MAX(M532,O532)+(3/8)*MIN(M532,O532)),0)*(1+(P532-75)/500),0)</f>
        <v>179</v>
      </c>
      <c r="V532" s="361" t="n">
        <f aca="false">ROUNDDOWN(K532*1.75+50,0)</f>
        <v>128</v>
      </c>
      <c r="W532" s="261" t="n">
        <v>0</v>
      </c>
      <c r="X532" s="261" t="s">
        <v>60</v>
      </c>
      <c r="Y532" s="364" t="s">
        <v>820</v>
      </c>
      <c r="Z532" s="364" t="n">
        <v>5</v>
      </c>
      <c r="AA532" s="364"/>
      <c r="AB532" s="365"/>
      <c r="AC532" s="364"/>
      <c r="AD532" s="364"/>
      <c r="AE532" s="366"/>
      <c r="AF532" s="364" t="s">
        <v>1393</v>
      </c>
      <c r="AG532" s="364" t="s">
        <v>1393</v>
      </c>
      <c r="AH532" s="366" t="s">
        <v>1393</v>
      </c>
    </row>
    <row r="533" customFormat="false" ht="15.75" hidden="false" customHeight="false" outlineLevel="0" collapsed="false">
      <c r="A533" s="262" t="n">
        <v>459</v>
      </c>
      <c r="B533" s="361" t="n">
        <v>531</v>
      </c>
      <c r="C533" s="261" t="s">
        <v>1394</v>
      </c>
      <c r="D533" s="261" t="s">
        <v>60</v>
      </c>
      <c r="E533" s="362" t="s">
        <v>1394</v>
      </c>
      <c r="F533" s="261" t="s">
        <v>1237</v>
      </c>
      <c r="G533" s="261" t="s">
        <v>144</v>
      </c>
      <c r="H533" s="261" t="n">
        <v>0</v>
      </c>
      <c r="I533" s="261" t="n">
        <v>1</v>
      </c>
      <c r="J533" s="361" t="n">
        <v>0</v>
      </c>
      <c r="K533" s="262" t="n">
        <v>60</v>
      </c>
      <c r="L533" s="262" t="n">
        <v>62</v>
      </c>
      <c r="M533" s="262" t="n">
        <v>50</v>
      </c>
      <c r="N533" s="262" t="n">
        <v>62</v>
      </c>
      <c r="O533" s="262" t="n">
        <v>60</v>
      </c>
      <c r="P533" s="361" t="n">
        <v>40</v>
      </c>
      <c r="Q533" s="261" t="s">
        <v>155</v>
      </c>
      <c r="R533" s="261" t="s">
        <v>158</v>
      </c>
      <c r="S533" s="363" t="n">
        <f aca="false" t="array" ref="S533:S533">IF(COUNTIF('0.3.0 GO Calculation Values'!$J$2:$J$99,C533),(INDEX('0.3.0 GO Calculation Values'!$K$2:$K$99,MATCH(C533,'0.3.0 GO Calculation Values'!$J$2:$J$99,0))),1)</f>
        <v>1</v>
      </c>
      <c r="T533" s="262" t="n">
        <f aca="false">ROUND(ROUND(2*((7/8)*MAX(L533,N533)+(1/8)*MIN(L533,N533)),0)*(1+(P533-75)/500),0)</f>
        <v>115</v>
      </c>
      <c r="U533" s="262" t="n">
        <f aca="false">ROUND(ROUND(2*((5/8)*MAX(M533,O533)+(3/8)*MIN(M533,O533)),0)*(1+(P533-75)/500),0)</f>
        <v>105</v>
      </c>
      <c r="V533" s="361" t="n">
        <f aca="false">ROUNDDOWN(K533*1.75+50,0)</f>
        <v>155</v>
      </c>
      <c r="W533" s="261" t="n">
        <v>0</v>
      </c>
      <c r="X533" s="261" t="s">
        <v>60</v>
      </c>
      <c r="Y533" s="364" t="s">
        <v>1394</v>
      </c>
      <c r="Z533" s="364"/>
      <c r="AA533" s="364"/>
      <c r="AB533" s="365"/>
      <c r="AC533" s="364"/>
      <c r="AD533" s="364"/>
      <c r="AE533" s="366"/>
      <c r="AF533" s="364" t="s">
        <v>1395</v>
      </c>
      <c r="AG533" s="364" t="s">
        <v>1395</v>
      </c>
      <c r="AH533" s="366" t="s">
        <v>1395</v>
      </c>
    </row>
    <row r="534" customFormat="false" ht="15.75" hidden="false" customHeight="false" outlineLevel="0" collapsed="false">
      <c r="A534" s="262" t="n">
        <v>460</v>
      </c>
      <c r="B534" s="361" t="n">
        <v>532</v>
      </c>
      <c r="C534" s="261" t="s">
        <v>1396</v>
      </c>
      <c r="D534" s="261" t="s">
        <v>7</v>
      </c>
      <c r="E534" s="367" t="s">
        <v>1396</v>
      </c>
      <c r="F534" s="261" t="s">
        <v>1237</v>
      </c>
      <c r="G534" s="261" t="s">
        <v>144</v>
      </c>
      <c r="H534" s="261" t="n">
        <v>0</v>
      </c>
      <c r="I534" s="261" t="n">
        <v>2</v>
      </c>
      <c r="J534" s="361" t="n">
        <v>1</v>
      </c>
      <c r="K534" s="262" t="n">
        <v>90</v>
      </c>
      <c r="L534" s="262" t="n">
        <v>92</v>
      </c>
      <c r="M534" s="262" t="n">
        <v>75</v>
      </c>
      <c r="N534" s="262" t="n">
        <v>92</v>
      </c>
      <c r="O534" s="262" t="n">
        <v>85</v>
      </c>
      <c r="P534" s="361" t="n">
        <v>60</v>
      </c>
      <c r="Q534" s="261" t="s">
        <v>155</v>
      </c>
      <c r="R534" s="261" t="s">
        <v>158</v>
      </c>
      <c r="S534" s="363" t="n">
        <f aca="false" t="array" ref="S534:S534">IF(COUNTIF('0.3.0 GO Calculation Values'!$J$2:$J$99,C534),(INDEX('0.3.0 GO Calculation Values'!$K$2:$K$99,MATCH(C534,'0.3.0 GO Calculation Values'!$J$2:$J$99,0))),1)</f>
        <v>1</v>
      </c>
      <c r="T534" s="262" t="n">
        <f aca="false">ROUND(ROUND(2*((7/8)*MAX(L534,N534)+(1/8)*MIN(L534,N534)),0)*(1+(P534-75)/500),0)</f>
        <v>178</v>
      </c>
      <c r="U534" s="262" t="n">
        <f aca="false">ROUND(ROUND(2*((5/8)*MAX(M534,O534)+(3/8)*MIN(M534,O534)),0)*(1+(P534-75)/500),0)</f>
        <v>158</v>
      </c>
      <c r="V534" s="361" t="n">
        <f aca="false">ROUNDDOWN(K534*1.75+50,0)</f>
        <v>207</v>
      </c>
      <c r="W534" s="261" t="n">
        <v>0</v>
      </c>
      <c r="X534" s="261" t="s">
        <v>1394</v>
      </c>
      <c r="Y534" s="364" t="s">
        <v>1394</v>
      </c>
      <c r="Z534" s="364"/>
      <c r="AA534" s="364"/>
      <c r="AB534" s="365"/>
      <c r="AC534" s="364"/>
      <c r="AD534" s="364"/>
      <c r="AE534" s="366"/>
      <c r="AF534" s="364" t="s">
        <v>1397</v>
      </c>
      <c r="AG534" s="364" t="s">
        <v>1397</v>
      </c>
      <c r="AH534" s="366" t="s">
        <v>1397</v>
      </c>
    </row>
    <row r="535" customFormat="false" ht="15.75" hidden="false" customHeight="false" outlineLevel="0" collapsed="false">
      <c r="A535" s="262" t="n">
        <v>460</v>
      </c>
      <c r="B535" s="361" t="n">
        <v>533</v>
      </c>
      <c r="C535" s="261" t="s">
        <v>1396</v>
      </c>
      <c r="D535" s="261" t="s">
        <v>1398</v>
      </c>
      <c r="E535" s="358" t="s">
        <v>1399</v>
      </c>
      <c r="F535" s="261" t="s">
        <v>1331</v>
      </c>
      <c r="G535" s="261" t="s">
        <v>144</v>
      </c>
      <c r="H535" s="261" t="n">
        <v>2</v>
      </c>
      <c r="I535" s="261" t="n">
        <v>3</v>
      </c>
      <c r="J535" s="361" t="n">
        <v>1</v>
      </c>
      <c r="K535" s="262" t="n">
        <v>90</v>
      </c>
      <c r="L535" s="262" t="n">
        <v>132</v>
      </c>
      <c r="M535" s="262" t="n">
        <v>105</v>
      </c>
      <c r="N535" s="262" t="n">
        <v>132</v>
      </c>
      <c r="O535" s="262" t="n">
        <v>105</v>
      </c>
      <c r="P535" s="361" t="n">
        <v>30</v>
      </c>
      <c r="Q535" s="261" t="s">
        <v>155</v>
      </c>
      <c r="R535" s="261" t="s">
        <v>158</v>
      </c>
      <c r="S535" s="363" t="n">
        <f aca="false" t="array" ref="S535:S535">IF(COUNTIF('0.3.0 GO Calculation Values'!$J$2:$J$99,C535),(INDEX('0.3.0 GO Calculation Values'!$K$2:$K$99,MATCH(C535,'0.3.0 GO Calculation Values'!$J$2:$J$99,0))),1)</f>
        <v>1</v>
      </c>
      <c r="T535" s="262" t="n">
        <f aca="false">ROUND(ROUND(2*((7/8)*MAX(L535,N535)+(1/8)*MIN(L535,N535)),0)*(1+(P535-75)/500),0)</f>
        <v>240</v>
      </c>
      <c r="U535" s="262" t="n">
        <f aca="false">ROUND(ROUND(2*((5/8)*MAX(M535,O535)+(3/8)*MIN(M535,O535)),0)*(1+(P535-75)/500),0)</f>
        <v>191</v>
      </c>
      <c r="V535" s="361" t="n">
        <f aca="false">ROUNDDOWN(K535*1.75+50,0)</f>
        <v>207</v>
      </c>
      <c r="W535" s="261" t="n">
        <v>0</v>
      </c>
      <c r="X535" s="261" t="s">
        <v>1396</v>
      </c>
      <c r="Y535" s="364" t="s">
        <v>1394</v>
      </c>
      <c r="Z535" s="364"/>
      <c r="AA535" s="364"/>
      <c r="AB535" s="365"/>
      <c r="AC535" s="364"/>
      <c r="AD535" s="364"/>
      <c r="AE535" s="366"/>
      <c r="AF535" s="364" t="s">
        <v>1400</v>
      </c>
      <c r="AG535" s="364" t="s">
        <v>1400</v>
      </c>
      <c r="AH535" s="366" t="s">
        <v>1400</v>
      </c>
    </row>
    <row r="536" customFormat="false" ht="15.75" hidden="false" customHeight="false" outlineLevel="0" collapsed="false">
      <c r="A536" s="262" t="n">
        <v>461</v>
      </c>
      <c r="B536" s="361" t="n">
        <v>534</v>
      </c>
      <c r="C536" s="261" t="s">
        <v>1401</v>
      </c>
      <c r="D536" s="261" t="s">
        <v>60</v>
      </c>
      <c r="E536" s="362" t="s">
        <v>1401</v>
      </c>
      <c r="F536" s="261" t="s">
        <v>1237</v>
      </c>
      <c r="G536" s="261" t="s">
        <v>144</v>
      </c>
      <c r="H536" s="261" t="n">
        <v>0</v>
      </c>
      <c r="I536" s="261" t="n">
        <v>2</v>
      </c>
      <c r="J536" s="361" t="n">
        <v>1</v>
      </c>
      <c r="K536" s="262" t="n">
        <v>70</v>
      </c>
      <c r="L536" s="262" t="n">
        <v>120</v>
      </c>
      <c r="M536" s="262" t="n">
        <v>65</v>
      </c>
      <c r="N536" s="262" t="n">
        <v>45</v>
      </c>
      <c r="O536" s="262" t="n">
        <v>85</v>
      </c>
      <c r="P536" s="361" t="n">
        <v>125</v>
      </c>
      <c r="Q536" s="261" t="s">
        <v>160</v>
      </c>
      <c r="R536" s="261" t="s">
        <v>158</v>
      </c>
      <c r="S536" s="363" t="n">
        <f aca="false" t="array" ref="S536:S536">IF(COUNTIF('0.3.0 GO Calculation Values'!$J$2:$J$99,C536),(INDEX('0.3.0 GO Calculation Values'!$K$2:$K$99,MATCH(C536,'0.3.0 GO Calculation Values'!$J$2:$J$99,0))),1)</f>
        <v>1</v>
      </c>
      <c r="T536" s="262" t="n">
        <f aca="false">ROUND(ROUND(2*((7/8)*MAX(L536,N536)+(1/8)*MIN(L536,N536)),0)*(1+(P536-75)/500),0)</f>
        <v>243</v>
      </c>
      <c r="U536" s="262" t="n">
        <f aca="false">ROUND(ROUND(2*((5/8)*MAX(M536,O536)+(3/8)*MIN(M536,O536)),0)*(1+(P536-75)/500),0)</f>
        <v>171</v>
      </c>
      <c r="V536" s="361" t="n">
        <f aca="false">ROUNDDOWN(K536*1.75+50,0)</f>
        <v>172</v>
      </c>
      <c r="W536" s="261" t="n">
        <v>0</v>
      </c>
      <c r="X536" s="261" t="s">
        <v>798</v>
      </c>
      <c r="Y536" s="364" t="s">
        <v>798</v>
      </c>
      <c r="Z536" s="364" t="n">
        <v>3</v>
      </c>
      <c r="AA536" s="364"/>
      <c r="AB536" s="365"/>
      <c r="AC536" s="364"/>
      <c r="AD536" s="364"/>
      <c r="AE536" s="366"/>
      <c r="AF536" s="364" t="s">
        <v>1402</v>
      </c>
      <c r="AG536" s="364" t="s">
        <v>1402</v>
      </c>
      <c r="AH536" s="366" t="s">
        <v>1402</v>
      </c>
    </row>
    <row r="537" customFormat="false" ht="15.75" hidden="false" customHeight="false" outlineLevel="0" collapsed="false">
      <c r="A537" s="262" t="n">
        <v>462</v>
      </c>
      <c r="B537" s="361" t="n">
        <v>535</v>
      </c>
      <c r="C537" s="261" t="s">
        <v>1403</v>
      </c>
      <c r="D537" s="261" t="s">
        <v>60</v>
      </c>
      <c r="E537" s="362" t="s">
        <v>1403</v>
      </c>
      <c r="F537" s="261" t="s">
        <v>1237</v>
      </c>
      <c r="G537" s="261" t="s">
        <v>144</v>
      </c>
      <c r="H537" s="261" t="n">
        <v>0</v>
      </c>
      <c r="I537" s="261" t="n">
        <v>3</v>
      </c>
      <c r="J537" s="361" t="n">
        <v>1</v>
      </c>
      <c r="K537" s="262" t="n">
        <v>70</v>
      </c>
      <c r="L537" s="262" t="n">
        <v>70</v>
      </c>
      <c r="M537" s="262" t="n">
        <v>115</v>
      </c>
      <c r="N537" s="262" t="n">
        <v>130</v>
      </c>
      <c r="O537" s="262" t="n">
        <v>90</v>
      </c>
      <c r="P537" s="361" t="n">
        <v>60</v>
      </c>
      <c r="Q537" s="261" t="s">
        <v>152</v>
      </c>
      <c r="R537" s="261" t="s">
        <v>156</v>
      </c>
      <c r="S537" s="363" t="n">
        <f aca="false" t="array" ref="S537:S537">IF(COUNTIF('0.3.0 GO Calculation Values'!$J$2:$J$99,C537),(INDEX('0.3.0 GO Calculation Values'!$K$2:$K$99,MATCH(C537,'0.3.0 GO Calculation Values'!$J$2:$J$99,0))),1)</f>
        <v>1</v>
      </c>
      <c r="T537" s="262" t="n">
        <f aca="false">ROUND(ROUND(2*((7/8)*MAX(L537,N537)+(1/8)*MIN(L537,N537)),0)*(1+(P537-75)/500),0)</f>
        <v>238</v>
      </c>
      <c r="U537" s="262" t="n">
        <f aca="false">ROUND(ROUND(2*((5/8)*MAX(M537,O537)+(3/8)*MIN(M537,O537)),0)*(1+(P537-75)/500),0)</f>
        <v>205</v>
      </c>
      <c r="V537" s="361" t="n">
        <f aca="false">ROUNDDOWN(K537*1.75+50,0)</f>
        <v>172</v>
      </c>
      <c r="W537" s="261" t="n">
        <v>0</v>
      </c>
      <c r="X537" s="261" t="s">
        <v>464</v>
      </c>
      <c r="Y537" s="364" t="s">
        <v>462</v>
      </c>
      <c r="Z537" s="364" t="n">
        <v>3</v>
      </c>
      <c r="AA537" s="364"/>
      <c r="AB537" s="365"/>
      <c r="AC537" s="364"/>
      <c r="AD537" s="364"/>
      <c r="AE537" s="366"/>
      <c r="AF537" s="364" t="s">
        <v>1404</v>
      </c>
      <c r="AG537" s="364" t="s">
        <v>1404</v>
      </c>
      <c r="AH537" s="366" t="s">
        <v>1404</v>
      </c>
    </row>
    <row r="538" customFormat="false" ht="15.75" hidden="false" customHeight="false" outlineLevel="0" collapsed="false">
      <c r="A538" s="262" t="n">
        <v>463</v>
      </c>
      <c r="B538" s="361" t="n">
        <v>536</v>
      </c>
      <c r="C538" s="261" t="s">
        <v>1405</v>
      </c>
      <c r="D538" s="261" t="s">
        <v>60</v>
      </c>
      <c r="E538" s="362" t="s">
        <v>1405</v>
      </c>
      <c r="F538" s="261" t="s">
        <v>1237</v>
      </c>
      <c r="G538" s="261" t="s">
        <v>144</v>
      </c>
      <c r="H538" s="261" t="n">
        <v>0</v>
      </c>
      <c r="I538" s="261" t="n">
        <v>2</v>
      </c>
      <c r="J538" s="361" t="n">
        <v>1</v>
      </c>
      <c r="K538" s="262" t="n">
        <v>110</v>
      </c>
      <c r="L538" s="262" t="n">
        <v>85</v>
      </c>
      <c r="M538" s="262" t="n">
        <v>95</v>
      </c>
      <c r="N538" s="262" t="n">
        <v>80</v>
      </c>
      <c r="O538" s="262" t="n">
        <v>95</v>
      </c>
      <c r="P538" s="361" t="n">
        <v>50</v>
      </c>
      <c r="Q538" s="261" t="s">
        <v>144</v>
      </c>
      <c r="R538" s="261"/>
      <c r="S538" s="363" t="n">
        <f aca="false" t="array" ref="S538:S538">IF(COUNTIF('0.3.0 GO Calculation Values'!$J$2:$J$99,C538),(INDEX('0.3.0 GO Calculation Values'!$K$2:$K$99,MATCH(C538,'0.3.0 GO Calculation Values'!$J$2:$J$99,0))),1)</f>
        <v>1</v>
      </c>
      <c r="T538" s="262" t="n">
        <f aca="false">ROUND(ROUND(2*((7/8)*MAX(L538,N538)+(1/8)*MIN(L538,N538)),0)*(1+(P538-75)/500),0)</f>
        <v>161</v>
      </c>
      <c r="U538" s="262" t="n">
        <f aca="false">ROUND(ROUND(2*((5/8)*MAX(M538,O538)+(3/8)*MIN(M538,O538)),0)*(1+(P538-75)/500),0)</f>
        <v>181</v>
      </c>
      <c r="V538" s="361" t="n">
        <f aca="false">ROUNDDOWN(K538*1.75+50,0)</f>
        <v>242</v>
      </c>
      <c r="W538" s="261" t="n">
        <v>0</v>
      </c>
      <c r="X538" s="261" t="s">
        <v>534</v>
      </c>
      <c r="Y538" s="364" t="s">
        <v>534</v>
      </c>
      <c r="Z538" s="364" t="n">
        <v>3</v>
      </c>
      <c r="AA538" s="364"/>
      <c r="AB538" s="365"/>
      <c r="AC538" s="364"/>
      <c r="AD538" s="364"/>
      <c r="AE538" s="366"/>
      <c r="AF538" s="364" t="s">
        <v>1406</v>
      </c>
      <c r="AG538" s="364" t="s">
        <v>1406</v>
      </c>
      <c r="AH538" s="366" t="s">
        <v>1406</v>
      </c>
    </row>
    <row r="539" customFormat="false" ht="15.75" hidden="false" customHeight="false" outlineLevel="0" collapsed="false">
      <c r="A539" s="262" t="n">
        <v>464</v>
      </c>
      <c r="B539" s="361" t="n">
        <v>537</v>
      </c>
      <c r="C539" s="261" t="s">
        <v>1407</v>
      </c>
      <c r="D539" s="261" t="s">
        <v>60</v>
      </c>
      <c r="E539" s="362" t="s">
        <v>1407</v>
      </c>
      <c r="F539" s="261" t="s">
        <v>1237</v>
      </c>
      <c r="G539" s="261" t="s">
        <v>144</v>
      </c>
      <c r="H539" s="261" t="n">
        <v>0</v>
      </c>
      <c r="I539" s="261" t="n">
        <v>3</v>
      </c>
      <c r="J539" s="361" t="n">
        <v>1</v>
      </c>
      <c r="K539" s="262" t="n">
        <v>115</v>
      </c>
      <c r="L539" s="262" t="n">
        <v>140</v>
      </c>
      <c r="M539" s="262" t="n">
        <v>130</v>
      </c>
      <c r="N539" s="262" t="n">
        <v>55</v>
      </c>
      <c r="O539" s="262" t="n">
        <v>55</v>
      </c>
      <c r="P539" s="361" t="n">
        <v>40</v>
      </c>
      <c r="Q539" s="261" t="s">
        <v>149</v>
      </c>
      <c r="R539" s="261" t="s">
        <v>148</v>
      </c>
      <c r="S539" s="363" t="n">
        <f aca="false" t="array" ref="S539:S539">IF(COUNTIF('0.3.0 GO Calculation Values'!$J$2:$J$99,C539),(INDEX('0.3.0 GO Calculation Values'!$K$2:$K$99,MATCH(C539,'0.3.0 GO Calculation Values'!$J$2:$J$99,0))),1)</f>
        <v>1</v>
      </c>
      <c r="T539" s="262" t="n">
        <f aca="false">ROUND(ROUND(2*((7/8)*MAX(L539,N539)+(1/8)*MIN(L539,N539)),0)*(1+(P539-75)/500),0)</f>
        <v>241</v>
      </c>
      <c r="U539" s="262" t="n">
        <f aca="false">ROUND(ROUND(2*((5/8)*MAX(M539,O539)+(3/8)*MIN(M539,O539)),0)*(1+(P539-75)/500),0)</f>
        <v>190</v>
      </c>
      <c r="V539" s="361" t="n">
        <f aca="false">ROUNDDOWN(K539*1.75+50,0)</f>
        <v>251</v>
      </c>
      <c r="W539" s="261" t="n">
        <v>0</v>
      </c>
      <c r="X539" s="261" t="s">
        <v>542</v>
      </c>
      <c r="Y539" s="364" t="s">
        <v>540</v>
      </c>
      <c r="Z539" s="364" t="n">
        <v>3</v>
      </c>
      <c r="AA539" s="364"/>
      <c r="AB539" s="365"/>
      <c r="AC539" s="364"/>
      <c r="AD539" s="364"/>
      <c r="AE539" s="366"/>
      <c r="AF539" s="364" t="s">
        <v>1408</v>
      </c>
      <c r="AG539" s="364" t="s">
        <v>1408</v>
      </c>
      <c r="AH539" s="366" t="s">
        <v>1408</v>
      </c>
    </row>
    <row r="540" customFormat="false" ht="15.75" hidden="false" customHeight="false" outlineLevel="0" collapsed="false">
      <c r="A540" s="262" t="n">
        <v>465</v>
      </c>
      <c r="B540" s="361" t="n">
        <v>538</v>
      </c>
      <c r="C540" s="261" t="s">
        <v>1409</v>
      </c>
      <c r="D540" s="261" t="s">
        <v>60</v>
      </c>
      <c r="E540" s="362" t="s">
        <v>1409</v>
      </c>
      <c r="F540" s="261" t="s">
        <v>1237</v>
      </c>
      <c r="G540" s="261" t="s">
        <v>144</v>
      </c>
      <c r="H540" s="261" t="n">
        <v>0</v>
      </c>
      <c r="I540" s="261" t="n">
        <v>2</v>
      </c>
      <c r="J540" s="361" t="n">
        <v>1</v>
      </c>
      <c r="K540" s="262" t="n">
        <v>100</v>
      </c>
      <c r="L540" s="262" t="n">
        <v>100</v>
      </c>
      <c r="M540" s="262" t="n">
        <v>125</v>
      </c>
      <c r="N540" s="262" t="n">
        <v>110</v>
      </c>
      <c r="O540" s="262" t="n">
        <v>50</v>
      </c>
      <c r="P540" s="361" t="n">
        <v>50</v>
      </c>
      <c r="Q540" s="261" t="s">
        <v>155</v>
      </c>
      <c r="R540" s="261"/>
      <c r="S540" s="363" t="n">
        <f aca="false" t="array" ref="S540:S540">IF(COUNTIF('0.3.0 GO Calculation Values'!$J$2:$J$99,C540),(INDEX('0.3.0 GO Calculation Values'!$K$2:$K$99,MATCH(C540,'0.3.0 GO Calculation Values'!$J$2:$J$99,0))),1)</f>
        <v>1</v>
      </c>
      <c r="T540" s="262" t="n">
        <f aca="false">ROUND(ROUND(2*((7/8)*MAX(L540,N540)+(1/8)*MIN(L540,N540)),0)*(1+(P540-75)/500),0)</f>
        <v>207</v>
      </c>
      <c r="U540" s="262" t="n">
        <f aca="false">ROUND(ROUND(2*((5/8)*MAX(M540,O540)+(3/8)*MIN(M540,O540)),0)*(1+(P540-75)/500),0)</f>
        <v>184</v>
      </c>
      <c r="V540" s="361" t="n">
        <f aca="false">ROUNDDOWN(K540*1.75+50,0)</f>
        <v>225</v>
      </c>
      <c r="W540" s="261" t="n">
        <v>0</v>
      </c>
      <c r="X540" s="261" t="s">
        <v>547</v>
      </c>
      <c r="Y540" s="364" t="s">
        <v>547</v>
      </c>
      <c r="Z540" s="364" t="n">
        <v>3</v>
      </c>
      <c r="AA540" s="364"/>
      <c r="AB540" s="365"/>
      <c r="AC540" s="364"/>
      <c r="AD540" s="364"/>
      <c r="AE540" s="366"/>
      <c r="AF540" s="364" t="s">
        <v>1410</v>
      </c>
      <c r="AG540" s="364" t="s">
        <v>1410</v>
      </c>
      <c r="AH540" s="366" t="s">
        <v>1410</v>
      </c>
    </row>
    <row r="541" customFormat="false" ht="15.75" hidden="false" customHeight="false" outlineLevel="0" collapsed="false">
      <c r="A541" s="262" t="n">
        <v>466</v>
      </c>
      <c r="B541" s="361" t="n">
        <v>539</v>
      </c>
      <c r="C541" s="261" t="s">
        <v>1411</v>
      </c>
      <c r="D541" s="261" t="s">
        <v>60</v>
      </c>
      <c r="E541" s="362" t="s">
        <v>1411</v>
      </c>
      <c r="F541" s="261" t="s">
        <v>1237</v>
      </c>
      <c r="G541" s="261" t="s">
        <v>144</v>
      </c>
      <c r="H541" s="261" t="n">
        <v>0</v>
      </c>
      <c r="I541" s="261" t="n">
        <v>3</v>
      </c>
      <c r="J541" s="361" t="n">
        <v>1</v>
      </c>
      <c r="K541" s="262" t="n">
        <v>75</v>
      </c>
      <c r="L541" s="262" t="n">
        <v>123</v>
      </c>
      <c r="M541" s="262" t="n">
        <v>67</v>
      </c>
      <c r="N541" s="262" t="n">
        <v>95</v>
      </c>
      <c r="O541" s="262" t="n">
        <v>85</v>
      </c>
      <c r="P541" s="361" t="n">
        <v>95</v>
      </c>
      <c r="Q541" s="261" t="s">
        <v>156</v>
      </c>
      <c r="R541" s="261"/>
      <c r="S541" s="363" t="n">
        <f aca="false" t="array" ref="S541:S541">IF(COUNTIF('0.3.0 GO Calculation Values'!$J$2:$J$99,C541),(INDEX('0.3.0 GO Calculation Values'!$K$2:$K$99,MATCH(C541,'0.3.0 GO Calculation Values'!$J$2:$J$99,0))),1)</f>
        <v>1</v>
      </c>
      <c r="T541" s="262" t="n">
        <f aca="false">ROUND(ROUND(2*((7/8)*MAX(L541,N541)+(1/8)*MIN(L541,N541)),0)*(1+(P541-75)/500),0)</f>
        <v>249</v>
      </c>
      <c r="U541" s="262" t="n">
        <f aca="false">ROUND(ROUND(2*((5/8)*MAX(M541,O541)+(3/8)*MIN(M541,O541)),0)*(1+(P541-75)/500),0)</f>
        <v>163</v>
      </c>
      <c r="V541" s="361" t="n">
        <f aca="false">ROUNDDOWN(K541*1.75+50,0)</f>
        <v>181</v>
      </c>
      <c r="W541" s="261" t="n">
        <v>0</v>
      </c>
      <c r="X541" s="261" t="s">
        <v>574</v>
      </c>
      <c r="Y541" s="364" t="s">
        <v>574</v>
      </c>
      <c r="Z541" s="364" t="n">
        <v>5</v>
      </c>
      <c r="AA541" s="364"/>
      <c r="AB541" s="365"/>
      <c r="AC541" s="364"/>
      <c r="AD541" s="364"/>
      <c r="AE541" s="366"/>
      <c r="AF541" s="364" t="s">
        <v>1412</v>
      </c>
      <c r="AG541" s="364" t="s">
        <v>1412</v>
      </c>
      <c r="AH541" s="366" t="s">
        <v>1412</v>
      </c>
    </row>
    <row r="542" customFormat="false" ht="15.75" hidden="false" customHeight="false" outlineLevel="0" collapsed="false">
      <c r="A542" s="262" t="n">
        <v>467</v>
      </c>
      <c r="B542" s="361" t="n">
        <v>540</v>
      </c>
      <c r="C542" s="261" t="s">
        <v>1413</v>
      </c>
      <c r="D542" s="261" t="s">
        <v>60</v>
      </c>
      <c r="E542" s="362" t="s">
        <v>1413</v>
      </c>
      <c r="F542" s="261" t="s">
        <v>1237</v>
      </c>
      <c r="G542" s="261" t="s">
        <v>144</v>
      </c>
      <c r="H542" s="261" t="n">
        <v>0</v>
      </c>
      <c r="I542" s="261" t="n">
        <v>3</v>
      </c>
      <c r="J542" s="361" t="n">
        <v>1</v>
      </c>
      <c r="K542" s="262" t="n">
        <v>75</v>
      </c>
      <c r="L542" s="262" t="n">
        <v>95</v>
      </c>
      <c r="M542" s="262" t="n">
        <v>67</v>
      </c>
      <c r="N542" s="262" t="n">
        <v>125</v>
      </c>
      <c r="O542" s="262" t="n">
        <v>95</v>
      </c>
      <c r="P542" s="361" t="n">
        <v>83</v>
      </c>
      <c r="Q542" s="261" t="s">
        <v>153</v>
      </c>
      <c r="R542" s="261"/>
      <c r="S542" s="363" t="n">
        <f aca="false" t="array" ref="S542:S542">IF(COUNTIF('0.3.0 GO Calculation Values'!$J$2:$J$99,C542),(INDEX('0.3.0 GO Calculation Values'!$K$2:$K$99,MATCH(C542,'0.3.0 GO Calculation Values'!$J$2:$J$99,0))),1)</f>
        <v>1</v>
      </c>
      <c r="T542" s="262" t="n">
        <f aca="false">ROUND(ROUND(2*((7/8)*MAX(L542,N542)+(1/8)*MIN(L542,N542)),0)*(1+(P542-75)/500),0)</f>
        <v>247</v>
      </c>
      <c r="U542" s="262" t="n">
        <f aca="false">ROUND(ROUND(2*((5/8)*MAX(M542,O542)+(3/8)*MIN(M542,O542)),0)*(1+(P542-75)/500),0)</f>
        <v>172</v>
      </c>
      <c r="V542" s="361" t="n">
        <f aca="false">ROUNDDOWN(K542*1.75+50,0)</f>
        <v>181</v>
      </c>
      <c r="W542" s="261" t="n">
        <v>0</v>
      </c>
      <c r="X542" s="261" t="s">
        <v>577</v>
      </c>
      <c r="Y542" s="364" t="s">
        <v>577</v>
      </c>
      <c r="Z542" s="364" t="n">
        <v>5</v>
      </c>
      <c r="AA542" s="364"/>
      <c r="AB542" s="365"/>
      <c r="AC542" s="364"/>
      <c r="AD542" s="364"/>
      <c r="AE542" s="366"/>
      <c r="AF542" s="364" t="s">
        <v>1414</v>
      </c>
      <c r="AG542" s="364" t="s">
        <v>1414</v>
      </c>
      <c r="AH542" s="366" t="s">
        <v>1414</v>
      </c>
    </row>
    <row r="543" customFormat="false" ht="15.75" hidden="false" customHeight="false" outlineLevel="0" collapsed="false">
      <c r="A543" s="262" t="n">
        <v>468</v>
      </c>
      <c r="B543" s="361" t="n">
        <v>541</v>
      </c>
      <c r="C543" s="261" t="s">
        <v>1415</v>
      </c>
      <c r="D543" s="261" t="s">
        <v>60</v>
      </c>
      <c r="E543" s="362" t="s">
        <v>1415</v>
      </c>
      <c r="F543" s="261" t="s">
        <v>1237</v>
      </c>
      <c r="G543" s="261" t="s">
        <v>144</v>
      </c>
      <c r="H543" s="261" t="n">
        <v>0</v>
      </c>
      <c r="I543" s="261" t="n">
        <v>3</v>
      </c>
      <c r="J543" s="361" t="n">
        <v>1</v>
      </c>
      <c r="K543" s="262" t="n">
        <v>85</v>
      </c>
      <c r="L543" s="262" t="n">
        <v>50</v>
      </c>
      <c r="M543" s="262" t="n">
        <v>95</v>
      </c>
      <c r="N543" s="262" t="n">
        <v>120</v>
      </c>
      <c r="O543" s="262" t="n">
        <v>115</v>
      </c>
      <c r="P543" s="361" t="n">
        <v>80</v>
      </c>
      <c r="Q543" s="261" t="s">
        <v>161</v>
      </c>
      <c r="R543" s="261" t="s">
        <v>146</v>
      </c>
      <c r="S543" s="363" t="n">
        <f aca="false" t="array" ref="S543:S543">IF(COUNTIF('0.3.0 GO Calculation Values'!$J$2:$J$99,C543),(INDEX('0.3.0 GO Calculation Values'!$K$2:$K$99,MATCH(C543,'0.3.0 GO Calculation Values'!$J$2:$J$99,0))),1)</f>
        <v>1</v>
      </c>
      <c r="T543" s="262" t="n">
        <f aca="false">ROUND(ROUND(2*((7/8)*MAX(L543,N543)+(1/8)*MIN(L543,N543)),0)*(1+(P543-75)/500),0)</f>
        <v>225</v>
      </c>
      <c r="U543" s="262" t="n">
        <f aca="false">ROUND(ROUND(2*((5/8)*MAX(M543,O543)+(3/8)*MIN(M543,O543)),0)*(1+(P543-75)/500),0)</f>
        <v>217</v>
      </c>
      <c r="V543" s="361" t="n">
        <f aca="false">ROUNDDOWN(K543*1.75+50,0)</f>
        <v>198</v>
      </c>
      <c r="W543" s="261" t="n">
        <v>0</v>
      </c>
      <c r="X543" s="261" t="s">
        <v>699</v>
      </c>
      <c r="Y543" s="261" t="s">
        <v>697</v>
      </c>
      <c r="Z543" s="364" t="n">
        <v>5</v>
      </c>
      <c r="AA543" s="364"/>
      <c r="AB543" s="365"/>
      <c r="AC543" s="364"/>
      <c r="AD543" s="364"/>
      <c r="AE543" s="366"/>
      <c r="AF543" s="364" t="s">
        <v>1416</v>
      </c>
      <c r="AG543" s="364" t="s">
        <v>1416</v>
      </c>
      <c r="AH543" s="366" t="s">
        <v>1416</v>
      </c>
    </row>
    <row r="544" customFormat="false" ht="15.75" hidden="false" customHeight="false" outlineLevel="0" collapsed="false">
      <c r="A544" s="262" t="n">
        <v>469</v>
      </c>
      <c r="B544" s="361" t="n">
        <v>542</v>
      </c>
      <c r="C544" s="261" t="s">
        <v>1417</v>
      </c>
      <c r="D544" s="261" t="s">
        <v>60</v>
      </c>
      <c r="E544" s="362" t="s">
        <v>1417</v>
      </c>
      <c r="F544" s="261" t="s">
        <v>1237</v>
      </c>
      <c r="G544" s="261" t="s">
        <v>144</v>
      </c>
      <c r="H544" s="261" t="n">
        <v>0</v>
      </c>
      <c r="I544" s="261" t="n">
        <v>2</v>
      </c>
      <c r="J544" s="361" t="n">
        <v>1</v>
      </c>
      <c r="K544" s="262" t="n">
        <v>86</v>
      </c>
      <c r="L544" s="262" t="n">
        <v>76</v>
      </c>
      <c r="M544" s="262" t="n">
        <v>86</v>
      </c>
      <c r="N544" s="262" t="n">
        <v>116</v>
      </c>
      <c r="O544" s="262" t="n">
        <v>56</v>
      </c>
      <c r="P544" s="361" t="n">
        <v>95</v>
      </c>
      <c r="Q544" s="261" t="s">
        <v>150</v>
      </c>
      <c r="R544" s="261" t="s">
        <v>146</v>
      </c>
      <c r="S544" s="363" t="n">
        <f aca="false" t="array" ref="S544:S544">IF(COUNTIF('0.3.0 GO Calculation Values'!$J$2:$J$99,C544),(INDEX('0.3.0 GO Calculation Values'!$K$2:$K$99,MATCH(C544,'0.3.0 GO Calculation Values'!$J$2:$J$99,0))),1)</f>
        <v>1</v>
      </c>
      <c r="T544" s="262" t="n">
        <f aca="false">ROUND(ROUND(2*((7/8)*MAX(L544,N544)+(1/8)*MIN(L544,N544)),0)*(1+(P544-75)/500),0)</f>
        <v>231</v>
      </c>
      <c r="U544" s="262" t="n">
        <f aca="false">ROUND(ROUND(2*((5/8)*MAX(M544,O544)+(3/8)*MIN(M544,O544)),0)*(1+(P544-75)/500),0)</f>
        <v>156</v>
      </c>
      <c r="V544" s="361" t="n">
        <f aca="false">ROUNDDOWN(K544*1.75+50,0)</f>
        <v>200</v>
      </c>
      <c r="W544" s="261" t="n">
        <v>0</v>
      </c>
      <c r="X544" s="261" t="s">
        <v>741</v>
      </c>
      <c r="Y544" s="364" t="s">
        <v>741</v>
      </c>
      <c r="Z544" s="364" t="n">
        <v>3</v>
      </c>
      <c r="AA544" s="364"/>
      <c r="AB544" s="365"/>
      <c r="AC544" s="364"/>
      <c r="AD544" s="364"/>
      <c r="AE544" s="366"/>
      <c r="AF544" s="364" t="s">
        <v>1418</v>
      </c>
      <c r="AG544" s="364" t="s">
        <v>1418</v>
      </c>
      <c r="AH544" s="366" t="s">
        <v>1418</v>
      </c>
    </row>
    <row r="545" customFormat="false" ht="15.75" hidden="false" customHeight="false" outlineLevel="0" collapsed="false">
      <c r="A545" s="262" t="n">
        <v>470</v>
      </c>
      <c r="B545" s="361" t="n">
        <v>543</v>
      </c>
      <c r="C545" s="261" t="s">
        <v>1419</v>
      </c>
      <c r="D545" s="261" t="s">
        <v>60</v>
      </c>
      <c r="E545" s="362" t="s">
        <v>1419</v>
      </c>
      <c r="F545" s="261" t="s">
        <v>1237</v>
      </c>
      <c r="G545" s="261" t="s">
        <v>144</v>
      </c>
      <c r="H545" s="261" t="n">
        <v>0</v>
      </c>
      <c r="I545" s="261" t="n">
        <v>2</v>
      </c>
      <c r="J545" s="361" t="n">
        <v>1</v>
      </c>
      <c r="K545" s="262" t="n">
        <v>65</v>
      </c>
      <c r="L545" s="262" t="n">
        <v>110</v>
      </c>
      <c r="M545" s="262" t="n">
        <v>130</v>
      </c>
      <c r="N545" s="262" t="n">
        <v>60</v>
      </c>
      <c r="O545" s="262" t="n">
        <v>65</v>
      </c>
      <c r="P545" s="361" t="n">
        <v>95</v>
      </c>
      <c r="Q545" s="261" t="s">
        <v>155</v>
      </c>
      <c r="R545" s="261"/>
      <c r="S545" s="363" t="n">
        <f aca="false" t="array" ref="S545:S545">IF(COUNTIF('0.3.0 GO Calculation Values'!$J$2:$J$99,C545),(INDEX('0.3.0 GO Calculation Values'!$K$2:$K$99,MATCH(C545,'0.3.0 GO Calculation Values'!$J$2:$J$99,0))),1)</f>
        <v>1</v>
      </c>
      <c r="T545" s="262" t="n">
        <f aca="false">ROUND(ROUND(2*((7/8)*MAX(L545,N545)+(1/8)*MIN(L545,N545)),0)*(1+(P545-75)/500),0)</f>
        <v>216</v>
      </c>
      <c r="U545" s="262" t="n">
        <f aca="false">ROUND(ROUND(2*((5/8)*MAX(M545,O545)+(3/8)*MIN(M545,O545)),0)*(1+(P545-75)/500),0)</f>
        <v>219</v>
      </c>
      <c r="V545" s="361" t="n">
        <f aca="false">ROUNDDOWN(K545*1.75+50,0)</f>
        <v>163</v>
      </c>
      <c r="W545" s="261" t="n">
        <v>0</v>
      </c>
      <c r="X545" s="261" t="s">
        <v>598</v>
      </c>
      <c r="Y545" s="364" t="s">
        <v>598</v>
      </c>
      <c r="Z545" s="364" t="n">
        <v>5</v>
      </c>
      <c r="AA545" s="364"/>
      <c r="AB545" s="365"/>
      <c r="AC545" s="364"/>
      <c r="AD545" s="364"/>
      <c r="AE545" s="366"/>
      <c r="AF545" s="364" t="s">
        <v>1420</v>
      </c>
      <c r="AG545" s="364" t="s">
        <v>1420</v>
      </c>
      <c r="AH545" s="366" t="s">
        <v>1420</v>
      </c>
    </row>
    <row r="546" customFormat="false" ht="15.75" hidden="false" customHeight="false" outlineLevel="0" collapsed="false">
      <c r="A546" s="262" t="n">
        <v>471</v>
      </c>
      <c r="B546" s="361" t="n">
        <v>544</v>
      </c>
      <c r="C546" s="261" t="s">
        <v>1421</v>
      </c>
      <c r="D546" s="261" t="s">
        <v>60</v>
      </c>
      <c r="E546" s="362" t="s">
        <v>1421</v>
      </c>
      <c r="F546" s="261" t="s">
        <v>1237</v>
      </c>
      <c r="G546" s="261" t="s">
        <v>144</v>
      </c>
      <c r="H546" s="261" t="n">
        <v>0</v>
      </c>
      <c r="I546" s="261" t="n">
        <v>2</v>
      </c>
      <c r="J546" s="361" t="n">
        <v>1</v>
      </c>
      <c r="K546" s="262" t="n">
        <v>65</v>
      </c>
      <c r="L546" s="262" t="n">
        <v>60</v>
      </c>
      <c r="M546" s="262" t="n">
        <v>110</v>
      </c>
      <c r="N546" s="262" t="n">
        <v>130</v>
      </c>
      <c r="O546" s="262" t="n">
        <v>95</v>
      </c>
      <c r="P546" s="361" t="n">
        <v>65</v>
      </c>
      <c r="Q546" s="261" t="s">
        <v>158</v>
      </c>
      <c r="R546" s="261"/>
      <c r="S546" s="363" t="n">
        <f aca="false" t="array" ref="S546:S546">IF(COUNTIF('0.3.0 GO Calculation Values'!$J$2:$J$99,C546),(INDEX('0.3.0 GO Calculation Values'!$K$2:$K$99,MATCH(C546,'0.3.0 GO Calculation Values'!$J$2:$J$99,0))),1)</f>
        <v>1</v>
      </c>
      <c r="T546" s="262" t="n">
        <f aca="false">ROUND(ROUND(2*((7/8)*MAX(L546,N546)+(1/8)*MIN(L546,N546)),0)*(1+(P546-75)/500),0)</f>
        <v>238</v>
      </c>
      <c r="U546" s="262" t="n">
        <f aca="false">ROUND(ROUND(2*((5/8)*MAX(M546,O546)+(3/8)*MIN(M546,O546)),0)*(1+(P546-75)/500),0)</f>
        <v>205</v>
      </c>
      <c r="V546" s="361" t="n">
        <f aca="false">ROUNDDOWN(K546*1.75+50,0)</f>
        <v>163</v>
      </c>
      <c r="W546" s="261" t="n">
        <v>0</v>
      </c>
      <c r="X546" s="261" t="s">
        <v>598</v>
      </c>
      <c r="Y546" s="364" t="s">
        <v>598</v>
      </c>
      <c r="Z546" s="364" t="n">
        <v>5</v>
      </c>
      <c r="AA546" s="364"/>
      <c r="AB546" s="365"/>
      <c r="AC546" s="364"/>
      <c r="AD546" s="364"/>
      <c r="AE546" s="366"/>
      <c r="AF546" s="364" t="s">
        <v>1422</v>
      </c>
      <c r="AG546" s="364" t="s">
        <v>1422</v>
      </c>
      <c r="AH546" s="366" t="s">
        <v>1422</v>
      </c>
    </row>
    <row r="547" customFormat="false" ht="15.75" hidden="false" customHeight="false" outlineLevel="0" collapsed="false">
      <c r="A547" s="262" t="n">
        <v>472</v>
      </c>
      <c r="B547" s="361" t="n">
        <v>545</v>
      </c>
      <c r="C547" s="261" t="s">
        <v>1423</v>
      </c>
      <c r="D547" s="261" t="s">
        <v>60</v>
      </c>
      <c r="E547" s="362" t="s">
        <v>1423</v>
      </c>
      <c r="F547" s="261" t="s">
        <v>1237</v>
      </c>
      <c r="G547" s="261" t="s">
        <v>144</v>
      </c>
      <c r="H547" s="261" t="n">
        <v>0</v>
      </c>
      <c r="I547" s="261" t="n">
        <v>2</v>
      </c>
      <c r="J547" s="361" t="n">
        <v>1</v>
      </c>
      <c r="K547" s="262" t="n">
        <v>75</v>
      </c>
      <c r="L547" s="262" t="n">
        <v>95</v>
      </c>
      <c r="M547" s="262" t="n">
        <v>125</v>
      </c>
      <c r="N547" s="262" t="n">
        <v>45</v>
      </c>
      <c r="O547" s="262" t="n">
        <v>75</v>
      </c>
      <c r="P547" s="361" t="n">
        <v>95</v>
      </c>
      <c r="Q547" s="261" t="s">
        <v>148</v>
      </c>
      <c r="R547" s="261" t="s">
        <v>146</v>
      </c>
      <c r="S547" s="363" t="n">
        <f aca="false" t="array" ref="S547:S547">IF(COUNTIF('0.3.0 GO Calculation Values'!$J$2:$J$99,C547),(INDEX('0.3.0 GO Calculation Values'!$K$2:$K$99,MATCH(C547,'0.3.0 GO Calculation Values'!$J$2:$J$99,0))),1)</f>
        <v>1</v>
      </c>
      <c r="T547" s="262" t="n">
        <f aca="false">ROUND(ROUND(2*((7/8)*MAX(L547,N547)+(1/8)*MIN(L547,N547)),0)*(1+(P547-75)/500),0)</f>
        <v>185</v>
      </c>
      <c r="U547" s="262" t="n">
        <f aca="false">ROUND(ROUND(2*((5/8)*MAX(M547,O547)+(3/8)*MIN(M547,O547)),0)*(1+(P547-75)/500),0)</f>
        <v>222</v>
      </c>
      <c r="V547" s="361" t="n">
        <f aca="false">ROUNDDOWN(K547*1.75+50,0)</f>
        <v>181</v>
      </c>
      <c r="W547" s="261" t="n">
        <v>0</v>
      </c>
      <c r="X547" s="261" t="s">
        <v>772</v>
      </c>
      <c r="Y547" s="364" t="s">
        <v>772</v>
      </c>
      <c r="Z547" s="364" t="n">
        <v>5</v>
      </c>
      <c r="AA547" s="364"/>
      <c r="AB547" s="365"/>
      <c r="AC547" s="364"/>
      <c r="AD547" s="364"/>
      <c r="AE547" s="366"/>
      <c r="AF547" s="364" t="s">
        <v>1424</v>
      </c>
      <c r="AG547" s="364" t="s">
        <v>1424</v>
      </c>
      <c r="AH547" s="366" t="s">
        <v>1424</v>
      </c>
    </row>
    <row r="548" customFormat="false" ht="15.75" hidden="false" customHeight="false" outlineLevel="0" collapsed="false">
      <c r="A548" s="262" t="n">
        <v>473</v>
      </c>
      <c r="B548" s="361" t="n">
        <v>546</v>
      </c>
      <c r="C548" s="261" t="s">
        <v>1425</v>
      </c>
      <c r="D548" s="261" t="s">
        <v>60</v>
      </c>
      <c r="E548" s="362" t="s">
        <v>1425</v>
      </c>
      <c r="F548" s="261" t="s">
        <v>1237</v>
      </c>
      <c r="G548" s="261" t="s">
        <v>144</v>
      </c>
      <c r="H548" s="261" t="n">
        <v>0</v>
      </c>
      <c r="I548" s="261" t="n">
        <v>3</v>
      </c>
      <c r="J548" s="361" t="n">
        <v>1</v>
      </c>
      <c r="K548" s="262" t="n">
        <v>110</v>
      </c>
      <c r="L548" s="262" t="n">
        <v>130</v>
      </c>
      <c r="M548" s="262" t="n">
        <v>80</v>
      </c>
      <c r="N548" s="262" t="n">
        <v>70</v>
      </c>
      <c r="O548" s="262" t="n">
        <v>60</v>
      </c>
      <c r="P548" s="361" t="n">
        <v>80</v>
      </c>
      <c r="Q548" s="261" t="s">
        <v>158</v>
      </c>
      <c r="R548" s="261" t="s">
        <v>148</v>
      </c>
      <c r="S548" s="363" t="n">
        <f aca="false" t="array" ref="S548:S548">IF(COUNTIF('0.3.0 GO Calculation Values'!$J$2:$J$99,C548),(INDEX('0.3.0 GO Calculation Values'!$K$2:$K$99,MATCH(C548,'0.3.0 GO Calculation Values'!$J$2:$J$99,0))),1)</f>
        <v>1</v>
      </c>
      <c r="T548" s="262" t="n">
        <f aca="false">ROUND(ROUND(2*((7/8)*MAX(L548,N548)+(1/8)*MIN(L548,N548)),0)*(1+(P548-75)/500),0)</f>
        <v>247</v>
      </c>
      <c r="U548" s="262" t="n">
        <f aca="false">ROUND(ROUND(2*((5/8)*MAX(M548,O548)+(3/8)*MIN(M548,O548)),0)*(1+(P548-75)/500),0)</f>
        <v>146</v>
      </c>
      <c r="V548" s="361" t="n">
        <f aca="false">ROUNDDOWN(K548*1.75+50,0)</f>
        <v>242</v>
      </c>
      <c r="W548" s="261" t="n">
        <v>0</v>
      </c>
      <c r="X548" s="261" t="s">
        <v>810</v>
      </c>
      <c r="Y548" s="364" t="s">
        <v>808</v>
      </c>
      <c r="Z548" s="364" t="n">
        <v>3</v>
      </c>
      <c r="AA548" s="364"/>
      <c r="AB548" s="365"/>
      <c r="AC548" s="364"/>
      <c r="AD548" s="364"/>
      <c r="AE548" s="366"/>
      <c r="AF548" s="364" t="s">
        <v>1426</v>
      </c>
      <c r="AG548" s="364" t="s">
        <v>1426</v>
      </c>
      <c r="AH548" s="366" t="s">
        <v>1426</v>
      </c>
    </row>
    <row r="549" customFormat="false" ht="15.75" hidden="false" customHeight="false" outlineLevel="0" collapsed="false">
      <c r="A549" s="262" t="n">
        <v>474</v>
      </c>
      <c r="B549" s="361" t="n">
        <v>547</v>
      </c>
      <c r="C549" s="261" t="s">
        <v>1427</v>
      </c>
      <c r="D549" s="261" t="s">
        <v>60</v>
      </c>
      <c r="E549" s="362" t="s">
        <v>1427</v>
      </c>
      <c r="F549" s="261" t="s">
        <v>1237</v>
      </c>
      <c r="G549" s="261" t="s">
        <v>144</v>
      </c>
      <c r="H549" s="261" t="n">
        <v>0</v>
      </c>
      <c r="I549" s="261" t="n">
        <v>3</v>
      </c>
      <c r="J549" s="361" t="n">
        <v>1</v>
      </c>
      <c r="K549" s="262" t="n">
        <v>85</v>
      </c>
      <c r="L549" s="262" t="n">
        <v>80</v>
      </c>
      <c r="M549" s="262" t="n">
        <v>70</v>
      </c>
      <c r="N549" s="262" t="n">
        <v>135</v>
      </c>
      <c r="O549" s="262" t="n">
        <v>75</v>
      </c>
      <c r="P549" s="361" t="n">
        <v>90</v>
      </c>
      <c r="Q549" s="261" t="s">
        <v>144</v>
      </c>
      <c r="R549" s="261"/>
      <c r="S549" s="363" t="n">
        <f aca="false" t="array" ref="S549:S549">IF(COUNTIF('0.3.0 GO Calculation Values'!$J$2:$J$99,C549),(INDEX('0.3.0 GO Calculation Values'!$K$2:$K$99,MATCH(C549,'0.3.0 GO Calculation Values'!$J$2:$J$99,0))),1)</f>
        <v>1</v>
      </c>
      <c r="T549" s="262" t="n">
        <f aca="false">ROUND(ROUND(2*((7/8)*MAX(L549,N549)+(1/8)*MIN(L549,N549)),0)*(1+(P549-75)/500),0)</f>
        <v>264</v>
      </c>
      <c r="U549" s="262" t="n">
        <f aca="false">ROUND(ROUND(2*((5/8)*MAX(M549,O549)+(3/8)*MIN(M549,O549)),0)*(1+(P549-75)/500),0)</f>
        <v>150</v>
      </c>
      <c r="V549" s="361" t="n">
        <f aca="false">ROUNDDOWN(K549*1.75+50,0)</f>
        <v>198</v>
      </c>
      <c r="W549" s="261" t="n">
        <v>0</v>
      </c>
      <c r="X549" s="261" t="s">
        <v>839</v>
      </c>
      <c r="Y549" s="364" t="s">
        <v>606</v>
      </c>
      <c r="Z549" s="364" t="n">
        <v>3</v>
      </c>
      <c r="AA549" s="364"/>
      <c r="AB549" s="365"/>
      <c r="AC549" s="364"/>
      <c r="AD549" s="364"/>
      <c r="AE549" s="366"/>
      <c r="AF549" s="364" t="s">
        <v>1428</v>
      </c>
      <c r="AG549" s="364" t="s">
        <v>1428</v>
      </c>
      <c r="AH549" s="366" t="s">
        <v>1428</v>
      </c>
    </row>
    <row r="550" customFormat="false" ht="15.75" hidden="false" customHeight="false" outlineLevel="0" collapsed="false">
      <c r="A550" s="262" t="n">
        <v>475</v>
      </c>
      <c r="B550" s="361" t="n">
        <v>548</v>
      </c>
      <c r="C550" s="261" t="s">
        <v>1429</v>
      </c>
      <c r="D550" s="261" t="s">
        <v>7</v>
      </c>
      <c r="E550" s="367" t="s">
        <v>1429</v>
      </c>
      <c r="F550" s="261" t="s">
        <v>1237</v>
      </c>
      <c r="G550" s="261" t="s">
        <v>144</v>
      </c>
      <c r="H550" s="261" t="n">
        <v>0</v>
      </c>
      <c r="I550" s="261" t="n">
        <v>3</v>
      </c>
      <c r="J550" s="361" t="n">
        <v>1</v>
      </c>
      <c r="K550" s="262" t="n">
        <v>68</v>
      </c>
      <c r="L550" s="262" t="n">
        <v>125</v>
      </c>
      <c r="M550" s="262" t="n">
        <v>65</v>
      </c>
      <c r="N550" s="262" t="n">
        <v>65</v>
      </c>
      <c r="O550" s="262" t="n">
        <v>115</v>
      </c>
      <c r="P550" s="361" t="n">
        <v>80</v>
      </c>
      <c r="Q550" s="261" t="s">
        <v>157</v>
      </c>
      <c r="R550" s="261" t="s">
        <v>145</v>
      </c>
      <c r="S550" s="363" t="n">
        <f aca="false" t="array" ref="S550:S550">IF(COUNTIF('0.3.0 GO Calculation Values'!$J$2:$J$99,C550),(INDEX('0.3.0 GO Calculation Values'!$K$2:$K$99,MATCH(C550,'0.3.0 GO Calculation Values'!$J$2:$J$99,0))),1)</f>
        <v>1</v>
      </c>
      <c r="T550" s="262" t="n">
        <f aca="false">ROUND(ROUND(2*((7/8)*MAX(L550,N550)+(1/8)*MIN(L550,N550)),0)*(1+(P550-75)/500),0)</f>
        <v>237</v>
      </c>
      <c r="U550" s="262" t="n">
        <f aca="false">ROUND(ROUND(2*((5/8)*MAX(M550,O550)+(3/8)*MIN(M550,O550)),0)*(1+(P550-75)/500),0)</f>
        <v>195</v>
      </c>
      <c r="V550" s="361" t="n">
        <f aca="false">ROUNDDOWN(K550*1.75+50,0)</f>
        <v>169</v>
      </c>
      <c r="W550" s="261" t="n">
        <v>0</v>
      </c>
      <c r="X550" s="261" t="s">
        <v>947</v>
      </c>
      <c r="Y550" s="364" t="s">
        <v>945</v>
      </c>
      <c r="Z550" s="364" t="n">
        <v>5</v>
      </c>
      <c r="AA550" s="364"/>
      <c r="AB550" s="365"/>
      <c r="AC550" s="364"/>
      <c r="AD550" s="364"/>
      <c r="AE550" s="366"/>
      <c r="AF550" s="364" t="s">
        <v>1430</v>
      </c>
      <c r="AG550" s="364" t="s">
        <v>1430</v>
      </c>
      <c r="AH550" s="366" t="s">
        <v>1430</v>
      </c>
    </row>
    <row r="551" customFormat="false" ht="15.75" hidden="false" customHeight="false" outlineLevel="0" collapsed="false">
      <c r="A551" s="262" t="n">
        <v>475</v>
      </c>
      <c r="B551" s="361" t="n">
        <v>549</v>
      </c>
      <c r="C551" s="261" t="s">
        <v>1429</v>
      </c>
      <c r="D551" s="261" t="s">
        <v>1431</v>
      </c>
      <c r="E551" s="358" t="s">
        <v>1432</v>
      </c>
      <c r="F551" s="261" t="s">
        <v>1331</v>
      </c>
      <c r="G551" s="261" t="s">
        <v>144</v>
      </c>
      <c r="H551" s="261" t="n">
        <v>2</v>
      </c>
      <c r="I551" s="261" t="n">
        <v>3</v>
      </c>
      <c r="J551" s="361" t="n">
        <v>1</v>
      </c>
      <c r="K551" s="262" t="n">
        <v>68</v>
      </c>
      <c r="L551" s="262" t="n">
        <v>165</v>
      </c>
      <c r="M551" s="262" t="n">
        <v>95</v>
      </c>
      <c r="N551" s="262" t="n">
        <v>65</v>
      </c>
      <c r="O551" s="262" t="n">
        <v>115</v>
      </c>
      <c r="P551" s="361" t="n">
        <v>110</v>
      </c>
      <c r="Q551" s="261" t="s">
        <v>157</v>
      </c>
      <c r="R551" s="261" t="s">
        <v>145</v>
      </c>
      <c r="S551" s="363" t="n">
        <f aca="false" t="array" ref="S551:S551">IF(COUNTIF('0.3.0 GO Calculation Values'!$J$2:$J$99,C551),(INDEX('0.3.0 GO Calculation Values'!$K$2:$K$99,MATCH(C551,'0.3.0 GO Calculation Values'!$J$2:$J$99,0))),1)</f>
        <v>1</v>
      </c>
      <c r="T551" s="262" t="n">
        <f aca="false">ROUND(ROUND(2*((7/8)*MAX(L551,N551)+(1/8)*MIN(L551,N551)),0)*(1+(P551-75)/500),0)</f>
        <v>326</v>
      </c>
      <c r="U551" s="262" t="n">
        <f aca="false">ROUND(ROUND(2*((5/8)*MAX(M551,O551)+(3/8)*MIN(M551,O551)),0)*(1+(P551-75)/500),0)</f>
        <v>230</v>
      </c>
      <c r="V551" s="361" t="n">
        <f aca="false">ROUNDDOWN(K551*1.75+50,0)</f>
        <v>169</v>
      </c>
      <c r="W551" s="261" t="n">
        <v>0</v>
      </c>
      <c r="X551" s="261" t="s">
        <v>1429</v>
      </c>
      <c r="Y551" s="364" t="s">
        <v>945</v>
      </c>
      <c r="Z551" s="364" t="n">
        <v>5</v>
      </c>
      <c r="AA551" s="364"/>
      <c r="AB551" s="365"/>
      <c r="AC551" s="364"/>
      <c r="AD551" s="364"/>
      <c r="AE551" s="366"/>
      <c r="AF551" s="364" t="s">
        <v>1433</v>
      </c>
      <c r="AG551" s="364" t="s">
        <v>1433</v>
      </c>
      <c r="AH551" s="366" t="s">
        <v>1433</v>
      </c>
    </row>
    <row r="552" customFormat="false" ht="15.75" hidden="false" customHeight="false" outlineLevel="0" collapsed="false">
      <c r="A552" s="262" t="n">
        <v>476</v>
      </c>
      <c r="B552" s="361" t="n">
        <v>550</v>
      </c>
      <c r="C552" s="261" t="s">
        <v>1434</v>
      </c>
      <c r="D552" s="261" t="s">
        <v>60</v>
      </c>
      <c r="E552" s="362" t="s">
        <v>1434</v>
      </c>
      <c r="F552" s="261" t="s">
        <v>1237</v>
      </c>
      <c r="G552" s="261" t="s">
        <v>144</v>
      </c>
      <c r="H552" s="261" t="n">
        <v>0</v>
      </c>
      <c r="I552" s="261" t="n">
        <v>2</v>
      </c>
      <c r="J552" s="361" t="n">
        <v>1</v>
      </c>
      <c r="K552" s="262" t="n">
        <v>60</v>
      </c>
      <c r="L552" s="262" t="n">
        <v>55</v>
      </c>
      <c r="M552" s="262" t="n">
        <v>145</v>
      </c>
      <c r="N552" s="262" t="n">
        <v>75</v>
      </c>
      <c r="O552" s="262" t="n">
        <v>150</v>
      </c>
      <c r="P552" s="361" t="n">
        <v>40</v>
      </c>
      <c r="Q552" s="261" t="s">
        <v>149</v>
      </c>
      <c r="R552" s="261" t="s">
        <v>152</v>
      </c>
      <c r="S552" s="363" t="n">
        <f aca="false" t="array" ref="S552:S552">IF(COUNTIF('0.3.0 GO Calculation Values'!$J$2:$J$99,C552),(INDEX('0.3.0 GO Calculation Values'!$K$2:$K$99,MATCH(C552,'0.3.0 GO Calculation Values'!$J$2:$J$99,0))),1)</f>
        <v>1</v>
      </c>
      <c r="T552" s="262" t="n">
        <f aca="false">ROUND(ROUND(2*((7/8)*MAX(L552,N552)+(1/8)*MIN(L552,N552)),0)*(1+(P552-75)/500),0)</f>
        <v>135</v>
      </c>
      <c r="U552" s="262" t="n">
        <f aca="false">ROUND(ROUND(2*((5/8)*MAX(M552,O552)+(3/8)*MIN(M552,O552)),0)*(1+(P552-75)/500),0)</f>
        <v>275</v>
      </c>
      <c r="V552" s="361" t="n">
        <f aca="false">ROUNDDOWN(K552*1.75+50,0)</f>
        <v>155</v>
      </c>
      <c r="W552" s="261" t="n">
        <v>0</v>
      </c>
      <c r="X552" s="261" t="s">
        <v>985</v>
      </c>
      <c r="Y552" s="364" t="s">
        <v>985</v>
      </c>
      <c r="Z552" s="364" t="n">
        <v>3</v>
      </c>
      <c r="AA552" s="364"/>
      <c r="AB552" s="365"/>
      <c r="AC552" s="364"/>
      <c r="AD552" s="364"/>
      <c r="AE552" s="366"/>
      <c r="AF552" s="364" t="s">
        <v>1435</v>
      </c>
      <c r="AG552" s="364" t="s">
        <v>1435</v>
      </c>
      <c r="AH552" s="366" t="s">
        <v>1435</v>
      </c>
    </row>
    <row r="553" customFormat="false" ht="15.75" hidden="false" customHeight="false" outlineLevel="0" collapsed="false">
      <c r="A553" s="262" t="n">
        <v>477</v>
      </c>
      <c r="B553" s="361" t="n">
        <v>551</v>
      </c>
      <c r="C553" s="261" t="s">
        <v>1436</v>
      </c>
      <c r="D553" s="261" t="s">
        <v>60</v>
      </c>
      <c r="E553" s="362" t="s">
        <v>1436</v>
      </c>
      <c r="F553" s="261" t="s">
        <v>1237</v>
      </c>
      <c r="G553" s="261" t="s">
        <v>144</v>
      </c>
      <c r="H553" s="261" t="n">
        <v>0</v>
      </c>
      <c r="I553" s="261" t="n">
        <v>3</v>
      </c>
      <c r="J553" s="361" t="n">
        <v>1</v>
      </c>
      <c r="K553" s="262" t="n">
        <v>45</v>
      </c>
      <c r="L553" s="262" t="n">
        <v>100</v>
      </c>
      <c r="M553" s="262" t="n">
        <v>135</v>
      </c>
      <c r="N553" s="262" t="n">
        <v>65</v>
      </c>
      <c r="O553" s="262" t="n">
        <v>135</v>
      </c>
      <c r="P553" s="361" t="n">
        <v>45</v>
      </c>
      <c r="Q553" s="261" t="s">
        <v>151</v>
      </c>
      <c r="R553" s="261"/>
      <c r="S553" s="363" t="n">
        <f aca="false" t="array" ref="S553:S553">IF(COUNTIF('0.3.0 GO Calculation Values'!$J$2:$J$99,C553),(INDEX('0.3.0 GO Calculation Values'!$K$2:$K$99,MATCH(C553,'0.3.0 GO Calculation Values'!$J$2:$J$99,0))),1)</f>
        <v>1</v>
      </c>
      <c r="T553" s="262" t="n">
        <f aca="false">ROUND(ROUND(2*((7/8)*MAX(L553,N553)+(1/8)*MIN(L553,N553)),0)*(1+(P553-75)/500),0)</f>
        <v>180</v>
      </c>
      <c r="U553" s="262" t="n">
        <f aca="false">ROUND(ROUND(2*((5/8)*MAX(M553,O553)+(3/8)*MIN(M553,O553)),0)*(1+(P553-75)/500),0)</f>
        <v>254</v>
      </c>
      <c r="V553" s="361" t="n">
        <f aca="false">ROUNDDOWN(K553*1.75+50,0)</f>
        <v>128</v>
      </c>
      <c r="W553" s="261" t="n">
        <v>0</v>
      </c>
      <c r="X553" s="261" t="s">
        <v>1137</v>
      </c>
      <c r="Y553" s="364" t="s">
        <v>1135</v>
      </c>
      <c r="Z553" s="364" t="n">
        <v>3</v>
      </c>
      <c r="AA553" s="364"/>
      <c r="AB553" s="365"/>
      <c r="AC553" s="364"/>
      <c r="AD553" s="364"/>
      <c r="AE553" s="366"/>
      <c r="AF553" s="364" t="s">
        <v>1437</v>
      </c>
      <c r="AG553" s="364" t="s">
        <v>1437</v>
      </c>
      <c r="AH553" s="366" t="s">
        <v>1437</v>
      </c>
    </row>
    <row r="554" customFormat="false" ht="15.75" hidden="false" customHeight="false" outlineLevel="0" collapsed="false">
      <c r="A554" s="262" t="n">
        <v>478</v>
      </c>
      <c r="B554" s="361" t="n">
        <v>552</v>
      </c>
      <c r="C554" s="261" t="s">
        <v>1438</v>
      </c>
      <c r="D554" s="261" t="s">
        <v>60</v>
      </c>
      <c r="E554" s="362" t="s">
        <v>1438</v>
      </c>
      <c r="F554" s="261" t="s">
        <v>1237</v>
      </c>
      <c r="G554" s="261" t="s">
        <v>144</v>
      </c>
      <c r="H554" s="261" t="n">
        <v>0</v>
      </c>
      <c r="I554" s="261" t="n">
        <v>2</v>
      </c>
      <c r="J554" s="361" t="n">
        <v>1</v>
      </c>
      <c r="K554" s="262" t="n">
        <v>70</v>
      </c>
      <c r="L554" s="262" t="n">
        <v>80</v>
      </c>
      <c r="M554" s="262" t="n">
        <v>70</v>
      </c>
      <c r="N554" s="262" t="n">
        <v>80</v>
      </c>
      <c r="O554" s="262" t="n">
        <v>70</v>
      </c>
      <c r="P554" s="361" t="n">
        <v>110</v>
      </c>
      <c r="Q554" s="261" t="s">
        <v>158</v>
      </c>
      <c r="R554" s="261" t="s">
        <v>151</v>
      </c>
      <c r="S554" s="363" t="n">
        <f aca="false" t="array" ref="S554:S554">IF(COUNTIF('0.3.0 GO Calculation Values'!$J$2:$J$99,C554),(INDEX('0.3.0 GO Calculation Values'!$K$2:$K$99,MATCH(C554,'0.3.0 GO Calculation Values'!$J$2:$J$99,0))),1)</f>
        <v>1</v>
      </c>
      <c r="T554" s="262" t="n">
        <f aca="false">ROUND(ROUND(2*((7/8)*MAX(L554,N554)+(1/8)*MIN(L554,N554)),0)*(1+(P554-75)/500),0)</f>
        <v>171</v>
      </c>
      <c r="U554" s="262" t="n">
        <f aca="false">ROUND(ROUND(2*((5/8)*MAX(M554,O554)+(3/8)*MIN(M554,O554)),0)*(1+(P554-75)/500),0)</f>
        <v>150</v>
      </c>
      <c r="V554" s="361" t="n">
        <f aca="false">ROUNDDOWN(K554*1.75+50,0)</f>
        <v>172</v>
      </c>
      <c r="W554" s="261" t="n">
        <v>0</v>
      </c>
      <c r="X554" s="261" t="s">
        <v>1150</v>
      </c>
      <c r="Y554" s="364" t="s">
        <v>1150</v>
      </c>
      <c r="Z554" s="364" t="n">
        <v>3</v>
      </c>
      <c r="AA554" s="364"/>
      <c r="AB554" s="365"/>
      <c r="AC554" s="364"/>
      <c r="AD554" s="364"/>
      <c r="AE554" s="366"/>
      <c r="AF554" s="364" t="s">
        <v>1439</v>
      </c>
      <c r="AG554" s="364" t="s">
        <v>1439</v>
      </c>
      <c r="AH554" s="366" t="s">
        <v>1439</v>
      </c>
    </row>
    <row r="555" customFormat="false" ht="15.75" hidden="false" customHeight="false" outlineLevel="0" collapsed="false">
      <c r="A555" s="262" t="n">
        <v>479</v>
      </c>
      <c r="B555" s="361" t="n">
        <v>553</v>
      </c>
      <c r="C555" s="261" t="s">
        <v>1440</v>
      </c>
      <c r="D555" s="261" t="s">
        <v>7</v>
      </c>
      <c r="E555" s="358" t="s">
        <v>1440</v>
      </c>
      <c r="F555" s="261" t="s">
        <v>1237</v>
      </c>
      <c r="G555" s="261" t="s">
        <v>144</v>
      </c>
      <c r="H555" s="261" t="n">
        <v>0</v>
      </c>
      <c r="I555" s="261" t="n">
        <v>1</v>
      </c>
      <c r="J555" s="361" t="n">
        <v>1</v>
      </c>
      <c r="K555" s="262" t="n">
        <v>50</v>
      </c>
      <c r="L555" s="262" t="n">
        <v>50</v>
      </c>
      <c r="M555" s="262" t="n">
        <v>77</v>
      </c>
      <c r="N555" s="262" t="n">
        <v>95</v>
      </c>
      <c r="O555" s="262" t="n">
        <v>77</v>
      </c>
      <c r="P555" s="361" t="n">
        <v>91</v>
      </c>
      <c r="Q555" s="261" t="s">
        <v>156</v>
      </c>
      <c r="R555" s="261" t="s">
        <v>151</v>
      </c>
      <c r="S555" s="363" t="n">
        <f aca="false" t="array" ref="S555:S555">IF(COUNTIF('0.3.0 GO Calculation Values'!$J$2:$J$99,C555),(INDEX('0.3.0 GO Calculation Values'!$K$2:$K$99,MATCH(C555,'0.3.0 GO Calculation Values'!$J$2:$J$99,0))),1)</f>
        <v>1</v>
      </c>
      <c r="T555" s="262" t="n">
        <f aca="false">ROUND(ROUND(2*((7/8)*MAX(L555,N555)+(1/8)*MIN(L555,N555)),0)*(1+(P555-75)/500),0)</f>
        <v>185</v>
      </c>
      <c r="U555" s="262" t="n">
        <f aca="false">ROUND(ROUND(2*((5/8)*MAX(M555,O555)+(3/8)*MIN(M555,O555)),0)*(1+(P555-75)/500),0)</f>
        <v>159</v>
      </c>
      <c r="V555" s="361" t="n">
        <f aca="false">ROUNDDOWN(K555*1.75+50,0)</f>
        <v>137</v>
      </c>
      <c r="W555" s="261" t="n">
        <v>0</v>
      </c>
      <c r="X555" s="261" t="s">
        <v>60</v>
      </c>
      <c r="Y555" s="364" t="s">
        <v>1440</v>
      </c>
      <c r="Z555" s="364"/>
      <c r="AA555" s="364"/>
      <c r="AB555" s="365"/>
      <c r="AC555" s="364"/>
      <c r="AD555" s="364"/>
      <c r="AE555" s="366"/>
      <c r="AF555" s="261" t="s">
        <v>1441</v>
      </c>
      <c r="AG555" s="261" t="s">
        <v>1442</v>
      </c>
      <c r="AH555" s="362" t="s">
        <v>1442</v>
      </c>
    </row>
    <row r="556" customFormat="false" ht="15.75" hidden="false" customHeight="false" outlineLevel="0" collapsed="false">
      <c r="A556" s="262" t="n">
        <v>479</v>
      </c>
      <c r="B556" s="361" t="n">
        <v>554</v>
      </c>
      <c r="C556" s="261" t="s">
        <v>1440</v>
      </c>
      <c r="D556" s="261" t="s">
        <v>1443</v>
      </c>
      <c r="E556" s="358" t="s">
        <v>1444</v>
      </c>
      <c r="F556" s="261" t="s">
        <v>1237</v>
      </c>
      <c r="G556" s="261" t="s">
        <v>144</v>
      </c>
      <c r="H556" s="261" t="n">
        <v>1</v>
      </c>
      <c r="I556" s="261" t="n">
        <v>1</v>
      </c>
      <c r="J556" s="361" t="n">
        <v>1</v>
      </c>
      <c r="K556" s="262" t="n">
        <v>50</v>
      </c>
      <c r="L556" s="262" t="n">
        <v>65</v>
      </c>
      <c r="M556" s="262" t="n">
        <v>107</v>
      </c>
      <c r="N556" s="262" t="n">
        <v>105</v>
      </c>
      <c r="O556" s="262" t="n">
        <v>107</v>
      </c>
      <c r="P556" s="361" t="n">
        <v>86</v>
      </c>
      <c r="Q556" s="261" t="s">
        <v>156</v>
      </c>
      <c r="R556" s="261" t="s">
        <v>153</v>
      </c>
      <c r="S556" s="363" t="n">
        <f aca="false" t="array" ref="S556:S556">IF(COUNTIF('0.3.0 GO Calculation Values'!$J$2:$J$99,C556),(INDEX('0.3.0 GO Calculation Values'!$K$2:$K$99,MATCH(C556,'0.3.0 GO Calculation Values'!$J$2:$J$99,0))),1)</f>
        <v>1</v>
      </c>
      <c r="T556" s="262" t="n">
        <f aca="false">ROUND(ROUND(2*((7/8)*MAX(L556,N556)+(1/8)*MIN(L556,N556)),0)*(1+(P556-75)/500),0)</f>
        <v>204</v>
      </c>
      <c r="U556" s="262" t="n">
        <f aca="false">ROUND(ROUND(2*((5/8)*MAX(M556,O556)+(3/8)*MIN(M556,O556)),0)*(1+(P556-75)/500),0)</f>
        <v>219</v>
      </c>
      <c r="V556" s="361" t="n">
        <f aca="false">ROUNDDOWN(K556*1.75+50,0)</f>
        <v>137</v>
      </c>
      <c r="W556" s="261" t="n">
        <v>0</v>
      </c>
      <c r="X556" s="261" t="s">
        <v>60</v>
      </c>
      <c r="Y556" s="364" t="s">
        <v>1440</v>
      </c>
      <c r="Z556" s="364"/>
      <c r="AA556" s="364"/>
      <c r="AB556" s="365"/>
      <c r="AC556" s="364"/>
      <c r="AD556" s="364"/>
      <c r="AE556" s="366"/>
      <c r="AF556" s="261" t="s">
        <v>1445</v>
      </c>
      <c r="AG556" s="261" t="s">
        <v>1445</v>
      </c>
      <c r="AH556" s="362" t="s">
        <v>1445</v>
      </c>
    </row>
    <row r="557" customFormat="false" ht="15.75" hidden="false" customHeight="false" outlineLevel="0" collapsed="false">
      <c r="A557" s="262" t="n">
        <v>479</v>
      </c>
      <c r="B557" s="361" t="n">
        <v>555</v>
      </c>
      <c r="C557" s="261" t="s">
        <v>1440</v>
      </c>
      <c r="D557" s="261" t="s">
        <v>1446</v>
      </c>
      <c r="E557" s="358" t="s">
        <v>1447</v>
      </c>
      <c r="F557" s="261" t="s">
        <v>1237</v>
      </c>
      <c r="G557" s="261" t="s">
        <v>144</v>
      </c>
      <c r="H557" s="261" t="n">
        <v>1</v>
      </c>
      <c r="I557" s="261" t="n">
        <v>1</v>
      </c>
      <c r="J557" s="361" t="n">
        <v>1</v>
      </c>
      <c r="K557" s="262" t="n">
        <v>50</v>
      </c>
      <c r="L557" s="262" t="n">
        <v>65</v>
      </c>
      <c r="M557" s="262" t="n">
        <v>107</v>
      </c>
      <c r="N557" s="262" t="n">
        <v>105</v>
      </c>
      <c r="O557" s="262" t="n">
        <v>107</v>
      </c>
      <c r="P557" s="361" t="n">
        <v>86</v>
      </c>
      <c r="Q557" s="261" t="s">
        <v>156</v>
      </c>
      <c r="R557" s="261" t="s">
        <v>154</v>
      </c>
      <c r="S557" s="363" t="n">
        <f aca="false" t="array" ref="S557:S557">IF(COUNTIF('0.3.0 GO Calculation Values'!$J$2:$J$99,C557),(INDEX('0.3.0 GO Calculation Values'!$K$2:$K$99,MATCH(C557,'0.3.0 GO Calculation Values'!$J$2:$J$99,0))),1)</f>
        <v>1</v>
      </c>
      <c r="T557" s="262" t="n">
        <f aca="false">ROUND(ROUND(2*((7/8)*MAX(L557,N557)+(1/8)*MIN(L557,N557)),0)*(1+(P557-75)/500),0)</f>
        <v>204</v>
      </c>
      <c r="U557" s="262" t="n">
        <f aca="false">ROUND(ROUND(2*((5/8)*MAX(M557,O557)+(3/8)*MIN(M557,O557)),0)*(1+(P557-75)/500),0)</f>
        <v>219</v>
      </c>
      <c r="V557" s="361" t="n">
        <f aca="false">ROUNDDOWN(K557*1.75+50,0)</f>
        <v>137</v>
      </c>
      <c r="W557" s="261" t="n">
        <v>0</v>
      </c>
      <c r="X557" s="261" t="s">
        <v>60</v>
      </c>
      <c r="Y557" s="364" t="s">
        <v>1440</v>
      </c>
      <c r="Z557" s="364"/>
      <c r="AA557" s="364"/>
      <c r="AB557" s="365"/>
      <c r="AC557" s="364"/>
      <c r="AD557" s="364"/>
      <c r="AE557" s="366"/>
      <c r="AF557" s="261" t="s">
        <v>1448</v>
      </c>
      <c r="AG557" s="261" t="s">
        <v>1448</v>
      </c>
      <c r="AH557" s="362" t="s">
        <v>1448</v>
      </c>
    </row>
    <row r="558" customFormat="false" ht="15.75" hidden="false" customHeight="false" outlineLevel="0" collapsed="false">
      <c r="A558" s="262" t="n">
        <v>479</v>
      </c>
      <c r="B558" s="361" t="n">
        <v>556</v>
      </c>
      <c r="C558" s="261" t="s">
        <v>1440</v>
      </c>
      <c r="D558" s="261" t="s">
        <v>1449</v>
      </c>
      <c r="E558" s="358" t="s">
        <v>1450</v>
      </c>
      <c r="F558" s="261" t="s">
        <v>1237</v>
      </c>
      <c r="G558" s="261" t="s">
        <v>144</v>
      </c>
      <c r="H558" s="261" t="n">
        <v>1</v>
      </c>
      <c r="I558" s="261" t="n">
        <v>1</v>
      </c>
      <c r="J558" s="361" t="n">
        <v>1</v>
      </c>
      <c r="K558" s="262" t="n">
        <v>50</v>
      </c>
      <c r="L558" s="262" t="n">
        <v>65</v>
      </c>
      <c r="M558" s="262" t="n">
        <v>107</v>
      </c>
      <c r="N558" s="262" t="n">
        <v>105</v>
      </c>
      <c r="O558" s="262" t="n">
        <v>107</v>
      </c>
      <c r="P558" s="361" t="n">
        <v>86</v>
      </c>
      <c r="Q558" s="261" t="s">
        <v>156</v>
      </c>
      <c r="R558" s="261" t="s">
        <v>158</v>
      </c>
      <c r="S558" s="363" t="n">
        <f aca="false" t="array" ref="S558:S558">IF(COUNTIF('0.3.0 GO Calculation Values'!$J$2:$J$99,C558),(INDEX('0.3.0 GO Calculation Values'!$K$2:$K$99,MATCH(C558,'0.3.0 GO Calculation Values'!$J$2:$J$99,0))),1)</f>
        <v>1</v>
      </c>
      <c r="T558" s="262" t="n">
        <f aca="false">ROUND(ROUND(2*((7/8)*MAX(L558,N558)+(1/8)*MIN(L558,N558)),0)*(1+(P558-75)/500),0)</f>
        <v>204</v>
      </c>
      <c r="U558" s="262" t="n">
        <f aca="false">ROUND(ROUND(2*((5/8)*MAX(M558,O558)+(3/8)*MIN(M558,O558)),0)*(1+(P558-75)/500),0)</f>
        <v>219</v>
      </c>
      <c r="V558" s="361" t="n">
        <f aca="false">ROUNDDOWN(K558*1.75+50,0)</f>
        <v>137</v>
      </c>
      <c r="W558" s="261" t="n">
        <v>0</v>
      </c>
      <c r="X558" s="261" t="s">
        <v>60</v>
      </c>
      <c r="Y558" s="364" t="s">
        <v>1440</v>
      </c>
      <c r="Z558" s="364"/>
      <c r="AA558" s="364"/>
      <c r="AB558" s="365"/>
      <c r="AC558" s="364"/>
      <c r="AD558" s="364"/>
      <c r="AE558" s="366"/>
      <c r="AF558" s="261" t="s">
        <v>1451</v>
      </c>
      <c r="AG558" s="261" t="s">
        <v>1451</v>
      </c>
      <c r="AH558" s="362" t="s">
        <v>1451</v>
      </c>
    </row>
    <row r="559" customFormat="false" ht="15.75" hidden="false" customHeight="false" outlineLevel="0" collapsed="false">
      <c r="A559" s="262" t="n">
        <v>479</v>
      </c>
      <c r="B559" s="361" t="n">
        <v>557</v>
      </c>
      <c r="C559" s="261" t="s">
        <v>1440</v>
      </c>
      <c r="D559" s="261" t="s">
        <v>1452</v>
      </c>
      <c r="E559" s="358" t="s">
        <v>1453</v>
      </c>
      <c r="F559" s="261" t="s">
        <v>1237</v>
      </c>
      <c r="G559" s="261" t="s">
        <v>144</v>
      </c>
      <c r="H559" s="261" t="n">
        <v>1</v>
      </c>
      <c r="I559" s="261" t="n">
        <v>1</v>
      </c>
      <c r="J559" s="361" t="n">
        <v>1</v>
      </c>
      <c r="K559" s="262" t="n">
        <v>50</v>
      </c>
      <c r="L559" s="262" t="n">
        <v>65</v>
      </c>
      <c r="M559" s="262" t="n">
        <v>107</v>
      </c>
      <c r="N559" s="262" t="n">
        <v>105</v>
      </c>
      <c r="O559" s="262" t="n">
        <v>107</v>
      </c>
      <c r="P559" s="361" t="n">
        <v>86</v>
      </c>
      <c r="Q559" s="261" t="s">
        <v>156</v>
      </c>
      <c r="R559" s="261" t="s">
        <v>146</v>
      </c>
      <c r="S559" s="363" t="n">
        <f aca="false" t="array" ref="S559:S559">IF(COUNTIF('0.3.0 GO Calculation Values'!$J$2:$J$99,C559),(INDEX('0.3.0 GO Calculation Values'!$K$2:$K$99,MATCH(C559,'0.3.0 GO Calculation Values'!$J$2:$J$99,0))),1)</f>
        <v>1</v>
      </c>
      <c r="T559" s="262" t="n">
        <f aca="false">ROUND(ROUND(2*((7/8)*MAX(L559,N559)+(1/8)*MIN(L559,N559)),0)*(1+(P559-75)/500),0)</f>
        <v>204</v>
      </c>
      <c r="U559" s="262" t="n">
        <f aca="false">ROUND(ROUND(2*((5/8)*MAX(M559,O559)+(3/8)*MIN(M559,O559)),0)*(1+(P559-75)/500),0)</f>
        <v>219</v>
      </c>
      <c r="V559" s="361" t="n">
        <f aca="false">ROUNDDOWN(K559*1.75+50,0)</f>
        <v>137</v>
      </c>
      <c r="W559" s="261" t="n">
        <v>0</v>
      </c>
      <c r="X559" s="261" t="s">
        <v>60</v>
      </c>
      <c r="Y559" s="364" t="s">
        <v>1440</v>
      </c>
      <c r="Z559" s="364"/>
      <c r="AA559" s="364"/>
      <c r="AB559" s="365"/>
      <c r="AC559" s="364"/>
      <c r="AD559" s="364"/>
      <c r="AE559" s="366"/>
      <c r="AF559" s="261" t="s">
        <v>1454</v>
      </c>
      <c r="AG559" s="261" t="s">
        <v>1454</v>
      </c>
      <c r="AH559" s="362" t="s">
        <v>1454</v>
      </c>
    </row>
    <row r="560" customFormat="false" ht="15.75" hidden="false" customHeight="false" outlineLevel="0" collapsed="false">
      <c r="A560" s="262" t="n">
        <v>479</v>
      </c>
      <c r="B560" s="361" t="n">
        <v>558</v>
      </c>
      <c r="C560" s="261" t="s">
        <v>1440</v>
      </c>
      <c r="D560" s="261" t="s">
        <v>1455</v>
      </c>
      <c r="E560" s="358" t="s">
        <v>1456</v>
      </c>
      <c r="F560" s="261" t="s">
        <v>1237</v>
      </c>
      <c r="G560" s="261" t="s">
        <v>144</v>
      </c>
      <c r="H560" s="261" t="n">
        <v>1</v>
      </c>
      <c r="I560" s="261" t="n">
        <v>1</v>
      </c>
      <c r="J560" s="361" t="n">
        <v>1</v>
      </c>
      <c r="K560" s="262" t="n">
        <v>50</v>
      </c>
      <c r="L560" s="262" t="n">
        <v>65</v>
      </c>
      <c r="M560" s="262" t="n">
        <v>107</v>
      </c>
      <c r="N560" s="262" t="n">
        <v>105</v>
      </c>
      <c r="O560" s="262" t="n">
        <v>107</v>
      </c>
      <c r="P560" s="361" t="n">
        <v>86</v>
      </c>
      <c r="Q560" s="261" t="s">
        <v>156</v>
      </c>
      <c r="R560" s="261" t="s">
        <v>155</v>
      </c>
      <c r="S560" s="363" t="n">
        <f aca="false" t="array" ref="S560:S560">IF(COUNTIF('0.3.0 GO Calculation Values'!$J$2:$J$99,C560),(INDEX('0.3.0 GO Calculation Values'!$K$2:$K$99,MATCH(C560,'0.3.0 GO Calculation Values'!$J$2:$J$99,0))),1)</f>
        <v>1</v>
      </c>
      <c r="T560" s="262" t="n">
        <f aca="false">ROUND(ROUND(2*((7/8)*MAX(L560,N560)+(1/8)*MIN(L560,N560)),0)*(1+(P560-75)/500),0)</f>
        <v>204</v>
      </c>
      <c r="U560" s="262" t="n">
        <f aca="false">ROUND(ROUND(2*((5/8)*MAX(M560,O560)+(3/8)*MIN(M560,O560)),0)*(1+(P560-75)/500),0)</f>
        <v>219</v>
      </c>
      <c r="V560" s="361" t="n">
        <f aca="false">ROUNDDOWN(K560*1.75+50,0)</f>
        <v>137</v>
      </c>
      <c r="W560" s="261" t="n">
        <v>0</v>
      </c>
      <c r="X560" s="261" t="s">
        <v>60</v>
      </c>
      <c r="Y560" s="364" t="s">
        <v>1440</v>
      </c>
      <c r="Z560" s="364"/>
      <c r="AA560" s="364"/>
      <c r="AB560" s="365"/>
      <c r="AC560" s="364"/>
      <c r="AD560" s="364"/>
      <c r="AE560" s="366"/>
      <c r="AF560" s="261" t="s">
        <v>1457</v>
      </c>
      <c r="AG560" s="261" t="s">
        <v>1457</v>
      </c>
      <c r="AH560" s="362" t="s">
        <v>1457</v>
      </c>
    </row>
    <row r="561" customFormat="false" ht="15.75" hidden="false" customHeight="false" outlineLevel="0" collapsed="false">
      <c r="A561" s="262" t="n">
        <v>480</v>
      </c>
      <c r="B561" s="361" t="n">
        <v>559</v>
      </c>
      <c r="C561" s="261" t="s">
        <v>1458</v>
      </c>
      <c r="D561" s="261" t="s">
        <v>60</v>
      </c>
      <c r="E561" s="362" t="s">
        <v>1458</v>
      </c>
      <c r="F561" s="261" t="s">
        <v>1237</v>
      </c>
      <c r="G561" s="261" t="s">
        <v>625</v>
      </c>
      <c r="H561" s="261" t="n">
        <v>0</v>
      </c>
      <c r="I561" s="261" t="n">
        <v>1</v>
      </c>
      <c r="J561" s="361" t="n">
        <v>1</v>
      </c>
      <c r="K561" s="262" t="n">
        <v>75</v>
      </c>
      <c r="L561" s="262" t="n">
        <v>75</v>
      </c>
      <c r="M561" s="262" t="n">
        <v>130</v>
      </c>
      <c r="N561" s="262" t="n">
        <v>75</v>
      </c>
      <c r="O561" s="262" t="n">
        <v>130</v>
      </c>
      <c r="P561" s="361" t="n">
        <v>95</v>
      </c>
      <c r="Q561" s="261" t="s">
        <v>157</v>
      </c>
      <c r="R561" s="261"/>
      <c r="S561" s="363" t="n">
        <f aca="false" t="array" ref="S561:S561">IF(COUNTIF('0.3.0 GO Calculation Values'!$J$2:$J$99,C561),(INDEX('0.3.0 GO Calculation Values'!$K$2:$K$99,MATCH(C561,'0.3.0 GO Calculation Values'!$J$2:$J$99,0))),1)</f>
        <v>1</v>
      </c>
      <c r="T561" s="262" t="n">
        <f aca="false">ROUND(ROUND(2*((7/8)*MAX(L561,N561)+(1/8)*MIN(L561,N561)),0)*(1+(P561-75)/500),0)</f>
        <v>156</v>
      </c>
      <c r="U561" s="262" t="n">
        <f aca="false">ROUND(ROUND(2*((5/8)*MAX(M561,O561)+(3/8)*MIN(M561,O561)),0)*(1+(P561-75)/500),0)</f>
        <v>270</v>
      </c>
      <c r="V561" s="361" t="n">
        <f aca="false">ROUNDDOWN(K561*1.75+50,0)</f>
        <v>181</v>
      </c>
      <c r="W561" s="261" t="n">
        <v>0</v>
      </c>
      <c r="X561" s="261" t="s">
        <v>60</v>
      </c>
      <c r="Y561" s="364" t="s">
        <v>1458</v>
      </c>
      <c r="Z561" s="364" t="n">
        <v>20</v>
      </c>
      <c r="AA561" s="364"/>
      <c r="AB561" s="365"/>
      <c r="AC561" s="364"/>
      <c r="AD561" s="364"/>
      <c r="AE561" s="366"/>
      <c r="AF561" s="364" t="s">
        <v>1459</v>
      </c>
      <c r="AG561" s="364" t="s">
        <v>1459</v>
      </c>
      <c r="AH561" s="366" t="s">
        <v>1459</v>
      </c>
    </row>
    <row r="562" customFormat="false" ht="15.75" hidden="false" customHeight="false" outlineLevel="0" collapsed="false">
      <c r="A562" s="262" t="n">
        <v>481</v>
      </c>
      <c r="B562" s="361" t="n">
        <v>560</v>
      </c>
      <c r="C562" s="261" t="s">
        <v>1460</v>
      </c>
      <c r="D562" s="261" t="s">
        <v>60</v>
      </c>
      <c r="E562" s="362" t="s">
        <v>1460</v>
      </c>
      <c r="F562" s="261" t="s">
        <v>1237</v>
      </c>
      <c r="G562" s="261" t="s">
        <v>625</v>
      </c>
      <c r="H562" s="261" t="n">
        <v>0</v>
      </c>
      <c r="I562" s="261" t="n">
        <v>1</v>
      </c>
      <c r="J562" s="361" t="n">
        <v>1</v>
      </c>
      <c r="K562" s="262" t="n">
        <v>80</v>
      </c>
      <c r="L562" s="262" t="n">
        <v>105</v>
      </c>
      <c r="M562" s="262" t="n">
        <v>105</v>
      </c>
      <c r="N562" s="262" t="n">
        <v>105</v>
      </c>
      <c r="O562" s="262" t="n">
        <v>105</v>
      </c>
      <c r="P562" s="361" t="n">
        <v>80</v>
      </c>
      <c r="Q562" s="261" t="s">
        <v>157</v>
      </c>
      <c r="R562" s="261"/>
      <c r="S562" s="363" t="n">
        <f aca="false" t="array" ref="S562:S562">IF(COUNTIF('0.3.0 GO Calculation Values'!$J$2:$J$99,C562),(INDEX('0.3.0 GO Calculation Values'!$K$2:$K$99,MATCH(C562,'0.3.0 GO Calculation Values'!$J$2:$J$99,0))),1)</f>
        <v>1</v>
      </c>
      <c r="T562" s="262" t="n">
        <f aca="false">ROUND(ROUND(2*((7/8)*MAX(L562,N562)+(1/8)*MIN(L562,N562)),0)*(1+(P562-75)/500),0)</f>
        <v>212</v>
      </c>
      <c r="U562" s="262" t="n">
        <f aca="false">ROUND(ROUND(2*((5/8)*MAX(M562,O562)+(3/8)*MIN(M562,O562)),0)*(1+(P562-75)/500),0)</f>
        <v>212</v>
      </c>
      <c r="V562" s="361" t="n">
        <f aca="false">ROUNDDOWN(K562*1.75+50,0)</f>
        <v>190</v>
      </c>
      <c r="W562" s="261" t="n">
        <v>0</v>
      </c>
      <c r="X562" s="261" t="s">
        <v>60</v>
      </c>
      <c r="Y562" s="364" t="s">
        <v>1460</v>
      </c>
      <c r="Z562" s="364" t="n">
        <v>20</v>
      </c>
      <c r="AA562" s="364"/>
      <c r="AB562" s="365"/>
      <c r="AC562" s="364"/>
      <c r="AD562" s="364"/>
      <c r="AE562" s="366"/>
      <c r="AF562" s="364" t="s">
        <v>1461</v>
      </c>
      <c r="AG562" s="364" t="s">
        <v>1461</v>
      </c>
      <c r="AH562" s="366" t="s">
        <v>1461</v>
      </c>
    </row>
    <row r="563" customFormat="false" ht="15.75" hidden="false" customHeight="false" outlineLevel="0" collapsed="false">
      <c r="A563" s="262" t="n">
        <v>482</v>
      </c>
      <c r="B563" s="361" t="n">
        <v>561</v>
      </c>
      <c r="C563" s="261" t="s">
        <v>1462</v>
      </c>
      <c r="D563" s="261" t="s">
        <v>60</v>
      </c>
      <c r="E563" s="362" t="s">
        <v>1462</v>
      </c>
      <c r="F563" s="261" t="s">
        <v>1237</v>
      </c>
      <c r="G563" s="261" t="s">
        <v>625</v>
      </c>
      <c r="H563" s="261" t="n">
        <v>0</v>
      </c>
      <c r="I563" s="261" t="n">
        <v>1</v>
      </c>
      <c r="J563" s="361" t="n">
        <v>1</v>
      </c>
      <c r="K563" s="262" t="n">
        <v>75</v>
      </c>
      <c r="L563" s="262" t="n">
        <v>125</v>
      </c>
      <c r="M563" s="262" t="n">
        <v>70</v>
      </c>
      <c r="N563" s="262" t="n">
        <v>125</v>
      </c>
      <c r="O563" s="262" t="n">
        <v>70</v>
      </c>
      <c r="P563" s="361" t="n">
        <v>115</v>
      </c>
      <c r="Q563" s="261" t="s">
        <v>157</v>
      </c>
      <c r="R563" s="261"/>
      <c r="S563" s="363" t="n">
        <f aca="false" t="array" ref="S563:S563">IF(COUNTIF('0.3.0 GO Calculation Values'!$J$2:$J$99,C563),(INDEX('0.3.0 GO Calculation Values'!$K$2:$K$99,MATCH(C563,'0.3.0 GO Calculation Values'!$J$2:$J$99,0))),1)</f>
        <v>1</v>
      </c>
      <c r="T563" s="262" t="n">
        <f aca="false">ROUND(ROUND(2*((7/8)*MAX(L563,N563)+(1/8)*MIN(L563,N563)),0)*(1+(P563-75)/500),0)</f>
        <v>270</v>
      </c>
      <c r="U563" s="262" t="n">
        <f aca="false">ROUND(ROUND(2*((5/8)*MAX(M563,O563)+(3/8)*MIN(M563,O563)),0)*(1+(P563-75)/500),0)</f>
        <v>151</v>
      </c>
      <c r="V563" s="361" t="n">
        <f aca="false">ROUNDDOWN(K563*1.75+50,0)</f>
        <v>181</v>
      </c>
      <c r="W563" s="261" t="n">
        <v>0</v>
      </c>
      <c r="X563" s="261" t="s">
        <v>60</v>
      </c>
      <c r="Y563" s="364" t="s">
        <v>1462</v>
      </c>
      <c r="Z563" s="364" t="n">
        <v>20</v>
      </c>
      <c r="AA563" s="364"/>
      <c r="AB563" s="365"/>
      <c r="AC563" s="364"/>
      <c r="AD563" s="364"/>
      <c r="AE563" s="366"/>
      <c r="AF563" s="364" t="s">
        <v>1463</v>
      </c>
      <c r="AG563" s="364" t="s">
        <v>1463</v>
      </c>
      <c r="AH563" s="366" t="s">
        <v>1463</v>
      </c>
    </row>
    <row r="564" customFormat="false" ht="15.75" hidden="false" customHeight="false" outlineLevel="0" collapsed="false">
      <c r="A564" s="262" t="n">
        <v>483</v>
      </c>
      <c r="B564" s="361" t="n">
        <v>562</v>
      </c>
      <c r="C564" s="261" t="s">
        <v>1464</v>
      </c>
      <c r="D564" s="261" t="s">
        <v>60</v>
      </c>
      <c r="E564" s="362" t="s">
        <v>1464</v>
      </c>
      <c r="F564" s="261" t="s">
        <v>1237</v>
      </c>
      <c r="G564" s="261" t="s">
        <v>639</v>
      </c>
      <c r="H564" s="261" t="n">
        <v>0</v>
      </c>
      <c r="I564" s="261" t="n">
        <v>1</v>
      </c>
      <c r="J564" s="361" t="n">
        <v>1</v>
      </c>
      <c r="K564" s="262" t="n">
        <v>100</v>
      </c>
      <c r="L564" s="262" t="n">
        <v>120</v>
      </c>
      <c r="M564" s="262" t="n">
        <v>120</v>
      </c>
      <c r="N564" s="262" t="n">
        <v>150</v>
      </c>
      <c r="O564" s="262" t="n">
        <v>100</v>
      </c>
      <c r="P564" s="361" t="n">
        <v>90</v>
      </c>
      <c r="Q564" s="261" t="s">
        <v>152</v>
      </c>
      <c r="R564" s="261" t="s">
        <v>159</v>
      </c>
      <c r="S564" s="368" t="n">
        <f aca="false" t="array" ref="S564:S564">IF(COUNTIF('0.3.0 GO Calculation Values'!$J$2:$J$99,C564),(INDEX('0.3.0 GO Calculation Values'!$K$2:$K$99,MATCH(C564,'0.3.0 GO Calculation Values'!$J$2:$J$99,0))),1)</f>
        <v>0.909090909090909</v>
      </c>
      <c r="T564" s="262" t="n">
        <f aca="false">ROUND(ROUND(2*((7/8)*MAX(L564,N564)+(1/8)*MIN(L564,N564)),0)*(1+(P564-75)/500),0)</f>
        <v>302</v>
      </c>
      <c r="U564" s="262" t="n">
        <f aca="false">ROUND(ROUND(2*((5/8)*MAX(M564,O564)+(3/8)*MIN(M564,O564)),0)*(1+(P564-75)/500),0)</f>
        <v>232</v>
      </c>
      <c r="V564" s="361" t="n">
        <f aca="false">ROUNDDOWN(K564*1.75+50,0)</f>
        <v>225</v>
      </c>
      <c r="W564" s="261" t="n">
        <v>0</v>
      </c>
      <c r="X564" s="261" t="s">
        <v>60</v>
      </c>
      <c r="Y564" s="364" t="s">
        <v>1464</v>
      </c>
      <c r="Z564" s="364" t="n">
        <v>20</v>
      </c>
      <c r="AA564" s="364"/>
      <c r="AB564" s="365"/>
      <c r="AC564" s="364"/>
      <c r="AD564" s="364"/>
      <c r="AE564" s="366"/>
      <c r="AF564" s="364" t="s">
        <v>1465</v>
      </c>
      <c r="AG564" s="364" t="s">
        <v>1465</v>
      </c>
      <c r="AH564" s="366" t="s">
        <v>1465</v>
      </c>
    </row>
    <row r="565" customFormat="false" ht="15.75" hidden="false" customHeight="false" outlineLevel="0" collapsed="false">
      <c r="A565" s="262" t="n">
        <v>484</v>
      </c>
      <c r="B565" s="361" t="n">
        <v>563</v>
      </c>
      <c r="C565" s="261" t="s">
        <v>1466</v>
      </c>
      <c r="D565" s="261" t="s">
        <v>60</v>
      </c>
      <c r="E565" s="362" t="s">
        <v>1466</v>
      </c>
      <c r="F565" s="261" t="s">
        <v>1237</v>
      </c>
      <c r="G565" s="261" t="s">
        <v>639</v>
      </c>
      <c r="H565" s="261" t="n">
        <v>0</v>
      </c>
      <c r="I565" s="261" t="n">
        <v>1</v>
      </c>
      <c r="J565" s="361" t="n">
        <v>1</v>
      </c>
      <c r="K565" s="262" t="n">
        <v>90</v>
      </c>
      <c r="L565" s="262" t="n">
        <v>120</v>
      </c>
      <c r="M565" s="262" t="n">
        <v>100</v>
      </c>
      <c r="N565" s="262" t="n">
        <v>150</v>
      </c>
      <c r="O565" s="262" t="n">
        <v>120</v>
      </c>
      <c r="P565" s="361" t="n">
        <v>100</v>
      </c>
      <c r="Q565" s="261" t="s">
        <v>154</v>
      </c>
      <c r="R565" s="261" t="s">
        <v>159</v>
      </c>
      <c r="S565" s="368" t="n">
        <f aca="false" t="array" ref="S565:S565">IF(COUNTIF('0.3.0 GO Calculation Values'!$J$2:$J$99,C565),(INDEX('0.3.0 GO Calculation Values'!$K$2:$K$99,MATCH(C565,'0.3.0 GO Calculation Values'!$J$2:$J$99,0))),1)</f>
        <v>0.909090909090909</v>
      </c>
      <c r="T565" s="262" t="n">
        <f aca="false">ROUND(ROUND(2*((7/8)*MAX(L565,N565)+(1/8)*MIN(L565,N565)),0)*(1+(P565-75)/500),0)</f>
        <v>308</v>
      </c>
      <c r="U565" s="262" t="n">
        <f aca="false">ROUND(ROUND(2*((5/8)*MAX(M565,O565)+(3/8)*MIN(M565,O565)),0)*(1+(P565-75)/500),0)</f>
        <v>236</v>
      </c>
      <c r="V565" s="361" t="n">
        <f aca="false">ROUNDDOWN(K565*1.75+50,0)</f>
        <v>207</v>
      </c>
      <c r="W565" s="261" t="n">
        <v>0</v>
      </c>
      <c r="X565" s="261" t="s">
        <v>60</v>
      </c>
      <c r="Y565" s="364" t="s">
        <v>1466</v>
      </c>
      <c r="Z565" s="364" t="n">
        <v>20</v>
      </c>
      <c r="AA565" s="364"/>
      <c r="AB565" s="365"/>
      <c r="AC565" s="364"/>
      <c r="AD565" s="364"/>
      <c r="AE565" s="366"/>
      <c r="AF565" s="364" t="s">
        <v>1467</v>
      </c>
      <c r="AG565" s="364" t="s">
        <v>1467</v>
      </c>
      <c r="AH565" s="366" t="s">
        <v>1467</v>
      </c>
    </row>
    <row r="566" customFormat="false" ht="15.75" hidden="false" customHeight="false" outlineLevel="0" collapsed="false">
      <c r="A566" s="262" t="n">
        <v>485</v>
      </c>
      <c r="B566" s="361" t="n">
        <v>564</v>
      </c>
      <c r="C566" s="261" t="s">
        <v>1468</v>
      </c>
      <c r="D566" s="261" t="s">
        <v>60</v>
      </c>
      <c r="E566" s="362" t="s">
        <v>1468</v>
      </c>
      <c r="F566" s="261" t="s">
        <v>1237</v>
      </c>
      <c r="G566" s="261" t="s">
        <v>1198</v>
      </c>
      <c r="H566" s="261" t="n">
        <v>0</v>
      </c>
      <c r="I566" s="261" t="n">
        <v>1</v>
      </c>
      <c r="J566" s="361" t="n">
        <v>1</v>
      </c>
      <c r="K566" s="262" t="n">
        <v>91</v>
      </c>
      <c r="L566" s="262" t="n">
        <v>90</v>
      </c>
      <c r="M566" s="262" t="n">
        <v>106</v>
      </c>
      <c r="N566" s="262" t="n">
        <v>130</v>
      </c>
      <c r="O566" s="262" t="n">
        <v>106</v>
      </c>
      <c r="P566" s="361" t="n">
        <v>77</v>
      </c>
      <c r="Q566" s="261" t="s">
        <v>153</v>
      </c>
      <c r="R566" s="261" t="s">
        <v>152</v>
      </c>
      <c r="S566" s="363" t="n">
        <f aca="false" t="array" ref="S566:S566">IF(COUNTIF('0.3.0 GO Calculation Values'!$J$2:$J$99,C566),(INDEX('0.3.0 GO Calculation Values'!$K$2:$K$99,MATCH(C566,'0.3.0 GO Calculation Values'!$J$2:$J$99,0))),1)</f>
        <v>1</v>
      </c>
      <c r="T566" s="262" t="n">
        <f aca="false">ROUND(ROUND(2*((7/8)*MAX(L566,N566)+(1/8)*MIN(L566,N566)),0)*(1+(P566-75)/500),0)</f>
        <v>251</v>
      </c>
      <c r="U566" s="262" t="n">
        <f aca="false">ROUND(ROUND(2*((5/8)*MAX(M566,O566)+(3/8)*MIN(M566,O566)),0)*(1+(P566-75)/500),0)</f>
        <v>213</v>
      </c>
      <c r="V566" s="361" t="n">
        <f aca="false">ROUNDDOWN(K566*1.75+50,0)</f>
        <v>209</v>
      </c>
      <c r="W566" s="261" t="n">
        <v>0</v>
      </c>
      <c r="X566" s="261" t="s">
        <v>60</v>
      </c>
      <c r="Y566" s="364" t="s">
        <v>1468</v>
      </c>
      <c r="Z566" s="364" t="n">
        <v>20</v>
      </c>
      <c r="AA566" s="364"/>
      <c r="AB566" s="365"/>
      <c r="AC566" s="364"/>
      <c r="AD566" s="364"/>
      <c r="AE566" s="366"/>
      <c r="AF566" s="364" t="s">
        <v>1469</v>
      </c>
      <c r="AG566" s="364" t="s">
        <v>1469</v>
      </c>
      <c r="AH566" s="366" t="s">
        <v>1469</v>
      </c>
    </row>
    <row r="567" customFormat="false" ht="15.75" hidden="false" customHeight="false" outlineLevel="0" collapsed="false">
      <c r="A567" s="262" t="n">
        <v>486</v>
      </c>
      <c r="B567" s="361" t="n">
        <v>565</v>
      </c>
      <c r="C567" s="261" t="s">
        <v>1470</v>
      </c>
      <c r="D567" s="261" t="s">
        <v>60</v>
      </c>
      <c r="E567" s="362" t="s">
        <v>1470</v>
      </c>
      <c r="F567" s="261" t="s">
        <v>1237</v>
      </c>
      <c r="G567" s="261" t="s">
        <v>1198</v>
      </c>
      <c r="H567" s="261" t="n">
        <v>0</v>
      </c>
      <c r="I567" s="261" t="n">
        <v>1</v>
      </c>
      <c r="J567" s="361" t="n">
        <v>1</v>
      </c>
      <c r="K567" s="262" t="n">
        <v>110</v>
      </c>
      <c r="L567" s="262" t="n">
        <v>160</v>
      </c>
      <c r="M567" s="262" t="n">
        <v>110</v>
      </c>
      <c r="N567" s="262" t="n">
        <v>80</v>
      </c>
      <c r="O567" s="262" t="n">
        <v>110</v>
      </c>
      <c r="P567" s="361" t="n">
        <v>100</v>
      </c>
      <c r="Q567" s="261" t="s">
        <v>144</v>
      </c>
      <c r="R567" s="261"/>
      <c r="S567" s="368" t="n">
        <f aca="false" t="array" ref="S567:S567">IF(COUNTIF('0.3.0 GO Calculation Values'!$J$2:$J$99,C567),(INDEX('0.3.0 GO Calculation Values'!$K$2:$K$99,MATCH(C567,'0.3.0 GO Calculation Values'!$J$2:$J$99,0))),1)</f>
        <v>0.909090909090909</v>
      </c>
      <c r="T567" s="262" t="n">
        <f aca="false">ROUND(ROUND(2*((7/8)*MAX(L567,N567)+(1/8)*MIN(L567,N567)),0)*(1+(P567-75)/500),0)</f>
        <v>315</v>
      </c>
      <c r="U567" s="262" t="n">
        <f aca="false">ROUND(ROUND(2*((5/8)*MAX(M567,O567)+(3/8)*MIN(M567,O567)),0)*(1+(P567-75)/500),0)</f>
        <v>231</v>
      </c>
      <c r="V567" s="361" t="n">
        <f aca="false">ROUNDDOWN(K567*1.75+50,0)</f>
        <v>242</v>
      </c>
      <c r="W567" s="261" t="n">
        <v>0</v>
      </c>
      <c r="X567" s="261" t="s">
        <v>60</v>
      </c>
      <c r="Y567" s="364" t="s">
        <v>1470</v>
      </c>
      <c r="Z567" s="364" t="n">
        <v>20</v>
      </c>
      <c r="AA567" s="364"/>
      <c r="AB567" s="365"/>
      <c r="AC567" s="364"/>
      <c r="AD567" s="364"/>
      <c r="AE567" s="366"/>
      <c r="AF567" s="364" t="s">
        <v>1471</v>
      </c>
      <c r="AG567" s="364" t="s">
        <v>1471</v>
      </c>
      <c r="AH567" s="366" t="s">
        <v>1471</v>
      </c>
    </row>
    <row r="568" customFormat="false" ht="15.75" hidden="false" customHeight="false" outlineLevel="0" collapsed="false">
      <c r="A568" s="262" t="n">
        <v>487</v>
      </c>
      <c r="B568" s="361" t="n">
        <v>566</v>
      </c>
      <c r="C568" s="261" t="s">
        <v>1472</v>
      </c>
      <c r="D568" s="261" t="s">
        <v>1473</v>
      </c>
      <c r="E568" s="358" t="s">
        <v>1472</v>
      </c>
      <c r="F568" s="261" t="s">
        <v>1237</v>
      </c>
      <c r="G568" s="261" t="s">
        <v>639</v>
      </c>
      <c r="H568" s="261" t="n">
        <v>0</v>
      </c>
      <c r="I568" s="261" t="n">
        <v>1</v>
      </c>
      <c r="J568" s="361" t="n">
        <v>1</v>
      </c>
      <c r="K568" s="262" t="n">
        <v>150</v>
      </c>
      <c r="L568" s="262" t="n">
        <v>100</v>
      </c>
      <c r="M568" s="262" t="n">
        <v>120</v>
      </c>
      <c r="N568" s="262" t="n">
        <v>100</v>
      </c>
      <c r="O568" s="262" t="n">
        <v>120</v>
      </c>
      <c r="P568" s="361" t="n">
        <v>90</v>
      </c>
      <c r="Q568" s="261" t="s">
        <v>151</v>
      </c>
      <c r="R568" s="261" t="s">
        <v>159</v>
      </c>
      <c r="S568" s="368" t="n">
        <f aca="false" t="array" ref="S568:S568">IF(COUNTIF('0.3.0 GO Calculation Values'!$J$2:$J$99,C568),(INDEX('0.3.0 GO Calculation Values'!$K$2:$K$99,MATCH(C568,'0.3.0 GO Calculation Values'!$J$2:$J$99,0))),1)</f>
        <v>0.909090909090909</v>
      </c>
      <c r="T568" s="262" t="n">
        <f aca="false">ROUND(ROUND(2*((7/8)*MAX(L568,N568)+(1/8)*MIN(L568,N568)),0)*(1+(P568-75)/500),0)</f>
        <v>206</v>
      </c>
      <c r="U568" s="262" t="n">
        <f aca="false">ROUND(ROUND(2*((5/8)*MAX(M568,O568)+(3/8)*MIN(M568,O568)),0)*(1+(P568-75)/500),0)</f>
        <v>247</v>
      </c>
      <c r="V568" s="361" t="n">
        <f aca="false">ROUNDDOWN(K568*1.75+50,0)</f>
        <v>312</v>
      </c>
      <c r="W568" s="261" t="n">
        <v>0</v>
      </c>
      <c r="X568" s="261" t="s">
        <v>60</v>
      </c>
      <c r="Y568" s="364" t="s">
        <v>1472</v>
      </c>
      <c r="Z568" s="364" t="n">
        <v>20</v>
      </c>
      <c r="AA568" s="364"/>
      <c r="AB568" s="365"/>
      <c r="AC568" s="364"/>
      <c r="AD568" s="364"/>
      <c r="AE568" s="366"/>
      <c r="AF568" s="261" t="s">
        <v>1474</v>
      </c>
      <c r="AG568" s="261" t="s">
        <v>1475</v>
      </c>
      <c r="AH568" s="362" t="s">
        <v>1475</v>
      </c>
    </row>
    <row r="569" customFormat="false" ht="15.75" hidden="false" customHeight="false" outlineLevel="0" collapsed="false">
      <c r="A569" s="262" t="n">
        <v>487</v>
      </c>
      <c r="B569" s="361" t="n">
        <v>567</v>
      </c>
      <c r="C569" s="261" t="s">
        <v>1472</v>
      </c>
      <c r="D569" s="261" t="s">
        <v>1476</v>
      </c>
      <c r="E569" s="358" t="s">
        <v>1477</v>
      </c>
      <c r="F569" s="261" t="s">
        <v>1237</v>
      </c>
      <c r="G569" s="261" t="s">
        <v>639</v>
      </c>
      <c r="H569" s="261" t="n">
        <v>1</v>
      </c>
      <c r="I569" s="261" t="n">
        <v>1</v>
      </c>
      <c r="J569" s="361" t="n">
        <v>1</v>
      </c>
      <c r="K569" s="262" t="n">
        <v>150</v>
      </c>
      <c r="L569" s="262" t="n">
        <v>120</v>
      </c>
      <c r="M569" s="262" t="n">
        <v>100</v>
      </c>
      <c r="N569" s="262" t="n">
        <v>120</v>
      </c>
      <c r="O569" s="262" t="n">
        <v>100</v>
      </c>
      <c r="P569" s="361" t="n">
        <v>90</v>
      </c>
      <c r="Q569" s="261" t="s">
        <v>151</v>
      </c>
      <c r="R569" s="261" t="s">
        <v>159</v>
      </c>
      <c r="S569" s="368" t="n">
        <f aca="false" t="array" ref="S569:S569">IF(COUNTIF('0.3.0 GO Calculation Values'!$J$2:$J$99,C569),(INDEX('0.3.0 GO Calculation Values'!$K$2:$K$99,MATCH(C569,'0.3.0 GO Calculation Values'!$J$2:$J$99,0))),1)</f>
        <v>0.909090909090909</v>
      </c>
      <c r="T569" s="262" t="n">
        <f aca="false">ROUND(ROUND(2*((7/8)*MAX(L569,N569)+(1/8)*MIN(L569,N569)),0)*(1+(P569-75)/500),0)</f>
        <v>247</v>
      </c>
      <c r="U569" s="262" t="n">
        <f aca="false">ROUND(ROUND(2*((5/8)*MAX(M569,O569)+(3/8)*MIN(M569,O569)),0)*(1+(P569-75)/500),0)</f>
        <v>206</v>
      </c>
      <c r="V569" s="361" t="n">
        <f aca="false">ROUNDDOWN(K569*1.75+50,0)</f>
        <v>312</v>
      </c>
      <c r="W569" s="261" t="n">
        <v>0</v>
      </c>
      <c r="X569" s="261" t="s">
        <v>60</v>
      </c>
      <c r="Y569" s="364" t="s">
        <v>1472</v>
      </c>
      <c r="Z569" s="364" t="n">
        <v>20</v>
      </c>
      <c r="AA569" s="364"/>
      <c r="AB569" s="365"/>
      <c r="AC569" s="364"/>
      <c r="AD569" s="364"/>
      <c r="AE569" s="366"/>
      <c r="AF569" s="261" t="s">
        <v>1478</v>
      </c>
      <c r="AG569" s="261" t="s">
        <v>1478</v>
      </c>
      <c r="AH569" s="362" t="s">
        <v>1478</v>
      </c>
    </row>
    <row r="570" customFormat="false" ht="15.75" hidden="false" customHeight="false" outlineLevel="0" collapsed="false">
      <c r="A570" s="262" t="n">
        <v>488</v>
      </c>
      <c r="B570" s="361" t="n">
        <v>568</v>
      </c>
      <c r="C570" s="261" t="s">
        <v>1479</v>
      </c>
      <c r="D570" s="261" t="s">
        <v>60</v>
      </c>
      <c r="E570" s="362" t="s">
        <v>1479</v>
      </c>
      <c r="F570" s="261" t="s">
        <v>1237</v>
      </c>
      <c r="G570" s="261" t="s">
        <v>1198</v>
      </c>
      <c r="H570" s="261" t="n">
        <v>0</v>
      </c>
      <c r="I570" s="261" t="n">
        <v>1</v>
      </c>
      <c r="J570" s="361" t="n">
        <v>1</v>
      </c>
      <c r="K570" s="262" t="n">
        <v>120</v>
      </c>
      <c r="L570" s="262" t="n">
        <v>70</v>
      </c>
      <c r="M570" s="262" t="n">
        <v>120</v>
      </c>
      <c r="N570" s="262" t="n">
        <v>75</v>
      </c>
      <c r="O570" s="262" t="n">
        <v>130</v>
      </c>
      <c r="P570" s="361" t="n">
        <v>85</v>
      </c>
      <c r="Q570" s="261" t="s">
        <v>157</v>
      </c>
      <c r="R570" s="261"/>
      <c r="S570" s="363" t="n">
        <f aca="false" t="array" ref="S570:S570">IF(COUNTIF('0.3.0 GO Calculation Values'!$J$2:$J$99,C570),(INDEX('0.3.0 GO Calculation Values'!$K$2:$K$99,MATCH(C570,'0.3.0 GO Calculation Values'!$J$2:$J$99,0))),1)</f>
        <v>1</v>
      </c>
      <c r="T570" s="262" t="n">
        <f aca="false">ROUND(ROUND(2*((7/8)*MAX(L570,N570)+(1/8)*MIN(L570,N570)),0)*(1+(P570-75)/500),0)</f>
        <v>152</v>
      </c>
      <c r="U570" s="262" t="n">
        <f aca="false">ROUND(ROUND(2*((5/8)*MAX(M570,O570)+(3/8)*MIN(M570,O570)),0)*(1+(P570-75)/500),0)</f>
        <v>258</v>
      </c>
      <c r="V570" s="361" t="n">
        <f aca="false">ROUNDDOWN(K570*1.75+50,0)</f>
        <v>260</v>
      </c>
      <c r="W570" s="261" t="n">
        <v>0</v>
      </c>
      <c r="X570" s="261" t="s">
        <v>60</v>
      </c>
      <c r="Y570" s="364" t="s">
        <v>1479</v>
      </c>
      <c r="Z570" s="364" t="n">
        <v>20</v>
      </c>
      <c r="AA570" s="364"/>
      <c r="AB570" s="365"/>
      <c r="AC570" s="364"/>
      <c r="AD570" s="364"/>
      <c r="AE570" s="366"/>
      <c r="AF570" s="364" t="s">
        <v>1480</v>
      </c>
      <c r="AG570" s="364" t="s">
        <v>1480</v>
      </c>
      <c r="AH570" s="366" t="s">
        <v>1480</v>
      </c>
    </row>
    <row r="571" customFormat="false" ht="15.75" hidden="false" customHeight="false" outlineLevel="0" collapsed="false">
      <c r="A571" s="262" t="n">
        <v>489</v>
      </c>
      <c r="B571" s="361" t="n">
        <v>569</v>
      </c>
      <c r="C571" s="261" t="s">
        <v>1481</v>
      </c>
      <c r="D571" s="261" t="s">
        <v>60</v>
      </c>
      <c r="E571" s="362" t="s">
        <v>1481</v>
      </c>
      <c r="F571" s="261" t="s">
        <v>1237</v>
      </c>
      <c r="G571" s="261" t="s">
        <v>650</v>
      </c>
      <c r="H571" s="261" t="n">
        <v>0</v>
      </c>
      <c r="I571" s="261" t="n">
        <v>1</v>
      </c>
      <c r="J571" s="361" t="n">
        <v>1</v>
      </c>
      <c r="K571" s="262" t="n">
        <v>80</v>
      </c>
      <c r="L571" s="262" t="n">
        <v>80</v>
      </c>
      <c r="M571" s="262" t="n">
        <v>80</v>
      </c>
      <c r="N571" s="262" t="n">
        <v>80</v>
      </c>
      <c r="O571" s="262" t="n">
        <v>80</v>
      </c>
      <c r="P571" s="361" t="n">
        <v>80</v>
      </c>
      <c r="Q571" s="261" t="s">
        <v>154</v>
      </c>
      <c r="R571" s="261"/>
      <c r="S571" s="363" t="n">
        <f aca="false" t="array" ref="S571:S571">IF(COUNTIF('0.3.0 GO Calculation Values'!$J$2:$J$99,C571),(INDEX('0.3.0 GO Calculation Values'!$K$2:$K$99,MATCH(C571,'0.3.0 GO Calculation Values'!$J$2:$J$99,0))),1)</f>
        <v>1</v>
      </c>
      <c r="T571" s="262" t="n">
        <f aca="false">ROUND(ROUND(2*((7/8)*MAX(L571,N571)+(1/8)*MIN(L571,N571)),0)*(1+(P571-75)/500),0)</f>
        <v>162</v>
      </c>
      <c r="U571" s="262" t="n">
        <f aca="false">ROUND(ROUND(2*((5/8)*MAX(M571,O571)+(3/8)*MIN(M571,O571)),0)*(1+(P571-75)/500),0)</f>
        <v>162</v>
      </c>
      <c r="V571" s="361" t="n">
        <f aca="false">ROUNDDOWN(K571*1.75+50,0)</f>
        <v>190</v>
      </c>
      <c r="W571" s="261" t="n">
        <v>0</v>
      </c>
      <c r="X571" s="261" t="s">
        <v>60</v>
      </c>
      <c r="Y571" s="364" t="s">
        <v>1481</v>
      </c>
      <c r="Z571" s="364" t="n">
        <v>20</v>
      </c>
      <c r="AA571" s="364"/>
      <c r="AB571" s="365"/>
      <c r="AC571" s="364"/>
      <c r="AD571" s="364"/>
      <c r="AE571" s="366"/>
      <c r="AF571" s="364" t="s">
        <v>1482</v>
      </c>
      <c r="AG571" s="364" t="s">
        <v>1482</v>
      </c>
      <c r="AH571" s="366" t="s">
        <v>1482</v>
      </c>
    </row>
    <row r="572" customFormat="false" ht="15.75" hidden="false" customHeight="false" outlineLevel="0" collapsed="false">
      <c r="A572" s="262" t="n">
        <v>490</v>
      </c>
      <c r="B572" s="361" t="n">
        <v>570</v>
      </c>
      <c r="C572" s="261" t="s">
        <v>1483</v>
      </c>
      <c r="D572" s="261" t="s">
        <v>60</v>
      </c>
      <c r="E572" s="362" t="s">
        <v>1483</v>
      </c>
      <c r="F572" s="261" t="s">
        <v>1237</v>
      </c>
      <c r="G572" s="261" t="s">
        <v>650</v>
      </c>
      <c r="H572" s="261" t="n">
        <v>0</v>
      </c>
      <c r="I572" s="261" t="n">
        <v>1</v>
      </c>
      <c r="J572" s="361" t="n">
        <v>1</v>
      </c>
      <c r="K572" s="262" t="n">
        <v>100</v>
      </c>
      <c r="L572" s="262" t="n">
        <v>100</v>
      </c>
      <c r="M572" s="262" t="n">
        <v>100</v>
      </c>
      <c r="N572" s="262" t="n">
        <v>100</v>
      </c>
      <c r="O572" s="262" t="n">
        <v>100</v>
      </c>
      <c r="P572" s="361" t="n">
        <v>100</v>
      </c>
      <c r="Q572" s="261" t="s">
        <v>154</v>
      </c>
      <c r="R572" s="261"/>
      <c r="S572" s="363" t="n">
        <f aca="false" t="array" ref="S572:S572">IF(COUNTIF('0.3.0 GO Calculation Values'!$J$2:$J$99,C572),(INDEX('0.3.0 GO Calculation Values'!$K$2:$K$99,MATCH(C572,'0.3.0 GO Calculation Values'!$J$2:$J$99,0))),1)</f>
        <v>1</v>
      </c>
      <c r="T572" s="262" t="n">
        <f aca="false">ROUND(ROUND(2*((7/8)*MAX(L572,N572)+(1/8)*MIN(L572,N572)),0)*(1+(P572-75)/500),0)</f>
        <v>210</v>
      </c>
      <c r="U572" s="262" t="n">
        <f aca="false">ROUND(ROUND(2*((5/8)*MAX(M572,O572)+(3/8)*MIN(M572,O572)),0)*(1+(P572-75)/500),0)</f>
        <v>210</v>
      </c>
      <c r="V572" s="361" t="n">
        <f aca="false">ROUNDDOWN(K572*1.75+50,0)</f>
        <v>225</v>
      </c>
      <c r="W572" s="261" t="n">
        <v>0</v>
      </c>
      <c r="X572" s="261" t="s">
        <v>60</v>
      </c>
      <c r="Y572" s="364" t="s">
        <v>1483</v>
      </c>
      <c r="Z572" s="364" t="n">
        <v>20</v>
      </c>
      <c r="AA572" s="364"/>
      <c r="AB572" s="365"/>
      <c r="AC572" s="364"/>
      <c r="AD572" s="364"/>
      <c r="AE572" s="366"/>
      <c r="AF572" s="364" t="s">
        <v>1484</v>
      </c>
      <c r="AG572" s="364" t="s">
        <v>1484</v>
      </c>
      <c r="AH572" s="366" t="s">
        <v>1484</v>
      </c>
    </row>
    <row r="573" customFormat="false" ht="15.75" hidden="false" customHeight="false" outlineLevel="0" collapsed="false">
      <c r="A573" s="262" t="n">
        <v>491</v>
      </c>
      <c r="B573" s="361" t="n">
        <v>571</v>
      </c>
      <c r="C573" s="261" t="s">
        <v>1485</v>
      </c>
      <c r="D573" s="261" t="s">
        <v>60</v>
      </c>
      <c r="E573" s="362" t="s">
        <v>1485</v>
      </c>
      <c r="F573" s="261" t="s">
        <v>1237</v>
      </c>
      <c r="G573" s="261" t="s">
        <v>650</v>
      </c>
      <c r="H573" s="261" t="n">
        <v>0</v>
      </c>
      <c r="I573" s="261" t="n">
        <v>1</v>
      </c>
      <c r="J573" s="361" t="n">
        <v>1</v>
      </c>
      <c r="K573" s="262" t="n">
        <v>70</v>
      </c>
      <c r="L573" s="262" t="n">
        <v>90</v>
      </c>
      <c r="M573" s="262" t="n">
        <v>90</v>
      </c>
      <c r="N573" s="262" t="n">
        <v>135</v>
      </c>
      <c r="O573" s="262" t="n">
        <v>90</v>
      </c>
      <c r="P573" s="361" t="n">
        <v>125</v>
      </c>
      <c r="Q573" s="261" t="s">
        <v>160</v>
      </c>
      <c r="R573" s="261"/>
      <c r="S573" s="363" t="n">
        <f aca="false" t="array" ref="S573:S573">IF(COUNTIF('0.3.0 GO Calculation Values'!$J$2:$J$99,C573),(INDEX('0.3.0 GO Calculation Values'!$K$2:$K$99,MATCH(C573,'0.3.0 GO Calculation Values'!$J$2:$J$99,0))),1)</f>
        <v>1</v>
      </c>
      <c r="T573" s="262" t="n">
        <f aca="false">ROUND(ROUND(2*((7/8)*MAX(L573,N573)+(1/8)*MIN(L573,N573)),0)*(1+(P573-75)/500),0)</f>
        <v>285</v>
      </c>
      <c r="U573" s="262" t="n">
        <f aca="false">ROUND(ROUND(2*((5/8)*MAX(M573,O573)+(3/8)*MIN(M573,O573)),0)*(1+(P573-75)/500),0)</f>
        <v>198</v>
      </c>
      <c r="V573" s="361" t="n">
        <f aca="false">ROUNDDOWN(K573*1.75+50,0)</f>
        <v>172</v>
      </c>
      <c r="W573" s="261" t="n">
        <v>0</v>
      </c>
      <c r="X573" s="261" t="s">
        <v>60</v>
      </c>
      <c r="Y573" s="364" t="s">
        <v>1485</v>
      </c>
      <c r="Z573" s="364" t="n">
        <v>20</v>
      </c>
      <c r="AA573" s="364"/>
      <c r="AB573" s="365"/>
      <c r="AC573" s="364"/>
      <c r="AD573" s="364"/>
      <c r="AE573" s="366"/>
      <c r="AF573" s="364" t="s">
        <v>1486</v>
      </c>
      <c r="AG573" s="364" t="s">
        <v>1486</v>
      </c>
      <c r="AH573" s="366" t="s">
        <v>1486</v>
      </c>
    </row>
    <row r="574" customFormat="false" ht="15.75" hidden="false" customHeight="false" outlineLevel="0" collapsed="false">
      <c r="A574" s="262" t="n">
        <v>492</v>
      </c>
      <c r="B574" s="361" t="n">
        <v>572</v>
      </c>
      <c r="C574" s="261" t="s">
        <v>1487</v>
      </c>
      <c r="D574" s="261" t="s">
        <v>1488</v>
      </c>
      <c r="E574" s="358" t="s">
        <v>1487</v>
      </c>
      <c r="F574" s="261" t="s">
        <v>1237</v>
      </c>
      <c r="G574" s="261" t="s">
        <v>650</v>
      </c>
      <c r="H574" s="261" t="n">
        <v>0</v>
      </c>
      <c r="I574" s="261" t="n">
        <v>1</v>
      </c>
      <c r="J574" s="361" t="n">
        <v>1</v>
      </c>
      <c r="K574" s="262" t="n">
        <v>100</v>
      </c>
      <c r="L574" s="262" t="n">
        <v>100</v>
      </c>
      <c r="M574" s="262" t="n">
        <v>100</v>
      </c>
      <c r="N574" s="262" t="n">
        <v>100</v>
      </c>
      <c r="O574" s="262" t="n">
        <v>100</v>
      </c>
      <c r="P574" s="361" t="n">
        <v>100</v>
      </c>
      <c r="Q574" s="261" t="s">
        <v>155</v>
      </c>
      <c r="R574" s="261"/>
      <c r="S574" s="363" t="n">
        <f aca="false" t="array" ref="S574:S574">IF(COUNTIF('0.3.0 GO Calculation Values'!$J$2:$J$99,C574),(INDEX('0.3.0 GO Calculation Values'!$K$2:$K$99,MATCH(C574,'0.3.0 GO Calculation Values'!$J$2:$J$99,0))),1)</f>
        <v>1</v>
      </c>
      <c r="T574" s="262" t="n">
        <f aca="false">ROUND(ROUND(2*((7/8)*MAX(L574,N574)+(1/8)*MIN(L574,N574)),0)*(1+(P574-75)/500),0)</f>
        <v>210</v>
      </c>
      <c r="U574" s="262" t="n">
        <f aca="false">ROUND(ROUND(2*((5/8)*MAX(M574,O574)+(3/8)*MIN(M574,O574)),0)*(1+(P574-75)/500),0)</f>
        <v>210</v>
      </c>
      <c r="V574" s="361" t="n">
        <f aca="false">ROUNDDOWN(K574*1.75+50,0)</f>
        <v>225</v>
      </c>
      <c r="W574" s="261" t="n">
        <v>0</v>
      </c>
      <c r="X574" s="261" t="s">
        <v>60</v>
      </c>
      <c r="Y574" s="364" t="s">
        <v>1487</v>
      </c>
      <c r="Z574" s="364" t="n">
        <v>20</v>
      </c>
      <c r="AA574" s="364"/>
      <c r="AB574" s="365"/>
      <c r="AC574" s="364"/>
      <c r="AD574" s="364"/>
      <c r="AE574" s="366"/>
      <c r="AF574" s="261" t="s">
        <v>1489</v>
      </c>
      <c r="AG574" s="261" t="s">
        <v>1490</v>
      </c>
      <c r="AH574" s="362" t="s">
        <v>1490</v>
      </c>
    </row>
    <row r="575" customFormat="false" ht="15.75" hidden="false" customHeight="false" outlineLevel="0" collapsed="false">
      <c r="A575" s="262" t="n">
        <v>492</v>
      </c>
      <c r="B575" s="361" t="n">
        <v>573</v>
      </c>
      <c r="C575" s="261" t="s">
        <v>1487</v>
      </c>
      <c r="D575" s="261" t="s">
        <v>1491</v>
      </c>
      <c r="E575" s="358" t="s">
        <v>1492</v>
      </c>
      <c r="F575" s="261" t="s">
        <v>1237</v>
      </c>
      <c r="G575" s="261" t="s">
        <v>650</v>
      </c>
      <c r="H575" s="261" t="n">
        <v>1</v>
      </c>
      <c r="I575" s="261" t="n">
        <v>1</v>
      </c>
      <c r="J575" s="361" t="n">
        <v>1</v>
      </c>
      <c r="K575" s="262" t="n">
        <v>100</v>
      </c>
      <c r="L575" s="262" t="n">
        <v>103</v>
      </c>
      <c r="M575" s="262" t="n">
        <v>75</v>
      </c>
      <c r="N575" s="262" t="n">
        <v>120</v>
      </c>
      <c r="O575" s="262" t="n">
        <v>75</v>
      </c>
      <c r="P575" s="361" t="n">
        <v>127</v>
      </c>
      <c r="Q575" s="261" t="s">
        <v>155</v>
      </c>
      <c r="R575" s="261" t="s">
        <v>146</v>
      </c>
      <c r="S575" s="363" t="n">
        <f aca="false" t="array" ref="S575:S575">IF(COUNTIF('0.3.0 GO Calculation Values'!$J$2:$J$99,C575),(INDEX('0.3.0 GO Calculation Values'!$K$2:$K$99,MATCH(C575,'0.3.0 GO Calculation Values'!$J$2:$J$99,0))),1)</f>
        <v>1</v>
      </c>
      <c r="T575" s="262" t="n">
        <f aca="false">ROUND(ROUND(2*((7/8)*MAX(L575,N575)+(1/8)*MIN(L575,N575)),0)*(1+(P575-75)/500),0)</f>
        <v>261</v>
      </c>
      <c r="U575" s="262" t="n">
        <f aca="false">ROUND(ROUND(2*((5/8)*MAX(M575,O575)+(3/8)*MIN(M575,O575)),0)*(1+(P575-75)/500),0)</f>
        <v>166</v>
      </c>
      <c r="V575" s="361" t="n">
        <f aca="false">ROUNDDOWN(K575*1.75+50,0)</f>
        <v>225</v>
      </c>
      <c r="W575" s="261" t="n">
        <v>0</v>
      </c>
      <c r="X575" s="261" t="s">
        <v>60</v>
      </c>
      <c r="Y575" s="364" t="s">
        <v>1487</v>
      </c>
      <c r="Z575" s="364" t="n">
        <v>20</v>
      </c>
      <c r="AA575" s="364"/>
      <c r="AB575" s="365"/>
      <c r="AC575" s="364"/>
      <c r="AD575" s="364"/>
      <c r="AE575" s="366"/>
      <c r="AF575" s="261" t="s">
        <v>1493</v>
      </c>
      <c r="AG575" s="261" t="s">
        <v>1493</v>
      </c>
      <c r="AH575" s="362" t="s">
        <v>1493</v>
      </c>
    </row>
    <row r="576" customFormat="false" ht="15.75" hidden="false" customHeight="false" outlineLevel="0" collapsed="false">
      <c r="A576" s="262" t="n">
        <v>493</v>
      </c>
      <c r="B576" s="361" t="n">
        <v>574</v>
      </c>
      <c r="C576" s="261" t="s">
        <v>1494</v>
      </c>
      <c r="D576" s="261" t="s">
        <v>144</v>
      </c>
      <c r="E576" s="358" t="s">
        <v>1495</v>
      </c>
      <c r="F576" s="261" t="s">
        <v>1237</v>
      </c>
      <c r="G576" s="261" t="s">
        <v>650</v>
      </c>
      <c r="H576" s="261" t="n">
        <v>0</v>
      </c>
      <c r="I576" s="261" t="n">
        <v>1</v>
      </c>
      <c r="J576" s="361" t="n">
        <v>1</v>
      </c>
      <c r="K576" s="262" t="n">
        <v>120</v>
      </c>
      <c r="L576" s="262" t="n">
        <v>120</v>
      </c>
      <c r="M576" s="262" t="n">
        <v>120</v>
      </c>
      <c r="N576" s="262" t="n">
        <v>120</v>
      </c>
      <c r="O576" s="262" t="n">
        <v>120</v>
      </c>
      <c r="P576" s="361" t="n">
        <v>120</v>
      </c>
      <c r="Q576" s="261" t="s">
        <v>144</v>
      </c>
      <c r="R576" s="261"/>
      <c r="S576" s="368" t="n">
        <f aca="false" t="array" ref="S576:S576">IF(COUNTIF('0.3.0 GO Calculation Values'!$J$2:$J$99,C576),(INDEX('0.3.0 GO Calculation Values'!$K$2:$K$99,MATCH(C576,'0.3.0 GO Calculation Values'!$J$2:$J$99,0))),1)</f>
        <v>0.909090909090909</v>
      </c>
      <c r="T576" s="262" t="n">
        <f aca="false">ROUND(ROUND(2*((7/8)*MAX(L576,N576)+(1/8)*MIN(L576,N576)),0)*(1+(P576-75)/500),0)</f>
        <v>262</v>
      </c>
      <c r="U576" s="262" t="n">
        <f aca="false">ROUND(ROUND(2*((5/8)*MAX(M576,O576)+(3/8)*MIN(M576,O576)),0)*(1+(P576-75)/500),0)</f>
        <v>262</v>
      </c>
      <c r="V576" s="361" t="n">
        <f aca="false">ROUNDDOWN(K576*1.75+50,0)</f>
        <v>260</v>
      </c>
      <c r="W576" s="261" t="n">
        <v>0</v>
      </c>
      <c r="X576" s="261" t="s">
        <v>60</v>
      </c>
      <c r="Y576" s="364" t="s">
        <v>1494</v>
      </c>
      <c r="Z576" s="364" t="n">
        <v>20</v>
      </c>
      <c r="AA576" s="364"/>
      <c r="AB576" s="365"/>
      <c r="AC576" s="364"/>
      <c r="AD576" s="364"/>
      <c r="AE576" s="366"/>
      <c r="AF576" s="364" t="s">
        <v>1496</v>
      </c>
      <c r="AG576" s="364" t="s">
        <v>1496</v>
      </c>
      <c r="AH576" s="366" t="s">
        <v>1496</v>
      </c>
    </row>
    <row r="577" customFormat="false" ht="15.75" hidden="false" customHeight="false" outlineLevel="0" collapsed="false">
      <c r="A577" s="262" t="n">
        <v>493</v>
      </c>
      <c r="B577" s="361" t="n">
        <v>575</v>
      </c>
      <c r="C577" s="261" t="s">
        <v>1494</v>
      </c>
      <c r="D577" s="261" t="s">
        <v>145</v>
      </c>
      <c r="E577" s="358" t="s">
        <v>1497</v>
      </c>
      <c r="F577" s="261" t="s">
        <v>1237</v>
      </c>
      <c r="G577" s="261" t="s">
        <v>650</v>
      </c>
      <c r="H577" s="261" t="n">
        <v>1</v>
      </c>
      <c r="I577" s="261" t="n">
        <v>1</v>
      </c>
      <c r="J577" s="361" t="n">
        <v>1</v>
      </c>
      <c r="K577" s="262" t="n">
        <v>120</v>
      </c>
      <c r="L577" s="262" t="n">
        <v>120</v>
      </c>
      <c r="M577" s="262" t="n">
        <v>120</v>
      </c>
      <c r="N577" s="262" t="n">
        <v>120</v>
      </c>
      <c r="O577" s="262" t="n">
        <v>120</v>
      </c>
      <c r="P577" s="361" t="n">
        <v>120</v>
      </c>
      <c r="Q577" s="261" t="s">
        <v>145</v>
      </c>
      <c r="R577" s="261"/>
      <c r="S577" s="368" t="n">
        <f aca="false" t="array" ref="S577:S577">IF(COUNTIF('0.3.0 GO Calculation Values'!$J$2:$J$99,C577),(INDEX('0.3.0 GO Calculation Values'!$K$2:$K$99,MATCH(C577,'0.3.0 GO Calculation Values'!$J$2:$J$99,0))),1)</f>
        <v>0.909090909090909</v>
      </c>
      <c r="T577" s="262" t="n">
        <f aca="false">ROUND(ROUND(2*((7/8)*MAX(L577,N577)+(1/8)*MIN(L577,N577)),0)*(1+(P577-75)/500),0)</f>
        <v>262</v>
      </c>
      <c r="U577" s="262" t="n">
        <f aca="false">ROUND(ROUND(2*((5/8)*MAX(M577,O577)+(3/8)*MIN(M577,O577)),0)*(1+(P577-75)/500),0)</f>
        <v>262</v>
      </c>
      <c r="V577" s="361" t="n">
        <f aca="false">ROUNDDOWN(K577*1.75+50,0)</f>
        <v>260</v>
      </c>
      <c r="W577" s="261" t="n">
        <v>0</v>
      </c>
      <c r="X577" s="261" t="s">
        <v>60</v>
      </c>
      <c r="Y577" s="364" t="s">
        <v>1494</v>
      </c>
      <c r="Z577" s="364" t="n">
        <v>20</v>
      </c>
      <c r="AA577" s="364"/>
      <c r="AB577" s="365"/>
      <c r="AC577" s="364"/>
      <c r="AD577" s="364"/>
      <c r="AE577" s="366"/>
      <c r="AF577" s="364" t="s">
        <v>1496</v>
      </c>
      <c r="AG577" s="364" t="s">
        <v>1498</v>
      </c>
      <c r="AH577" s="366" t="s">
        <v>1498</v>
      </c>
    </row>
    <row r="578" customFormat="false" ht="15.75" hidden="false" customHeight="false" outlineLevel="0" collapsed="false">
      <c r="A578" s="262" t="n">
        <v>493</v>
      </c>
      <c r="B578" s="361" t="n">
        <v>576</v>
      </c>
      <c r="C578" s="261" t="s">
        <v>1494</v>
      </c>
      <c r="D578" s="261" t="s">
        <v>146</v>
      </c>
      <c r="E578" s="358" t="s">
        <v>1499</v>
      </c>
      <c r="F578" s="261" t="s">
        <v>1237</v>
      </c>
      <c r="G578" s="261" t="s">
        <v>650</v>
      </c>
      <c r="H578" s="261" t="n">
        <v>1</v>
      </c>
      <c r="I578" s="261" t="n">
        <v>1</v>
      </c>
      <c r="J578" s="361" t="n">
        <v>1</v>
      </c>
      <c r="K578" s="262" t="n">
        <v>120</v>
      </c>
      <c r="L578" s="262" t="n">
        <v>120</v>
      </c>
      <c r="M578" s="262" t="n">
        <v>120</v>
      </c>
      <c r="N578" s="262" t="n">
        <v>120</v>
      </c>
      <c r="O578" s="262" t="n">
        <v>120</v>
      </c>
      <c r="P578" s="361" t="n">
        <v>120</v>
      </c>
      <c r="Q578" s="261" t="s">
        <v>146</v>
      </c>
      <c r="R578" s="261"/>
      <c r="S578" s="368" t="n">
        <f aca="false" t="array" ref="S578:S578">IF(COUNTIF('0.3.0 GO Calculation Values'!$J$2:$J$99,C578),(INDEX('0.3.0 GO Calculation Values'!$K$2:$K$99,MATCH(C578,'0.3.0 GO Calculation Values'!$J$2:$J$99,0))),1)</f>
        <v>0.909090909090909</v>
      </c>
      <c r="T578" s="262" t="n">
        <f aca="false">ROUND(ROUND(2*((7/8)*MAX(L578,N578)+(1/8)*MIN(L578,N578)),0)*(1+(P578-75)/500),0)</f>
        <v>262</v>
      </c>
      <c r="U578" s="262" t="n">
        <f aca="false">ROUND(ROUND(2*((5/8)*MAX(M578,O578)+(3/8)*MIN(M578,O578)),0)*(1+(P578-75)/500),0)</f>
        <v>262</v>
      </c>
      <c r="V578" s="361" t="n">
        <f aca="false">ROUNDDOWN(K578*1.75+50,0)</f>
        <v>260</v>
      </c>
      <c r="W578" s="261" t="n">
        <v>0</v>
      </c>
      <c r="X578" s="261" t="s">
        <v>60</v>
      </c>
      <c r="Y578" s="364" t="s">
        <v>1494</v>
      </c>
      <c r="Z578" s="364" t="n">
        <v>20</v>
      </c>
      <c r="AA578" s="364"/>
      <c r="AB578" s="365"/>
      <c r="AC578" s="364"/>
      <c r="AD578" s="364"/>
      <c r="AE578" s="366"/>
      <c r="AF578" s="364" t="s">
        <v>1496</v>
      </c>
      <c r="AG578" s="364" t="s">
        <v>1500</v>
      </c>
      <c r="AH578" s="366" t="s">
        <v>1500</v>
      </c>
    </row>
    <row r="579" customFormat="false" ht="15.75" hidden="false" customHeight="false" outlineLevel="0" collapsed="false">
      <c r="A579" s="262" t="n">
        <v>493</v>
      </c>
      <c r="B579" s="361" t="n">
        <v>577</v>
      </c>
      <c r="C579" s="261" t="s">
        <v>1494</v>
      </c>
      <c r="D579" s="261" t="s">
        <v>147</v>
      </c>
      <c r="E579" s="358" t="s">
        <v>1501</v>
      </c>
      <c r="F579" s="261" t="s">
        <v>1237</v>
      </c>
      <c r="G579" s="261" t="s">
        <v>650</v>
      </c>
      <c r="H579" s="261" t="n">
        <v>1</v>
      </c>
      <c r="I579" s="261" t="n">
        <v>1</v>
      </c>
      <c r="J579" s="361" t="n">
        <v>1</v>
      </c>
      <c r="K579" s="262" t="n">
        <v>120</v>
      </c>
      <c r="L579" s="262" t="n">
        <v>120</v>
      </c>
      <c r="M579" s="262" t="n">
        <v>120</v>
      </c>
      <c r="N579" s="262" t="n">
        <v>120</v>
      </c>
      <c r="O579" s="262" t="n">
        <v>120</v>
      </c>
      <c r="P579" s="361" t="n">
        <v>120</v>
      </c>
      <c r="Q579" s="261" t="s">
        <v>147</v>
      </c>
      <c r="R579" s="261"/>
      <c r="S579" s="368" t="n">
        <f aca="false" t="array" ref="S579:S579">IF(COUNTIF('0.3.0 GO Calculation Values'!$J$2:$J$99,C579),(INDEX('0.3.0 GO Calculation Values'!$K$2:$K$99,MATCH(C579,'0.3.0 GO Calculation Values'!$J$2:$J$99,0))),1)</f>
        <v>0.909090909090909</v>
      </c>
      <c r="T579" s="262" t="n">
        <f aca="false">ROUND(ROUND(2*((7/8)*MAX(L579,N579)+(1/8)*MIN(L579,N579)),0)*(1+(P579-75)/500),0)</f>
        <v>262</v>
      </c>
      <c r="U579" s="262" t="n">
        <f aca="false">ROUND(ROUND(2*((5/8)*MAX(M579,O579)+(3/8)*MIN(M579,O579)),0)*(1+(P579-75)/500),0)</f>
        <v>262</v>
      </c>
      <c r="V579" s="361" t="n">
        <f aca="false">ROUNDDOWN(K579*1.75+50,0)</f>
        <v>260</v>
      </c>
      <c r="W579" s="261" t="n">
        <v>0</v>
      </c>
      <c r="X579" s="261" t="s">
        <v>60</v>
      </c>
      <c r="Y579" s="364" t="s">
        <v>1494</v>
      </c>
      <c r="Z579" s="364" t="n">
        <v>20</v>
      </c>
      <c r="AA579" s="364"/>
      <c r="AB579" s="365"/>
      <c r="AC579" s="364"/>
      <c r="AD579" s="364"/>
      <c r="AE579" s="366"/>
      <c r="AF579" s="364" t="s">
        <v>1496</v>
      </c>
      <c r="AG579" s="364" t="s">
        <v>1502</v>
      </c>
      <c r="AH579" s="366" t="s">
        <v>1502</v>
      </c>
    </row>
    <row r="580" customFormat="false" ht="15.75" hidden="false" customHeight="false" outlineLevel="0" collapsed="false">
      <c r="A580" s="262" t="n">
        <v>493</v>
      </c>
      <c r="B580" s="361" t="n">
        <v>578</v>
      </c>
      <c r="C580" s="261" t="s">
        <v>1494</v>
      </c>
      <c r="D580" s="261" t="s">
        <v>148</v>
      </c>
      <c r="E580" s="358" t="s">
        <v>1503</v>
      </c>
      <c r="F580" s="261" t="s">
        <v>1237</v>
      </c>
      <c r="G580" s="261" t="s">
        <v>650</v>
      </c>
      <c r="H580" s="261" t="n">
        <v>1</v>
      </c>
      <c r="I580" s="261" t="n">
        <v>1</v>
      </c>
      <c r="J580" s="361" t="n">
        <v>1</v>
      </c>
      <c r="K580" s="262" t="n">
        <v>120</v>
      </c>
      <c r="L580" s="262" t="n">
        <v>120</v>
      </c>
      <c r="M580" s="262" t="n">
        <v>120</v>
      </c>
      <c r="N580" s="262" t="n">
        <v>120</v>
      </c>
      <c r="O580" s="262" t="n">
        <v>120</v>
      </c>
      <c r="P580" s="361" t="n">
        <v>120</v>
      </c>
      <c r="Q580" s="261" t="s">
        <v>148</v>
      </c>
      <c r="R580" s="261"/>
      <c r="S580" s="368" t="n">
        <f aca="false" t="array" ref="S580:S580">IF(COUNTIF('0.3.0 GO Calculation Values'!$J$2:$J$99,C580),(INDEX('0.3.0 GO Calculation Values'!$K$2:$K$99,MATCH(C580,'0.3.0 GO Calculation Values'!$J$2:$J$99,0))),1)</f>
        <v>0.909090909090909</v>
      </c>
      <c r="T580" s="262" t="n">
        <f aca="false">ROUND(ROUND(2*((7/8)*MAX(L580,N580)+(1/8)*MIN(L580,N580)),0)*(1+(P580-75)/500),0)</f>
        <v>262</v>
      </c>
      <c r="U580" s="262" t="n">
        <f aca="false">ROUND(ROUND(2*((5/8)*MAX(M580,O580)+(3/8)*MIN(M580,O580)),0)*(1+(P580-75)/500),0)</f>
        <v>262</v>
      </c>
      <c r="V580" s="361" t="n">
        <f aca="false">ROUNDDOWN(K580*1.75+50,0)</f>
        <v>260</v>
      </c>
      <c r="W580" s="261" t="n">
        <v>0</v>
      </c>
      <c r="X580" s="261" t="s">
        <v>60</v>
      </c>
      <c r="Y580" s="364" t="s">
        <v>1494</v>
      </c>
      <c r="Z580" s="364" t="n">
        <v>20</v>
      </c>
      <c r="AA580" s="364"/>
      <c r="AB580" s="365"/>
      <c r="AC580" s="364"/>
      <c r="AD580" s="364"/>
      <c r="AE580" s="366"/>
      <c r="AF580" s="364" t="s">
        <v>1496</v>
      </c>
      <c r="AG580" s="364" t="s">
        <v>1504</v>
      </c>
      <c r="AH580" s="366" t="s">
        <v>1504</v>
      </c>
    </row>
    <row r="581" customFormat="false" ht="15.75" hidden="false" customHeight="false" outlineLevel="0" collapsed="false">
      <c r="A581" s="262" t="n">
        <v>493</v>
      </c>
      <c r="B581" s="361" t="n">
        <v>579</v>
      </c>
      <c r="C581" s="261" t="s">
        <v>1494</v>
      </c>
      <c r="D581" s="261" t="s">
        <v>149</v>
      </c>
      <c r="E581" s="358" t="s">
        <v>1505</v>
      </c>
      <c r="F581" s="261" t="s">
        <v>1237</v>
      </c>
      <c r="G581" s="261" t="s">
        <v>650</v>
      </c>
      <c r="H581" s="261" t="n">
        <v>1</v>
      </c>
      <c r="I581" s="261" t="n">
        <v>1</v>
      </c>
      <c r="J581" s="361" t="n">
        <v>1</v>
      </c>
      <c r="K581" s="262" t="n">
        <v>120</v>
      </c>
      <c r="L581" s="262" t="n">
        <v>120</v>
      </c>
      <c r="M581" s="262" t="n">
        <v>120</v>
      </c>
      <c r="N581" s="262" t="n">
        <v>120</v>
      </c>
      <c r="O581" s="262" t="n">
        <v>120</v>
      </c>
      <c r="P581" s="361" t="n">
        <v>120</v>
      </c>
      <c r="Q581" s="261" t="s">
        <v>149</v>
      </c>
      <c r="R581" s="261"/>
      <c r="S581" s="368" t="n">
        <f aca="false" t="array" ref="S581:S581">IF(COUNTIF('0.3.0 GO Calculation Values'!$J$2:$J$99,C581),(INDEX('0.3.0 GO Calculation Values'!$K$2:$K$99,MATCH(C581,'0.3.0 GO Calculation Values'!$J$2:$J$99,0))),1)</f>
        <v>0.909090909090909</v>
      </c>
      <c r="T581" s="262" t="n">
        <f aca="false">ROUND(ROUND(2*((7/8)*MAX(L581,N581)+(1/8)*MIN(L581,N581)),0)*(1+(P581-75)/500),0)</f>
        <v>262</v>
      </c>
      <c r="U581" s="262" t="n">
        <f aca="false">ROUND(ROUND(2*((5/8)*MAX(M581,O581)+(3/8)*MIN(M581,O581)),0)*(1+(P581-75)/500),0)</f>
        <v>262</v>
      </c>
      <c r="V581" s="361" t="n">
        <f aca="false">ROUNDDOWN(K581*1.75+50,0)</f>
        <v>260</v>
      </c>
      <c r="W581" s="261" t="n">
        <v>0</v>
      </c>
      <c r="X581" s="261" t="s">
        <v>60</v>
      </c>
      <c r="Y581" s="364" t="s">
        <v>1494</v>
      </c>
      <c r="Z581" s="364" t="n">
        <v>20</v>
      </c>
      <c r="AA581" s="364"/>
      <c r="AB581" s="365"/>
      <c r="AC581" s="364"/>
      <c r="AD581" s="364"/>
      <c r="AE581" s="366"/>
      <c r="AF581" s="364" t="s">
        <v>1496</v>
      </c>
      <c r="AG581" s="364" t="s">
        <v>1506</v>
      </c>
      <c r="AH581" s="366" t="s">
        <v>1506</v>
      </c>
    </row>
    <row r="582" customFormat="false" ht="15.75" hidden="false" customHeight="false" outlineLevel="0" collapsed="false">
      <c r="A582" s="262" t="n">
        <v>493</v>
      </c>
      <c r="B582" s="361" t="n">
        <v>580</v>
      </c>
      <c r="C582" s="261" t="s">
        <v>1494</v>
      </c>
      <c r="D582" s="261" t="s">
        <v>150</v>
      </c>
      <c r="E582" s="358" t="s">
        <v>1507</v>
      </c>
      <c r="F582" s="261" t="s">
        <v>1237</v>
      </c>
      <c r="G582" s="261" t="s">
        <v>650</v>
      </c>
      <c r="H582" s="261" t="n">
        <v>1</v>
      </c>
      <c r="I582" s="261" t="n">
        <v>1</v>
      </c>
      <c r="J582" s="361" t="n">
        <v>1</v>
      </c>
      <c r="K582" s="262" t="n">
        <v>120</v>
      </c>
      <c r="L582" s="262" t="n">
        <v>120</v>
      </c>
      <c r="M582" s="262" t="n">
        <v>120</v>
      </c>
      <c r="N582" s="262" t="n">
        <v>120</v>
      </c>
      <c r="O582" s="262" t="n">
        <v>120</v>
      </c>
      <c r="P582" s="361" t="n">
        <v>120</v>
      </c>
      <c r="Q582" s="261" t="s">
        <v>150</v>
      </c>
      <c r="R582" s="261"/>
      <c r="S582" s="368" t="n">
        <f aca="false" t="array" ref="S582:S582">IF(COUNTIF('0.3.0 GO Calculation Values'!$J$2:$J$99,C582),(INDEX('0.3.0 GO Calculation Values'!$K$2:$K$99,MATCH(C582,'0.3.0 GO Calculation Values'!$J$2:$J$99,0))),1)</f>
        <v>0.909090909090909</v>
      </c>
      <c r="T582" s="262" t="n">
        <f aca="false">ROUND(ROUND(2*((7/8)*MAX(L582,N582)+(1/8)*MIN(L582,N582)),0)*(1+(P582-75)/500),0)</f>
        <v>262</v>
      </c>
      <c r="U582" s="262" t="n">
        <f aca="false">ROUND(ROUND(2*((5/8)*MAX(M582,O582)+(3/8)*MIN(M582,O582)),0)*(1+(P582-75)/500),0)</f>
        <v>262</v>
      </c>
      <c r="V582" s="361" t="n">
        <f aca="false">ROUNDDOWN(K582*1.75+50,0)</f>
        <v>260</v>
      </c>
      <c r="W582" s="261" t="n">
        <v>0</v>
      </c>
      <c r="X582" s="261" t="s">
        <v>60</v>
      </c>
      <c r="Y582" s="364" t="s">
        <v>1494</v>
      </c>
      <c r="Z582" s="364" t="n">
        <v>20</v>
      </c>
      <c r="AA582" s="364"/>
      <c r="AB582" s="365"/>
      <c r="AC582" s="364"/>
      <c r="AD582" s="364"/>
      <c r="AE582" s="366"/>
      <c r="AF582" s="364" t="s">
        <v>1496</v>
      </c>
      <c r="AG582" s="364" t="s">
        <v>1508</v>
      </c>
      <c r="AH582" s="366" t="s">
        <v>1508</v>
      </c>
    </row>
    <row r="583" customFormat="false" ht="15.75" hidden="false" customHeight="false" outlineLevel="0" collapsed="false">
      <c r="A583" s="262" t="n">
        <v>493</v>
      </c>
      <c r="B583" s="361" t="n">
        <v>581</v>
      </c>
      <c r="C583" s="261" t="s">
        <v>1494</v>
      </c>
      <c r="D583" s="261" t="s">
        <v>151</v>
      </c>
      <c r="E583" s="358" t="s">
        <v>1509</v>
      </c>
      <c r="F583" s="261" t="s">
        <v>1237</v>
      </c>
      <c r="G583" s="261" t="s">
        <v>650</v>
      </c>
      <c r="H583" s="261" t="n">
        <v>1</v>
      </c>
      <c r="I583" s="261" t="n">
        <v>1</v>
      </c>
      <c r="J583" s="361" t="n">
        <v>1</v>
      </c>
      <c r="K583" s="262" t="n">
        <v>120</v>
      </c>
      <c r="L583" s="262" t="n">
        <v>120</v>
      </c>
      <c r="M583" s="262" t="n">
        <v>120</v>
      </c>
      <c r="N583" s="262" t="n">
        <v>120</v>
      </c>
      <c r="O583" s="262" t="n">
        <v>120</v>
      </c>
      <c r="P583" s="361" t="n">
        <v>120</v>
      </c>
      <c r="Q583" s="261" t="s">
        <v>151</v>
      </c>
      <c r="R583" s="261"/>
      <c r="S583" s="368" t="n">
        <f aca="false" t="array" ref="S583:S583">IF(COUNTIF('0.3.0 GO Calculation Values'!$J$2:$J$99,C583),(INDEX('0.3.0 GO Calculation Values'!$K$2:$K$99,MATCH(C583,'0.3.0 GO Calculation Values'!$J$2:$J$99,0))),1)</f>
        <v>0.909090909090909</v>
      </c>
      <c r="T583" s="262" t="n">
        <f aca="false">ROUND(ROUND(2*((7/8)*MAX(L583,N583)+(1/8)*MIN(L583,N583)),0)*(1+(P583-75)/500),0)</f>
        <v>262</v>
      </c>
      <c r="U583" s="262" t="n">
        <f aca="false">ROUND(ROUND(2*((5/8)*MAX(M583,O583)+(3/8)*MIN(M583,O583)),0)*(1+(P583-75)/500),0)</f>
        <v>262</v>
      </c>
      <c r="V583" s="361" t="n">
        <f aca="false">ROUNDDOWN(K583*1.75+50,0)</f>
        <v>260</v>
      </c>
      <c r="W583" s="261" t="n">
        <v>0</v>
      </c>
      <c r="X583" s="261" t="s">
        <v>60</v>
      </c>
      <c r="Y583" s="364" t="s">
        <v>1494</v>
      </c>
      <c r="Z583" s="364" t="n">
        <v>20</v>
      </c>
      <c r="AA583" s="364"/>
      <c r="AB583" s="365"/>
      <c r="AC583" s="364"/>
      <c r="AD583" s="364"/>
      <c r="AE583" s="366"/>
      <c r="AF583" s="364" t="s">
        <v>1496</v>
      </c>
      <c r="AG583" s="364" t="s">
        <v>1510</v>
      </c>
      <c r="AH583" s="366" t="s">
        <v>1510</v>
      </c>
    </row>
    <row r="584" customFormat="false" ht="15.75" hidden="false" customHeight="false" outlineLevel="0" collapsed="false">
      <c r="A584" s="262" t="n">
        <v>493</v>
      </c>
      <c r="B584" s="361" t="n">
        <v>582</v>
      </c>
      <c r="C584" s="261" t="s">
        <v>1494</v>
      </c>
      <c r="D584" s="261" t="s">
        <v>152</v>
      </c>
      <c r="E584" s="358" t="s">
        <v>1511</v>
      </c>
      <c r="F584" s="261" t="s">
        <v>1237</v>
      </c>
      <c r="G584" s="261" t="s">
        <v>650</v>
      </c>
      <c r="H584" s="261" t="n">
        <v>1</v>
      </c>
      <c r="I584" s="261" t="n">
        <v>1</v>
      </c>
      <c r="J584" s="361" t="n">
        <v>1</v>
      </c>
      <c r="K584" s="262" t="n">
        <v>120</v>
      </c>
      <c r="L584" s="262" t="n">
        <v>120</v>
      </c>
      <c r="M584" s="262" t="n">
        <v>120</v>
      </c>
      <c r="N584" s="262" t="n">
        <v>120</v>
      </c>
      <c r="O584" s="262" t="n">
        <v>120</v>
      </c>
      <c r="P584" s="361" t="n">
        <v>120</v>
      </c>
      <c r="Q584" s="261" t="s">
        <v>152</v>
      </c>
      <c r="R584" s="261"/>
      <c r="S584" s="368" t="n">
        <f aca="false" t="array" ref="S584:S584">IF(COUNTIF('0.3.0 GO Calculation Values'!$J$2:$J$99,C584),(INDEX('0.3.0 GO Calculation Values'!$K$2:$K$99,MATCH(C584,'0.3.0 GO Calculation Values'!$J$2:$J$99,0))),1)</f>
        <v>0.909090909090909</v>
      </c>
      <c r="T584" s="262" t="n">
        <f aca="false">ROUND(ROUND(2*((7/8)*MAX(L584,N584)+(1/8)*MIN(L584,N584)),0)*(1+(P584-75)/500),0)</f>
        <v>262</v>
      </c>
      <c r="U584" s="262" t="n">
        <f aca="false">ROUND(ROUND(2*((5/8)*MAX(M584,O584)+(3/8)*MIN(M584,O584)),0)*(1+(P584-75)/500),0)</f>
        <v>262</v>
      </c>
      <c r="V584" s="361" t="n">
        <f aca="false">ROUNDDOWN(K584*1.75+50,0)</f>
        <v>260</v>
      </c>
      <c r="W584" s="261" t="n">
        <v>0</v>
      </c>
      <c r="X584" s="261" t="s">
        <v>60</v>
      </c>
      <c r="Y584" s="364" t="s">
        <v>1494</v>
      </c>
      <c r="Z584" s="364" t="n">
        <v>20</v>
      </c>
      <c r="AA584" s="364"/>
      <c r="AB584" s="365"/>
      <c r="AC584" s="364"/>
      <c r="AD584" s="364"/>
      <c r="AE584" s="366"/>
      <c r="AF584" s="364" t="s">
        <v>1496</v>
      </c>
      <c r="AG584" s="364" t="s">
        <v>1512</v>
      </c>
      <c r="AH584" s="366" t="s">
        <v>1512</v>
      </c>
    </row>
    <row r="585" customFormat="false" ht="15.75" hidden="false" customHeight="false" outlineLevel="0" collapsed="false">
      <c r="A585" s="262" t="n">
        <v>493</v>
      </c>
      <c r="B585" s="361" t="n">
        <v>583</v>
      </c>
      <c r="C585" s="261" t="s">
        <v>1494</v>
      </c>
      <c r="D585" s="261" t="s">
        <v>153</v>
      </c>
      <c r="E585" s="358" t="s">
        <v>1513</v>
      </c>
      <c r="F585" s="261" t="s">
        <v>1237</v>
      </c>
      <c r="G585" s="261" t="s">
        <v>650</v>
      </c>
      <c r="H585" s="261" t="n">
        <v>1</v>
      </c>
      <c r="I585" s="261" t="n">
        <v>1</v>
      </c>
      <c r="J585" s="361" t="n">
        <v>1</v>
      </c>
      <c r="K585" s="262" t="n">
        <v>120</v>
      </c>
      <c r="L585" s="262" t="n">
        <v>120</v>
      </c>
      <c r="M585" s="262" t="n">
        <v>120</v>
      </c>
      <c r="N585" s="262" t="n">
        <v>120</v>
      </c>
      <c r="O585" s="262" t="n">
        <v>120</v>
      </c>
      <c r="P585" s="361" t="n">
        <v>120</v>
      </c>
      <c r="Q585" s="261" t="s">
        <v>153</v>
      </c>
      <c r="R585" s="261"/>
      <c r="S585" s="368" t="n">
        <f aca="false" t="array" ref="S585:S585">IF(COUNTIF('0.3.0 GO Calculation Values'!$J$2:$J$99,C585),(INDEX('0.3.0 GO Calculation Values'!$K$2:$K$99,MATCH(C585,'0.3.0 GO Calculation Values'!$J$2:$J$99,0))),1)</f>
        <v>0.909090909090909</v>
      </c>
      <c r="T585" s="262" t="n">
        <f aca="false">ROUND(ROUND(2*((7/8)*MAX(L585,N585)+(1/8)*MIN(L585,N585)),0)*(1+(P585-75)/500),0)</f>
        <v>262</v>
      </c>
      <c r="U585" s="262" t="n">
        <f aca="false">ROUND(ROUND(2*((5/8)*MAX(M585,O585)+(3/8)*MIN(M585,O585)),0)*(1+(P585-75)/500),0)</f>
        <v>262</v>
      </c>
      <c r="V585" s="361" t="n">
        <f aca="false">ROUNDDOWN(K585*1.75+50,0)</f>
        <v>260</v>
      </c>
      <c r="W585" s="261" t="n">
        <v>0</v>
      </c>
      <c r="X585" s="261" t="s">
        <v>60</v>
      </c>
      <c r="Y585" s="364" t="s">
        <v>1494</v>
      </c>
      <c r="Z585" s="364" t="n">
        <v>20</v>
      </c>
      <c r="AA585" s="364"/>
      <c r="AB585" s="365"/>
      <c r="AC585" s="364"/>
      <c r="AD585" s="364"/>
      <c r="AE585" s="366"/>
      <c r="AF585" s="364" t="s">
        <v>1496</v>
      </c>
      <c r="AG585" s="364" t="s">
        <v>1514</v>
      </c>
      <c r="AH585" s="366" t="s">
        <v>1514</v>
      </c>
    </row>
    <row r="586" customFormat="false" ht="15.75" hidden="false" customHeight="false" outlineLevel="0" collapsed="false">
      <c r="A586" s="262" t="n">
        <v>493</v>
      </c>
      <c r="B586" s="361" t="n">
        <v>584</v>
      </c>
      <c r="C586" s="261" t="s">
        <v>1494</v>
      </c>
      <c r="D586" s="261" t="s">
        <v>154</v>
      </c>
      <c r="E586" s="358" t="s">
        <v>1515</v>
      </c>
      <c r="F586" s="261" t="s">
        <v>1237</v>
      </c>
      <c r="G586" s="261" t="s">
        <v>650</v>
      </c>
      <c r="H586" s="261" t="n">
        <v>1</v>
      </c>
      <c r="I586" s="261" t="n">
        <v>1</v>
      </c>
      <c r="J586" s="361" t="n">
        <v>1</v>
      </c>
      <c r="K586" s="262" t="n">
        <v>120</v>
      </c>
      <c r="L586" s="262" t="n">
        <v>120</v>
      </c>
      <c r="M586" s="262" t="n">
        <v>120</v>
      </c>
      <c r="N586" s="262" t="n">
        <v>120</v>
      </c>
      <c r="O586" s="262" t="n">
        <v>120</v>
      </c>
      <c r="P586" s="361" t="n">
        <v>120</v>
      </c>
      <c r="Q586" s="261" t="s">
        <v>154</v>
      </c>
      <c r="R586" s="261"/>
      <c r="S586" s="368" t="n">
        <f aca="false" t="array" ref="S586:S586">IF(COUNTIF('0.3.0 GO Calculation Values'!$J$2:$J$99,C586),(INDEX('0.3.0 GO Calculation Values'!$K$2:$K$99,MATCH(C586,'0.3.0 GO Calculation Values'!$J$2:$J$99,0))),1)</f>
        <v>0.909090909090909</v>
      </c>
      <c r="T586" s="262" t="n">
        <f aca="false">ROUND(ROUND(2*((7/8)*MAX(L586,N586)+(1/8)*MIN(L586,N586)),0)*(1+(P586-75)/500),0)</f>
        <v>262</v>
      </c>
      <c r="U586" s="262" t="n">
        <f aca="false">ROUND(ROUND(2*((5/8)*MAX(M586,O586)+(3/8)*MIN(M586,O586)),0)*(1+(P586-75)/500),0)</f>
        <v>262</v>
      </c>
      <c r="V586" s="361" t="n">
        <f aca="false">ROUNDDOWN(K586*1.75+50,0)</f>
        <v>260</v>
      </c>
      <c r="W586" s="261" t="n">
        <v>0</v>
      </c>
      <c r="X586" s="261" t="s">
        <v>60</v>
      </c>
      <c r="Y586" s="364" t="s">
        <v>1494</v>
      </c>
      <c r="Z586" s="364" t="n">
        <v>20</v>
      </c>
      <c r="AA586" s="364"/>
      <c r="AB586" s="365"/>
      <c r="AC586" s="364"/>
      <c r="AD586" s="364"/>
      <c r="AE586" s="366"/>
      <c r="AF586" s="364" t="s">
        <v>1496</v>
      </c>
      <c r="AG586" s="364" t="s">
        <v>1516</v>
      </c>
      <c r="AH586" s="366" t="s">
        <v>1516</v>
      </c>
    </row>
    <row r="587" customFormat="false" ht="15.75" hidden="false" customHeight="false" outlineLevel="0" collapsed="false">
      <c r="A587" s="262" t="n">
        <v>493</v>
      </c>
      <c r="B587" s="361" t="n">
        <v>585</v>
      </c>
      <c r="C587" s="261" t="s">
        <v>1494</v>
      </c>
      <c r="D587" s="261" t="s">
        <v>155</v>
      </c>
      <c r="E587" s="358" t="s">
        <v>1517</v>
      </c>
      <c r="F587" s="261" t="s">
        <v>1237</v>
      </c>
      <c r="G587" s="261" t="s">
        <v>650</v>
      </c>
      <c r="H587" s="261" t="n">
        <v>1</v>
      </c>
      <c r="I587" s="261" t="n">
        <v>1</v>
      </c>
      <c r="J587" s="361" t="n">
        <v>1</v>
      </c>
      <c r="K587" s="262" t="n">
        <v>120</v>
      </c>
      <c r="L587" s="262" t="n">
        <v>120</v>
      </c>
      <c r="M587" s="262" t="n">
        <v>120</v>
      </c>
      <c r="N587" s="262" t="n">
        <v>120</v>
      </c>
      <c r="O587" s="262" t="n">
        <v>120</v>
      </c>
      <c r="P587" s="361" t="n">
        <v>120</v>
      </c>
      <c r="Q587" s="261" t="s">
        <v>155</v>
      </c>
      <c r="R587" s="261"/>
      <c r="S587" s="368" t="n">
        <f aca="false" t="array" ref="S587:S587">IF(COUNTIF('0.3.0 GO Calculation Values'!$J$2:$J$99,C587),(INDEX('0.3.0 GO Calculation Values'!$K$2:$K$99,MATCH(C587,'0.3.0 GO Calculation Values'!$J$2:$J$99,0))),1)</f>
        <v>0.909090909090909</v>
      </c>
      <c r="T587" s="262" t="n">
        <f aca="false">ROUND(ROUND(2*((7/8)*MAX(L587,N587)+(1/8)*MIN(L587,N587)),0)*(1+(P587-75)/500),0)</f>
        <v>262</v>
      </c>
      <c r="U587" s="262" t="n">
        <f aca="false">ROUND(ROUND(2*((5/8)*MAX(M587,O587)+(3/8)*MIN(M587,O587)),0)*(1+(P587-75)/500),0)</f>
        <v>262</v>
      </c>
      <c r="V587" s="361" t="n">
        <f aca="false">ROUNDDOWN(K587*1.75+50,0)</f>
        <v>260</v>
      </c>
      <c r="W587" s="261" t="n">
        <v>0</v>
      </c>
      <c r="X587" s="261" t="s">
        <v>60</v>
      </c>
      <c r="Y587" s="364" t="s">
        <v>1494</v>
      </c>
      <c r="Z587" s="364" t="n">
        <v>20</v>
      </c>
      <c r="AA587" s="364"/>
      <c r="AB587" s="365"/>
      <c r="AC587" s="364"/>
      <c r="AD587" s="364"/>
      <c r="AE587" s="366"/>
      <c r="AF587" s="364" t="s">
        <v>1496</v>
      </c>
      <c r="AG587" s="364" t="s">
        <v>1518</v>
      </c>
      <c r="AH587" s="366" t="s">
        <v>1518</v>
      </c>
    </row>
    <row r="588" customFormat="false" ht="15.75" hidden="false" customHeight="false" outlineLevel="0" collapsed="false">
      <c r="A588" s="262" t="n">
        <v>493</v>
      </c>
      <c r="B588" s="361" t="n">
        <v>586</v>
      </c>
      <c r="C588" s="261" t="s">
        <v>1494</v>
      </c>
      <c r="D588" s="261" t="s">
        <v>156</v>
      </c>
      <c r="E588" s="358" t="s">
        <v>1519</v>
      </c>
      <c r="F588" s="261" t="s">
        <v>1237</v>
      </c>
      <c r="G588" s="261" t="s">
        <v>650</v>
      </c>
      <c r="H588" s="261" t="n">
        <v>1</v>
      </c>
      <c r="I588" s="261" t="n">
        <v>1</v>
      </c>
      <c r="J588" s="361" t="n">
        <v>1</v>
      </c>
      <c r="K588" s="262" t="n">
        <v>120</v>
      </c>
      <c r="L588" s="262" t="n">
        <v>120</v>
      </c>
      <c r="M588" s="262" t="n">
        <v>120</v>
      </c>
      <c r="N588" s="262" t="n">
        <v>120</v>
      </c>
      <c r="O588" s="262" t="n">
        <v>120</v>
      </c>
      <c r="P588" s="361" t="n">
        <v>120</v>
      </c>
      <c r="Q588" s="261" t="s">
        <v>156</v>
      </c>
      <c r="R588" s="261"/>
      <c r="S588" s="368" t="n">
        <f aca="false" t="array" ref="S588:S588">IF(COUNTIF('0.3.0 GO Calculation Values'!$J$2:$J$99,C588),(INDEX('0.3.0 GO Calculation Values'!$K$2:$K$99,MATCH(C588,'0.3.0 GO Calculation Values'!$J$2:$J$99,0))),1)</f>
        <v>0.909090909090909</v>
      </c>
      <c r="T588" s="262" t="n">
        <f aca="false">ROUND(ROUND(2*((7/8)*MAX(L588,N588)+(1/8)*MIN(L588,N588)),0)*(1+(P588-75)/500),0)</f>
        <v>262</v>
      </c>
      <c r="U588" s="262" t="n">
        <f aca="false">ROUND(ROUND(2*((5/8)*MAX(M588,O588)+(3/8)*MIN(M588,O588)),0)*(1+(P588-75)/500),0)</f>
        <v>262</v>
      </c>
      <c r="V588" s="361" t="n">
        <f aca="false">ROUNDDOWN(K588*1.75+50,0)</f>
        <v>260</v>
      </c>
      <c r="W588" s="261" t="n">
        <v>0</v>
      </c>
      <c r="X588" s="261" t="s">
        <v>60</v>
      </c>
      <c r="Y588" s="364" t="s">
        <v>1494</v>
      </c>
      <c r="Z588" s="364" t="n">
        <v>20</v>
      </c>
      <c r="AA588" s="364"/>
      <c r="AB588" s="365"/>
      <c r="AC588" s="364"/>
      <c r="AD588" s="364"/>
      <c r="AE588" s="366"/>
      <c r="AF588" s="364" t="s">
        <v>1496</v>
      </c>
      <c r="AG588" s="364" t="s">
        <v>1520</v>
      </c>
      <c r="AH588" s="366" t="s">
        <v>1520</v>
      </c>
    </row>
    <row r="589" customFormat="false" ht="15.75" hidden="false" customHeight="false" outlineLevel="0" collapsed="false">
      <c r="A589" s="262" t="n">
        <v>493</v>
      </c>
      <c r="B589" s="361" t="n">
        <v>587</v>
      </c>
      <c r="C589" s="261" t="s">
        <v>1494</v>
      </c>
      <c r="D589" s="261" t="s">
        <v>157</v>
      </c>
      <c r="E589" s="358" t="s">
        <v>1521</v>
      </c>
      <c r="F589" s="261" t="s">
        <v>1237</v>
      </c>
      <c r="G589" s="261" t="s">
        <v>650</v>
      </c>
      <c r="H589" s="261" t="n">
        <v>1</v>
      </c>
      <c r="I589" s="261" t="n">
        <v>1</v>
      </c>
      <c r="J589" s="361" t="n">
        <v>1</v>
      </c>
      <c r="K589" s="262" t="n">
        <v>120</v>
      </c>
      <c r="L589" s="262" t="n">
        <v>120</v>
      </c>
      <c r="M589" s="262" t="n">
        <v>120</v>
      </c>
      <c r="N589" s="262" t="n">
        <v>120</v>
      </c>
      <c r="O589" s="262" t="n">
        <v>120</v>
      </c>
      <c r="P589" s="361" t="n">
        <v>120</v>
      </c>
      <c r="Q589" s="261" t="s">
        <v>157</v>
      </c>
      <c r="R589" s="261"/>
      <c r="S589" s="368" t="n">
        <f aca="false" t="array" ref="S589:S589">IF(COUNTIF('0.3.0 GO Calculation Values'!$J$2:$J$99,C589),(INDEX('0.3.0 GO Calculation Values'!$K$2:$K$99,MATCH(C589,'0.3.0 GO Calculation Values'!$J$2:$J$99,0))),1)</f>
        <v>0.909090909090909</v>
      </c>
      <c r="T589" s="262" t="n">
        <f aca="false">ROUND(ROUND(2*((7/8)*MAX(L589,N589)+(1/8)*MIN(L589,N589)),0)*(1+(P589-75)/500),0)</f>
        <v>262</v>
      </c>
      <c r="U589" s="262" t="n">
        <f aca="false">ROUND(ROUND(2*((5/8)*MAX(M589,O589)+(3/8)*MIN(M589,O589)),0)*(1+(P589-75)/500),0)</f>
        <v>262</v>
      </c>
      <c r="V589" s="361" t="n">
        <f aca="false">ROUNDDOWN(K589*1.75+50,0)</f>
        <v>260</v>
      </c>
      <c r="W589" s="261" t="n">
        <v>0</v>
      </c>
      <c r="X589" s="261" t="s">
        <v>60</v>
      </c>
      <c r="Y589" s="364" t="s">
        <v>1494</v>
      </c>
      <c r="Z589" s="364" t="n">
        <v>20</v>
      </c>
      <c r="AA589" s="364"/>
      <c r="AB589" s="365"/>
      <c r="AC589" s="364"/>
      <c r="AD589" s="364"/>
      <c r="AE589" s="366"/>
      <c r="AF589" s="364" t="s">
        <v>1496</v>
      </c>
      <c r="AG589" s="364" t="s">
        <v>1522</v>
      </c>
      <c r="AH589" s="366" t="s">
        <v>1522</v>
      </c>
    </row>
    <row r="590" customFormat="false" ht="15.75" hidden="false" customHeight="false" outlineLevel="0" collapsed="false">
      <c r="A590" s="262" t="n">
        <v>493</v>
      </c>
      <c r="B590" s="361" t="n">
        <v>588</v>
      </c>
      <c r="C590" s="261" t="s">
        <v>1494</v>
      </c>
      <c r="D590" s="261" t="s">
        <v>158</v>
      </c>
      <c r="E590" s="358" t="s">
        <v>1523</v>
      </c>
      <c r="F590" s="261" t="s">
        <v>1237</v>
      </c>
      <c r="G590" s="261" t="s">
        <v>650</v>
      </c>
      <c r="H590" s="261" t="n">
        <v>1</v>
      </c>
      <c r="I590" s="261" t="n">
        <v>1</v>
      </c>
      <c r="J590" s="361" t="n">
        <v>1</v>
      </c>
      <c r="K590" s="262" t="n">
        <v>120</v>
      </c>
      <c r="L590" s="262" t="n">
        <v>120</v>
      </c>
      <c r="M590" s="262" t="n">
        <v>120</v>
      </c>
      <c r="N590" s="262" t="n">
        <v>120</v>
      </c>
      <c r="O590" s="262" t="n">
        <v>120</v>
      </c>
      <c r="P590" s="361" t="n">
        <v>120</v>
      </c>
      <c r="Q590" s="261" t="s">
        <v>158</v>
      </c>
      <c r="R590" s="261"/>
      <c r="S590" s="368" t="n">
        <f aca="false" t="array" ref="S590:S590">IF(COUNTIF('0.3.0 GO Calculation Values'!$J$2:$J$99,C590),(INDEX('0.3.0 GO Calculation Values'!$K$2:$K$99,MATCH(C590,'0.3.0 GO Calculation Values'!$J$2:$J$99,0))),1)</f>
        <v>0.909090909090909</v>
      </c>
      <c r="T590" s="262" t="n">
        <f aca="false">ROUND(ROUND(2*((7/8)*MAX(L590,N590)+(1/8)*MIN(L590,N590)),0)*(1+(P590-75)/500),0)</f>
        <v>262</v>
      </c>
      <c r="U590" s="262" t="n">
        <f aca="false">ROUND(ROUND(2*((5/8)*MAX(M590,O590)+(3/8)*MIN(M590,O590)),0)*(1+(P590-75)/500),0)</f>
        <v>262</v>
      </c>
      <c r="V590" s="361" t="n">
        <f aca="false">ROUNDDOWN(K590*1.75+50,0)</f>
        <v>260</v>
      </c>
      <c r="W590" s="261" t="n">
        <v>0</v>
      </c>
      <c r="X590" s="261" t="s">
        <v>60</v>
      </c>
      <c r="Y590" s="364" t="s">
        <v>1494</v>
      </c>
      <c r="Z590" s="364" t="n">
        <v>20</v>
      </c>
      <c r="AA590" s="364"/>
      <c r="AB590" s="365"/>
      <c r="AC590" s="364"/>
      <c r="AD590" s="364"/>
      <c r="AE590" s="366"/>
      <c r="AF590" s="364" t="s">
        <v>1496</v>
      </c>
      <c r="AG590" s="364" t="s">
        <v>1524</v>
      </c>
      <c r="AH590" s="366" t="s">
        <v>1524</v>
      </c>
    </row>
    <row r="591" customFormat="false" ht="15.75" hidden="false" customHeight="false" outlineLevel="0" collapsed="false">
      <c r="A591" s="262" t="n">
        <v>493</v>
      </c>
      <c r="B591" s="361" t="n">
        <v>589</v>
      </c>
      <c r="C591" s="261" t="s">
        <v>1494</v>
      </c>
      <c r="D591" s="261" t="s">
        <v>159</v>
      </c>
      <c r="E591" s="358" t="s">
        <v>1525</v>
      </c>
      <c r="F591" s="261" t="s">
        <v>1237</v>
      </c>
      <c r="G591" s="261" t="s">
        <v>650</v>
      </c>
      <c r="H591" s="261" t="n">
        <v>1</v>
      </c>
      <c r="I591" s="261" t="n">
        <v>1</v>
      </c>
      <c r="J591" s="361" t="n">
        <v>1</v>
      </c>
      <c r="K591" s="262" t="n">
        <v>120</v>
      </c>
      <c r="L591" s="262" t="n">
        <v>120</v>
      </c>
      <c r="M591" s="262" t="n">
        <v>120</v>
      </c>
      <c r="N591" s="262" t="n">
        <v>120</v>
      </c>
      <c r="O591" s="262" t="n">
        <v>120</v>
      </c>
      <c r="P591" s="361" t="n">
        <v>120</v>
      </c>
      <c r="Q591" s="261" t="s">
        <v>159</v>
      </c>
      <c r="R591" s="261"/>
      <c r="S591" s="368" t="n">
        <f aca="false" t="array" ref="S591:S591">IF(COUNTIF('0.3.0 GO Calculation Values'!$J$2:$J$99,C591),(INDEX('0.3.0 GO Calculation Values'!$K$2:$K$99,MATCH(C591,'0.3.0 GO Calculation Values'!$J$2:$J$99,0))),1)</f>
        <v>0.909090909090909</v>
      </c>
      <c r="T591" s="262" t="n">
        <f aca="false">ROUND(ROUND(2*((7/8)*MAX(L591,N591)+(1/8)*MIN(L591,N591)),0)*(1+(P591-75)/500),0)</f>
        <v>262</v>
      </c>
      <c r="U591" s="262" t="n">
        <f aca="false">ROUND(ROUND(2*((5/8)*MAX(M591,O591)+(3/8)*MIN(M591,O591)),0)*(1+(P591-75)/500),0)</f>
        <v>262</v>
      </c>
      <c r="V591" s="361" t="n">
        <f aca="false">ROUNDDOWN(K591*1.75+50,0)</f>
        <v>260</v>
      </c>
      <c r="W591" s="261" t="n">
        <v>0</v>
      </c>
      <c r="X591" s="261" t="s">
        <v>60</v>
      </c>
      <c r="Y591" s="364" t="s">
        <v>1494</v>
      </c>
      <c r="Z591" s="364" t="n">
        <v>20</v>
      </c>
      <c r="AA591" s="364"/>
      <c r="AB591" s="365"/>
      <c r="AC591" s="364"/>
      <c r="AD591" s="364"/>
      <c r="AE591" s="366"/>
      <c r="AF591" s="364" t="s">
        <v>1496</v>
      </c>
      <c r="AG591" s="364" t="s">
        <v>1526</v>
      </c>
      <c r="AH591" s="366" t="s">
        <v>1526</v>
      </c>
    </row>
    <row r="592" customFormat="false" ht="15.75" hidden="false" customHeight="false" outlineLevel="0" collapsed="false">
      <c r="A592" s="262" t="n">
        <v>493</v>
      </c>
      <c r="B592" s="361" t="n">
        <v>590</v>
      </c>
      <c r="C592" s="261" t="s">
        <v>1494</v>
      </c>
      <c r="D592" s="261" t="s">
        <v>160</v>
      </c>
      <c r="E592" s="358" t="s">
        <v>1527</v>
      </c>
      <c r="F592" s="261" t="s">
        <v>1237</v>
      </c>
      <c r="G592" s="261" t="s">
        <v>650</v>
      </c>
      <c r="H592" s="261" t="n">
        <v>1</v>
      </c>
      <c r="I592" s="261" t="n">
        <v>1</v>
      </c>
      <c r="J592" s="361" t="n">
        <v>1</v>
      </c>
      <c r="K592" s="262" t="n">
        <v>120</v>
      </c>
      <c r="L592" s="262" t="n">
        <v>120</v>
      </c>
      <c r="M592" s="262" t="n">
        <v>120</v>
      </c>
      <c r="N592" s="262" t="n">
        <v>120</v>
      </c>
      <c r="O592" s="262" t="n">
        <v>120</v>
      </c>
      <c r="P592" s="361" t="n">
        <v>120</v>
      </c>
      <c r="Q592" s="261" t="s">
        <v>160</v>
      </c>
      <c r="R592" s="261"/>
      <c r="S592" s="368" t="n">
        <f aca="false" t="array" ref="S592:S592">IF(COUNTIF('0.3.0 GO Calculation Values'!$J$2:$J$99,C592),(INDEX('0.3.0 GO Calculation Values'!$K$2:$K$99,MATCH(C592,'0.3.0 GO Calculation Values'!$J$2:$J$99,0))),1)</f>
        <v>0.909090909090909</v>
      </c>
      <c r="T592" s="262" t="n">
        <f aca="false">ROUND(ROUND(2*((7/8)*MAX(L592,N592)+(1/8)*MIN(L592,N592)),0)*(1+(P592-75)/500),0)</f>
        <v>262</v>
      </c>
      <c r="U592" s="262" t="n">
        <f aca="false">ROUND(ROUND(2*((5/8)*MAX(M592,O592)+(3/8)*MIN(M592,O592)),0)*(1+(P592-75)/500),0)</f>
        <v>262</v>
      </c>
      <c r="V592" s="361" t="n">
        <f aca="false">ROUNDDOWN(K592*1.75+50,0)</f>
        <v>260</v>
      </c>
      <c r="W592" s="261" t="n">
        <v>0</v>
      </c>
      <c r="X592" s="261" t="s">
        <v>60</v>
      </c>
      <c r="Y592" s="364" t="s">
        <v>1494</v>
      </c>
      <c r="Z592" s="364" t="n">
        <v>20</v>
      </c>
      <c r="AA592" s="364"/>
      <c r="AB592" s="365"/>
      <c r="AC592" s="364"/>
      <c r="AD592" s="364"/>
      <c r="AE592" s="366"/>
      <c r="AF592" s="364" t="s">
        <v>1496</v>
      </c>
      <c r="AG592" s="364" t="s">
        <v>1528</v>
      </c>
      <c r="AH592" s="366" t="s">
        <v>1528</v>
      </c>
    </row>
    <row r="593" customFormat="false" ht="15.75" hidden="false" customHeight="false" outlineLevel="0" collapsed="false">
      <c r="A593" s="262" t="n">
        <v>493</v>
      </c>
      <c r="B593" s="361" t="n">
        <v>591</v>
      </c>
      <c r="C593" s="261" t="s">
        <v>1494</v>
      </c>
      <c r="D593" s="261" t="s">
        <v>161</v>
      </c>
      <c r="E593" s="358" t="s">
        <v>1529</v>
      </c>
      <c r="F593" s="261" t="s">
        <v>1237</v>
      </c>
      <c r="G593" s="261" t="s">
        <v>650</v>
      </c>
      <c r="H593" s="261" t="n">
        <v>1</v>
      </c>
      <c r="I593" s="261" t="n">
        <v>1</v>
      </c>
      <c r="J593" s="361" t="n">
        <v>1</v>
      </c>
      <c r="K593" s="262" t="n">
        <v>120</v>
      </c>
      <c r="L593" s="262" t="n">
        <v>120</v>
      </c>
      <c r="M593" s="262" t="n">
        <v>120</v>
      </c>
      <c r="N593" s="262" t="n">
        <v>120</v>
      </c>
      <c r="O593" s="262" t="n">
        <v>120</v>
      </c>
      <c r="P593" s="361" t="n">
        <v>120</v>
      </c>
      <c r="Q593" s="261" t="s">
        <v>161</v>
      </c>
      <c r="R593" s="261"/>
      <c r="S593" s="368" t="n">
        <f aca="false" t="array" ref="S593:S593">IF(COUNTIF('0.3.0 GO Calculation Values'!$J$2:$J$99,C593),(INDEX('0.3.0 GO Calculation Values'!$K$2:$K$99,MATCH(C593,'0.3.0 GO Calculation Values'!$J$2:$J$99,0))),1)</f>
        <v>0.909090909090909</v>
      </c>
      <c r="T593" s="262" t="n">
        <f aca="false">ROUND(ROUND(2*((7/8)*MAX(L593,N593)+(1/8)*MIN(L593,N593)),0)*(1+(P593-75)/500),0)</f>
        <v>262</v>
      </c>
      <c r="U593" s="262" t="n">
        <f aca="false">ROUND(ROUND(2*((5/8)*MAX(M593,O593)+(3/8)*MIN(M593,O593)),0)*(1+(P593-75)/500),0)</f>
        <v>262</v>
      </c>
      <c r="V593" s="361" t="n">
        <f aca="false">ROUNDDOWN(K593*1.75+50,0)</f>
        <v>260</v>
      </c>
      <c r="W593" s="261" t="n">
        <v>0</v>
      </c>
      <c r="X593" s="261" t="s">
        <v>60</v>
      </c>
      <c r="Y593" s="364" t="s">
        <v>1494</v>
      </c>
      <c r="Z593" s="364" t="n">
        <v>20</v>
      </c>
      <c r="AA593" s="364"/>
      <c r="AB593" s="365"/>
      <c r="AC593" s="364"/>
      <c r="AD593" s="364"/>
      <c r="AE593" s="366"/>
      <c r="AF593" s="364" t="s">
        <v>1496</v>
      </c>
      <c r="AG593" s="364" t="s">
        <v>1530</v>
      </c>
      <c r="AH593" s="366" t="s">
        <v>1530</v>
      </c>
    </row>
    <row r="594" customFormat="false" ht="15.75" hidden="false" customHeight="false" outlineLevel="0" collapsed="false">
      <c r="A594" s="262" t="n">
        <v>494</v>
      </c>
      <c r="B594" s="361" t="n">
        <v>592</v>
      </c>
      <c r="C594" s="261" t="s">
        <v>1531</v>
      </c>
      <c r="D594" s="261" t="s">
        <v>60</v>
      </c>
      <c r="E594" s="362" t="s">
        <v>1531</v>
      </c>
      <c r="F594" s="261" t="s">
        <v>1532</v>
      </c>
      <c r="G594" s="261" t="s">
        <v>650</v>
      </c>
      <c r="H594" s="261" t="n">
        <v>0</v>
      </c>
      <c r="I594" s="261" t="n">
        <v>1</v>
      </c>
      <c r="J594" s="361" t="n">
        <v>1</v>
      </c>
      <c r="K594" s="262" t="n">
        <v>100</v>
      </c>
      <c r="L594" s="262" t="n">
        <v>100</v>
      </c>
      <c r="M594" s="262" t="n">
        <v>100</v>
      </c>
      <c r="N594" s="262" t="n">
        <v>100</v>
      </c>
      <c r="O594" s="262" t="n">
        <v>100</v>
      </c>
      <c r="P594" s="361" t="n">
        <v>100</v>
      </c>
      <c r="Q594" s="261" t="s">
        <v>153</v>
      </c>
      <c r="R594" s="261" t="s">
        <v>157</v>
      </c>
      <c r="S594" s="363" t="n">
        <f aca="false" t="array" ref="S594:S594">IF(COUNTIF('0.3.0 GO Calculation Values'!$J$2:$J$99,C594),(INDEX('0.3.0 GO Calculation Values'!$K$2:$K$99,MATCH(C594,'0.3.0 GO Calculation Values'!$J$2:$J$99,0))),1)</f>
        <v>1</v>
      </c>
      <c r="T594" s="262" t="n">
        <f aca="false">ROUND(ROUND(2*((7/8)*MAX(L594,N594)+(1/8)*MIN(L594,N594)),0)*(1+(P594-75)/500),0)</f>
        <v>210</v>
      </c>
      <c r="U594" s="262" t="n">
        <f aca="false">ROUND(ROUND(2*((5/8)*MAX(M594,O594)+(3/8)*MIN(M594,O594)),0)*(1+(P594-75)/500),0)</f>
        <v>210</v>
      </c>
      <c r="V594" s="361" t="n">
        <f aca="false">ROUNDDOWN(K594*1.75+50,0)</f>
        <v>225</v>
      </c>
      <c r="W594" s="261" t="n">
        <v>0</v>
      </c>
      <c r="X594" s="261" t="s">
        <v>60</v>
      </c>
      <c r="Y594" s="364" t="s">
        <v>1531</v>
      </c>
      <c r="Z594" s="364" t="n">
        <v>20</v>
      </c>
      <c r="AA594" s="364"/>
      <c r="AB594" s="365"/>
      <c r="AC594" s="364"/>
      <c r="AD594" s="364"/>
      <c r="AE594" s="366"/>
      <c r="AF594" s="364" t="s">
        <v>1533</v>
      </c>
      <c r="AG594" s="364" t="s">
        <v>1533</v>
      </c>
      <c r="AH594" s="366" t="s">
        <v>1533</v>
      </c>
    </row>
    <row r="595" customFormat="false" ht="15.75" hidden="false" customHeight="false" outlineLevel="0" collapsed="false">
      <c r="A595" s="262" t="n">
        <v>495</v>
      </c>
      <c r="B595" s="361" t="n">
        <v>593</v>
      </c>
      <c r="C595" s="261" t="s">
        <v>1534</v>
      </c>
      <c r="D595" s="261" t="s">
        <v>60</v>
      </c>
      <c r="E595" s="362" t="s">
        <v>1534</v>
      </c>
      <c r="F595" s="261" t="s">
        <v>1532</v>
      </c>
      <c r="G595" s="261" t="s">
        <v>229</v>
      </c>
      <c r="H595" s="261" t="n">
        <v>0</v>
      </c>
      <c r="I595" s="261" t="n">
        <v>1</v>
      </c>
      <c r="J595" s="361" t="n">
        <v>0</v>
      </c>
      <c r="K595" s="262" t="n">
        <v>45</v>
      </c>
      <c r="L595" s="262" t="n">
        <v>45</v>
      </c>
      <c r="M595" s="262" t="n">
        <v>55</v>
      </c>
      <c r="N595" s="262" t="n">
        <v>45</v>
      </c>
      <c r="O595" s="262" t="n">
        <v>55</v>
      </c>
      <c r="P595" s="361" t="n">
        <v>63</v>
      </c>
      <c r="Q595" s="261" t="s">
        <v>155</v>
      </c>
      <c r="R595" s="261"/>
      <c r="S595" s="363" t="n">
        <f aca="false" t="array" ref="S595:S595">IF(COUNTIF('0.3.0 GO Calculation Values'!$J$2:$J$99,C595),(INDEX('0.3.0 GO Calculation Values'!$K$2:$K$99,MATCH(C595,'0.3.0 GO Calculation Values'!$J$2:$J$99,0))),1)</f>
        <v>1</v>
      </c>
      <c r="T595" s="262" t="n">
        <f aca="false">ROUND(ROUND(2*((7/8)*MAX(L595,N595)+(1/8)*MIN(L595,N595)),0)*(1+(P595-75)/500),0)</f>
        <v>88</v>
      </c>
      <c r="U595" s="262" t="n">
        <f aca="false">ROUND(ROUND(2*((5/8)*MAX(M595,O595)+(3/8)*MIN(M595,O595)),0)*(1+(P595-75)/500),0)</f>
        <v>107</v>
      </c>
      <c r="V595" s="361" t="n">
        <f aca="false">ROUNDDOWN(K595*1.75+50,0)</f>
        <v>128</v>
      </c>
      <c r="W595" s="261" t="n">
        <v>0</v>
      </c>
      <c r="X595" s="261" t="s">
        <v>60</v>
      </c>
      <c r="Y595" s="364" t="s">
        <v>1534</v>
      </c>
      <c r="Z595" s="364"/>
      <c r="AA595" s="364"/>
      <c r="AB595" s="365"/>
      <c r="AC595" s="364"/>
      <c r="AD595" s="364"/>
      <c r="AE595" s="366"/>
      <c r="AF595" s="364" t="s">
        <v>1535</v>
      </c>
      <c r="AG595" s="364" t="s">
        <v>1535</v>
      </c>
      <c r="AH595" s="366" t="s">
        <v>1535</v>
      </c>
    </row>
    <row r="596" customFormat="false" ht="15.75" hidden="false" customHeight="false" outlineLevel="0" collapsed="false">
      <c r="A596" s="262" t="n">
        <v>496</v>
      </c>
      <c r="B596" s="361" t="n">
        <v>594</v>
      </c>
      <c r="C596" s="261" t="s">
        <v>1536</v>
      </c>
      <c r="D596" s="261" t="s">
        <v>60</v>
      </c>
      <c r="E596" s="362" t="s">
        <v>1536</v>
      </c>
      <c r="F596" s="261" t="s">
        <v>1532</v>
      </c>
      <c r="G596" s="261" t="s">
        <v>229</v>
      </c>
      <c r="H596" s="261" t="n">
        <v>0</v>
      </c>
      <c r="I596" s="261" t="n">
        <v>2</v>
      </c>
      <c r="J596" s="361" t="n">
        <v>0</v>
      </c>
      <c r="K596" s="262" t="n">
        <v>60</v>
      </c>
      <c r="L596" s="262" t="n">
        <v>60</v>
      </c>
      <c r="M596" s="262" t="n">
        <v>75</v>
      </c>
      <c r="N596" s="262" t="n">
        <v>60</v>
      </c>
      <c r="O596" s="262" t="n">
        <v>75</v>
      </c>
      <c r="P596" s="361" t="n">
        <v>83</v>
      </c>
      <c r="Q596" s="261" t="s">
        <v>155</v>
      </c>
      <c r="R596" s="261"/>
      <c r="S596" s="363" t="n">
        <f aca="false" t="array" ref="S596:S596">IF(COUNTIF('0.3.0 GO Calculation Values'!$J$2:$J$99,C596),(INDEX('0.3.0 GO Calculation Values'!$K$2:$K$99,MATCH(C596,'0.3.0 GO Calculation Values'!$J$2:$J$99,0))),1)</f>
        <v>1</v>
      </c>
      <c r="T596" s="262" t="n">
        <f aca="false">ROUND(ROUND(2*((7/8)*MAX(L596,N596)+(1/8)*MIN(L596,N596)),0)*(1+(P596-75)/500),0)</f>
        <v>122</v>
      </c>
      <c r="U596" s="262" t="n">
        <f aca="false">ROUND(ROUND(2*((5/8)*MAX(M596,O596)+(3/8)*MIN(M596,O596)),0)*(1+(P596-75)/500),0)</f>
        <v>152</v>
      </c>
      <c r="V596" s="361" t="n">
        <f aca="false">ROUNDDOWN(K596*1.75+50,0)</f>
        <v>155</v>
      </c>
      <c r="W596" s="261" t="n">
        <v>0</v>
      </c>
      <c r="X596" s="261" t="s">
        <v>1534</v>
      </c>
      <c r="Y596" s="364" t="s">
        <v>1534</v>
      </c>
      <c r="Z596" s="364"/>
      <c r="AA596" s="364"/>
      <c r="AB596" s="365"/>
      <c r="AC596" s="364"/>
      <c r="AD596" s="364"/>
      <c r="AE596" s="366"/>
      <c r="AF596" s="364" t="s">
        <v>1537</v>
      </c>
      <c r="AG596" s="364" t="s">
        <v>1537</v>
      </c>
      <c r="AH596" s="366" t="s">
        <v>1537</v>
      </c>
    </row>
    <row r="597" customFormat="false" ht="15.75" hidden="false" customHeight="false" outlineLevel="0" collapsed="false">
      <c r="A597" s="262" t="n">
        <v>497</v>
      </c>
      <c r="B597" s="361" t="n">
        <v>595</v>
      </c>
      <c r="C597" s="261" t="s">
        <v>1538</v>
      </c>
      <c r="D597" s="261" t="s">
        <v>60</v>
      </c>
      <c r="E597" s="362" t="s">
        <v>1538</v>
      </c>
      <c r="F597" s="261" t="s">
        <v>1532</v>
      </c>
      <c r="G597" s="261" t="s">
        <v>229</v>
      </c>
      <c r="H597" s="261" t="n">
        <v>0</v>
      </c>
      <c r="I597" s="261" t="n">
        <v>3</v>
      </c>
      <c r="J597" s="361" t="n">
        <v>1</v>
      </c>
      <c r="K597" s="262" t="n">
        <v>75</v>
      </c>
      <c r="L597" s="262" t="n">
        <v>75</v>
      </c>
      <c r="M597" s="262" t="n">
        <v>95</v>
      </c>
      <c r="N597" s="262" t="n">
        <v>75</v>
      </c>
      <c r="O597" s="262" t="n">
        <v>95</v>
      </c>
      <c r="P597" s="361" t="n">
        <v>113</v>
      </c>
      <c r="Q597" s="261" t="s">
        <v>155</v>
      </c>
      <c r="R597" s="261"/>
      <c r="S597" s="363" t="n">
        <f aca="false" t="array" ref="S597:S597">IF(COUNTIF('0.3.0 GO Calculation Values'!$J$2:$J$99,C597),(INDEX('0.3.0 GO Calculation Values'!$K$2:$K$99,MATCH(C597,'0.3.0 GO Calculation Values'!$J$2:$J$99,0))),1)</f>
        <v>1</v>
      </c>
      <c r="T597" s="262" t="n">
        <f aca="false">ROUND(ROUND(2*((7/8)*MAX(L597,N597)+(1/8)*MIN(L597,N597)),0)*(1+(P597-75)/500),0)</f>
        <v>161</v>
      </c>
      <c r="U597" s="262" t="n">
        <f aca="false">ROUND(ROUND(2*((5/8)*MAX(M597,O597)+(3/8)*MIN(M597,O597)),0)*(1+(P597-75)/500),0)</f>
        <v>204</v>
      </c>
      <c r="V597" s="361" t="n">
        <f aca="false">ROUNDDOWN(K597*1.75+50,0)</f>
        <v>181</v>
      </c>
      <c r="W597" s="261" t="n">
        <v>0</v>
      </c>
      <c r="X597" s="261" t="s">
        <v>1536</v>
      </c>
      <c r="Y597" s="364" t="s">
        <v>1534</v>
      </c>
      <c r="Z597" s="364"/>
      <c r="AA597" s="364"/>
      <c r="AB597" s="365"/>
      <c r="AC597" s="364"/>
      <c r="AD597" s="364"/>
      <c r="AE597" s="366"/>
      <c r="AF597" s="364" t="s">
        <v>1539</v>
      </c>
      <c r="AG597" s="364" t="s">
        <v>1539</v>
      </c>
      <c r="AH597" s="366" t="s">
        <v>1539</v>
      </c>
    </row>
    <row r="598" customFormat="false" ht="15.75" hidden="false" customHeight="false" outlineLevel="0" collapsed="false">
      <c r="A598" s="262" t="n">
        <v>498</v>
      </c>
      <c r="B598" s="361" t="n">
        <v>596</v>
      </c>
      <c r="C598" s="261" t="s">
        <v>1540</v>
      </c>
      <c r="D598" s="261" t="s">
        <v>60</v>
      </c>
      <c r="E598" s="362" t="s">
        <v>1540</v>
      </c>
      <c r="F598" s="261" t="s">
        <v>1532</v>
      </c>
      <c r="G598" s="261" t="s">
        <v>229</v>
      </c>
      <c r="H598" s="261" t="n">
        <v>0</v>
      </c>
      <c r="I598" s="261" t="n">
        <v>1</v>
      </c>
      <c r="J598" s="361" t="n">
        <v>0</v>
      </c>
      <c r="K598" s="262" t="n">
        <v>65</v>
      </c>
      <c r="L598" s="262" t="n">
        <v>63</v>
      </c>
      <c r="M598" s="262" t="n">
        <v>45</v>
      </c>
      <c r="N598" s="262" t="n">
        <v>45</v>
      </c>
      <c r="O598" s="262" t="n">
        <v>45</v>
      </c>
      <c r="P598" s="361" t="n">
        <v>45</v>
      </c>
      <c r="Q598" s="261" t="s">
        <v>153</v>
      </c>
      <c r="R598" s="261"/>
      <c r="S598" s="363" t="n">
        <f aca="false" t="array" ref="S598:S598">IF(COUNTIF('0.3.0 GO Calculation Values'!$J$2:$J$99,C598),(INDEX('0.3.0 GO Calculation Values'!$K$2:$K$99,MATCH(C598,'0.3.0 GO Calculation Values'!$J$2:$J$99,0))),1)</f>
        <v>1</v>
      </c>
      <c r="T598" s="262" t="n">
        <f aca="false">ROUND(ROUND(2*((7/8)*MAX(L598,N598)+(1/8)*MIN(L598,N598)),0)*(1+(P598-75)/500),0)</f>
        <v>115</v>
      </c>
      <c r="U598" s="262" t="n">
        <f aca="false">ROUND(ROUND(2*((5/8)*MAX(M598,O598)+(3/8)*MIN(M598,O598)),0)*(1+(P598-75)/500),0)</f>
        <v>85</v>
      </c>
      <c r="V598" s="361" t="n">
        <f aca="false">ROUNDDOWN(K598*1.75+50,0)</f>
        <v>163</v>
      </c>
      <c r="W598" s="261" t="n">
        <v>0</v>
      </c>
      <c r="X598" s="261" t="s">
        <v>60</v>
      </c>
      <c r="Y598" s="364" t="s">
        <v>1540</v>
      </c>
      <c r="Z598" s="364"/>
      <c r="AA598" s="364"/>
      <c r="AB598" s="365"/>
      <c r="AC598" s="364"/>
      <c r="AD598" s="364"/>
      <c r="AE598" s="366"/>
      <c r="AF598" s="364" t="s">
        <v>1541</v>
      </c>
      <c r="AG598" s="364" t="s">
        <v>1541</v>
      </c>
      <c r="AH598" s="366" t="s">
        <v>1541</v>
      </c>
    </row>
    <row r="599" customFormat="false" ht="15.75" hidden="false" customHeight="false" outlineLevel="0" collapsed="false">
      <c r="A599" s="262" t="n">
        <v>499</v>
      </c>
      <c r="B599" s="361" t="n">
        <v>597</v>
      </c>
      <c r="C599" s="261" t="s">
        <v>1542</v>
      </c>
      <c r="D599" s="261" t="s">
        <v>60</v>
      </c>
      <c r="E599" s="362" t="s">
        <v>1542</v>
      </c>
      <c r="F599" s="261" t="s">
        <v>1532</v>
      </c>
      <c r="G599" s="261" t="s">
        <v>229</v>
      </c>
      <c r="H599" s="261" t="n">
        <v>0</v>
      </c>
      <c r="I599" s="261" t="n">
        <v>2</v>
      </c>
      <c r="J599" s="361" t="n">
        <v>0</v>
      </c>
      <c r="K599" s="262" t="n">
        <v>90</v>
      </c>
      <c r="L599" s="262" t="n">
        <v>93</v>
      </c>
      <c r="M599" s="262" t="n">
        <v>55</v>
      </c>
      <c r="N599" s="262" t="n">
        <v>70</v>
      </c>
      <c r="O599" s="262" t="n">
        <v>55</v>
      </c>
      <c r="P599" s="361" t="n">
        <v>55</v>
      </c>
      <c r="Q599" s="261" t="s">
        <v>153</v>
      </c>
      <c r="R599" s="261" t="s">
        <v>145</v>
      </c>
      <c r="S599" s="363" t="n">
        <f aca="false" t="array" ref="S599:S599">IF(COUNTIF('0.3.0 GO Calculation Values'!$J$2:$J$99,C599),(INDEX('0.3.0 GO Calculation Values'!$K$2:$K$99,MATCH(C599,'0.3.0 GO Calculation Values'!$J$2:$J$99,0))),1)</f>
        <v>1</v>
      </c>
      <c r="T599" s="262" t="n">
        <f aca="false">ROUND(ROUND(2*((7/8)*MAX(L599,N599)+(1/8)*MIN(L599,N599)),0)*(1+(P599-75)/500),0)</f>
        <v>173</v>
      </c>
      <c r="U599" s="262" t="n">
        <f aca="false">ROUND(ROUND(2*((5/8)*MAX(M599,O599)+(3/8)*MIN(M599,O599)),0)*(1+(P599-75)/500),0)</f>
        <v>106</v>
      </c>
      <c r="V599" s="361" t="n">
        <f aca="false">ROUNDDOWN(K599*1.75+50,0)</f>
        <v>207</v>
      </c>
      <c r="W599" s="261" t="n">
        <v>0</v>
      </c>
      <c r="X599" s="261" t="s">
        <v>1540</v>
      </c>
      <c r="Y599" s="364" t="s">
        <v>1540</v>
      </c>
      <c r="Z599" s="364"/>
      <c r="AA599" s="364"/>
      <c r="AB599" s="365"/>
      <c r="AC599" s="364"/>
      <c r="AD599" s="364"/>
      <c r="AE599" s="366"/>
      <c r="AF599" s="364" t="s">
        <v>1543</v>
      </c>
      <c r="AG599" s="364" t="s">
        <v>1543</v>
      </c>
      <c r="AH599" s="366" t="s">
        <v>1543</v>
      </c>
    </row>
    <row r="600" customFormat="false" ht="15.75" hidden="false" customHeight="false" outlineLevel="0" collapsed="false">
      <c r="A600" s="262" t="n">
        <v>500</v>
      </c>
      <c r="B600" s="361" t="n">
        <v>598</v>
      </c>
      <c r="C600" s="261" t="s">
        <v>1544</v>
      </c>
      <c r="D600" s="261" t="s">
        <v>60</v>
      </c>
      <c r="E600" s="362" t="s">
        <v>1544</v>
      </c>
      <c r="F600" s="261" t="s">
        <v>1532</v>
      </c>
      <c r="G600" s="261" t="s">
        <v>229</v>
      </c>
      <c r="H600" s="261" t="n">
        <v>0</v>
      </c>
      <c r="I600" s="261" t="n">
        <v>3</v>
      </c>
      <c r="J600" s="361" t="n">
        <v>1</v>
      </c>
      <c r="K600" s="262" t="n">
        <v>110</v>
      </c>
      <c r="L600" s="262" t="n">
        <v>123</v>
      </c>
      <c r="M600" s="262" t="n">
        <v>65</v>
      </c>
      <c r="N600" s="262" t="n">
        <v>100</v>
      </c>
      <c r="O600" s="262" t="n">
        <v>65</v>
      </c>
      <c r="P600" s="361" t="n">
        <v>65</v>
      </c>
      <c r="Q600" s="261" t="s">
        <v>153</v>
      </c>
      <c r="R600" s="261" t="s">
        <v>145</v>
      </c>
      <c r="S600" s="363" t="n">
        <f aca="false" t="array" ref="S600:S600">IF(COUNTIF('0.3.0 GO Calculation Values'!$J$2:$J$99,C600),(INDEX('0.3.0 GO Calculation Values'!$K$2:$K$99,MATCH(C600,'0.3.0 GO Calculation Values'!$J$2:$J$99,0))),1)</f>
        <v>1</v>
      </c>
      <c r="T600" s="262" t="n">
        <f aca="false">ROUND(ROUND(2*((7/8)*MAX(L600,N600)+(1/8)*MIN(L600,N600)),0)*(1+(P600-75)/500),0)</f>
        <v>235</v>
      </c>
      <c r="U600" s="262" t="n">
        <f aca="false">ROUND(ROUND(2*((5/8)*MAX(M600,O600)+(3/8)*MIN(M600,O600)),0)*(1+(P600-75)/500),0)</f>
        <v>127</v>
      </c>
      <c r="V600" s="361" t="n">
        <f aca="false">ROUNDDOWN(K600*1.75+50,0)</f>
        <v>242</v>
      </c>
      <c r="W600" s="261" t="n">
        <v>0</v>
      </c>
      <c r="X600" s="261" t="s">
        <v>1542</v>
      </c>
      <c r="Y600" s="364" t="s">
        <v>1540</v>
      </c>
      <c r="Z600" s="364"/>
      <c r="AA600" s="364"/>
      <c r="AB600" s="365"/>
      <c r="AC600" s="364"/>
      <c r="AD600" s="364"/>
      <c r="AE600" s="366"/>
      <c r="AF600" s="364" t="s">
        <v>1545</v>
      </c>
      <c r="AG600" s="364" t="s">
        <v>1545</v>
      </c>
      <c r="AH600" s="366" t="s">
        <v>1545</v>
      </c>
    </row>
    <row r="601" customFormat="false" ht="15.75" hidden="false" customHeight="false" outlineLevel="0" collapsed="false">
      <c r="A601" s="262" t="n">
        <v>501</v>
      </c>
      <c r="B601" s="361" t="n">
        <v>599</v>
      </c>
      <c r="C601" s="261" t="s">
        <v>1546</v>
      </c>
      <c r="D601" s="261" t="s">
        <v>60</v>
      </c>
      <c r="E601" s="362" t="s">
        <v>1546</v>
      </c>
      <c r="F601" s="261" t="s">
        <v>1532</v>
      </c>
      <c r="G601" s="261" t="s">
        <v>229</v>
      </c>
      <c r="H601" s="261" t="n">
        <v>0</v>
      </c>
      <c r="I601" s="261" t="n">
        <v>1</v>
      </c>
      <c r="J601" s="361" t="n">
        <v>0</v>
      </c>
      <c r="K601" s="262" t="n">
        <v>55</v>
      </c>
      <c r="L601" s="262" t="n">
        <v>55</v>
      </c>
      <c r="M601" s="262" t="n">
        <v>45</v>
      </c>
      <c r="N601" s="262" t="n">
        <v>63</v>
      </c>
      <c r="O601" s="262" t="n">
        <v>45</v>
      </c>
      <c r="P601" s="361" t="n">
        <v>45</v>
      </c>
      <c r="Q601" s="261" t="s">
        <v>154</v>
      </c>
      <c r="R601" s="261"/>
      <c r="S601" s="363" t="n">
        <f aca="false" t="array" ref="S601:S601">IF(COUNTIF('0.3.0 GO Calculation Values'!$J$2:$J$99,C601),(INDEX('0.3.0 GO Calculation Values'!$K$2:$K$99,MATCH(C601,'0.3.0 GO Calculation Values'!$J$2:$J$99,0))),1)</f>
        <v>1</v>
      </c>
      <c r="T601" s="262" t="n">
        <f aca="false">ROUND(ROUND(2*((7/8)*MAX(L601,N601)+(1/8)*MIN(L601,N601)),0)*(1+(P601-75)/500),0)</f>
        <v>117</v>
      </c>
      <c r="U601" s="262" t="n">
        <f aca="false">ROUND(ROUND(2*((5/8)*MAX(M601,O601)+(3/8)*MIN(M601,O601)),0)*(1+(P601-75)/500),0)</f>
        <v>85</v>
      </c>
      <c r="V601" s="361" t="n">
        <f aca="false">ROUNDDOWN(K601*1.75+50,0)</f>
        <v>146</v>
      </c>
      <c r="W601" s="261" t="n">
        <v>0</v>
      </c>
      <c r="X601" s="261" t="s">
        <v>60</v>
      </c>
      <c r="Y601" s="364" t="s">
        <v>1546</v>
      </c>
      <c r="Z601" s="364"/>
      <c r="AA601" s="364"/>
      <c r="AB601" s="365"/>
      <c r="AC601" s="364"/>
      <c r="AD601" s="364"/>
      <c r="AE601" s="366"/>
      <c r="AF601" s="364" t="s">
        <v>1547</v>
      </c>
      <c r="AG601" s="364" t="s">
        <v>1547</v>
      </c>
      <c r="AH601" s="366" t="s">
        <v>1547</v>
      </c>
    </row>
    <row r="602" customFormat="false" ht="15.75" hidden="false" customHeight="false" outlineLevel="0" collapsed="false">
      <c r="A602" s="262" t="n">
        <v>502</v>
      </c>
      <c r="B602" s="361" t="n">
        <v>600</v>
      </c>
      <c r="C602" s="261" t="s">
        <v>1548</v>
      </c>
      <c r="D602" s="261" t="s">
        <v>60</v>
      </c>
      <c r="E602" s="362" t="s">
        <v>1548</v>
      </c>
      <c r="F602" s="261" t="s">
        <v>1532</v>
      </c>
      <c r="G602" s="261" t="s">
        <v>229</v>
      </c>
      <c r="H602" s="261" t="n">
        <v>0</v>
      </c>
      <c r="I602" s="261" t="n">
        <v>2</v>
      </c>
      <c r="J602" s="361" t="n">
        <v>0</v>
      </c>
      <c r="K602" s="262" t="n">
        <v>75</v>
      </c>
      <c r="L602" s="262" t="n">
        <v>75</v>
      </c>
      <c r="M602" s="262" t="n">
        <v>60</v>
      </c>
      <c r="N602" s="262" t="n">
        <v>83</v>
      </c>
      <c r="O602" s="262" t="n">
        <v>60</v>
      </c>
      <c r="P602" s="361" t="n">
        <v>60</v>
      </c>
      <c r="Q602" s="261" t="s">
        <v>154</v>
      </c>
      <c r="R602" s="261"/>
      <c r="S602" s="363" t="n">
        <f aca="false" t="array" ref="S602:S602">IF(COUNTIF('0.3.0 GO Calculation Values'!$J$2:$J$99,C602),(INDEX('0.3.0 GO Calculation Values'!$K$2:$K$99,MATCH(C602,'0.3.0 GO Calculation Values'!$J$2:$J$99,0))),1)</f>
        <v>1</v>
      </c>
      <c r="T602" s="262" t="n">
        <f aca="false">ROUND(ROUND(2*((7/8)*MAX(L602,N602)+(1/8)*MIN(L602,N602)),0)*(1+(P602-75)/500),0)</f>
        <v>159</v>
      </c>
      <c r="U602" s="262" t="n">
        <f aca="false">ROUND(ROUND(2*((5/8)*MAX(M602,O602)+(3/8)*MIN(M602,O602)),0)*(1+(P602-75)/500),0)</f>
        <v>116</v>
      </c>
      <c r="V602" s="361" t="n">
        <f aca="false">ROUNDDOWN(K602*1.75+50,0)</f>
        <v>181</v>
      </c>
      <c r="W602" s="261" t="n">
        <v>0</v>
      </c>
      <c r="X602" s="261" t="s">
        <v>1546</v>
      </c>
      <c r="Y602" s="364" t="s">
        <v>1546</v>
      </c>
      <c r="Z602" s="364"/>
      <c r="AA602" s="364"/>
      <c r="AB602" s="365"/>
      <c r="AC602" s="364"/>
      <c r="AD602" s="364"/>
      <c r="AE602" s="366"/>
      <c r="AF602" s="364" t="s">
        <v>1549</v>
      </c>
      <c r="AG602" s="364" t="s">
        <v>1549</v>
      </c>
      <c r="AH602" s="366" t="s">
        <v>1549</v>
      </c>
    </row>
    <row r="603" customFormat="false" ht="15.75" hidden="false" customHeight="false" outlineLevel="0" collapsed="false">
      <c r="A603" s="262" t="n">
        <v>503</v>
      </c>
      <c r="B603" s="361" t="n">
        <v>601</v>
      </c>
      <c r="C603" s="261" t="s">
        <v>1550</v>
      </c>
      <c r="D603" s="261" t="s">
        <v>60</v>
      </c>
      <c r="E603" s="362" t="s">
        <v>1550</v>
      </c>
      <c r="F603" s="261" t="s">
        <v>1532</v>
      </c>
      <c r="G603" s="261" t="s">
        <v>229</v>
      </c>
      <c r="H603" s="261" t="n">
        <v>0</v>
      </c>
      <c r="I603" s="261" t="n">
        <v>3</v>
      </c>
      <c r="J603" s="361" t="n">
        <v>1</v>
      </c>
      <c r="K603" s="262" t="n">
        <v>95</v>
      </c>
      <c r="L603" s="262" t="n">
        <v>100</v>
      </c>
      <c r="M603" s="262" t="n">
        <v>85</v>
      </c>
      <c r="N603" s="262" t="n">
        <v>108</v>
      </c>
      <c r="O603" s="262" t="n">
        <v>70</v>
      </c>
      <c r="P603" s="361" t="n">
        <v>70</v>
      </c>
      <c r="Q603" s="261" t="s">
        <v>154</v>
      </c>
      <c r="R603" s="261"/>
      <c r="S603" s="363" t="n">
        <f aca="false" t="array" ref="S603:S603">IF(COUNTIF('0.3.0 GO Calculation Values'!$J$2:$J$99,C603),(INDEX('0.3.0 GO Calculation Values'!$K$2:$K$99,MATCH(C603,'0.3.0 GO Calculation Values'!$J$2:$J$99,0))),1)</f>
        <v>1</v>
      </c>
      <c r="T603" s="262" t="n">
        <f aca="false">ROUND(ROUND(2*((7/8)*MAX(L603,N603)+(1/8)*MIN(L603,N603)),0)*(1+(P603-75)/500),0)</f>
        <v>212</v>
      </c>
      <c r="U603" s="262" t="n">
        <f aca="false">ROUND(ROUND(2*((5/8)*MAX(M603,O603)+(3/8)*MIN(M603,O603)),0)*(1+(P603-75)/500),0)</f>
        <v>157</v>
      </c>
      <c r="V603" s="361" t="n">
        <f aca="false">ROUNDDOWN(K603*1.75+50,0)</f>
        <v>216</v>
      </c>
      <c r="W603" s="261" t="n">
        <v>0</v>
      </c>
      <c r="X603" s="261" t="s">
        <v>1548</v>
      </c>
      <c r="Y603" s="364" t="s">
        <v>1546</v>
      </c>
      <c r="Z603" s="364"/>
      <c r="AA603" s="364"/>
      <c r="AB603" s="365"/>
      <c r="AC603" s="364"/>
      <c r="AD603" s="364"/>
      <c r="AE603" s="366"/>
      <c r="AF603" s="364" t="s">
        <v>1551</v>
      </c>
      <c r="AG603" s="364" t="s">
        <v>1551</v>
      </c>
      <c r="AH603" s="366" t="s">
        <v>1551</v>
      </c>
    </row>
    <row r="604" customFormat="false" ht="15.75" hidden="false" customHeight="false" outlineLevel="0" collapsed="false">
      <c r="A604" s="262" t="n">
        <v>504</v>
      </c>
      <c r="B604" s="361" t="n">
        <v>602</v>
      </c>
      <c r="C604" s="261" t="s">
        <v>1552</v>
      </c>
      <c r="D604" s="261" t="s">
        <v>60</v>
      </c>
      <c r="E604" s="362" t="s">
        <v>1552</v>
      </c>
      <c r="F604" s="261" t="s">
        <v>1532</v>
      </c>
      <c r="G604" s="261" t="s">
        <v>144</v>
      </c>
      <c r="H604" s="261" t="n">
        <v>0</v>
      </c>
      <c r="I604" s="261" t="n">
        <v>1</v>
      </c>
      <c r="J604" s="361" t="n">
        <v>0</v>
      </c>
      <c r="K604" s="262" t="n">
        <v>45</v>
      </c>
      <c r="L604" s="262" t="n">
        <v>55</v>
      </c>
      <c r="M604" s="262" t="n">
        <v>39</v>
      </c>
      <c r="N604" s="262" t="n">
        <v>35</v>
      </c>
      <c r="O604" s="262" t="n">
        <v>39</v>
      </c>
      <c r="P604" s="361" t="n">
        <v>42</v>
      </c>
      <c r="Q604" s="261" t="s">
        <v>144</v>
      </c>
      <c r="R604" s="261"/>
      <c r="S604" s="363" t="n">
        <f aca="false" t="array" ref="S604:S604">IF(COUNTIF('0.3.0 GO Calculation Values'!$J$2:$J$99,C604),(INDEX('0.3.0 GO Calculation Values'!$K$2:$K$99,MATCH(C604,'0.3.0 GO Calculation Values'!$J$2:$J$99,0))),1)</f>
        <v>1</v>
      </c>
      <c r="T604" s="262" t="n">
        <f aca="false">ROUND(ROUND(2*((7/8)*MAX(L604,N604)+(1/8)*MIN(L604,N604)),0)*(1+(P604-75)/500),0)</f>
        <v>98</v>
      </c>
      <c r="U604" s="262" t="n">
        <f aca="false">ROUND(ROUND(2*((5/8)*MAX(M604,O604)+(3/8)*MIN(M604,O604)),0)*(1+(P604-75)/500),0)</f>
        <v>73</v>
      </c>
      <c r="V604" s="361" t="n">
        <f aca="false">ROUNDDOWN(K604*1.75+50,0)</f>
        <v>128</v>
      </c>
      <c r="W604" s="261" t="n">
        <v>0</v>
      </c>
      <c r="X604" s="261" t="s">
        <v>60</v>
      </c>
      <c r="Y604" s="364" t="s">
        <v>1552</v>
      </c>
      <c r="Z604" s="364"/>
      <c r="AA604" s="364"/>
      <c r="AB604" s="365"/>
      <c r="AC604" s="364"/>
      <c r="AD604" s="364"/>
      <c r="AE604" s="366"/>
      <c r="AF604" s="364" t="s">
        <v>1553</v>
      </c>
      <c r="AG604" s="364" t="s">
        <v>1553</v>
      </c>
      <c r="AH604" s="366" t="s">
        <v>1553</v>
      </c>
    </row>
    <row r="605" customFormat="false" ht="15.75" hidden="false" customHeight="false" outlineLevel="0" collapsed="false">
      <c r="A605" s="262" t="n">
        <v>505</v>
      </c>
      <c r="B605" s="361" t="n">
        <v>603</v>
      </c>
      <c r="C605" s="261" t="s">
        <v>1554</v>
      </c>
      <c r="D605" s="261" t="s">
        <v>60</v>
      </c>
      <c r="E605" s="362" t="s">
        <v>1554</v>
      </c>
      <c r="F605" s="261" t="s">
        <v>1532</v>
      </c>
      <c r="G605" s="261" t="s">
        <v>144</v>
      </c>
      <c r="H605" s="261" t="n">
        <v>0</v>
      </c>
      <c r="I605" s="261" t="n">
        <v>2</v>
      </c>
      <c r="J605" s="361" t="n">
        <v>1</v>
      </c>
      <c r="K605" s="262" t="n">
        <v>60</v>
      </c>
      <c r="L605" s="262" t="n">
        <v>85</v>
      </c>
      <c r="M605" s="262" t="n">
        <v>69</v>
      </c>
      <c r="N605" s="262" t="n">
        <v>60</v>
      </c>
      <c r="O605" s="262" t="n">
        <v>69</v>
      </c>
      <c r="P605" s="361" t="n">
        <v>77</v>
      </c>
      <c r="Q605" s="261" t="s">
        <v>144</v>
      </c>
      <c r="R605" s="261"/>
      <c r="S605" s="363" t="n">
        <f aca="false" t="array" ref="S605:S605">IF(COUNTIF('0.3.0 GO Calculation Values'!$J$2:$J$99,C605),(INDEX('0.3.0 GO Calculation Values'!$K$2:$K$99,MATCH(C605,'0.3.0 GO Calculation Values'!$J$2:$J$99,0))),1)</f>
        <v>1</v>
      </c>
      <c r="T605" s="262" t="n">
        <f aca="false">ROUND(ROUND(2*((7/8)*MAX(L605,N605)+(1/8)*MIN(L605,N605)),0)*(1+(P605-75)/500),0)</f>
        <v>165</v>
      </c>
      <c r="U605" s="262" t="n">
        <f aca="false">ROUND(ROUND(2*((5/8)*MAX(M605,O605)+(3/8)*MIN(M605,O605)),0)*(1+(P605-75)/500),0)</f>
        <v>139</v>
      </c>
      <c r="V605" s="361" t="n">
        <f aca="false">ROUNDDOWN(K605*1.75+50,0)</f>
        <v>155</v>
      </c>
      <c r="W605" s="261" t="n">
        <v>0</v>
      </c>
      <c r="X605" s="261" t="s">
        <v>1552</v>
      </c>
      <c r="Y605" s="364" t="s">
        <v>1552</v>
      </c>
      <c r="Z605" s="364"/>
      <c r="AA605" s="364"/>
      <c r="AB605" s="365"/>
      <c r="AC605" s="364"/>
      <c r="AD605" s="364"/>
      <c r="AE605" s="366"/>
      <c r="AF605" s="364" t="s">
        <v>1555</v>
      </c>
      <c r="AG605" s="364" t="s">
        <v>1555</v>
      </c>
      <c r="AH605" s="366" t="s">
        <v>1555</v>
      </c>
    </row>
    <row r="606" customFormat="false" ht="15.75" hidden="false" customHeight="false" outlineLevel="0" collapsed="false">
      <c r="A606" s="262" t="n">
        <v>506</v>
      </c>
      <c r="B606" s="361" t="n">
        <v>604</v>
      </c>
      <c r="C606" s="261" t="s">
        <v>1556</v>
      </c>
      <c r="D606" s="261" t="s">
        <v>60</v>
      </c>
      <c r="E606" s="362" t="s">
        <v>1556</v>
      </c>
      <c r="F606" s="261" t="s">
        <v>1532</v>
      </c>
      <c r="G606" s="261" t="s">
        <v>144</v>
      </c>
      <c r="H606" s="261" t="n">
        <v>0</v>
      </c>
      <c r="I606" s="261" t="n">
        <v>1</v>
      </c>
      <c r="J606" s="361" t="n">
        <v>0</v>
      </c>
      <c r="K606" s="262" t="n">
        <v>45</v>
      </c>
      <c r="L606" s="262" t="n">
        <v>60</v>
      </c>
      <c r="M606" s="262" t="n">
        <v>45</v>
      </c>
      <c r="N606" s="262" t="n">
        <v>25</v>
      </c>
      <c r="O606" s="262" t="n">
        <v>45</v>
      </c>
      <c r="P606" s="361" t="n">
        <v>55</v>
      </c>
      <c r="Q606" s="261" t="s">
        <v>144</v>
      </c>
      <c r="R606" s="261"/>
      <c r="S606" s="363" t="n">
        <f aca="false" t="array" ref="S606:S606">IF(COUNTIF('0.3.0 GO Calculation Values'!$J$2:$J$99,C606),(INDEX('0.3.0 GO Calculation Values'!$K$2:$K$99,MATCH(C606,'0.3.0 GO Calculation Values'!$J$2:$J$99,0))),1)</f>
        <v>1</v>
      </c>
      <c r="T606" s="262" t="n">
        <f aca="false">ROUND(ROUND(2*((7/8)*MAX(L606,N606)+(1/8)*MIN(L606,N606)),0)*(1+(P606-75)/500),0)</f>
        <v>107</v>
      </c>
      <c r="U606" s="262" t="n">
        <f aca="false">ROUND(ROUND(2*((5/8)*MAX(M606,O606)+(3/8)*MIN(M606,O606)),0)*(1+(P606-75)/500),0)</f>
        <v>86</v>
      </c>
      <c r="V606" s="361" t="n">
        <f aca="false">ROUNDDOWN(K606*1.75+50,0)</f>
        <v>128</v>
      </c>
      <c r="W606" s="261" t="n">
        <v>0</v>
      </c>
      <c r="X606" s="261" t="s">
        <v>60</v>
      </c>
      <c r="Y606" s="364" t="s">
        <v>1556</v>
      </c>
      <c r="Z606" s="364"/>
      <c r="AA606" s="364"/>
      <c r="AB606" s="365"/>
      <c r="AC606" s="364"/>
      <c r="AD606" s="364"/>
      <c r="AE606" s="366"/>
      <c r="AF606" s="364" t="s">
        <v>1557</v>
      </c>
      <c r="AG606" s="364" t="s">
        <v>1557</v>
      </c>
      <c r="AH606" s="366" t="s">
        <v>1557</v>
      </c>
    </row>
    <row r="607" customFormat="false" ht="15.75" hidden="false" customHeight="false" outlineLevel="0" collapsed="false">
      <c r="A607" s="262" t="n">
        <v>507</v>
      </c>
      <c r="B607" s="361" t="n">
        <v>605</v>
      </c>
      <c r="C607" s="261" t="s">
        <v>1558</v>
      </c>
      <c r="D607" s="261" t="s">
        <v>60</v>
      </c>
      <c r="E607" s="362" t="s">
        <v>1558</v>
      </c>
      <c r="F607" s="261" t="s">
        <v>1532</v>
      </c>
      <c r="G607" s="261" t="s">
        <v>144</v>
      </c>
      <c r="H607" s="261" t="n">
        <v>0</v>
      </c>
      <c r="I607" s="261" t="n">
        <v>2</v>
      </c>
      <c r="J607" s="361" t="n">
        <v>0</v>
      </c>
      <c r="K607" s="262" t="n">
        <v>65</v>
      </c>
      <c r="L607" s="262" t="n">
        <v>80</v>
      </c>
      <c r="M607" s="262" t="n">
        <v>65</v>
      </c>
      <c r="N607" s="262" t="n">
        <v>35</v>
      </c>
      <c r="O607" s="262" t="n">
        <v>65</v>
      </c>
      <c r="P607" s="361" t="n">
        <v>60</v>
      </c>
      <c r="Q607" s="261" t="s">
        <v>144</v>
      </c>
      <c r="R607" s="261"/>
      <c r="S607" s="363" t="n">
        <f aca="false" t="array" ref="S607:S607">IF(COUNTIF('0.3.0 GO Calculation Values'!$J$2:$J$99,C607),(INDEX('0.3.0 GO Calculation Values'!$K$2:$K$99,MATCH(C607,'0.3.0 GO Calculation Values'!$J$2:$J$99,0))),1)</f>
        <v>1</v>
      </c>
      <c r="T607" s="262" t="n">
        <f aca="false">ROUND(ROUND(2*((7/8)*MAX(L607,N607)+(1/8)*MIN(L607,N607)),0)*(1+(P607-75)/500),0)</f>
        <v>145</v>
      </c>
      <c r="U607" s="262" t="n">
        <f aca="false">ROUND(ROUND(2*((5/8)*MAX(M607,O607)+(3/8)*MIN(M607,O607)),0)*(1+(P607-75)/500),0)</f>
        <v>126</v>
      </c>
      <c r="V607" s="361" t="n">
        <f aca="false">ROUNDDOWN(K607*1.75+50,0)</f>
        <v>163</v>
      </c>
      <c r="W607" s="261" t="n">
        <v>0</v>
      </c>
      <c r="X607" s="261" t="s">
        <v>1556</v>
      </c>
      <c r="Y607" s="364" t="s">
        <v>1556</v>
      </c>
      <c r="Z607" s="364"/>
      <c r="AA607" s="364"/>
      <c r="AB607" s="365"/>
      <c r="AC607" s="364"/>
      <c r="AD607" s="364"/>
      <c r="AE607" s="366"/>
      <c r="AF607" s="364" t="s">
        <v>1559</v>
      </c>
      <c r="AG607" s="364" t="s">
        <v>1559</v>
      </c>
      <c r="AH607" s="366" t="s">
        <v>1559</v>
      </c>
    </row>
    <row r="608" customFormat="false" ht="15.75" hidden="false" customHeight="false" outlineLevel="0" collapsed="false">
      <c r="A608" s="262" t="n">
        <v>508</v>
      </c>
      <c r="B608" s="361" t="n">
        <v>606</v>
      </c>
      <c r="C608" s="261" t="s">
        <v>1560</v>
      </c>
      <c r="D608" s="261" t="s">
        <v>60</v>
      </c>
      <c r="E608" s="362" t="s">
        <v>1560</v>
      </c>
      <c r="F608" s="261" t="s">
        <v>1532</v>
      </c>
      <c r="G608" s="261" t="s">
        <v>144</v>
      </c>
      <c r="H608" s="261" t="n">
        <v>0</v>
      </c>
      <c r="I608" s="261" t="n">
        <v>3</v>
      </c>
      <c r="J608" s="361" t="n">
        <v>1</v>
      </c>
      <c r="K608" s="262" t="n">
        <v>85</v>
      </c>
      <c r="L608" s="262" t="n">
        <v>110</v>
      </c>
      <c r="M608" s="262" t="n">
        <v>90</v>
      </c>
      <c r="N608" s="262" t="n">
        <v>45</v>
      </c>
      <c r="O608" s="262" t="n">
        <v>90</v>
      </c>
      <c r="P608" s="361" t="n">
        <v>80</v>
      </c>
      <c r="Q608" s="261" t="s">
        <v>144</v>
      </c>
      <c r="R608" s="261"/>
      <c r="S608" s="363" t="n">
        <f aca="false" t="array" ref="S608:S608">IF(COUNTIF('0.3.0 GO Calculation Values'!$J$2:$J$99,C608),(INDEX('0.3.0 GO Calculation Values'!$K$2:$K$99,MATCH(C608,'0.3.0 GO Calculation Values'!$J$2:$J$99,0))),1)</f>
        <v>1</v>
      </c>
      <c r="T608" s="262" t="n">
        <f aca="false">ROUND(ROUND(2*((7/8)*MAX(L608,N608)+(1/8)*MIN(L608,N608)),0)*(1+(P608-75)/500),0)</f>
        <v>206</v>
      </c>
      <c r="U608" s="262" t="n">
        <f aca="false">ROUND(ROUND(2*((5/8)*MAX(M608,O608)+(3/8)*MIN(M608,O608)),0)*(1+(P608-75)/500),0)</f>
        <v>182</v>
      </c>
      <c r="V608" s="361" t="n">
        <f aca="false">ROUNDDOWN(K608*1.75+50,0)</f>
        <v>198</v>
      </c>
      <c r="W608" s="261" t="n">
        <v>0</v>
      </c>
      <c r="X608" s="261" t="s">
        <v>1558</v>
      </c>
      <c r="Y608" s="364" t="s">
        <v>1556</v>
      </c>
      <c r="Z608" s="364"/>
      <c r="AA608" s="364"/>
      <c r="AB608" s="365"/>
      <c r="AC608" s="364"/>
      <c r="AD608" s="364"/>
      <c r="AE608" s="366"/>
      <c r="AF608" s="364" t="s">
        <v>1561</v>
      </c>
      <c r="AG608" s="364" t="s">
        <v>1561</v>
      </c>
      <c r="AH608" s="366" t="s">
        <v>1561</v>
      </c>
    </row>
    <row r="609" customFormat="false" ht="15.75" hidden="false" customHeight="false" outlineLevel="0" collapsed="false">
      <c r="A609" s="262" t="n">
        <v>509</v>
      </c>
      <c r="B609" s="361" t="n">
        <v>607</v>
      </c>
      <c r="C609" s="261" t="s">
        <v>1562</v>
      </c>
      <c r="D609" s="261" t="s">
        <v>60</v>
      </c>
      <c r="E609" s="362" t="s">
        <v>1562</v>
      </c>
      <c r="F609" s="261" t="s">
        <v>1532</v>
      </c>
      <c r="G609" s="261" t="s">
        <v>144</v>
      </c>
      <c r="H609" s="261" t="n">
        <v>0</v>
      </c>
      <c r="I609" s="261" t="n">
        <v>1</v>
      </c>
      <c r="J609" s="361" t="n">
        <v>0</v>
      </c>
      <c r="K609" s="262" t="n">
        <v>41</v>
      </c>
      <c r="L609" s="262" t="n">
        <v>50</v>
      </c>
      <c r="M609" s="262" t="n">
        <v>37</v>
      </c>
      <c r="N609" s="262" t="n">
        <v>50</v>
      </c>
      <c r="O609" s="262" t="n">
        <v>37</v>
      </c>
      <c r="P609" s="361" t="n">
        <v>66</v>
      </c>
      <c r="Q609" s="261" t="s">
        <v>160</v>
      </c>
      <c r="R609" s="261"/>
      <c r="S609" s="363" t="n">
        <f aca="false" t="array" ref="S609:S609">IF(COUNTIF('0.3.0 GO Calculation Values'!$J$2:$J$99,C609),(INDEX('0.3.0 GO Calculation Values'!$K$2:$K$99,MATCH(C609,'0.3.0 GO Calculation Values'!$J$2:$J$99,0))),1)</f>
        <v>1</v>
      </c>
      <c r="T609" s="262" t="n">
        <f aca="false">ROUND(ROUND(2*((7/8)*MAX(L609,N609)+(1/8)*MIN(L609,N609)),0)*(1+(P609-75)/500),0)</f>
        <v>98</v>
      </c>
      <c r="U609" s="262" t="n">
        <f aca="false">ROUND(ROUND(2*((5/8)*MAX(M609,O609)+(3/8)*MIN(M609,O609)),0)*(1+(P609-75)/500),0)</f>
        <v>73</v>
      </c>
      <c r="V609" s="361" t="n">
        <f aca="false">ROUNDDOWN(K609*1.75+50,0)</f>
        <v>121</v>
      </c>
      <c r="W609" s="261" t="n">
        <v>0</v>
      </c>
      <c r="X609" s="261" t="s">
        <v>60</v>
      </c>
      <c r="Y609" s="364" t="s">
        <v>1562</v>
      </c>
      <c r="Z609" s="364"/>
      <c r="AA609" s="364"/>
      <c r="AB609" s="365"/>
      <c r="AC609" s="364"/>
      <c r="AD609" s="364"/>
      <c r="AE609" s="366"/>
      <c r="AF609" s="364" t="s">
        <v>1563</v>
      </c>
      <c r="AG609" s="364" t="s">
        <v>1563</v>
      </c>
      <c r="AH609" s="366" t="s">
        <v>1563</v>
      </c>
    </row>
    <row r="610" customFormat="false" ht="15.75" hidden="false" customHeight="false" outlineLevel="0" collapsed="false">
      <c r="A610" s="262" t="n">
        <v>510</v>
      </c>
      <c r="B610" s="361" t="n">
        <v>608</v>
      </c>
      <c r="C610" s="261" t="s">
        <v>1564</v>
      </c>
      <c r="D610" s="261" t="s">
        <v>60</v>
      </c>
      <c r="E610" s="362" t="s">
        <v>1564</v>
      </c>
      <c r="F610" s="261" t="s">
        <v>1532</v>
      </c>
      <c r="G610" s="261" t="s">
        <v>144</v>
      </c>
      <c r="H610" s="261" t="n">
        <v>0</v>
      </c>
      <c r="I610" s="261" t="n">
        <v>2</v>
      </c>
      <c r="J610" s="361" t="n">
        <v>1</v>
      </c>
      <c r="K610" s="262" t="n">
        <v>64</v>
      </c>
      <c r="L610" s="262" t="n">
        <v>88</v>
      </c>
      <c r="M610" s="262" t="n">
        <v>50</v>
      </c>
      <c r="N610" s="262" t="n">
        <v>88</v>
      </c>
      <c r="O610" s="262" t="n">
        <v>50</v>
      </c>
      <c r="P610" s="361" t="n">
        <v>106</v>
      </c>
      <c r="Q610" s="261" t="s">
        <v>160</v>
      </c>
      <c r="R610" s="261"/>
      <c r="S610" s="363" t="n">
        <f aca="false" t="array" ref="S610:S610">IF(COUNTIF('0.3.0 GO Calculation Values'!$J$2:$J$99,C610),(INDEX('0.3.0 GO Calculation Values'!$K$2:$K$99,MATCH(C610,'0.3.0 GO Calculation Values'!$J$2:$J$99,0))),1)</f>
        <v>1</v>
      </c>
      <c r="T610" s="262" t="n">
        <f aca="false">ROUND(ROUND(2*((7/8)*MAX(L610,N610)+(1/8)*MIN(L610,N610)),0)*(1+(P610-75)/500),0)</f>
        <v>187</v>
      </c>
      <c r="U610" s="262" t="n">
        <f aca="false">ROUND(ROUND(2*((5/8)*MAX(M610,O610)+(3/8)*MIN(M610,O610)),0)*(1+(P610-75)/500),0)</f>
        <v>106</v>
      </c>
      <c r="V610" s="361" t="n">
        <f aca="false">ROUNDDOWN(K610*1.75+50,0)</f>
        <v>162</v>
      </c>
      <c r="W610" s="261" t="n">
        <v>0</v>
      </c>
      <c r="X610" s="261" t="s">
        <v>1562</v>
      </c>
      <c r="Y610" s="364" t="s">
        <v>1562</v>
      </c>
      <c r="Z610" s="364"/>
      <c r="AA610" s="364"/>
      <c r="AB610" s="365"/>
      <c r="AC610" s="364"/>
      <c r="AD610" s="364"/>
      <c r="AE610" s="366"/>
      <c r="AF610" s="364" t="s">
        <v>1565</v>
      </c>
      <c r="AG610" s="364" t="s">
        <v>1565</v>
      </c>
      <c r="AH610" s="366" t="s">
        <v>1565</v>
      </c>
    </row>
    <row r="611" customFormat="false" ht="15.75" hidden="false" customHeight="false" outlineLevel="0" collapsed="false">
      <c r="A611" s="262" t="n">
        <v>511</v>
      </c>
      <c r="B611" s="361" t="n">
        <v>609</v>
      </c>
      <c r="C611" s="261" t="s">
        <v>1566</v>
      </c>
      <c r="D611" s="261" t="s">
        <v>60</v>
      </c>
      <c r="E611" s="362" t="s">
        <v>1566</v>
      </c>
      <c r="F611" s="261" t="s">
        <v>1532</v>
      </c>
      <c r="G611" s="261" t="s">
        <v>144</v>
      </c>
      <c r="H611" s="261" t="n">
        <v>0</v>
      </c>
      <c r="I611" s="261" t="n">
        <v>1</v>
      </c>
      <c r="J611" s="361" t="n">
        <v>0</v>
      </c>
      <c r="K611" s="262" t="n">
        <v>50</v>
      </c>
      <c r="L611" s="262" t="n">
        <v>53</v>
      </c>
      <c r="M611" s="262" t="n">
        <v>48</v>
      </c>
      <c r="N611" s="262" t="n">
        <v>53</v>
      </c>
      <c r="O611" s="262" t="n">
        <v>48</v>
      </c>
      <c r="P611" s="361" t="n">
        <v>64</v>
      </c>
      <c r="Q611" s="261" t="s">
        <v>155</v>
      </c>
      <c r="R611" s="261"/>
      <c r="S611" s="363" t="n">
        <f aca="false" t="array" ref="S611:S611">IF(COUNTIF('0.3.0 GO Calculation Values'!$J$2:$J$99,C611),(INDEX('0.3.0 GO Calculation Values'!$K$2:$K$99,MATCH(C611,'0.3.0 GO Calculation Values'!$J$2:$J$99,0))),1)</f>
        <v>1</v>
      </c>
      <c r="T611" s="262" t="n">
        <f aca="false">ROUND(ROUND(2*((7/8)*MAX(L611,N611)+(1/8)*MIN(L611,N611)),0)*(1+(P611-75)/500),0)</f>
        <v>104</v>
      </c>
      <c r="U611" s="262" t="n">
        <f aca="false">ROUND(ROUND(2*((5/8)*MAX(M611,O611)+(3/8)*MIN(M611,O611)),0)*(1+(P611-75)/500),0)</f>
        <v>94</v>
      </c>
      <c r="V611" s="361" t="n">
        <f aca="false">ROUNDDOWN(K611*1.75+50,0)</f>
        <v>137</v>
      </c>
      <c r="W611" s="261" t="n">
        <v>0</v>
      </c>
      <c r="X611" s="261" t="s">
        <v>60</v>
      </c>
      <c r="Y611" s="364" t="s">
        <v>1566</v>
      </c>
      <c r="Z611" s="364"/>
      <c r="AA611" s="364"/>
      <c r="AB611" s="365"/>
      <c r="AC611" s="364"/>
      <c r="AD611" s="364"/>
      <c r="AE611" s="366"/>
      <c r="AF611" s="364" t="s">
        <v>1567</v>
      </c>
      <c r="AG611" s="364" t="s">
        <v>1567</v>
      </c>
      <c r="AH611" s="366" t="s">
        <v>1567</v>
      </c>
    </row>
    <row r="612" customFormat="false" ht="15.75" hidden="false" customHeight="false" outlineLevel="0" collapsed="false">
      <c r="A612" s="262" t="n">
        <v>512</v>
      </c>
      <c r="B612" s="361" t="n">
        <v>610</v>
      </c>
      <c r="C612" s="261" t="s">
        <v>1568</v>
      </c>
      <c r="D612" s="261" t="s">
        <v>60</v>
      </c>
      <c r="E612" s="362" t="s">
        <v>1568</v>
      </c>
      <c r="F612" s="261" t="s">
        <v>1532</v>
      </c>
      <c r="G612" s="261" t="s">
        <v>144</v>
      </c>
      <c r="H612" s="261" t="n">
        <v>0</v>
      </c>
      <c r="I612" s="261" t="n">
        <v>2</v>
      </c>
      <c r="J612" s="361" t="n">
        <v>1</v>
      </c>
      <c r="K612" s="262" t="n">
        <v>75</v>
      </c>
      <c r="L612" s="262" t="n">
        <v>98</v>
      </c>
      <c r="M612" s="262" t="n">
        <v>63</v>
      </c>
      <c r="N612" s="262" t="n">
        <v>98</v>
      </c>
      <c r="O612" s="262" t="n">
        <v>63</v>
      </c>
      <c r="P612" s="361" t="n">
        <v>101</v>
      </c>
      <c r="Q612" s="261" t="s">
        <v>155</v>
      </c>
      <c r="R612" s="261"/>
      <c r="S612" s="363" t="n">
        <f aca="false" t="array" ref="S612:S612">IF(COUNTIF('0.3.0 GO Calculation Values'!$J$2:$J$99,C612),(INDEX('0.3.0 GO Calculation Values'!$K$2:$K$99,MATCH(C612,'0.3.0 GO Calculation Values'!$J$2:$J$99,0))),1)</f>
        <v>1</v>
      </c>
      <c r="T612" s="262" t="n">
        <f aca="false">ROUND(ROUND(2*((7/8)*MAX(L612,N612)+(1/8)*MIN(L612,N612)),0)*(1+(P612-75)/500),0)</f>
        <v>206</v>
      </c>
      <c r="U612" s="262" t="n">
        <f aca="false">ROUND(ROUND(2*((5/8)*MAX(M612,O612)+(3/8)*MIN(M612,O612)),0)*(1+(P612-75)/500),0)</f>
        <v>133</v>
      </c>
      <c r="V612" s="361" t="n">
        <f aca="false">ROUNDDOWN(K612*1.75+50,0)</f>
        <v>181</v>
      </c>
      <c r="W612" s="261" t="n">
        <v>0</v>
      </c>
      <c r="X612" s="261" t="s">
        <v>1566</v>
      </c>
      <c r="Y612" s="364" t="s">
        <v>1566</v>
      </c>
      <c r="Z612" s="364"/>
      <c r="AA612" s="364"/>
      <c r="AB612" s="365"/>
      <c r="AC612" s="364"/>
      <c r="AD612" s="364"/>
      <c r="AE612" s="366"/>
      <c r="AF612" s="364" t="s">
        <v>1569</v>
      </c>
      <c r="AG612" s="364" t="s">
        <v>1569</v>
      </c>
      <c r="AH612" s="366" t="s">
        <v>1569</v>
      </c>
    </row>
    <row r="613" customFormat="false" ht="15.75" hidden="false" customHeight="false" outlineLevel="0" collapsed="false">
      <c r="A613" s="262" t="n">
        <v>513</v>
      </c>
      <c r="B613" s="361" t="n">
        <v>611</v>
      </c>
      <c r="C613" s="261" t="s">
        <v>1570</v>
      </c>
      <c r="D613" s="261" t="s">
        <v>60</v>
      </c>
      <c r="E613" s="362" t="s">
        <v>1570</v>
      </c>
      <c r="F613" s="261" t="s">
        <v>1532</v>
      </c>
      <c r="G613" s="261" t="s">
        <v>144</v>
      </c>
      <c r="H613" s="261" t="n">
        <v>0</v>
      </c>
      <c r="I613" s="261" t="n">
        <v>1</v>
      </c>
      <c r="J613" s="361" t="n">
        <v>0</v>
      </c>
      <c r="K613" s="262" t="n">
        <v>50</v>
      </c>
      <c r="L613" s="262" t="n">
        <v>53</v>
      </c>
      <c r="M613" s="262" t="n">
        <v>48</v>
      </c>
      <c r="N613" s="262" t="n">
        <v>53</v>
      </c>
      <c r="O613" s="262" t="n">
        <v>48</v>
      </c>
      <c r="P613" s="361" t="n">
        <v>64</v>
      </c>
      <c r="Q613" s="261" t="s">
        <v>153</v>
      </c>
      <c r="R613" s="261"/>
      <c r="S613" s="363" t="n">
        <f aca="false" t="array" ref="S613:S613">IF(COUNTIF('0.3.0 GO Calculation Values'!$J$2:$J$99,C613),(INDEX('0.3.0 GO Calculation Values'!$K$2:$K$99,MATCH(C613,'0.3.0 GO Calculation Values'!$J$2:$J$99,0))),1)</f>
        <v>1</v>
      </c>
      <c r="T613" s="262" t="n">
        <f aca="false">ROUND(ROUND(2*((7/8)*MAX(L613,N613)+(1/8)*MIN(L613,N613)),0)*(1+(P613-75)/500),0)</f>
        <v>104</v>
      </c>
      <c r="U613" s="262" t="n">
        <f aca="false">ROUND(ROUND(2*((5/8)*MAX(M613,O613)+(3/8)*MIN(M613,O613)),0)*(1+(P613-75)/500),0)</f>
        <v>94</v>
      </c>
      <c r="V613" s="361" t="n">
        <f aca="false">ROUNDDOWN(K613*1.75+50,0)</f>
        <v>137</v>
      </c>
      <c r="W613" s="261" t="n">
        <v>0</v>
      </c>
      <c r="X613" s="261" t="s">
        <v>60</v>
      </c>
      <c r="Y613" s="364" t="s">
        <v>1570</v>
      </c>
      <c r="Z613" s="364"/>
      <c r="AA613" s="364"/>
      <c r="AB613" s="365"/>
      <c r="AC613" s="364"/>
      <c r="AD613" s="364"/>
      <c r="AE613" s="366"/>
      <c r="AF613" s="364" t="s">
        <v>1571</v>
      </c>
      <c r="AG613" s="364" t="s">
        <v>1571</v>
      </c>
      <c r="AH613" s="366" t="s">
        <v>1571</v>
      </c>
    </row>
    <row r="614" customFormat="false" ht="15.75" hidden="false" customHeight="false" outlineLevel="0" collapsed="false">
      <c r="A614" s="262" t="n">
        <v>514</v>
      </c>
      <c r="B614" s="361" t="n">
        <v>612</v>
      </c>
      <c r="C614" s="261" t="s">
        <v>1572</v>
      </c>
      <c r="D614" s="261" t="s">
        <v>60</v>
      </c>
      <c r="E614" s="362" t="s">
        <v>1572</v>
      </c>
      <c r="F614" s="261" t="s">
        <v>1532</v>
      </c>
      <c r="G614" s="261" t="s">
        <v>144</v>
      </c>
      <c r="H614" s="261" t="n">
        <v>0</v>
      </c>
      <c r="I614" s="261" t="n">
        <v>2</v>
      </c>
      <c r="J614" s="361" t="n">
        <v>1</v>
      </c>
      <c r="K614" s="262" t="n">
        <v>75</v>
      </c>
      <c r="L614" s="262" t="n">
        <v>98</v>
      </c>
      <c r="M614" s="262" t="n">
        <v>63</v>
      </c>
      <c r="N614" s="262" t="n">
        <v>98</v>
      </c>
      <c r="O614" s="262" t="n">
        <v>63</v>
      </c>
      <c r="P614" s="361" t="n">
        <v>101</v>
      </c>
      <c r="Q614" s="261" t="s">
        <v>153</v>
      </c>
      <c r="R614" s="261"/>
      <c r="S614" s="363" t="n">
        <f aca="false" t="array" ref="S614:S614">IF(COUNTIF('0.3.0 GO Calculation Values'!$J$2:$J$99,C614),(INDEX('0.3.0 GO Calculation Values'!$K$2:$K$99,MATCH(C614,'0.3.0 GO Calculation Values'!$J$2:$J$99,0))),1)</f>
        <v>1</v>
      </c>
      <c r="T614" s="262" t="n">
        <f aca="false">ROUND(ROUND(2*((7/8)*MAX(L614,N614)+(1/8)*MIN(L614,N614)),0)*(1+(P614-75)/500),0)</f>
        <v>206</v>
      </c>
      <c r="U614" s="262" t="n">
        <f aca="false">ROUND(ROUND(2*((5/8)*MAX(M614,O614)+(3/8)*MIN(M614,O614)),0)*(1+(P614-75)/500),0)</f>
        <v>133</v>
      </c>
      <c r="V614" s="361" t="n">
        <f aca="false">ROUNDDOWN(K614*1.75+50,0)</f>
        <v>181</v>
      </c>
      <c r="W614" s="261" t="n">
        <v>0</v>
      </c>
      <c r="X614" s="261" t="s">
        <v>1570</v>
      </c>
      <c r="Y614" s="364" t="s">
        <v>1570</v>
      </c>
      <c r="Z614" s="364"/>
      <c r="AA614" s="364"/>
      <c r="AB614" s="365"/>
      <c r="AC614" s="364"/>
      <c r="AD614" s="364"/>
      <c r="AE614" s="366"/>
      <c r="AF614" s="364" t="s">
        <v>1573</v>
      </c>
      <c r="AG614" s="364" t="s">
        <v>1573</v>
      </c>
      <c r="AH614" s="366" t="s">
        <v>1573</v>
      </c>
    </row>
    <row r="615" customFormat="false" ht="15.75" hidden="false" customHeight="false" outlineLevel="0" collapsed="false">
      <c r="A615" s="262" t="n">
        <v>515</v>
      </c>
      <c r="B615" s="361" t="n">
        <v>613</v>
      </c>
      <c r="C615" s="261" t="s">
        <v>1574</v>
      </c>
      <c r="D615" s="261" t="s">
        <v>60</v>
      </c>
      <c r="E615" s="362" t="s">
        <v>1574</v>
      </c>
      <c r="F615" s="261" t="s">
        <v>1532</v>
      </c>
      <c r="G615" s="261" t="s">
        <v>144</v>
      </c>
      <c r="H615" s="261" t="n">
        <v>0</v>
      </c>
      <c r="I615" s="261" t="n">
        <v>1</v>
      </c>
      <c r="J615" s="361" t="n">
        <v>0</v>
      </c>
      <c r="K615" s="262" t="n">
        <v>50</v>
      </c>
      <c r="L615" s="262" t="n">
        <v>53</v>
      </c>
      <c r="M615" s="262" t="n">
        <v>48</v>
      </c>
      <c r="N615" s="262" t="n">
        <v>53</v>
      </c>
      <c r="O615" s="262" t="n">
        <v>48</v>
      </c>
      <c r="P615" s="361" t="n">
        <v>64</v>
      </c>
      <c r="Q615" s="261" t="s">
        <v>154</v>
      </c>
      <c r="R615" s="261"/>
      <c r="S615" s="363" t="n">
        <f aca="false" t="array" ref="S615:S615">IF(COUNTIF('0.3.0 GO Calculation Values'!$J$2:$J$99,C615),(INDEX('0.3.0 GO Calculation Values'!$K$2:$K$99,MATCH(C615,'0.3.0 GO Calculation Values'!$J$2:$J$99,0))),1)</f>
        <v>1</v>
      </c>
      <c r="T615" s="262" t="n">
        <f aca="false">ROUND(ROUND(2*((7/8)*MAX(L615,N615)+(1/8)*MIN(L615,N615)),0)*(1+(P615-75)/500),0)</f>
        <v>104</v>
      </c>
      <c r="U615" s="262" t="n">
        <f aca="false">ROUND(ROUND(2*((5/8)*MAX(M615,O615)+(3/8)*MIN(M615,O615)),0)*(1+(P615-75)/500),0)</f>
        <v>94</v>
      </c>
      <c r="V615" s="361" t="n">
        <f aca="false">ROUNDDOWN(K615*1.75+50,0)</f>
        <v>137</v>
      </c>
      <c r="W615" s="261" t="n">
        <v>0</v>
      </c>
      <c r="X615" s="261" t="s">
        <v>60</v>
      </c>
      <c r="Y615" s="364" t="s">
        <v>1574</v>
      </c>
      <c r="Z615" s="364"/>
      <c r="AA615" s="364"/>
      <c r="AB615" s="365"/>
      <c r="AC615" s="364"/>
      <c r="AD615" s="364"/>
      <c r="AE615" s="366"/>
      <c r="AF615" s="364" t="s">
        <v>1575</v>
      </c>
      <c r="AG615" s="364" t="s">
        <v>1575</v>
      </c>
      <c r="AH615" s="366" t="s">
        <v>1575</v>
      </c>
    </row>
    <row r="616" customFormat="false" ht="15.75" hidden="false" customHeight="false" outlineLevel="0" collapsed="false">
      <c r="A616" s="262" t="n">
        <v>516</v>
      </c>
      <c r="B616" s="361" t="n">
        <v>614</v>
      </c>
      <c r="C616" s="261" t="s">
        <v>1576</v>
      </c>
      <c r="D616" s="261" t="s">
        <v>60</v>
      </c>
      <c r="E616" s="362" t="s">
        <v>1576</v>
      </c>
      <c r="F616" s="261" t="s">
        <v>1532</v>
      </c>
      <c r="G616" s="261" t="s">
        <v>144</v>
      </c>
      <c r="H616" s="261" t="n">
        <v>0</v>
      </c>
      <c r="I616" s="261" t="n">
        <v>2</v>
      </c>
      <c r="J616" s="361" t="n">
        <v>1</v>
      </c>
      <c r="K616" s="262" t="n">
        <v>75</v>
      </c>
      <c r="L616" s="262" t="n">
        <v>98</v>
      </c>
      <c r="M616" s="262" t="n">
        <v>63</v>
      </c>
      <c r="N616" s="262" t="n">
        <v>98</v>
      </c>
      <c r="O616" s="262" t="n">
        <v>63</v>
      </c>
      <c r="P616" s="361" t="n">
        <v>101</v>
      </c>
      <c r="Q616" s="261" t="s">
        <v>154</v>
      </c>
      <c r="R616" s="261"/>
      <c r="S616" s="363" t="n">
        <f aca="false" t="array" ref="S616:S616">IF(COUNTIF('0.3.0 GO Calculation Values'!$J$2:$J$99,C616),(INDEX('0.3.0 GO Calculation Values'!$K$2:$K$99,MATCH(C616,'0.3.0 GO Calculation Values'!$J$2:$J$99,0))),1)</f>
        <v>1</v>
      </c>
      <c r="T616" s="262" t="n">
        <f aca="false">ROUND(ROUND(2*((7/8)*MAX(L616,N616)+(1/8)*MIN(L616,N616)),0)*(1+(P616-75)/500),0)</f>
        <v>206</v>
      </c>
      <c r="U616" s="262" t="n">
        <f aca="false">ROUND(ROUND(2*((5/8)*MAX(M616,O616)+(3/8)*MIN(M616,O616)),0)*(1+(P616-75)/500),0)</f>
        <v>133</v>
      </c>
      <c r="V616" s="361" t="n">
        <f aca="false">ROUNDDOWN(K616*1.75+50,0)</f>
        <v>181</v>
      </c>
      <c r="W616" s="261" t="n">
        <v>0</v>
      </c>
      <c r="X616" s="261" t="s">
        <v>1574</v>
      </c>
      <c r="Y616" s="364" t="s">
        <v>1574</v>
      </c>
      <c r="Z616" s="364"/>
      <c r="AA616" s="364"/>
      <c r="AB616" s="365"/>
      <c r="AC616" s="364"/>
      <c r="AD616" s="364"/>
      <c r="AE616" s="366"/>
      <c r="AF616" s="364" t="s">
        <v>1577</v>
      </c>
      <c r="AG616" s="364" t="s">
        <v>1577</v>
      </c>
      <c r="AH616" s="366" t="s">
        <v>1577</v>
      </c>
    </row>
    <row r="617" customFormat="false" ht="15.75" hidden="false" customHeight="false" outlineLevel="0" collapsed="false">
      <c r="A617" s="262" t="n">
        <v>517</v>
      </c>
      <c r="B617" s="361" t="n">
        <v>615</v>
      </c>
      <c r="C617" s="261" t="s">
        <v>1578</v>
      </c>
      <c r="D617" s="261" t="s">
        <v>60</v>
      </c>
      <c r="E617" s="362" t="s">
        <v>1578</v>
      </c>
      <c r="F617" s="261" t="s">
        <v>1532</v>
      </c>
      <c r="G617" s="261" t="s">
        <v>144</v>
      </c>
      <c r="H617" s="261" t="n">
        <v>0</v>
      </c>
      <c r="I617" s="261" t="n">
        <v>1</v>
      </c>
      <c r="J617" s="361" t="n">
        <v>0</v>
      </c>
      <c r="K617" s="262" t="n">
        <v>76</v>
      </c>
      <c r="L617" s="262" t="n">
        <v>25</v>
      </c>
      <c r="M617" s="262" t="n">
        <v>45</v>
      </c>
      <c r="N617" s="262" t="n">
        <v>67</v>
      </c>
      <c r="O617" s="262" t="n">
        <v>55</v>
      </c>
      <c r="P617" s="361" t="n">
        <v>24</v>
      </c>
      <c r="Q617" s="261" t="s">
        <v>157</v>
      </c>
      <c r="R617" s="261"/>
      <c r="S617" s="363" t="n">
        <f aca="false" t="array" ref="S617:S617">IF(COUNTIF('0.3.0 GO Calculation Values'!$J$2:$J$99,C617),(INDEX('0.3.0 GO Calculation Values'!$K$2:$K$99,MATCH(C617,'0.3.0 GO Calculation Values'!$J$2:$J$99,0))),1)</f>
        <v>1</v>
      </c>
      <c r="T617" s="262" t="n">
        <f aca="false">ROUND(ROUND(2*((7/8)*MAX(L617,N617)+(1/8)*MIN(L617,N617)),0)*(1+(P617-75)/500),0)</f>
        <v>111</v>
      </c>
      <c r="U617" s="262" t="n">
        <f aca="false">ROUND(ROUND(2*((5/8)*MAX(M617,O617)+(3/8)*MIN(M617,O617)),0)*(1+(P617-75)/500),0)</f>
        <v>92</v>
      </c>
      <c r="V617" s="361" t="n">
        <f aca="false">ROUNDDOWN(K617*1.75+50,0)</f>
        <v>183</v>
      </c>
      <c r="W617" s="261" t="n">
        <v>0</v>
      </c>
      <c r="X617" s="261" t="s">
        <v>60</v>
      </c>
      <c r="Y617" s="364" t="s">
        <v>1578</v>
      </c>
      <c r="Z617" s="364"/>
      <c r="AA617" s="364"/>
      <c r="AB617" s="365"/>
      <c r="AC617" s="364"/>
      <c r="AD617" s="364"/>
      <c r="AE617" s="366"/>
      <c r="AF617" s="364" t="s">
        <v>1579</v>
      </c>
      <c r="AG617" s="364" t="s">
        <v>1579</v>
      </c>
      <c r="AH617" s="366" t="s">
        <v>1579</v>
      </c>
    </row>
    <row r="618" customFormat="false" ht="15.75" hidden="false" customHeight="false" outlineLevel="0" collapsed="false">
      <c r="A618" s="262" t="n">
        <v>518</v>
      </c>
      <c r="B618" s="361" t="n">
        <v>616</v>
      </c>
      <c r="C618" s="261" t="s">
        <v>1580</v>
      </c>
      <c r="D618" s="261" t="s">
        <v>60</v>
      </c>
      <c r="E618" s="362" t="s">
        <v>1580</v>
      </c>
      <c r="F618" s="261" t="s">
        <v>1532</v>
      </c>
      <c r="G618" s="261" t="s">
        <v>144</v>
      </c>
      <c r="H618" s="261" t="n">
        <v>0</v>
      </c>
      <c r="I618" s="261" t="n">
        <v>2</v>
      </c>
      <c r="J618" s="361" t="n">
        <v>1</v>
      </c>
      <c r="K618" s="262" t="n">
        <v>116</v>
      </c>
      <c r="L618" s="262" t="n">
        <v>55</v>
      </c>
      <c r="M618" s="262" t="n">
        <v>85</v>
      </c>
      <c r="N618" s="262" t="n">
        <v>107</v>
      </c>
      <c r="O618" s="262" t="n">
        <v>95</v>
      </c>
      <c r="P618" s="361" t="n">
        <v>29</v>
      </c>
      <c r="Q618" s="261" t="s">
        <v>157</v>
      </c>
      <c r="R618" s="261"/>
      <c r="S618" s="363" t="n">
        <f aca="false" t="array" ref="S618:S618">IF(COUNTIF('0.3.0 GO Calculation Values'!$J$2:$J$99,C618),(INDEX('0.3.0 GO Calculation Values'!$K$2:$K$99,MATCH(C618,'0.3.0 GO Calculation Values'!$J$2:$J$99,0))),1)</f>
        <v>1</v>
      </c>
      <c r="T618" s="262" t="n">
        <f aca="false">ROUND(ROUND(2*((7/8)*MAX(L618,N618)+(1/8)*MIN(L618,N618)),0)*(1+(P618-75)/500),0)</f>
        <v>183</v>
      </c>
      <c r="U618" s="262" t="n">
        <f aca="false">ROUND(ROUND(2*((5/8)*MAX(M618,O618)+(3/8)*MIN(M618,O618)),0)*(1+(P618-75)/500),0)</f>
        <v>166</v>
      </c>
      <c r="V618" s="361" t="n">
        <f aca="false">ROUNDDOWN(K618*1.75+50,0)</f>
        <v>253</v>
      </c>
      <c r="W618" s="261" t="n">
        <v>0</v>
      </c>
      <c r="X618" s="261" t="s">
        <v>1578</v>
      </c>
      <c r="Y618" s="364" t="s">
        <v>1578</v>
      </c>
      <c r="Z618" s="364"/>
      <c r="AA618" s="364"/>
      <c r="AB618" s="365"/>
      <c r="AC618" s="364"/>
      <c r="AD618" s="364"/>
      <c r="AE618" s="366"/>
      <c r="AF618" s="364" t="s">
        <v>1581</v>
      </c>
      <c r="AG618" s="364" t="s">
        <v>1581</v>
      </c>
      <c r="AH618" s="366" t="s">
        <v>1581</v>
      </c>
    </row>
    <row r="619" customFormat="false" ht="15.75" hidden="false" customHeight="false" outlineLevel="0" collapsed="false">
      <c r="A619" s="262" t="n">
        <v>519</v>
      </c>
      <c r="B619" s="361" t="n">
        <v>617</v>
      </c>
      <c r="C619" s="261" t="s">
        <v>1582</v>
      </c>
      <c r="D619" s="261" t="s">
        <v>60</v>
      </c>
      <c r="E619" s="362" t="s">
        <v>1582</v>
      </c>
      <c r="F619" s="261" t="s">
        <v>1532</v>
      </c>
      <c r="G619" s="261" t="s">
        <v>144</v>
      </c>
      <c r="H619" s="261" t="n">
        <v>0</v>
      </c>
      <c r="I619" s="261" t="n">
        <v>1</v>
      </c>
      <c r="J619" s="361" t="n">
        <v>0</v>
      </c>
      <c r="K619" s="262" t="n">
        <v>50</v>
      </c>
      <c r="L619" s="262" t="n">
        <v>55</v>
      </c>
      <c r="M619" s="262" t="n">
        <v>50</v>
      </c>
      <c r="N619" s="262" t="n">
        <v>36</v>
      </c>
      <c r="O619" s="262" t="n">
        <v>30</v>
      </c>
      <c r="P619" s="361" t="n">
        <v>43</v>
      </c>
      <c r="Q619" s="261" t="s">
        <v>144</v>
      </c>
      <c r="R619" s="261" t="s">
        <v>146</v>
      </c>
      <c r="S619" s="363" t="n">
        <f aca="false" t="array" ref="S619:S619">IF(COUNTIF('0.3.0 GO Calculation Values'!$J$2:$J$99,C619),(INDEX('0.3.0 GO Calculation Values'!$K$2:$K$99,MATCH(C619,'0.3.0 GO Calculation Values'!$J$2:$J$99,0))),1)</f>
        <v>1</v>
      </c>
      <c r="T619" s="262" t="n">
        <f aca="false">ROUND(ROUND(2*((7/8)*MAX(L619,N619)+(1/8)*MIN(L619,N619)),0)*(1+(P619-75)/500),0)</f>
        <v>98</v>
      </c>
      <c r="U619" s="262" t="n">
        <f aca="false">ROUND(ROUND(2*((5/8)*MAX(M619,O619)+(3/8)*MIN(M619,O619)),0)*(1+(P619-75)/500),0)</f>
        <v>80</v>
      </c>
      <c r="V619" s="361" t="n">
        <f aca="false">ROUNDDOWN(K619*1.75+50,0)</f>
        <v>137</v>
      </c>
      <c r="W619" s="261" t="n">
        <v>0</v>
      </c>
      <c r="X619" s="261" t="s">
        <v>60</v>
      </c>
      <c r="Y619" s="364" t="s">
        <v>1582</v>
      </c>
      <c r="Z619" s="364"/>
      <c r="AA619" s="364"/>
      <c r="AB619" s="365"/>
      <c r="AC619" s="364"/>
      <c r="AD619" s="364"/>
      <c r="AE619" s="366"/>
      <c r="AF619" s="364" t="s">
        <v>1583</v>
      </c>
      <c r="AG619" s="364" t="s">
        <v>1583</v>
      </c>
      <c r="AH619" s="366" t="s">
        <v>1583</v>
      </c>
    </row>
    <row r="620" customFormat="false" ht="15.75" hidden="false" customHeight="false" outlineLevel="0" collapsed="false">
      <c r="A620" s="262" t="n">
        <v>520</v>
      </c>
      <c r="B620" s="361" t="n">
        <v>618</v>
      </c>
      <c r="C620" s="261" t="s">
        <v>1584</v>
      </c>
      <c r="D620" s="261" t="s">
        <v>60</v>
      </c>
      <c r="E620" s="362" t="s">
        <v>1584</v>
      </c>
      <c r="F620" s="261" t="s">
        <v>1532</v>
      </c>
      <c r="G620" s="261" t="s">
        <v>144</v>
      </c>
      <c r="H620" s="261" t="n">
        <v>0</v>
      </c>
      <c r="I620" s="261" t="n">
        <v>2</v>
      </c>
      <c r="J620" s="361" t="n">
        <v>0</v>
      </c>
      <c r="K620" s="262" t="n">
        <v>62</v>
      </c>
      <c r="L620" s="262" t="n">
        <v>77</v>
      </c>
      <c r="M620" s="262" t="n">
        <v>62</v>
      </c>
      <c r="N620" s="262" t="n">
        <v>50</v>
      </c>
      <c r="O620" s="262" t="n">
        <v>42</v>
      </c>
      <c r="P620" s="361" t="n">
        <v>65</v>
      </c>
      <c r="Q620" s="261" t="s">
        <v>144</v>
      </c>
      <c r="R620" s="261" t="s">
        <v>146</v>
      </c>
      <c r="S620" s="363" t="n">
        <f aca="false" t="array" ref="S620:S620">IF(COUNTIF('0.3.0 GO Calculation Values'!$J$2:$J$99,C620),(INDEX('0.3.0 GO Calculation Values'!$K$2:$K$99,MATCH(C620,'0.3.0 GO Calculation Values'!$J$2:$J$99,0))),1)</f>
        <v>1</v>
      </c>
      <c r="T620" s="262" t="n">
        <f aca="false">ROUND(ROUND(2*((7/8)*MAX(L620,N620)+(1/8)*MIN(L620,N620)),0)*(1+(P620-75)/500),0)</f>
        <v>144</v>
      </c>
      <c r="U620" s="262" t="n">
        <f aca="false">ROUND(ROUND(2*((5/8)*MAX(M620,O620)+(3/8)*MIN(M620,O620)),0)*(1+(P620-75)/500),0)</f>
        <v>107</v>
      </c>
      <c r="V620" s="361" t="n">
        <f aca="false">ROUNDDOWN(K620*1.75+50,0)</f>
        <v>158</v>
      </c>
      <c r="W620" s="261" t="n">
        <v>0</v>
      </c>
      <c r="X620" s="261" t="s">
        <v>1582</v>
      </c>
      <c r="Y620" s="364" t="s">
        <v>1582</v>
      </c>
      <c r="Z620" s="364"/>
      <c r="AA620" s="364"/>
      <c r="AB620" s="365"/>
      <c r="AC620" s="364"/>
      <c r="AD620" s="364"/>
      <c r="AE620" s="366"/>
      <c r="AF620" s="364" t="s">
        <v>1585</v>
      </c>
      <c r="AG620" s="364" t="s">
        <v>1585</v>
      </c>
      <c r="AH620" s="366" t="s">
        <v>1585</v>
      </c>
    </row>
    <row r="621" customFormat="false" ht="15.75" hidden="false" customHeight="false" outlineLevel="0" collapsed="false">
      <c r="A621" s="262" t="n">
        <v>521</v>
      </c>
      <c r="B621" s="361" t="n">
        <v>619</v>
      </c>
      <c r="C621" s="261" t="s">
        <v>1586</v>
      </c>
      <c r="D621" s="261" t="s">
        <v>60</v>
      </c>
      <c r="E621" s="362" t="s">
        <v>1586</v>
      </c>
      <c r="F621" s="261" t="s">
        <v>1532</v>
      </c>
      <c r="G621" s="261" t="s">
        <v>144</v>
      </c>
      <c r="H621" s="261" t="n">
        <v>0</v>
      </c>
      <c r="I621" s="261" t="n">
        <v>3</v>
      </c>
      <c r="J621" s="361" t="n">
        <v>1</v>
      </c>
      <c r="K621" s="262" t="n">
        <v>80</v>
      </c>
      <c r="L621" s="262" t="n">
        <v>115</v>
      </c>
      <c r="M621" s="262" t="n">
        <v>80</v>
      </c>
      <c r="N621" s="262" t="n">
        <v>65</v>
      </c>
      <c r="O621" s="262" t="n">
        <v>55</v>
      </c>
      <c r="P621" s="361" t="n">
        <v>93</v>
      </c>
      <c r="Q621" s="261" t="s">
        <v>144</v>
      </c>
      <c r="R621" s="261" t="s">
        <v>146</v>
      </c>
      <c r="S621" s="363" t="n">
        <f aca="false" t="array" ref="S621:S621">IF(COUNTIF('0.3.0 GO Calculation Values'!$J$2:$J$99,C621),(INDEX('0.3.0 GO Calculation Values'!$K$2:$K$99,MATCH(C621,'0.3.0 GO Calculation Values'!$J$2:$J$99,0))),1)</f>
        <v>1</v>
      </c>
      <c r="T621" s="262" t="n">
        <f aca="false">ROUND(ROUND(2*((7/8)*MAX(L621,N621)+(1/8)*MIN(L621,N621)),0)*(1+(P621-75)/500),0)</f>
        <v>226</v>
      </c>
      <c r="U621" s="262" t="n">
        <f aca="false">ROUND(ROUND(2*((5/8)*MAX(M621,O621)+(3/8)*MIN(M621,O621)),0)*(1+(P621-75)/500),0)</f>
        <v>146</v>
      </c>
      <c r="V621" s="361" t="n">
        <f aca="false">ROUNDDOWN(K621*1.75+50,0)</f>
        <v>190</v>
      </c>
      <c r="W621" s="261" t="n">
        <v>0</v>
      </c>
      <c r="X621" s="261" t="s">
        <v>1584</v>
      </c>
      <c r="Y621" s="364" t="s">
        <v>1582</v>
      </c>
      <c r="Z621" s="364"/>
      <c r="AA621" s="364"/>
      <c r="AB621" s="365"/>
      <c r="AC621" s="364"/>
      <c r="AD621" s="364"/>
      <c r="AE621" s="366"/>
      <c r="AF621" s="364" t="s">
        <v>1587</v>
      </c>
      <c r="AG621" s="364" t="s">
        <v>1587</v>
      </c>
      <c r="AH621" s="366" t="s">
        <v>1587</v>
      </c>
    </row>
    <row r="622" customFormat="false" ht="15.75" hidden="false" customHeight="false" outlineLevel="0" collapsed="false">
      <c r="A622" s="262" t="n">
        <v>522</v>
      </c>
      <c r="B622" s="361" t="n">
        <v>620</v>
      </c>
      <c r="C622" s="261" t="s">
        <v>1588</v>
      </c>
      <c r="D622" s="261" t="s">
        <v>60</v>
      </c>
      <c r="E622" s="362" t="s">
        <v>1588</v>
      </c>
      <c r="F622" s="261" t="s">
        <v>1532</v>
      </c>
      <c r="G622" s="261" t="s">
        <v>144</v>
      </c>
      <c r="H622" s="261" t="n">
        <v>0</v>
      </c>
      <c r="I622" s="261" t="n">
        <v>1</v>
      </c>
      <c r="J622" s="361" t="n">
        <v>0</v>
      </c>
      <c r="K622" s="262" t="n">
        <v>45</v>
      </c>
      <c r="L622" s="262" t="n">
        <v>60</v>
      </c>
      <c r="M622" s="262" t="n">
        <v>32</v>
      </c>
      <c r="N622" s="262" t="n">
        <v>50</v>
      </c>
      <c r="O622" s="262" t="n">
        <v>32</v>
      </c>
      <c r="P622" s="361" t="n">
        <v>76</v>
      </c>
      <c r="Q622" s="261" t="s">
        <v>156</v>
      </c>
      <c r="R622" s="261"/>
      <c r="S622" s="363" t="n">
        <f aca="false" t="array" ref="S622:S622">IF(COUNTIF('0.3.0 GO Calculation Values'!$J$2:$J$99,C622),(INDEX('0.3.0 GO Calculation Values'!$K$2:$K$99,MATCH(C622,'0.3.0 GO Calculation Values'!$J$2:$J$99,0))),1)</f>
        <v>1</v>
      </c>
      <c r="T622" s="262" t="n">
        <f aca="false">ROUND(ROUND(2*((7/8)*MAX(L622,N622)+(1/8)*MIN(L622,N622)),0)*(1+(P622-75)/500),0)</f>
        <v>118</v>
      </c>
      <c r="U622" s="262" t="n">
        <f aca="false">ROUND(ROUND(2*((5/8)*MAX(M622,O622)+(3/8)*MIN(M622,O622)),0)*(1+(P622-75)/500),0)</f>
        <v>64</v>
      </c>
      <c r="V622" s="361" t="n">
        <f aca="false">ROUNDDOWN(K622*1.75+50,0)</f>
        <v>128</v>
      </c>
      <c r="W622" s="261" t="n">
        <v>0</v>
      </c>
      <c r="X622" s="261" t="s">
        <v>60</v>
      </c>
      <c r="Y622" s="364" t="s">
        <v>1588</v>
      </c>
      <c r="Z622" s="364"/>
      <c r="AA622" s="364"/>
      <c r="AB622" s="365"/>
      <c r="AC622" s="364"/>
      <c r="AD622" s="364"/>
      <c r="AE622" s="366"/>
      <c r="AF622" s="364" t="s">
        <v>1589</v>
      </c>
      <c r="AG622" s="364" t="s">
        <v>1589</v>
      </c>
      <c r="AH622" s="366" t="s">
        <v>1589</v>
      </c>
    </row>
    <row r="623" customFormat="false" ht="15.75" hidden="false" customHeight="false" outlineLevel="0" collapsed="false">
      <c r="A623" s="262" t="n">
        <v>523</v>
      </c>
      <c r="B623" s="361" t="n">
        <v>621</v>
      </c>
      <c r="C623" s="261" t="s">
        <v>1590</v>
      </c>
      <c r="D623" s="261" t="s">
        <v>60</v>
      </c>
      <c r="E623" s="362" t="s">
        <v>1590</v>
      </c>
      <c r="F623" s="261" t="s">
        <v>1532</v>
      </c>
      <c r="G623" s="261" t="s">
        <v>144</v>
      </c>
      <c r="H623" s="261" t="n">
        <v>0</v>
      </c>
      <c r="I623" s="261" t="n">
        <v>2</v>
      </c>
      <c r="J623" s="361" t="n">
        <v>1</v>
      </c>
      <c r="K623" s="262" t="n">
        <v>75</v>
      </c>
      <c r="L623" s="262" t="n">
        <v>100</v>
      </c>
      <c r="M623" s="262" t="n">
        <v>63</v>
      </c>
      <c r="N623" s="262" t="n">
        <v>80</v>
      </c>
      <c r="O623" s="262" t="n">
        <v>63</v>
      </c>
      <c r="P623" s="361" t="n">
        <v>116</v>
      </c>
      <c r="Q623" s="261" t="s">
        <v>156</v>
      </c>
      <c r="R623" s="261"/>
      <c r="S623" s="363" t="n">
        <f aca="false" t="array" ref="S623:S623">IF(COUNTIF('0.3.0 GO Calculation Values'!$J$2:$J$99,C623),(INDEX('0.3.0 GO Calculation Values'!$K$2:$K$99,MATCH(C623,'0.3.0 GO Calculation Values'!$J$2:$J$99,0))),1)</f>
        <v>1</v>
      </c>
      <c r="T623" s="262" t="n">
        <f aca="false">ROUND(ROUND(2*((7/8)*MAX(L623,N623)+(1/8)*MIN(L623,N623)),0)*(1+(P623-75)/500),0)</f>
        <v>211</v>
      </c>
      <c r="U623" s="262" t="n">
        <f aca="false">ROUND(ROUND(2*((5/8)*MAX(M623,O623)+(3/8)*MIN(M623,O623)),0)*(1+(P623-75)/500),0)</f>
        <v>136</v>
      </c>
      <c r="V623" s="361" t="n">
        <f aca="false">ROUNDDOWN(K623*1.75+50,0)</f>
        <v>181</v>
      </c>
      <c r="W623" s="261" t="n">
        <v>0</v>
      </c>
      <c r="X623" s="261" t="s">
        <v>1588</v>
      </c>
      <c r="Y623" s="364" t="s">
        <v>1588</v>
      </c>
      <c r="Z623" s="364"/>
      <c r="AA623" s="364"/>
      <c r="AB623" s="365"/>
      <c r="AC623" s="364"/>
      <c r="AD623" s="364"/>
      <c r="AE623" s="366"/>
      <c r="AF623" s="364" t="s">
        <v>1591</v>
      </c>
      <c r="AG623" s="364" t="s">
        <v>1591</v>
      </c>
      <c r="AH623" s="366" t="s">
        <v>1591</v>
      </c>
    </row>
    <row r="624" customFormat="false" ht="15.75" hidden="false" customHeight="false" outlineLevel="0" collapsed="false">
      <c r="A624" s="262" t="n">
        <v>524</v>
      </c>
      <c r="B624" s="361" t="n">
        <v>622</v>
      </c>
      <c r="C624" s="261" t="s">
        <v>1592</v>
      </c>
      <c r="D624" s="261" t="s">
        <v>60</v>
      </c>
      <c r="E624" s="362" t="s">
        <v>1592</v>
      </c>
      <c r="F624" s="261" t="s">
        <v>1532</v>
      </c>
      <c r="G624" s="261" t="s">
        <v>144</v>
      </c>
      <c r="H624" s="261" t="n">
        <v>0</v>
      </c>
      <c r="I624" s="261" t="n">
        <v>1</v>
      </c>
      <c r="J624" s="361" t="n">
        <v>0</v>
      </c>
      <c r="K624" s="262" t="n">
        <v>55</v>
      </c>
      <c r="L624" s="262" t="n">
        <v>75</v>
      </c>
      <c r="M624" s="262" t="n">
        <v>85</v>
      </c>
      <c r="N624" s="262" t="n">
        <v>25</v>
      </c>
      <c r="O624" s="262" t="n">
        <v>25</v>
      </c>
      <c r="P624" s="361" t="n">
        <v>15</v>
      </c>
      <c r="Q624" s="261" t="s">
        <v>149</v>
      </c>
      <c r="R624" s="261"/>
      <c r="S624" s="363" t="n">
        <f aca="false" t="array" ref="S624:S624">IF(COUNTIF('0.3.0 GO Calculation Values'!$J$2:$J$99,C624),(INDEX('0.3.0 GO Calculation Values'!$K$2:$K$99,MATCH(C624,'0.3.0 GO Calculation Values'!$J$2:$J$99,0))),1)</f>
        <v>1</v>
      </c>
      <c r="T624" s="262" t="n">
        <f aca="false">ROUND(ROUND(2*((7/8)*MAX(L624,N624)+(1/8)*MIN(L624,N624)),0)*(1+(P624-75)/500),0)</f>
        <v>121</v>
      </c>
      <c r="U624" s="262" t="n">
        <f aca="false">ROUND(ROUND(2*((5/8)*MAX(M624,O624)+(3/8)*MIN(M624,O624)),0)*(1+(P624-75)/500),0)</f>
        <v>110</v>
      </c>
      <c r="V624" s="361" t="n">
        <f aca="false">ROUNDDOWN(K624*1.75+50,0)</f>
        <v>146</v>
      </c>
      <c r="W624" s="261" t="n">
        <v>0</v>
      </c>
      <c r="X624" s="261" t="s">
        <v>60</v>
      </c>
      <c r="Y624" s="364" t="s">
        <v>1592</v>
      </c>
      <c r="Z624" s="364"/>
      <c r="AA624" s="364"/>
      <c r="AB624" s="365"/>
      <c r="AC624" s="364"/>
      <c r="AD624" s="364"/>
      <c r="AE624" s="366"/>
      <c r="AF624" s="364" t="s">
        <v>1593</v>
      </c>
      <c r="AG624" s="364" t="s">
        <v>1593</v>
      </c>
      <c r="AH624" s="366" t="s">
        <v>1593</v>
      </c>
    </row>
    <row r="625" customFormat="false" ht="15.75" hidden="false" customHeight="false" outlineLevel="0" collapsed="false">
      <c r="A625" s="262" t="n">
        <v>525</v>
      </c>
      <c r="B625" s="361" t="n">
        <v>623</v>
      </c>
      <c r="C625" s="261" t="s">
        <v>1594</v>
      </c>
      <c r="D625" s="261" t="s">
        <v>60</v>
      </c>
      <c r="E625" s="362" t="s">
        <v>1594</v>
      </c>
      <c r="F625" s="261" t="s">
        <v>1532</v>
      </c>
      <c r="G625" s="261" t="s">
        <v>144</v>
      </c>
      <c r="H625" s="261" t="n">
        <v>0</v>
      </c>
      <c r="I625" s="261" t="n">
        <v>2</v>
      </c>
      <c r="J625" s="361" t="n">
        <v>0</v>
      </c>
      <c r="K625" s="262" t="n">
        <v>70</v>
      </c>
      <c r="L625" s="262" t="n">
        <v>105</v>
      </c>
      <c r="M625" s="262" t="n">
        <v>105</v>
      </c>
      <c r="N625" s="262" t="n">
        <v>50</v>
      </c>
      <c r="O625" s="262" t="n">
        <v>40</v>
      </c>
      <c r="P625" s="361" t="n">
        <v>20</v>
      </c>
      <c r="Q625" s="261" t="s">
        <v>149</v>
      </c>
      <c r="R625" s="261"/>
      <c r="S625" s="363" t="n">
        <f aca="false" t="array" ref="S625:S625">IF(COUNTIF('0.3.0 GO Calculation Values'!$J$2:$J$99,C625),(INDEX('0.3.0 GO Calculation Values'!$K$2:$K$99,MATCH(C625,'0.3.0 GO Calculation Values'!$J$2:$J$99,0))),1)</f>
        <v>1</v>
      </c>
      <c r="T625" s="262" t="n">
        <f aca="false">ROUND(ROUND(2*((7/8)*MAX(L625,N625)+(1/8)*MIN(L625,N625)),0)*(1+(P625-75)/500),0)</f>
        <v>174</v>
      </c>
      <c r="U625" s="262" t="n">
        <f aca="false">ROUND(ROUND(2*((5/8)*MAX(M625,O625)+(3/8)*MIN(M625,O625)),0)*(1+(P625-75)/500),0)</f>
        <v>143</v>
      </c>
      <c r="V625" s="361" t="n">
        <f aca="false">ROUNDDOWN(K625*1.75+50,0)</f>
        <v>172</v>
      </c>
      <c r="W625" s="261" t="n">
        <v>0</v>
      </c>
      <c r="X625" s="261" t="s">
        <v>1592</v>
      </c>
      <c r="Y625" s="364" t="s">
        <v>1592</v>
      </c>
      <c r="Z625" s="364"/>
      <c r="AA625" s="364"/>
      <c r="AB625" s="365"/>
      <c r="AC625" s="364"/>
      <c r="AD625" s="364"/>
      <c r="AE625" s="366"/>
      <c r="AF625" s="364" t="s">
        <v>1595</v>
      </c>
      <c r="AG625" s="364" t="s">
        <v>1595</v>
      </c>
      <c r="AH625" s="366" t="s">
        <v>1595</v>
      </c>
    </row>
    <row r="626" customFormat="false" ht="15.75" hidden="false" customHeight="false" outlineLevel="0" collapsed="false">
      <c r="A626" s="262" t="n">
        <v>526</v>
      </c>
      <c r="B626" s="361" t="n">
        <v>624</v>
      </c>
      <c r="C626" s="261" t="s">
        <v>1596</v>
      </c>
      <c r="D626" s="261" t="s">
        <v>60</v>
      </c>
      <c r="E626" s="362" t="s">
        <v>1596</v>
      </c>
      <c r="F626" s="261" t="s">
        <v>1532</v>
      </c>
      <c r="G626" s="261" t="s">
        <v>144</v>
      </c>
      <c r="H626" s="261" t="n">
        <v>0</v>
      </c>
      <c r="I626" s="261" t="n">
        <v>3</v>
      </c>
      <c r="J626" s="361" t="n">
        <v>1</v>
      </c>
      <c r="K626" s="262" t="n">
        <v>85</v>
      </c>
      <c r="L626" s="262" t="n">
        <v>135</v>
      </c>
      <c r="M626" s="262" t="n">
        <v>130</v>
      </c>
      <c r="N626" s="262" t="n">
        <v>60</v>
      </c>
      <c r="O626" s="262" t="n">
        <v>80</v>
      </c>
      <c r="P626" s="361" t="n">
        <v>25</v>
      </c>
      <c r="Q626" s="261" t="s">
        <v>149</v>
      </c>
      <c r="R626" s="261"/>
      <c r="S626" s="363" t="n">
        <f aca="false" t="array" ref="S626:S626">IF(COUNTIF('0.3.0 GO Calculation Values'!$J$2:$J$99,C626),(INDEX('0.3.0 GO Calculation Values'!$K$2:$K$99,MATCH(C626,'0.3.0 GO Calculation Values'!$J$2:$J$99,0))),1)</f>
        <v>1</v>
      </c>
      <c r="T626" s="262" t="n">
        <f aca="false">ROUND(ROUND(2*((7/8)*MAX(L626,N626)+(1/8)*MIN(L626,N626)),0)*(1+(P626-75)/500),0)</f>
        <v>226</v>
      </c>
      <c r="U626" s="262" t="n">
        <f aca="false">ROUND(ROUND(2*((5/8)*MAX(M626,O626)+(3/8)*MIN(M626,O626)),0)*(1+(P626-75)/500),0)</f>
        <v>201</v>
      </c>
      <c r="V626" s="361" t="n">
        <f aca="false">ROUNDDOWN(K626*1.75+50,0)</f>
        <v>198</v>
      </c>
      <c r="W626" s="261" t="n">
        <v>0</v>
      </c>
      <c r="X626" s="261" t="s">
        <v>1594</v>
      </c>
      <c r="Y626" s="364" t="s">
        <v>1592</v>
      </c>
      <c r="Z626" s="364"/>
      <c r="AA626" s="364"/>
      <c r="AB626" s="365"/>
      <c r="AC626" s="364"/>
      <c r="AD626" s="364"/>
      <c r="AE626" s="366"/>
      <c r="AF626" s="364" t="s">
        <v>1597</v>
      </c>
      <c r="AG626" s="364" t="s">
        <v>1597</v>
      </c>
      <c r="AH626" s="366" t="s">
        <v>1597</v>
      </c>
    </row>
    <row r="627" customFormat="false" ht="15.75" hidden="false" customHeight="false" outlineLevel="0" collapsed="false">
      <c r="A627" s="262" t="n">
        <v>527</v>
      </c>
      <c r="B627" s="361" t="n">
        <v>625</v>
      </c>
      <c r="C627" s="261" t="s">
        <v>1598</v>
      </c>
      <c r="D627" s="261" t="s">
        <v>60</v>
      </c>
      <c r="E627" s="362" t="s">
        <v>1598</v>
      </c>
      <c r="F627" s="261" t="s">
        <v>1532</v>
      </c>
      <c r="G627" s="261" t="s">
        <v>144</v>
      </c>
      <c r="H627" s="261" t="n">
        <v>0</v>
      </c>
      <c r="I627" s="261" t="n">
        <v>1</v>
      </c>
      <c r="J627" s="361" t="n">
        <v>0</v>
      </c>
      <c r="K627" s="262" t="n">
        <v>65</v>
      </c>
      <c r="L627" s="262" t="n">
        <v>45</v>
      </c>
      <c r="M627" s="262" t="n">
        <v>43</v>
      </c>
      <c r="N627" s="262" t="n">
        <v>55</v>
      </c>
      <c r="O627" s="262" t="n">
        <v>43</v>
      </c>
      <c r="P627" s="361" t="n">
        <v>72</v>
      </c>
      <c r="Q627" s="261" t="s">
        <v>157</v>
      </c>
      <c r="R627" s="261" t="s">
        <v>146</v>
      </c>
      <c r="S627" s="363" t="n">
        <f aca="false" t="array" ref="S627:S627">IF(COUNTIF('0.3.0 GO Calculation Values'!$J$2:$J$99,C627),(INDEX('0.3.0 GO Calculation Values'!$K$2:$K$99,MATCH(C627,'0.3.0 GO Calculation Values'!$J$2:$J$99,0))),1)</f>
        <v>1</v>
      </c>
      <c r="T627" s="262" t="n">
        <f aca="false">ROUND(ROUND(2*((7/8)*MAX(L627,N627)+(1/8)*MIN(L627,N627)),0)*(1+(P627-75)/500),0)</f>
        <v>107</v>
      </c>
      <c r="U627" s="262" t="n">
        <f aca="false">ROUND(ROUND(2*((5/8)*MAX(M627,O627)+(3/8)*MIN(M627,O627)),0)*(1+(P627-75)/500),0)</f>
        <v>85</v>
      </c>
      <c r="V627" s="361" t="n">
        <f aca="false">ROUNDDOWN(K627*1.75+50,0)</f>
        <v>163</v>
      </c>
      <c r="W627" s="261" t="n">
        <v>0</v>
      </c>
      <c r="X627" s="261" t="s">
        <v>60</v>
      </c>
      <c r="Y627" s="364" t="s">
        <v>1598</v>
      </c>
      <c r="Z627" s="364"/>
      <c r="AA627" s="364"/>
      <c r="AB627" s="365"/>
      <c r="AC627" s="364"/>
      <c r="AD627" s="364"/>
      <c r="AE627" s="366"/>
      <c r="AF627" s="364" t="s">
        <v>1599</v>
      </c>
      <c r="AG627" s="364" t="s">
        <v>1599</v>
      </c>
      <c r="AH627" s="366" t="s">
        <v>1599</v>
      </c>
    </row>
    <row r="628" customFormat="false" ht="15.75" hidden="false" customHeight="false" outlineLevel="0" collapsed="false">
      <c r="A628" s="262" t="n">
        <v>528</v>
      </c>
      <c r="B628" s="361" t="n">
        <v>626</v>
      </c>
      <c r="C628" s="261" t="s">
        <v>1600</v>
      </c>
      <c r="D628" s="261" t="s">
        <v>60</v>
      </c>
      <c r="E628" s="362" t="s">
        <v>1600</v>
      </c>
      <c r="F628" s="261" t="s">
        <v>1532</v>
      </c>
      <c r="G628" s="261" t="s">
        <v>144</v>
      </c>
      <c r="H628" s="261" t="n">
        <v>0</v>
      </c>
      <c r="I628" s="261" t="n">
        <v>2</v>
      </c>
      <c r="J628" s="361" t="n">
        <v>1</v>
      </c>
      <c r="K628" s="262" t="n">
        <v>67</v>
      </c>
      <c r="L628" s="262" t="n">
        <v>57</v>
      </c>
      <c r="M628" s="262" t="n">
        <v>55</v>
      </c>
      <c r="N628" s="262" t="n">
        <v>77</v>
      </c>
      <c r="O628" s="262" t="n">
        <v>55</v>
      </c>
      <c r="P628" s="361" t="n">
        <v>114</v>
      </c>
      <c r="Q628" s="261" t="s">
        <v>157</v>
      </c>
      <c r="R628" s="261" t="s">
        <v>146</v>
      </c>
      <c r="S628" s="363" t="n">
        <f aca="false" t="array" ref="S628:S628">IF(COUNTIF('0.3.0 GO Calculation Values'!$J$2:$J$99,C628),(INDEX('0.3.0 GO Calculation Values'!$K$2:$K$99,MATCH(C628,'0.3.0 GO Calculation Values'!$J$2:$J$99,0))),1)</f>
        <v>1</v>
      </c>
      <c r="T628" s="262" t="n">
        <f aca="false">ROUND(ROUND(2*((7/8)*MAX(L628,N628)+(1/8)*MIN(L628,N628)),0)*(1+(P628-75)/500),0)</f>
        <v>161</v>
      </c>
      <c r="U628" s="262" t="n">
        <f aca="false">ROUND(ROUND(2*((5/8)*MAX(M628,O628)+(3/8)*MIN(M628,O628)),0)*(1+(P628-75)/500),0)</f>
        <v>119</v>
      </c>
      <c r="V628" s="361" t="n">
        <f aca="false">ROUNDDOWN(K628*1.75+50,0)</f>
        <v>167</v>
      </c>
      <c r="W628" s="261" t="n">
        <v>0</v>
      </c>
      <c r="X628" s="261" t="s">
        <v>1598</v>
      </c>
      <c r="Y628" s="364" t="s">
        <v>1598</v>
      </c>
      <c r="Z628" s="364"/>
      <c r="AA628" s="364"/>
      <c r="AB628" s="365"/>
      <c r="AC628" s="364"/>
      <c r="AD628" s="364"/>
      <c r="AE628" s="366"/>
      <c r="AF628" s="364" t="s">
        <v>1601</v>
      </c>
      <c r="AG628" s="364" t="s">
        <v>1601</v>
      </c>
      <c r="AH628" s="366" t="s">
        <v>1601</v>
      </c>
    </row>
    <row r="629" customFormat="false" ht="15.75" hidden="false" customHeight="false" outlineLevel="0" collapsed="false">
      <c r="A629" s="262" t="n">
        <v>529</v>
      </c>
      <c r="B629" s="361" t="n">
        <v>627</v>
      </c>
      <c r="C629" s="261" t="s">
        <v>1602</v>
      </c>
      <c r="D629" s="261" t="s">
        <v>60</v>
      </c>
      <c r="E629" s="362" t="s">
        <v>1602</v>
      </c>
      <c r="F629" s="261" t="s">
        <v>1532</v>
      </c>
      <c r="G629" s="261" t="s">
        <v>144</v>
      </c>
      <c r="H629" s="261" t="n">
        <v>0</v>
      </c>
      <c r="I629" s="261" t="n">
        <v>1</v>
      </c>
      <c r="J629" s="361" t="n">
        <v>0</v>
      </c>
      <c r="K629" s="262" t="n">
        <v>60</v>
      </c>
      <c r="L629" s="262" t="n">
        <v>85</v>
      </c>
      <c r="M629" s="262" t="n">
        <v>40</v>
      </c>
      <c r="N629" s="262" t="n">
        <v>30</v>
      </c>
      <c r="O629" s="262" t="n">
        <v>45</v>
      </c>
      <c r="P629" s="361" t="n">
        <v>68</v>
      </c>
      <c r="Q629" s="261" t="s">
        <v>148</v>
      </c>
      <c r="R629" s="261"/>
      <c r="S629" s="363" t="n">
        <f aca="false" t="array" ref="S629:S629">IF(COUNTIF('0.3.0 GO Calculation Values'!$J$2:$J$99,C629),(INDEX('0.3.0 GO Calculation Values'!$K$2:$K$99,MATCH(C629,'0.3.0 GO Calculation Values'!$J$2:$J$99,0))),1)</f>
        <v>1</v>
      </c>
      <c r="T629" s="262" t="n">
        <f aca="false">ROUND(ROUND(2*((7/8)*MAX(L629,N629)+(1/8)*MIN(L629,N629)),0)*(1+(P629-75)/500),0)</f>
        <v>154</v>
      </c>
      <c r="U629" s="262" t="n">
        <f aca="false">ROUND(ROUND(2*((5/8)*MAX(M629,O629)+(3/8)*MIN(M629,O629)),0)*(1+(P629-75)/500),0)</f>
        <v>85</v>
      </c>
      <c r="V629" s="361" t="n">
        <f aca="false">ROUNDDOWN(K629*1.75+50,0)</f>
        <v>155</v>
      </c>
      <c r="W629" s="261" t="n">
        <v>0</v>
      </c>
      <c r="X629" s="261" t="s">
        <v>60</v>
      </c>
      <c r="Y629" s="364" t="s">
        <v>1602</v>
      </c>
      <c r="Z629" s="364"/>
      <c r="AA629" s="364"/>
      <c r="AB629" s="365"/>
      <c r="AC629" s="364"/>
      <c r="AD629" s="364"/>
      <c r="AE629" s="366"/>
      <c r="AF629" s="364" t="s">
        <v>1603</v>
      </c>
      <c r="AG629" s="364" t="s">
        <v>1603</v>
      </c>
      <c r="AH629" s="366" t="s">
        <v>1603</v>
      </c>
    </row>
    <row r="630" customFormat="false" ht="15.75" hidden="false" customHeight="false" outlineLevel="0" collapsed="false">
      <c r="A630" s="262" t="n">
        <v>530</v>
      </c>
      <c r="B630" s="361" t="n">
        <v>628</v>
      </c>
      <c r="C630" s="261" t="s">
        <v>1604</v>
      </c>
      <c r="D630" s="261" t="s">
        <v>60</v>
      </c>
      <c r="E630" s="362" t="s">
        <v>1604</v>
      </c>
      <c r="F630" s="261" t="s">
        <v>1532</v>
      </c>
      <c r="G630" s="261" t="s">
        <v>144</v>
      </c>
      <c r="H630" s="261" t="n">
        <v>0</v>
      </c>
      <c r="I630" s="261" t="n">
        <v>2</v>
      </c>
      <c r="J630" s="361" t="n">
        <v>1</v>
      </c>
      <c r="K630" s="262" t="n">
        <v>110</v>
      </c>
      <c r="L630" s="262" t="n">
        <v>135</v>
      </c>
      <c r="M630" s="262" t="n">
        <v>60</v>
      </c>
      <c r="N630" s="262" t="n">
        <v>50</v>
      </c>
      <c r="O630" s="262" t="n">
        <v>65</v>
      </c>
      <c r="P630" s="361" t="n">
        <v>88</v>
      </c>
      <c r="Q630" s="261" t="s">
        <v>148</v>
      </c>
      <c r="R630" s="261" t="s">
        <v>152</v>
      </c>
      <c r="S630" s="363" t="n">
        <f aca="false" t="array" ref="S630:S630">IF(COUNTIF('0.3.0 GO Calculation Values'!$J$2:$J$99,C630),(INDEX('0.3.0 GO Calculation Values'!$K$2:$K$99,MATCH(C630,'0.3.0 GO Calculation Values'!$J$2:$J$99,0))),1)</f>
        <v>1</v>
      </c>
      <c r="T630" s="262" t="n">
        <f aca="false">ROUND(ROUND(2*((7/8)*MAX(L630,N630)+(1/8)*MIN(L630,N630)),0)*(1+(P630-75)/500),0)</f>
        <v>255</v>
      </c>
      <c r="U630" s="262" t="n">
        <f aca="false">ROUND(ROUND(2*((5/8)*MAX(M630,O630)+(3/8)*MIN(M630,O630)),0)*(1+(P630-75)/500),0)</f>
        <v>129</v>
      </c>
      <c r="V630" s="361" t="n">
        <f aca="false">ROUNDDOWN(K630*1.75+50,0)</f>
        <v>242</v>
      </c>
      <c r="W630" s="261" t="n">
        <v>0</v>
      </c>
      <c r="X630" s="261" t="s">
        <v>1602</v>
      </c>
      <c r="Y630" s="364" t="s">
        <v>1602</v>
      </c>
      <c r="Z630" s="364"/>
      <c r="AA630" s="364"/>
      <c r="AB630" s="365"/>
      <c r="AC630" s="364"/>
      <c r="AD630" s="364"/>
      <c r="AE630" s="366"/>
      <c r="AF630" s="364" t="s">
        <v>1605</v>
      </c>
      <c r="AG630" s="364" t="s">
        <v>1605</v>
      </c>
      <c r="AH630" s="366" t="s">
        <v>1605</v>
      </c>
    </row>
    <row r="631" customFormat="false" ht="15.75" hidden="false" customHeight="false" outlineLevel="0" collapsed="false">
      <c r="A631" s="262" t="n">
        <v>531</v>
      </c>
      <c r="B631" s="361" t="n">
        <v>629</v>
      </c>
      <c r="C631" s="261" t="s">
        <v>1606</v>
      </c>
      <c r="D631" s="261" t="s">
        <v>7</v>
      </c>
      <c r="E631" s="367" t="s">
        <v>1606</v>
      </c>
      <c r="F631" s="261" t="s">
        <v>1532</v>
      </c>
      <c r="G631" s="261" t="s">
        <v>144</v>
      </c>
      <c r="H631" s="261" t="n">
        <v>0</v>
      </c>
      <c r="I631" s="261" t="n">
        <v>1</v>
      </c>
      <c r="J631" s="361" t="n">
        <v>1</v>
      </c>
      <c r="K631" s="262" t="n">
        <v>103</v>
      </c>
      <c r="L631" s="262" t="n">
        <v>60</v>
      </c>
      <c r="M631" s="262" t="n">
        <v>86</v>
      </c>
      <c r="N631" s="262" t="n">
        <v>60</v>
      </c>
      <c r="O631" s="262" t="n">
        <v>86</v>
      </c>
      <c r="P631" s="361" t="n">
        <v>50</v>
      </c>
      <c r="Q631" s="261" t="s">
        <v>144</v>
      </c>
      <c r="R631" s="261"/>
      <c r="S631" s="363" t="n">
        <f aca="false" t="array" ref="S631:S631">IF(COUNTIF('0.3.0 GO Calculation Values'!$J$2:$J$99,C631),(INDEX('0.3.0 GO Calculation Values'!$K$2:$K$99,MATCH(C631,'0.3.0 GO Calculation Values'!$J$2:$J$99,0))),1)</f>
        <v>1</v>
      </c>
      <c r="T631" s="262" t="n">
        <f aca="false">ROUND(ROUND(2*((7/8)*MAX(L631,N631)+(1/8)*MIN(L631,N631)),0)*(1+(P631-75)/500),0)</f>
        <v>114</v>
      </c>
      <c r="U631" s="262" t="n">
        <f aca="false">ROUND(ROUND(2*((5/8)*MAX(M631,O631)+(3/8)*MIN(M631,O631)),0)*(1+(P631-75)/500),0)</f>
        <v>163</v>
      </c>
      <c r="V631" s="361" t="n">
        <f aca="false">ROUNDDOWN(K631*1.75+50,0)</f>
        <v>230</v>
      </c>
      <c r="W631" s="261" t="n">
        <v>0</v>
      </c>
      <c r="X631" s="261" t="s">
        <v>60</v>
      </c>
      <c r="Y631" s="364" t="s">
        <v>1606</v>
      </c>
      <c r="Z631" s="364"/>
      <c r="AA631" s="364"/>
      <c r="AB631" s="365"/>
      <c r="AC631" s="364"/>
      <c r="AD631" s="364"/>
      <c r="AE631" s="366"/>
      <c r="AF631" s="364" t="s">
        <v>1607</v>
      </c>
      <c r="AG631" s="364" t="s">
        <v>1607</v>
      </c>
      <c r="AH631" s="366" t="s">
        <v>1607</v>
      </c>
    </row>
    <row r="632" customFormat="false" ht="15.75" hidden="false" customHeight="false" outlineLevel="0" collapsed="false">
      <c r="A632" s="262" t="n">
        <v>531</v>
      </c>
      <c r="B632" s="361" t="n">
        <v>630</v>
      </c>
      <c r="C632" s="261" t="s">
        <v>1606</v>
      </c>
      <c r="D632" s="261" t="s">
        <v>1608</v>
      </c>
      <c r="E632" s="358" t="s">
        <v>1609</v>
      </c>
      <c r="F632" s="261" t="s">
        <v>1610</v>
      </c>
      <c r="G632" s="261" t="s">
        <v>144</v>
      </c>
      <c r="H632" s="261" t="n">
        <v>2</v>
      </c>
      <c r="I632" s="261" t="n">
        <v>2</v>
      </c>
      <c r="J632" s="361" t="n">
        <v>1</v>
      </c>
      <c r="K632" s="262" t="n">
        <v>103</v>
      </c>
      <c r="L632" s="262" t="n">
        <v>60</v>
      </c>
      <c r="M632" s="262" t="n">
        <v>126</v>
      </c>
      <c r="N632" s="262" t="n">
        <v>80</v>
      </c>
      <c r="O632" s="262" t="n">
        <v>126</v>
      </c>
      <c r="P632" s="361" t="n">
        <v>50</v>
      </c>
      <c r="Q632" s="261" t="s">
        <v>144</v>
      </c>
      <c r="R632" s="261" t="s">
        <v>161</v>
      </c>
      <c r="S632" s="363" t="n">
        <f aca="false" t="array" ref="S632:S632">IF(COUNTIF('0.3.0 GO Calculation Values'!$J$2:$J$99,C632),(INDEX('0.3.0 GO Calculation Values'!$K$2:$K$99,MATCH(C632,'0.3.0 GO Calculation Values'!$J$2:$J$99,0))),1)</f>
        <v>1</v>
      </c>
      <c r="T632" s="262" t="n">
        <f aca="false">ROUND(ROUND(2*((7/8)*MAX(L632,N632)+(1/8)*MIN(L632,N632)),0)*(1+(P632-75)/500),0)</f>
        <v>147</v>
      </c>
      <c r="U632" s="262" t="n">
        <f aca="false">ROUND(ROUND(2*((5/8)*MAX(M632,O632)+(3/8)*MIN(M632,O632)),0)*(1+(P632-75)/500),0)</f>
        <v>239</v>
      </c>
      <c r="V632" s="361" t="n">
        <f aca="false">ROUNDDOWN(K632*1.75+50,0)</f>
        <v>230</v>
      </c>
      <c r="W632" s="261" t="n">
        <v>0</v>
      </c>
      <c r="X632" s="261" t="s">
        <v>1606</v>
      </c>
      <c r="Y632" s="364" t="s">
        <v>1606</v>
      </c>
      <c r="Z632" s="364"/>
      <c r="AA632" s="364"/>
      <c r="AB632" s="365"/>
      <c r="AC632" s="364"/>
      <c r="AD632" s="364"/>
      <c r="AE632" s="366"/>
      <c r="AF632" s="364" t="s">
        <v>1611</v>
      </c>
      <c r="AG632" s="364" t="s">
        <v>1611</v>
      </c>
      <c r="AH632" s="366" t="s">
        <v>1611</v>
      </c>
    </row>
    <row r="633" customFormat="false" ht="15.75" hidden="false" customHeight="false" outlineLevel="0" collapsed="false">
      <c r="A633" s="262" t="n">
        <v>532</v>
      </c>
      <c r="B633" s="361" t="n">
        <v>631</v>
      </c>
      <c r="C633" s="261" t="s">
        <v>1612</v>
      </c>
      <c r="D633" s="261" t="s">
        <v>60</v>
      </c>
      <c r="E633" s="362" t="s">
        <v>1612</v>
      </c>
      <c r="F633" s="261" t="s">
        <v>1532</v>
      </c>
      <c r="G633" s="261" t="s">
        <v>144</v>
      </c>
      <c r="H633" s="261" t="n">
        <v>0</v>
      </c>
      <c r="I633" s="261" t="n">
        <v>1</v>
      </c>
      <c r="J633" s="361" t="n">
        <v>0</v>
      </c>
      <c r="K633" s="262" t="n">
        <v>75</v>
      </c>
      <c r="L633" s="262" t="n">
        <v>80</v>
      </c>
      <c r="M633" s="262" t="n">
        <v>55</v>
      </c>
      <c r="N633" s="262" t="n">
        <v>25</v>
      </c>
      <c r="O633" s="262" t="n">
        <v>35</v>
      </c>
      <c r="P633" s="361" t="n">
        <v>35</v>
      </c>
      <c r="Q633" s="261" t="s">
        <v>145</v>
      </c>
      <c r="R633" s="261"/>
      <c r="S633" s="363" t="n">
        <f aca="false" t="array" ref="S633:S633">IF(COUNTIF('0.3.0 GO Calculation Values'!$J$2:$J$99,C633),(INDEX('0.3.0 GO Calculation Values'!$K$2:$K$99,MATCH(C633,'0.3.0 GO Calculation Values'!$J$2:$J$99,0))),1)</f>
        <v>1</v>
      </c>
      <c r="T633" s="262" t="n">
        <f aca="false">ROUND(ROUND(2*((7/8)*MAX(L633,N633)+(1/8)*MIN(L633,N633)),0)*(1+(P633-75)/500),0)</f>
        <v>134</v>
      </c>
      <c r="U633" s="262" t="n">
        <f aca="false">ROUND(ROUND(2*((5/8)*MAX(M633,O633)+(3/8)*MIN(M633,O633)),0)*(1+(P633-75)/500),0)</f>
        <v>87</v>
      </c>
      <c r="V633" s="361" t="n">
        <f aca="false">ROUNDDOWN(K633*1.75+50,0)</f>
        <v>181</v>
      </c>
      <c r="W633" s="261" t="n">
        <v>0</v>
      </c>
      <c r="X633" s="261" t="s">
        <v>60</v>
      </c>
      <c r="Y633" s="364" t="s">
        <v>1612</v>
      </c>
      <c r="Z633" s="364"/>
      <c r="AA633" s="364"/>
      <c r="AB633" s="365"/>
      <c r="AC633" s="364"/>
      <c r="AD633" s="364"/>
      <c r="AE633" s="366"/>
      <c r="AF633" s="364" t="s">
        <v>1613</v>
      </c>
      <c r="AG633" s="364" t="s">
        <v>1613</v>
      </c>
      <c r="AH633" s="366" t="s">
        <v>1613</v>
      </c>
    </row>
    <row r="634" customFormat="false" ht="15.75" hidden="false" customHeight="false" outlineLevel="0" collapsed="false">
      <c r="A634" s="262" t="n">
        <v>533</v>
      </c>
      <c r="B634" s="361" t="n">
        <v>632</v>
      </c>
      <c r="C634" s="261" t="s">
        <v>1614</v>
      </c>
      <c r="D634" s="261" t="s">
        <v>60</v>
      </c>
      <c r="E634" s="362" t="s">
        <v>1614</v>
      </c>
      <c r="F634" s="261" t="s">
        <v>1532</v>
      </c>
      <c r="G634" s="261" t="s">
        <v>144</v>
      </c>
      <c r="H634" s="261" t="n">
        <v>0</v>
      </c>
      <c r="I634" s="261" t="n">
        <v>2</v>
      </c>
      <c r="J634" s="361" t="n">
        <v>0</v>
      </c>
      <c r="K634" s="262" t="n">
        <v>85</v>
      </c>
      <c r="L634" s="262" t="n">
        <v>105</v>
      </c>
      <c r="M634" s="262" t="n">
        <v>85</v>
      </c>
      <c r="N634" s="262" t="n">
        <v>40</v>
      </c>
      <c r="O634" s="262" t="n">
        <v>50</v>
      </c>
      <c r="P634" s="361" t="n">
        <v>40</v>
      </c>
      <c r="Q634" s="261" t="s">
        <v>145</v>
      </c>
      <c r="R634" s="261"/>
      <c r="S634" s="363" t="n">
        <f aca="false" t="array" ref="S634:S634">IF(COUNTIF('0.3.0 GO Calculation Values'!$J$2:$J$99,C634),(INDEX('0.3.0 GO Calculation Values'!$K$2:$K$99,MATCH(C634,'0.3.0 GO Calculation Values'!$J$2:$J$99,0))),1)</f>
        <v>1</v>
      </c>
      <c r="T634" s="262" t="n">
        <f aca="false">ROUND(ROUND(2*((7/8)*MAX(L634,N634)+(1/8)*MIN(L634,N634)),0)*(1+(P634-75)/500),0)</f>
        <v>180</v>
      </c>
      <c r="U634" s="262" t="n">
        <f aca="false">ROUND(ROUND(2*((5/8)*MAX(M634,O634)+(3/8)*MIN(M634,O634)),0)*(1+(P634-75)/500),0)</f>
        <v>134</v>
      </c>
      <c r="V634" s="361" t="n">
        <f aca="false">ROUNDDOWN(K634*1.75+50,0)</f>
        <v>198</v>
      </c>
      <c r="W634" s="261" t="n">
        <v>0</v>
      </c>
      <c r="X634" s="261" t="s">
        <v>1612</v>
      </c>
      <c r="Y634" s="364" t="s">
        <v>1612</v>
      </c>
      <c r="Z634" s="364"/>
      <c r="AA634" s="364"/>
      <c r="AB634" s="365"/>
      <c r="AC634" s="364"/>
      <c r="AD634" s="364"/>
      <c r="AE634" s="366"/>
      <c r="AF634" s="364" t="s">
        <v>1615</v>
      </c>
      <c r="AG634" s="364" t="s">
        <v>1615</v>
      </c>
      <c r="AH634" s="366" t="s">
        <v>1615</v>
      </c>
    </row>
    <row r="635" customFormat="false" ht="15.75" hidden="false" customHeight="false" outlineLevel="0" collapsed="false">
      <c r="A635" s="262" t="n">
        <v>534</v>
      </c>
      <c r="B635" s="361" t="n">
        <v>633</v>
      </c>
      <c r="C635" s="261" t="s">
        <v>1616</v>
      </c>
      <c r="D635" s="261" t="s">
        <v>60</v>
      </c>
      <c r="E635" s="362" t="s">
        <v>1616</v>
      </c>
      <c r="F635" s="261" t="s">
        <v>1532</v>
      </c>
      <c r="G635" s="261" t="s">
        <v>144</v>
      </c>
      <c r="H635" s="261" t="n">
        <v>0</v>
      </c>
      <c r="I635" s="261" t="n">
        <v>3</v>
      </c>
      <c r="J635" s="361" t="n">
        <v>1</v>
      </c>
      <c r="K635" s="262" t="n">
        <v>105</v>
      </c>
      <c r="L635" s="262" t="n">
        <v>140</v>
      </c>
      <c r="M635" s="262" t="n">
        <v>95</v>
      </c>
      <c r="N635" s="262" t="n">
        <v>55</v>
      </c>
      <c r="O635" s="262" t="n">
        <v>65</v>
      </c>
      <c r="P635" s="361" t="n">
        <v>45</v>
      </c>
      <c r="Q635" s="261" t="s">
        <v>145</v>
      </c>
      <c r="R635" s="261"/>
      <c r="S635" s="363" t="n">
        <f aca="false" t="array" ref="S635:S635">IF(COUNTIF('0.3.0 GO Calculation Values'!$J$2:$J$99,C635),(INDEX('0.3.0 GO Calculation Values'!$K$2:$K$99,MATCH(C635,'0.3.0 GO Calculation Values'!$J$2:$J$99,0))),1)</f>
        <v>1</v>
      </c>
      <c r="T635" s="262" t="n">
        <f aca="false">ROUND(ROUND(2*((7/8)*MAX(L635,N635)+(1/8)*MIN(L635,N635)),0)*(1+(P635-75)/500),0)</f>
        <v>243</v>
      </c>
      <c r="U635" s="262" t="n">
        <f aca="false">ROUND(ROUND(2*((5/8)*MAX(M635,O635)+(3/8)*MIN(M635,O635)),0)*(1+(P635-75)/500),0)</f>
        <v>158</v>
      </c>
      <c r="V635" s="361" t="n">
        <f aca="false">ROUNDDOWN(K635*1.75+50,0)</f>
        <v>233</v>
      </c>
      <c r="W635" s="261" t="n">
        <v>0</v>
      </c>
      <c r="X635" s="261" t="s">
        <v>1614</v>
      </c>
      <c r="Y635" s="364" t="s">
        <v>1612</v>
      </c>
      <c r="Z635" s="364"/>
      <c r="AA635" s="364"/>
      <c r="AB635" s="365"/>
      <c r="AC635" s="364"/>
      <c r="AD635" s="364"/>
      <c r="AE635" s="366"/>
      <c r="AF635" s="364" t="s">
        <v>1617</v>
      </c>
      <c r="AG635" s="364" t="s">
        <v>1617</v>
      </c>
      <c r="AH635" s="366" t="s">
        <v>1617</v>
      </c>
    </row>
    <row r="636" customFormat="false" ht="15.75" hidden="false" customHeight="false" outlineLevel="0" collapsed="false">
      <c r="A636" s="262" t="n">
        <v>535</v>
      </c>
      <c r="B636" s="361" t="n">
        <v>634</v>
      </c>
      <c r="C636" s="261" t="s">
        <v>1618</v>
      </c>
      <c r="D636" s="261" t="s">
        <v>60</v>
      </c>
      <c r="E636" s="362" t="s">
        <v>1618</v>
      </c>
      <c r="F636" s="261" t="s">
        <v>1532</v>
      </c>
      <c r="G636" s="261" t="s">
        <v>144</v>
      </c>
      <c r="H636" s="261" t="n">
        <v>0</v>
      </c>
      <c r="I636" s="261" t="n">
        <v>1</v>
      </c>
      <c r="J636" s="361" t="n">
        <v>0</v>
      </c>
      <c r="K636" s="262" t="n">
        <v>50</v>
      </c>
      <c r="L636" s="262" t="n">
        <v>50</v>
      </c>
      <c r="M636" s="262" t="n">
        <v>40</v>
      </c>
      <c r="N636" s="262" t="n">
        <v>50</v>
      </c>
      <c r="O636" s="262" t="n">
        <v>40</v>
      </c>
      <c r="P636" s="361" t="n">
        <v>64</v>
      </c>
      <c r="Q636" s="261" t="s">
        <v>154</v>
      </c>
      <c r="R636" s="261"/>
      <c r="S636" s="363" t="n">
        <f aca="false" t="array" ref="S636:S636">IF(COUNTIF('0.3.0 GO Calculation Values'!$J$2:$J$99,C636),(INDEX('0.3.0 GO Calculation Values'!$K$2:$K$99,MATCH(C636,'0.3.0 GO Calculation Values'!$J$2:$J$99,0))),1)</f>
        <v>1</v>
      </c>
      <c r="T636" s="262" t="n">
        <f aca="false">ROUND(ROUND(2*((7/8)*MAX(L636,N636)+(1/8)*MIN(L636,N636)),0)*(1+(P636-75)/500),0)</f>
        <v>98</v>
      </c>
      <c r="U636" s="262" t="n">
        <f aca="false">ROUND(ROUND(2*((5/8)*MAX(M636,O636)+(3/8)*MIN(M636,O636)),0)*(1+(P636-75)/500),0)</f>
        <v>78</v>
      </c>
      <c r="V636" s="361" t="n">
        <f aca="false">ROUNDDOWN(K636*1.75+50,0)</f>
        <v>137</v>
      </c>
      <c r="W636" s="261" t="n">
        <v>0</v>
      </c>
      <c r="X636" s="261" t="s">
        <v>60</v>
      </c>
      <c r="Y636" s="364" t="s">
        <v>1618</v>
      </c>
      <c r="Z636" s="364"/>
      <c r="AA636" s="364"/>
      <c r="AB636" s="365"/>
      <c r="AC636" s="364"/>
      <c r="AD636" s="364"/>
      <c r="AE636" s="366"/>
      <c r="AF636" s="364" t="s">
        <v>1619</v>
      </c>
      <c r="AG636" s="364" t="s">
        <v>1619</v>
      </c>
      <c r="AH636" s="366" t="s">
        <v>1619</v>
      </c>
    </row>
    <row r="637" customFormat="false" ht="15.75" hidden="false" customHeight="false" outlineLevel="0" collapsed="false">
      <c r="A637" s="262" t="n">
        <v>536</v>
      </c>
      <c r="B637" s="361" t="n">
        <v>635</v>
      </c>
      <c r="C637" s="261" t="s">
        <v>1620</v>
      </c>
      <c r="D637" s="261" t="s">
        <v>60</v>
      </c>
      <c r="E637" s="362" t="s">
        <v>1620</v>
      </c>
      <c r="F637" s="261" t="s">
        <v>1532</v>
      </c>
      <c r="G637" s="261" t="s">
        <v>144</v>
      </c>
      <c r="H637" s="261" t="n">
        <v>0</v>
      </c>
      <c r="I637" s="261" t="n">
        <v>2</v>
      </c>
      <c r="J637" s="361" t="n">
        <v>0</v>
      </c>
      <c r="K637" s="262" t="n">
        <v>75</v>
      </c>
      <c r="L637" s="262" t="n">
        <v>65</v>
      </c>
      <c r="M637" s="262" t="n">
        <v>55</v>
      </c>
      <c r="N637" s="262" t="n">
        <v>65</v>
      </c>
      <c r="O637" s="262" t="n">
        <v>55</v>
      </c>
      <c r="P637" s="361" t="n">
        <v>69</v>
      </c>
      <c r="Q637" s="261" t="s">
        <v>154</v>
      </c>
      <c r="R637" s="261" t="s">
        <v>148</v>
      </c>
      <c r="S637" s="363" t="n">
        <f aca="false" t="array" ref="S637:S637">IF(COUNTIF('0.3.0 GO Calculation Values'!$J$2:$J$99,C637),(INDEX('0.3.0 GO Calculation Values'!$K$2:$K$99,MATCH(C637,'0.3.0 GO Calculation Values'!$J$2:$J$99,0))),1)</f>
        <v>1</v>
      </c>
      <c r="T637" s="262" t="n">
        <f aca="false">ROUND(ROUND(2*((7/8)*MAX(L637,N637)+(1/8)*MIN(L637,N637)),0)*(1+(P637-75)/500),0)</f>
        <v>128</v>
      </c>
      <c r="U637" s="262" t="n">
        <f aca="false">ROUND(ROUND(2*((5/8)*MAX(M637,O637)+(3/8)*MIN(M637,O637)),0)*(1+(P637-75)/500),0)</f>
        <v>109</v>
      </c>
      <c r="V637" s="361" t="n">
        <f aca="false">ROUNDDOWN(K637*1.75+50,0)</f>
        <v>181</v>
      </c>
      <c r="W637" s="261" t="n">
        <v>0</v>
      </c>
      <c r="X637" s="261" t="s">
        <v>1618</v>
      </c>
      <c r="Y637" s="364" t="s">
        <v>1618</v>
      </c>
      <c r="Z637" s="364"/>
      <c r="AA637" s="364"/>
      <c r="AB637" s="365"/>
      <c r="AC637" s="364"/>
      <c r="AD637" s="364"/>
      <c r="AE637" s="366"/>
      <c r="AF637" s="364" t="s">
        <v>1621</v>
      </c>
      <c r="AG637" s="364" t="s">
        <v>1621</v>
      </c>
      <c r="AH637" s="366" t="s">
        <v>1621</v>
      </c>
    </row>
    <row r="638" customFormat="false" ht="15.75" hidden="false" customHeight="false" outlineLevel="0" collapsed="false">
      <c r="A638" s="262" t="n">
        <v>537</v>
      </c>
      <c r="B638" s="361" t="n">
        <v>636</v>
      </c>
      <c r="C638" s="261" t="s">
        <v>1622</v>
      </c>
      <c r="D638" s="261" t="s">
        <v>60</v>
      </c>
      <c r="E638" s="362" t="s">
        <v>1622</v>
      </c>
      <c r="F638" s="261" t="s">
        <v>1532</v>
      </c>
      <c r="G638" s="261" t="s">
        <v>144</v>
      </c>
      <c r="H638" s="261" t="n">
        <v>0</v>
      </c>
      <c r="I638" s="261" t="n">
        <v>3</v>
      </c>
      <c r="J638" s="361" t="n">
        <v>1</v>
      </c>
      <c r="K638" s="262" t="n">
        <v>105</v>
      </c>
      <c r="L638" s="262" t="n">
        <v>95</v>
      </c>
      <c r="M638" s="262" t="n">
        <v>75</v>
      </c>
      <c r="N638" s="262" t="n">
        <v>85</v>
      </c>
      <c r="O638" s="262" t="n">
        <v>75</v>
      </c>
      <c r="P638" s="361" t="n">
        <v>74</v>
      </c>
      <c r="Q638" s="261" t="s">
        <v>154</v>
      </c>
      <c r="R638" s="261" t="s">
        <v>148</v>
      </c>
      <c r="S638" s="363" t="n">
        <f aca="false" t="array" ref="S638:S638">IF(COUNTIF('0.3.0 GO Calculation Values'!$J$2:$J$99,C638),(INDEX('0.3.0 GO Calculation Values'!$K$2:$K$99,MATCH(C638,'0.3.0 GO Calculation Values'!$J$2:$J$99,0))),1)</f>
        <v>1</v>
      </c>
      <c r="T638" s="262" t="n">
        <f aca="false">ROUND(ROUND(2*((7/8)*MAX(L638,N638)+(1/8)*MIN(L638,N638)),0)*(1+(P638-75)/500),0)</f>
        <v>188</v>
      </c>
      <c r="U638" s="262" t="n">
        <f aca="false">ROUND(ROUND(2*((5/8)*MAX(M638,O638)+(3/8)*MIN(M638,O638)),0)*(1+(P638-75)/500),0)</f>
        <v>150</v>
      </c>
      <c r="V638" s="361" t="n">
        <f aca="false">ROUNDDOWN(K638*1.75+50,0)</f>
        <v>233</v>
      </c>
      <c r="W638" s="261" t="n">
        <v>0</v>
      </c>
      <c r="X638" s="261" t="s">
        <v>1620</v>
      </c>
      <c r="Y638" s="364" t="s">
        <v>1618</v>
      </c>
      <c r="Z638" s="364"/>
      <c r="AA638" s="364"/>
      <c r="AB638" s="365"/>
      <c r="AC638" s="364"/>
      <c r="AD638" s="364"/>
      <c r="AE638" s="366"/>
      <c r="AF638" s="364" t="s">
        <v>1623</v>
      </c>
      <c r="AG638" s="364" t="s">
        <v>1623</v>
      </c>
      <c r="AH638" s="366" t="s">
        <v>1623</v>
      </c>
    </row>
    <row r="639" customFormat="false" ht="15.75" hidden="false" customHeight="false" outlineLevel="0" collapsed="false">
      <c r="A639" s="262" t="n">
        <v>538</v>
      </c>
      <c r="B639" s="361" t="n">
        <v>637</v>
      </c>
      <c r="C639" s="261" t="s">
        <v>1624</v>
      </c>
      <c r="D639" s="261" t="s">
        <v>60</v>
      </c>
      <c r="E639" s="362" t="s">
        <v>1624</v>
      </c>
      <c r="F639" s="261" t="s">
        <v>1532</v>
      </c>
      <c r="G639" s="261" t="s">
        <v>144</v>
      </c>
      <c r="H639" s="261" t="n">
        <v>0</v>
      </c>
      <c r="I639" s="261" t="n">
        <v>1</v>
      </c>
      <c r="J639" s="361" t="n">
        <v>1</v>
      </c>
      <c r="K639" s="262" t="n">
        <v>120</v>
      </c>
      <c r="L639" s="262" t="n">
        <v>100</v>
      </c>
      <c r="M639" s="262" t="n">
        <v>85</v>
      </c>
      <c r="N639" s="262" t="n">
        <v>30</v>
      </c>
      <c r="O639" s="262" t="n">
        <v>85</v>
      </c>
      <c r="P639" s="361" t="n">
        <v>45</v>
      </c>
      <c r="Q639" s="261" t="s">
        <v>145</v>
      </c>
      <c r="R639" s="261"/>
      <c r="S639" s="363" t="n">
        <f aca="false" t="array" ref="S639:S639">IF(COUNTIF('0.3.0 GO Calculation Values'!$J$2:$J$99,C639),(INDEX('0.3.0 GO Calculation Values'!$K$2:$K$99,MATCH(C639,'0.3.0 GO Calculation Values'!$J$2:$J$99,0))),1)</f>
        <v>1</v>
      </c>
      <c r="T639" s="262" t="n">
        <f aca="false">ROUND(ROUND(2*((7/8)*MAX(L639,N639)+(1/8)*MIN(L639,N639)),0)*(1+(P639-75)/500),0)</f>
        <v>172</v>
      </c>
      <c r="U639" s="262" t="n">
        <f aca="false">ROUND(ROUND(2*((5/8)*MAX(M639,O639)+(3/8)*MIN(M639,O639)),0)*(1+(P639-75)/500),0)</f>
        <v>160</v>
      </c>
      <c r="V639" s="361" t="n">
        <f aca="false">ROUNDDOWN(K639*1.75+50,0)</f>
        <v>260</v>
      </c>
      <c r="W639" s="261" t="n">
        <v>0</v>
      </c>
      <c r="X639" s="261" t="s">
        <v>60</v>
      </c>
      <c r="Y639" s="364" t="s">
        <v>1624</v>
      </c>
      <c r="Z639" s="364"/>
      <c r="AA639" s="364"/>
      <c r="AB639" s="365"/>
      <c r="AC639" s="364"/>
      <c r="AD639" s="364"/>
      <c r="AE639" s="366"/>
      <c r="AF639" s="364" t="s">
        <v>1625</v>
      </c>
      <c r="AG639" s="364" t="s">
        <v>1625</v>
      </c>
      <c r="AH639" s="366" t="s">
        <v>1625</v>
      </c>
    </row>
    <row r="640" customFormat="false" ht="15.75" hidden="false" customHeight="false" outlineLevel="0" collapsed="false">
      <c r="A640" s="262" t="n">
        <v>539</v>
      </c>
      <c r="B640" s="361" t="n">
        <v>638</v>
      </c>
      <c r="C640" s="261" t="s">
        <v>1626</v>
      </c>
      <c r="D640" s="261" t="s">
        <v>60</v>
      </c>
      <c r="E640" s="362" t="s">
        <v>1626</v>
      </c>
      <c r="F640" s="261" t="s">
        <v>1532</v>
      </c>
      <c r="G640" s="261" t="s">
        <v>144</v>
      </c>
      <c r="H640" s="261" t="n">
        <v>0</v>
      </c>
      <c r="I640" s="261" t="n">
        <v>1</v>
      </c>
      <c r="J640" s="361" t="n">
        <v>1</v>
      </c>
      <c r="K640" s="262" t="n">
        <v>75</v>
      </c>
      <c r="L640" s="262" t="n">
        <v>125</v>
      </c>
      <c r="M640" s="262" t="n">
        <v>75</v>
      </c>
      <c r="N640" s="262" t="n">
        <v>30</v>
      </c>
      <c r="O640" s="262" t="n">
        <v>75</v>
      </c>
      <c r="P640" s="361" t="n">
        <v>85</v>
      </c>
      <c r="Q640" s="261" t="s">
        <v>145</v>
      </c>
      <c r="R640" s="261"/>
      <c r="S640" s="363" t="n">
        <f aca="false" t="array" ref="S640:S640">IF(COUNTIF('0.3.0 GO Calculation Values'!$J$2:$J$99,C640),(INDEX('0.3.0 GO Calculation Values'!$K$2:$K$99,MATCH(C640,'0.3.0 GO Calculation Values'!$J$2:$J$99,0))),1)</f>
        <v>1</v>
      </c>
      <c r="T640" s="262" t="n">
        <f aca="false">ROUND(ROUND(2*((7/8)*MAX(L640,N640)+(1/8)*MIN(L640,N640)),0)*(1+(P640-75)/500),0)</f>
        <v>231</v>
      </c>
      <c r="U640" s="262" t="n">
        <f aca="false">ROUND(ROUND(2*((5/8)*MAX(M640,O640)+(3/8)*MIN(M640,O640)),0)*(1+(P640-75)/500),0)</f>
        <v>153</v>
      </c>
      <c r="V640" s="361" t="n">
        <f aca="false">ROUNDDOWN(K640*1.75+50,0)</f>
        <v>181</v>
      </c>
      <c r="W640" s="261" t="n">
        <v>0</v>
      </c>
      <c r="X640" s="261" t="s">
        <v>60</v>
      </c>
      <c r="Y640" s="364" t="s">
        <v>1626</v>
      </c>
      <c r="Z640" s="364"/>
      <c r="AA640" s="364"/>
      <c r="AB640" s="365"/>
      <c r="AC640" s="364"/>
      <c r="AD640" s="364"/>
      <c r="AE640" s="366"/>
      <c r="AF640" s="364" t="s">
        <v>1627</v>
      </c>
      <c r="AG640" s="364" t="s">
        <v>1627</v>
      </c>
      <c r="AH640" s="366" t="s">
        <v>1627</v>
      </c>
    </row>
    <row r="641" customFormat="false" ht="15.75" hidden="false" customHeight="false" outlineLevel="0" collapsed="false">
      <c r="A641" s="262" t="n">
        <v>540</v>
      </c>
      <c r="B641" s="361" t="n">
        <v>639</v>
      </c>
      <c r="C641" s="261" t="s">
        <v>1628</v>
      </c>
      <c r="D641" s="261" t="s">
        <v>60</v>
      </c>
      <c r="E641" s="362" t="s">
        <v>1628</v>
      </c>
      <c r="F641" s="261" t="s">
        <v>1532</v>
      </c>
      <c r="G641" s="261" t="s">
        <v>144</v>
      </c>
      <c r="H641" s="261" t="n">
        <v>0</v>
      </c>
      <c r="I641" s="261" t="n">
        <v>1</v>
      </c>
      <c r="J641" s="361" t="n">
        <v>0</v>
      </c>
      <c r="K641" s="262" t="n">
        <v>45</v>
      </c>
      <c r="L641" s="262" t="n">
        <v>53</v>
      </c>
      <c r="M641" s="262" t="n">
        <v>70</v>
      </c>
      <c r="N641" s="262" t="n">
        <v>40</v>
      </c>
      <c r="O641" s="262" t="n">
        <v>60</v>
      </c>
      <c r="P641" s="361" t="n">
        <v>42</v>
      </c>
      <c r="Q641" s="261" t="s">
        <v>150</v>
      </c>
      <c r="R641" s="261" t="s">
        <v>155</v>
      </c>
      <c r="S641" s="363" t="n">
        <f aca="false" t="array" ref="S641:S641">IF(COUNTIF('0.3.0 GO Calculation Values'!$J$2:$J$99,C641),(INDEX('0.3.0 GO Calculation Values'!$K$2:$K$99,MATCH(C641,'0.3.0 GO Calculation Values'!$J$2:$J$99,0))),1)</f>
        <v>1</v>
      </c>
      <c r="T641" s="262" t="n">
        <f aca="false">ROUND(ROUND(2*((7/8)*MAX(L641,N641)+(1/8)*MIN(L641,N641)),0)*(1+(P641-75)/500),0)</f>
        <v>96</v>
      </c>
      <c r="U641" s="262" t="n">
        <f aca="false">ROUND(ROUND(2*((5/8)*MAX(M641,O641)+(3/8)*MIN(M641,O641)),0)*(1+(P641-75)/500),0)</f>
        <v>124</v>
      </c>
      <c r="V641" s="361" t="n">
        <f aca="false">ROUNDDOWN(K641*1.75+50,0)</f>
        <v>128</v>
      </c>
      <c r="W641" s="261" t="n">
        <v>0</v>
      </c>
      <c r="X641" s="261" t="s">
        <v>60</v>
      </c>
      <c r="Y641" s="364" t="s">
        <v>1628</v>
      </c>
      <c r="Z641" s="364"/>
      <c r="AA641" s="364"/>
      <c r="AB641" s="365"/>
      <c r="AC641" s="364"/>
      <c r="AD641" s="364"/>
      <c r="AE641" s="366"/>
      <c r="AF641" s="364" t="s">
        <v>1629</v>
      </c>
      <c r="AG641" s="364" t="s">
        <v>1629</v>
      </c>
      <c r="AH641" s="366" t="s">
        <v>1629</v>
      </c>
    </row>
    <row r="642" customFormat="false" ht="15.75" hidden="false" customHeight="false" outlineLevel="0" collapsed="false">
      <c r="A642" s="262" t="n">
        <v>541</v>
      </c>
      <c r="B642" s="361" t="n">
        <v>640</v>
      </c>
      <c r="C642" s="261" t="s">
        <v>1630</v>
      </c>
      <c r="D642" s="261" t="s">
        <v>60</v>
      </c>
      <c r="E642" s="362" t="s">
        <v>1630</v>
      </c>
      <c r="F642" s="261" t="s">
        <v>1532</v>
      </c>
      <c r="G642" s="261" t="s">
        <v>144</v>
      </c>
      <c r="H642" s="261" t="n">
        <v>0</v>
      </c>
      <c r="I642" s="261" t="n">
        <v>2</v>
      </c>
      <c r="J642" s="361" t="n">
        <v>0</v>
      </c>
      <c r="K642" s="262" t="n">
        <v>55</v>
      </c>
      <c r="L642" s="262" t="n">
        <v>63</v>
      </c>
      <c r="M642" s="262" t="n">
        <v>90</v>
      </c>
      <c r="N642" s="262" t="n">
        <v>50</v>
      </c>
      <c r="O642" s="262" t="n">
        <v>80</v>
      </c>
      <c r="P642" s="361" t="n">
        <v>42</v>
      </c>
      <c r="Q642" s="261" t="s">
        <v>150</v>
      </c>
      <c r="R642" s="261" t="s">
        <v>155</v>
      </c>
      <c r="S642" s="363" t="n">
        <f aca="false" t="array" ref="S642:S642">IF(COUNTIF('0.3.0 GO Calculation Values'!$J$2:$J$99,C642),(INDEX('0.3.0 GO Calculation Values'!$K$2:$K$99,MATCH(C642,'0.3.0 GO Calculation Values'!$J$2:$J$99,0))),1)</f>
        <v>1</v>
      </c>
      <c r="T642" s="262" t="n">
        <f aca="false">ROUND(ROUND(2*((7/8)*MAX(L642,N642)+(1/8)*MIN(L642,N642)),0)*(1+(P642-75)/500),0)</f>
        <v>115</v>
      </c>
      <c r="U642" s="262" t="n">
        <f aca="false">ROUND(ROUND(2*((5/8)*MAX(M642,O642)+(3/8)*MIN(M642,O642)),0)*(1+(P642-75)/500),0)</f>
        <v>162</v>
      </c>
      <c r="V642" s="361" t="n">
        <f aca="false">ROUNDDOWN(K642*1.75+50,0)</f>
        <v>146</v>
      </c>
      <c r="W642" s="261" t="n">
        <v>0</v>
      </c>
      <c r="X642" s="261" t="s">
        <v>1628</v>
      </c>
      <c r="Y642" s="364" t="s">
        <v>1628</v>
      </c>
      <c r="Z642" s="364"/>
      <c r="AA642" s="364"/>
      <c r="AB642" s="365"/>
      <c r="AC642" s="364"/>
      <c r="AD642" s="364"/>
      <c r="AE642" s="366"/>
      <c r="AF642" s="364" t="s">
        <v>1631</v>
      </c>
      <c r="AG642" s="364" t="s">
        <v>1631</v>
      </c>
      <c r="AH642" s="366" t="s">
        <v>1631</v>
      </c>
    </row>
    <row r="643" customFormat="false" ht="15.75" hidden="false" customHeight="false" outlineLevel="0" collapsed="false">
      <c r="A643" s="262" t="n">
        <v>542</v>
      </c>
      <c r="B643" s="361" t="n">
        <v>641</v>
      </c>
      <c r="C643" s="261" t="s">
        <v>1632</v>
      </c>
      <c r="D643" s="261" t="s">
        <v>60</v>
      </c>
      <c r="E643" s="362" t="s">
        <v>1632</v>
      </c>
      <c r="F643" s="261" t="s">
        <v>1532</v>
      </c>
      <c r="G643" s="261" t="s">
        <v>144</v>
      </c>
      <c r="H643" s="261" t="n">
        <v>0</v>
      </c>
      <c r="I643" s="261" t="n">
        <v>3</v>
      </c>
      <c r="J643" s="361" t="n">
        <v>1</v>
      </c>
      <c r="K643" s="262" t="n">
        <v>75</v>
      </c>
      <c r="L643" s="262" t="n">
        <v>103</v>
      </c>
      <c r="M643" s="262" t="n">
        <v>80</v>
      </c>
      <c r="N643" s="262" t="n">
        <v>70</v>
      </c>
      <c r="O643" s="262" t="n">
        <v>80</v>
      </c>
      <c r="P643" s="361" t="n">
        <v>92</v>
      </c>
      <c r="Q643" s="261" t="s">
        <v>150</v>
      </c>
      <c r="R643" s="261" t="s">
        <v>155</v>
      </c>
      <c r="S643" s="363" t="n">
        <f aca="false" t="array" ref="S643:S643">IF(COUNTIF('0.3.0 GO Calculation Values'!$J$2:$J$99,C643),(INDEX('0.3.0 GO Calculation Values'!$K$2:$K$99,MATCH(C643,'0.3.0 GO Calculation Values'!$J$2:$J$99,0))),1)</f>
        <v>1</v>
      </c>
      <c r="T643" s="262" t="n">
        <f aca="false">ROUND(ROUND(2*((7/8)*MAX(L643,N643)+(1/8)*MIN(L643,N643)),0)*(1+(P643-75)/500),0)</f>
        <v>205</v>
      </c>
      <c r="U643" s="262" t="n">
        <f aca="false">ROUND(ROUND(2*((5/8)*MAX(M643,O643)+(3/8)*MIN(M643,O643)),0)*(1+(P643-75)/500),0)</f>
        <v>165</v>
      </c>
      <c r="V643" s="361" t="n">
        <f aca="false">ROUNDDOWN(K643*1.75+50,0)</f>
        <v>181</v>
      </c>
      <c r="W643" s="261" t="n">
        <v>0</v>
      </c>
      <c r="X643" s="261" t="s">
        <v>1630</v>
      </c>
      <c r="Y643" s="364" t="s">
        <v>1628</v>
      </c>
      <c r="Z643" s="364"/>
      <c r="AA643" s="364"/>
      <c r="AB643" s="365"/>
      <c r="AC643" s="364"/>
      <c r="AD643" s="364"/>
      <c r="AE643" s="366"/>
      <c r="AF643" s="364" t="s">
        <v>1633</v>
      </c>
      <c r="AG643" s="364" t="s">
        <v>1633</v>
      </c>
      <c r="AH643" s="366" t="s">
        <v>1633</v>
      </c>
    </row>
    <row r="644" customFormat="false" ht="15.75" hidden="false" customHeight="false" outlineLevel="0" collapsed="false">
      <c r="A644" s="262" t="n">
        <v>543</v>
      </c>
      <c r="B644" s="361" t="n">
        <v>642</v>
      </c>
      <c r="C644" s="261" t="s">
        <v>1634</v>
      </c>
      <c r="D644" s="261" t="s">
        <v>60</v>
      </c>
      <c r="E644" s="362" t="s">
        <v>1634</v>
      </c>
      <c r="F644" s="261" t="s">
        <v>1532</v>
      </c>
      <c r="G644" s="261" t="s">
        <v>144</v>
      </c>
      <c r="H644" s="261" t="n">
        <v>0</v>
      </c>
      <c r="I644" s="261" t="n">
        <v>1</v>
      </c>
      <c r="J644" s="361" t="n">
        <v>0</v>
      </c>
      <c r="K644" s="262" t="n">
        <v>30</v>
      </c>
      <c r="L644" s="262" t="n">
        <v>45</v>
      </c>
      <c r="M644" s="262" t="n">
        <v>59</v>
      </c>
      <c r="N644" s="262" t="n">
        <v>30</v>
      </c>
      <c r="O644" s="262" t="n">
        <v>39</v>
      </c>
      <c r="P644" s="361" t="n">
        <v>57</v>
      </c>
      <c r="Q644" s="261" t="s">
        <v>150</v>
      </c>
      <c r="R644" s="261" t="s">
        <v>147</v>
      </c>
      <c r="S644" s="363" t="n">
        <f aca="false" t="array" ref="S644:S644">IF(COUNTIF('0.3.0 GO Calculation Values'!$J$2:$J$99,C644),(INDEX('0.3.0 GO Calculation Values'!$K$2:$K$99,MATCH(C644,'0.3.0 GO Calculation Values'!$J$2:$J$99,0))),1)</f>
        <v>1</v>
      </c>
      <c r="T644" s="262" t="n">
        <f aca="false">ROUND(ROUND(2*((7/8)*MAX(L644,N644)+(1/8)*MIN(L644,N644)),0)*(1+(P644-75)/500),0)</f>
        <v>83</v>
      </c>
      <c r="U644" s="262" t="n">
        <f aca="false">ROUND(ROUND(2*((5/8)*MAX(M644,O644)+(3/8)*MIN(M644,O644)),0)*(1+(P644-75)/500),0)</f>
        <v>99</v>
      </c>
      <c r="V644" s="361" t="n">
        <f aca="false">ROUNDDOWN(K644*1.75+50,0)</f>
        <v>102</v>
      </c>
      <c r="W644" s="261" t="n">
        <v>0</v>
      </c>
      <c r="X644" s="261" t="s">
        <v>60</v>
      </c>
      <c r="Y644" s="364" t="s">
        <v>1634</v>
      </c>
      <c r="Z644" s="364"/>
      <c r="AA644" s="364"/>
      <c r="AB644" s="365"/>
      <c r="AC644" s="364"/>
      <c r="AD644" s="364"/>
      <c r="AE644" s="366"/>
      <c r="AF644" s="364" t="s">
        <v>1635</v>
      </c>
      <c r="AG644" s="364" t="s">
        <v>1635</v>
      </c>
      <c r="AH644" s="366" t="s">
        <v>1635</v>
      </c>
    </row>
    <row r="645" customFormat="false" ht="15.75" hidden="false" customHeight="false" outlineLevel="0" collapsed="false">
      <c r="A645" s="262" t="n">
        <v>544</v>
      </c>
      <c r="B645" s="361" t="n">
        <v>643</v>
      </c>
      <c r="C645" s="261" t="s">
        <v>1636</v>
      </c>
      <c r="D645" s="261" t="s">
        <v>60</v>
      </c>
      <c r="E645" s="362" t="s">
        <v>1636</v>
      </c>
      <c r="F645" s="261" t="s">
        <v>1532</v>
      </c>
      <c r="G645" s="261" t="s">
        <v>144</v>
      </c>
      <c r="H645" s="261" t="n">
        <v>0</v>
      </c>
      <c r="I645" s="261" t="n">
        <v>2</v>
      </c>
      <c r="J645" s="361" t="n">
        <v>0</v>
      </c>
      <c r="K645" s="262" t="n">
        <v>40</v>
      </c>
      <c r="L645" s="262" t="n">
        <v>55</v>
      </c>
      <c r="M645" s="262" t="n">
        <v>99</v>
      </c>
      <c r="N645" s="262" t="n">
        <v>40</v>
      </c>
      <c r="O645" s="262" t="n">
        <v>79</v>
      </c>
      <c r="P645" s="361" t="n">
        <v>47</v>
      </c>
      <c r="Q645" s="261" t="s">
        <v>150</v>
      </c>
      <c r="R645" s="261" t="s">
        <v>147</v>
      </c>
      <c r="S645" s="363" t="n">
        <f aca="false" t="array" ref="S645:S645">IF(COUNTIF('0.3.0 GO Calculation Values'!$J$2:$J$99,C645),(INDEX('0.3.0 GO Calculation Values'!$K$2:$K$99,MATCH(C645,'0.3.0 GO Calculation Values'!$J$2:$J$99,0))),1)</f>
        <v>1</v>
      </c>
      <c r="T645" s="262" t="n">
        <f aca="false">ROUND(ROUND(2*((7/8)*MAX(L645,N645)+(1/8)*MIN(L645,N645)),0)*(1+(P645-75)/500),0)</f>
        <v>100</v>
      </c>
      <c r="U645" s="262" t="n">
        <f aca="false">ROUND(ROUND(2*((5/8)*MAX(M645,O645)+(3/8)*MIN(M645,O645)),0)*(1+(P645-75)/500),0)</f>
        <v>173</v>
      </c>
      <c r="V645" s="361" t="n">
        <f aca="false">ROUNDDOWN(K645*1.75+50,0)</f>
        <v>120</v>
      </c>
      <c r="W645" s="261" t="n">
        <v>0</v>
      </c>
      <c r="X645" s="261" t="s">
        <v>1634</v>
      </c>
      <c r="Y645" s="364" t="s">
        <v>1634</v>
      </c>
      <c r="Z645" s="364"/>
      <c r="AA645" s="364"/>
      <c r="AB645" s="365"/>
      <c r="AC645" s="364"/>
      <c r="AD645" s="364"/>
      <c r="AE645" s="366"/>
      <c r="AF645" s="364" t="s">
        <v>1637</v>
      </c>
      <c r="AG645" s="364" t="s">
        <v>1637</v>
      </c>
      <c r="AH645" s="366" t="s">
        <v>1637</v>
      </c>
    </row>
    <row r="646" customFormat="false" ht="15.75" hidden="false" customHeight="false" outlineLevel="0" collapsed="false">
      <c r="A646" s="262" t="n">
        <v>545</v>
      </c>
      <c r="B646" s="361" t="n">
        <v>644</v>
      </c>
      <c r="C646" s="261" t="s">
        <v>1638</v>
      </c>
      <c r="D646" s="261" t="s">
        <v>60</v>
      </c>
      <c r="E646" s="362" t="s">
        <v>1638</v>
      </c>
      <c r="F646" s="261" t="s">
        <v>1532</v>
      </c>
      <c r="G646" s="261" t="s">
        <v>144</v>
      </c>
      <c r="H646" s="261" t="n">
        <v>0</v>
      </c>
      <c r="I646" s="261" t="n">
        <v>3</v>
      </c>
      <c r="J646" s="361" t="n">
        <v>1</v>
      </c>
      <c r="K646" s="262" t="n">
        <v>60</v>
      </c>
      <c r="L646" s="262" t="n">
        <v>100</v>
      </c>
      <c r="M646" s="262" t="n">
        <v>89</v>
      </c>
      <c r="N646" s="262" t="n">
        <v>55</v>
      </c>
      <c r="O646" s="262" t="n">
        <v>69</v>
      </c>
      <c r="P646" s="361" t="n">
        <v>112</v>
      </c>
      <c r="Q646" s="261" t="s">
        <v>150</v>
      </c>
      <c r="R646" s="261" t="s">
        <v>147</v>
      </c>
      <c r="S646" s="363" t="n">
        <f aca="false" t="array" ref="S646:S646">IF(COUNTIF('0.3.0 GO Calculation Values'!$J$2:$J$99,C646),(INDEX('0.3.0 GO Calculation Values'!$K$2:$K$99,MATCH(C646,'0.3.0 GO Calculation Values'!$J$2:$J$99,0))),1)</f>
        <v>1</v>
      </c>
      <c r="T646" s="262" t="n">
        <f aca="false">ROUND(ROUND(2*((7/8)*MAX(L646,N646)+(1/8)*MIN(L646,N646)),0)*(1+(P646-75)/500),0)</f>
        <v>203</v>
      </c>
      <c r="U646" s="262" t="n">
        <f aca="false">ROUND(ROUND(2*((5/8)*MAX(M646,O646)+(3/8)*MIN(M646,O646)),0)*(1+(P646-75)/500),0)</f>
        <v>175</v>
      </c>
      <c r="V646" s="361" t="n">
        <f aca="false">ROUNDDOWN(K646*1.75+50,0)</f>
        <v>155</v>
      </c>
      <c r="W646" s="261" t="n">
        <v>0</v>
      </c>
      <c r="X646" s="261" t="s">
        <v>1636</v>
      </c>
      <c r="Y646" s="364" t="s">
        <v>1634</v>
      </c>
      <c r="Z646" s="364"/>
      <c r="AA646" s="364"/>
      <c r="AB646" s="365"/>
      <c r="AC646" s="364"/>
      <c r="AD646" s="364"/>
      <c r="AE646" s="366"/>
      <c r="AF646" s="364" t="s">
        <v>1639</v>
      </c>
      <c r="AG646" s="364" t="s">
        <v>1639</v>
      </c>
      <c r="AH646" s="366" t="s">
        <v>1639</v>
      </c>
    </row>
    <row r="647" customFormat="false" ht="15.75" hidden="false" customHeight="false" outlineLevel="0" collapsed="false">
      <c r="A647" s="262" t="n">
        <v>546</v>
      </c>
      <c r="B647" s="361" t="n">
        <v>645</v>
      </c>
      <c r="C647" s="261" t="s">
        <v>1640</v>
      </c>
      <c r="D647" s="261" t="s">
        <v>60</v>
      </c>
      <c r="E647" s="362" t="s">
        <v>1640</v>
      </c>
      <c r="F647" s="261" t="s">
        <v>1532</v>
      </c>
      <c r="G647" s="261" t="s">
        <v>144</v>
      </c>
      <c r="H647" s="261" t="n">
        <v>0</v>
      </c>
      <c r="I647" s="261" t="n">
        <v>1</v>
      </c>
      <c r="J647" s="361" t="n">
        <v>0</v>
      </c>
      <c r="K647" s="262" t="n">
        <v>40</v>
      </c>
      <c r="L647" s="262" t="n">
        <v>27</v>
      </c>
      <c r="M647" s="262" t="n">
        <v>60</v>
      </c>
      <c r="N647" s="262" t="n">
        <v>37</v>
      </c>
      <c r="O647" s="262" t="n">
        <v>50</v>
      </c>
      <c r="P647" s="361" t="n">
        <v>66</v>
      </c>
      <c r="Q647" s="261" t="s">
        <v>155</v>
      </c>
      <c r="R647" s="261" t="s">
        <v>161</v>
      </c>
      <c r="S647" s="363" t="n">
        <f aca="false" t="array" ref="S647:S647">IF(COUNTIF('0.3.0 GO Calculation Values'!$J$2:$J$99,C647),(INDEX('0.3.0 GO Calculation Values'!$K$2:$K$99,MATCH(C647,'0.3.0 GO Calculation Values'!$J$2:$J$99,0))),1)</f>
        <v>1</v>
      </c>
      <c r="T647" s="262" t="n">
        <f aca="false">ROUND(ROUND(2*((7/8)*MAX(L647,N647)+(1/8)*MIN(L647,N647)),0)*(1+(P647-75)/500),0)</f>
        <v>71</v>
      </c>
      <c r="U647" s="262" t="n">
        <f aca="false">ROUND(ROUND(2*((5/8)*MAX(M647,O647)+(3/8)*MIN(M647,O647)),0)*(1+(P647-75)/500),0)</f>
        <v>111</v>
      </c>
      <c r="V647" s="361" t="n">
        <f aca="false">ROUNDDOWN(K647*1.75+50,0)</f>
        <v>120</v>
      </c>
      <c r="W647" s="261" t="n">
        <v>0</v>
      </c>
      <c r="X647" s="261" t="s">
        <v>60</v>
      </c>
      <c r="Y647" s="364" t="s">
        <v>1640</v>
      </c>
      <c r="Z647" s="364"/>
      <c r="AA647" s="364"/>
      <c r="AB647" s="365"/>
      <c r="AC647" s="364"/>
      <c r="AD647" s="364"/>
      <c r="AE647" s="366"/>
      <c r="AF647" s="364" t="s">
        <v>1641</v>
      </c>
      <c r="AG647" s="364" t="s">
        <v>1641</v>
      </c>
      <c r="AH647" s="366" t="s">
        <v>1641</v>
      </c>
    </row>
    <row r="648" customFormat="false" ht="15.75" hidden="false" customHeight="false" outlineLevel="0" collapsed="false">
      <c r="A648" s="262" t="n">
        <v>547</v>
      </c>
      <c r="B648" s="361" t="n">
        <v>646</v>
      </c>
      <c r="C648" s="261" t="s">
        <v>1642</v>
      </c>
      <c r="D648" s="261" t="s">
        <v>60</v>
      </c>
      <c r="E648" s="362" t="s">
        <v>1642</v>
      </c>
      <c r="F648" s="261" t="s">
        <v>1532</v>
      </c>
      <c r="G648" s="261" t="s">
        <v>144</v>
      </c>
      <c r="H648" s="261" t="n">
        <v>0</v>
      </c>
      <c r="I648" s="261" t="n">
        <v>2</v>
      </c>
      <c r="J648" s="361" t="n">
        <v>1</v>
      </c>
      <c r="K648" s="262" t="n">
        <v>60</v>
      </c>
      <c r="L648" s="262" t="n">
        <v>67</v>
      </c>
      <c r="M648" s="262" t="n">
        <v>85</v>
      </c>
      <c r="N648" s="262" t="n">
        <v>77</v>
      </c>
      <c r="O648" s="262" t="n">
        <v>75</v>
      </c>
      <c r="P648" s="361" t="n">
        <v>116</v>
      </c>
      <c r="Q648" s="261" t="s">
        <v>155</v>
      </c>
      <c r="R648" s="261" t="s">
        <v>161</v>
      </c>
      <c r="S648" s="363" t="n">
        <f aca="false" t="array" ref="S648:S648">IF(COUNTIF('0.3.0 GO Calculation Values'!$J$2:$J$99,C648),(INDEX('0.3.0 GO Calculation Values'!$K$2:$K$99,MATCH(C648,'0.3.0 GO Calculation Values'!$J$2:$J$99,0))),1)</f>
        <v>1</v>
      </c>
      <c r="T648" s="262" t="n">
        <f aca="false">ROUND(ROUND(2*((7/8)*MAX(L648,N648)+(1/8)*MIN(L648,N648)),0)*(1+(P648-75)/500),0)</f>
        <v>164</v>
      </c>
      <c r="U648" s="262" t="n">
        <f aca="false">ROUND(ROUND(2*((5/8)*MAX(M648,O648)+(3/8)*MIN(M648,O648)),0)*(1+(P648-75)/500),0)</f>
        <v>176</v>
      </c>
      <c r="V648" s="361" t="n">
        <f aca="false">ROUNDDOWN(K648*1.75+50,0)</f>
        <v>155</v>
      </c>
      <c r="W648" s="261" t="n">
        <v>0</v>
      </c>
      <c r="X648" s="261" t="s">
        <v>1640</v>
      </c>
      <c r="Y648" s="364" t="s">
        <v>1640</v>
      </c>
      <c r="Z648" s="364"/>
      <c r="AA648" s="364"/>
      <c r="AB648" s="365"/>
      <c r="AC648" s="364"/>
      <c r="AD648" s="364"/>
      <c r="AE648" s="366"/>
      <c r="AF648" s="364" t="s">
        <v>1643</v>
      </c>
      <c r="AG648" s="364" t="s">
        <v>1643</v>
      </c>
      <c r="AH648" s="366" t="s">
        <v>1643</v>
      </c>
    </row>
    <row r="649" customFormat="false" ht="15.75" hidden="false" customHeight="false" outlineLevel="0" collapsed="false">
      <c r="A649" s="262" t="n">
        <v>548</v>
      </c>
      <c r="B649" s="361" t="n">
        <v>647</v>
      </c>
      <c r="C649" s="261" t="s">
        <v>1644</v>
      </c>
      <c r="D649" s="261" t="s">
        <v>60</v>
      </c>
      <c r="E649" s="362" t="s">
        <v>1644</v>
      </c>
      <c r="F649" s="261" t="s">
        <v>1532</v>
      </c>
      <c r="G649" s="261" t="s">
        <v>144</v>
      </c>
      <c r="H649" s="261" t="n">
        <v>0</v>
      </c>
      <c r="I649" s="261" t="n">
        <v>1</v>
      </c>
      <c r="J649" s="361" t="n">
        <v>0</v>
      </c>
      <c r="K649" s="262" t="n">
        <v>45</v>
      </c>
      <c r="L649" s="262" t="n">
        <v>35</v>
      </c>
      <c r="M649" s="262" t="n">
        <v>50</v>
      </c>
      <c r="N649" s="262" t="n">
        <v>70</v>
      </c>
      <c r="O649" s="262" t="n">
        <v>50</v>
      </c>
      <c r="P649" s="361" t="n">
        <v>30</v>
      </c>
      <c r="Q649" s="261" t="s">
        <v>155</v>
      </c>
      <c r="R649" s="261"/>
      <c r="S649" s="363" t="n">
        <f aca="false" t="array" ref="S649:S649">IF(COUNTIF('0.3.0 GO Calculation Values'!$J$2:$J$99,C649),(INDEX('0.3.0 GO Calculation Values'!$K$2:$K$99,MATCH(C649,'0.3.0 GO Calculation Values'!$J$2:$J$99,0))),1)</f>
        <v>1</v>
      </c>
      <c r="T649" s="262" t="n">
        <f aca="false">ROUND(ROUND(2*((7/8)*MAX(L649,N649)+(1/8)*MIN(L649,N649)),0)*(1+(P649-75)/500),0)</f>
        <v>119</v>
      </c>
      <c r="U649" s="262" t="n">
        <f aca="false">ROUND(ROUND(2*((5/8)*MAX(M649,O649)+(3/8)*MIN(M649,O649)),0)*(1+(P649-75)/500),0)</f>
        <v>91</v>
      </c>
      <c r="V649" s="361" t="n">
        <f aca="false">ROUNDDOWN(K649*1.75+50,0)</f>
        <v>128</v>
      </c>
      <c r="W649" s="261" t="n">
        <v>0</v>
      </c>
      <c r="X649" s="261" t="s">
        <v>60</v>
      </c>
      <c r="Y649" s="364" t="s">
        <v>1644</v>
      </c>
      <c r="Z649" s="364"/>
      <c r="AA649" s="364"/>
      <c r="AB649" s="365"/>
      <c r="AC649" s="364"/>
      <c r="AD649" s="364"/>
      <c r="AE649" s="366"/>
      <c r="AF649" s="364" t="s">
        <v>1645</v>
      </c>
      <c r="AG649" s="364" t="s">
        <v>1645</v>
      </c>
      <c r="AH649" s="366" t="s">
        <v>1645</v>
      </c>
    </row>
    <row r="650" customFormat="false" ht="15.75" hidden="false" customHeight="false" outlineLevel="0" collapsed="false">
      <c r="A650" s="262" t="n">
        <v>549</v>
      </c>
      <c r="B650" s="361" t="n">
        <v>648</v>
      </c>
      <c r="C650" s="261" t="s">
        <v>1646</v>
      </c>
      <c r="D650" s="261" t="s">
        <v>60</v>
      </c>
      <c r="E650" s="362" t="s">
        <v>1646</v>
      </c>
      <c r="F650" s="261" t="s">
        <v>1532</v>
      </c>
      <c r="G650" s="261" t="s">
        <v>144</v>
      </c>
      <c r="H650" s="261" t="n">
        <v>0</v>
      </c>
      <c r="I650" s="261" t="n">
        <v>2</v>
      </c>
      <c r="J650" s="361" t="n">
        <v>1</v>
      </c>
      <c r="K650" s="262" t="n">
        <v>70</v>
      </c>
      <c r="L650" s="262" t="n">
        <v>60</v>
      </c>
      <c r="M650" s="262" t="n">
        <v>75</v>
      </c>
      <c r="N650" s="262" t="n">
        <v>110</v>
      </c>
      <c r="O650" s="262" t="n">
        <v>75</v>
      </c>
      <c r="P650" s="361" t="n">
        <v>90</v>
      </c>
      <c r="Q650" s="261" t="s">
        <v>155</v>
      </c>
      <c r="R650" s="261"/>
      <c r="S650" s="363" t="n">
        <f aca="false" t="array" ref="S650:S650">IF(COUNTIF('0.3.0 GO Calculation Values'!$J$2:$J$99,C650),(INDEX('0.3.0 GO Calculation Values'!$K$2:$K$99,MATCH(C650,'0.3.0 GO Calculation Values'!$J$2:$J$99,0))),1)</f>
        <v>1</v>
      </c>
      <c r="T650" s="262" t="n">
        <f aca="false">ROUND(ROUND(2*((7/8)*MAX(L650,N650)+(1/8)*MIN(L650,N650)),0)*(1+(P650-75)/500),0)</f>
        <v>214</v>
      </c>
      <c r="U650" s="262" t="n">
        <f aca="false">ROUND(ROUND(2*((5/8)*MAX(M650,O650)+(3/8)*MIN(M650,O650)),0)*(1+(P650-75)/500),0)</f>
        <v>155</v>
      </c>
      <c r="V650" s="361" t="n">
        <f aca="false">ROUNDDOWN(K650*1.75+50,0)</f>
        <v>172</v>
      </c>
      <c r="W650" s="261" t="n">
        <v>0</v>
      </c>
      <c r="X650" s="261" t="s">
        <v>1644</v>
      </c>
      <c r="Y650" s="364" t="s">
        <v>1644</v>
      </c>
      <c r="Z650" s="364"/>
      <c r="AA650" s="364"/>
      <c r="AB650" s="365"/>
      <c r="AC650" s="364"/>
      <c r="AD650" s="364"/>
      <c r="AE650" s="366"/>
      <c r="AF650" s="364" t="s">
        <v>1647</v>
      </c>
      <c r="AG650" s="364" t="s">
        <v>1647</v>
      </c>
      <c r="AH650" s="366" t="s">
        <v>1647</v>
      </c>
    </row>
    <row r="651" customFormat="false" ht="15.75" hidden="false" customHeight="false" outlineLevel="0" collapsed="false">
      <c r="A651" s="262" t="n">
        <v>550</v>
      </c>
      <c r="B651" s="361" t="n">
        <v>649</v>
      </c>
      <c r="C651" s="261" t="s">
        <v>1648</v>
      </c>
      <c r="D651" s="261" t="s">
        <v>60</v>
      </c>
      <c r="E651" s="362" t="s">
        <v>1648</v>
      </c>
      <c r="F651" s="261" t="s">
        <v>1532</v>
      </c>
      <c r="G651" s="261" t="s">
        <v>144</v>
      </c>
      <c r="H651" s="261" t="n">
        <v>0</v>
      </c>
      <c r="I651" s="261" t="n">
        <v>1</v>
      </c>
      <c r="J651" s="361" t="n">
        <v>1</v>
      </c>
      <c r="K651" s="262" t="n">
        <v>70</v>
      </c>
      <c r="L651" s="262" t="n">
        <v>92</v>
      </c>
      <c r="M651" s="262" t="n">
        <v>65</v>
      </c>
      <c r="N651" s="262" t="n">
        <v>80</v>
      </c>
      <c r="O651" s="262" t="n">
        <v>55</v>
      </c>
      <c r="P651" s="361" t="n">
        <v>98</v>
      </c>
      <c r="Q651" s="261" t="s">
        <v>154</v>
      </c>
      <c r="R651" s="261"/>
      <c r="S651" s="363" t="n">
        <f aca="false" t="array" ref="S651:S651">IF(COUNTIF('0.3.0 GO Calculation Values'!$J$2:$J$99,C651),(INDEX('0.3.0 GO Calculation Values'!$K$2:$K$99,MATCH(C651,'0.3.0 GO Calculation Values'!$J$2:$J$99,0))),1)</f>
        <v>1</v>
      </c>
      <c r="T651" s="262" t="n">
        <f aca="false">ROUND(ROUND(2*((7/8)*MAX(L651,N651)+(1/8)*MIN(L651,N651)),0)*(1+(P651-75)/500),0)</f>
        <v>189</v>
      </c>
      <c r="U651" s="262" t="n">
        <f aca="false">ROUND(ROUND(2*((5/8)*MAX(M651,O651)+(3/8)*MIN(M651,O651)),0)*(1+(P651-75)/500),0)</f>
        <v>129</v>
      </c>
      <c r="V651" s="361" t="n">
        <f aca="false">ROUNDDOWN(K651*1.75+50,0)</f>
        <v>172</v>
      </c>
      <c r="W651" s="261" t="n">
        <v>0</v>
      </c>
      <c r="X651" s="261" t="s">
        <v>60</v>
      </c>
      <c r="Y651" s="364" t="s">
        <v>1648</v>
      </c>
      <c r="Z651" s="364"/>
      <c r="AA651" s="364"/>
      <c r="AB651" s="365"/>
      <c r="AC651" s="364"/>
      <c r="AD651" s="364"/>
      <c r="AE651" s="366"/>
      <c r="AF651" s="364" t="s">
        <v>1649</v>
      </c>
      <c r="AG651" s="364" t="s">
        <v>1649</v>
      </c>
      <c r="AH651" s="366" t="s">
        <v>1649</v>
      </c>
    </row>
    <row r="652" customFormat="false" ht="15.75" hidden="false" customHeight="false" outlineLevel="0" collapsed="false">
      <c r="A652" s="262" t="n">
        <v>551</v>
      </c>
      <c r="B652" s="361" t="n">
        <v>650</v>
      </c>
      <c r="C652" s="261" t="s">
        <v>1650</v>
      </c>
      <c r="D652" s="261" t="s">
        <v>60</v>
      </c>
      <c r="E652" s="362" t="s">
        <v>1650</v>
      </c>
      <c r="F652" s="261" t="s">
        <v>1532</v>
      </c>
      <c r="G652" s="261" t="s">
        <v>144</v>
      </c>
      <c r="H652" s="261" t="n">
        <v>0</v>
      </c>
      <c r="I652" s="261" t="n">
        <v>1</v>
      </c>
      <c r="J652" s="361" t="n">
        <v>0</v>
      </c>
      <c r="K652" s="262" t="n">
        <v>50</v>
      </c>
      <c r="L652" s="262" t="n">
        <v>72</v>
      </c>
      <c r="M652" s="262" t="n">
        <v>35</v>
      </c>
      <c r="N652" s="262" t="n">
        <v>35</v>
      </c>
      <c r="O652" s="262" t="n">
        <v>35</v>
      </c>
      <c r="P652" s="361" t="n">
        <v>65</v>
      </c>
      <c r="Q652" s="261" t="s">
        <v>148</v>
      </c>
      <c r="R652" s="261" t="s">
        <v>160</v>
      </c>
      <c r="S652" s="363" t="n">
        <f aca="false" t="array" ref="S652:S652">IF(COUNTIF('0.3.0 GO Calculation Values'!$J$2:$J$99,C652),(INDEX('0.3.0 GO Calculation Values'!$K$2:$K$99,MATCH(C652,'0.3.0 GO Calculation Values'!$J$2:$J$99,0))),1)</f>
        <v>1</v>
      </c>
      <c r="T652" s="262" t="n">
        <f aca="false">ROUND(ROUND(2*((7/8)*MAX(L652,N652)+(1/8)*MIN(L652,N652)),0)*(1+(P652-75)/500),0)</f>
        <v>132</v>
      </c>
      <c r="U652" s="262" t="n">
        <f aca="false">ROUND(ROUND(2*((5/8)*MAX(M652,O652)+(3/8)*MIN(M652,O652)),0)*(1+(P652-75)/500),0)</f>
        <v>69</v>
      </c>
      <c r="V652" s="361" t="n">
        <f aca="false">ROUNDDOWN(K652*1.75+50,0)</f>
        <v>137</v>
      </c>
      <c r="W652" s="261" t="n">
        <v>0</v>
      </c>
      <c r="X652" s="261" t="s">
        <v>60</v>
      </c>
      <c r="Y652" s="364" t="s">
        <v>1650</v>
      </c>
      <c r="Z652" s="364"/>
      <c r="AA652" s="364"/>
      <c r="AB652" s="365"/>
      <c r="AC652" s="364"/>
      <c r="AD652" s="364"/>
      <c r="AE652" s="366"/>
      <c r="AF652" s="364" t="s">
        <v>1651</v>
      </c>
      <c r="AG652" s="364" t="s">
        <v>1651</v>
      </c>
      <c r="AH652" s="366" t="s">
        <v>1651</v>
      </c>
    </row>
    <row r="653" customFormat="false" ht="15.75" hidden="false" customHeight="false" outlineLevel="0" collapsed="false">
      <c r="A653" s="262" t="n">
        <v>552</v>
      </c>
      <c r="B653" s="361" t="n">
        <v>651</v>
      </c>
      <c r="C653" s="261" t="s">
        <v>1652</v>
      </c>
      <c r="D653" s="261" t="s">
        <v>60</v>
      </c>
      <c r="E653" s="362" t="s">
        <v>1652</v>
      </c>
      <c r="F653" s="261" t="s">
        <v>1532</v>
      </c>
      <c r="G653" s="261" t="s">
        <v>144</v>
      </c>
      <c r="H653" s="261" t="n">
        <v>0</v>
      </c>
      <c r="I653" s="261" t="n">
        <v>2</v>
      </c>
      <c r="J653" s="361" t="n">
        <v>0</v>
      </c>
      <c r="K653" s="262" t="n">
        <v>60</v>
      </c>
      <c r="L653" s="262" t="n">
        <v>82</v>
      </c>
      <c r="M653" s="262" t="n">
        <v>45</v>
      </c>
      <c r="N653" s="262" t="n">
        <v>45</v>
      </c>
      <c r="O653" s="262" t="n">
        <v>45</v>
      </c>
      <c r="P653" s="361" t="n">
        <v>74</v>
      </c>
      <c r="Q653" s="261" t="s">
        <v>148</v>
      </c>
      <c r="R653" s="261" t="s">
        <v>160</v>
      </c>
      <c r="S653" s="363" t="n">
        <f aca="false" t="array" ref="S653:S653">IF(COUNTIF('0.3.0 GO Calculation Values'!$J$2:$J$99,C653),(INDEX('0.3.0 GO Calculation Values'!$K$2:$K$99,MATCH(C653,'0.3.0 GO Calculation Values'!$J$2:$J$99,0))),1)</f>
        <v>1</v>
      </c>
      <c r="T653" s="262" t="n">
        <f aca="false">ROUND(ROUND(2*((7/8)*MAX(L653,N653)+(1/8)*MIN(L653,N653)),0)*(1+(P653-75)/500),0)</f>
        <v>155</v>
      </c>
      <c r="U653" s="262" t="n">
        <f aca="false">ROUND(ROUND(2*((5/8)*MAX(M653,O653)+(3/8)*MIN(M653,O653)),0)*(1+(P653-75)/500),0)</f>
        <v>90</v>
      </c>
      <c r="V653" s="361" t="n">
        <f aca="false">ROUNDDOWN(K653*1.75+50,0)</f>
        <v>155</v>
      </c>
      <c r="W653" s="261" t="n">
        <v>0</v>
      </c>
      <c r="X653" s="261" t="s">
        <v>1650</v>
      </c>
      <c r="Y653" s="364" t="s">
        <v>1650</v>
      </c>
      <c r="Z653" s="364"/>
      <c r="AA653" s="364"/>
      <c r="AB653" s="365"/>
      <c r="AC653" s="364"/>
      <c r="AD653" s="364"/>
      <c r="AE653" s="366"/>
      <c r="AF653" s="364" t="s">
        <v>1653</v>
      </c>
      <c r="AG653" s="364" t="s">
        <v>1653</v>
      </c>
      <c r="AH653" s="366" t="s">
        <v>1653</v>
      </c>
    </row>
    <row r="654" customFormat="false" ht="15.75" hidden="false" customHeight="false" outlineLevel="0" collapsed="false">
      <c r="A654" s="262" t="n">
        <v>553</v>
      </c>
      <c r="B654" s="361" t="n">
        <v>652</v>
      </c>
      <c r="C654" s="261" t="s">
        <v>1654</v>
      </c>
      <c r="D654" s="261" t="s">
        <v>60</v>
      </c>
      <c r="E654" s="362" t="s">
        <v>1654</v>
      </c>
      <c r="F654" s="261" t="s">
        <v>1532</v>
      </c>
      <c r="G654" s="261" t="s">
        <v>144</v>
      </c>
      <c r="H654" s="261" t="n">
        <v>0</v>
      </c>
      <c r="I654" s="261" t="n">
        <v>3</v>
      </c>
      <c r="J654" s="361" t="n">
        <v>1</v>
      </c>
      <c r="K654" s="262" t="n">
        <v>95</v>
      </c>
      <c r="L654" s="262" t="n">
        <v>117</v>
      </c>
      <c r="M654" s="262" t="n">
        <v>80</v>
      </c>
      <c r="N654" s="262" t="n">
        <v>65</v>
      </c>
      <c r="O654" s="262" t="n">
        <v>70</v>
      </c>
      <c r="P654" s="361" t="n">
        <v>92</v>
      </c>
      <c r="Q654" s="261" t="s">
        <v>148</v>
      </c>
      <c r="R654" s="261" t="s">
        <v>160</v>
      </c>
      <c r="S654" s="363" t="n">
        <f aca="false" t="array" ref="S654:S654">IF(COUNTIF('0.3.0 GO Calculation Values'!$J$2:$J$99,C654),(INDEX('0.3.0 GO Calculation Values'!$K$2:$K$99,MATCH(C654,'0.3.0 GO Calculation Values'!$J$2:$J$99,0))),1)</f>
        <v>1</v>
      </c>
      <c r="T654" s="262" t="n">
        <f aca="false">ROUND(ROUND(2*((7/8)*MAX(L654,N654)+(1/8)*MIN(L654,N654)),0)*(1+(P654-75)/500),0)</f>
        <v>229</v>
      </c>
      <c r="U654" s="262" t="n">
        <f aca="false">ROUND(ROUND(2*((5/8)*MAX(M654,O654)+(3/8)*MIN(M654,O654)),0)*(1+(P654-75)/500),0)</f>
        <v>158</v>
      </c>
      <c r="V654" s="361" t="n">
        <f aca="false">ROUNDDOWN(K654*1.75+50,0)</f>
        <v>216</v>
      </c>
      <c r="W654" s="261" t="n">
        <v>0</v>
      </c>
      <c r="X654" s="261" t="s">
        <v>1652</v>
      </c>
      <c r="Y654" s="364" t="s">
        <v>1650</v>
      </c>
      <c r="Z654" s="364"/>
      <c r="AA654" s="364"/>
      <c r="AB654" s="365"/>
      <c r="AC654" s="364"/>
      <c r="AD654" s="364"/>
      <c r="AE654" s="366"/>
      <c r="AF654" s="364" t="s">
        <v>1655</v>
      </c>
      <c r="AG654" s="364" t="s">
        <v>1655</v>
      </c>
      <c r="AH654" s="366" t="s">
        <v>1655</v>
      </c>
    </row>
    <row r="655" customFormat="false" ht="15.75" hidden="false" customHeight="false" outlineLevel="0" collapsed="false">
      <c r="A655" s="262" t="n">
        <v>554</v>
      </c>
      <c r="B655" s="361" t="n">
        <v>653</v>
      </c>
      <c r="C655" s="261" t="s">
        <v>1656</v>
      </c>
      <c r="D655" s="261" t="s">
        <v>60</v>
      </c>
      <c r="E655" s="362" t="s">
        <v>1656</v>
      </c>
      <c r="F655" s="261" t="s">
        <v>1532</v>
      </c>
      <c r="G655" s="261" t="s">
        <v>144</v>
      </c>
      <c r="H655" s="261" t="n">
        <v>0</v>
      </c>
      <c r="I655" s="261" t="n">
        <v>1</v>
      </c>
      <c r="J655" s="361" t="n">
        <v>0</v>
      </c>
      <c r="K655" s="262" t="n">
        <v>70</v>
      </c>
      <c r="L655" s="262" t="n">
        <v>90</v>
      </c>
      <c r="M655" s="262" t="n">
        <v>45</v>
      </c>
      <c r="N655" s="262" t="n">
        <v>15</v>
      </c>
      <c r="O655" s="262" t="n">
        <v>45</v>
      </c>
      <c r="P655" s="361" t="n">
        <v>50</v>
      </c>
      <c r="Q655" s="261" t="s">
        <v>153</v>
      </c>
      <c r="R655" s="261"/>
      <c r="S655" s="363" t="n">
        <f aca="false" t="array" ref="S655:S655">IF(COUNTIF('0.3.0 GO Calculation Values'!$J$2:$J$99,C655),(INDEX('0.3.0 GO Calculation Values'!$K$2:$K$99,MATCH(C655,'0.3.0 GO Calculation Values'!$J$2:$J$99,0))),1)</f>
        <v>1</v>
      </c>
      <c r="T655" s="262" t="n">
        <f aca="false">ROUND(ROUND(2*((7/8)*MAX(L655,N655)+(1/8)*MIN(L655,N655)),0)*(1+(P655-75)/500),0)</f>
        <v>153</v>
      </c>
      <c r="U655" s="262" t="n">
        <f aca="false">ROUND(ROUND(2*((5/8)*MAX(M655,O655)+(3/8)*MIN(M655,O655)),0)*(1+(P655-75)/500),0)</f>
        <v>86</v>
      </c>
      <c r="V655" s="361" t="n">
        <f aca="false">ROUNDDOWN(K655*1.75+50,0)</f>
        <v>172</v>
      </c>
      <c r="W655" s="261" t="n">
        <v>0</v>
      </c>
      <c r="X655" s="261" t="s">
        <v>60</v>
      </c>
      <c r="Y655" s="364" t="s">
        <v>1656</v>
      </c>
      <c r="Z655" s="364"/>
      <c r="AA655" s="364"/>
      <c r="AB655" s="365"/>
      <c r="AC655" s="364"/>
      <c r="AD655" s="364"/>
      <c r="AE655" s="366"/>
      <c r="AF655" s="364" t="s">
        <v>1657</v>
      </c>
      <c r="AG655" s="364" t="s">
        <v>1657</v>
      </c>
      <c r="AH655" s="366" t="s">
        <v>1657</v>
      </c>
    </row>
    <row r="656" customFormat="false" ht="15.75" hidden="false" customHeight="false" outlineLevel="0" collapsed="false">
      <c r="A656" s="262" t="n">
        <v>555</v>
      </c>
      <c r="B656" s="361" t="n">
        <v>654</v>
      </c>
      <c r="C656" s="261" t="s">
        <v>1658</v>
      </c>
      <c r="D656" s="261" t="s">
        <v>1659</v>
      </c>
      <c r="E656" s="358" t="s">
        <v>1658</v>
      </c>
      <c r="F656" s="261" t="s">
        <v>1532</v>
      </c>
      <c r="G656" s="261" t="s">
        <v>144</v>
      </c>
      <c r="H656" s="261" t="n">
        <v>0</v>
      </c>
      <c r="I656" s="261" t="n">
        <v>2</v>
      </c>
      <c r="J656" s="361" t="n">
        <v>1</v>
      </c>
      <c r="K656" s="262" t="n">
        <v>105</v>
      </c>
      <c r="L656" s="262" t="n">
        <v>140</v>
      </c>
      <c r="M656" s="262" t="n">
        <v>55</v>
      </c>
      <c r="N656" s="262" t="n">
        <v>30</v>
      </c>
      <c r="O656" s="262" t="n">
        <v>55</v>
      </c>
      <c r="P656" s="361" t="n">
        <v>95</v>
      </c>
      <c r="Q656" s="261" t="s">
        <v>153</v>
      </c>
      <c r="R656" s="261"/>
      <c r="S656" s="363" t="n">
        <f aca="false" t="array" ref="S656:S656">IF(COUNTIF('0.3.0 GO Calculation Values'!$J$2:$J$99,C656),(INDEX('0.3.0 GO Calculation Values'!$K$2:$K$99,MATCH(C656,'0.3.0 GO Calculation Values'!$J$2:$J$99,0))),1)</f>
        <v>1</v>
      </c>
      <c r="T656" s="262" t="n">
        <f aca="false">ROUND(ROUND(2*((7/8)*MAX(L656,N656)+(1/8)*MIN(L656,N656)),0)*(1+(P656-75)/500),0)</f>
        <v>263</v>
      </c>
      <c r="U656" s="262" t="n">
        <f aca="false">ROUND(ROUND(2*((5/8)*MAX(M656,O656)+(3/8)*MIN(M656,O656)),0)*(1+(P656-75)/500),0)</f>
        <v>114</v>
      </c>
      <c r="V656" s="361" t="n">
        <f aca="false">ROUNDDOWN(K656*1.75+50,0)</f>
        <v>233</v>
      </c>
      <c r="W656" s="261" t="n">
        <v>0</v>
      </c>
      <c r="X656" s="261" t="s">
        <v>1656</v>
      </c>
      <c r="Y656" s="364" t="s">
        <v>1656</v>
      </c>
      <c r="Z656" s="364"/>
      <c r="AA656" s="364"/>
      <c r="AB656" s="365"/>
      <c r="AC656" s="364"/>
      <c r="AD656" s="364"/>
      <c r="AE656" s="366"/>
      <c r="AF656" s="261" t="s">
        <v>1660</v>
      </c>
      <c r="AG656" s="261" t="s">
        <v>1661</v>
      </c>
      <c r="AH656" s="362" t="s">
        <v>1661</v>
      </c>
    </row>
    <row r="657" customFormat="false" ht="15.75" hidden="false" customHeight="false" outlineLevel="0" collapsed="false">
      <c r="A657" s="262" t="n">
        <v>555</v>
      </c>
      <c r="B657" s="361" t="n">
        <v>655</v>
      </c>
      <c r="C657" s="261" t="s">
        <v>1658</v>
      </c>
      <c r="D657" s="261" t="s">
        <v>1662</v>
      </c>
      <c r="E657" s="358" t="s">
        <v>1663</v>
      </c>
      <c r="F657" s="261" t="s">
        <v>1532</v>
      </c>
      <c r="G657" s="261" t="s">
        <v>144</v>
      </c>
      <c r="H657" s="261" t="n">
        <v>2</v>
      </c>
      <c r="I657" s="261" t="n">
        <v>2</v>
      </c>
      <c r="J657" s="361" t="n">
        <v>1</v>
      </c>
      <c r="K657" s="262" t="n">
        <v>105</v>
      </c>
      <c r="L657" s="262" t="n">
        <v>30</v>
      </c>
      <c r="M657" s="262" t="n">
        <v>105</v>
      </c>
      <c r="N657" s="262" t="n">
        <v>140</v>
      </c>
      <c r="O657" s="262" t="n">
        <v>105</v>
      </c>
      <c r="P657" s="361" t="n">
        <v>55</v>
      </c>
      <c r="Q657" s="261" t="s">
        <v>153</v>
      </c>
      <c r="R657" s="261" t="s">
        <v>157</v>
      </c>
      <c r="S657" s="363" t="n">
        <f aca="false" t="array" ref="S657:S657">IF(COUNTIF('0.3.0 GO Calculation Values'!$J$2:$J$99,C657),(INDEX('0.3.0 GO Calculation Values'!$K$2:$K$99,MATCH(C657,'0.3.0 GO Calculation Values'!$J$2:$J$99,0))),1)</f>
        <v>1</v>
      </c>
      <c r="T657" s="262" t="n">
        <f aca="false">ROUND(ROUND(2*((7/8)*MAX(L657,N657)+(1/8)*MIN(L657,N657)),0)*(1+(P657-75)/500),0)</f>
        <v>243</v>
      </c>
      <c r="U657" s="262" t="n">
        <f aca="false">ROUND(ROUND(2*((5/8)*MAX(M657,O657)+(3/8)*MIN(M657,O657)),0)*(1+(P657-75)/500),0)</f>
        <v>202</v>
      </c>
      <c r="V657" s="361" t="n">
        <f aca="false">ROUNDDOWN(K657*1.75+50,0)</f>
        <v>233</v>
      </c>
      <c r="W657" s="261" t="n">
        <v>0</v>
      </c>
      <c r="X657" s="261" t="s">
        <v>1656</v>
      </c>
      <c r="Y657" s="364" t="s">
        <v>1656</v>
      </c>
      <c r="Z657" s="364"/>
      <c r="AA657" s="364"/>
      <c r="AB657" s="365"/>
      <c r="AC657" s="364"/>
      <c r="AD657" s="364"/>
      <c r="AE657" s="366"/>
      <c r="AF657" s="261" t="s">
        <v>1664</v>
      </c>
      <c r="AG657" s="261" t="s">
        <v>1664</v>
      </c>
      <c r="AH657" s="362" t="s">
        <v>1664</v>
      </c>
    </row>
    <row r="658" customFormat="false" ht="15.75" hidden="false" customHeight="false" outlineLevel="0" collapsed="false">
      <c r="A658" s="262" t="n">
        <v>556</v>
      </c>
      <c r="B658" s="361" t="n">
        <v>656</v>
      </c>
      <c r="C658" s="261" t="s">
        <v>1665</v>
      </c>
      <c r="D658" s="261" t="s">
        <v>60</v>
      </c>
      <c r="E658" s="362" t="s">
        <v>1665</v>
      </c>
      <c r="F658" s="261" t="s">
        <v>1532</v>
      </c>
      <c r="G658" s="261" t="s">
        <v>144</v>
      </c>
      <c r="H658" s="261" t="n">
        <v>0</v>
      </c>
      <c r="I658" s="261" t="n">
        <v>1</v>
      </c>
      <c r="J658" s="361" t="n">
        <v>1</v>
      </c>
      <c r="K658" s="262" t="n">
        <v>75</v>
      </c>
      <c r="L658" s="262" t="n">
        <v>86</v>
      </c>
      <c r="M658" s="262" t="n">
        <v>67</v>
      </c>
      <c r="N658" s="262" t="n">
        <v>106</v>
      </c>
      <c r="O658" s="262" t="n">
        <v>67</v>
      </c>
      <c r="P658" s="361" t="n">
        <v>60</v>
      </c>
      <c r="Q658" s="261" t="s">
        <v>155</v>
      </c>
      <c r="R658" s="261"/>
      <c r="S658" s="363" t="n">
        <f aca="false" t="array" ref="S658:S658">IF(COUNTIF('0.3.0 GO Calculation Values'!$J$2:$J$99,C658),(INDEX('0.3.0 GO Calculation Values'!$K$2:$K$99,MATCH(C658,'0.3.0 GO Calculation Values'!$J$2:$J$99,0))),1)</f>
        <v>1</v>
      </c>
      <c r="T658" s="262" t="n">
        <f aca="false">ROUND(ROUND(2*((7/8)*MAX(L658,N658)+(1/8)*MIN(L658,N658)),0)*(1+(P658-75)/500),0)</f>
        <v>201</v>
      </c>
      <c r="U658" s="262" t="n">
        <f aca="false">ROUND(ROUND(2*((5/8)*MAX(M658,O658)+(3/8)*MIN(M658,O658)),0)*(1+(P658-75)/500),0)</f>
        <v>130</v>
      </c>
      <c r="V658" s="361" t="n">
        <f aca="false">ROUNDDOWN(K658*1.75+50,0)</f>
        <v>181</v>
      </c>
      <c r="W658" s="261" t="n">
        <v>0</v>
      </c>
      <c r="X658" s="261" t="s">
        <v>60</v>
      </c>
      <c r="Y658" s="364" t="s">
        <v>1665</v>
      </c>
      <c r="Z658" s="364"/>
      <c r="AA658" s="364"/>
      <c r="AB658" s="365"/>
      <c r="AC658" s="364"/>
      <c r="AD658" s="364"/>
      <c r="AE658" s="366"/>
      <c r="AF658" s="364" t="s">
        <v>1666</v>
      </c>
      <c r="AG658" s="364" t="s">
        <v>1666</v>
      </c>
      <c r="AH658" s="366" t="s">
        <v>1666</v>
      </c>
    </row>
    <row r="659" customFormat="false" ht="15.75" hidden="false" customHeight="false" outlineLevel="0" collapsed="false">
      <c r="A659" s="262" t="n">
        <v>557</v>
      </c>
      <c r="B659" s="361" t="n">
        <v>657</v>
      </c>
      <c r="C659" s="261" t="s">
        <v>1667</v>
      </c>
      <c r="D659" s="261" t="s">
        <v>60</v>
      </c>
      <c r="E659" s="362" t="s">
        <v>1667</v>
      </c>
      <c r="F659" s="261" t="s">
        <v>1532</v>
      </c>
      <c r="G659" s="261" t="s">
        <v>144</v>
      </c>
      <c r="H659" s="261" t="n">
        <v>0</v>
      </c>
      <c r="I659" s="261" t="n">
        <v>1</v>
      </c>
      <c r="J659" s="361" t="n">
        <v>0</v>
      </c>
      <c r="K659" s="262" t="n">
        <v>50</v>
      </c>
      <c r="L659" s="262" t="n">
        <v>65</v>
      </c>
      <c r="M659" s="262" t="n">
        <v>85</v>
      </c>
      <c r="N659" s="262" t="n">
        <v>35</v>
      </c>
      <c r="O659" s="262" t="n">
        <v>35</v>
      </c>
      <c r="P659" s="361" t="n">
        <v>55</v>
      </c>
      <c r="Q659" s="261" t="s">
        <v>150</v>
      </c>
      <c r="R659" s="261" t="s">
        <v>149</v>
      </c>
      <c r="S659" s="363" t="n">
        <f aca="false" t="array" ref="S659:S659">IF(COUNTIF('0.3.0 GO Calculation Values'!$J$2:$J$99,C659),(INDEX('0.3.0 GO Calculation Values'!$K$2:$K$99,MATCH(C659,'0.3.0 GO Calculation Values'!$J$2:$J$99,0))),1)</f>
        <v>1</v>
      </c>
      <c r="T659" s="262" t="n">
        <f aca="false">ROUND(ROUND(2*((7/8)*MAX(L659,N659)+(1/8)*MIN(L659,N659)),0)*(1+(P659-75)/500),0)</f>
        <v>118</v>
      </c>
      <c r="U659" s="262" t="n">
        <f aca="false">ROUND(ROUND(2*((5/8)*MAX(M659,O659)+(3/8)*MIN(M659,O659)),0)*(1+(P659-75)/500),0)</f>
        <v>128</v>
      </c>
      <c r="V659" s="361" t="n">
        <f aca="false">ROUNDDOWN(K659*1.75+50,0)</f>
        <v>137</v>
      </c>
      <c r="W659" s="261" t="n">
        <v>0</v>
      </c>
      <c r="X659" s="261" t="s">
        <v>60</v>
      </c>
      <c r="Y659" s="364" t="s">
        <v>1667</v>
      </c>
      <c r="Z659" s="364"/>
      <c r="AA659" s="364"/>
      <c r="AB659" s="365"/>
      <c r="AC659" s="364"/>
      <c r="AD659" s="364"/>
      <c r="AE659" s="366"/>
      <c r="AF659" s="364" t="s">
        <v>1668</v>
      </c>
      <c r="AG659" s="364" t="s">
        <v>1668</v>
      </c>
      <c r="AH659" s="366" t="s">
        <v>1668</v>
      </c>
    </row>
    <row r="660" customFormat="false" ht="15.75" hidden="false" customHeight="false" outlineLevel="0" collapsed="false">
      <c r="A660" s="262" t="n">
        <v>558</v>
      </c>
      <c r="B660" s="361" t="n">
        <v>658</v>
      </c>
      <c r="C660" s="261" t="s">
        <v>1669</v>
      </c>
      <c r="D660" s="261" t="s">
        <v>60</v>
      </c>
      <c r="E660" s="362" t="s">
        <v>1669</v>
      </c>
      <c r="F660" s="261" t="s">
        <v>1532</v>
      </c>
      <c r="G660" s="261" t="s">
        <v>144</v>
      </c>
      <c r="H660" s="261" t="n">
        <v>0</v>
      </c>
      <c r="I660" s="261" t="n">
        <v>2</v>
      </c>
      <c r="J660" s="361" t="n">
        <v>1</v>
      </c>
      <c r="K660" s="262" t="n">
        <v>70</v>
      </c>
      <c r="L660" s="262" t="n">
        <v>105</v>
      </c>
      <c r="M660" s="262" t="n">
        <v>125</v>
      </c>
      <c r="N660" s="262" t="n">
        <v>65</v>
      </c>
      <c r="O660" s="262" t="n">
        <v>75</v>
      </c>
      <c r="P660" s="361" t="n">
        <v>45</v>
      </c>
      <c r="Q660" s="261" t="s">
        <v>150</v>
      </c>
      <c r="R660" s="261" t="s">
        <v>149</v>
      </c>
      <c r="S660" s="363" t="n">
        <f aca="false" t="array" ref="S660:S660">IF(COUNTIF('0.3.0 GO Calculation Values'!$J$2:$J$99,C660),(INDEX('0.3.0 GO Calculation Values'!$K$2:$K$99,MATCH(C660,'0.3.0 GO Calculation Values'!$J$2:$J$99,0))),1)</f>
        <v>1</v>
      </c>
      <c r="T660" s="262" t="n">
        <f aca="false">ROUND(ROUND(2*((7/8)*MAX(L660,N660)+(1/8)*MIN(L660,N660)),0)*(1+(P660-75)/500),0)</f>
        <v>188</v>
      </c>
      <c r="U660" s="262" t="n">
        <f aca="false">ROUND(ROUND(2*((5/8)*MAX(M660,O660)+(3/8)*MIN(M660,O660)),0)*(1+(P660-75)/500),0)</f>
        <v>200</v>
      </c>
      <c r="V660" s="361" t="n">
        <f aca="false">ROUNDDOWN(K660*1.75+50,0)</f>
        <v>172</v>
      </c>
      <c r="W660" s="261" t="n">
        <v>0</v>
      </c>
      <c r="X660" s="261" t="s">
        <v>1667</v>
      </c>
      <c r="Y660" s="364" t="s">
        <v>1667</v>
      </c>
      <c r="Z660" s="364"/>
      <c r="AA660" s="364"/>
      <c r="AB660" s="365"/>
      <c r="AC660" s="364"/>
      <c r="AD660" s="364"/>
      <c r="AE660" s="366"/>
      <c r="AF660" s="364" t="s">
        <v>1670</v>
      </c>
      <c r="AG660" s="364" t="s">
        <v>1670</v>
      </c>
      <c r="AH660" s="366" t="s">
        <v>1670</v>
      </c>
    </row>
    <row r="661" customFormat="false" ht="15.75" hidden="false" customHeight="false" outlineLevel="0" collapsed="false">
      <c r="A661" s="262" t="n">
        <v>559</v>
      </c>
      <c r="B661" s="361" t="n">
        <v>659</v>
      </c>
      <c r="C661" s="261" t="s">
        <v>1671</v>
      </c>
      <c r="D661" s="261" t="s">
        <v>60</v>
      </c>
      <c r="E661" s="362" t="s">
        <v>1671</v>
      </c>
      <c r="F661" s="261" t="s">
        <v>1532</v>
      </c>
      <c r="G661" s="261" t="s">
        <v>144</v>
      </c>
      <c r="H661" s="261" t="n">
        <v>0</v>
      </c>
      <c r="I661" s="261" t="n">
        <v>1</v>
      </c>
      <c r="J661" s="361" t="n">
        <v>0</v>
      </c>
      <c r="K661" s="262" t="n">
        <v>50</v>
      </c>
      <c r="L661" s="262" t="n">
        <v>75</v>
      </c>
      <c r="M661" s="262" t="n">
        <v>70</v>
      </c>
      <c r="N661" s="262" t="n">
        <v>35</v>
      </c>
      <c r="O661" s="262" t="n">
        <v>70</v>
      </c>
      <c r="P661" s="361" t="n">
        <v>48</v>
      </c>
      <c r="Q661" s="261" t="s">
        <v>160</v>
      </c>
      <c r="R661" s="261" t="s">
        <v>145</v>
      </c>
      <c r="S661" s="363" t="n">
        <f aca="false" t="array" ref="S661:S661">IF(COUNTIF('0.3.0 GO Calculation Values'!$J$2:$J$99,C661),(INDEX('0.3.0 GO Calculation Values'!$K$2:$K$99,MATCH(C661,'0.3.0 GO Calculation Values'!$J$2:$J$99,0))),1)</f>
        <v>1</v>
      </c>
      <c r="T661" s="262" t="n">
        <f aca="false">ROUND(ROUND(2*((7/8)*MAX(L661,N661)+(1/8)*MIN(L661,N661)),0)*(1+(P661-75)/500),0)</f>
        <v>132</v>
      </c>
      <c r="U661" s="262" t="n">
        <f aca="false">ROUND(ROUND(2*((5/8)*MAX(M661,O661)+(3/8)*MIN(M661,O661)),0)*(1+(P661-75)/500),0)</f>
        <v>132</v>
      </c>
      <c r="V661" s="361" t="n">
        <f aca="false">ROUNDDOWN(K661*1.75+50,0)</f>
        <v>137</v>
      </c>
      <c r="W661" s="261" t="n">
        <v>0</v>
      </c>
      <c r="X661" s="261" t="s">
        <v>60</v>
      </c>
      <c r="Y661" s="364" t="s">
        <v>1671</v>
      </c>
      <c r="Z661" s="364"/>
      <c r="AA661" s="364"/>
      <c r="AB661" s="365"/>
      <c r="AC661" s="364"/>
      <c r="AD661" s="364"/>
      <c r="AE661" s="366"/>
      <c r="AF661" s="364" t="s">
        <v>1672</v>
      </c>
      <c r="AG661" s="364" t="s">
        <v>1672</v>
      </c>
      <c r="AH661" s="366" t="s">
        <v>1672</v>
      </c>
    </row>
    <row r="662" customFormat="false" ht="15.75" hidden="false" customHeight="false" outlineLevel="0" collapsed="false">
      <c r="A662" s="262" t="n">
        <v>560</v>
      </c>
      <c r="B662" s="361" t="n">
        <v>660</v>
      </c>
      <c r="C662" s="261" t="s">
        <v>1673</v>
      </c>
      <c r="D662" s="261" t="s">
        <v>60</v>
      </c>
      <c r="E662" s="362" t="s">
        <v>1673</v>
      </c>
      <c r="F662" s="261" t="s">
        <v>1532</v>
      </c>
      <c r="G662" s="261" t="s">
        <v>144</v>
      </c>
      <c r="H662" s="261" t="n">
        <v>0</v>
      </c>
      <c r="I662" s="261" t="n">
        <v>2</v>
      </c>
      <c r="J662" s="361" t="n">
        <v>1</v>
      </c>
      <c r="K662" s="262" t="n">
        <v>65</v>
      </c>
      <c r="L662" s="262" t="n">
        <v>90</v>
      </c>
      <c r="M662" s="262" t="n">
        <v>115</v>
      </c>
      <c r="N662" s="262" t="n">
        <v>45</v>
      </c>
      <c r="O662" s="262" t="n">
        <v>115</v>
      </c>
      <c r="P662" s="361" t="n">
        <v>58</v>
      </c>
      <c r="Q662" s="261" t="s">
        <v>160</v>
      </c>
      <c r="R662" s="261" t="s">
        <v>145</v>
      </c>
      <c r="S662" s="363" t="n">
        <f aca="false" t="array" ref="S662:S662">IF(COUNTIF('0.3.0 GO Calculation Values'!$J$2:$J$99,C662),(INDEX('0.3.0 GO Calculation Values'!$K$2:$K$99,MATCH(C662,'0.3.0 GO Calculation Values'!$J$2:$J$99,0))),1)</f>
        <v>1</v>
      </c>
      <c r="T662" s="262" t="n">
        <f aca="false">ROUND(ROUND(2*((7/8)*MAX(L662,N662)+(1/8)*MIN(L662,N662)),0)*(1+(P662-75)/500),0)</f>
        <v>163</v>
      </c>
      <c r="U662" s="262" t="n">
        <f aca="false">ROUND(ROUND(2*((5/8)*MAX(M662,O662)+(3/8)*MIN(M662,O662)),0)*(1+(P662-75)/500),0)</f>
        <v>222</v>
      </c>
      <c r="V662" s="361" t="n">
        <f aca="false">ROUNDDOWN(K662*1.75+50,0)</f>
        <v>163</v>
      </c>
      <c r="W662" s="261" t="n">
        <v>0</v>
      </c>
      <c r="X662" s="261" t="s">
        <v>1671</v>
      </c>
      <c r="Y662" s="364" t="s">
        <v>1671</v>
      </c>
      <c r="Z662" s="364"/>
      <c r="AA662" s="364"/>
      <c r="AB662" s="365"/>
      <c r="AC662" s="364"/>
      <c r="AD662" s="364"/>
      <c r="AE662" s="366"/>
      <c r="AF662" s="364" t="s">
        <v>1674</v>
      </c>
      <c r="AG662" s="364" t="s">
        <v>1674</v>
      </c>
      <c r="AH662" s="366" t="s">
        <v>1674</v>
      </c>
    </row>
    <row r="663" customFormat="false" ht="15.75" hidden="false" customHeight="false" outlineLevel="0" collapsed="false">
      <c r="A663" s="262" t="n">
        <v>561</v>
      </c>
      <c r="B663" s="361" t="n">
        <v>661</v>
      </c>
      <c r="C663" s="261" t="s">
        <v>1675</v>
      </c>
      <c r="D663" s="261" t="s">
        <v>60</v>
      </c>
      <c r="E663" s="362" t="s">
        <v>1675</v>
      </c>
      <c r="F663" s="261" t="s">
        <v>1532</v>
      </c>
      <c r="G663" s="261" t="s">
        <v>144</v>
      </c>
      <c r="H663" s="261" t="n">
        <v>0</v>
      </c>
      <c r="I663" s="261" t="n">
        <v>1</v>
      </c>
      <c r="J663" s="361" t="n">
        <v>1</v>
      </c>
      <c r="K663" s="262" t="n">
        <v>72</v>
      </c>
      <c r="L663" s="262" t="n">
        <v>58</v>
      </c>
      <c r="M663" s="262" t="n">
        <v>80</v>
      </c>
      <c r="N663" s="262" t="n">
        <v>103</v>
      </c>
      <c r="O663" s="262" t="n">
        <v>80</v>
      </c>
      <c r="P663" s="361" t="n">
        <v>97</v>
      </c>
      <c r="Q663" s="261" t="s">
        <v>157</v>
      </c>
      <c r="R663" s="261" t="s">
        <v>146</v>
      </c>
      <c r="S663" s="363" t="n">
        <f aca="false" t="array" ref="S663:S663">IF(COUNTIF('0.3.0 GO Calculation Values'!$J$2:$J$99,C663),(INDEX('0.3.0 GO Calculation Values'!$K$2:$K$99,MATCH(C663,'0.3.0 GO Calculation Values'!$J$2:$J$99,0))),1)</f>
        <v>1</v>
      </c>
      <c r="T663" s="262" t="n">
        <f aca="false">ROUND(ROUND(2*((7/8)*MAX(L663,N663)+(1/8)*MIN(L663,N663)),0)*(1+(P663-75)/500),0)</f>
        <v>204</v>
      </c>
      <c r="U663" s="262" t="n">
        <f aca="false">ROUND(ROUND(2*((5/8)*MAX(M663,O663)+(3/8)*MIN(M663,O663)),0)*(1+(P663-75)/500),0)</f>
        <v>167</v>
      </c>
      <c r="V663" s="361" t="n">
        <f aca="false">ROUNDDOWN(K663*1.75+50,0)</f>
        <v>176</v>
      </c>
      <c r="W663" s="261" t="n">
        <v>0</v>
      </c>
      <c r="X663" s="261" t="s">
        <v>60</v>
      </c>
      <c r="Y663" s="364" t="s">
        <v>1675</v>
      </c>
      <c r="Z663" s="364"/>
      <c r="AA663" s="364"/>
      <c r="AB663" s="365"/>
      <c r="AC663" s="364"/>
      <c r="AD663" s="364"/>
      <c r="AE663" s="366"/>
      <c r="AF663" s="364" t="s">
        <v>1676</v>
      </c>
      <c r="AG663" s="364" t="s">
        <v>1676</v>
      </c>
      <c r="AH663" s="366" t="s">
        <v>1676</v>
      </c>
    </row>
    <row r="664" customFormat="false" ht="15.75" hidden="false" customHeight="false" outlineLevel="0" collapsed="false">
      <c r="A664" s="262" t="n">
        <v>562</v>
      </c>
      <c r="B664" s="361" t="n">
        <v>662</v>
      </c>
      <c r="C664" s="261" t="s">
        <v>1677</v>
      </c>
      <c r="D664" s="261" t="s">
        <v>60</v>
      </c>
      <c r="E664" s="362" t="s">
        <v>1677</v>
      </c>
      <c r="F664" s="261" t="s">
        <v>1532</v>
      </c>
      <c r="G664" s="261" t="s">
        <v>144</v>
      </c>
      <c r="H664" s="261" t="n">
        <v>0</v>
      </c>
      <c r="I664" s="261" t="n">
        <v>1</v>
      </c>
      <c r="J664" s="361" t="n">
        <v>0</v>
      </c>
      <c r="K664" s="262" t="n">
        <v>38</v>
      </c>
      <c r="L664" s="262" t="n">
        <v>30</v>
      </c>
      <c r="M664" s="262" t="n">
        <v>85</v>
      </c>
      <c r="N664" s="262" t="n">
        <v>55</v>
      </c>
      <c r="O664" s="262" t="n">
        <v>65</v>
      </c>
      <c r="P664" s="361" t="n">
        <v>30</v>
      </c>
      <c r="Q664" s="261" t="s">
        <v>151</v>
      </c>
      <c r="R664" s="261"/>
      <c r="S664" s="363" t="n">
        <f aca="false" t="array" ref="S664:S664">IF(COUNTIF('0.3.0 GO Calculation Values'!$J$2:$J$99,C664),(INDEX('0.3.0 GO Calculation Values'!$K$2:$K$99,MATCH(C664,'0.3.0 GO Calculation Values'!$J$2:$J$99,0))),1)</f>
        <v>1</v>
      </c>
      <c r="T664" s="262" t="n">
        <f aca="false">ROUND(ROUND(2*((7/8)*MAX(L664,N664)+(1/8)*MIN(L664,N664)),0)*(1+(P664-75)/500),0)</f>
        <v>95</v>
      </c>
      <c r="U664" s="262" t="n">
        <f aca="false">ROUND(ROUND(2*((5/8)*MAX(M664,O664)+(3/8)*MIN(M664,O664)),0)*(1+(P664-75)/500),0)</f>
        <v>141</v>
      </c>
      <c r="V664" s="361" t="n">
        <f aca="false">ROUNDDOWN(K664*1.75+50,0)</f>
        <v>116</v>
      </c>
      <c r="W664" s="261" t="n">
        <v>0</v>
      </c>
      <c r="X664" s="261" t="s">
        <v>60</v>
      </c>
      <c r="Y664" s="364" t="s">
        <v>1677</v>
      </c>
      <c r="Z664" s="364"/>
      <c r="AA664" s="364"/>
      <c r="AB664" s="365"/>
      <c r="AC664" s="364"/>
      <c r="AD664" s="364"/>
      <c r="AE664" s="366"/>
      <c r="AF664" s="364" t="s">
        <v>1678</v>
      </c>
      <c r="AG664" s="364" t="s">
        <v>1678</v>
      </c>
      <c r="AH664" s="366" t="s">
        <v>1678</v>
      </c>
    </row>
    <row r="665" customFormat="false" ht="15.75" hidden="false" customHeight="false" outlineLevel="0" collapsed="false">
      <c r="A665" s="262" t="n">
        <v>563</v>
      </c>
      <c r="B665" s="361" t="n">
        <v>663</v>
      </c>
      <c r="C665" s="261" t="s">
        <v>1679</v>
      </c>
      <c r="D665" s="261" t="s">
        <v>60</v>
      </c>
      <c r="E665" s="362" t="s">
        <v>1679</v>
      </c>
      <c r="F665" s="261" t="s">
        <v>1532</v>
      </c>
      <c r="G665" s="261" t="s">
        <v>144</v>
      </c>
      <c r="H665" s="261" t="n">
        <v>0</v>
      </c>
      <c r="I665" s="261" t="n">
        <v>2</v>
      </c>
      <c r="J665" s="361" t="n">
        <v>1</v>
      </c>
      <c r="K665" s="262" t="n">
        <v>58</v>
      </c>
      <c r="L665" s="262" t="n">
        <v>50</v>
      </c>
      <c r="M665" s="262" t="n">
        <v>145</v>
      </c>
      <c r="N665" s="262" t="n">
        <v>95</v>
      </c>
      <c r="O665" s="262" t="n">
        <v>105</v>
      </c>
      <c r="P665" s="361" t="n">
        <v>30</v>
      </c>
      <c r="Q665" s="261" t="s">
        <v>151</v>
      </c>
      <c r="R665" s="261"/>
      <c r="S665" s="363" t="n">
        <f aca="false" t="array" ref="S665:S665">IF(COUNTIF('0.3.0 GO Calculation Values'!$J$2:$J$99,C665),(INDEX('0.3.0 GO Calculation Values'!$K$2:$K$99,MATCH(C665,'0.3.0 GO Calculation Values'!$J$2:$J$99,0))),1)</f>
        <v>1</v>
      </c>
      <c r="T665" s="262" t="n">
        <f aca="false">ROUND(ROUND(2*((7/8)*MAX(L665,N665)+(1/8)*MIN(L665,N665)),0)*(1+(P665-75)/500),0)</f>
        <v>163</v>
      </c>
      <c r="U665" s="262" t="n">
        <f aca="false">ROUND(ROUND(2*((5/8)*MAX(M665,O665)+(3/8)*MIN(M665,O665)),0)*(1+(P665-75)/500),0)</f>
        <v>237</v>
      </c>
      <c r="V665" s="361" t="n">
        <f aca="false">ROUNDDOWN(K665*1.75+50,0)</f>
        <v>151</v>
      </c>
      <c r="W665" s="261" t="n">
        <v>0</v>
      </c>
      <c r="X665" s="261" t="s">
        <v>1677</v>
      </c>
      <c r="Y665" s="364" t="s">
        <v>1677</v>
      </c>
      <c r="Z665" s="364"/>
      <c r="AA665" s="364"/>
      <c r="AB665" s="365"/>
      <c r="AC665" s="364"/>
      <c r="AD665" s="364"/>
      <c r="AE665" s="366"/>
      <c r="AF665" s="364" t="s">
        <v>1680</v>
      </c>
      <c r="AG665" s="364" t="s">
        <v>1680</v>
      </c>
      <c r="AH665" s="366" t="s">
        <v>1680</v>
      </c>
    </row>
    <row r="666" customFormat="false" ht="15.75" hidden="false" customHeight="false" outlineLevel="0" collapsed="false">
      <c r="A666" s="262" t="n">
        <v>564</v>
      </c>
      <c r="B666" s="361" t="n">
        <v>664</v>
      </c>
      <c r="C666" s="261" t="s">
        <v>1681</v>
      </c>
      <c r="D666" s="261" t="s">
        <v>60</v>
      </c>
      <c r="E666" s="362" t="s">
        <v>1681</v>
      </c>
      <c r="F666" s="261" t="s">
        <v>1532</v>
      </c>
      <c r="G666" s="261" t="s">
        <v>144</v>
      </c>
      <c r="H666" s="261" t="n">
        <v>0</v>
      </c>
      <c r="I666" s="261" t="n">
        <v>1</v>
      </c>
      <c r="J666" s="361" t="n">
        <v>0</v>
      </c>
      <c r="K666" s="262" t="n">
        <v>54</v>
      </c>
      <c r="L666" s="262" t="n">
        <v>78</v>
      </c>
      <c r="M666" s="262" t="n">
        <v>103</v>
      </c>
      <c r="N666" s="262" t="n">
        <v>53</v>
      </c>
      <c r="O666" s="262" t="n">
        <v>45</v>
      </c>
      <c r="P666" s="361" t="n">
        <v>22</v>
      </c>
      <c r="Q666" s="261" t="s">
        <v>154</v>
      </c>
      <c r="R666" s="261" t="s">
        <v>149</v>
      </c>
      <c r="S666" s="363" t="n">
        <f aca="false" t="array" ref="S666:S666">IF(COUNTIF('0.3.0 GO Calculation Values'!$J$2:$J$99,C666),(INDEX('0.3.0 GO Calculation Values'!$K$2:$K$99,MATCH(C666,'0.3.0 GO Calculation Values'!$J$2:$J$99,0))),1)</f>
        <v>1</v>
      </c>
      <c r="T666" s="262" t="n">
        <f aca="false">ROUND(ROUND(2*((7/8)*MAX(L666,N666)+(1/8)*MIN(L666,N666)),0)*(1+(P666-75)/500),0)</f>
        <v>134</v>
      </c>
      <c r="U666" s="262" t="n">
        <f aca="false">ROUND(ROUND(2*((5/8)*MAX(M666,O666)+(3/8)*MIN(M666,O666)),0)*(1+(P666-75)/500),0)</f>
        <v>146</v>
      </c>
      <c r="V666" s="361" t="n">
        <f aca="false">ROUNDDOWN(K666*1.75+50,0)</f>
        <v>144</v>
      </c>
      <c r="W666" s="261" t="n">
        <v>0</v>
      </c>
      <c r="X666" s="261" t="s">
        <v>60</v>
      </c>
      <c r="Y666" s="364" t="s">
        <v>1681</v>
      </c>
      <c r="Z666" s="364"/>
      <c r="AA666" s="364"/>
      <c r="AB666" s="365"/>
      <c r="AC666" s="364"/>
      <c r="AD666" s="364"/>
      <c r="AE666" s="366"/>
      <c r="AF666" s="364" t="s">
        <v>1682</v>
      </c>
      <c r="AG666" s="364" t="s">
        <v>1682</v>
      </c>
      <c r="AH666" s="366" t="s">
        <v>1682</v>
      </c>
    </row>
    <row r="667" customFormat="false" ht="15.75" hidden="false" customHeight="false" outlineLevel="0" collapsed="false">
      <c r="A667" s="262" t="n">
        <v>565</v>
      </c>
      <c r="B667" s="361" t="n">
        <v>665</v>
      </c>
      <c r="C667" s="261" t="s">
        <v>1683</v>
      </c>
      <c r="D667" s="261" t="s">
        <v>60</v>
      </c>
      <c r="E667" s="362" t="s">
        <v>1683</v>
      </c>
      <c r="F667" s="261" t="s">
        <v>1532</v>
      </c>
      <c r="G667" s="261" t="s">
        <v>144</v>
      </c>
      <c r="H667" s="261" t="n">
        <v>0</v>
      </c>
      <c r="I667" s="261" t="n">
        <v>2</v>
      </c>
      <c r="J667" s="361" t="n">
        <v>1</v>
      </c>
      <c r="K667" s="262" t="n">
        <v>74</v>
      </c>
      <c r="L667" s="262" t="n">
        <v>108</v>
      </c>
      <c r="M667" s="262" t="n">
        <v>133</v>
      </c>
      <c r="N667" s="262" t="n">
        <v>83</v>
      </c>
      <c r="O667" s="262" t="n">
        <v>65</v>
      </c>
      <c r="P667" s="361" t="n">
        <v>32</v>
      </c>
      <c r="Q667" s="261" t="s">
        <v>154</v>
      </c>
      <c r="R667" s="261" t="s">
        <v>149</v>
      </c>
      <c r="S667" s="363" t="n">
        <f aca="false" t="array" ref="S667:S667">IF(COUNTIF('0.3.0 GO Calculation Values'!$J$2:$J$99,C667),(INDEX('0.3.0 GO Calculation Values'!$K$2:$K$99,MATCH(C667,'0.3.0 GO Calculation Values'!$J$2:$J$99,0))),1)</f>
        <v>1</v>
      </c>
      <c r="T667" s="262" t="n">
        <f aca="false">ROUND(ROUND(2*((7/8)*MAX(L667,N667)+(1/8)*MIN(L667,N667)),0)*(1+(P667-75)/500),0)</f>
        <v>192</v>
      </c>
      <c r="U667" s="262" t="n">
        <f aca="false">ROUND(ROUND(2*((5/8)*MAX(M667,O667)+(3/8)*MIN(M667,O667)),0)*(1+(P667-75)/500),0)</f>
        <v>197</v>
      </c>
      <c r="V667" s="361" t="n">
        <f aca="false">ROUNDDOWN(K667*1.75+50,0)</f>
        <v>179</v>
      </c>
      <c r="W667" s="261" t="n">
        <v>0</v>
      </c>
      <c r="X667" s="261" t="s">
        <v>1681</v>
      </c>
      <c r="Y667" s="364" t="s">
        <v>1681</v>
      </c>
      <c r="Z667" s="364"/>
      <c r="AA667" s="364"/>
      <c r="AB667" s="365"/>
      <c r="AC667" s="364"/>
      <c r="AD667" s="364"/>
      <c r="AE667" s="366"/>
      <c r="AF667" s="364" t="s">
        <v>1684</v>
      </c>
      <c r="AG667" s="364" t="s">
        <v>1684</v>
      </c>
      <c r="AH667" s="366" t="s">
        <v>1684</v>
      </c>
    </row>
    <row r="668" customFormat="false" ht="15.75" hidden="false" customHeight="false" outlineLevel="0" collapsed="false">
      <c r="A668" s="262" t="n">
        <v>566</v>
      </c>
      <c r="B668" s="361" t="n">
        <v>666</v>
      </c>
      <c r="C668" s="261" t="s">
        <v>1685</v>
      </c>
      <c r="D668" s="261" t="s">
        <v>60</v>
      </c>
      <c r="E668" s="362" t="s">
        <v>1685</v>
      </c>
      <c r="F668" s="261" t="s">
        <v>1532</v>
      </c>
      <c r="G668" s="261" t="s">
        <v>144</v>
      </c>
      <c r="H668" s="261" t="n">
        <v>0</v>
      </c>
      <c r="I668" s="261" t="n">
        <v>1</v>
      </c>
      <c r="J668" s="361" t="n">
        <v>0</v>
      </c>
      <c r="K668" s="262" t="n">
        <v>55</v>
      </c>
      <c r="L668" s="262" t="n">
        <v>112</v>
      </c>
      <c r="M668" s="262" t="n">
        <v>45</v>
      </c>
      <c r="N668" s="262" t="n">
        <v>74</v>
      </c>
      <c r="O668" s="262" t="n">
        <v>45</v>
      </c>
      <c r="P668" s="361" t="n">
        <v>70</v>
      </c>
      <c r="Q668" s="261" t="s">
        <v>149</v>
      </c>
      <c r="R668" s="261" t="s">
        <v>146</v>
      </c>
      <c r="S668" s="363" t="n">
        <f aca="false" t="array" ref="S668:S668">IF(COUNTIF('0.3.0 GO Calculation Values'!$J$2:$J$99,C668),(INDEX('0.3.0 GO Calculation Values'!$K$2:$K$99,MATCH(C668,'0.3.0 GO Calculation Values'!$J$2:$J$99,0))),1)</f>
        <v>1</v>
      </c>
      <c r="T668" s="262" t="n">
        <f aca="false">ROUND(ROUND(2*((7/8)*MAX(L668,N668)+(1/8)*MIN(L668,N668)),0)*(1+(P668-75)/500),0)</f>
        <v>213</v>
      </c>
      <c r="U668" s="262" t="n">
        <f aca="false">ROUND(ROUND(2*((5/8)*MAX(M668,O668)+(3/8)*MIN(M668,O668)),0)*(1+(P668-75)/500),0)</f>
        <v>89</v>
      </c>
      <c r="V668" s="361" t="n">
        <f aca="false">ROUNDDOWN(K668*1.75+50,0)</f>
        <v>146</v>
      </c>
      <c r="W668" s="261" t="n">
        <v>0</v>
      </c>
      <c r="X668" s="261" t="s">
        <v>60</v>
      </c>
      <c r="Y668" s="364" t="s">
        <v>1685</v>
      </c>
      <c r="Z668" s="364"/>
      <c r="AA668" s="364"/>
      <c r="AB668" s="365"/>
      <c r="AC668" s="364"/>
      <c r="AD668" s="364"/>
      <c r="AE668" s="366"/>
      <c r="AF668" s="364" t="s">
        <v>1686</v>
      </c>
      <c r="AG668" s="364" t="s">
        <v>1686</v>
      </c>
      <c r="AH668" s="366" t="s">
        <v>1686</v>
      </c>
    </row>
    <row r="669" customFormat="false" ht="15.75" hidden="false" customHeight="false" outlineLevel="0" collapsed="false">
      <c r="A669" s="262" t="n">
        <v>567</v>
      </c>
      <c r="B669" s="361" t="n">
        <v>667</v>
      </c>
      <c r="C669" s="261" t="s">
        <v>1687</v>
      </c>
      <c r="D669" s="261" t="s">
        <v>60</v>
      </c>
      <c r="E669" s="362" t="s">
        <v>1687</v>
      </c>
      <c r="F669" s="261" t="s">
        <v>1532</v>
      </c>
      <c r="G669" s="261" t="s">
        <v>144</v>
      </c>
      <c r="H669" s="261" t="n">
        <v>0</v>
      </c>
      <c r="I669" s="261" t="n">
        <v>2</v>
      </c>
      <c r="J669" s="361" t="n">
        <v>1</v>
      </c>
      <c r="K669" s="262" t="n">
        <v>75</v>
      </c>
      <c r="L669" s="262" t="n">
        <v>140</v>
      </c>
      <c r="M669" s="262" t="n">
        <v>65</v>
      </c>
      <c r="N669" s="262" t="n">
        <v>112</v>
      </c>
      <c r="O669" s="262" t="n">
        <v>65</v>
      </c>
      <c r="P669" s="361" t="n">
        <v>110</v>
      </c>
      <c r="Q669" s="261" t="s">
        <v>149</v>
      </c>
      <c r="R669" s="261" t="s">
        <v>146</v>
      </c>
      <c r="S669" s="363" t="n">
        <f aca="false" t="array" ref="S669:S669">IF(COUNTIF('0.3.0 GO Calculation Values'!$J$2:$J$99,C669),(INDEX('0.3.0 GO Calculation Values'!$K$2:$K$99,MATCH(C669,'0.3.0 GO Calculation Values'!$J$2:$J$99,0))),1)</f>
        <v>1</v>
      </c>
      <c r="T669" s="262" t="n">
        <f aca="false">ROUND(ROUND(2*((7/8)*MAX(L669,N669)+(1/8)*MIN(L669,N669)),0)*(1+(P669-75)/500),0)</f>
        <v>292</v>
      </c>
      <c r="U669" s="262" t="n">
        <f aca="false">ROUND(ROUND(2*((5/8)*MAX(M669,O669)+(3/8)*MIN(M669,O669)),0)*(1+(P669-75)/500),0)</f>
        <v>139</v>
      </c>
      <c r="V669" s="361" t="n">
        <f aca="false">ROUNDDOWN(K669*1.75+50,0)</f>
        <v>181</v>
      </c>
      <c r="W669" s="261" t="n">
        <v>0</v>
      </c>
      <c r="X669" s="261" t="s">
        <v>1685</v>
      </c>
      <c r="Y669" s="364" t="s">
        <v>1685</v>
      </c>
      <c r="Z669" s="364"/>
      <c r="AA669" s="364"/>
      <c r="AB669" s="365"/>
      <c r="AC669" s="364"/>
      <c r="AD669" s="364"/>
      <c r="AE669" s="366"/>
      <c r="AF669" s="364" t="s">
        <v>1688</v>
      </c>
      <c r="AG669" s="364" t="s">
        <v>1688</v>
      </c>
      <c r="AH669" s="366" t="s">
        <v>1688</v>
      </c>
    </row>
    <row r="670" customFormat="false" ht="15.75" hidden="false" customHeight="false" outlineLevel="0" collapsed="false">
      <c r="A670" s="262" t="n">
        <v>568</v>
      </c>
      <c r="B670" s="361" t="n">
        <v>668</v>
      </c>
      <c r="C670" s="261" t="s">
        <v>1689</v>
      </c>
      <c r="D670" s="261" t="s">
        <v>60</v>
      </c>
      <c r="E670" s="362" t="s">
        <v>1689</v>
      </c>
      <c r="F670" s="261" t="s">
        <v>1532</v>
      </c>
      <c r="G670" s="261" t="s">
        <v>144</v>
      </c>
      <c r="H670" s="261" t="n">
        <v>0</v>
      </c>
      <c r="I670" s="261" t="n">
        <v>1</v>
      </c>
      <c r="J670" s="361" t="n">
        <v>0</v>
      </c>
      <c r="K670" s="262" t="n">
        <v>50</v>
      </c>
      <c r="L670" s="262" t="n">
        <v>50</v>
      </c>
      <c r="M670" s="262" t="n">
        <v>62</v>
      </c>
      <c r="N670" s="262" t="n">
        <v>40</v>
      </c>
      <c r="O670" s="262" t="n">
        <v>62</v>
      </c>
      <c r="P670" s="361" t="n">
        <v>65</v>
      </c>
      <c r="Q670" s="261" t="s">
        <v>147</v>
      </c>
      <c r="R670" s="261"/>
      <c r="S670" s="363" t="n">
        <f aca="false" t="array" ref="S670:S670">IF(COUNTIF('0.3.0 GO Calculation Values'!$J$2:$J$99,C670),(INDEX('0.3.0 GO Calculation Values'!$K$2:$K$99,MATCH(C670,'0.3.0 GO Calculation Values'!$J$2:$J$99,0))),1)</f>
        <v>1</v>
      </c>
      <c r="T670" s="262" t="n">
        <f aca="false">ROUND(ROUND(2*((7/8)*MAX(L670,N670)+(1/8)*MIN(L670,N670)),0)*(1+(P670-75)/500),0)</f>
        <v>96</v>
      </c>
      <c r="U670" s="262" t="n">
        <f aca="false">ROUND(ROUND(2*((5/8)*MAX(M670,O670)+(3/8)*MIN(M670,O670)),0)*(1+(P670-75)/500),0)</f>
        <v>122</v>
      </c>
      <c r="V670" s="361" t="n">
        <f aca="false">ROUNDDOWN(K670*1.75+50,0)</f>
        <v>137</v>
      </c>
      <c r="W670" s="261" t="n">
        <v>0</v>
      </c>
      <c r="X670" s="261" t="s">
        <v>60</v>
      </c>
      <c r="Y670" s="364" t="s">
        <v>1689</v>
      </c>
      <c r="Z670" s="364"/>
      <c r="AA670" s="364"/>
      <c r="AB670" s="365"/>
      <c r="AC670" s="364"/>
      <c r="AD670" s="364"/>
      <c r="AE670" s="366"/>
      <c r="AF670" s="364" t="s">
        <v>1690</v>
      </c>
      <c r="AG670" s="364" t="s">
        <v>1690</v>
      </c>
      <c r="AH670" s="366" t="s">
        <v>1690</v>
      </c>
    </row>
    <row r="671" customFormat="false" ht="15.75" hidden="false" customHeight="false" outlineLevel="0" collapsed="false">
      <c r="A671" s="262" t="n">
        <v>569</v>
      </c>
      <c r="B671" s="361" t="n">
        <v>669</v>
      </c>
      <c r="C671" s="261" t="s">
        <v>1691</v>
      </c>
      <c r="D671" s="261" t="s">
        <v>60</v>
      </c>
      <c r="E671" s="362" t="s">
        <v>1691</v>
      </c>
      <c r="F671" s="261" t="s">
        <v>1532</v>
      </c>
      <c r="G671" s="261" t="s">
        <v>144</v>
      </c>
      <c r="H671" s="261" t="n">
        <v>0</v>
      </c>
      <c r="I671" s="261" t="n">
        <v>2</v>
      </c>
      <c r="J671" s="361" t="n">
        <v>1</v>
      </c>
      <c r="K671" s="262" t="n">
        <v>80</v>
      </c>
      <c r="L671" s="262" t="n">
        <v>95</v>
      </c>
      <c r="M671" s="262" t="n">
        <v>82</v>
      </c>
      <c r="N671" s="262" t="n">
        <v>60</v>
      </c>
      <c r="O671" s="262" t="n">
        <v>82</v>
      </c>
      <c r="P671" s="361" t="n">
        <v>75</v>
      </c>
      <c r="Q671" s="261" t="s">
        <v>147</v>
      </c>
      <c r="R671" s="261"/>
      <c r="S671" s="363" t="n">
        <f aca="false" t="array" ref="S671:S671">IF(COUNTIF('0.3.0 GO Calculation Values'!$J$2:$J$99,C671),(INDEX('0.3.0 GO Calculation Values'!$K$2:$K$99,MATCH(C671,'0.3.0 GO Calculation Values'!$J$2:$J$99,0))),1)</f>
        <v>1</v>
      </c>
      <c r="T671" s="262" t="n">
        <f aca="false">ROUND(ROUND(2*((7/8)*MAX(L671,N671)+(1/8)*MIN(L671,N671)),0)*(1+(P671-75)/500),0)</f>
        <v>181</v>
      </c>
      <c r="U671" s="262" t="n">
        <f aca="false">ROUND(ROUND(2*((5/8)*MAX(M671,O671)+(3/8)*MIN(M671,O671)),0)*(1+(P671-75)/500),0)</f>
        <v>164</v>
      </c>
      <c r="V671" s="361" t="n">
        <f aca="false">ROUNDDOWN(K671*1.75+50,0)</f>
        <v>190</v>
      </c>
      <c r="W671" s="261" t="n">
        <v>0</v>
      </c>
      <c r="X671" s="261" t="s">
        <v>1689</v>
      </c>
      <c r="Y671" s="364" t="s">
        <v>1689</v>
      </c>
      <c r="Z671" s="364"/>
      <c r="AA671" s="364"/>
      <c r="AB671" s="365"/>
      <c r="AC671" s="364"/>
      <c r="AD671" s="364"/>
      <c r="AE671" s="366"/>
      <c r="AF671" s="364" t="s">
        <v>1692</v>
      </c>
      <c r="AG671" s="364" t="s">
        <v>1692</v>
      </c>
      <c r="AH671" s="366" t="s">
        <v>1692</v>
      </c>
    </row>
    <row r="672" customFormat="false" ht="15.75" hidden="false" customHeight="false" outlineLevel="0" collapsed="false">
      <c r="A672" s="262" t="n">
        <v>570</v>
      </c>
      <c r="B672" s="361" t="n">
        <v>670</v>
      </c>
      <c r="C672" s="261" t="s">
        <v>1693</v>
      </c>
      <c r="D672" s="261" t="s">
        <v>60</v>
      </c>
      <c r="E672" s="362" t="s">
        <v>1693</v>
      </c>
      <c r="F672" s="261" t="s">
        <v>1532</v>
      </c>
      <c r="G672" s="261" t="s">
        <v>144</v>
      </c>
      <c r="H672" s="261" t="n">
        <v>0</v>
      </c>
      <c r="I672" s="261" t="n">
        <v>1</v>
      </c>
      <c r="J672" s="361" t="n">
        <v>0</v>
      </c>
      <c r="K672" s="262" t="n">
        <v>40</v>
      </c>
      <c r="L672" s="262" t="n">
        <v>65</v>
      </c>
      <c r="M672" s="262" t="n">
        <v>40</v>
      </c>
      <c r="N672" s="262" t="n">
        <v>80</v>
      </c>
      <c r="O672" s="262" t="n">
        <v>40</v>
      </c>
      <c r="P672" s="361" t="n">
        <v>65</v>
      </c>
      <c r="Q672" s="261" t="s">
        <v>160</v>
      </c>
      <c r="R672" s="261"/>
      <c r="S672" s="363" t="n">
        <f aca="false" t="array" ref="S672:S672">IF(COUNTIF('0.3.0 GO Calculation Values'!$J$2:$J$99,C672),(INDEX('0.3.0 GO Calculation Values'!$K$2:$K$99,MATCH(C672,'0.3.0 GO Calculation Values'!$J$2:$J$99,0))),1)</f>
        <v>1</v>
      </c>
      <c r="T672" s="262" t="n">
        <f aca="false">ROUND(ROUND(2*((7/8)*MAX(L672,N672)+(1/8)*MIN(L672,N672)),0)*(1+(P672-75)/500),0)</f>
        <v>153</v>
      </c>
      <c r="U672" s="262" t="n">
        <f aca="false">ROUND(ROUND(2*((5/8)*MAX(M672,O672)+(3/8)*MIN(M672,O672)),0)*(1+(P672-75)/500),0)</f>
        <v>78</v>
      </c>
      <c r="V672" s="361" t="n">
        <f aca="false">ROUNDDOWN(K672*1.75+50,0)</f>
        <v>120</v>
      </c>
      <c r="W672" s="261" t="n">
        <v>0</v>
      </c>
      <c r="X672" s="261" t="s">
        <v>60</v>
      </c>
      <c r="Y672" s="364" t="s">
        <v>1693</v>
      </c>
      <c r="Z672" s="364"/>
      <c r="AA672" s="364"/>
      <c r="AB672" s="365"/>
      <c r="AC672" s="364"/>
      <c r="AD672" s="364"/>
      <c r="AE672" s="366"/>
      <c r="AF672" s="364" t="s">
        <v>1694</v>
      </c>
      <c r="AG672" s="364" t="s">
        <v>1694</v>
      </c>
      <c r="AH672" s="366" t="s">
        <v>1694</v>
      </c>
    </row>
    <row r="673" customFormat="false" ht="15.75" hidden="false" customHeight="false" outlineLevel="0" collapsed="false">
      <c r="A673" s="262" t="n">
        <v>571</v>
      </c>
      <c r="B673" s="361" t="n">
        <v>671</v>
      </c>
      <c r="C673" s="261" t="s">
        <v>1695</v>
      </c>
      <c r="D673" s="261" t="s">
        <v>60</v>
      </c>
      <c r="E673" s="362" t="s">
        <v>1695</v>
      </c>
      <c r="F673" s="261" t="s">
        <v>1532</v>
      </c>
      <c r="G673" s="261" t="s">
        <v>144</v>
      </c>
      <c r="H673" s="261" t="n">
        <v>0</v>
      </c>
      <c r="I673" s="261" t="n">
        <v>2</v>
      </c>
      <c r="J673" s="361" t="n">
        <v>1</v>
      </c>
      <c r="K673" s="262" t="n">
        <v>60</v>
      </c>
      <c r="L673" s="262" t="n">
        <v>105</v>
      </c>
      <c r="M673" s="262" t="n">
        <v>60</v>
      </c>
      <c r="N673" s="262" t="n">
        <v>120</v>
      </c>
      <c r="O673" s="262" t="n">
        <v>60</v>
      </c>
      <c r="P673" s="361" t="n">
        <v>105</v>
      </c>
      <c r="Q673" s="261" t="s">
        <v>160</v>
      </c>
      <c r="R673" s="261"/>
      <c r="S673" s="363" t="n">
        <f aca="false" t="array" ref="S673:S673">IF(COUNTIF('0.3.0 GO Calculation Values'!$J$2:$J$99,C673),(INDEX('0.3.0 GO Calculation Values'!$K$2:$K$99,MATCH(C673,'0.3.0 GO Calculation Values'!$J$2:$J$99,0))),1)</f>
        <v>1</v>
      </c>
      <c r="T673" s="262" t="n">
        <f aca="false">ROUND(ROUND(2*((7/8)*MAX(L673,N673)+(1/8)*MIN(L673,N673)),0)*(1+(P673-75)/500),0)</f>
        <v>250</v>
      </c>
      <c r="U673" s="262" t="n">
        <f aca="false">ROUND(ROUND(2*((5/8)*MAX(M673,O673)+(3/8)*MIN(M673,O673)),0)*(1+(P673-75)/500),0)</f>
        <v>127</v>
      </c>
      <c r="V673" s="361" t="n">
        <f aca="false">ROUNDDOWN(K673*1.75+50,0)</f>
        <v>155</v>
      </c>
      <c r="W673" s="261" t="n">
        <v>0</v>
      </c>
      <c r="X673" s="261" t="s">
        <v>1693</v>
      </c>
      <c r="Y673" s="364" t="s">
        <v>1693</v>
      </c>
      <c r="Z673" s="364"/>
      <c r="AA673" s="364"/>
      <c r="AB673" s="365"/>
      <c r="AC673" s="364"/>
      <c r="AD673" s="364"/>
      <c r="AE673" s="366"/>
      <c r="AF673" s="364" t="s">
        <v>1696</v>
      </c>
      <c r="AG673" s="364" t="s">
        <v>1696</v>
      </c>
      <c r="AH673" s="366" t="s">
        <v>1696</v>
      </c>
    </row>
    <row r="674" customFormat="false" ht="15.75" hidden="false" customHeight="false" outlineLevel="0" collapsed="false">
      <c r="A674" s="262" t="n">
        <v>572</v>
      </c>
      <c r="B674" s="361" t="n">
        <v>672</v>
      </c>
      <c r="C674" s="261" t="s">
        <v>1697</v>
      </c>
      <c r="D674" s="261" t="s">
        <v>60</v>
      </c>
      <c r="E674" s="362" t="s">
        <v>1697</v>
      </c>
      <c r="F674" s="261" t="s">
        <v>1532</v>
      </c>
      <c r="G674" s="261" t="s">
        <v>144</v>
      </c>
      <c r="H674" s="261" t="n">
        <v>0</v>
      </c>
      <c r="I674" s="261" t="n">
        <v>1</v>
      </c>
      <c r="J674" s="361" t="n">
        <v>0</v>
      </c>
      <c r="K674" s="262" t="n">
        <v>55</v>
      </c>
      <c r="L674" s="262" t="n">
        <v>50</v>
      </c>
      <c r="M674" s="262" t="n">
        <v>40</v>
      </c>
      <c r="N674" s="262" t="n">
        <v>40</v>
      </c>
      <c r="O674" s="262" t="n">
        <v>40</v>
      </c>
      <c r="P674" s="361" t="n">
        <v>75</v>
      </c>
      <c r="Q674" s="261" t="s">
        <v>144</v>
      </c>
      <c r="R674" s="261"/>
      <c r="S674" s="363" t="n">
        <f aca="false" t="array" ref="S674:S674">IF(COUNTIF('0.3.0 GO Calculation Values'!$J$2:$J$99,C674),(INDEX('0.3.0 GO Calculation Values'!$K$2:$K$99,MATCH(C674,'0.3.0 GO Calculation Values'!$J$2:$J$99,0))),1)</f>
        <v>1</v>
      </c>
      <c r="T674" s="262" t="n">
        <f aca="false">ROUND(ROUND(2*((7/8)*MAX(L674,N674)+(1/8)*MIN(L674,N674)),0)*(1+(P674-75)/500),0)</f>
        <v>98</v>
      </c>
      <c r="U674" s="262" t="n">
        <f aca="false">ROUND(ROUND(2*((5/8)*MAX(M674,O674)+(3/8)*MIN(M674,O674)),0)*(1+(P674-75)/500),0)</f>
        <v>80</v>
      </c>
      <c r="V674" s="361" t="n">
        <f aca="false">ROUNDDOWN(K674*1.75+50,0)</f>
        <v>146</v>
      </c>
      <c r="W674" s="261" t="n">
        <v>0</v>
      </c>
      <c r="X674" s="261" t="s">
        <v>60</v>
      </c>
      <c r="Y674" s="364" t="s">
        <v>1697</v>
      </c>
      <c r="Z674" s="364"/>
      <c r="AA674" s="364"/>
      <c r="AB674" s="365"/>
      <c r="AC674" s="364"/>
      <c r="AD674" s="364"/>
      <c r="AE674" s="366"/>
      <c r="AF674" s="364" t="s">
        <v>1698</v>
      </c>
      <c r="AG674" s="364" t="s">
        <v>1698</v>
      </c>
      <c r="AH674" s="366" t="s">
        <v>1698</v>
      </c>
    </row>
    <row r="675" customFormat="false" ht="15.75" hidden="false" customHeight="false" outlineLevel="0" collapsed="false">
      <c r="A675" s="262" t="n">
        <v>573</v>
      </c>
      <c r="B675" s="361" t="n">
        <v>673</v>
      </c>
      <c r="C675" s="261" t="s">
        <v>1699</v>
      </c>
      <c r="D675" s="261" t="s">
        <v>60</v>
      </c>
      <c r="E675" s="362" t="s">
        <v>1699</v>
      </c>
      <c r="F675" s="261" t="s">
        <v>1532</v>
      </c>
      <c r="G675" s="261" t="s">
        <v>144</v>
      </c>
      <c r="H675" s="261" t="n">
        <v>0</v>
      </c>
      <c r="I675" s="261" t="n">
        <v>2</v>
      </c>
      <c r="J675" s="361" t="n">
        <v>1</v>
      </c>
      <c r="K675" s="262" t="n">
        <v>75</v>
      </c>
      <c r="L675" s="262" t="n">
        <v>95</v>
      </c>
      <c r="M675" s="262" t="n">
        <v>60</v>
      </c>
      <c r="N675" s="262" t="n">
        <v>65</v>
      </c>
      <c r="O675" s="262" t="n">
        <v>60</v>
      </c>
      <c r="P675" s="361" t="n">
        <v>115</v>
      </c>
      <c r="Q675" s="261" t="s">
        <v>144</v>
      </c>
      <c r="R675" s="261"/>
      <c r="S675" s="363" t="n">
        <f aca="false" t="array" ref="S675:S675">IF(COUNTIF('0.3.0 GO Calculation Values'!$J$2:$J$99,C675),(INDEX('0.3.0 GO Calculation Values'!$K$2:$K$99,MATCH(C675,'0.3.0 GO Calculation Values'!$J$2:$J$99,0))),1)</f>
        <v>1</v>
      </c>
      <c r="T675" s="262" t="n">
        <f aca="false">ROUND(ROUND(2*((7/8)*MAX(L675,N675)+(1/8)*MIN(L675,N675)),0)*(1+(P675-75)/500),0)</f>
        <v>198</v>
      </c>
      <c r="U675" s="262" t="n">
        <f aca="false">ROUND(ROUND(2*((5/8)*MAX(M675,O675)+(3/8)*MIN(M675,O675)),0)*(1+(P675-75)/500),0)</f>
        <v>130</v>
      </c>
      <c r="V675" s="361" t="n">
        <f aca="false">ROUNDDOWN(K675*1.75+50,0)</f>
        <v>181</v>
      </c>
      <c r="W675" s="261" t="n">
        <v>0</v>
      </c>
      <c r="X675" s="261" t="s">
        <v>1697</v>
      </c>
      <c r="Y675" s="364" t="s">
        <v>1697</v>
      </c>
      <c r="Z675" s="364"/>
      <c r="AA675" s="364"/>
      <c r="AB675" s="365"/>
      <c r="AC675" s="364"/>
      <c r="AD675" s="364"/>
      <c r="AE675" s="366"/>
      <c r="AF675" s="364" t="s">
        <v>1700</v>
      </c>
      <c r="AG675" s="364" t="s">
        <v>1700</v>
      </c>
      <c r="AH675" s="366" t="s">
        <v>1700</v>
      </c>
    </row>
    <row r="676" customFormat="false" ht="15.75" hidden="false" customHeight="false" outlineLevel="0" collapsed="false">
      <c r="A676" s="262" t="n">
        <v>574</v>
      </c>
      <c r="B676" s="361" t="n">
        <v>674</v>
      </c>
      <c r="C676" s="261" t="s">
        <v>1701</v>
      </c>
      <c r="D676" s="261" t="s">
        <v>60</v>
      </c>
      <c r="E676" s="362" t="s">
        <v>1701</v>
      </c>
      <c r="F676" s="261" t="s">
        <v>1532</v>
      </c>
      <c r="G676" s="261" t="s">
        <v>144</v>
      </c>
      <c r="H676" s="261" t="n">
        <v>0</v>
      </c>
      <c r="I676" s="261" t="n">
        <v>1</v>
      </c>
      <c r="J676" s="361" t="n">
        <v>0</v>
      </c>
      <c r="K676" s="262" t="n">
        <v>45</v>
      </c>
      <c r="L676" s="262" t="n">
        <v>30</v>
      </c>
      <c r="M676" s="262" t="n">
        <v>50</v>
      </c>
      <c r="N676" s="262" t="n">
        <v>55</v>
      </c>
      <c r="O676" s="262" t="n">
        <v>65</v>
      </c>
      <c r="P676" s="361" t="n">
        <v>45</v>
      </c>
      <c r="Q676" s="261" t="s">
        <v>157</v>
      </c>
      <c r="R676" s="261"/>
      <c r="S676" s="363" t="n">
        <f aca="false" t="array" ref="S676:S676">IF(COUNTIF('0.3.0 GO Calculation Values'!$J$2:$J$99,C676),(INDEX('0.3.0 GO Calculation Values'!$K$2:$K$99,MATCH(C676,'0.3.0 GO Calculation Values'!$J$2:$J$99,0))),1)</f>
        <v>1</v>
      </c>
      <c r="T676" s="262" t="n">
        <f aca="false">ROUND(ROUND(2*((7/8)*MAX(L676,N676)+(1/8)*MIN(L676,N676)),0)*(1+(P676-75)/500),0)</f>
        <v>98</v>
      </c>
      <c r="U676" s="262" t="n">
        <f aca="false">ROUND(ROUND(2*((5/8)*MAX(M676,O676)+(3/8)*MIN(M676,O676)),0)*(1+(P676-75)/500),0)</f>
        <v>112</v>
      </c>
      <c r="V676" s="361" t="n">
        <f aca="false">ROUNDDOWN(K676*1.75+50,0)</f>
        <v>128</v>
      </c>
      <c r="W676" s="261" t="n">
        <v>0</v>
      </c>
      <c r="X676" s="261" t="s">
        <v>60</v>
      </c>
      <c r="Y676" s="364" t="s">
        <v>1701</v>
      </c>
      <c r="Z676" s="364"/>
      <c r="AA676" s="364"/>
      <c r="AB676" s="365"/>
      <c r="AC676" s="364"/>
      <c r="AD676" s="364"/>
      <c r="AE676" s="366"/>
      <c r="AF676" s="364" t="s">
        <v>1702</v>
      </c>
      <c r="AG676" s="364" t="s">
        <v>1702</v>
      </c>
      <c r="AH676" s="366" t="s">
        <v>1702</v>
      </c>
    </row>
    <row r="677" customFormat="false" ht="15.75" hidden="false" customHeight="false" outlineLevel="0" collapsed="false">
      <c r="A677" s="262" t="n">
        <v>575</v>
      </c>
      <c r="B677" s="361" t="n">
        <v>675</v>
      </c>
      <c r="C677" s="261" t="s">
        <v>1703</v>
      </c>
      <c r="D677" s="261" t="s">
        <v>60</v>
      </c>
      <c r="E677" s="362" t="s">
        <v>1703</v>
      </c>
      <c r="F677" s="261" t="s">
        <v>1532</v>
      </c>
      <c r="G677" s="261" t="s">
        <v>144</v>
      </c>
      <c r="H677" s="261" t="n">
        <v>0</v>
      </c>
      <c r="I677" s="261" t="n">
        <v>2</v>
      </c>
      <c r="J677" s="361" t="n">
        <v>0</v>
      </c>
      <c r="K677" s="262" t="n">
        <v>60</v>
      </c>
      <c r="L677" s="262" t="n">
        <v>45</v>
      </c>
      <c r="M677" s="262" t="n">
        <v>70</v>
      </c>
      <c r="N677" s="262" t="n">
        <v>75</v>
      </c>
      <c r="O677" s="262" t="n">
        <v>85</v>
      </c>
      <c r="P677" s="361" t="n">
        <v>55</v>
      </c>
      <c r="Q677" s="261" t="s">
        <v>157</v>
      </c>
      <c r="R677" s="261"/>
      <c r="S677" s="363" t="n">
        <f aca="false" t="array" ref="S677:S677">IF(COUNTIF('0.3.0 GO Calculation Values'!$J$2:$J$99,C677),(INDEX('0.3.0 GO Calculation Values'!$K$2:$K$99,MATCH(C677,'0.3.0 GO Calculation Values'!$J$2:$J$99,0))),1)</f>
        <v>1</v>
      </c>
      <c r="T677" s="262" t="n">
        <f aca="false">ROUND(ROUND(2*((7/8)*MAX(L677,N677)+(1/8)*MIN(L677,N677)),0)*(1+(P677-75)/500),0)</f>
        <v>137</v>
      </c>
      <c r="U677" s="262" t="n">
        <f aca="false">ROUND(ROUND(2*((5/8)*MAX(M677,O677)+(3/8)*MIN(M677,O677)),0)*(1+(P677-75)/500),0)</f>
        <v>153</v>
      </c>
      <c r="V677" s="361" t="n">
        <f aca="false">ROUNDDOWN(K677*1.75+50,0)</f>
        <v>155</v>
      </c>
      <c r="W677" s="261" t="n">
        <v>0</v>
      </c>
      <c r="X677" s="261" t="s">
        <v>1701</v>
      </c>
      <c r="Y677" s="364" t="s">
        <v>1701</v>
      </c>
      <c r="Z677" s="364"/>
      <c r="AA677" s="364"/>
      <c r="AB677" s="365"/>
      <c r="AC677" s="364"/>
      <c r="AD677" s="364"/>
      <c r="AE677" s="366"/>
      <c r="AF677" s="364" t="s">
        <v>1704</v>
      </c>
      <c r="AG677" s="364" t="s">
        <v>1704</v>
      </c>
      <c r="AH677" s="366" t="s">
        <v>1704</v>
      </c>
    </row>
    <row r="678" customFormat="false" ht="15.75" hidden="false" customHeight="false" outlineLevel="0" collapsed="false">
      <c r="A678" s="262" t="n">
        <v>576</v>
      </c>
      <c r="B678" s="361" t="n">
        <v>676</v>
      </c>
      <c r="C678" s="261" t="s">
        <v>1705</v>
      </c>
      <c r="D678" s="261" t="s">
        <v>60</v>
      </c>
      <c r="E678" s="362" t="s">
        <v>1705</v>
      </c>
      <c r="F678" s="261" t="s">
        <v>1532</v>
      </c>
      <c r="G678" s="261" t="s">
        <v>144</v>
      </c>
      <c r="H678" s="261" t="n">
        <v>0</v>
      </c>
      <c r="I678" s="261" t="n">
        <v>3</v>
      </c>
      <c r="J678" s="361" t="n">
        <v>1</v>
      </c>
      <c r="K678" s="262" t="n">
        <v>70</v>
      </c>
      <c r="L678" s="262" t="n">
        <v>55</v>
      </c>
      <c r="M678" s="262" t="n">
        <v>95</v>
      </c>
      <c r="N678" s="262" t="n">
        <v>95</v>
      </c>
      <c r="O678" s="262" t="n">
        <v>110</v>
      </c>
      <c r="P678" s="361" t="n">
        <v>65</v>
      </c>
      <c r="Q678" s="261" t="s">
        <v>157</v>
      </c>
      <c r="R678" s="261"/>
      <c r="S678" s="363" t="n">
        <f aca="false" t="array" ref="S678:S678">IF(COUNTIF('0.3.0 GO Calculation Values'!$J$2:$J$99,C678),(INDEX('0.3.0 GO Calculation Values'!$K$2:$K$99,MATCH(C678,'0.3.0 GO Calculation Values'!$J$2:$J$99,0))),1)</f>
        <v>1</v>
      </c>
      <c r="T678" s="262" t="n">
        <f aca="false">ROUND(ROUND(2*((7/8)*MAX(L678,N678)+(1/8)*MIN(L678,N678)),0)*(1+(P678-75)/500),0)</f>
        <v>176</v>
      </c>
      <c r="U678" s="262" t="n">
        <f aca="false">ROUND(ROUND(2*((5/8)*MAX(M678,O678)+(3/8)*MIN(M678,O678)),0)*(1+(P678-75)/500),0)</f>
        <v>205</v>
      </c>
      <c r="V678" s="361" t="n">
        <f aca="false">ROUNDDOWN(K678*1.75+50,0)</f>
        <v>172</v>
      </c>
      <c r="W678" s="261" t="n">
        <v>0</v>
      </c>
      <c r="X678" s="261" t="s">
        <v>1703</v>
      </c>
      <c r="Y678" s="364" t="s">
        <v>1701</v>
      </c>
      <c r="Z678" s="364"/>
      <c r="AA678" s="364"/>
      <c r="AB678" s="365"/>
      <c r="AC678" s="364"/>
      <c r="AD678" s="364"/>
      <c r="AE678" s="366"/>
      <c r="AF678" s="364" t="s">
        <v>1706</v>
      </c>
      <c r="AG678" s="364" t="s">
        <v>1706</v>
      </c>
      <c r="AH678" s="366" t="s">
        <v>1706</v>
      </c>
    </row>
    <row r="679" customFormat="false" ht="15.75" hidden="false" customHeight="false" outlineLevel="0" collapsed="false">
      <c r="A679" s="262" t="n">
        <v>577</v>
      </c>
      <c r="B679" s="361" t="n">
        <v>677</v>
      </c>
      <c r="C679" s="261" t="s">
        <v>1707</v>
      </c>
      <c r="D679" s="261" t="s">
        <v>60</v>
      </c>
      <c r="E679" s="362" t="s">
        <v>1707</v>
      </c>
      <c r="F679" s="261" t="s">
        <v>1532</v>
      </c>
      <c r="G679" s="261" t="s">
        <v>144</v>
      </c>
      <c r="H679" s="261" t="n">
        <v>0</v>
      </c>
      <c r="I679" s="261" t="n">
        <v>1</v>
      </c>
      <c r="J679" s="361" t="n">
        <v>0</v>
      </c>
      <c r="K679" s="262" t="n">
        <v>45</v>
      </c>
      <c r="L679" s="262" t="n">
        <v>30</v>
      </c>
      <c r="M679" s="262" t="n">
        <v>40</v>
      </c>
      <c r="N679" s="262" t="n">
        <v>105</v>
      </c>
      <c r="O679" s="262" t="n">
        <v>50</v>
      </c>
      <c r="P679" s="361" t="n">
        <v>20</v>
      </c>
      <c r="Q679" s="261" t="s">
        <v>157</v>
      </c>
      <c r="R679" s="261"/>
      <c r="S679" s="363" t="n">
        <f aca="false" t="array" ref="S679:S679">IF(COUNTIF('0.3.0 GO Calculation Values'!$J$2:$J$99,C679),(INDEX('0.3.0 GO Calculation Values'!$K$2:$K$99,MATCH(C679,'0.3.0 GO Calculation Values'!$J$2:$J$99,0))),1)</f>
        <v>1</v>
      </c>
      <c r="T679" s="262" t="n">
        <f aca="false">ROUND(ROUND(2*((7/8)*MAX(L679,N679)+(1/8)*MIN(L679,N679)),0)*(1+(P679-75)/500),0)</f>
        <v>170</v>
      </c>
      <c r="U679" s="262" t="n">
        <f aca="false">ROUND(ROUND(2*((5/8)*MAX(M679,O679)+(3/8)*MIN(M679,O679)),0)*(1+(P679-75)/500),0)</f>
        <v>83</v>
      </c>
      <c r="V679" s="361" t="n">
        <f aca="false">ROUNDDOWN(K679*1.75+50,0)</f>
        <v>128</v>
      </c>
      <c r="W679" s="261" t="n">
        <v>0</v>
      </c>
      <c r="X679" s="261" t="s">
        <v>60</v>
      </c>
      <c r="Y679" s="364" t="s">
        <v>1707</v>
      </c>
      <c r="Z679" s="364"/>
      <c r="AA679" s="364"/>
      <c r="AB679" s="365"/>
      <c r="AC679" s="364"/>
      <c r="AD679" s="364"/>
      <c r="AE679" s="366"/>
      <c r="AF679" s="364" t="s">
        <v>1708</v>
      </c>
      <c r="AG679" s="364" t="s">
        <v>1708</v>
      </c>
      <c r="AH679" s="366" t="s">
        <v>1708</v>
      </c>
    </row>
    <row r="680" customFormat="false" ht="15.75" hidden="false" customHeight="false" outlineLevel="0" collapsed="false">
      <c r="A680" s="262" t="n">
        <v>578</v>
      </c>
      <c r="B680" s="361" t="n">
        <v>678</v>
      </c>
      <c r="C680" s="261" t="s">
        <v>1709</v>
      </c>
      <c r="D680" s="261" t="s">
        <v>60</v>
      </c>
      <c r="E680" s="362" t="s">
        <v>1709</v>
      </c>
      <c r="F680" s="261" t="s">
        <v>1532</v>
      </c>
      <c r="G680" s="261" t="s">
        <v>144</v>
      </c>
      <c r="H680" s="261" t="n">
        <v>0</v>
      </c>
      <c r="I680" s="261" t="n">
        <v>2</v>
      </c>
      <c r="J680" s="361" t="n">
        <v>0</v>
      </c>
      <c r="K680" s="262" t="n">
        <v>65</v>
      </c>
      <c r="L680" s="262" t="n">
        <v>40</v>
      </c>
      <c r="M680" s="262" t="n">
        <v>50</v>
      </c>
      <c r="N680" s="262" t="n">
        <v>125</v>
      </c>
      <c r="O680" s="262" t="n">
        <v>60</v>
      </c>
      <c r="P680" s="361" t="n">
        <v>30</v>
      </c>
      <c r="Q680" s="261" t="s">
        <v>157</v>
      </c>
      <c r="R680" s="261"/>
      <c r="S680" s="363" t="n">
        <f aca="false" t="array" ref="S680:S680">IF(COUNTIF('0.3.0 GO Calculation Values'!$J$2:$J$99,C680),(INDEX('0.3.0 GO Calculation Values'!$K$2:$K$99,MATCH(C680,'0.3.0 GO Calculation Values'!$J$2:$J$99,0))),1)</f>
        <v>1</v>
      </c>
      <c r="T680" s="262" t="n">
        <f aca="false">ROUND(ROUND(2*((7/8)*MAX(L680,N680)+(1/8)*MIN(L680,N680)),0)*(1+(P680-75)/500),0)</f>
        <v>208</v>
      </c>
      <c r="U680" s="262" t="n">
        <f aca="false">ROUND(ROUND(2*((5/8)*MAX(M680,O680)+(3/8)*MIN(M680,O680)),0)*(1+(P680-75)/500),0)</f>
        <v>103</v>
      </c>
      <c r="V680" s="361" t="n">
        <f aca="false">ROUNDDOWN(K680*1.75+50,0)</f>
        <v>163</v>
      </c>
      <c r="W680" s="261" t="n">
        <v>0</v>
      </c>
      <c r="X680" s="261" t="s">
        <v>1707</v>
      </c>
      <c r="Y680" s="364" t="s">
        <v>1707</v>
      </c>
      <c r="Z680" s="364"/>
      <c r="AA680" s="364"/>
      <c r="AB680" s="365"/>
      <c r="AC680" s="364"/>
      <c r="AD680" s="364"/>
      <c r="AE680" s="366"/>
      <c r="AF680" s="364" t="s">
        <v>1710</v>
      </c>
      <c r="AG680" s="364" t="s">
        <v>1710</v>
      </c>
      <c r="AH680" s="366" t="s">
        <v>1710</v>
      </c>
    </row>
    <row r="681" customFormat="false" ht="15.75" hidden="false" customHeight="false" outlineLevel="0" collapsed="false">
      <c r="A681" s="262" t="n">
        <v>579</v>
      </c>
      <c r="B681" s="361" t="n">
        <v>679</v>
      </c>
      <c r="C681" s="261" t="s">
        <v>1711</v>
      </c>
      <c r="D681" s="261" t="s">
        <v>60</v>
      </c>
      <c r="E681" s="362" t="s">
        <v>1711</v>
      </c>
      <c r="F681" s="261" t="s">
        <v>1532</v>
      </c>
      <c r="G681" s="261" t="s">
        <v>144</v>
      </c>
      <c r="H681" s="261" t="n">
        <v>0</v>
      </c>
      <c r="I681" s="261" t="n">
        <v>3</v>
      </c>
      <c r="J681" s="361" t="n">
        <v>1</v>
      </c>
      <c r="K681" s="262" t="n">
        <v>110</v>
      </c>
      <c r="L681" s="262" t="n">
        <v>65</v>
      </c>
      <c r="M681" s="262" t="n">
        <v>75</v>
      </c>
      <c r="N681" s="262" t="n">
        <v>125</v>
      </c>
      <c r="O681" s="262" t="n">
        <v>85</v>
      </c>
      <c r="P681" s="361" t="n">
        <v>30</v>
      </c>
      <c r="Q681" s="261" t="s">
        <v>157</v>
      </c>
      <c r="R681" s="261"/>
      <c r="S681" s="363" t="n">
        <f aca="false" t="array" ref="S681:S681">IF(COUNTIF('0.3.0 GO Calculation Values'!$J$2:$J$99,C681),(INDEX('0.3.0 GO Calculation Values'!$K$2:$K$99,MATCH(C681,'0.3.0 GO Calculation Values'!$J$2:$J$99,0))),1)</f>
        <v>1</v>
      </c>
      <c r="T681" s="262" t="n">
        <f aca="false">ROUND(ROUND(2*((7/8)*MAX(L681,N681)+(1/8)*MIN(L681,N681)),0)*(1+(P681-75)/500),0)</f>
        <v>214</v>
      </c>
      <c r="U681" s="262" t="n">
        <f aca="false">ROUND(ROUND(2*((5/8)*MAX(M681,O681)+(3/8)*MIN(M681,O681)),0)*(1+(P681-75)/500),0)</f>
        <v>148</v>
      </c>
      <c r="V681" s="361" t="n">
        <f aca="false">ROUNDDOWN(K681*1.75+50,0)</f>
        <v>242</v>
      </c>
      <c r="W681" s="261" t="n">
        <v>0</v>
      </c>
      <c r="X681" s="261" t="s">
        <v>1709</v>
      </c>
      <c r="Y681" s="364" t="s">
        <v>1707</v>
      </c>
      <c r="Z681" s="364"/>
      <c r="AA681" s="364"/>
      <c r="AB681" s="365"/>
      <c r="AC681" s="364"/>
      <c r="AD681" s="364"/>
      <c r="AE681" s="366"/>
      <c r="AF681" s="364" t="s">
        <v>1712</v>
      </c>
      <c r="AG681" s="364" t="s">
        <v>1712</v>
      </c>
      <c r="AH681" s="366" t="s">
        <v>1712</v>
      </c>
    </row>
    <row r="682" customFormat="false" ht="15.75" hidden="false" customHeight="false" outlineLevel="0" collapsed="false">
      <c r="A682" s="262" t="n">
        <v>580</v>
      </c>
      <c r="B682" s="361" t="n">
        <v>680</v>
      </c>
      <c r="C682" s="261" t="s">
        <v>1713</v>
      </c>
      <c r="D682" s="261" t="s">
        <v>60</v>
      </c>
      <c r="E682" s="362" t="s">
        <v>1713</v>
      </c>
      <c r="F682" s="261" t="s">
        <v>1532</v>
      </c>
      <c r="G682" s="261" t="s">
        <v>144</v>
      </c>
      <c r="H682" s="261" t="n">
        <v>0</v>
      </c>
      <c r="I682" s="261" t="n">
        <v>1</v>
      </c>
      <c r="J682" s="361" t="n">
        <v>0</v>
      </c>
      <c r="K682" s="262" t="n">
        <v>62</v>
      </c>
      <c r="L682" s="262" t="n">
        <v>44</v>
      </c>
      <c r="M682" s="262" t="n">
        <v>50</v>
      </c>
      <c r="N682" s="262" t="n">
        <v>44</v>
      </c>
      <c r="O682" s="262" t="n">
        <v>50</v>
      </c>
      <c r="P682" s="361" t="n">
        <v>55</v>
      </c>
      <c r="Q682" s="261" t="s">
        <v>154</v>
      </c>
      <c r="R682" s="261" t="s">
        <v>146</v>
      </c>
      <c r="S682" s="363" t="n">
        <f aca="false" t="array" ref="S682:S682">IF(COUNTIF('0.3.0 GO Calculation Values'!$J$2:$J$99,C682),(INDEX('0.3.0 GO Calculation Values'!$K$2:$K$99,MATCH(C682,'0.3.0 GO Calculation Values'!$J$2:$J$99,0))),1)</f>
        <v>1</v>
      </c>
      <c r="T682" s="262" t="n">
        <f aca="false">ROUND(ROUND(2*((7/8)*MAX(L682,N682)+(1/8)*MIN(L682,N682)),0)*(1+(P682-75)/500),0)</f>
        <v>84</v>
      </c>
      <c r="U682" s="262" t="n">
        <f aca="false">ROUND(ROUND(2*((5/8)*MAX(M682,O682)+(3/8)*MIN(M682,O682)),0)*(1+(P682-75)/500),0)</f>
        <v>96</v>
      </c>
      <c r="V682" s="361" t="n">
        <f aca="false">ROUNDDOWN(K682*1.75+50,0)</f>
        <v>158</v>
      </c>
      <c r="W682" s="261" t="n">
        <v>0</v>
      </c>
      <c r="X682" s="261" t="s">
        <v>60</v>
      </c>
      <c r="Y682" s="364" t="s">
        <v>1713</v>
      </c>
      <c r="Z682" s="364"/>
      <c r="AA682" s="364"/>
      <c r="AB682" s="365"/>
      <c r="AC682" s="364"/>
      <c r="AD682" s="364"/>
      <c r="AE682" s="366"/>
      <c r="AF682" s="364" t="s">
        <v>1714</v>
      </c>
      <c r="AG682" s="364" t="s">
        <v>1714</v>
      </c>
      <c r="AH682" s="366" t="s">
        <v>1714</v>
      </c>
    </row>
    <row r="683" customFormat="false" ht="15.75" hidden="false" customHeight="false" outlineLevel="0" collapsed="false">
      <c r="A683" s="262" t="n">
        <v>581</v>
      </c>
      <c r="B683" s="361" t="n">
        <v>681</v>
      </c>
      <c r="C683" s="261" t="s">
        <v>1715</v>
      </c>
      <c r="D683" s="261" t="s">
        <v>60</v>
      </c>
      <c r="E683" s="362" t="s">
        <v>1715</v>
      </c>
      <c r="F683" s="261" t="s">
        <v>1532</v>
      </c>
      <c r="G683" s="261" t="s">
        <v>144</v>
      </c>
      <c r="H683" s="261" t="n">
        <v>0</v>
      </c>
      <c r="I683" s="261" t="n">
        <v>2</v>
      </c>
      <c r="J683" s="361" t="n">
        <v>1</v>
      </c>
      <c r="K683" s="262" t="n">
        <v>75</v>
      </c>
      <c r="L683" s="262" t="n">
        <v>87</v>
      </c>
      <c r="M683" s="262" t="n">
        <v>63</v>
      </c>
      <c r="N683" s="262" t="n">
        <v>87</v>
      </c>
      <c r="O683" s="262" t="n">
        <v>63</v>
      </c>
      <c r="P683" s="361" t="n">
        <v>98</v>
      </c>
      <c r="Q683" s="261" t="s">
        <v>154</v>
      </c>
      <c r="R683" s="261" t="s">
        <v>146</v>
      </c>
      <c r="S683" s="363" t="n">
        <f aca="false" t="array" ref="S683:S683">IF(COUNTIF('0.3.0 GO Calculation Values'!$J$2:$J$99,C683),(INDEX('0.3.0 GO Calculation Values'!$K$2:$K$99,MATCH(C683,'0.3.0 GO Calculation Values'!$J$2:$J$99,0))),1)</f>
        <v>1</v>
      </c>
      <c r="T683" s="262" t="n">
        <f aca="false">ROUND(ROUND(2*((7/8)*MAX(L683,N683)+(1/8)*MIN(L683,N683)),0)*(1+(P683-75)/500),0)</f>
        <v>182</v>
      </c>
      <c r="U683" s="262" t="n">
        <f aca="false">ROUND(ROUND(2*((5/8)*MAX(M683,O683)+(3/8)*MIN(M683,O683)),0)*(1+(P683-75)/500),0)</f>
        <v>132</v>
      </c>
      <c r="V683" s="361" t="n">
        <f aca="false">ROUNDDOWN(K683*1.75+50,0)</f>
        <v>181</v>
      </c>
      <c r="W683" s="261" t="n">
        <v>0</v>
      </c>
      <c r="X683" s="261" t="s">
        <v>1713</v>
      </c>
      <c r="Y683" s="364" t="s">
        <v>1713</v>
      </c>
      <c r="Z683" s="364"/>
      <c r="AA683" s="364"/>
      <c r="AB683" s="365"/>
      <c r="AC683" s="364"/>
      <c r="AD683" s="364"/>
      <c r="AE683" s="366"/>
      <c r="AF683" s="364" t="s">
        <v>1716</v>
      </c>
      <c r="AG683" s="364" t="s">
        <v>1716</v>
      </c>
      <c r="AH683" s="366" t="s">
        <v>1716</v>
      </c>
    </row>
    <row r="684" customFormat="false" ht="15.75" hidden="false" customHeight="false" outlineLevel="0" collapsed="false">
      <c r="A684" s="262" t="n">
        <v>582</v>
      </c>
      <c r="B684" s="361" t="n">
        <v>682</v>
      </c>
      <c r="C684" s="261" t="s">
        <v>1717</v>
      </c>
      <c r="D684" s="261" t="s">
        <v>60</v>
      </c>
      <c r="E684" s="362" t="s">
        <v>1717</v>
      </c>
      <c r="F684" s="261" t="s">
        <v>1532</v>
      </c>
      <c r="G684" s="261" t="s">
        <v>144</v>
      </c>
      <c r="H684" s="261" t="n">
        <v>0</v>
      </c>
      <c r="I684" s="261" t="n">
        <v>1</v>
      </c>
      <c r="J684" s="361" t="n">
        <v>0</v>
      </c>
      <c r="K684" s="262" t="n">
        <v>36</v>
      </c>
      <c r="L684" s="262" t="n">
        <v>50</v>
      </c>
      <c r="M684" s="262" t="n">
        <v>50</v>
      </c>
      <c r="N684" s="262" t="n">
        <v>65</v>
      </c>
      <c r="O684" s="262" t="n">
        <v>60</v>
      </c>
      <c r="P684" s="361" t="n">
        <v>44</v>
      </c>
      <c r="Q684" s="261" t="s">
        <v>158</v>
      </c>
      <c r="R684" s="261"/>
      <c r="S684" s="363" t="n">
        <f aca="false" t="array" ref="S684:S684">IF(COUNTIF('0.3.0 GO Calculation Values'!$J$2:$J$99,C684),(INDEX('0.3.0 GO Calculation Values'!$K$2:$K$99,MATCH(C684,'0.3.0 GO Calculation Values'!$J$2:$J$99,0))),1)</f>
        <v>1</v>
      </c>
      <c r="T684" s="262" t="n">
        <f aca="false">ROUND(ROUND(2*((7/8)*MAX(L684,N684)+(1/8)*MIN(L684,N684)),0)*(1+(P684-75)/500),0)</f>
        <v>118</v>
      </c>
      <c r="U684" s="262" t="n">
        <f aca="false">ROUND(ROUND(2*((5/8)*MAX(M684,O684)+(3/8)*MIN(M684,O684)),0)*(1+(P684-75)/500),0)</f>
        <v>106</v>
      </c>
      <c r="V684" s="361" t="n">
        <f aca="false">ROUNDDOWN(K684*1.75+50,0)</f>
        <v>113</v>
      </c>
      <c r="W684" s="261" t="n">
        <v>0</v>
      </c>
      <c r="X684" s="261" t="s">
        <v>60</v>
      </c>
      <c r="Y684" s="364" t="s">
        <v>1717</v>
      </c>
      <c r="Z684" s="364"/>
      <c r="AA684" s="364"/>
      <c r="AB684" s="365"/>
      <c r="AC684" s="364"/>
      <c r="AD684" s="364"/>
      <c r="AE684" s="366"/>
      <c r="AF684" s="364" t="s">
        <v>1718</v>
      </c>
      <c r="AG684" s="364" t="s">
        <v>1718</v>
      </c>
      <c r="AH684" s="366" t="s">
        <v>1718</v>
      </c>
    </row>
    <row r="685" customFormat="false" ht="15.75" hidden="false" customHeight="false" outlineLevel="0" collapsed="false">
      <c r="A685" s="262" t="n">
        <v>583</v>
      </c>
      <c r="B685" s="361" t="n">
        <v>683</v>
      </c>
      <c r="C685" s="261" t="s">
        <v>1719</v>
      </c>
      <c r="D685" s="261" t="s">
        <v>60</v>
      </c>
      <c r="E685" s="362" t="s">
        <v>1719</v>
      </c>
      <c r="F685" s="261" t="s">
        <v>1532</v>
      </c>
      <c r="G685" s="261" t="s">
        <v>144</v>
      </c>
      <c r="H685" s="261" t="n">
        <v>0</v>
      </c>
      <c r="I685" s="261" t="n">
        <v>2</v>
      </c>
      <c r="J685" s="361" t="n">
        <v>0</v>
      </c>
      <c r="K685" s="262" t="n">
        <v>51</v>
      </c>
      <c r="L685" s="262" t="n">
        <v>65</v>
      </c>
      <c r="M685" s="262" t="n">
        <v>65</v>
      </c>
      <c r="N685" s="262" t="n">
        <v>80</v>
      </c>
      <c r="O685" s="262" t="n">
        <v>75</v>
      </c>
      <c r="P685" s="361" t="n">
        <v>59</v>
      </c>
      <c r="Q685" s="261" t="s">
        <v>158</v>
      </c>
      <c r="R685" s="261"/>
      <c r="S685" s="363" t="n">
        <f aca="false" t="array" ref="S685:S685">IF(COUNTIF('0.3.0 GO Calculation Values'!$J$2:$J$99,C685),(INDEX('0.3.0 GO Calculation Values'!$K$2:$K$99,MATCH(C685,'0.3.0 GO Calculation Values'!$J$2:$J$99,0))),1)</f>
        <v>1</v>
      </c>
      <c r="T685" s="262" t="n">
        <f aca="false">ROUND(ROUND(2*((7/8)*MAX(L685,N685)+(1/8)*MIN(L685,N685)),0)*(1+(P685-75)/500),0)</f>
        <v>151</v>
      </c>
      <c r="U685" s="262" t="n">
        <f aca="false">ROUND(ROUND(2*((5/8)*MAX(M685,O685)+(3/8)*MIN(M685,O685)),0)*(1+(P685-75)/500),0)</f>
        <v>138</v>
      </c>
      <c r="V685" s="361" t="n">
        <f aca="false">ROUNDDOWN(K685*1.75+50,0)</f>
        <v>139</v>
      </c>
      <c r="W685" s="261" t="n">
        <v>0</v>
      </c>
      <c r="X685" s="261" t="s">
        <v>1717</v>
      </c>
      <c r="Y685" s="364" t="s">
        <v>1717</v>
      </c>
      <c r="Z685" s="364"/>
      <c r="AA685" s="364"/>
      <c r="AB685" s="365"/>
      <c r="AC685" s="364"/>
      <c r="AD685" s="364"/>
      <c r="AE685" s="366"/>
      <c r="AF685" s="364" t="s">
        <v>1720</v>
      </c>
      <c r="AG685" s="364" t="s">
        <v>1720</v>
      </c>
      <c r="AH685" s="366" t="s">
        <v>1720</v>
      </c>
    </row>
    <row r="686" customFormat="false" ht="15.75" hidden="false" customHeight="false" outlineLevel="0" collapsed="false">
      <c r="A686" s="262" t="n">
        <v>584</v>
      </c>
      <c r="B686" s="361" t="n">
        <v>684</v>
      </c>
      <c r="C686" s="261" t="s">
        <v>1721</v>
      </c>
      <c r="D686" s="261" t="s">
        <v>60</v>
      </c>
      <c r="E686" s="362" t="s">
        <v>1721</v>
      </c>
      <c r="F686" s="261" t="s">
        <v>1532</v>
      </c>
      <c r="G686" s="261" t="s">
        <v>144</v>
      </c>
      <c r="H686" s="261" t="n">
        <v>0</v>
      </c>
      <c r="I686" s="261" t="n">
        <v>3</v>
      </c>
      <c r="J686" s="361" t="n">
        <v>1</v>
      </c>
      <c r="K686" s="262" t="n">
        <v>71</v>
      </c>
      <c r="L686" s="262" t="n">
        <v>95</v>
      </c>
      <c r="M686" s="262" t="n">
        <v>85</v>
      </c>
      <c r="N686" s="262" t="n">
        <v>110</v>
      </c>
      <c r="O686" s="262" t="n">
        <v>95</v>
      </c>
      <c r="P686" s="361" t="n">
        <v>79</v>
      </c>
      <c r="Q686" s="261" t="s">
        <v>158</v>
      </c>
      <c r="R686" s="261"/>
      <c r="S686" s="363" t="n">
        <f aca="false" t="array" ref="S686:S686">IF(COUNTIF('0.3.0 GO Calculation Values'!$J$2:$J$99,C686),(INDEX('0.3.0 GO Calculation Values'!$K$2:$K$99,MATCH(C686,'0.3.0 GO Calculation Values'!$J$2:$J$99,0))),1)</f>
        <v>1</v>
      </c>
      <c r="T686" s="262" t="n">
        <f aca="false">ROUND(ROUND(2*((7/8)*MAX(L686,N686)+(1/8)*MIN(L686,N686)),0)*(1+(P686-75)/500),0)</f>
        <v>218</v>
      </c>
      <c r="U686" s="262" t="n">
        <f aca="false">ROUND(ROUND(2*((5/8)*MAX(M686,O686)+(3/8)*MIN(M686,O686)),0)*(1+(P686-75)/500),0)</f>
        <v>184</v>
      </c>
      <c r="V686" s="361" t="n">
        <f aca="false">ROUNDDOWN(K686*1.75+50,0)</f>
        <v>174</v>
      </c>
      <c r="W686" s="261" t="n">
        <v>0</v>
      </c>
      <c r="X686" s="261" t="s">
        <v>1719</v>
      </c>
      <c r="Y686" s="364" t="s">
        <v>1717</v>
      </c>
      <c r="Z686" s="364"/>
      <c r="AA686" s="364"/>
      <c r="AB686" s="365"/>
      <c r="AC686" s="364"/>
      <c r="AD686" s="364"/>
      <c r="AE686" s="366"/>
      <c r="AF686" s="364" t="s">
        <v>1722</v>
      </c>
      <c r="AG686" s="364" t="s">
        <v>1722</v>
      </c>
      <c r="AH686" s="366" t="s">
        <v>1722</v>
      </c>
    </row>
    <row r="687" customFormat="false" ht="15.75" hidden="false" customHeight="false" outlineLevel="0" collapsed="false">
      <c r="A687" s="262" t="n">
        <v>585</v>
      </c>
      <c r="B687" s="361" t="n">
        <v>685</v>
      </c>
      <c r="C687" s="261" t="s">
        <v>1723</v>
      </c>
      <c r="D687" s="261" t="s">
        <v>60</v>
      </c>
      <c r="E687" s="362" t="s">
        <v>1723</v>
      </c>
      <c r="F687" s="261" t="s">
        <v>1532</v>
      </c>
      <c r="G687" s="261" t="s">
        <v>144</v>
      </c>
      <c r="H687" s="261" t="n">
        <v>0</v>
      </c>
      <c r="I687" s="261" t="n">
        <v>1</v>
      </c>
      <c r="J687" s="361" t="n">
        <v>0</v>
      </c>
      <c r="K687" s="262" t="n">
        <v>60</v>
      </c>
      <c r="L687" s="262" t="n">
        <v>60</v>
      </c>
      <c r="M687" s="262" t="n">
        <v>50</v>
      </c>
      <c r="N687" s="262" t="n">
        <v>40</v>
      </c>
      <c r="O687" s="262" t="n">
        <v>50</v>
      </c>
      <c r="P687" s="361" t="n">
        <v>75</v>
      </c>
      <c r="Q687" s="261" t="s">
        <v>144</v>
      </c>
      <c r="R687" s="261" t="s">
        <v>155</v>
      </c>
      <c r="S687" s="363" t="n">
        <f aca="false" t="array" ref="S687:S687">IF(COUNTIF('0.3.0 GO Calculation Values'!$J$2:$J$99,C687),(INDEX('0.3.0 GO Calculation Values'!$K$2:$K$99,MATCH(C687,'0.3.0 GO Calculation Values'!$J$2:$J$99,0))),1)</f>
        <v>1</v>
      </c>
      <c r="T687" s="262" t="n">
        <f aca="false">ROUND(ROUND(2*((7/8)*MAX(L687,N687)+(1/8)*MIN(L687,N687)),0)*(1+(P687-75)/500),0)</f>
        <v>115</v>
      </c>
      <c r="U687" s="262" t="n">
        <f aca="false">ROUND(ROUND(2*((5/8)*MAX(M687,O687)+(3/8)*MIN(M687,O687)),0)*(1+(P687-75)/500),0)</f>
        <v>100</v>
      </c>
      <c r="V687" s="361" t="n">
        <f aca="false">ROUNDDOWN(K687*1.75+50,0)</f>
        <v>155</v>
      </c>
      <c r="W687" s="261" t="n">
        <v>0</v>
      </c>
      <c r="X687" s="261" t="s">
        <v>60</v>
      </c>
      <c r="Y687" s="364" t="s">
        <v>1723</v>
      </c>
      <c r="Z687" s="364"/>
      <c r="AA687" s="364"/>
      <c r="AB687" s="365"/>
      <c r="AC687" s="364"/>
      <c r="AD687" s="364"/>
      <c r="AE687" s="366"/>
      <c r="AF687" s="364" t="s">
        <v>1724</v>
      </c>
      <c r="AG687" s="364" t="s">
        <v>1724</v>
      </c>
      <c r="AH687" s="366" t="s">
        <v>1724</v>
      </c>
    </row>
    <row r="688" customFormat="false" ht="15.75" hidden="false" customHeight="false" outlineLevel="0" collapsed="false">
      <c r="A688" s="262" t="n">
        <v>586</v>
      </c>
      <c r="B688" s="361" t="n">
        <v>686</v>
      </c>
      <c r="C688" s="261" t="s">
        <v>1725</v>
      </c>
      <c r="D688" s="261" t="s">
        <v>60</v>
      </c>
      <c r="E688" s="362" t="s">
        <v>1725</v>
      </c>
      <c r="F688" s="261" t="s">
        <v>1532</v>
      </c>
      <c r="G688" s="261" t="s">
        <v>144</v>
      </c>
      <c r="H688" s="261" t="n">
        <v>0</v>
      </c>
      <c r="I688" s="261" t="n">
        <v>2</v>
      </c>
      <c r="J688" s="361" t="n">
        <v>1</v>
      </c>
      <c r="K688" s="262" t="n">
        <v>80</v>
      </c>
      <c r="L688" s="262" t="n">
        <v>100</v>
      </c>
      <c r="M688" s="262" t="n">
        <v>70</v>
      </c>
      <c r="N688" s="262" t="n">
        <v>60</v>
      </c>
      <c r="O688" s="262" t="n">
        <v>70</v>
      </c>
      <c r="P688" s="361" t="n">
        <v>95</v>
      </c>
      <c r="Q688" s="261" t="s">
        <v>144</v>
      </c>
      <c r="R688" s="261" t="s">
        <v>155</v>
      </c>
      <c r="S688" s="363" t="n">
        <f aca="false" t="array" ref="S688:S688">IF(COUNTIF('0.3.0 GO Calculation Values'!$J$2:$J$99,C688),(INDEX('0.3.0 GO Calculation Values'!$K$2:$K$99,MATCH(C688,'0.3.0 GO Calculation Values'!$J$2:$J$99,0))),1)</f>
        <v>1</v>
      </c>
      <c r="T688" s="262" t="n">
        <f aca="false">ROUND(ROUND(2*((7/8)*MAX(L688,N688)+(1/8)*MIN(L688,N688)),0)*(1+(P688-75)/500),0)</f>
        <v>198</v>
      </c>
      <c r="U688" s="262" t="n">
        <f aca="false">ROUND(ROUND(2*((5/8)*MAX(M688,O688)+(3/8)*MIN(M688,O688)),0)*(1+(P688-75)/500),0)</f>
        <v>146</v>
      </c>
      <c r="V688" s="361" t="n">
        <f aca="false">ROUNDDOWN(K688*1.75+50,0)</f>
        <v>190</v>
      </c>
      <c r="W688" s="261" t="n">
        <v>0</v>
      </c>
      <c r="X688" s="261" t="s">
        <v>1723</v>
      </c>
      <c r="Y688" s="364" t="s">
        <v>1723</v>
      </c>
      <c r="Z688" s="364"/>
      <c r="AA688" s="364"/>
      <c r="AB688" s="365"/>
      <c r="AC688" s="364"/>
      <c r="AD688" s="364"/>
      <c r="AE688" s="366"/>
      <c r="AF688" s="364" t="s">
        <v>1726</v>
      </c>
      <c r="AG688" s="364" t="s">
        <v>1726</v>
      </c>
      <c r="AH688" s="366" t="s">
        <v>1726</v>
      </c>
    </row>
    <row r="689" customFormat="false" ht="15.75" hidden="false" customHeight="false" outlineLevel="0" collapsed="false">
      <c r="A689" s="262" t="n">
        <v>587</v>
      </c>
      <c r="B689" s="361" t="n">
        <v>687</v>
      </c>
      <c r="C689" s="261" t="s">
        <v>1727</v>
      </c>
      <c r="D689" s="261" t="s">
        <v>60</v>
      </c>
      <c r="E689" s="362" t="s">
        <v>1727</v>
      </c>
      <c r="F689" s="261" t="s">
        <v>1532</v>
      </c>
      <c r="G689" s="261" t="s">
        <v>144</v>
      </c>
      <c r="H689" s="261" t="n">
        <v>0</v>
      </c>
      <c r="I689" s="261" t="n">
        <v>1</v>
      </c>
      <c r="J689" s="361" t="n">
        <v>1</v>
      </c>
      <c r="K689" s="262" t="n">
        <v>55</v>
      </c>
      <c r="L689" s="262" t="n">
        <v>75</v>
      </c>
      <c r="M689" s="262" t="n">
        <v>60</v>
      </c>
      <c r="N689" s="262" t="n">
        <v>75</v>
      </c>
      <c r="O689" s="262" t="n">
        <v>60</v>
      </c>
      <c r="P689" s="361" t="n">
        <v>103</v>
      </c>
      <c r="Q689" s="261" t="s">
        <v>156</v>
      </c>
      <c r="R689" s="261" t="s">
        <v>146</v>
      </c>
      <c r="S689" s="363" t="n">
        <f aca="false" t="array" ref="S689:S689">IF(COUNTIF('0.3.0 GO Calculation Values'!$J$2:$J$99,C689),(INDEX('0.3.0 GO Calculation Values'!$K$2:$K$99,MATCH(C689,'0.3.0 GO Calculation Values'!$J$2:$J$99,0))),1)</f>
        <v>1</v>
      </c>
      <c r="T689" s="262" t="n">
        <f aca="false">ROUND(ROUND(2*((7/8)*MAX(L689,N689)+(1/8)*MIN(L689,N689)),0)*(1+(P689-75)/500),0)</f>
        <v>158</v>
      </c>
      <c r="U689" s="262" t="n">
        <f aca="false">ROUND(ROUND(2*((5/8)*MAX(M689,O689)+(3/8)*MIN(M689,O689)),0)*(1+(P689-75)/500),0)</f>
        <v>127</v>
      </c>
      <c r="V689" s="361" t="n">
        <f aca="false">ROUNDDOWN(K689*1.75+50,0)</f>
        <v>146</v>
      </c>
      <c r="W689" s="261" t="n">
        <v>0</v>
      </c>
      <c r="X689" s="261" t="s">
        <v>60</v>
      </c>
      <c r="Y689" s="364" t="s">
        <v>1727</v>
      </c>
      <c r="Z689" s="364"/>
      <c r="AA689" s="364"/>
      <c r="AB689" s="365"/>
      <c r="AC689" s="364"/>
      <c r="AD689" s="364"/>
      <c r="AE689" s="366"/>
      <c r="AF689" s="364" t="s">
        <v>1728</v>
      </c>
      <c r="AG689" s="364" t="s">
        <v>1728</v>
      </c>
      <c r="AH689" s="366" t="s">
        <v>1728</v>
      </c>
    </row>
    <row r="690" customFormat="false" ht="15.75" hidden="false" customHeight="false" outlineLevel="0" collapsed="false">
      <c r="A690" s="262" t="n">
        <v>588</v>
      </c>
      <c r="B690" s="361" t="n">
        <v>688</v>
      </c>
      <c r="C690" s="261" t="s">
        <v>1729</v>
      </c>
      <c r="D690" s="261" t="s">
        <v>60</v>
      </c>
      <c r="E690" s="362" t="s">
        <v>1729</v>
      </c>
      <c r="F690" s="261" t="s">
        <v>1532</v>
      </c>
      <c r="G690" s="261" t="s">
        <v>144</v>
      </c>
      <c r="H690" s="261" t="n">
        <v>0</v>
      </c>
      <c r="I690" s="261" t="n">
        <v>1</v>
      </c>
      <c r="J690" s="361" t="n">
        <v>0</v>
      </c>
      <c r="K690" s="262" t="n">
        <v>50</v>
      </c>
      <c r="L690" s="262" t="n">
        <v>75</v>
      </c>
      <c r="M690" s="262" t="n">
        <v>45</v>
      </c>
      <c r="N690" s="262" t="n">
        <v>40</v>
      </c>
      <c r="O690" s="262" t="n">
        <v>45</v>
      </c>
      <c r="P690" s="361" t="n">
        <v>60</v>
      </c>
      <c r="Q690" s="261" t="s">
        <v>150</v>
      </c>
      <c r="R690" s="261"/>
      <c r="S690" s="363" t="n">
        <f aca="false" t="array" ref="S690:S690">IF(COUNTIF('0.3.0 GO Calculation Values'!$J$2:$J$99,C690),(INDEX('0.3.0 GO Calculation Values'!$K$2:$K$99,MATCH(C690,'0.3.0 GO Calculation Values'!$J$2:$J$99,0))),1)</f>
        <v>1</v>
      </c>
      <c r="T690" s="262" t="n">
        <f aca="false">ROUND(ROUND(2*((7/8)*MAX(L690,N690)+(1/8)*MIN(L690,N690)),0)*(1+(P690-75)/500),0)</f>
        <v>137</v>
      </c>
      <c r="U690" s="262" t="n">
        <f aca="false">ROUND(ROUND(2*((5/8)*MAX(M690,O690)+(3/8)*MIN(M690,O690)),0)*(1+(P690-75)/500),0)</f>
        <v>87</v>
      </c>
      <c r="V690" s="361" t="n">
        <f aca="false">ROUNDDOWN(K690*1.75+50,0)</f>
        <v>137</v>
      </c>
      <c r="W690" s="261" t="n">
        <v>0</v>
      </c>
      <c r="X690" s="261" t="s">
        <v>60</v>
      </c>
      <c r="Y690" s="364" t="s">
        <v>1729</v>
      </c>
      <c r="Z690" s="364"/>
      <c r="AA690" s="364"/>
      <c r="AB690" s="365"/>
      <c r="AC690" s="364"/>
      <c r="AD690" s="364"/>
      <c r="AE690" s="366"/>
      <c r="AF690" s="364" t="s">
        <v>1730</v>
      </c>
      <c r="AG690" s="364" t="s">
        <v>1730</v>
      </c>
      <c r="AH690" s="366" t="s">
        <v>1730</v>
      </c>
    </row>
    <row r="691" customFormat="false" ht="15.75" hidden="false" customHeight="false" outlineLevel="0" collapsed="false">
      <c r="A691" s="262" t="n">
        <v>589</v>
      </c>
      <c r="B691" s="361" t="n">
        <v>689</v>
      </c>
      <c r="C691" s="261" t="s">
        <v>1731</v>
      </c>
      <c r="D691" s="261" t="s">
        <v>60</v>
      </c>
      <c r="E691" s="362" t="s">
        <v>1731</v>
      </c>
      <c r="F691" s="261" t="s">
        <v>1532</v>
      </c>
      <c r="G691" s="261" t="s">
        <v>144</v>
      </c>
      <c r="H691" s="261" t="n">
        <v>0</v>
      </c>
      <c r="I691" s="261" t="n">
        <v>2</v>
      </c>
      <c r="J691" s="361" t="n">
        <v>1</v>
      </c>
      <c r="K691" s="262" t="n">
        <v>70</v>
      </c>
      <c r="L691" s="262" t="n">
        <v>135</v>
      </c>
      <c r="M691" s="262" t="n">
        <v>105</v>
      </c>
      <c r="N691" s="262" t="n">
        <v>60</v>
      </c>
      <c r="O691" s="262" t="n">
        <v>105</v>
      </c>
      <c r="P691" s="361" t="n">
        <v>20</v>
      </c>
      <c r="Q691" s="261" t="s">
        <v>150</v>
      </c>
      <c r="R691" s="261" t="s">
        <v>152</v>
      </c>
      <c r="S691" s="363" t="n">
        <f aca="false" t="array" ref="S691:S691">IF(COUNTIF('0.3.0 GO Calculation Values'!$J$2:$J$99,C691),(INDEX('0.3.0 GO Calculation Values'!$K$2:$K$99,MATCH(C691,'0.3.0 GO Calculation Values'!$J$2:$J$99,0))),1)</f>
        <v>1</v>
      </c>
      <c r="T691" s="262" t="n">
        <f aca="false">ROUND(ROUND(2*((7/8)*MAX(L691,N691)+(1/8)*MIN(L691,N691)),0)*(1+(P691-75)/500),0)</f>
        <v>223</v>
      </c>
      <c r="U691" s="262" t="n">
        <f aca="false">ROUND(ROUND(2*((5/8)*MAX(M691,O691)+(3/8)*MIN(M691,O691)),0)*(1+(P691-75)/500),0)</f>
        <v>187</v>
      </c>
      <c r="V691" s="361" t="n">
        <f aca="false">ROUNDDOWN(K691*1.75+50,0)</f>
        <v>172</v>
      </c>
      <c r="W691" s="261" t="n">
        <v>0</v>
      </c>
      <c r="X691" s="261" t="s">
        <v>1729</v>
      </c>
      <c r="Y691" s="364" t="s">
        <v>1729</v>
      </c>
      <c r="Z691" s="364"/>
      <c r="AA691" s="364"/>
      <c r="AB691" s="365"/>
      <c r="AC691" s="364"/>
      <c r="AD691" s="364"/>
      <c r="AE691" s="366"/>
      <c r="AF691" s="364" t="s">
        <v>1732</v>
      </c>
      <c r="AG691" s="364" t="s">
        <v>1732</v>
      </c>
      <c r="AH691" s="366" t="s">
        <v>1732</v>
      </c>
    </row>
    <row r="692" customFormat="false" ht="15.75" hidden="false" customHeight="false" outlineLevel="0" collapsed="false">
      <c r="A692" s="262" t="n">
        <v>590</v>
      </c>
      <c r="B692" s="361" t="n">
        <v>690</v>
      </c>
      <c r="C692" s="261" t="s">
        <v>1733</v>
      </c>
      <c r="D692" s="261" t="s">
        <v>60</v>
      </c>
      <c r="E692" s="362" t="s">
        <v>1733</v>
      </c>
      <c r="F692" s="261" t="s">
        <v>1532</v>
      </c>
      <c r="G692" s="261" t="s">
        <v>144</v>
      </c>
      <c r="H692" s="261" t="n">
        <v>0</v>
      </c>
      <c r="I692" s="261" t="n">
        <v>1</v>
      </c>
      <c r="J692" s="361" t="n">
        <v>0</v>
      </c>
      <c r="K692" s="262" t="n">
        <v>69</v>
      </c>
      <c r="L692" s="262" t="n">
        <v>55</v>
      </c>
      <c r="M692" s="262" t="n">
        <v>45</v>
      </c>
      <c r="N692" s="262" t="n">
        <v>55</v>
      </c>
      <c r="O692" s="262" t="n">
        <v>55</v>
      </c>
      <c r="P692" s="361" t="n">
        <v>15</v>
      </c>
      <c r="Q692" s="261" t="s">
        <v>155</v>
      </c>
      <c r="R692" s="261" t="s">
        <v>147</v>
      </c>
      <c r="S692" s="363" t="n">
        <f aca="false" t="array" ref="S692:S692">IF(COUNTIF('0.3.0 GO Calculation Values'!$J$2:$J$99,C692),(INDEX('0.3.0 GO Calculation Values'!$K$2:$K$99,MATCH(C692,'0.3.0 GO Calculation Values'!$J$2:$J$99,0))),1)</f>
        <v>1</v>
      </c>
      <c r="T692" s="262" t="n">
        <f aca="false">ROUND(ROUND(2*((7/8)*MAX(L692,N692)+(1/8)*MIN(L692,N692)),0)*(1+(P692-75)/500),0)</f>
        <v>97</v>
      </c>
      <c r="U692" s="262" t="n">
        <f aca="false">ROUND(ROUND(2*((5/8)*MAX(M692,O692)+(3/8)*MIN(M692,O692)),0)*(1+(P692-75)/500),0)</f>
        <v>91</v>
      </c>
      <c r="V692" s="361" t="n">
        <f aca="false">ROUNDDOWN(K692*1.75+50,0)</f>
        <v>170</v>
      </c>
      <c r="W692" s="261" t="n">
        <v>0</v>
      </c>
      <c r="X692" s="261" t="s">
        <v>60</v>
      </c>
      <c r="Y692" s="364" t="s">
        <v>1733</v>
      </c>
      <c r="Z692" s="364"/>
      <c r="AA692" s="364"/>
      <c r="AB692" s="365"/>
      <c r="AC692" s="364"/>
      <c r="AD692" s="364"/>
      <c r="AE692" s="366"/>
      <c r="AF692" s="364" t="s">
        <v>1734</v>
      </c>
      <c r="AG692" s="364" t="s">
        <v>1734</v>
      </c>
      <c r="AH692" s="366" t="s">
        <v>1734</v>
      </c>
    </row>
    <row r="693" customFormat="false" ht="15.75" hidden="false" customHeight="false" outlineLevel="0" collapsed="false">
      <c r="A693" s="262" t="n">
        <v>591</v>
      </c>
      <c r="B693" s="361" t="n">
        <v>691</v>
      </c>
      <c r="C693" s="261" t="s">
        <v>1735</v>
      </c>
      <c r="D693" s="261" t="s">
        <v>60</v>
      </c>
      <c r="E693" s="362" t="s">
        <v>1735</v>
      </c>
      <c r="F693" s="261" t="s">
        <v>1532</v>
      </c>
      <c r="G693" s="261" t="s">
        <v>144</v>
      </c>
      <c r="H693" s="261" t="n">
        <v>0</v>
      </c>
      <c r="I693" s="261" t="n">
        <v>2</v>
      </c>
      <c r="J693" s="361" t="n">
        <v>1</v>
      </c>
      <c r="K693" s="262" t="n">
        <v>114</v>
      </c>
      <c r="L693" s="262" t="n">
        <v>85</v>
      </c>
      <c r="M693" s="262" t="n">
        <v>70</v>
      </c>
      <c r="N693" s="262" t="n">
        <v>85</v>
      </c>
      <c r="O693" s="262" t="n">
        <v>80</v>
      </c>
      <c r="P693" s="361" t="n">
        <v>30</v>
      </c>
      <c r="Q693" s="261" t="s">
        <v>155</v>
      </c>
      <c r="R693" s="261" t="s">
        <v>147</v>
      </c>
      <c r="S693" s="363" t="n">
        <f aca="false" t="array" ref="S693:S693">IF(COUNTIF('0.3.0 GO Calculation Values'!$J$2:$J$99,C693),(INDEX('0.3.0 GO Calculation Values'!$K$2:$K$99,MATCH(C693,'0.3.0 GO Calculation Values'!$J$2:$J$99,0))),1)</f>
        <v>1</v>
      </c>
      <c r="T693" s="262" t="n">
        <f aca="false">ROUND(ROUND(2*((7/8)*MAX(L693,N693)+(1/8)*MIN(L693,N693)),0)*(1+(P693-75)/500),0)</f>
        <v>155</v>
      </c>
      <c r="U693" s="262" t="n">
        <f aca="false">ROUND(ROUND(2*((5/8)*MAX(M693,O693)+(3/8)*MIN(M693,O693)),0)*(1+(P693-75)/500),0)</f>
        <v>139</v>
      </c>
      <c r="V693" s="361" t="n">
        <f aca="false">ROUNDDOWN(K693*1.75+50,0)</f>
        <v>249</v>
      </c>
      <c r="W693" s="261" t="n">
        <v>0</v>
      </c>
      <c r="X693" s="261" t="s">
        <v>1733</v>
      </c>
      <c r="Y693" s="364" t="s">
        <v>1733</v>
      </c>
      <c r="Z693" s="364"/>
      <c r="AA693" s="364"/>
      <c r="AB693" s="365"/>
      <c r="AC693" s="364"/>
      <c r="AD693" s="364"/>
      <c r="AE693" s="366"/>
      <c r="AF693" s="364" t="s">
        <v>1736</v>
      </c>
      <c r="AG693" s="364" t="s">
        <v>1736</v>
      </c>
      <c r="AH693" s="366" t="s">
        <v>1736</v>
      </c>
    </row>
    <row r="694" customFormat="false" ht="15.75" hidden="false" customHeight="false" outlineLevel="0" collapsed="false">
      <c r="A694" s="262" t="n">
        <v>592</v>
      </c>
      <c r="B694" s="361" t="n">
        <v>692</v>
      </c>
      <c r="C694" s="261" t="s">
        <v>1737</v>
      </c>
      <c r="D694" s="261" t="s">
        <v>60</v>
      </c>
      <c r="E694" s="362" t="s">
        <v>1737</v>
      </c>
      <c r="F694" s="261" t="s">
        <v>1532</v>
      </c>
      <c r="G694" s="261" t="s">
        <v>144</v>
      </c>
      <c r="H694" s="261" t="n">
        <v>0</v>
      </c>
      <c r="I694" s="261" t="n">
        <v>1</v>
      </c>
      <c r="J694" s="361" t="n">
        <v>0</v>
      </c>
      <c r="K694" s="262" t="n">
        <v>55</v>
      </c>
      <c r="L694" s="262" t="n">
        <v>40</v>
      </c>
      <c r="M694" s="262" t="n">
        <v>50</v>
      </c>
      <c r="N694" s="262" t="n">
        <v>65</v>
      </c>
      <c r="O694" s="262" t="n">
        <v>85</v>
      </c>
      <c r="P694" s="361" t="n">
        <v>40</v>
      </c>
      <c r="Q694" s="261" t="s">
        <v>154</v>
      </c>
      <c r="R694" s="261" t="s">
        <v>151</v>
      </c>
      <c r="S694" s="363" t="n">
        <f aca="false" t="array" ref="S694:S694">IF(COUNTIF('0.3.0 GO Calculation Values'!$J$2:$J$99,C694),(INDEX('0.3.0 GO Calculation Values'!$K$2:$K$99,MATCH(C694,'0.3.0 GO Calculation Values'!$J$2:$J$99,0))),1)</f>
        <v>1</v>
      </c>
      <c r="T694" s="262" t="n">
        <f aca="false">ROUND(ROUND(2*((7/8)*MAX(L694,N694)+(1/8)*MIN(L694,N694)),0)*(1+(P694-75)/500),0)</f>
        <v>115</v>
      </c>
      <c r="U694" s="262" t="n">
        <f aca="false">ROUND(ROUND(2*((5/8)*MAX(M694,O694)+(3/8)*MIN(M694,O694)),0)*(1+(P694-75)/500),0)</f>
        <v>134</v>
      </c>
      <c r="V694" s="361" t="n">
        <f aca="false">ROUNDDOWN(K694*1.75+50,0)</f>
        <v>146</v>
      </c>
      <c r="W694" s="261" t="n">
        <v>0</v>
      </c>
      <c r="X694" s="261" t="s">
        <v>60</v>
      </c>
      <c r="Y694" s="364" t="s">
        <v>1737</v>
      </c>
      <c r="Z694" s="364"/>
      <c r="AA694" s="364"/>
      <c r="AB694" s="365"/>
      <c r="AC694" s="364"/>
      <c r="AD694" s="364"/>
      <c r="AE694" s="366"/>
      <c r="AF694" s="364" t="s">
        <v>1738</v>
      </c>
      <c r="AG694" s="364" t="s">
        <v>1738</v>
      </c>
      <c r="AH694" s="366" t="s">
        <v>1738</v>
      </c>
    </row>
    <row r="695" customFormat="false" ht="15.75" hidden="false" customHeight="false" outlineLevel="0" collapsed="false">
      <c r="A695" s="262" t="n">
        <v>593</v>
      </c>
      <c r="B695" s="361" t="n">
        <v>693</v>
      </c>
      <c r="C695" s="261" t="s">
        <v>1739</v>
      </c>
      <c r="D695" s="261" t="s">
        <v>60</v>
      </c>
      <c r="E695" s="362" t="s">
        <v>1739</v>
      </c>
      <c r="F695" s="261" t="s">
        <v>1532</v>
      </c>
      <c r="G695" s="261" t="s">
        <v>144</v>
      </c>
      <c r="H695" s="261" t="n">
        <v>0</v>
      </c>
      <c r="I695" s="261" t="n">
        <v>2</v>
      </c>
      <c r="J695" s="361" t="n">
        <v>1</v>
      </c>
      <c r="K695" s="262" t="n">
        <v>100</v>
      </c>
      <c r="L695" s="262" t="n">
        <v>60</v>
      </c>
      <c r="M695" s="262" t="n">
        <v>70</v>
      </c>
      <c r="N695" s="262" t="n">
        <v>85</v>
      </c>
      <c r="O695" s="262" t="n">
        <v>105</v>
      </c>
      <c r="P695" s="361" t="n">
        <v>60</v>
      </c>
      <c r="Q695" s="261" t="s">
        <v>154</v>
      </c>
      <c r="R695" s="261" t="s">
        <v>151</v>
      </c>
      <c r="S695" s="363" t="n">
        <f aca="false" t="array" ref="S695:S695">IF(COUNTIF('0.3.0 GO Calculation Values'!$J$2:$J$99,C695),(INDEX('0.3.0 GO Calculation Values'!$K$2:$K$99,MATCH(C695,'0.3.0 GO Calculation Values'!$J$2:$J$99,0))),1)</f>
        <v>1</v>
      </c>
      <c r="T695" s="262" t="n">
        <f aca="false">ROUND(ROUND(2*((7/8)*MAX(L695,N695)+(1/8)*MIN(L695,N695)),0)*(1+(P695-75)/500),0)</f>
        <v>159</v>
      </c>
      <c r="U695" s="262" t="n">
        <f aca="false">ROUND(ROUND(2*((5/8)*MAX(M695,O695)+(3/8)*MIN(M695,O695)),0)*(1+(P695-75)/500),0)</f>
        <v>178</v>
      </c>
      <c r="V695" s="361" t="n">
        <f aca="false">ROUNDDOWN(K695*1.75+50,0)</f>
        <v>225</v>
      </c>
      <c r="W695" s="261" t="n">
        <v>0</v>
      </c>
      <c r="X695" s="261" t="s">
        <v>1737</v>
      </c>
      <c r="Y695" s="364" t="s">
        <v>1737</v>
      </c>
      <c r="Z695" s="364"/>
      <c r="AA695" s="364"/>
      <c r="AB695" s="365"/>
      <c r="AC695" s="364"/>
      <c r="AD695" s="364"/>
      <c r="AE695" s="366"/>
      <c r="AF695" s="364" t="s">
        <v>1740</v>
      </c>
      <c r="AG695" s="364" t="s">
        <v>1740</v>
      </c>
      <c r="AH695" s="366" t="s">
        <v>1740</v>
      </c>
    </row>
    <row r="696" customFormat="false" ht="15.75" hidden="false" customHeight="false" outlineLevel="0" collapsed="false">
      <c r="A696" s="262" t="n">
        <v>594</v>
      </c>
      <c r="B696" s="361" t="n">
        <v>694</v>
      </c>
      <c r="C696" s="261" t="s">
        <v>1741</v>
      </c>
      <c r="D696" s="261" t="s">
        <v>60</v>
      </c>
      <c r="E696" s="362" t="s">
        <v>1741</v>
      </c>
      <c r="F696" s="261" t="s">
        <v>1532</v>
      </c>
      <c r="G696" s="261" t="s">
        <v>144</v>
      </c>
      <c r="H696" s="261" t="n">
        <v>0</v>
      </c>
      <c r="I696" s="261" t="n">
        <v>1</v>
      </c>
      <c r="J696" s="361" t="n">
        <v>1</v>
      </c>
      <c r="K696" s="262" t="n">
        <v>165</v>
      </c>
      <c r="L696" s="262" t="n">
        <v>75</v>
      </c>
      <c r="M696" s="262" t="n">
        <v>80</v>
      </c>
      <c r="N696" s="262" t="n">
        <v>40</v>
      </c>
      <c r="O696" s="262" t="n">
        <v>45</v>
      </c>
      <c r="P696" s="361" t="n">
        <v>65</v>
      </c>
      <c r="Q696" s="261" t="s">
        <v>154</v>
      </c>
      <c r="R696" s="261"/>
      <c r="S696" s="363" t="n">
        <f aca="false" t="array" ref="S696:S696">IF(COUNTIF('0.3.0 GO Calculation Values'!$J$2:$J$99,C696),(INDEX('0.3.0 GO Calculation Values'!$K$2:$K$99,MATCH(C696,'0.3.0 GO Calculation Values'!$J$2:$J$99,0))),1)</f>
        <v>1</v>
      </c>
      <c r="T696" s="262" t="n">
        <f aca="false">ROUND(ROUND(2*((7/8)*MAX(L696,N696)+(1/8)*MIN(L696,N696)),0)*(1+(P696-75)/500),0)</f>
        <v>138</v>
      </c>
      <c r="U696" s="262" t="n">
        <f aca="false">ROUND(ROUND(2*((5/8)*MAX(M696,O696)+(3/8)*MIN(M696,O696)),0)*(1+(P696-75)/500),0)</f>
        <v>131</v>
      </c>
      <c r="V696" s="361" t="n">
        <f aca="false">ROUNDDOWN(K696*1.75+50,0)</f>
        <v>338</v>
      </c>
      <c r="W696" s="261" t="n">
        <v>0</v>
      </c>
      <c r="X696" s="261" t="s">
        <v>60</v>
      </c>
      <c r="Y696" s="364" t="s">
        <v>1741</v>
      </c>
      <c r="Z696" s="364"/>
      <c r="AA696" s="364"/>
      <c r="AB696" s="365"/>
      <c r="AC696" s="364"/>
      <c r="AD696" s="364"/>
      <c r="AE696" s="366"/>
      <c r="AF696" s="364" t="s">
        <v>1742</v>
      </c>
      <c r="AG696" s="364" t="s">
        <v>1742</v>
      </c>
      <c r="AH696" s="366" t="s">
        <v>1742</v>
      </c>
    </row>
    <row r="697" customFormat="false" ht="15.75" hidden="false" customHeight="false" outlineLevel="0" collapsed="false">
      <c r="A697" s="262" t="n">
        <v>595</v>
      </c>
      <c r="B697" s="361" t="n">
        <v>695</v>
      </c>
      <c r="C697" s="261" t="s">
        <v>1743</v>
      </c>
      <c r="D697" s="261" t="s">
        <v>60</v>
      </c>
      <c r="E697" s="362" t="s">
        <v>1743</v>
      </c>
      <c r="F697" s="261" t="s">
        <v>1532</v>
      </c>
      <c r="G697" s="261" t="s">
        <v>144</v>
      </c>
      <c r="H697" s="261" t="n">
        <v>0</v>
      </c>
      <c r="I697" s="261" t="n">
        <v>1</v>
      </c>
      <c r="J697" s="361" t="n">
        <v>0</v>
      </c>
      <c r="K697" s="262" t="n">
        <v>50</v>
      </c>
      <c r="L697" s="262" t="n">
        <v>47</v>
      </c>
      <c r="M697" s="262" t="n">
        <v>50</v>
      </c>
      <c r="N697" s="262" t="n">
        <v>57</v>
      </c>
      <c r="O697" s="262" t="n">
        <v>50</v>
      </c>
      <c r="P697" s="361" t="n">
        <v>65</v>
      </c>
      <c r="Q697" s="261" t="s">
        <v>150</v>
      </c>
      <c r="R697" s="261" t="s">
        <v>156</v>
      </c>
      <c r="S697" s="363" t="n">
        <f aca="false" t="array" ref="S697:S697">IF(COUNTIF('0.3.0 GO Calculation Values'!$J$2:$J$99,C697),(INDEX('0.3.0 GO Calculation Values'!$K$2:$K$99,MATCH(C697,'0.3.0 GO Calculation Values'!$J$2:$J$99,0))),1)</f>
        <v>1</v>
      </c>
      <c r="T697" s="262" t="n">
        <f aca="false">ROUND(ROUND(2*((7/8)*MAX(L697,N697)+(1/8)*MIN(L697,N697)),0)*(1+(P697-75)/500),0)</f>
        <v>110</v>
      </c>
      <c r="U697" s="262" t="n">
        <f aca="false">ROUND(ROUND(2*((5/8)*MAX(M697,O697)+(3/8)*MIN(M697,O697)),0)*(1+(P697-75)/500),0)</f>
        <v>98</v>
      </c>
      <c r="V697" s="361" t="n">
        <f aca="false">ROUNDDOWN(K697*1.75+50,0)</f>
        <v>137</v>
      </c>
      <c r="W697" s="261" t="n">
        <v>0</v>
      </c>
      <c r="X697" s="261" t="s">
        <v>60</v>
      </c>
      <c r="Y697" s="364" t="s">
        <v>1743</v>
      </c>
      <c r="Z697" s="364"/>
      <c r="AA697" s="364"/>
      <c r="AB697" s="365"/>
      <c r="AC697" s="364"/>
      <c r="AD697" s="364"/>
      <c r="AE697" s="366"/>
      <c r="AF697" s="364" t="s">
        <v>1744</v>
      </c>
      <c r="AG697" s="364" t="s">
        <v>1744</v>
      </c>
      <c r="AH697" s="366" t="s">
        <v>1744</v>
      </c>
    </row>
    <row r="698" customFormat="false" ht="15.75" hidden="false" customHeight="false" outlineLevel="0" collapsed="false">
      <c r="A698" s="262" t="n">
        <v>596</v>
      </c>
      <c r="B698" s="361" t="n">
        <v>696</v>
      </c>
      <c r="C698" s="261" t="s">
        <v>1745</v>
      </c>
      <c r="D698" s="261" t="s">
        <v>60</v>
      </c>
      <c r="E698" s="362" t="s">
        <v>1745</v>
      </c>
      <c r="F698" s="261" t="s">
        <v>1532</v>
      </c>
      <c r="G698" s="261" t="s">
        <v>144</v>
      </c>
      <c r="H698" s="261" t="n">
        <v>0</v>
      </c>
      <c r="I698" s="261" t="n">
        <v>2</v>
      </c>
      <c r="J698" s="361" t="n">
        <v>1</v>
      </c>
      <c r="K698" s="262" t="n">
        <v>70</v>
      </c>
      <c r="L698" s="262" t="n">
        <v>77</v>
      </c>
      <c r="M698" s="262" t="n">
        <v>60</v>
      </c>
      <c r="N698" s="262" t="n">
        <v>97</v>
      </c>
      <c r="O698" s="262" t="n">
        <v>60</v>
      </c>
      <c r="P698" s="361" t="n">
        <v>108</v>
      </c>
      <c r="Q698" s="261" t="s">
        <v>150</v>
      </c>
      <c r="R698" s="261" t="s">
        <v>156</v>
      </c>
      <c r="S698" s="363" t="n">
        <f aca="false" t="array" ref="S698:S698">IF(COUNTIF('0.3.0 GO Calculation Values'!$J$2:$J$99,C698),(INDEX('0.3.0 GO Calculation Values'!$K$2:$K$99,MATCH(C698,'0.3.0 GO Calculation Values'!$J$2:$J$99,0))),1)</f>
        <v>1</v>
      </c>
      <c r="T698" s="262" t="n">
        <f aca="false">ROUND(ROUND(2*((7/8)*MAX(L698,N698)+(1/8)*MIN(L698,N698)),0)*(1+(P698-75)/500),0)</f>
        <v>201</v>
      </c>
      <c r="U698" s="262" t="n">
        <f aca="false">ROUND(ROUND(2*((5/8)*MAX(M698,O698)+(3/8)*MIN(M698,O698)),0)*(1+(P698-75)/500),0)</f>
        <v>128</v>
      </c>
      <c r="V698" s="361" t="n">
        <f aca="false">ROUNDDOWN(K698*1.75+50,0)</f>
        <v>172</v>
      </c>
      <c r="W698" s="261" t="n">
        <v>0</v>
      </c>
      <c r="X698" s="261" t="s">
        <v>1743</v>
      </c>
      <c r="Y698" s="364" t="s">
        <v>1743</v>
      </c>
      <c r="Z698" s="364"/>
      <c r="AA698" s="364"/>
      <c r="AB698" s="365"/>
      <c r="AC698" s="364"/>
      <c r="AD698" s="364"/>
      <c r="AE698" s="366"/>
      <c r="AF698" s="364" t="s">
        <v>1746</v>
      </c>
      <c r="AG698" s="364" t="s">
        <v>1746</v>
      </c>
      <c r="AH698" s="366" t="s">
        <v>1746</v>
      </c>
    </row>
    <row r="699" customFormat="false" ht="15.75" hidden="false" customHeight="false" outlineLevel="0" collapsed="false">
      <c r="A699" s="262" t="n">
        <v>597</v>
      </c>
      <c r="B699" s="361" t="n">
        <v>697</v>
      </c>
      <c r="C699" s="261" t="s">
        <v>1747</v>
      </c>
      <c r="D699" s="261" t="s">
        <v>60</v>
      </c>
      <c r="E699" s="362" t="s">
        <v>1747</v>
      </c>
      <c r="F699" s="261" t="s">
        <v>1532</v>
      </c>
      <c r="G699" s="261" t="s">
        <v>144</v>
      </c>
      <c r="H699" s="261" t="n">
        <v>0</v>
      </c>
      <c r="I699" s="261" t="n">
        <v>1</v>
      </c>
      <c r="J699" s="361" t="n">
        <v>0</v>
      </c>
      <c r="K699" s="262" t="n">
        <v>44</v>
      </c>
      <c r="L699" s="262" t="n">
        <v>50</v>
      </c>
      <c r="M699" s="262" t="n">
        <v>91</v>
      </c>
      <c r="N699" s="262" t="n">
        <v>24</v>
      </c>
      <c r="O699" s="262" t="n">
        <v>86</v>
      </c>
      <c r="P699" s="361" t="n">
        <v>10</v>
      </c>
      <c r="Q699" s="261" t="s">
        <v>155</v>
      </c>
      <c r="R699" s="261" t="s">
        <v>152</v>
      </c>
      <c r="S699" s="363" t="n">
        <f aca="false" t="array" ref="S699:S699">IF(COUNTIF('0.3.0 GO Calculation Values'!$J$2:$J$99,C699),(INDEX('0.3.0 GO Calculation Values'!$K$2:$K$99,MATCH(C699,'0.3.0 GO Calculation Values'!$J$2:$J$99,0))),1)</f>
        <v>1</v>
      </c>
      <c r="T699" s="262" t="n">
        <f aca="false">ROUND(ROUND(2*((7/8)*MAX(L699,N699)+(1/8)*MIN(L699,N699)),0)*(1+(P699-75)/500),0)</f>
        <v>82</v>
      </c>
      <c r="U699" s="262" t="n">
        <f aca="false">ROUND(ROUND(2*((5/8)*MAX(M699,O699)+(3/8)*MIN(M699,O699)),0)*(1+(P699-75)/500),0)</f>
        <v>155</v>
      </c>
      <c r="V699" s="361" t="n">
        <f aca="false">ROUNDDOWN(K699*1.75+50,0)</f>
        <v>127</v>
      </c>
      <c r="W699" s="261" t="n">
        <v>0</v>
      </c>
      <c r="X699" s="261" t="s">
        <v>60</v>
      </c>
      <c r="Y699" s="364" t="s">
        <v>1747</v>
      </c>
      <c r="Z699" s="364"/>
      <c r="AA699" s="364"/>
      <c r="AB699" s="365"/>
      <c r="AC699" s="364"/>
      <c r="AD699" s="364"/>
      <c r="AE699" s="366"/>
      <c r="AF699" s="364" t="s">
        <v>1748</v>
      </c>
      <c r="AG699" s="364" t="s">
        <v>1748</v>
      </c>
      <c r="AH699" s="366" t="s">
        <v>1748</v>
      </c>
    </row>
    <row r="700" customFormat="false" ht="15.75" hidden="false" customHeight="false" outlineLevel="0" collapsed="false">
      <c r="A700" s="262" t="n">
        <v>598</v>
      </c>
      <c r="B700" s="361" t="n">
        <v>698</v>
      </c>
      <c r="C700" s="261" t="s">
        <v>1749</v>
      </c>
      <c r="D700" s="261" t="s">
        <v>60</v>
      </c>
      <c r="E700" s="362" t="s">
        <v>1749</v>
      </c>
      <c r="F700" s="261" t="s">
        <v>1532</v>
      </c>
      <c r="G700" s="261" t="s">
        <v>144</v>
      </c>
      <c r="H700" s="261" t="n">
        <v>0</v>
      </c>
      <c r="I700" s="261" t="n">
        <v>2</v>
      </c>
      <c r="J700" s="361" t="n">
        <v>1</v>
      </c>
      <c r="K700" s="262" t="n">
        <v>74</v>
      </c>
      <c r="L700" s="262" t="n">
        <v>94</v>
      </c>
      <c r="M700" s="262" t="n">
        <v>131</v>
      </c>
      <c r="N700" s="262" t="n">
        <v>54</v>
      </c>
      <c r="O700" s="262" t="n">
        <v>116</v>
      </c>
      <c r="P700" s="361" t="n">
        <v>20</v>
      </c>
      <c r="Q700" s="261" t="s">
        <v>155</v>
      </c>
      <c r="R700" s="261" t="s">
        <v>152</v>
      </c>
      <c r="S700" s="363" t="n">
        <f aca="false" t="array" ref="S700:S700">IF(COUNTIF('0.3.0 GO Calculation Values'!$J$2:$J$99,C700),(INDEX('0.3.0 GO Calculation Values'!$K$2:$K$99,MATCH(C700,'0.3.0 GO Calculation Values'!$J$2:$J$99,0))),1)</f>
        <v>1</v>
      </c>
      <c r="T700" s="262" t="n">
        <f aca="false">ROUND(ROUND(2*((7/8)*MAX(L700,N700)+(1/8)*MIN(L700,N700)),0)*(1+(P700-75)/500),0)</f>
        <v>158</v>
      </c>
      <c r="U700" s="262" t="n">
        <f aca="false">ROUND(ROUND(2*((5/8)*MAX(M700,O700)+(3/8)*MIN(M700,O700)),0)*(1+(P700-75)/500),0)</f>
        <v>223</v>
      </c>
      <c r="V700" s="361" t="n">
        <f aca="false">ROUNDDOWN(K700*1.75+50,0)</f>
        <v>179</v>
      </c>
      <c r="W700" s="261" t="n">
        <v>0</v>
      </c>
      <c r="X700" s="261" t="s">
        <v>1747</v>
      </c>
      <c r="Y700" s="364" t="s">
        <v>1747</v>
      </c>
      <c r="Z700" s="364"/>
      <c r="AA700" s="364"/>
      <c r="AB700" s="365"/>
      <c r="AC700" s="364"/>
      <c r="AD700" s="364"/>
      <c r="AE700" s="366"/>
      <c r="AF700" s="364" t="s">
        <v>1750</v>
      </c>
      <c r="AG700" s="364" t="s">
        <v>1750</v>
      </c>
      <c r="AH700" s="366" t="s">
        <v>1750</v>
      </c>
    </row>
    <row r="701" customFormat="false" ht="15.75" hidden="false" customHeight="false" outlineLevel="0" collapsed="false">
      <c r="A701" s="262" t="n">
        <v>599</v>
      </c>
      <c r="B701" s="361" t="n">
        <v>699</v>
      </c>
      <c r="C701" s="261" t="s">
        <v>1751</v>
      </c>
      <c r="D701" s="261" t="s">
        <v>60</v>
      </c>
      <c r="E701" s="362" t="s">
        <v>1751</v>
      </c>
      <c r="F701" s="261" t="s">
        <v>1532</v>
      </c>
      <c r="G701" s="261" t="s">
        <v>144</v>
      </c>
      <c r="H701" s="261" t="n">
        <v>0</v>
      </c>
      <c r="I701" s="261" t="n">
        <v>1</v>
      </c>
      <c r="J701" s="361" t="n">
        <v>0</v>
      </c>
      <c r="K701" s="262" t="n">
        <v>40</v>
      </c>
      <c r="L701" s="262" t="n">
        <v>55</v>
      </c>
      <c r="M701" s="262" t="n">
        <v>70</v>
      </c>
      <c r="N701" s="262" t="n">
        <v>45</v>
      </c>
      <c r="O701" s="262" t="n">
        <v>60</v>
      </c>
      <c r="P701" s="361" t="n">
        <v>30</v>
      </c>
      <c r="Q701" s="261" t="s">
        <v>152</v>
      </c>
      <c r="R701" s="261"/>
      <c r="S701" s="363" t="n">
        <f aca="false" t="array" ref="S701:S701">IF(COUNTIF('0.3.0 GO Calculation Values'!$J$2:$J$99,C701),(INDEX('0.3.0 GO Calculation Values'!$K$2:$K$99,MATCH(C701,'0.3.0 GO Calculation Values'!$J$2:$J$99,0))),1)</f>
        <v>1</v>
      </c>
      <c r="T701" s="262" t="n">
        <f aca="false">ROUND(ROUND(2*((7/8)*MAX(L701,N701)+(1/8)*MIN(L701,N701)),0)*(1+(P701-75)/500),0)</f>
        <v>98</v>
      </c>
      <c r="U701" s="262" t="n">
        <f aca="false">ROUND(ROUND(2*((5/8)*MAX(M701,O701)+(3/8)*MIN(M701,O701)),0)*(1+(P701-75)/500),0)</f>
        <v>121</v>
      </c>
      <c r="V701" s="361" t="n">
        <f aca="false">ROUNDDOWN(K701*1.75+50,0)</f>
        <v>120</v>
      </c>
      <c r="W701" s="261" t="n">
        <v>0</v>
      </c>
      <c r="X701" s="261" t="s">
        <v>60</v>
      </c>
      <c r="Y701" s="364" t="s">
        <v>1751</v>
      </c>
      <c r="Z701" s="364"/>
      <c r="AA701" s="364"/>
      <c r="AB701" s="365"/>
      <c r="AC701" s="364"/>
      <c r="AD701" s="364"/>
      <c r="AE701" s="366"/>
      <c r="AF701" s="364" t="s">
        <v>1752</v>
      </c>
      <c r="AG701" s="364" t="s">
        <v>1752</v>
      </c>
      <c r="AH701" s="366" t="s">
        <v>1752</v>
      </c>
    </row>
    <row r="702" customFormat="false" ht="15.75" hidden="false" customHeight="false" outlineLevel="0" collapsed="false">
      <c r="A702" s="262" t="n">
        <v>600</v>
      </c>
      <c r="B702" s="361" t="n">
        <v>700</v>
      </c>
      <c r="C702" s="261" t="s">
        <v>1753</v>
      </c>
      <c r="D702" s="261" t="s">
        <v>60</v>
      </c>
      <c r="E702" s="362" t="s">
        <v>1753</v>
      </c>
      <c r="F702" s="261" t="s">
        <v>1532</v>
      </c>
      <c r="G702" s="261" t="s">
        <v>144</v>
      </c>
      <c r="H702" s="261" t="n">
        <v>0</v>
      </c>
      <c r="I702" s="261" t="n">
        <v>2</v>
      </c>
      <c r="J702" s="361" t="n">
        <v>0</v>
      </c>
      <c r="K702" s="262" t="n">
        <v>60</v>
      </c>
      <c r="L702" s="262" t="n">
        <v>80</v>
      </c>
      <c r="M702" s="262" t="n">
        <v>95</v>
      </c>
      <c r="N702" s="262" t="n">
        <v>70</v>
      </c>
      <c r="O702" s="262" t="n">
        <v>85</v>
      </c>
      <c r="P702" s="361" t="n">
        <v>50</v>
      </c>
      <c r="Q702" s="261" t="s">
        <v>152</v>
      </c>
      <c r="R702" s="261"/>
      <c r="S702" s="363" t="n">
        <f aca="false" t="array" ref="S702:S702">IF(COUNTIF('0.3.0 GO Calculation Values'!$J$2:$J$99,C702),(INDEX('0.3.0 GO Calculation Values'!$K$2:$K$99,MATCH(C702,'0.3.0 GO Calculation Values'!$J$2:$J$99,0))),1)</f>
        <v>1</v>
      </c>
      <c r="T702" s="262" t="n">
        <f aca="false">ROUND(ROUND(2*((7/8)*MAX(L702,N702)+(1/8)*MIN(L702,N702)),0)*(1+(P702-75)/500),0)</f>
        <v>150</v>
      </c>
      <c r="U702" s="262" t="n">
        <f aca="false">ROUND(ROUND(2*((5/8)*MAX(M702,O702)+(3/8)*MIN(M702,O702)),0)*(1+(P702-75)/500),0)</f>
        <v>174</v>
      </c>
      <c r="V702" s="361" t="n">
        <f aca="false">ROUNDDOWN(K702*1.75+50,0)</f>
        <v>155</v>
      </c>
      <c r="W702" s="261" t="n">
        <v>0</v>
      </c>
      <c r="X702" s="261" t="s">
        <v>1751</v>
      </c>
      <c r="Y702" s="364" t="s">
        <v>1751</v>
      </c>
      <c r="Z702" s="364"/>
      <c r="AA702" s="364"/>
      <c r="AB702" s="365"/>
      <c r="AC702" s="364"/>
      <c r="AD702" s="364"/>
      <c r="AE702" s="366"/>
      <c r="AF702" s="364" t="s">
        <v>1754</v>
      </c>
      <c r="AG702" s="364" t="s">
        <v>1754</v>
      </c>
      <c r="AH702" s="366" t="s">
        <v>1754</v>
      </c>
    </row>
    <row r="703" customFormat="false" ht="15.75" hidden="false" customHeight="false" outlineLevel="0" collapsed="false">
      <c r="A703" s="262" t="n">
        <v>601</v>
      </c>
      <c r="B703" s="361" t="n">
        <v>701</v>
      </c>
      <c r="C703" s="261" t="s">
        <v>1755</v>
      </c>
      <c r="D703" s="261" t="s">
        <v>60</v>
      </c>
      <c r="E703" s="362" t="s">
        <v>1755</v>
      </c>
      <c r="F703" s="261" t="s">
        <v>1532</v>
      </c>
      <c r="G703" s="261" t="s">
        <v>144</v>
      </c>
      <c r="H703" s="261" t="n">
        <v>0</v>
      </c>
      <c r="I703" s="261" t="n">
        <v>3</v>
      </c>
      <c r="J703" s="361" t="n">
        <v>1</v>
      </c>
      <c r="K703" s="262" t="n">
        <v>60</v>
      </c>
      <c r="L703" s="262" t="n">
        <v>100</v>
      </c>
      <c r="M703" s="262" t="n">
        <v>115</v>
      </c>
      <c r="N703" s="262" t="n">
        <v>70</v>
      </c>
      <c r="O703" s="262" t="n">
        <v>85</v>
      </c>
      <c r="P703" s="361" t="n">
        <v>90</v>
      </c>
      <c r="Q703" s="261" t="s">
        <v>152</v>
      </c>
      <c r="R703" s="261"/>
      <c r="S703" s="363" t="n">
        <f aca="false" t="array" ref="S703:S703">IF(COUNTIF('0.3.0 GO Calculation Values'!$J$2:$J$99,C703),(INDEX('0.3.0 GO Calculation Values'!$K$2:$K$99,MATCH(C703,'0.3.0 GO Calculation Values'!$J$2:$J$99,0))),1)</f>
        <v>1</v>
      </c>
      <c r="T703" s="262" t="n">
        <f aca="false">ROUND(ROUND(2*((7/8)*MAX(L703,N703)+(1/8)*MIN(L703,N703)),0)*(1+(P703-75)/500),0)</f>
        <v>199</v>
      </c>
      <c r="U703" s="262" t="n">
        <f aca="false">ROUND(ROUND(2*((5/8)*MAX(M703,O703)+(3/8)*MIN(M703,O703)),0)*(1+(P703-75)/500),0)</f>
        <v>214</v>
      </c>
      <c r="V703" s="361" t="n">
        <f aca="false">ROUNDDOWN(K703*1.75+50,0)</f>
        <v>155</v>
      </c>
      <c r="W703" s="261" t="n">
        <v>0</v>
      </c>
      <c r="X703" s="261" t="s">
        <v>1753</v>
      </c>
      <c r="Y703" s="364" t="s">
        <v>1751</v>
      </c>
      <c r="Z703" s="364"/>
      <c r="AA703" s="364"/>
      <c r="AB703" s="365"/>
      <c r="AC703" s="364"/>
      <c r="AD703" s="364"/>
      <c r="AE703" s="366"/>
      <c r="AF703" s="364" t="s">
        <v>1756</v>
      </c>
      <c r="AG703" s="364" t="s">
        <v>1756</v>
      </c>
      <c r="AH703" s="366" t="s">
        <v>1756</v>
      </c>
    </row>
    <row r="704" customFormat="false" ht="15.75" hidden="false" customHeight="false" outlineLevel="0" collapsed="false">
      <c r="A704" s="262" t="n">
        <v>602</v>
      </c>
      <c r="B704" s="361" t="n">
        <v>702</v>
      </c>
      <c r="C704" s="261" t="s">
        <v>1757</v>
      </c>
      <c r="D704" s="261" t="s">
        <v>60</v>
      </c>
      <c r="E704" s="362" t="s">
        <v>1757</v>
      </c>
      <c r="F704" s="261" t="s">
        <v>1532</v>
      </c>
      <c r="G704" s="261" t="s">
        <v>144</v>
      </c>
      <c r="H704" s="261" t="n">
        <v>0</v>
      </c>
      <c r="I704" s="261" t="n">
        <v>1</v>
      </c>
      <c r="J704" s="361" t="n">
        <v>0</v>
      </c>
      <c r="K704" s="262" t="n">
        <v>35</v>
      </c>
      <c r="L704" s="262" t="n">
        <v>55</v>
      </c>
      <c r="M704" s="262" t="n">
        <v>40</v>
      </c>
      <c r="N704" s="262" t="n">
        <v>45</v>
      </c>
      <c r="O704" s="262" t="n">
        <v>40</v>
      </c>
      <c r="P704" s="361" t="n">
        <v>60</v>
      </c>
      <c r="Q704" s="261" t="s">
        <v>156</v>
      </c>
      <c r="R704" s="261"/>
      <c r="S704" s="363" t="n">
        <f aca="false" t="array" ref="S704:S704">IF(COUNTIF('0.3.0 GO Calculation Values'!$J$2:$J$99,C704),(INDEX('0.3.0 GO Calculation Values'!$K$2:$K$99,MATCH(C704,'0.3.0 GO Calculation Values'!$J$2:$J$99,0))),1)</f>
        <v>1</v>
      </c>
      <c r="T704" s="262" t="n">
        <f aca="false">ROUND(ROUND(2*((7/8)*MAX(L704,N704)+(1/8)*MIN(L704,N704)),0)*(1+(P704-75)/500),0)</f>
        <v>105</v>
      </c>
      <c r="U704" s="262" t="n">
        <f aca="false">ROUND(ROUND(2*((5/8)*MAX(M704,O704)+(3/8)*MIN(M704,O704)),0)*(1+(P704-75)/500),0)</f>
        <v>78</v>
      </c>
      <c r="V704" s="361" t="n">
        <f aca="false">ROUNDDOWN(K704*1.75+50,0)</f>
        <v>111</v>
      </c>
      <c r="W704" s="261" t="n">
        <v>0</v>
      </c>
      <c r="X704" s="261" t="s">
        <v>60</v>
      </c>
      <c r="Y704" s="364" t="s">
        <v>1757</v>
      </c>
      <c r="Z704" s="364"/>
      <c r="AA704" s="364"/>
      <c r="AB704" s="365"/>
      <c r="AC704" s="364"/>
      <c r="AD704" s="364"/>
      <c r="AE704" s="366"/>
      <c r="AF704" s="364" t="s">
        <v>1758</v>
      </c>
      <c r="AG704" s="364" t="s">
        <v>1758</v>
      </c>
      <c r="AH704" s="366" t="s">
        <v>1758</v>
      </c>
    </row>
    <row r="705" customFormat="false" ht="15.75" hidden="false" customHeight="false" outlineLevel="0" collapsed="false">
      <c r="A705" s="262" t="n">
        <v>603</v>
      </c>
      <c r="B705" s="361" t="n">
        <v>703</v>
      </c>
      <c r="C705" s="261" t="s">
        <v>1759</v>
      </c>
      <c r="D705" s="261" t="s">
        <v>60</v>
      </c>
      <c r="E705" s="362" t="s">
        <v>1759</v>
      </c>
      <c r="F705" s="261" t="s">
        <v>1532</v>
      </c>
      <c r="G705" s="261" t="s">
        <v>144</v>
      </c>
      <c r="H705" s="261" t="n">
        <v>0</v>
      </c>
      <c r="I705" s="261" t="n">
        <v>2</v>
      </c>
      <c r="J705" s="361" t="n">
        <v>0</v>
      </c>
      <c r="K705" s="262" t="n">
        <v>65</v>
      </c>
      <c r="L705" s="262" t="n">
        <v>85</v>
      </c>
      <c r="M705" s="262" t="n">
        <v>70</v>
      </c>
      <c r="N705" s="262" t="n">
        <v>75</v>
      </c>
      <c r="O705" s="262" t="n">
        <v>70</v>
      </c>
      <c r="P705" s="361" t="n">
        <v>40</v>
      </c>
      <c r="Q705" s="261" t="s">
        <v>156</v>
      </c>
      <c r="R705" s="261"/>
      <c r="S705" s="363" t="n">
        <f aca="false" t="array" ref="S705:S705">IF(COUNTIF('0.3.0 GO Calculation Values'!$J$2:$J$99,C705),(INDEX('0.3.0 GO Calculation Values'!$K$2:$K$99,MATCH(C705,'0.3.0 GO Calculation Values'!$J$2:$J$99,0))),1)</f>
        <v>1</v>
      </c>
      <c r="T705" s="262" t="n">
        <f aca="false">ROUND(ROUND(2*((7/8)*MAX(L705,N705)+(1/8)*MIN(L705,N705)),0)*(1+(P705-75)/500),0)</f>
        <v>156</v>
      </c>
      <c r="U705" s="262" t="n">
        <f aca="false">ROUND(ROUND(2*((5/8)*MAX(M705,O705)+(3/8)*MIN(M705,O705)),0)*(1+(P705-75)/500),0)</f>
        <v>130</v>
      </c>
      <c r="V705" s="361" t="n">
        <f aca="false">ROUNDDOWN(K705*1.75+50,0)</f>
        <v>163</v>
      </c>
      <c r="W705" s="261" t="n">
        <v>0</v>
      </c>
      <c r="X705" s="261" t="s">
        <v>1757</v>
      </c>
      <c r="Y705" s="364" t="s">
        <v>1757</v>
      </c>
      <c r="Z705" s="364"/>
      <c r="AA705" s="364"/>
      <c r="AB705" s="365"/>
      <c r="AC705" s="364"/>
      <c r="AD705" s="364"/>
      <c r="AE705" s="366"/>
      <c r="AF705" s="364" t="s">
        <v>1760</v>
      </c>
      <c r="AG705" s="364" t="s">
        <v>1760</v>
      </c>
      <c r="AH705" s="366" t="s">
        <v>1760</v>
      </c>
    </row>
    <row r="706" customFormat="false" ht="15.75" hidden="false" customHeight="false" outlineLevel="0" collapsed="false">
      <c r="A706" s="262" t="n">
        <v>604</v>
      </c>
      <c r="B706" s="361" t="n">
        <v>704</v>
      </c>
      <c r="C706" s="261" t="s">
        <v>1761</v>
      </c>
      <c r="D706" s="261" t="s">
        <v>60</v>
      </c>
      <c r="E706" s="362" t="s">
        <v>1761</v>
      </c>
      <c r="F706" s="261" t="s">
        <v>1532</v>
      </c>
      <c r="G706" s="261" t="s">
        <v>144</v>
      </c>
      <c r="H706" s="261" t="n">
        <v>0</v>
      </c>
      <c r="I706" s="261" t="n">
        <v>3</v>
      </c>
      <c r="J706" s="361" t="n">
        <v>1</v>
      </c>
      <c r="K706" s="262" t="n">
        <v>85</v>
      </c>
      <c r="L706" s="262" t="n">
        <v>115</v>
      </c>
      <c r="M706" s="262" t="n">
        <v>80</v>
      </c>
      <c r="N706" s="262" t="n">
        <v>105</v>
      </c>
      <c r="O706" s="262" t="n">
        <v>80</v>
      </c>
      <c r="P706" s="361" t="n">
        <v>50</v>
      </c>
      <c r="Q706" s="261" t="s">
        <v>156</v>
      </c>
      <c r="R706" s="261"/>
      <c r="S706" s="363" t="n">
        <f aca="false" t="array" ref="S706:S706">IF(COUNTIF('0.3.0 GO Calculation Values'!$J$2:$J$99,C706),(INDEX('0.3.0 GO Calculation Values'!$K$2:$K$99,MATCH(C706,'0.3.0 GO Calculation Values'!$J$2:$J$99,0))),1)</f>
        <v>1</v>
      </c>
      <c r="T706" s="262" t="n">
        <f aca="false">ROUND(ROUND(2*((7/8)*MAX(L706,N706)+(1/8)*MIN(L706,N706)),0)*(1+(P706-75)/500),0)</f>
        <v>217</v>
      </c>
      <c r="U706" s="262" t="n">
        <f aca="false">ROUND(ROUND(2*((5/8)*MAX(M706,O706)+(3/8)*MIN(M706,O706)),0)*(1+(P706-75)/500),0)</f>
        <v>152</v>
      </c>
      <c r="V706" s="361" t="n">
        <f aca="false">ROUNDDOWN(K706*1.75+50,0)</f>
        <v>198</v>
      </c>
      <c r="W706" s="261" t="n">
        <v>0</v>
      </c>
      <c r="X706" s="261" t="s">
        <v>1759</v>
      </c>
      <c r="Y706" s="364" t="s">
        <v>1757</v>
      </c>
      <c r="Z706" s="364"/>
      <c r="AA706" s="364"/>
      <c r="AB706" s="365"/>
      <c r="AC706" s="364"/>
      <c r="AD706" s="364"/>
      <c r="AE706" s="366"/>
      <c r="AF706" s="364" t="s">
        <v>1762</v>
      </c>
      <c r="AG706" s="364" t="s">
        <v>1762</v>
      </c>
      <c r="AH706" s="366" t="s">
        <v>1762</v>
      </c>
    </row>
    <row r="707" customFormat="false" ht="15.75" hidden="false" customHeight="false" outlineLevel="0" collapsed="false">
      <c r="A707" s="262" t="n">
        <v>605</v>
      </c>
      <c r="B707" s="361" t="n">
        <v>705</v>
      </c>
      <c r="C707" s="261" t="s">
        <v>1763</v>
      </c>
      <c r="D707" s="261" t="s">
        <v>60</v>
      </c>
      <c r="E707" s="362" t="s">
        <v>1763</v>
      </c>
      <c r="F707" s="261" t="s">
        <v>1532</v>
      </c>
      <c r="G707" s="261" t="s">
        <v>144</v>
      </c>
      <c r="H707" s="261" t="n">
        <v>0</v>
      </c>
      <c r="I707" s="261" t="n">
        <v>1</v>
      </c>
      <c r="J707" s="361" t="n">
        <v>0</v>
      </c>
      <c r="K707" s="262" t="n">
        <v>55</v>
      </c>
      <c r="L707" s="262" t="n">
        <v>55</v>
      </c>
      <c r="M707" s="262" t="n">
        <v>55</v>
      </c>
      <c r="N707" s="262" t="n">
        <v>85</v>
      </c>
      <c r="O707" s="262" t="n">
        <v>55</v>
      </c>
      <c r="P707" s="361" t="n">
        <v>30</v>
      </c>
      <c r="Q707" s="261" t="s">
        <v>157</v>
      </c>
      <c r="R707" s="261"/>
      <c r="S707" s="363" t="n">
        <f aca="false" t="array" ref="S707:S707">IF(COUNTIF('0.3.0 GO Calculation Values'!$J$2:$J$99,C707),(INDEX('0.3.0 GO Calculation Values'!$K$2:$K$99,MATCH(C707,'0.3.0 GO Calculation Values'!$J$2:$J$99,0))),1)</f>
        <v>1</v>
      </c>
      <c r="T707" s="262" t="n">
        <f aca="false">ROUND(ROUND(2*((7/8)*MAX(L707,N707)+(1/8)*MIN(L707,N707)),0)*(1+(P707-75)/500),0)</f>
        <v>148</v>
      </c>
      <c r="U707" s="262" t="n">
        <f aca="false">ROUND(ROUND(2*((5/8)*MAX(M707,O707)+(3/8)*MIN(M707,O707)),0)*(1+(P707-75)/500),0)</f>
        <v>100</v>
      </c>
      <c r="V707" s="361" t="n">
        <f aca="false">ROUNDDOWN(K707*1.75+50,0)</f>
        <v>146</v>
      </c>
      <c r="W707" s="261" t="n">
        <v>0</v>
      </c>
      <c r="X707" s="261" t="s">
        <v>60</v>
      </c>
      <c r="Y707" s="364" t="s">
        <v>1763</v>
      </c>
      <c r="Z707" s="364"/>
      <c r="AA707" s="364"/>
      <c r="AB707" s="365"/>
      <c r="AC707" s="364"/>
      <c r="AD707" s="364"/>
      <c r="AE707" s="366"/>
      <c r="AF707" s="364" t="s">
        <v>1764</v>
      </c>
      <c r="AG707" s="364" t="s">
        <v>1764</v>
      </c>
      <c r="AH707" s="366" t="s">
        <v>1764</v>
      </c>
    </row>
    <row r="708" customFormat="false" ht="15.75" hidden="false" customHeight="false" outlineLevel="0" collapsed="false">
      <c r="A708" s="262" t="n">
        <v>606</v>
      </c>
      <c r="B708" s="361" t="n">
        <v>706</v>
      </c>
      <c r="C708" s="261" t="s">
        <v>1765</v>
      </c>
      <c r="D708" s="261" t="s">
        <v>60</v>
      </c>
      <c r="E708" s="362" t="s">
        <v>1765</v>
      </c>
      <c r="F708" s="261" t="s">
        <v>1532</v>
      </c>
      <c r="G708" s="261" t="s">
        <v>144</v>
      </c>
      <c r="H708" s="261" t="n">
        <v>0</v>
      </c>
      <c r="I708" s="261" t="n">
        <v>2</v>
      </c>
      <c r="J708" s="361" t="n">
        <v>1</v>
      </c>
      <c r="K708" s="262" t="n">
        <v>75</v>
      </c>
      <c r="L708" s="262" t="n">
        <v>75</v>
      </c>
      <c r="M708" s="262" t="n">
        <v>75</v>
      </c>
      <c r="N708" s="262" t="n">
        <v>125</v>
      </c>
      <c r="O708" s="262" t="n">
        <v>95</v>
      </c>
      <c r="P708" s="361" t="n">
        <v>40</v>
      </c>
      <c r="Q708" s="261" t="s">
        <v>157</v>
      </c>
      <c r="R708" s="261"/>
      <c r="S708" s="363" t="n">
        <f aca="false" t="array" ref="S708:S708">IF(COUNTIF('0.3.0 GO Calculation Values'!$J$2:$J$99,C708),(INDEX('0.3.0 GO Calculation Values'!$K$2:$K$99,MATCH(C708,'0.3.0 GO Calculation Values'!$J$2:$J$99,0))),1)</f>
        <v>1</v>
      </c>
      <c r="T708" s="262" t="n">
        <f aca="false">ROUND(ROUND(2*((7/8)*MAX(L708,N708)+(1/8)*MIN(L708,N708)),0)*(1+(P708-75)/500),0)</f>
        <v>221</v>
      </c>
      <c r="U708" s="262" t="n">
        <f aca="false">ROUND(ROUND(2*((5/8)*MAX(M708,O708)+(3/8)*MIN(M708,O708)),0)*(1+(P708-75)/500),0)</f>
        <v>163</v>
      </c>
      <c r="V708" s="361" t="n">
        <f aca="false">ROUNDDOWN(K708*1.75+50,0)</f>
        <v>181</v>
      </c>
      <c r="W708" s="261" t="n">
        <v>0</v>
      </c>
      <c r="X708" s="261" t="s">
        <v>1763</v>
      </c>
      <c r="Y708" s="364" t="s">
        <v>1763</v>
      </c>
      <c r="Z708" s="364"/>
      <c r="AA708" s="364"/>
      <c r="AB708" s="365"/>
      <c r="AC708" s="364"/>
      <c r="AD708" s="364"/>
      <c r="AE708" s="366"/>
      <c r="AF708" s="364" t="s">
        <v>1766</v>
      </c>
      <c r="AG708" s="364" t="s">
        <v>1766</v>
      </c>
      <c r="AH708" s="366" t="s">
        <v>1766</v>
      </c>
    </row>
    <row r="709" customFormat="false" ht="15.75" hidden="false" customHeight="false" outlineLevel="0" collapsed="false">
      <c r="A709" s="262" t="n">
        <v>607</v>
      </c>
      <c r="B709" s="361" t="n">
        <v>707</v>
      </c>
      <c r="C709" s="261" t="s">
        <v>1767</v>
      </c>
      <c r="D709" s="261" t="s">
        <v>60</v>
      </c>
      <c r="E709" s="362" t="s">
        <v>1767</v>
      </c>
      <c r="F709" s="261" t="s">
        <v>1532</v>
      </c>
      <c r="G709" s="261" t="s">
        <v>144</v>
      </c>
      <c r="H709" s="261" t="n">
        <v>0</v>
      </c>
      <c r="I709" s="261" t="n">
        <v>1</v>
      </c>
      <c r="J709" s="361" t="n">
        <v>0</v>
      </c>
      <c r="K709" s="262" t="n">
        <v>50</v>
      </c>
      <c r="L709" s="262" t="n">
        <v>30</v>
      </c>
      <c r="M709" s="262" t="n">
        <v>55</v>
      </c>
      <c r="N709" s="262" t="n">
        <v>65</v>
      </c>
      <c r="O709" s="262" t="n">
        <v>55</v>
      </c>
      <c r="P709" s="361" t="n">
        <v>20</v>
      </c>
      <c r="Q709" s="261" t="s">
        <v>151</v>
      </c>
      <c r="R709" s="261" t="s">
        <v>153</v>
      </c>
      <c r="S709" s="363" t="n">
        <f aca="false" t="array" ref="S709:S709">IF(COUNTIF('0.3.0 GO Calculation Values'!$J$2:$J$99,C709),(INDEX('0.3.0 GO Calculation Values'!$K$2:$K$99,MATCH(C709,'0.3.0 GO Calculation Values'!$J$2:$J$99,0))),1)</f>
        <v>1</v>
      </c>
      <c r="T709" s="262" t="n">
        <f aca="false">ROUND(ROUND(2*((7/8)*MAX(L709,N709)+(1/8)*MIN(L709,N709)),0)*(1+(P709-75)/500),0)</f>
        <v>108</v>
      </c>
      <c r="U709" s="262" t="n">
        <f aca="false">ROUND(ROUND(2*((5/8)*MAX(M709,O709)+(3/8)*MIN(M709,O709)),0)*(1+(P709-75)/500),0)</f>
        <v>98</v>
      </c>
      <c r="V709" s="361" t="n">
        <f aca="false">ROUNDDOWN(K709*1.75+50,0)</f>
        <v>137</v>
      </c>
      <c r="W709" s="261" t="n">
        <v>0</v>
      </c>
      <c r="X709" s="261" t="s">
        <v>60</v>
      </c>
      <c r="Y709" s="364" t="s">
        <v>1767</v>
      </c>
      <c r="Z709" s="364"/>
      <c r="AA709" s="364"/>
      <c r="AB709" s="365"/>
      <c r="AC709" s="364"/>
      <c r="AD709" s="364"/>
      <c r="AE709" s="366"/>
      <c r="AF709" s="364" t="s">
        <v>1768</v>
      </c>
      <c r="AG709" s="364" t="s">
        <v>1768</v>
      </c>
      <c r="AH709" s="366" t="s">
        <v>1768</v>
      </c>
    </row>
    <row r="710" customFormat="false" ht="15.75" hidden="false" customHeight="false" outlineLevel="0" collapsed="false">
      <c r="A710" s="262" t="n">
        <v>608</v>
      </c>
      <c r="B710" s="361" t="n">
        <v>708</v>
      </c>
      <c r="C710" s="261" t="s">
        <v>1769</v>
      </c>
      <c r="D710" s="261" t="s">
        <v>60</v>
      </c>
      <c r="E710" s="362" t="s">
        <v>1769</v>
      </c>
      <c r="F710" s="261" t="s">
        <v>1532</v>
      </c>
      <c r="G710" s="261" t="s">
        <v>144</v>
      </c>
      <c r="H710" s="261" t="n">
        <v>0</v>
      </c>
      <c r="I710" s="261" t="n">
        <v>2</v>
      </c>
      <c r="J710" s="361" t="n">
        <v>0</v>
      </c>
      <c r="K710" s="262" t="n">
        <v>60</v>
      </c>
      <c r="L710" s="262" t="n">
        <v>40</v>
      </c>
      <c r="M710" s="262" t="n">
        <v>60</v>
      </c>
      <c r="N710" s="262" t="n">
        <v>95</v>
      </c>
      <c r="O710" s="262" t="n">
        <v>60</v>
      </c>
      <c r="P710" s="361" t="n">
        <v>55</v>
      </c>
      <c r="Q710" s="261" t="s">
        <v>151</v>
      </c>
      <c r="R710" s="261" t="s">
        <v>153</v>
      </c>
      <c r="S710" s="363" t="n">
        <f aca="false" t="array" ref="S710:S710">IF(COUNTIF('0.3.0 GO Calculation Values'!$J$2:$J$99,C710),(INDEX('0.3.0 GO Calculation Values'!$K$2:$K$99,MATCH(C710,'0.3.0 GO Calculation Values'!$J$2:$J$99,0))),1)</f>
        <v>1</v>
      </c>
      <c r="T710" s="262" t="n">
        <f aca="false">ROUND(ROUND(2*((7/8)*MAX(L710,N710)+(1/8)*MIN(L710,N710)),0)*(1+(P710-75)/500),0)</f>
        <v>169</v>
      </c>
      <c r="U710" s="262" t="n">
        <f aca="false">ROUND(ROUND(2*((5/8)*MAX(M710,O710)+(3/8)*MIN(M710,O710)),0)*(1+(P710-75)/500),0)</f>
        <v>115</v>
      </c>
      <c r="V710" s="361" t="n">
        <f aca="false">ROUNDDOWN(K710*1.75+50,0)</f>
        <v>155</v>
      </c>
      <c r="W710" s="261" t="n">
        <v>0</v>
      </c>
      <c r="X710" s="261" t="s">
        <v>1767</v>
      </c>
      <c r="Y710" s="364" t="s">
        <v>1767</v>
      </c>
      <c r="Z710" s="364"/>
      <c r="AA710" s="364"/>
      <c r="AB710" s="365"/>
      <c r="AC710" s="364"/>
      <c r="AD710" s="364"/>
      <c r="AE710" s="366"/>
      <c r="AF710" s="364" t="s">
        <v>1770</v>
      </c>
      <c r="AG710" s="364" t="s">
        <v>1770</v>
      </c>
      <c r="AH710" s="366" t="s">
        <v>1770</v>
      </c>
    </row>
    <row r="711" customFormat="false" ht="15.75" hidden="false" customHeight="false" outlineLevel="0" collapsed="false">
      <c r="A711" s="262" t="n">
        <v>609</v>
      </c>
      <c r="B711" s="361" t="n">
        <v>709</v>
      </c>
      <c r="C711" s="261" t="s">
        <v>1771</v>
      </c>
      <c r="D711" s="261" t="s">
        <v>60</v>
      </c>
      <c r="E711" s="362" t="s">
        <v>1771</v>
      </c>
      <c r="F711" s="261" t="s">
        <v>1532</v>
      </c>
      <c r="G711" s="261" t="s">
        <v>144</v>
      </c>
      <c r="H711" s="261" t="n">
        <v>0</v>
      </c>
      <c r="I711" s="261" t="n">
        <v>3</v>
      </c>
      <c r="J711" s="361" t="n">
        <v>1</v>
      </c>
      <c r="K711" s="262" t="n">
        <v>60</v>
      </c>
      <c r="L711" s="262" t="n">
        <v>55</v>
      </c>
      <c r="M711" s="262" t="n">
        <v>90</v>
      </c>
      <c r="N711" s="262" t="n">
        <v>145</v>
      </c>
      <c r="O711" s="262" t="n">
        <v>90</v>
      </c>
      <c r="P711" s="361" t="n">
        <v>80</v>
      </c>
      <c r="Q711" s="261" t="s">
        <v>151</v>
      </c>
      <c r="R711" s="261" t="s">
        <v>153</v>
      </c>
      <c r="S711" s="363" t="n">
        <f aca="false" t="array" ref="S711:S711">IF(COUNTIF('0.3.0 GO Calculation Values'!$J$2:$J$99,C711),(INDEX('0.3.0 GO Calculation Values'!$K$2:$K$99,MATCH(C711,'0.3.0 GO Calculation Values'!$J$2:$J$99,0))),1)</f>
        <v>1</v>
      </c>
      <c r="T711" s="262" t="n">
        <f aca="false">ROUND(ROUND(2*((7/8)*MAX(L711,N711)+(1/8)*MIN(L711,N711)),0)*(1+(P711-75)/500),0)</f>
        <v>271</v>
      </c>
      <c r="U711" s="262" t="n">
        <f aca="false">ROUND(ROUND(2*((5/8)*MAX(M711,O711)+(3/8)*MIN(M711,O711)),0)*(1+(P711-75)/500),0)</f>
        <v>182</v>
      </c>
      <c r="V711" s="361" t="n">
        <f aca="false">ROUNDDOWN(K711*1.75+50,0)</f>
        <v>155</v>
      </c>
      <c r="W711" s="261" t="n">
        <v>0</v>
      </c>
      <c r="X711" s="261" t="s">
        <v>1769</v>
      </c>
      <c r="Y711" s="364" t="s">
        <v>1767</v>
      </c>
      <c r="Z711" s="364"/>
      <c r="AA711" s="364"/>
      <c r="AB711" s="365"/>
      <c r="AC711" s="364"/>
      <c r="AD711" s="364"/>
      <c r="AE711" s="366"/>
      <c r="AF711" s="364" t="s">
        <v>1772</v>
      </c>
      <c r="AG711" s="364" t="s">
        <v>1772</v>
      </c>
      <c r="AH711" s="366" t="s">
        <v>1772</v>
      </c>
    </row>
    <row r="712" customFormat="false" ht="15.75" hidden="false" customHeight="false" outlineLevel="0" collapsed="false">
      <c r="A712" s="262" t="n">
        <v>610</v>
      </c>
      <c r="B712" s="361" t="n">
        <v>710</v>
      </c>
      <c r="C712" s="261" t="s">
        <v>1773</v>
      </c>
      <c r="D712" s="261" t="s">
        <v>60</v>
      </c>
      <c r="E712" s="362" t="s">
        <v>1773</v>
      </c>
      <c r="F712" s="261" t="s">
        <v>1532</v>
      </c>
      <c r="G712" s="261" t="s">
        <v>144</v>
      </c>
      <c r="H712" s="261" t="n">
        <v>0</v>
      </c>
      <c r="I712" s="261" t="n">
        <v>1</v>
      </c>
      <c r="J712" s="361" t="n">
        <v>0</v>
      </c>
      <c r="K712" s="262" t="n">
        <v>46</v>
      </c>
      <c r="L712" s="262" t="n">
        <v>87</v>
      </c>
      <c r="M712" s="262" t="n">
        <v>60</v>
      </c>
      <c r="N712" s="262" t="n">
        <v>30</v>
      </c>
      <c r="O712" s="262" t="n">
        <v>40</v>
      </c>
      <c r="P712" s="361" t="n">
        <v>57</v>
      </c>
      <c r="Q712" s="261" t="s">
        <v>159</v>
      </c>
      <c r="R712" s="261"/>
      <c r="S712" s="363" t="n">
        <f aca="false" t="array" ref="S712:S712">IF(COUNTIF('0.3.0 GO Calculation Values'!$J$2:$J$99,C712),(INDEX('0.3.0 GO Calculation Values'!$K$2:$K$99,MATCH(C712,'0.3.0 GO Calculation Values'!$J$2:$J$99,0))),1)</f>
        <v>1</v>
      </c>
      <c r="T712" s="262" t="n">
        <f aca="false">ROUND(ROUND(2*((7/8)*MAX(L712,N712)+(1/8)*MIN(L712,N712)),0)*(1+(P712-75)/500),0)</f>
        <v>154</v>
      </c>
      <c r="U712" s="262" t="n">
        <f aca="false">ROUND(ROUND(2*((5/8)*MAX(M712,O712)+(3/8)*MIN(M712,O712)),0)*(1+(P712-75)/500),0)</f>
        <v>101</v>
      </c>
      <c r="V712" s="361" t="n">
        <f aca="false">ROUNDDOWN(K712*1.75+50,0)</f>
        <v>130</v>
      </c>
      <c r="W712" s="261" t="n">
        <v>0</v>
      </c>
      <c r="X712" s="261" t="s">
        <v>60</v>
      </c>
      <c r="Y712" s="364" t="s">
        <v>1773</v>
      </c>
      <c r="Z712" s="364"/>
      <c r="AA712" s="364"/>
      <c r="AB712" s="365"/>
      <c r="AC712" s="364"/>
      <c r="AD712" s="364"/>
      <c r="AE712" s="366"/>
      <c r="AF712" s="364" t="s">
        <v>1774</v>
      </c>
      <c r="AG712" s="364" t="s">
        <v>1774</v>
      </c>
      <c r="AH712" s="366" t="s">
        <v>1774</v>
      </c>
    </row>
    <row r="713" customFormat="false" ht="15.75" hidden="false" customHeight="false" outlineLevel="0" collapsed="false">
      <c r="A713" s="262" t="n">
        <v>611</v>
      </c>
      <c r="B713" s="361" t="n">
        <v>711</v>
      </c>
      <c r="C713" s="261" t="s">
        <v>1775</v>
      </c>
      <c r="D713" s="261" t="s">
        <v>60</v>
      </c>
      <c r="E713" s="362" t="s">
        <v>1775</v>
      </c>
      <c r="F713" s="261" t="s">
        <v>1532</v>
      </c>
      <c r="G713" s="261" t="s">
        <v>144</v>
      </c>
      <c r="H713" s="261" t="n">
        <v>0</v>
      </c>
      <c r="I713" s="261" t="n">
        <v>2</v>
      </c>
      <c r="J713" s="361" t="n">
        <v>0</v>
      </c>
      <c r="K713" s="262" t="n">
        <v>66</v>
      </c>
      <c r="L713" s="262" t="n">
        <v>117</v>
      </c>
      <c r="M713" s="262" t="n">
        <v>70</v>
      </c>
      <c r="N713" s="262" t="n">
        <v>40</v>
      </c>
      <c r="O713" s="262" t="n">
        <v>50</v>
      </c>
      <c r="P713" s="361" t="n">
        <v>67</v>
      </c>
      <c r="Q713" s="261" t="s">
        <v>159</v>
      </c>
      <c r="R713" s="261"/>
      <c r="S713" s="363" t="n">
        <f aca="false" t="array" ref="S713:S713">IF(COUNTIF('0.3.0 GO Calculation Values'!$J$2:$J$99,C713),(INDEX('0.3.0 GO Calculation Values'!$K$2:$K$99,MATCH(C713,'0.3.0 GO Calculation Values'!$J$2:$J$99,0))),1)</f>
        <v>1</v>
      </c>
      <c r="T713" s="262" t="n">
        <f aca="false">ROUND(ROUND(2*((7/8)*MAX(L713,N713)+(1/8)*MIN(L713,N713)),0)*(1+(P713-75)/500),0)</f>
        <v>212</v>
      </c>
      <c r="U713" s="262" t="n">
        <f aca="false">ROUND(ROUND(2*((5/8)*MAX(M713,O713)+(3/8)*MIN(M713,O713)),0)*(1+(P713-75)/500),0)</f>
        <v>123</v>
      </c>
      <c r="V713" s="361" t="n">
        <f aca="false">ROUNDDOWN(K713*1.75+50,0)</f>
        <v>165</v>
      </c>
      <c r="W713" s="261" t="n">
        <v>0</v>
      </c>
      <c r="X713" s="261" t="s">
        <v>1773</v>
      </c>
      <c r="Y713" s="364" t="s">
        <v>1773</v>
      </c>
      <c r="Z713" s="364"/>
      <c r="AA713" s="364"/>
      <c r="AB713" s="365"/>
      <c r="AC713" s="364"/>
      <c r="AD713" s="364"/>
      <c r="AE713" s="366"/>
      <c r="AF713" s="364" t="s">
        <v>1776</v>
      </c>
      <c r="AG713" s="364" t="s">
        <v>1776</v>
      </c>
      <c r="AH713" s="366" t="s">
        <v>1776</v>
      </c>
    </row>
    <row r="714" customFormat="false" ht="15.75" hidden="false" customHeight="false" outlineLevel="0" collapsed="false">
      <c r="A714" s="262" t="n">
        <v>612</v>
      </c>
      <c r="B714" s="361" t="n">
        <v>712</v>
      </c>
      <c r="C714" s="261" t="s">
        <v>1777</v>
      </c>
      <c r="D714" s="261" t="s">
        <v>60</v>
      </c>
      <c r="E714" s="362" t="s">
        <v>1777</v>
      </c>
      <c r="F714" s="261" t="s">
        <v>1532</v>
      </c>
      <c r="G714" s="261" t="s">
        <v>144</v>
      </c>
      <c r="H714" s="261" t="n">
        <v>0</v>
      </c>
      <c r="I714" s="261" t="n">
        <v>3</v>
      </c>
      <c r="J714" s="361" t="n">
        <v>1</v>
      </c>
      <c r="K714" s="262" t="n">
        <v>76</v>
      </c>
      <c r="L714" s="262" t="n">
        <v>147</v>
      </c>
      <c r="M714" s="262" t="n">
        <v>90</v>
      </c>
      <c r="N714" s="262" t="n">
        <v>60</v>
      </c>
      <c r="O714" s="262" t="n">
        <v>70</v>
      </c>
      <c r="P714" s="361" t="n">
        <v>97</v>
      </c>
      <c r="Q714" s="261" t="s">
        <v>159</v>
      </c>
      <c r="R714" s="261"/>
      <c r="S714" s="363" t="n">
        <f aca="false" t="array" ref="S714:S714">IF(COUNTIF('0.3.0 GO Calculation Values'!$J$2:$J$99,C714),(INDEX('0.3.0 GO Calculation Values'!$K$2:$K$99,MATCH(C714,'0.3.0 GO Calculation Values'!$J$2:$J$99,0))),1)</f>
        <v>1</v>
      </c>
      <c r="T714" s="262" t="n">
        <f aca="false">ROUND(ROUND(2*((7/8)*MAX(L714,N714)+(1/8)*MIN(L714,N714)),0)*(1+(P714-75)/500),0)</f>
        <v>284</v>
      </c>
      <c r="U714" s="262" t="n">
        <f aca="false">ROUND(ROUND(2*((5/8)*MAX(M714,O714)+(3/8)*MIN(M714,O714)),0)*(1+(P714-75)/500),0)</f>
        <v>172</v>
      </c>
      <c r="V714" s="361" t="n">
        <f aca="false">ROUNDDOWN(K714*1.75+50,0)</f>
        <v>183</v>
      </c>
      <c r="W714" s="261" t="n">
        <v>0</v>
      </c>
      <c r="X714" s="261" t="s">
        <v>1775</v>
      </c>
      <c r="Y714" s="364" t="s">
        <v>1773</v>
      </c>
      <c r="Z714" s="364"/>
      <c r="AA714" s="364"/>
      <c r="AB714" s="365"/>
      <c r="AC714" s="364"/>
      <c r="AD714" s="364"/>
      <c r="AE714" s="366"/>
      <c r="AF714" s="364" t="s">
        <v>1778</v>
      </c>
      <c r="AG714" s="364" t="s">
        <v>1778</v>
      </c>
      <c r="AH714" s="366" t="s">
        <v>1778</v>
      </c>
    </row>
    <row r="715" customFormat="false" ht="15.75" hidden="false" customHeight="false" outlineLevel="0" collapsed="false">
      <c r="A715" s="262" t="n">
        <v>613</v>
      </c>
      <c r="B715" s="361" t="n">
        <v>713</v>
      </c>
      <c r="C715" s="261" t="s">
        <v>1779</v>
      </c>
      <c r="D715" s="261" t="s">
        <v>60</v>
      </c>
      <c r="E715" s="362" t="s">
        <v>1779</v>
      </c>
      <c r="F715" s="261" t="s">
        <v>1532</v>
      </c>
      <c r="G715" s="261" t="s">
        <v>144</v>
      </c>
      <c r="H715" s="261" t="n">
        <v>0</v>
      </c>
      <c r="I715" s="261" t="n">
        <v>1</v>
      </c>
      <c r="J715" s="361" t="n">
        <v>0</v>
      </c>
      <c r="K715" s="262" t="n">
        <v>55</v>
      </c>
      <c r="L715" s="262" t="n">
        <v>70</v>
      </c>
      <c r="M715" s="262" t="n">
        <v>40</v>
      </c>
      <c r="N715" s="262" t="n">
        <v>60</v>
      </c>
      <c r="O715" s="262" t="n">
        <v>40</v>
      </c>
      <c r="P715" s="361" t="n">
        <v>40</v>
      </c>
      <c r="Q715" s="261" t="s">
        <v>158</v>
      </c>
      <c r="R715" s="261"/>
      <c r="S715" s="363" t="n">
        <f aca="false" t="array" ref="S715:S715">IF(COUNTIF('0.3.0 GO Calculation Values'!$J$2:$J$99,C715),(INDEX('0.3.0 GO Calculation Values'!$K$2:$K$99,MATCH(C715,'0.3.0 GO Calculation Values'!$J$2:$J$99,0))),1)</f>
        <v>1</v>
      </c>
      <c r="T715" s="262" t="n">
        <f aca="false">ROUND(ROUND(2*((7/8)*MAX(L715,N715)+(1/8)*MIN(L715,N715)),0)*(1+(P715-75)/500),0)</f>
        <v>128</v>
      </c>
      <c r="U715" s="262" t="n">
        <f aca="false">ROUND(ROUND(2*((5/8)*MAX(M715,O715)+(3/8)*MIN(M715,O715)),0)*(1+(P715-75)/500),0)</f>
        <v>74</v>
      </c>
      <c r="V715" s="361" t="n">
        <f aca="false">ROUNDDOWN(K715*1.75+50,0)</f>
        <v>146</v>
      </c>
      <c r="W715" s="261" t="n">
        <v>0</v>
      </c>
      <c r="X715" s="261" t="s">
        <v>60</v>
      </c>
      <c r="Y715" s="364" t="s">
        <v>1779</v>
      </c>
      <c r="Z715" s="364"/>
      <c r="AA715" s="364"/>
      <c r="AB715" s="365"/>
      <c r="AC715" s="364"/>
      <c r="AD715" s="364"/>
      <c r="AE715" s="366"/>
      <c r="AF715" s="364" t="s">
        <v>1780</v>
      </c>
      <c r="AG715" s="364" t="s">
        <v>1780</v>
      </c>
      <c r="AH715" s="366" t="s">
        <v>1780</v>
      </c>
    </row>
    <row r="716" customFormat="false" ht="15.75" hidden="false" customHeight="false" outlineLevel="0" collapsed="false">
      <c r="A716" s="262" t="n">
        <v>614</v>
      </c>
      <c r="B716" s="361" t="n">
        <v>714</v>
      </c>
      <c r="C716" s="261" t="s">
        <v>1781</v>
      </c>
      <c r="D716" s="261" t="s">
        <v>60</v>
      </c>
      <c r="E716" s="362" t="s">
        <v>1781</v>
      </c>
      <c r="F716" s="261" t="s">
        <v>1532</v>
      </c>
      <c r="G716" s="261" t="s">
        <v>144</v>
      </c>
      <c r="H716" s="261" t="n">
        <v>0</v>
      </c>
      <c r="I716" s="261" t="n">
        <v>2</v>
      </c>
      <c r="J716" s="361" t="n">
        <v>1</v>
      </c>
      <c r="K716" s="262" t="n">
        <v>95</v>
      </c>
      <c r="L716" s="262" t="n">
        <v>130</v>
      </c>
      <c r="M716" s="262" t="n">
        <v>80</v>
      </c>
      <c r="N716" s="262" t="n">
        <v>70</v>
      </c>
      <c r="O716" s="262" t="n">
        <v>80</v>
      </c>
      <c r="P716" s="361" t="n">
        <v>50</v>
      </c>
      <c r="Q716" s="261" t="s">
        <v>158</v>
      </c>
      <c r="R716" s="261"/>
      <c r="S716" s="363" t="n">
        <f aca="false" t="array" ref="S716:S716">IF(COUNTIF('0.3.0 GO Calculation Values'!$J$2:$J$99,C716),(INDEX('0.3.0 GO Calculation Values'!$K$2:$K$99,MATCH(C716,'0.3.0 GO Calculation Values'!$J$2:$J$99,0))),1)</f>
        <v>1</v>
      </c>
      <c r="T716" s="262" t="n">
        <f aca="false">ROUND(ROUND(2*((7/8)*MAX(L716,N716)+(1/8)*MIN(L716,N716)),0)*(1+(P716-75)/500),0)</f>
        <v>233</v>
      </c>
      <c r="U716" s="262" t="n">
        <f aca="false">ROUND(ROUND(2*((5/8)*MAX(M716,O716)+(3/8)*MIN(M716,O716)),0)*(1+(P716-75)/500),0)</f>
        <v>152</v>
      </c>
      <c r="V716" s="361" t="n">
        <f aca="false">ROUNDDOWN(K716*1.75+50,0)</f>
        <v>216</v>
      </c>
      <c r="W716" s="261" t="n">
        <v>0</v>
      </c>
      <c r="X716" s="261" t="s">
        <v>1779</v>
      </c>
      <c r="Y716" s="364" t="s">
        <v>1779</v>
      </c>
      <c r="Z716" s="364"/>
      <c r="AA716" s="364"/>
      <c r="AB716" s="365"/>
      <c r="AC716" s="364"/>
      <c r="AD716" s="364"/>
      <c r="AE716" s="366"/>
      <c r="AF716" s="364" t="s">
        <v>1782</v>
      </c>
      <c r="AG716" s="364" t="s">
        <v>1782</v>
      </c>
      <c r="AH716" s="366" t="s">
        <v>1782</v>
      </c>
    </row>
    <row r="717" customFormat="false" ht="15.75" hidden="false" customHeight="false" outlineLevel="0" collapsed="false">
      <c r="A717" s="262" t="n">
        <v>615</v>
      </c>
      <c r="B717" s="361" t="n">
        <v>715</v>
      </c>
      <c r="C717" s="261" t="s">
        <v>1783</v>
      </c>
      <c r="D717" s="261" t="s">
        <v>60</v>
      </c>
      <c r="E717" s="362" t="s">
        <v>1783</v>
      </c>
      <c r="F717" s="261" t="s">
        <v>1532</v>
      </c>
      <c r="G717" s="261" t="s">
        <v>144</v>
      </c>
      <c r="H717" s="261" t="n">
        <v>0</v>
      </c>
      <c r="I717" s="261" t="n">
        <v>1</v>
      </c>
      <c r="J717" s="361" t="n">
        <v>1</v>
      </c>
      <c r="K717" s="262" t="n">
        <v>80</v>
      </c>
      <c r="L717" s="262" t="n">
        <v>50</v>
      </c>
      <c r="M717" s="262" t="n">
        <v>50</v>
      </c>
      <c r="N717" s="262" t="n">
        <v>95</v>
      </c>
      <c r="O717" s="262" t="n">
        <v>135</v>
      </c>
      <c r="P717" s="361" t="n">
        <v>105</v>
      </c>
      <c r="Q717" s="261" t="s">
        <v>158</v>
      </c>
      <c r="R717" s="261"/>
      <c r="S717" s="363" t="n">
        <f aca="false" t="array" ref="S717:S717">IF(COUNTIF('0.3.0 GO Calculation Values'!$J$2:$J$99,C717),(INDEX('0.3.0 GO Calculation Values'!$K$2:$K$99,MATCH(C717,'0.3.0 GO Calculation Values'!$J$2:$J$99,0))),1)</f>
        <v>1</v>
      </c>
      <c r="T717" s="262" t="n">
        <f aca="false">ROUND(ROUND(2*((7/8)*MAX(L717,N717)+(1/8)*MIN(L717,N717)),0)*(1+(P717-75)/500),0)</f>
        <v>190</v>
      </c>
      <c r="U717" s="262" t="n">
        <f aca="false">ROUND(ROUND(2*((5/8)*MAX(M717,O717)+(3/8)*MIN(M717,O717)),0)*(1+(P717-75)/500),0)</f>
        <v>218</v>
      </c>
      <c r="V717" s="361" t="n">
        <f aca="false">ROUNDDOWN(K717*1.75+50,0)</f>
        <v>190</v>
      </c>
      <c r="W717" s="261" t="n">
        <v>0</v>
      </c>
      <c r="X717" s="261" t="s">
        <v>60</v>
      </c>
      <c r="Y717" s="364" t="s">
        <v>1783</v>
      </c>
      <c r="Z717" s="364"/>
      <c r="AA717" s="364"/>
      <c r="AB717" s="365"/>
      <c r="AC717" s="364"/>
      <c r="AD717" s="364"/>
      <c r="AE717" s="366"/>
      <c r="AF717" s="364" t="s">
        <v>1784</v>
      </c>
      <c r="AG717" s="364" t="s">
        <v>1784</v>
      </c>
      <c r="AH717" s="366" t="s">
        <v>1784</v>
      </c>
    </row>
    <row r="718" customFormat="false" ht="15.75" hidden="false" customHeight="false" outlineLevel="0" collapsed="false">
      <c r="A718" s="262" t="n">
        <v>616</v>
      </c>
      <c r="B718" s="361" t="n">
        <v>716</v>
      </c>
      <c r="C718" s="261" t="s">
        <v>1785</v>
      </c>
      <c r="D718" s="261" t="s">
        <v>60</v>
      </c>
      <c r="E718" s="362" t="s">
        <v>1785</v>
      </c>
      <c r="F718" s="261" t="s">
        <v>1532</v>
      </c>
      <c r="G718" s="261" t="s">
        <v>144</v>
      </c>
      <c r="H718" s="261" t="n">
        <v>0</v>
      </c>
      <c r="I718" s="261" t="n">
        <v>1</v>
      </c>
      <c r="J718" s="361" t="n">
        <v>0</v>
      </c>
      <c r="K718" s="262" t="n">
        <v>50</v>
      </c>
      <c r="L718" s="262" t="n">
        <v>40</v>
      </c>
      <c r="M718" s="262" t="n">
        <v>85</v>
      </c>
      <c r="N718" s="262" t="n">
        <v>40</v>
      </c>
      <c r="O718" s="262" t="n">
        <v>65</v>
      </c>
      <c r="P718" s="361" t="n">
        <v>25</v>
      </c>
      <c r="Q718" s="261" t="s">
        <v>150</v>
      </c>
      <c r="R718" s="261"/>
      <c r="S718" s="363" t="n">
        <f aca="false" t="array" ref="S718:S718">IF(COUNTIF('0.3.0 GO Calculation Values'!$J$2:$J$99,C718),(INDEX('0.3.0 GO Calculation Values'!$K$2:$K$99,MATCH(C718,'0.3.0 GO Calculation Values'!$J$2:$J$99,0))),1)</f>
        <v>1</v>
      </c>
      <c r="T718" s="262" t="n">
        <f aca="false">ROUND(ROUND(2*((7/8)*MAX(L718,N718)+(1/8)*MIN(L718,N718)),0)*(1+(P718-75)/500),0)</f>
        <v>72</v>
      </c>
      <c r="U718" s="262" t="n">
        <f aca="false">ROUND(ROUND(2*((5/8)*MAX(M718,O718)+(3/8)*MIN(M718,O718)),0)*(1+(P718-75)/500),0)</f>
        <v>140</v>
      </c>
      <c r="V718" s="361" t="n">
        <f aca="false">ROUNDDOWN(K718*1.75+50,0)</f>
        <v>137</v>
      </c>
      <c r="W718" s="261" t="n">
        <v>0</v>
      </c>
      <c r="X718" s="261" t="s">
        <v>60</v>
      </c>
      <c r="Y718" s="364" t="s">
        <v>1785</v>
      </c>
      <c r="Z718" s="364"/>
      <c r="AA718" s="364"/>
      <c r="AB718" s="365"/>
      <c r="AC718" s="364"/>
      <c r="AD718" s="364"/>
      <c r="AE718" s="366"/>
      <c r="AF718" s="364" t="s">
        <v>1786</v>
      </c>
      <c r="AG718" s="364" t="s">
        <v>1786</v>
      </c>
      <c r="AH718" s="366" t="s">
        <v>1786</v>
      </c>
    </row>
    <row r="719" customFormat="false" ht="15.75" hidden="false" customHeight="false" outlineLevel="0" collapsed="false">
      <c r="A719" s="262" t="n">
        <v>617</v>
      </c>
      <c r="B719" s="361" t="n">
        <v>717</v>
      </c>
      <c r="C719" s="261" t="s">
        <v>1787</v>
      </c>
      <c r="D719" s="261" t="s">
        <v>60</v>
      </c>
      <c r="E719" s="362" t="s">
        <v>1787</v>
      </c>
      <c r="F719" s="261" t="s">
        <v>1532</v>
      </c>
      <c r="G719" s="261" t="s">
        <v>144</v>
      </c>
      <c r="H719" s="261" t="n">
        <v>0</v>
      </c>
      <c r="I719" s="261" t="n">
        <v>2</v>
      </c>
      <c r="J719" s="361" t="n">
        <v>1</v>
      </c>
      <c r="K719" s="262" t="n">
        <v>80</v>
      </c>
      <c r="L719" s="262" t="n">
        <v>70</v>
      </c>
      <c r="M719" s="262" t="n">
        <v>40</v>
      </c>
      <c r="N719" s="262" t="n">
        <v>100</v>
      </c>
      <c r="O719" s="262" t="n">
        <v>60</v>
      </c>
      <c r="P719" s="361" t="n">
        <v>145</v>
      </c>
      <c r="Q719" s="261" t="s">
        <v>150</v>
      </c>
      <c r="R719" s="261"/>
      <c r="S719" s="363" t="n">
        <f aca="false" t="array" ref="S719:S719">IF(COUNTIF('0.3.0 GO Calculation Values'!$J$2:$J$99,C719),(INDEX('0.3.0 GO Calculation Values'!$K$2:$K$99,MATCH(C719,'0.3.0 GO Calculation Values'!$J$2:$J$99,0))),1)</f>
        <v>1</v>
      </c>
      <c r="T719" s="262" t="n">
        <f aca="false">ROUND(ROUND(2*((7/8)*MAX(L719,N719)+(1/8)*MIN(L719,N719)),0)*(1+(P719-75)/500),0)</f>
        <v>220</v>
      </c>
      <c r="U719" s="262" t="n">
        <f aca="false">ROUND(ROUND(2*((5/8)*MAX(M719,O719)+(3/8)*MIN(M719,O719)),0)*(1+(P719-75)/500),0)</f>
        <v>120</v>
      </c>
      <c r="V719" s="361" t="n">
        <f aca="false">ROUNDDOWN(K719*1.75+50,0)</f>
        <v>190</v>
      </c>
      <c r="W719" s="261" t="n">
        <v>0</v>
      </c>
      <c r="X719" s="261" t="s">
        <v>1785</v>
      </c>
      <c r="Y719" s="364" t="s">
        <v>1785</v>
      </c>
      <c r="Z719" s="364"/>
      <c r="AA719" s="364"/>
      <c r="AB719" s="365"/>
      <c r="AC719" s="364"/>
      <c r="AD719" s="364"/>
      <c r="AE719" s="366"/>
      <c r="AF719" s="364" t="s">
        <v>1788</v>
      </c>
      <c r="AG719" s="364" t="s">
        <v>1788</v>
      </c>
      <c r="AH719" s="366" t="s">
        <v>1788</v>
      </c>
    </row>
    <row r="720" customFormat="false" ht="15.75" hidden="false" customHeight="false" outlineLevel="0" collapsed="false">
      <c r="A720" s="262" t="n">
        <v>618</v>
      </c>
      <c r="B720" s="361" t="n">
        <v>718</v>
      </c>
      <c r="C720" s="261" t="s">
        <v>1789</v>
      </c>
      <c r="D720" s="261" t="s">
        <v>60</v>
      </c>
      <c r="E720" s="362" t="s">
        <v>1789</v>
      </c>
      <c r="F720" s="261" t="s">
        <v>1532</v>
      </c>
      <c r="G720" s="261" t="s">
        <v>144</v>
      </c>
      <c r="H720" s="261" t="n">
        <v>0</v>
      </c>
      <c r="I720" s="261" t="n">
        <v>1</v>
      </c>
      <c r="J720" s="361" t="n">
        <v>1</v>
      </c>
      <c r="K720" s="262" t="n">
        <v>109</v>
      </c>
      <c r="L720" s="262" t="n">
        <v>66</v>
      </c>
      <c r="M720" s="262" t="n">
        <v>84</v>
      </c>
      <c r="N720" s="262" t="n">
        <v>81</v>
      </c>
      <c r="O720" s="262" t="n">
        <v>99</v>
      </c>
      <c r="P720" s="361" t="n">
        <v>32</v>
      </c>
      <c r="Q720" s="261" t="s">
        <v>148</v>
      </c>
      <c r="R720" s="261" t="s">
        <v>156</v>
      </c>
      <c r="S720" s="363" t="n">
        <f aca="false" t="array" ref="S720:S720">IF(COUNTIF('0.3.0 GO Calculation Values'!$J$2:$J$99,C720),(INDEX('0.3.0 GO Calculation Values'!$K$2:$K$99,MATCH(C720,'0.3.0 GO Calculation Values'!$J$2:$J$99,0))),1)</f>
        <v>1</v>
      </c>
      <c r="T720" s="262" t="n">
        <f aca="false">ROUND(ROUND(2*((7/8)*MAX(L720,N720)+(1/8)*MIN(L720,N720)),0)*(1+(P720-75)/500),0)</f>
        <v>144</v>
      </c>
      <c r="U720" s="262" t="n">
        <f aca="false">ROUND(ROUND(2*((5/8)*MAX(M720,O720)+(3/8)*MIN(M720,O720)),0)*(1+(P720-75)/500),0)</f>
        <v>171</v>
      </c>
      <c r="V720" s="361" t="n">
        <f aca="false">ROUNDDOWN(K720*1.75+50,0)</f>
        <v>240</v>
      </c>
      <c r="W720" s="261" t="n">
        <v>0</v>
      </c>
      <c r="X720" s="261" t="s">
        <v>60</v>
      </c>
      <c r="Y720" s="364" t="s">
        <v>1789</v>
      </c>
      <c r="Z720" s="364"/>
      <c r="AA720" s="364"/>
      <c r="AB720" s="365"/>
      <c r="AC720" s="364"/>
      <c r="AD720" s="364"/>
      <c r="AE720" s="366"/>
      <c r="AF720" s="364" t="s">
        <v>1790</v>
      </c>
      <c r="AG720" s="364" t="s">
        <v>1790</v>
      </c>
      <c r="AH720" s="366" t="s">
        <v>1790</v>
      </c>
    </row>
    <row r="721" customFormat="false" ht="15.75" hidden="false" customHeight="false" outlineLevel="0" collapsed="false">
      <c r="A721" s="262" t="n">
        <v>619</v>
      </c>
      <c r="B721" s="361" t="n">
        <v>719</v>
      </c>
      <c r="C721" s="261" t="s">
        <v>1791</v>
      </c>
      <c r="D721" s="261" t="s">
        <v>60</v>
      </c>
      <c r="E721" s="362" t="s">
        <v>1791</v>
      </c>
      <c r="F721" s="261" t="s">
        <v>1532</v>
      </c>
      <c r="G721" s="261" t="s">
        <v>144</v>
      </c>
      <c r="H721" s="261" t="n">
        <v>0</v>
      </c>
      <c r="I721" s="261" t="n">
        <v>1</v>
      </c>
      <c r="J721" s="361" t="n">
        <v>0</v>
      </c>
      <c r="K721" s="262" t="n">
        <v>45</v>
      </c>
      <c r="L721" s="262" t="n">
        <v>85</v>
      </c>
      <c r="M721" s="262" t="n">
        <v>50</v>
      </c>
      <c r="N721" s="262" t="n">
        <v>55</v>
      </c>
      <c r="O721" s="262" t="n">
        <v>50</v>
      </c>
      <c r="P721" s="361" t="n">
        <v>65</v>
      </c>
      <c r="Q721" s="261" t="s">
        <v>145</v>
      </c>
      <c r="R721" s="261"/>
      <c r="S721" s="363" t="n">
        <f aca="false" t="array" ref="S721:S721">IF(COUNTIF('0.3.0 GO Calculation Values'!$J$2:$J$99,C721),(INDEX('0.3.0 GO Calculation Values'!$K$2:$K$99,MATCH(C721,'0.3.0 GO Calculation Values'!$J$2:$J$99,0))),1)</f>
        <v>1</v>
      </c>
      <c r="T721" s="262" t="n">
        <f aca="false">ROUND(ROUND(2*((7/8)*MAX(L721,N721)+(1/8)*MIN(L721,N721)),0)*(1+(P721-75)/500),0)</f>
        <v>160</v>
      </c>
      <c r="U721" s="262" t="n">
        <f aca="false">ROUND(ROUND(2*((5/8)*MAX(M721,O721)+(3/8)*MIN(M721,O721)),0)*(1+(P721-75)/500),0)</f>
        <v>98</v>
      </c>
      <c r="V721" s="361" t="n">
        <f aca="false">ROUNDDOWN(K721*1.75+50,0)</f>
        <v>128</v>
      </c>
      <c r="W721" s="261" t="n">
        <v>0</v>
      </c>
      <c r="X721" s="261" t="s">
        <v>60</v>
      </c>
      <c r="Y721" s="364" t="s">
        <v>1791</v>
      </c>
      <c r="Z721" s="364"/>
      <c r="AA721" s="364"/>
      <c r="AB721" s="365"/>
      <c r="AC721" s="364"/>
      <c r="AD721" s="364"/>
      <c r="AE721" s="366"/>
      <c r="AF721" s="364" t="s">
        <v>1792</v>
      </c>
      <c r="AG721" s="364" t="s">
        <v>1792</v>
      </c>
      <c r="AH721" s="366" t="s">
        <v>1792</v>
      </c>
    </row>
    <row r="722" customFormat="false" ht="15.75" hidden="false" customHeight="false" outlineLevel="0" collapsed="false">
      <c r="A722" s="262" t="n">
        <v>620</v>
      </c>
      <c r="B722" s="361" t="n">
        <v>720</v>
      </c>
      <c r="C722" s="261" t="s">
        <v>1793</v>
      </c>
      <c r="D722" s="261" t="s">
        <v>60</v>
      </c>
      <c r="E722" s="362" t="s">
        <v>1793</v>
      </c>
      <c r="F722" s="261" t="s">
        <v>1532</v>
      </c>
      <c r="G722" s="261" t="s">
        <v>144</v>
      </c>
      <c r="H722" s="261" t="n">
        <v>0</v>
      </c>
      <c r="I722" s="261" t="n">
        <v>2</v>
      </c>
      <c r="J722" s="361" t="n">
        <v>1</v>
      </c>
      <c r="K722" s="262" t="n">
        <v>65</v>
      </c>
      <c r="L722" s="262" t="n">
        <v>125</v>
      </c>
      <c r="M722" s="262" t="n">
        <v>60</v>
      </c>
      <c r="N722" s="262" t="n">
        <v>95</v>
      </c>
      <c r="O722" s="262" t="n">
        <v>60</v>
      </c>
      <c r="P722" s="361" t="n">
        <v>105</v>
      </c>
      <c r="Q722" s="261" t="s">
        <v>145</v>
      </c>
      <c r="R722" s="261"/>
      <c r="S722" s="363" t="n">
        <f aca="false" t="array" ref="S722:S722">IF(COUNTIF('0.3.0 GO Calculation Values'!$J$2:$J$99,C722),(INDEX('0.3.0 GO Calculation Values'!$K$2:$K$99,MATCH(C722,'0.3.0 GO Calculation Values'!$J$2:$J$99,0))),1)</f>
        <v>1</v>
      </c>
      <c r="T722" s="262" t="n">
        <f aca="false">ROUND(ROUND(2*((7/8)*MAX(L722,N722)+(1/8)*MIN(L722,N722)),0)*(1+(P722-75)/500),0)</f>
        <v>258</v>
      </c>
      <c r="U722" s="262" t="n">
        <f aca="false">ROUND(ROUND(2*((5/8)*MAX(M722,O722)+(3/8)*MIN(M722,O722)),0)*(1+(P722-75)/500),0)</f>
        <v>127</v>
      </c>
      <c r="V722" s="361" t="n">
        <f aca="false">ROUNDDOWN(K722*1.75+50,0)</f>
        <v>163</v>
      </c>
      <c r="W722" s="261" t="n">
        <v>0</v>
      </c>
      <c r="X722" s="261" t="s">
        <v>1791</v>
      </c>
      <c r="Y722" s="364" t="s">
        <v>1791</v>
      </c>
      <c r="Z722" s="364"/>
      <c r="AA722" s="364"/>
      <c r="AB722" s="365"/>
      <c r="AC722" s="364"/>
      <c r="AD722" s="364"/>
      <c r="AE722" s="366"/>
      <c r="AF722" s="364" t="s">
        <v>1794</v>
      </c>
      <c r="AG722" s="364" t="s">
        <v>1794</v>
      </c>
      <c r="AH722" s="366" t="s">
        <v>1794</v>
      </c>
    </row>
    <row r="723" customFormat="false" ht="15.75" hidden="false" customHeight="false" outlineLevel="0" collapsed="false">
      <c r="A723" s="262" t="n">
        <v>621</v>
      </c>
      <c r="B723" s="361" t="n">
        <v>721</v>
      </c>
      <c r="C723" s="261" t="s">
        <v>1795</v>
      </c>
      <c r="D723" s="261" t="s">
        <v>60</v>
      </c>
      <c r="E723" s="362" t="s">
        <v>1795</v>
      </c>
      <c r="F723" s="261" t="s">
        <v>1532</v>
      </c>
      <c r="G723" s="261" t="s">
        <v>144</v>
      </c>
      <c r="H723" s="261" t="n">
        <v>0</v>
      </c>
      <c r="I723" s="261" t="n">
        <v>1</v>
      </c>
      <c r="J723" s="361" t="n">
        <v>1</v>
      </c>
      <c r="K723" s="262" t="n">
        <v>77</v>
      </c>
      <c r="L723" s="262" t="n">
        <v>120</v>
      </c>
      <c r="M723" s="262" t="n">
        <v>90</v>
      </c>
      <c r="N723" s="262" t="n">
        <v>60</v>
      </c>
      <c r="O723" s="262" t="n">
        <v>90</v>
      </c>
      <c r="P723" s="361" t="n">
        <v>48</v>
      </c>
      <c r="Q723" s="261" t="s">
        <v>159</v>
      </c>
      <c r="R723" s="261"/>
      <c r="S723" s="363" t="n">
        <f aca="false" t="array" ref="S723:S723">IF(COUNTIF('0.3.0 GO Calculation Values'!$J$2:$J$99,C723),(INDEX('0.3.0 GO Calculation Values'!$K$2:$K$99,MATCH(C723,'0.3.0 GO Calculation Values'!$J$2:$J$99,0))),1)</f>
        <v>1</v>
      </c>
      <c r="T723" s="262" t="n">
        <f aca="false">ROUND(ROUND(2*((7/8)*MAX(L723,N723)+(1/8)*MIN(L723,N723)),0)*(1+(P723-75)/500),0)</f>
        <v>213</v>
      </c>
      <c r="U723" s="262" t="n">
        <f aca="false">ROUND(ROUND(2*((5/8)*MAX(M723,O723)+(3/8)*MIN(M723,O723)),0)*(1+(P723-75)/500),0)</f>
        <v>170</v>
      </c>
      <c r="V723" s="361" t="n">
        <f aca="false">ROUNDDOWN(K723*1.75+50,0)</f>
        <v>184</v>
      </c>
      <c r="W723" s="261" t="n">
        <v>0</v>
      </c>
      <c r="X723" s="261" t="s">
        <v>60</v>
      </c>
      <c r="Y723" s="364" t="s">
        <v>1795</v>
      </c>
      <c r="Z723" s="364"/>
      <c r="AA723" s="364"/>
      <c r="AB723" s="365"/>
      <c r="AC723" s="364"/>
      <c r="AD723" s="364"/>
      <c r="AE723" s="366"/>
      <c r="AF723" s="364" t="s">
        <v>1796</v>
      </c>
      <c r="AG723" s="364" t="s">
        <v>1796</v>
      </c>
      <c r="AH723" s="366" t="s">
        <v>1796</v>
      </c>
    </row>
    <row r="724" customFormat="false" ht="15.75" hidden="false" customHeight="false" outlineLevel="0" collapsed="false">
      <c r="A724" s="262" t="n">
        <v>622</v>
      </c>
      <c r="B724" s="361" t="n">
        <v>722</v>
      </c>
      <c r="C724" s="261" t="s">
        <v>1797</v>
      </c>
      <c r="D724" s="261" t="s">
        <v>60</v>
      </c>
      <c r="E724" s="362" t="s">
        <v>1797</v>
      </c>
      <c r="F724" s="261" t="s">
        <v>1532</v>
      </c>
      <c r="G724" s="261" t="s">
        <v>144</v>
      </c>
      <c r="H724" s="261" t="n">
        <v>0</v>
      </c>
      <c r="I724" s="261" t="n">
        <v>1</v>
      </c>
      <c r="J724" s="361" t="n">
        <v>0</v>
      </c>
      <c r="K724" s="262" t="n">
        <v>59</v>
      </c>
      <c r="L724" s="262" t="n">
        <v>74</v>
      </c>
      <c r="M724" s="262" t="n">
        <v>50</v>
      </c>
      <c r="N724" s="262" t="n">
        <v>35</v>
      </c>
      <c r="O724" s="262" t="n">
        <v>50</v>
      </c>
      <c r="P724" s="361" t="n">
        <v>35</v>
      </c>
      <c r="Q724" s="261" t="s">
        <v>148</v>
      </c>
      <c r="R724" s="261" t="s">
        <v>151</v>
      </c>
      <c r="S724" s="363" t="n">
        <f aca="false" t="array" ref="S724:S724">IF(COUNTIF('0.3.0 GO Calculation Values'!$J$2:$J$99,C724),(INDEX('0.3.0 GO Calculation Values'!$K$2:$K$99,MATCH(C724,'0.3.0 GO Calculation Values'!$J$2:$J$99,0))),1)</f>
        <v>1</v>
      </c>
      <c r="T724" s="262" t="n">
        <f aca="false">ROUND(ROUND(2*((7/8)*MAX(L724,N724)+(1/8)*MIN(L724,N724)),0)*(1+(P724-75)/500),0)</f>
        <v>127</v>
      </c>
      <c r="U724" s="262" t="n">
        <f aca="false">ROUND(ROUND(2*((5/8)*MAX(M724,O724)+(3/8)*MIN(M724,O724)),0)*(1+(P724-75)/500),0)</f>
        <v>92</v>
      </c>
      <c r="V724" s="361" t="n">
        <f aca="false">ROUNDDOWN(K724*1.75+50,0)</f>
        <v>153</v>
      </c>
      <c r="W724" s="261" t="n">
        <v>0</v>
      </c>
      <c r="X724" s="261" t="s">
        <v>60</v>
      </c>
      <c r="Y724" s="364" t="s">
        <v>1797</v>
      </c>
      <c r="Z724" s="364"/>
      <c r="AA724" s="364"/>
      <c r="AB724" s="365"/>
      <c r="AC724" s="364"/>
      <c r="AD724" s="364"/>
      <c r="AE724" s="366"/>
      <c r="AF724" s="364" t="s">
        <v>1798</v>
      </c>
      <c r="AG724" s="364" t="s">
        <v>1798</v>
      </c>
      <c r="AH724" s="366" t="s">
        <v>1798</v>
      </c>
    </row>
    <row r="725" customFormat="false" ht="15.75" hidden="false" customHeight="false" outlineLevel="0" collapsed="false">
      <c r="A725" s="262" t="n">
        <v>623</v>
      </c>
      <c r="B725" s="361" t="n">
        <v>723</v>
      </c>
      <c r="C725" s="261" t="s">
        <v>1799</v>
      </c>
      <c r="D725" s="261" t="s">
        <v>60</v>
      </c>
      <c r="E725" s="362" t="s">
        <v>1799</v>
      </c>
      <c r="F725" s="261" t="s">
        <v>1532</v>
      </c>
      <c r="G725" s="261" t="s">
        <v>144</v>
      </c>
      <c r="H725" s="261" t="n">
        <v>0</v>
      </c>
      <c r="I725" s="261" t="n">
        <v>2</v>
      </c>
      <c r="J725" s="361" t="n">
        <v>1</v>
      </c>
      <c r="K725" s="262" t="n">
        <v>89</v>
      </c>
      <c r="L725" s="262" t="n">
        <v>124</v>
      </c>
      <c r="M725" s="262" t="n">
        <v>80</v>
      </c>
      <c r="N725" s="262" t="n">
        <v>55</v>
      </c>
      <c r="O725" s="262" t="n">
        <v>80</v>
      </c>
      <c r="P725" s="361" t="n">
        <v>55</v>
      </c>
      <c r="Q725" s="261" t="s">
        <v>148</v>
      </c>
      <c r="R725" s="261" t="s">
        <v>151</v>
      </c>
      <c r="S725" s="363" t="n">
        <f aca="false" t="array" ref="S725:S725">IF(COUNTIF('0.3.0 GO Calculation Values'!$J$2:$J$99,C725),(INDEX('0.3.0 GO Calculation Values'!$K$2:$K$99,MATCH(C725,'0.3.0 GO Calculation Values'!$J$2:$J$99,0))),1)</f>
        <v>1</v>
      </c>
      <c r="T725" s="262" t="n">
        <f aca="false">ROUND(ROUND(2*((7/8)*MAX(L725,N725)+(1/8)*MIN(L725,N725)),0)*(1+(P725-75)/500),0)</f>
        <v>222</v>
      </c>
      <c r="U725" s="262" t="n">
        <f aca="false">ROUND(ROUND(2*((5/8)*MAX(M725,O725)+(3/8)*MIN(M725,O725)),0)*(1+(P725-75)/500),0)</f>
        <v>154</v>
      </c>
      <c r="V725" s="361" t="n">
        <f aca="false">ROUNDDOWN(K725*1.75+50,0)</f>
        <v>205</v>
      </c>
      <c r="W725" s="261" t="n">
        <v>0</v>
      </c>
      <c r="X725" s="261" t="s">
        <v>1797</v>
      </c>
      <c r="Y725" s="364" t="s">
        <v>1797</v>
      </c>
      <c r="Z725" s="364"/>
      <c r="AA725" s="364"/>
      <c r="AB725" s="365"/>
      <c r="AC725" s="364"/>
      <c r="AD725" s="364"/>
      <c r="AE725" s="366"/>
      <c r="AF725" s="364" t="s">
        <v>1800</v>
      </c>
      <c r="AG725" s="364" t="s">
        <v>1800</v>
      </c>
      <c r="AH725" s="366" t="s">
        <v>1800</v>
      </c>
    </row>
    <row r="726" customFormat="false" ht="15.75" hidden="false" customHeight="false" outlineLevel="0" collapsed="false">
      <c r="A726" s="262" t="n">
        <v>624</v>
      </c>
      <c r="B726" s="361" t="n">
        <v>724</v>
      </c>
      <c r="C726" s="261" t="s">
        <v>1801</v>
      </c>
      <c r="D726" s="261" t="s">
        <v>60</v>
      </c>
      <c r="E726" s="362" t="s">
        <v>1801</v>
      </c>
      <c r="F726" s="261" t="s">
        <v>1532</v>
      </c>
      <c r="G726" s="261" t="s">
        <v>144</v>
      </c>
      <c r="H726" s="261" t="n">
        <v>0</v>
      </c>
      <c r="I726" s="261" t="n">
        <v>1</v>
      </c>
      <c r="J726" s="361" t="n">
        <v>0</v>
      </c>
      <c r="K726" s="262" t="n">
        <v>45</v>
      </c>
      <c r="L726" s="262" t="n">
        <v>85</v>
      </c>
      <c r="M726" s="262" t="n">
        <v>70</v>
      </c>
      <c r="N726" s="262" t="n">
        <v>40</v>
      </c>
      <c r="O726" s="262" t="n">
        <v>40</v>
      </c>
      <c r="P726" s="361" t="n">
        <v>60</v>
      </c>
      <c r="Q726" s="261" t="s">
        <v>160</v>
      </c>
      <c r="R726" s="261" t="s">
        <v>152</v>
      </c>
      <c r="S726" s="363" t="n">
        <f aca="false" t="array" ref="S726:S726">IF(COUNTIF('0.3.0 GO Calculation Values'!$J$2:$J$99,C726),(INDEX('0.3.0 GO Calculation Values'!$K$2:$K$99,MATCH(C726,'0.3.0 GO Calculation Values'!$J$2:$J$99,0))),1)</f>
        <v>1</v>
      </c>
      <c r="T726" s="262" t="n">
        <f aca="false">ROUND(ROUND(2*((7/8)*MAX(L726,N726)+(1/8)*MIN(L726,N726)),0)*(1+(P726-75)/500),0)</f>
        <v>154</v>
      </c>
      <c r="U726" s="262" t="n">
        <f aca="false">ROUND(ROUND(2*((5/8)*MAX(M726,O726)+(3/8)*MIN(M726,O726)),0)*(1+(P726-75)/500),0)</f>
        <v>114</v>
      </c>
      <c r="V726" s="361" t="n">
        <f aca="false">ROUNDDOWN(K726*1.75+50,0)</f>
        <v>128</v>
      </c>
      <c r="W726" s="261" t="n">
        <v>0</v>
      </c>
      <c r="X726" s="261" t="s">
        <v>60</v>
      </c>
      <c r="Y726" s="364" t="s">
        <v>1801</v>
      </c>
      <c r="Z726" s="364"/>
      <c r="AA726" s="364"/>
      <c r="AB726" s="365"/>
      <c r="AC726" s="364"/>
      <c r="AD726" s="364"/>
      <c r="AE726" s="366"/>
      <c r="AF726" s="364" t="s">
        <v>1802</v>
      </c>
      <c r="AG726" s="364" t="s">
        <v>1802</v>
      </c>
      <c r="AH726" s="366" t="s">
        <v>1802</v>
      </c>
    </row>
    <row r="727" customFormat="false" ht="15.75" hidden="false" customHeight="false" outlineLevel="0" collapsed="false">
      <c r="A727" s="262" t="n">
        <v>625</v>
      </c>
      <c r="B727" s="361" t="n">
        <v>725</v>
      </c>
      <c r="C727" s="261" t="s">
        <v>1803</v>
      </c>
      <c r="D727" s="261" t="s">
        <v>60</v>
      </c>
      <c r="E727" s="362" t="s">
        <v>1803</v>
      </c>
      <c r="F727" s="261" t="s">
        <v>1532</v>
      </c>
      <c r="G727" s="261" t="s">
        <v>144</v>
      </c>
      <c r="H727" s="261" t="n">
        <v>0</v>
      </c>
      <c r="I727" s="261" t="n">
        <v>2</v>
      </c>
      <c r="J727" s="361" t="n">
        <v>1</v>
      </c>
      <c r="K727" s="262" t="n">
        <v>65</v>
      </c>
      <c r="L727" s="262" t="n">
        <v>125</v>
      </c>
      <c r="M727" s="262" t="n">
        <v>100</v>
      </c>
      <c r="N727" s="262" t="n">
        <v>60</v>
      </c>
      <c r="O727" s="262" t="n">
        <v>70</v>
      </c>
      <c r="P727" s="361" t="n">
        <v>70</v>
      </c>
      <c r="Q727" s="261" t="s">
        <v>160</v>
      </c>
      <c r="R727" s="261" t="s">
        <v>152</v>
      </c>
      <c r="S727" s="363" t="n">
        <f aca="false" t="array" ref="S727:S727">IF(COUNTIF('0.3.0 GO Calculation Values'!$J$2:$J$99,C727),(INDEX('0.3.0 GO Calculation Values'!$K$2:$K$99,MATCH(C727,'0.3.0 GO Calculation Values'!$J$2:$J$99,0))),1)</f>
        <v>1</v>
      </c>
      <c r="T727" s="262" t="n">
        <f aca="false">ROUND(ROUND(2*((7/8)*MAX(L727,N727)+(1/8)*MIN(L727,N727)),0)*(1+(P727-75)/500),0)</f>
        <v>232</v>
      </c>
      <c r="U727" s="262" t="n">
        <f aca="false">ROUND(ROUND(2*((5/8)*MAX(M727,O727)+(3/8)*MIN(M727,O727)),0)*(1+(P727-75)/500),0)</f>
        <v>176</v>
      </c>
      <c r="V727" s="361" t="n">
        <f aca="false">ROUNDDOWN(K727*1.75+50,0)</f>
        <v>163</v>
      </c>
      <c r="W727" s="261" t="n">
        <v>0</v>
      </c>
      <c r="X727" s="261" t="s">
        <v>1801</v>
      </c>
      <c r="Y727" s="364" t="s">
        <v>1801</v>
      </c>
      <c r="Z727" s="364"/>
      <c r="AA727" s="364"/>
      <c r="AB727" s="365"/>
      <c r="AC727" s="364"/>
      <c r="AD727" s="364"/>
      <c r="AE727" s="366"/>
      <c r="AF727" s="364" t="s">
        <v>1804</v>
      </c>
      <c r="AG727" s="364" t="s">
        <v>1804</v>
      </c>
      <c r="AH727" s="366" t="s">
        <v>1804</v>
      </c>
    </row>
    <row r="728" customFormat="false" ht="15.75" hidden="false" customHeight="false" outlineLevel="0" collapsed="false">
      <c r="A728" s="262" t="n">
        <v>626</v>
      </c>
      <c r="B728" s="361" t="n">
        <v>726</v>
      </c>
      <c r="C728" s="261" t="s">
        <v>1805</v>
      </c>
      <c r="D728" s="261" t="s">
        <v>60</v>
      </c>
      <c r="E728" s="362" t="s">
        <v>1805</v>
      </c>
      <c r="F728" s="261" t="s">
        <v>1532</v>
      </c>
      <c r="G728" s="261" t="s">
        <v>144</v>
      </c>
      <c r="H728" s="261" t="n">
        <v>0</v>
      </c>
      <c r="I728" s="261" t="n">
        <v>1</v>
      </c>
      <c r="J728" s="361" t="n">
        <v>1</v>
      </c>
      <c r="K728" s="262" t="n">
        <v>95</v>
      </c>
      <c r="L728" s="262" t="n">
        <v>110</v>
      </c>
      <c r="M728" s="262" t="n">
        <v>95</v>
      </c>
      <c r="N728" s="262" t="n">
        <v>40</v>
      </c>
      <c r="O728" s="262" t="n">
        <v>95</v>
      </c>
      <c r="P728" s="361" t="n">
        <v>55</v>
      </c>
      <c r="Q728" s="261" t="s">
        <v>144</v>
      </c>
      <c r="R728" s="261"/>
      <c r="S728" s="363" t="n">
        <f aca="false" t="array" ref="S728:S728">IF(COUNTIF('0.3.0 GO Calculation Values'!$J$2:$J$99,C728),(INDEX('0.3.0 GO Calculation Values'!$K$2:$K$99,MATCH(C728,'0.3.0 GO Calculation Values'!$J$2:$J$99,0))),1)</f>
        <v>1</v>
      </c>
      <c r="T728" s="262" t="n">
        <f aca="false">ROUND(ROUND(2*((7/8)*MAX(L728,N728)+(1/8)*MIN(L728,N728)),0)*(1+(P728-75)/500),0)</f>
        <v>195</v>
      </c>
      <c r="U728" s="262" t="n">
        <f aca="false">ROUND(ROUND(2*((5/8)*MAX(M728,O728)+(3/8)*MIN(M728,O728)),0)*(1+(P728-75)/500),0)</f>
        <v>182</v>
      </c>
      <c r="V728" s="361" t="n">
        <f aca="false">ROUNDDOWN(K728*1.75+50,0)</f>
        <v>216</v>
      </c>
      <c r="W728" s="261" t="n">
        <v>0</v>
      </c>
      <c r="X728" s="261" t="s">
        <v>60</v>
      </c>
      <c r="Y728" s="364" t="s">
        <v>1805</v>
      </c>
      <c r="Z728" s="364"/>
      <c r="AA728" s="364"/>
      <c r="AB728" s="365"/>
      <c r="AC728" s="364"/>
      <c r="AD728" s="364"/>
      <c r="AE728" s="366"/>
      <c r="AF728" s="364" t="s">
        <v>1806</v>
      </c>
      <c r="AG728" s="364" t="s">
        <v>1806</v>
      </c>
      <c r="AH728" s="366" t="s">
        <v>1806</v>
      </c>
    </row>
    <row r="729" customFormat="false" ht="15.75" hidden="false" customHeight="false" outlineLevel="0" collapsed="false">
      <c r="A729" s="262" t="n">
        <v>627</v>
      </c>
      <c r="B729" s="361" t="n">
        <v>727</v>
      </c>
      <c r="C729" s="261" t="s">
        <v>1807</v>
      </c>
      <c r="D729" s="261" t="s">
        <v>60</v>
      </c>
      <c r="E729" s="362" t="s">
        <v>1807</v>
      </c>
      <c r="F729" s="261" t="s">
        <v>1532</v>
      </c>
      <c r="G729" s="261" t="s">
        <v>144</v>
      </c>
      <c r="H729" s="261" t="n">
        <v>0</v>
      </c>
      <c r="I729" s="261" t="n">
        <v>1</v>
      </c>
      <c r="J729" s="361" t="n">
        <v>0</v>
      </c>
      <c r="K729" s="262" t="n">
        <v>70</v>
      </c>
      <c r="L729" s="262" t="n">
        <v>83</v>
      </c>
      <c r="M729" s="262" t="n">
        <v>50</v>
      </c>
      <c r="N729" s="262" t="n">
        <v>37</v>
      </c>
      <c r="O729" s="262" t="n">
        <v>50</v>
      </c>
      <c r="P729" s="361" t="n">
        <v>60</v>
      </c>
      <c r="Q729" s="261" t="s">
        <v>144</v>
      </c>
      <c r="R729" s="261" t="s">
        <v>146</v>
      </c>
      <c r="S729" s="363" t="n">
        <f aca="false" t="array" ref="S729:S729">IF(COUNTIF('0.3.0 GO Calculation Values'!$J$2:$J$99,C729),(INDEX('0.3.0 GO Calculation Values'!$K$2:$K$99,MATCH(C729,'0.3.0 GO Calculation Values'!$J$2:$J$99,0))),1)</f>
        <v>1</v>
      </c>
      <c r="T729" s="262" t="n">
        <f aca="false">ROUND(ROUND(2*((7/8)*MAX(L729,N729)+(1/8)*MIN(L729,N729)),0)*(1+(P729-75)/500),0)</f>
        <v>150</v>
      </c>
      <c r="U729" s="262" t="n">
        <f aca="false">ROUND(ROUND(2*((5/8)*MAX(M729,O729)+(3/8)*MIN(M729,O729)),0)*(1+(P729-75)/500),0)</f>
        <v>97</v>
      </c>
      <c r="V729" s="361" t="n">
        <f aca="false">ROUNDDOWN(K729*1.75+50,0)</f>
        <v>172</v>
      </c>
      <c r="W729" s="261" t="n">
        <v>0</v>
      </c>
      <c r="X729" s="261" t="s">
        <v>60</v>
      </c>
      <c r="Y729" s="364" t="s">
        <v>1807</v>
      </c>
      <c r="Z729" s="364"/>
      <c r="AA729" s="364"/>
      <c r="AB729" s="365"/>
      <c r="AC729" s="364"/>
      <c r="AD729" s="364"/>
      <c r="AE729" s="366"/>
      <c r="AF729" s="364" t="s">
        <v>1808</v>
      </c>
      <c r="AG729" s="364" t="s">
        <v>1808</v>
      </c>
      <c r="AH729" s="366" t="s">
        <v>1808</v>
      </c>
    </row>
    <row r="730" customFormat="false" ht="15.75" hidden="false" customHeight="false" outlineLevel="0" collapsed="false">
      <c r="A730" s="262" t="n">
        <v>628</v>
      </c>
      <c r="B730" s="361" t="n">
        <v>728</v>
      </c>
      <c r="C730" s="261" t="s">
        <v>1809</v>
      </c>
      <c r="D730" s="261" t="s">
        <v>60</v>
      </c>
      <c r="E730" s="362" t="s">
        <v>1809</v>
      </c>
      <c r="F730" s="261" t="s">
        <v>1532</v>
      </c>
      <c r="G730" s="261" t="s">
        <v>144</v>
      </c>
      <c r="H730" s="261" t="n">
        <v>0</v>
      </c>
      <c r="I730" s="261" t="n">
        <v>2</v>
      </c>
      <c r="J730" s="361" t="n">
        <v>1</v>
      </c>
      <c r="K730" s="262" t="n">
        <v>100</v>
      </c>
      <c r="L730" s="262" t="n">
        <v>123</v>
      </c>
      <c r="M730" s="262" t="n">
        <v>75</v>
      </c>
      <c r="N730" s="262" t="n">
        <v>57</v>
      </c>
      <c r="O730" s="262" t="n">
        <v>75</v>
      </c>
      <c r="P730" s="361" t="n">
        <v>80</v>
      </c>
      <c r="Q730" s="261" t="s">
        <v>144</v>
      </c>
      <c r="R730" s="261" t="s">
        <v>146</v>
      </c>
      <c r="S730" s="363" t="n">
        <f aca="false" t="array" ref="S730:S730">IF(COUNTIF('0.3.0 GO Calculation Values'!$J$2:$J$99,C730),(INDEX('0.3.0 GO Calculation Values'!$K$2:$K$99,MATCH(C730,'0.3.0 GO Calculation Values'!$J$2:$J$99,0))),1)</f>
        <v>1</v>
      </c>
      <c r="T730" s="262" t="n">
        <f aca="false">ROUND(ROUND(2*((7/8)*MAX(L730,N730)+(1/8)*MIN(L730,N730)),0)*(1+(P730-75)/500),0)</f>
        <v>232</v>
      </c>
      <c r="U730" s="262" t="n">
        <f aca="false">ROUND(ROUND(2*((5/8)*MAX(M730,O730)+(3/8)*MIN(M730,O730)),0)*(1+(P730-75)/500),0)</f>
        <v>152</v>
      </c>
      <c r="V730" s="361" t="n">
        <f aca="false">ROUNDDOWN(K730*1.75+50,0)</f>
        <v>225</v>
      </c>
      <c r="W730" s="261" t="n">
        <v>0</v>
      </c>
      <c r="X730" s="261" t="s">
        <v>1807</v>
      </c>
      <c r="Y730" s="364" t="s">
        <v>1807</v>
      </c>
      <c r="Z730" s="364"/>
      <c r="AA730" s="364"/>
      <c r="AB730" s="365"/>
      <c r="AC730" s="364"/>
      <c r="AD730" s="364"/>
      <c r="AE730" s="366"/>
      <c r="AF730" s="364" t="s">
        <v>1810</v>
      </c>
      <c r="AG730" s="364" t="s">
        <v>1810</v>
      </c>
      <c r="AH730" s="366" t="s">
        <v>1810</v>
      </c>
    </row>
    <row r="731" customFormat="false" ht="15.75" hidden="false" customHeight="false" outlineLevel="0" collapsed="false">
      <c r="A731" s="262" t="n">
        <v>629</v>
      </c>
      <c r="B731" s="361" t="n">
        <v>729</v>
      </c>
      <c r="C731" s="261" t="s">
        <v>1811</v>
      </c>
      <c r="D731" s="261" t="s">
        <v>60</v>
      </c>
      <c r="E731" s="362" t="s">
        <v>1811</v>
      </c>
      <c r="F731" s="261" t="s">
        <v>1532</v>
      </c>
      <c r="G731" s="261" t="s">
        <v>144</v>
      </c>
      <c r="H731" s="261" t="n">
        <v>0</v>
      </c>
      <c r="I731" s="261" t="n">
        <v>1</v>
      </c>
      <c r="J731" s="361" t="n">
        <v>0</v>
      </c>
      <c r="K731" s="262" t="n">
        <v>70</v>
      </c>
      <c r="L731" s="262" t="n">
        <v>55</v>
      </c>
      <c r="M731" s="262" t="n">
        <v>75</v>
      </c>
      <c r="N731" s="262" t="n">
        <v>45</v>
      </c>
      <c r="O731" s="262" t="n">
        <v>65</v>
      </c>
      <c r="P731" s="361" t="n">
        <v>60</v>
      </c>
      <c r="Q731" s="261" t="s">
        <v>160</v>
      </c>
      <c r="R731" s="261" t="s">
        <v>146</v>
      </c>
      <c r="S731" s="363" t="n">
        <f aca="false" t="array" ref="S731:S731">IF(COUNTIF('0.3.0 GO Calculation Values'!$J$2:$J$99,C731),(INDEX('0.3.0 GO Calculation Values'!$K$2:$K$99,MATCH(C731,'0.3.0 GO Calculation Values'!$J$2:$J$99,0))),1)</f>
        <v>1</v>
      </c>
      <c r="T731" s="262" t="n">
        <f aca="false">ROUND(ROUND(2*((7/8)*MAX(L731,N731)+(1/8)*MIN(L731,N731)),0)*(1+(P731-75)/500),0)</f>
        <v>105</v>
      </c>
      <c r="U731" s="262" t="n">
        <f aca="false">ROUND(ROUND(2*((5/8)*MAX(M731,O731)+(3/8)*MIN(M731,O731)),0)*(1+(P731-75)/500),0)</f>
        <v>139</v>
      </c>
      <c r="V731" s="361" t="n">
        <f aca="false">ROUNDDOWN(K731*1.75+50,0)</f>
        <v>172</v>
      </c>
      <c r="W731" s="261" t="n">
        <v>0</v>
      </c>
      <c r="X731" s="261" t="s">
        <v>60</v>
      </c>
      <c r="Y731" s="364" t="s">
        <v>1811</v>
      </c>
      <c r="Z731" s="364"/>
      <c r="AA731" s="364"/>
      <c r="AB731" s="365"/>
      <c r="AC731" s="364"/>
      <c r="AD731" s="364"/>
      <c r="AE731" s="366"/>
      <c r="AF731" s="364" t="s">
        <v>1812</v>
      </c>
      <c r="AG731" s="364" t="s">
        <v>1812</v>
      </c>
      <c r="AH731" s="366" t="s">
        <v>1812</v>
      </c>
    </row>
    <row r="732" customFormat="false" ht="15.75" hidden="false" customHeight="false" outlineLevel="0" collapsed="false">
      <c r="A732" s="262" t="n">
        <v>630</v>
      </c>
      <c r="B732" s="361" t="n">
        <v>730</v>
      </c>
      <c r="C732" s="261" t="s">
        <v>1813</v>
      </c>
      <c r="D732" s="261" t="s">
        <v>60</v>
      </c>
      <c r="E732" s="362" t="s">
        <v>1813</v>
      </c>
      <c r="F732" s="261" t="s">
        <v>1532</v>
      </c>
      <c r="G732" s="261" t="s">
        <v>144</v>
      </c>
      <c r="H732" s="261" t="n">
        <v>0</v>
      </c>
      <c r="I732" s="261" t="n">
        <v>2</v>
      </c>
      <c r="J732" s="361" t="n">
        <v>1</v>
      </c>
      <c r="K732" s="262" t="n">
        <v>110</v>
      </c>
      <c r="L732" s="262" t="n">
        <v>65</v>
      </c>
      <c r="M732" s="262" t="n">
        <v>105</v>
      </c>
      <c r="N732" s="262" t="n">
        <v>55</v>
      </c>
      <c r="O732" s="262" t="n">
        <v>95</v>
      </c>
      <c r="P732" s="361" t="n">
        <v>80</v>
      </c>
      <c r="Q732" s="261" t="s">
        <v>160</v>
      </c>
      <c r="R732" s="261" t="s">
        <v>146</v>
      </c>
      <c r="S732" s="363" t="n">
        <f aca="false" t="array" ref="S732:S732">IF(COUNTIF('0.3.0 GO Calculation Values'!$J$2:$J$99,C732),(INDEX('0.3.0 GO Calculation Values'!$K$2:$K$99,MATCH(C732,'0.3.0 GO Calculation Values'!$J$2:$J$99,0))),1)</f>
        <v>1</v>
      </c>
      <c r="T732" s="262" t="n">
        <f aca="false">ROUND(ROUND(2*((7/8)*MAX(L732,N732)+(1/8)*MIN(L732,N732)),0)*(1+(P732-75)/500),0)</f>
        <v>129</v>
      </c>
      <c r="U732" s="262" t="n">
        <f aca="false">ROUND(ROUND(2*((5/8)*MAX(M732,O732)+(3/8)*MIN(M732,O732)),0)*(1+(P732-75)/500),0)</f>
        <v>205</v>
      </c>
      <c r="V732" s="361" t="n">
        <f aca="false">ROUNDDOWN(K732*1.75+50,0)</f>
        <v>242</v>
      </c>
      <c r="W732" s="261" t="n">
        <v>0</v>
      </c>
      <c r="X732" s="261" t="s">
        <v>1811</v>
      </c>
      <c r="Y732" s="364" t="s">
        <v>1811</v>
      </c>
      <c r="Z732" s="364"/>
      <c r="AA732" s="364"/>
      <c r="AB732" s="365"/>
      <c r="AC732" s="364"/>
      <c r="AD732" s="364"/>
      <c r="AE732" s="366"/>
      <c r="AF732" s="364" t="s">
        <v>1814</v>
      </c>
      <c r="AG732" s="364" t="s">
        <v>1814</v>
      </c>
      <c r="AH732" s="366" t="s">
        <v>1814</v>
      </c>
    </row>
    <row r="733" customFormat="false" ht="15.75" hidden="false" customHeight="false" outlineLevel="0" collapsed="false">
      <c r="A733" s="262" t="n">
        <v>631</v>
      </c>
      <c r="B733" s="361" t="n">
        <v>731</v>
      </c>
      <c r="C733" s="261" t="s">
        <v>1815</v>
      </c>
      <c r="D733" s="261" t="s">
        <v>60</v>
      </c>
      <c r="E733" s="362" t="s">
        <v>1815</v>
      </c>
      <c r="F733" s="261" t="s">
        <v>1532</v>
      </c>
      <c r="G733" s="261" t="s">
        <v>144</v>
      </c>
      <c r="H733" s="261" t="n">
        <v>0</v>
      </c>
      <c r="I733" s="261" t="n">
        <v>1</v>
      </c>
      <c r="J733" s="361" t="n">
        <v>1</v>
      </c>
      <c r="K733" s="262" t="n">
        <v>85</v>
      </c>
      <c r="L733" s="262" t="n">
        <v>97</v>
      </c>
      <c r="M733" s="262" t="n">
        <v>66</v>
      </c>
      <c r="N733" s="262" t="n">
        <v>105</v>
      </c>
      <c r="O733" s="262" t="n">
        <v>66</v>
      </c>
      <c r="P733" s="361" t="n">
        <v>65</v>
      </c>
      <c r="Q733" s="261" t="s">
        <v>153</v>
      </c>
      <c r="R733" s="261"/>
      <c r="S733" s="363" t="n">
        <f aca="false" t="array" ref="S733:S733">IF(COUNTIF('0.3.0 GO Calculation Values'!$J$2:$J$99,C733),(INDEX('0.3.0 GO Calculation Values'!$K$2:$K$99,MATCH(C733,'0.3.0 GO Calculation Values'!$J$2:$J$99,0))),1)</f>
        <v>1</v>
      </c>
      <c r="T733" s="262" t="n">
        <f aca="false">ROUND(ROUND(2*((7/8)*MAX(L733,N733)+(1/8)*MIN(L733,N733)),0)*(1+(P733-75)/500),0)</f>
        <v>204</v>
      </c>
      <c r="U733" s="262" t="n">
        <f aca="false">ROUND(ROUND(2*((5/8)*MAX(M733,O733)+(3/8)*MIN(M733,O733)),0)*(1+(P733-75)/500),0)</f>
        <v>129</v>
      </c>
      <c r="V733" s="361" t="n">
        <f aca="false">ROUNDDOWN(K733*1.75+50,0)</f>
        <v>198</v>
      </c>
      <c r="W733" s="261" t="n">
        <v>0</v>
      </c>
      <c r="X733" s="261" t="s">
        <v>60</v>
      </c>
      <c r="Y733" s="364" t="s">
        <v>1815</v>
      </c>
      <c r="Z733" s="364"/>
      <c r="AA733" s="364"/>
      <c r="AB733" s="365"/>
      <c r="AC733" s="364"/>
      <c r="AD733" s="364"/>
      <c r="AE733" s="366"/>
      <c r="AF733" s="364" t="s">
        <v>1816</v>
      </c>
      <c r="AG733" s="364" t="s">
        <v>1816</v>
      </c>
      <c r="AH733" s="366" t="s">
        <v>1816</v>
      </c>
    </row>
    <row r="734" customFormat="false" ht="15.75" hidden="false" customHeight="false" outlineLevel="0" collapsed="false">
      <c r="A734" s="262" t="n">
        <v>632</v>
      </c>
      <c r="B734" s="361" t="n">
        <v>732</v>
      </c>
      <c r="C734" s="261" t="s">
        <v>1817</v>
      </c>
      <c r="D734" s="261" t="s">
        <v>60</v>
      </c>
      <c r="E734" s="362" t="s">
        <v>1817</v>
      </c>
      <c r="F734" s="261" t="s">
        <v>1532</v>
      </c>
      <c r="G734" s="261" t="s">
        <v>144</v>
      </c>
      <c r="H734" s="261" t="n">
        <v>0</v>
      </c>
      <c r="I734" s="261" t="n">
        <v>1</v>
      </c>
      <c r="J734" s="361" t="n">
        <v>1</v>
      </c>
      <c r="K734" s="262" t="n">
        <v>58</v>
      </c>
      <c r="L734" s="262" t="n">
        <v>109</v>
      </c>
      <c r="M734" s="262" t="n">
        <v>112</v>
      </c>
      <c r="N734" s="262" t="n">
        <v>48</v>
      </c>
      <c r="O734" s="262" t="n">
        <v>48</v>
      </c>
      <c r="P734" s="361" t="n">
        <v>109</v>
      </c>
      <c r="Q734" s="261" t="s">
        <v>150</v>
      </c>
      <c r="R734" s="261" t="s">
        <v>152</v>
      </c>
      <c r="S734" s="363" t="n">
        <f aca="false" t="array" ref="S734:S734">IF(COUNTIF('0.3.0 GO Calculation Values'!$J$2:$J$99,C734),(INDEX('0.3.0 GO Calculation Values'!$K$2:$K$99,MATCH(C734,'0.3.0 GO Calculation Values'!$J$2:$J$99,0))),1)</f>
        <v>1</v>
      </c>
      <c r="T734" s="262" t="n">
        <f aca="false">ROUND(ROUND(2*((7/8)*MAX(L734,N734)+(1/8)*MIN(L734,N734)),0)*(1+(P734-75)/500),0)</f>
        <v>217</v>
      </c>
      <c r="U734" s="262" t="n">
        <f aca="false">ROUND(ROUND(2*((5/8)*MAX(M734,O734)+(3/8)*MIN(M734,O734)),0)*(1+(P734-75)/500),0)</f>
        <v>188</v>
      </c>
      <c r="V734" s="361" t="n">
        <f aca="false">ROUNDDOWN(K734*1.75+50,0)</f>
        <v>151</v>
      </c>
      <c r="W734" s="261" t="n">
        <v>0</v>
      </c>
      <c r="X734" s="261" t="s">
        <v>60</v>
      </c>
      <c r="Y734" s="364" t="s">
        <v>1817</v>
      </c>
      <c r="Z734" s="364"/>
      <c r="AA734" s="364"/>
      <c r="AB734" s="365"/>
      <c r="AC734" s="364"/>
      <c r="AD734" s="364"/>
      <c r="AE734" s="366"/>
      <c r="AF734" s="364" t="s">
        <v>1818</v>
      </c>
      <c r="AG734" s="364" t="s">
        <v>1818</v>
      </c>
      <c r="AH734" s="366" t="s">
        <v>1818</v>
      </c>
    </row>
    <row r="735" customFormat="false" ht="15.75" hidden="false" customHeight="false" outlineLevel="0" collapsed="false">
      <c r="A735" s="262" t="n">
        <v>633</v>
      </c>
      <c r="B735" s="361" t="n">
        <v>733</v>
      </c>
      <c r="C735" s="261" t="s">
        <v>1819</v>
      </c>
      <c r="D735" s="261" t="s">
        <v>60</v>
      </c>
      <c r="E735" s="362" t="s">
        <v>1819</v>
      </c>
      <c r="F735" s="261" t="s">
        <v>1532</v>
      </c>
      <c r="G735" s="261" t="s">
        <v>632</v>
      </c>
      <c r="H735" s="261" t="n">
        <v>0</v>
      </c>
      <c r="I735" s="261" t="n">
        <v>1</v>
      </c>
      <c r="J735" s="361" t="n">
        <v>0</v>
      </c>
      <c r="K735" s="262" t="n">
        <v>52</v>
      </c>
      <c r="L735" s="262" t="n">
        <v>65</v>
      </c>
      <c r="M735" s="262" t="n">
        <v>50</v>
      </c>
      <c r="N735" s="262" t="n">
        <v>45</v>
      </c>
      <c r="O735" s="262" t="n">
        <v>50</v>
      </c>
      <c r="P735" s="361" t="n">
        <v>38</v>
      </c>
      <c r="Q735" s="261" t="s">
        <v>160</v>
      </c>
      <c r="R735" s="261" t="s">
        <v>159</v>
      </c>
      <c r="S735" s="363" t="n">
        <f aca="false" t="array" ref="S735:S735">IF(COUNTIF('0.3.0 GO Calculation Values'!$J$2:$J$99,C735),(INDEX('0.3.0 GO Calculation Values'!$K$2:$K$99,MATCH(C735,'0.3.0 GO Calculation Values'!$J$2:$J$99,0))),1)</f>
        <v>1</v>
      </c>
      <c r="T735" s="262" t="n">
        <f aca="false">ROUND(ROUND(2*((7/8)*MAX(L735,N735)+(1/8)*MIN(L735,N735)),0)*(1+(P735-75)/500),0)</f>
        <v>116</v>
      </c>
      <c r="U735" s="262" t="n">
        <f aca="false">ROUND(ROUND(2*((5/8)*MAX(M735,O735)+(3/8)*MIN(M735,O735)),0)*(1+(P735-75)/500),0)</f>
        <v>93</v>
      </c>
      <c r="V735" s="361" t="n">
        <f aca="false">ROUNDDOWN(K735*1.75+50,0)</f>
        <v>141</v>
      </c>
      <c r="W735" s="261" t="n">
        <v>0</v>
      </c>
      <c r="X735" s="261" t="s">
        <v>60</v>
      </c>
      <c r="Y735" s="364" t="s">
        <v>1819</v>
      </c>
      <c r="Z735" s="364"/>
      <c r="AA735" s="364"/>
      <c r="AB735" s="365"/>
      <c r="AC735" s="364"/>
      <c r="AD735" s="364"/>
      <c r="AE735" s="366"/>
      <c r="AF735" s="364" t="s">
        <v>1820</v>
      </c>
      <c r="AG735" s="364" t="s">
        <v>1820</v>
      </c>
      <c r="AH735" s="366" t="s">
        <v>1820</v>
      </c>
    </row>
    <row r="736" customFormat="false" ht="15.75" hidden="false" customHeight="false" outlineLevel="0" collapsed="false">
      <c r="A736" s="262" t="n">
        <v>634</v>
      </c>
      <c r="B736" s="361" t="n">
        <v>734</v>
      </c>
      <c r="C736" s="261" t="s">
        <v>1821</v>
      </c>
      <c r="D736" s="261" t="s">
        <v>60</v>
      </c>
      <c r="E736" s="362" t="s">
        <v>1821</v>
      </c>
      <c r="F736" s="261" t="s">
        <v>1532</v>
      </c>
      <c r="G736" s="261" t="s">
        <v>632</v>
      </c>
      <c r="H736" s="261" t="n">
        <v>0</v>
      </c>
      <c r="I736" s="261" t="n">
        <v>2</v>
      </c>
      <c r="J736" s="361" t="n">
        <v>0</v>
      </c>
      <c r="K736" s="262" t="n">
        <v>72</v>
      </c>
      <c r="L736" s="262" t="n">
        <v>85</v>
      </c>
      <c r="M736" s="262" t="n">
        <v>70</v>
      </c>
      <c r="N736" s="262" t="n">
        <v>65</v>
      </c>
      <c r="O736" s="262" t="n">
        <v>70</v>
      </c>
      <c r="P736" s="361" t="n">
        <v>58</v>
      </c>
      <c r="Q736" s="261" t="s">
        <v>160</v>
      </c>
      <c r="R736" s="261" t="s">
        <v>159</v>
      </c>
      <c r="S736" s="363" t="n">
        <f aca="false" t="array" ref="S736:S736">IF(COUNTIF('0.3.0 GO Calculation Values'!$J$2:$J$99,C736),(INDEX('0.3.0 GO Calculation Values'!$K$2:$K$99,MATCH(C736,'0.3.0 GO Calculation Values'!$J$2:$J$99,0))),1)</f>
        <v>1</v>
      </c>
      <c r="T736" s="262" t="n">
        <f aca="false">ROUND(ROUND(2*((7/8)*MAX(L736,N736)+(1/8)*MIN(L736,N736)),0)*(1+(P736-75)/500),0)</f>
        <v>159</v>
      </c>
      <c r="U736" s="262" t="n">
        <f aca="false">ROUND(ROUND(2*((5/8)*MAX(M736,O736)+(3/8)*MIN(M736,O736)),0)*(1+(P736-75)/500),0)</f>
        <v>135</v>
      </c>
      <c r="V736" s="361" t="n">
        <f aca="false">ROUNDDOWN(K736*1.75+50,0)</f>
        <v>176</v>
      </c>
      <c r="W736" s="261" t="n">
        <v>0</v>
      </c>
      <c r="X736" s="261" t="s">
        <v>1819</v>
      </c>
      <c r="Y736" s="364" t="s">
        <v>1819</v>
      </c>
      <c r="Z736" s="364"/>
      <c r="AA736" s="364"/>
      <c r="AB736" s="365"/>
      <c r="AC736" s="364"/>
      <c r="AD736" s="364"/>
      <c r="AE736" s="366"/>
      <c r="AF736" s="364" t="s">
        <v>1822</v>
      </c>
      <c r="AG736" s="364" t="s">
        <v>1822</v>
      </c>
      <c r="AH736" s="366" t="s">
        <v>1822</v>
      </c>
    </row>
    <row r="737" customFormat="false" ht="15.75" hidden="false" customHeight="false" outlineLevel="0" collapsed="false">
      <c r="A737" s="262" t="n">
        <v>635</v>
      </c>
      <c r="B737" s="361" t="n">
        <v>735</v>
      </c>
      <c r="C737" s="261" t="s">
        <v>1823</v>
      </c>
      <c r="D737" s="261" t="s">
        <v>60</v>
      </c>
      <c r="E737" s="362" t="s">
        <v>1823</v>
      </c>
      <c r="F737" s="261" t="s">
        <v>1532</v>
      </c>
      <c r="G737" s="261" t="s">
        <v>632</v>
      </c>
      <c r="H737" s="261" t="n">
        <v>0</v>
      </c>
      <c r="I737" s="261" t="n">
        <v>3</v>
      </c>
      <c r="J737" s="361" t="n">
        <v>1</v>
      </c>
      <c r="K737" s="262" t="n">
        <v>92</v>
      </c>
      <c r="L737" s="262" t="n">
        <v>105</v>
      </c>
      <c r="M737" s="262" t="n">
        <v>90</v>
      </c>
      <c r="N737" s="262" t="n">
        <v>125</v>
      </c>
      <c r="O737" s="262" t="n">
        <v>90</v>
      </c>
      <c r="P737" s="361" t="n">
        <v>98</v>
      </c>
      <c r="Q737" s="261" t="s">
        <v>160</v>
      </c>
      <c r="R737" s="261" t="s">
        <v>159</v>
      </c>
      <c r="S737" s="363" t="n">
        <f aca="false" t="array" ref="S737:S737">IF(COUNTIF('0.3.0 GO Calculation Values'!$J$2:$J$99,C737),(INDEX('0.3.0 GO Calculation Values'!$K$2:$K$99,MATCH(C737,'0.3.0 GO Calculation Values'!$J$2:$J$99,0))),1)</f>
        <v>1</v>
      </c>
      <c r="T737" s="262" t="n">
        <f aca="false">ROUND(ROUND(2*((7/8)*MAX(L737,N737)+(1/8)*MIN(L737,N737)),0)*(1+(P737-75)/500),0)</f>
        <v>256</v>
      </c>
      <c r="U737" s="262" t="n">
        <f aca="false">ROUND(ROUND(2*((5/8)*MAX(M737,O737)+(3/8)*MIN(M737,O737)),0)*(1+(P737-75)/500),0)</f>
        <v>188</v>
      </c>
      <c r="V737" s="361" t="n">
        <f aca="false">ROUNDDOWN(K737*1.75+50,0)</f>
        <v>211</v>
      </c>
      <c r="W737" s="261" t="n">
        <v>0</v>
      </c>
      <c r="X737" s="261" t="s">
        <v>1821</v>
      </c>
      <c r="Y737" s="364" t="s">
        <v>1819</v>
      </c>
      <c r="Z737" s="364"/>
      <c r="AA737" s="364"/>
      <c r="AB737" s="365"/>
      <c r="AC737" s="364"/>
      <c r="AD737" s="364"/>
      <c r="AE737" s="366"/>
      <c r="AF737" s="364" t="s">
        <v>1824</v>
      </c>
      <c r="AG737" s="364" t="s">
        <v>1824</v>
      </c>
      <c r="AH737" s="366" t="s">
        <v>1824</v>
      </c>
    </row>
    <row r="738" customFormat="false" ht="15.75" hidden="false" customHeight="false" outlineLevel="0" collapsed="false">
      <c r="A738" s="262" t="n">
        <v>636</v>
      </c>
      <c r="B738" s="361" t="n">
        <v>736</v>
      </c>
      <c r="C738" s="261" t="s">
        <v>1825</v>
      </c>
      <c r="D738" s="261" t="s">
        <v>60</v>
      </c>
      <c r="E738" s="362" t="s">
        <v>1825</v>
      </c>
      <c r="F738" s="261" t="s">
        <v>1532</v>
      </c>
      <c r="G738" s="261" t="s">
        <v>144</v>
      </c>
      <c r="H738" s="261" t="n">
        <v>0</v>
      </c>
      <c r="I738" s="261" t="n">
        <v>1</v>
      </c>
      <c r="J738" s="361" t="n">
        <v>0</v>
      </c>
      <c r="K738" s="262" t="n">
        <v>55</v>
      </c>
      <c r="L738" s="262" t="n">
        <v>85</v>
      </c>
      <c r="M738" s="262" t="n">
        <v>55</v>
      </c>
      <c r="N738" s="262" t="n">
        <v>50</v>
      </c>
      <c r="O738" s="262" t="n">
        <v>55</v>
      </c>
      <c r="P738" s="361" t="n">
        <v>60</v>
      </c>
      <c r="Q738" s="261" t="s">
        <v>150</v>
      </c>
      <c r="R738" s="261" t="s">
        <v>153</v>
      </c>
      <c r="S738" s="363" t="n">
        <f aca="false" t="array" ref="S738:S738">IF(COUNTIF('0.3.0 GO Calculation Values'!$J$2:$J$99,C738),(INDEX('0.3.0 GO Calculation Values'!$K$2:$K$99,MATCH(C738,'0.3.0 GO Calculation Values'!$J$2:$J$99,0))),1)</f>
        <v>1</v>
      </c>
      <c r="T738" s="262" t="n">
        <f aca="false">ROUND(ROUND(2*((7/8)*MAX(L738,N738)+(1/8)*MIN(L738,N738)),0)*(1+(P738-75)/500),0)</f>
        <v>156</v>
      </c>
      <c r="U738" s="262" t="n">
        <f aca="false">ROUND(ROUND(2*((5/8)*MAX(M738,O738)+(3/8)*MIN(M738,O738)),0)*(1+(P738-75)/500),0)</f>
        <v>107</v>
      </c>
      <c r="V738" s="361" t="n">
        <f aca="false">ROUNDDOWN(K738*1.75+50,0)</f>
        <v>146</v>
      </c>
      <c r="W738" s="261" t="n">
        <v>0</v>
      </c>
      <c r="X738" s="261" t="s">
        <v>60</v>
      </c>
      <c r="Y738" s="364" t="s">
        <v>1825</v>
      </c>
      <c r="Z738" s="364"/>
      <c r="AA738" s="364"/>
      <c r="AB738" s="365"/>
      <c r="AC738" s="364"/>
      <c r="AD738" s="364"/>
      <c r="AE738" s="366"/>
      <c r="AF738" s="364" t="s">
        <v>1826</v>
      </c>
      <c r="AG738" s="364" t="s">
        <v>1826</v>
      </c>
      <c r="AH738" s="366" t="s">
        <v>1826</v>
      </c>
    </row>
    <row r="739" customFormat="false" ht="15.75" hidden="false" customHeight="false" outlineLevel="0" collapsed="false">
      <c r="A739" s="262" t="n">
        <v>637</v>
      </c>
      <c r="B739" s="361" t="n">
        <v>737</v>
      </c>
      <c r="C739" s="261" t="s">
        <v>1827</v>
      </c>
      <c r="D739" s="261" t="s">
        <v>60</v>
      </c>
      <c r="E739" s="362" t="s">
        <v>1827</v>
      </c>
      <c r="F739" s="261" t="s">
        <v>1532</v>
      </c>
      <c r="G739" s="261" t="s">
        <v>144</v>
      </c>
      <c r="H739" s="261" t="n">
        <v>0</v>
      </c>
      <c r="I739" s="261" t="n">
        <v>2</v>
      </c>
      <c r="J739" s="361" t="n">
        <v>1</v>
      </c>
      <c r="K739" s="262" t="n">
        <v>85</v>
      </c>
      <c r="L739" s="262" t="n">
        <v>60</v>
      </c>
      <c r="M739" s="262" t="n">
        <v>65</v>
      </c>
      <c r="N739" s="262" t="n">
        <v>135</v>
      </c>
      <c r="O739" s="262" t="n">
        <v>105</v>
      </c>
      <c r="P739" s="361" t="n">
        <v>100</v>
      </c>
      <c r="Q739" s="261" t="s">
        <v>150</v>
      </c>
      <c r="R739" s="261" t="s">
        <v>153</v>
      </c>
      <c r="S739" s="363" t="n">
        <f aca="false" t="array" ref="S739:S739">IF(COUNTIF('0.3.0 GO Calculation Values'!$J$2:$J$99,C739),(INDEX('0.3.0 GO Calculation Values'!$K$2:$K$99,MATCH(C739,'0.3.0 GO Calculation Values'!$J$2:$J$99,0))),1)</f>
        <v>1</v>
      </c>
      <c r="T739" s="262" t="n">
        <f aca="false">ROUND(ROUND(2*((7/8)*MAX(L739,N739)+(1/8)*MIN(L739,N739)),0)*(1+(P739-75)/500),0)</f>
        <v>264</v>
      </c>
      <c r="U739" s="262" t="n">
        <f aca="false">ROUND(ROUND(2*((5/8)*MAX(M739,O739)+(3/8)*MIN(M739,O739)),0)*(1+(P739-75)/500),0)</f>
        <v>189</v>
      </c>
      <c r="V739" s="361" t="n">
        <f aca="false">ROUNDDOWN(K739*1.75+50,0)</f>
        <v>198</v>
      </c>
      <c r="W739" s="261" t="n">
        <v>0</v>
      </c>
      <c r="X739" s="261" t="s">
        <v>1825</v>
      </c>
      <c r="Y739" s="364" t="s">
        <v>1825</v>
      </c>
      <c r="Z739" s="364"/>
      <c r="AA739" s="364"/>
      <c r="AB739" s="365"/>
      <c r="AC739" s="364"/>
      <c r="AD739" s="364"/>
      <c r="AE739" s="366"/>
      <c r="AF739" s="364" t="s">
        <v>1828</v>
      </c>
      <c r="AG739" s="364" t="s">
        <v>1828</v>
      </c>
      <c r="AH739" s="366" t="s">
        <v>1828</v>
      </c>
    </row>
    <row r="740" customFormat="false" ht="15.75" hidden="false" customHeight="false" outlineLevel="0" collapsed="false">
      <c r="A740" s="262" t="n">
        <v>638</v>
      </c>
      <c r="B740" s="361" t="n">
        <v>738</v>
      </c>
      <c r="C740" s="261" t="s">
        <v>1829</v>
      </c>
      <c r="D740" s="261" t="s">
        <v>60</v>
      </c>
      <c r="E740" s="362" t="s">
        <v>1829</v>
      </c>
      <c r="F740" s="261" t="s">
        <v>1532</v>
      </c>
      <c r="G740" s="261" t="s">
        <v>625</v>
      </c>
      <c r="H740" s="261" t="n">
        <v>0</v>
      </c>
      <c r="I740" s="261" t="n">
        <v>1</v>
      </c>
      <c r="J740" s="361" t="n">
        <v>1</v>
      </c>
      <c r="K740" s="262" t="n">
        <v>91</v>
      </c>
      <c r="L740" s="262" t="n">
        <v>90</v>
      </c>
      <c r="M740" s="262" t="n">
        <v>129</v>
      </c>
      <c r="N740" s="262" t="n">
        <v>90</v>
      </c>
      <c r="O740" s="262" t="n">
        <v>72</v>
      </c>
      <c r="P740" s="361" t="n">
        <v>108</v>
      </c>
      <c r="Q740" s="261" t="s">
        <v>152</v>
      </c>
      <c r="R740" s="261" t="s">
        <v>145</v>
      </c>
      <c r="S740" s="363" t="n">
        <f aca="false" t="array" ref="S740:S740">IF(COUNTIF('0.3.0 GO Calculation Values'!$J$2:$J$99,C740),(INDEX('0.3.0 GO Calculation Values'!$K$2:$K$99,MATCH(C740,'0.3.0 GO Calculation Values'!$J$2:$J$99,0))),1)</f>
        <v>1</v>
      </c>
      <c r="T740" s="262" t="n">
        <f aca="false">ROUND(ROUND(2*((7/8)*MAX(L740,N740)+(1/8)*MIN(L740,N740)),0)*(1+(P740-75)/500),0)</f>
        <v>192</v>
      </c>
      <c r="U740" s="262" t="n">
        <f aca="false">ROUND(ROUND(2*((5/8)*MAX(M740,O740)+(3/8)*MIN(M740,O740)),0)*(1+(P740-75)/500),0)</f>
        <v>229</v>
      </c>
      <c r="V740" s="361" t="n">
        <f aca="false">ROUNDDOWN(K740*1.75+50,0)</f>
        <v>209</v>
      </c>
      <c r="W740" s="261" t="n">
        <v>0</v>
      </c>
      <c r="X740" s="261" t="s">
        <v>60</v>
      </c>
      <c r="Y740" s="364" t="s">
        <v>1829</v>
      </c>
      <c r="Z740" s="364" t="n">
        <v>20</v>
      </c>
      <c r="AA740" s="364"/>
      <c r="AB740" s="365"/>
      <c r="AC740" s="364"/>
      <c r="AD740" s="364"/>
      <c r="AE740" s="366"/>
      <c r="AF740" s="364" t="s">
        <v>1830</v>
      </c>
      <c r="AG740" s="364" t="s">
        <v>1830</v>
      </c>
      <c r="AH740" s="366" t="s">
        <v>1830</v>
      </c>
    </row>
    <row r="741" customFormat="false" ht="15.75" hidden="false" customHeight="false" outlineLevel="0" collapsed="false">
      <c r="A741" s="262" t="n">
        <v>639</v>
      </c>
      <c r="B741" s="361" t="n">
        <v>739</v>
      </c>
      <c r="C741" s="261" t="s">
        <v>1831</v>
      </c>
      <c r="D741" s="261" t="s">
        <v>60</v>
      </c>
      <c r="E741" s="362" t="s">
        <v>1831</v>
      </c>
      <c r="F741" s="261" t="s">
        <v>1532</v>
      </c>
      <c r="G741" s="261" t="s">
        <v>625</v>
      </c>
      <c r="H741" s="261" t="n">
        <v>0</v>
      </c>
      <c r="I741" s="261" t="n">
        <v>1</v>
      </c>
      <c r="J741" s="361" t="n">
        <v>1</v>
      </c>
      <c r="K741" s="262" t="n">
        <v>91</v>
      </c>
      <c r="L741" s="262" t="n">
        <v>129</v>
      </c>
      <c r="M741" s="262" t="n">
        <v>90</v>
      </c>
      <c r="N741" s="262" t="n">
        <v>72</v>
      </c>
      <c r="O741" s="262" t="n">
        <v>90</v>
      </c>
      <c r="P741" s="361" t="n">
        <v>108</v>
      </c>
      <c r="Q741" s="261" t="s">
        <v>149</v>
      </c>
      <c r="R741" s="261" t="s">
        <v>145</v>
      </c>
      <c r="S741" s="363" t="n">
        <f aca="false" t="array" ref="S741:S741">IF(COUNTIF('0.3.0 GO Calculation Values'!$J$2:$J$99,C741),(INDEX('0.3.0 GO Calculation Values'!$K$2:$K$99,MATCH(C741,'0.3.0 GO Calculation Values'!$J$2:$J$99,0))),1)</f>
        <v>1</v>
      </c>
      <c r="T741" s="262" t="n">
        <f aca="false">ROUND(ROUND(2*((7/8)*MAX(L741,N741)+(1/8)*MIN(L741,N741)),0)*(1+(P741-75)/500),0)</f>
        <v>260</v>
      </c>
      <c r="U741" s="262" t="n">
        <f aca="false">ROUND(ROUND(2*((5/8)*MAX(M741,O741)+(3/8)*MIN(M741,O741)),0)*(1+(P741-75)/500),0)</f>
        <v>192</v>
      </c>
      <c r="V741" s="361" t="n">
        <f aca="false">ROUNDDOWN(K741*1.75+50,0)</f>
        <v>209</v>
      </c>
      <c r="W741" s="261" t="n">
        <v>0</v>
      </c>
      <c r="X741" s="261" t="s">
        <v>60</v>
      </c>
      <c r="Y741" s="364" t="s">
        <v>1831</v>
      </c>
      <c r="Z741" s="364" t="n">
        <v>20</v>
      </c>
      <c r="AA741" s="364"/>
      <c r="AB741" s="365"/>
      <c r="AC741" s="364"/>
      <c r="AD741" s="364"/>
      <c r="AE741" s="366"/>
      <c r="AF741" s="364" t="s">
        <v>1832</v>
      </c>
      <c r="AG741" s="364" t="s">
        <v>1832</v>
      </c>
      <c r="AH741" s="366" t="s">
        <v>1832</v>
      </c>
    </row>
    <row r="742" customFormat="false" ht="15.75" hidden="false" customHeight="false" outlineLevel="0" collapsed="false">
      <c r="A742" s="262" t="n">
        <v>640</v>
      </c>
      <c r="B742" s="361" t="n">
        <v>740</v>
      </c>
      <c r="C742" s="261" t="s">
        <v>1833</v>
      </c>
      <c r="D742" s="261" t="s">
        <v>60</v>
      </c>
      <c r="E742" s="362" t="s">
        <v>1833</v>
      </c>
      <c r="F742" s="261" t="s">
        <v>1532</v>
      </c>
      <c r="G742" s="261" t="s">
        <v>625</v>
      </c>
      <c r="H742" s="261" t="n">
        <v>0</v>
      </c>
      <c r="I742" s="261" t="n">
        <v>1</v>
      </c>
      <c r="J742" s="361" t="n">
        <v>1</v>
      </c>
      <c r="K742" s="262" t="n">
        <v>91</v>
      </c>
      <c r="L742" s="262" t="n">
        <v>90</v>
      </c>
      <c r="M742" s="262" t="n">
        <v>72</v>
      </c>
      <c r="N742" s="262" t="n">
        <v>90</v>
      </c>
      <c r="O742" s="262" t="n">
        <v>129</v>
      </c>
      <c r="P742" s="361" t="n">
        <v>108</v>
      </c>
      <c r="Q742" s="261" t="s">
        <v>155</v>
      </c>
      <c r="R742" s="261" t="s">
        <v>145</v>
      </c>
      <c r="S742" s="363" t="n">
        <f aca="false" t="array" ref="S742:S742">IF(COUNTIF('0.3.0 GO Calculation Values'!$J$2:$J$99,C742),(INDEX('0.3.0 GO Calculation Values'!$K$2:$K$99,MATCH(C742,'0.3.0 GO Calculation Values'!$J$2:$J$99,0))),1)</f>
        <v>1</v>
      </c>
      <c r="T742" s="262" t="n">
        <f aca="false">ROUND(ROUND(2*((7/8)*MAX(L742,N742)+(1/8)*MIN(L742,N742)),0)*(1+(P742-75)/500),0)</f>
        <v>192</v>
      </c>
      <c r="U742" s="262" t="n">
        <f aca="false">ROUND(ROUND(2*((5/8)*MAX(M742,O742)+(3/8)*MIN(M742,O742)),0)*(1+(P742-75)/500),0)</f>
        <v>229</v>
      </c>
      <c r="V742" s="361" t="n">
        <f aca="false">ROUNDDOWN(K742*1.75+50,0)</f>
        <v>209</v>
      </c>
      <c r="W742" s="261" t="n">
        <v>0</v>
      </c>
      <c r="X742" s="261" t="s">
        <v>60</v>
      </c>
      <c r="Y742" s="364" t="s">
        <v>1833</v>
      </c>
      <c r="Z742" s="364" t="n">
        <v>20</v>
      </c>
      <c r="AA742" s="364"/>
      <c r="AB742" s="365"/>
      <c r="AC742" s="364"/>
      <c r="AD742" s="364"/>
      <c r="AE742" s="366"/>
      <c r="AF742" s="364" t="s">
        <v>1834</v>
      </c>
      <c r="AG742" s="364" t="s">
        <v>1834</v>
      </c>
      <c r="AH742" s="366" t="s">
        <v>1834</v>
      </c>
    </row>
    <row r="743" customFormat="false" ht="15.75" hidden="false" customHeight="false" outlineLevel="0" collapsed="false">
      <c r="A743" s="262" t="n">
        <v>641</v>
      </c>
      <c r="B743" s="361" t="n">
        <v>741</v>
      </c>
      <c r="C743" s="261" t="s">
        <v>1835</v>
      </c>
      <c r="D743" s="261" t="s">
        <v>1836</v>
      </c>
      <c r="E743" s="367" t="s">
        <v>1835</v>
      </c>
      <c r="F743" s="261" t="s">
        <v>1532</v>
      </c>
      <c r="G743" s="261" t="s">
        <v>625</v>
      </c>
      <c r="H743" s="261" t="n">
        <v>0</v>
      </c>
      <c r="I743" s="261" t="n">
        <v>1</v>
      </c>
      <c r="J743" s="361" t="n">
        <v>1</v>
      </c>
      <c r="K743" s="262" t="n">
        <v>79</v>
      </c>
      <c r="L743" s="262" t="n">
        <v>115</v>
      </c>
      <c r="M743" s="262" t="n">
        <v>70</v>
      </c>
      <c r="N743" s="262" t="n">
        <v>125</v>
      </c>
      <c r="O743" s="262" t="n">
        <v>80</v>
      </c>
      <c r="P743" s="361" t="n">
        <v>111</v>
      </c>
      <c r="Q743" s="261" t="s">
        <v>146</v>
      </c>
      <c r="R743" s="261"/>
      <c r="S743" s="363" t="n">
        <f aca="false" t="array" ref="S743:S743">IF(COUNTIF('0.3.0 GO Calculation Values'!$J$2:$J$99,C743),(INDEX('0.3.0 GO Calculation Values'!$K$2:$K$99,MATCH(C743,'0.3.0 GO Calculation Values'!$J$2:$J$99,0))),1)</f>
        <v>1</v>
      </c>
      <c r="T743" s="262" t="n">
        <f aca="false">ROUND(ROUND(2*((7/8)*MAX(L743,N743)+(1/8)*MIN(L743,N743)),0)*(1+(P743-75)/500),0)</f>
        <v>266</v>
      </c>
      <c r="U743" s="262" t="n">
        <f aca="false">ROUND(ROUND(2*((5/8)*MAX(M743,O743)+(3/8)*MIN(M743,O743)),0)*(1+(P743-75)/500),0)</f>
        <v>164</v>
      </c>
      <c r="V743" s="361" t="n">
        <f aca="false">ROUNDDOWN(K743*1.75+50,0)</f>
        <v>188</v>
      </c>
      <c r="W743" s="261" t="n">
        <v>0</v>
      </c>
      <c r="X743" s="261" t="s">
        <v>60</v>
      </c>
      <c r="Y743" s="364" t="s">
        <v>1835</v>
      </c>
      <c r="Z743" s="364" t="n">
        <v>20</v>
      </c>
      <c r="AA743" s="364"/>
      <c r="AB743" s="365"/>
      <c r="AC743" s="364"/>
      <c r="AD743" s="364"/>
      <c r="AE743" s="366"/>
      <c r="AF743" s="364" t="s">
        <v>1837</v>
      </c>
      <c r="AG743" s="364" t="s">
        <v>1837</v>
      </c>
      <c r="AH743" s="366" t="s">
        <v>1837</v>
      </c>
    </row>
    <row r="744" customFormat="false" ht="15.75" hidden="false" customHeight="false" outlineLevel="0" collapsed="false">
      <c r="A744" s="262" t="n">
        <v>641</v>
      </c>
      <c r="B744" s="361" t="n">
        <v>742</v>
      </c>
      <c r="C744" s="261" t="s">
        <v>1835</v>
      </c>
      <c r="D744" s="261" t="s">
        <v>1838</v>
      </c>
      <c r="E744" s="358" t="s">
        <v>1839</v>
      </c>
      <c r="F744" s="261" t="s">
        <v>1532</v>
      </c>
      <c r="G744" s="261" t="s">
        <v>625</v>
      </c>
      <c r="H744" s="261" t="n">
        <v>1</v>
      </c>
      <c r="I744" s="261" t="n">
        <v>1</v>
      </c>
      <c r="J744" s="361" t="n">
        <v>1</v>
      </c>
      <c r="K744" s="262" t="n">
        <v>79</v>
      </c>
      <c r="L744" s="262" t="n">
        <v>100</v>
      </c>
      <c r="M744" s="262" t="n">
        <v>80</v>
      </c>
      <c r="N744" s="262" t="n">
        <v>110</v>
      </c>
      <c r="O744" s="262" t="n">
        <v>90</v>
      </c>
      <c r="P744" s="361" t="n">
        <v>121</v>
      </c>
      <c r="Q744" s="261" t="s">
        <v>146</v>
      </c>
      <c r="R744" s="261"/>
      <c r="S744" s="363" t="n">
        <f aca="false" t="array" ref="S744:S744">IF(COUNTIF('0.3.0 GO Calculation Values'!$J$2:$J$99,C744),(INDEX('0.3.0 GO Calculation Values'!$K$2:$K$99,MATCH(C744,'0.3.0 GO Calculation Values'!$J$2:$J$99,0))),1)</f>
        <v>1</v>
      </c>
      <c r="T744" s="262" t="n">
        <f aca="false">ROUND(ROUND(2*((7/8)*MAX(L744,N744)+(1/8)*MIN(L744,N744)),0)*(1+(P744-75)/500),0)</f>
        <v>238</v>
      </c>
      <c r="U744" s="262" t="n">
        <f aca="false">ROUND(ROUND(2*((5/8)*MAX(M744,O744)+(3/8)*MIN(M744,O744)),0)*(1+(P744-75)/500),0)</f>
        <v>189</v>
      </c>
      <c r="V744" s="361" t="n">
        <f aca="false">ROUNDDOWN(K744*1.75+50,0)</f>
        <v>188</v>
      </c>
      <c r="W744" s="261" t="n">
        <v>0</v>
      </c>
      <c r="X744" s="261" t="s">
        <v>60</v>
      </c>
      <c r="Y744" s="364" t="s">
        <v>1835</v>
      </c>
      <c r="Z744" s="364" t="n">
        <v>20</v>
      </c>
      <c r="AA744" s="364"/>
      <c r="AB744" s="365"/>
      <c r="AC744" s="364"/>
      <c r="AD744" s="364"/>
      <c r="AE744" s="366"/>
      <c r="AF744" s="261" t="s">
        <v>1840</v>
      </c>
      <c r="AG744" s="261" t="s">
        <v>1840</v>
      </c>
      <c r="AH744" s="362" t="s">
        <v>1840</v>
      </c>
    </row>
    <row r="745" customFormat="false" ht="15.75" hidden="false" customHeight="false" outlineLevel="0" collapsed="false">
      <c r="A745" s="262" t="n">
        <v>642</v>
      </c>
      <c r="B745" s="361" t="n">
        <v>743</v>
      </c>
      <c r="C745" s="261" t="s">
        <v>1841</v>
      </c>
      <c r="D745" s="261" t="s">
        <v>1836</v>
      </c>
      <c r="E745" s="367" t="s">
        <v>1841</v>
      </c>
      <c r="F745" s="261" t="s">
        <v>1532</v>
      </c>
      <c r="G745" s="261" t="s">
        <v>625</v>
      </c>
      <c r="H745" s="261" t="n">
        <v>0</v>
      </c>
      <c r="I745" s="261" t="n">
        <v>1</v>
      </c>
      <c r="J745" s="361" t="n">
        <v>1</v>
      </c>
      <c r="K745" s="262" t="n">
        <v>79</v>
      </c>
      <c r="L745" s="262" t="n">
        <v>115</v>
      </c>
      <c r="M745" s="262" t="n">
        <v>70</v>
      </c>
      <c r="N745" s="262" t="n">
        <v>125</v>
      </c>
      <c r="O745" s="262" t="n">
        <v>80</v>
      </c>
      <c r="P745" s="361" t="n">
        <v>111</v>
      </c>
      <c r="Q745" s="261" t="s">
        <v>156</v>
      </c>
      <c r="R745" s="261" t="s">
        <v>146</v>
      </c>
      <c r="S745" s="363" t="n">
        <f aca="false" t="array" ref="S745:S745">IF(COUNTIF('0.3.0 GO Calculation Values'!$J$2:$J$99,C745),(INDEX('0.3.0 GO Calculation Values'!$K$2:$K$99,MATCH(C745,'0.3.0 GO Calculation Values'!$J$2:$J$99,0))),1)</f>
        <v>1</v>
      </c>
      <c r="T745" s="262" t="n">
        <f aca="false">ROUND(ROUND(2*((7/8)*MAX(L745,N745)+(1/8)*MIN(L745,N745)),0)*(1+(P745-75)/500),0)</f>
        <v>266</v>
      </c>
      <c r="U745" s="262" t="n">
        <f aca="false">ROUND(ROUND(2*((5/8)*MAX(M745,O745)+(3/8)*MIN(M745,O745)),0)*(1+(P745-75)/500),0)</f>
        <v>164</v>
      </c>
      <c r="V745" s="361" t="n">
        <f aca="false">ROUNDDOWN(K745*1.75+50,0)</f>
        <v>188</v>
      </c>
      <c r="W745" s="261" t="n">
        <v>0</v>
      </c>
      <c r="X745" s="261" t="s">
        <v>60</v>
      </c>
      <c r="Y745" s="364" t="s">
        <v>1841</v>
      </c>
      <c r="Z745" s="364" t="n">
        <v>20</v>
      </c>
      <c r="AA745" s="364"/>
      <c r="AB745" s="365"/>
      <c r="AC745" s="364"/>
      <c r="AD745" s="364"/>
      <c r="AE745" s="366"/>
      <c r="AF745" s="364" t="s">
        <v>1842</v>
      </c>
      <c r="AG745" s="364" t="s">
        <v>1842</v>
      </c>
      <c r="AH745" s="366" t="s">
        <v>1842</v>
      </c>
    </row>
    <row r="746" customFormat="false" ht="15.75" hidden="false" customHeight="false" outlineLevel="0" collapsed="false">
      <c r="A746" s="262" t="n">
        <v>642</v>
      </c>
      <c r="B746" s="361" t="n">
        <v>744</v>
      </c>
      <c r="C746" s="261" t="s">
        <v>1841</v>
      </c>
      <c r="D746" s="261" t="s">
        <v>1838</v>
      </c>
      <c r="E746" s="358" t="s">
        <v>1843</v>
      </c>
      <c r="F746" s="261" t="s">
        <v>1532</v>
      </c>
      <c r="G746" s="261" t="s">
        <v>625</v>
      </c>
      <c r="H746" s="261" t="n">
        <v>1</v>
      </c>
      <c r="I746" s="261" t="n">
        <v>1</v>
      </c>
      <c r="J746" s="361" t="n">
        <v>1</v>
      </c>
      <c r="K746" s="262" t="n">
        <v>79</v>
      </c>
      <c r="L746" s="262" t="n">
        <v>105</v>
      </c>
      <c r="M746" s="262" t="n">
        <v>70</v>
      </c>
      <c r="N746" s="262" t="n">
        <v>145</v>
      </c>
      <c r="O746" s="262" t="n">
        <v>80</v>
      </c>
      <c r="P746" s="361" t="n">
        <v>101</v>
      </c>
      <c r="Q746" s="261" t="s">
        <v>156</v>
      </c>
      <c r="R746" s="261" t="s">
        <v>146</v>
      </c>
      <c r="S746" s="363" t="n">
        <f aca="false" t="array" ref="S746:S746">IF(COUNTIF('0.3.0 GO Calculation Values'!$J$2:$J$99,C746),(INDEX('0.3.0 GO Calculation Values'!$K$2:$K$99,MATCH(C746,'0.3.0 GO Calculation Values'!$J$2:$J$99,0))),1)</f>
        <v>1</v>
      </c>
      <c r="T746" s="262" t="n">
        <f aca="false">ROUND(ROUND(2*((7/8)*MAX(L746,N746)+(1/8)*MIN(L746,N746)),0)*(1+(P746-75)/500),0)</f>
        <v>295</v>
      </c>
      <c r="U746" s="262" t="n">
        <f aca="false">ROUND(ROUND(2*((5/8)*MAX(M746,O746)+(3/8)*MIN(M746,O746)),0)*(1+(P746-75)/500),0)</f>
        <v>161</v>
      </c>
      <c r="V746" s="361" t="n">
        <f aca="false">ROUNDDOWN(K746*1.75+50,0)</f>
        <v>188</v>
      </c>
      <c r="W746" s="261" t="n">
        <v>0</v>
      </c>
      <c r="X746" s="261" t="s">
        <v>60</v>
      </c>
      <c r="Y746" s="364" t="s">
        <v>1841</v>
      </c>
      <c r="Z746" s="364" t="n">
        <v>20</v>
      </c>
      <c r="AA746" s="364"/>
      <c r="AB746" s="365"/>
      <c r="AC746" s="364"/>
      <c r="AD746" s="364"/>
      <c r="AE746" s="366"/>
      <c r="AF746" s="261" t="s">
        <v>1844</v>
      </c>
      <c r="AG746" s="261" t="s">
        <v>1844</v>
      </c>
      <c r="AH746" s="362" t="s">
        <v>1844</v>
      </c>
    </row>
    <row r="747" customFormat="false" ht="15.75" hidden="false" customHeight="false" outlineLevel="0" collapsed="false">
      <c r="A747" s="262" t="n">
        <v>643</v>
      </c>
      <c r="B747" s="361" t="n">
        <v>745</v>
      </c>
      <c r="C747" s="261" t="s">
        <v>1845</v>
      </c>
      <c r="D747" s="261" t="s">
        <v>60</v>
      </c>
      <c r="E747" s="362" t="s">
        <v>1845</v>
      </c>
      <c r="F747" s="261" t="s">
        <v>1532</v>
      </c>
      <c r="G747" s="261" t="s">
        <v>639</v>
      </c>
      <c r="H747" s="261" t="n">
        <v>0</v>
      </c>
      <c r="I747" s="261" t="n">
        <v>1</v>
      </c>
      <c r="J747" s="361" t="n">
        <v>1</v>
      </c>
      <c r="K747" s="262" t="n">
        <v>100</v>
      </c>
      <c r="L747" s="262" t="n">
        <v>120</v>
      </c>
      <c r="M747" s="262" t="n">
        <v>100</v>
      </c>
      <c r="N747" s="262" t="n">
        <v>150</v>
      </c>
      <c r="O747" s="262" t="n">
        <v>120</v>
      </c>
      <c r="P747" s="361" t="n">
        <v>90</v>
      </c>
      <c r="Q747" s="261" t="s">
        <v>159</v>
      </c>
      <c r="R747" s="261" t="s">
        <v>153</v>
      </c>
      <c r="S747" s="368" t="n">
        <f aca="false" t="array" ref="S747:S747">IF(COUNTIF('0.3.0 GO Calculation Values'!$J$2:$J$99,C747),(INDEX('0.3.0 GO Calculation Values'!$K$2:$K$99,MATCH(C747,'0.3.0 GO Calculation Values'!$J$2:$J$99,0))),1)</f>
        <v>0.909090909090909</v>
      </c>
      <c r="T747" s="262" t="n">
        <f aca="false">ROUND(ROUND(2*((7/8)*MAX(L747,N747)+(1/8)*MIN(L747,N747)),0)*(1+(P747-75)/500),0)</f>
        <v>302</v>
      </c>
      <c r="U747" s="262" t="n">
        <f aca="false">ROUND(ROUND(2*((5/8)*MAX(M747,O747)+(3/8)*MIN(M747,O747)),0)*(1+(P747-75)/500),0)</f>
        <v>232</v>
      </c>
      <c r="V747" s="361" t="n">
        <f aca="false">ROUNDDOWN(K747*1.75+50,0)</f>
        <v>225</v>
      </c>
      <c r="W747" s="261" t="n">
        <v>0</v>
      </c>
      <c r="X747" s="261" t="s">
        <v>60</v>
      </c>
      <c r="Y747" s="364" t="s">
        <v>1845</v>
      </c>
      <c r="Z747" s="364" t="n">
        <v>20</v>
      </c>
      <c r="AA747" s="364"/>
      <c r="AB747" s="365"/>
      <c r="AC747" s="364"/>
      <c r="AD747" s="364"/>
      <c r="AE747" s="366"/>
      <c r="AF747" s="364" t="s">
        <v>1846</v>
      </c>
      <c r="AG747" s="364" t="s">
        <v>1846</v>
      </c>
      <c r="AH747" s="366" t="s">
        <v>1846</v>
      </c>
    </row>
    <row r="748" customFormat="false" ht="15.75" hidden="false" customHeight="false" outlineLevel="0" collapsed="false">
      <c r="A748" s="262" t="n">
        <v>644</v>
      </c>
      <c r="B748" s="361" t="n">
        <v>746</v>
      </c>
      <c r="C748" s="261" t="s">
        <v>1847</v>
      </c>
      <c r="D748" s="261" t="s">
        <v>60</v>
      </c>
      <c r="E748" s="362" t="s">
        <v>1847</v>
      </c>
      <c r="F748" s="261" t="s">
        <v>1532</v>
      </c>
      <c r="G748" s="261" t="s">
        <v>639</v>
      </c>
      <c r="H748" s="261" t="n">
        <v>0</v>
      </c>
      <c r="I748" s="261" t="n">
        <v>1</v>
      </c>
      <c r="J748" s="361" t="n">
        <v>1</v>
      </c>
      <c r="K748" s="262" t="n">
        <v>100</v>
      </c>
      <c r="L748" s="262" t="n">
        <v>150</v>
      </c>
      <c r="M748" s="262" t="n">
        <v>120</v>
      </c>
      <c r="N748" s="262" t="n">
        <v>120</v>
      </c>
      <c r="O748" s="262" t="n">
        <v>100</v>
      </c>
      <c r="P748" s="361" t="n">
        <v>90</v>
      </c>
      <c r="Q748" s="261" t="s">
        <v>159</v>
      </c>
      <c r="R748" s="261" t="s">
        <v>156</v>
      </c>
      <c r="S748" s="368" t="n">
        <f aca="false" t="array" ref="S748:S748">IF(COUNTIF('0.3.0 GO Calculation Values'!$J$2:$J$99,C748),(INDEX('0.3.0 GO Calculation Values'!$K$2:$K$99,MATCH(C748,'0.3.0 GO Calculation Values'!$J$2:$J$99,0))),1)</f>
        <v>0.909090909090909</v>
      </c>
      <c r="T748" s="262" t="n">
        <f aca="false">ROUND(ROUND(2*((7/8)*MAX(L748,N748)+(1/8)*MIN(L748,N748)),0)*(1+(P748-75)/500),0)</f>
        <v>302</v>
      </c>
      <c r="U748" s="262" t="n">
        <f aca="false">ROUND(ROUND(2*((5/8)*MAX(M748,O748)+(3/8)*MIN(M748,O748)),0)*(1+(P748-75)/500),0)</f>
        <v>232</v>
      </c>
      <c r="V748" s="361" t="n">
        <f aca="false">ROUNDDOWN(K748*1.75+50,0)</f>
        <v>225</v>
      </c>
      <c r="W748" s="261" t="n">
        <v>0</v>
      </c>
      <c r="X748" s="261" t="s">
        <v>60</v>
      </c>
      <c r="Y748" s="364" t="s">
        <v>1847</v>
      </c>
      <c r="Z748" s="364" t="n">
        <v>20</v>
      </c>
      <c r="AA748" s="364"/>
      <c r="AB748" s="365"/>
      <c r="AC748" s="364"/>
      <c r="AD748" s="364"/>
      <c r="AE748" s="366"/>
      <c r="AF748" s="364" t="s">
        <v>1848</v>
      </c>
      <c r="AG748" s="364" t="s">
        <v>1848</v>
      </c>
      <c r="AH748" s="366" t="s">
        <v>1848</v>
      </c>
    </row>
    <row r="749" customFormat="false" ht="15.75" hidden="false" customHeight="false" outlineLevel="0" collapsed="false">
      <c r="A749" s="262" t="n">
        <v>645</v>
      </c>
      <c r="B749" s="361" t="n">
        <v>747</v>
      </c>
      <c r="C749" s="261" t="s">
        <v>1849</v>
      </c>
      <c r="D749" s="261" t="s">
        <v>1836</v>
      </c>
      <c r="E749" s="367" t="s">
        <v>1849</v>
      </c>
      <c r="F749" s="261" t="s">
        <v>1532</v>
      </c>
      <c r="G749" s="261" t="s">
        <v>1198</v>
      </c>
      <c r="H749" s="261" t="n">
        <v>0</v>
      </c>
      <c r="I749" s="261" t="n">
        <v>1</v>
      </c>
      <c r="J749" s="361" t="n">
        <v>1</v>
      </c>
      <c r="K749" s="262" t="n">
        <v>89</v>
      </c>
      <c r="L749" s="262" t="n">
        <v>125</v>
      </c>
      <c r="M749" s="262" t="n">
        <v>90</v>
      </c>
      <c r="N749" s="262" t="n">
        <v>115</v>
      </c>
      <c r="O749" s="262" t="n">
        <v>80</v>
      </c>
      <c r="P749" s="361" t="n">
        <v>101</v>
      </c>
      <c r="Q749" s="261" t="s">
        <v>148</v>
      </c>
      <c r="R749" s="261" t="s">
        <v>146</v>
      </c>
      <c r="S749" s="363" t="n">
        <f aca="false" t="array" ref="S749:S749">IF(COUNTIF('0.3.0 GO Calculation Values'!$J$2:$J$99,C749),(INDEX('0.3.0 GO Calculation Values'!$K$2:$K$99,MATCH(C749,'0.3.0 GO Calculation Values'!$J$2:$J$99,0))),1)</f>
        <v>1</v>
      </c>
      <c r="T749" s="262" t="n">
        <f aca="false">ROUND(ROUND(2*((7/8)*MAX(L749,N749)+(1/8)*MIN(L749,N749)),0)*(1+(P749-75)/500),0)</f>
        <v>261</v>
      </c>
      <c r="U749" s="262" t="n">
        <f aca="false">ROUND(ROUND(2*((5/8)*MAX(M749,O749)+(3/8)*MIN(M749,O749)),0)*(1+(P749-75)/500),0)</f>
        <v>182</v>
      </c>
      <c r="V749" s="361" t="n">
        <f aca="false">ROUNDDOWN(K749*1.75+50,0)</f>
        <v>205</v>
      </c>
      <c r="W749" s="261" t="n">
        <v>0</v>
      </c>
      <c r="X749" s="261" t="s">
        <v>60</v>
      </c>
      <c r="Y749" s="364" t="s">
        <v>1849</v>
      </c>
      <c r="Z749" s="364" t="n">
        <v>20</v>
      </c>
      <c r="AA749" s="364"/>
      <c r="AB749" s="365"/>
      <c r="AC749" s="364"/>
      <c r="AD749" s="364"/>
      <c r="AE749" s="366"/>
      <c r="AF749" s="364" t="s">
        <v>1850</v>
      </c>
      <c r="AG749" s="364" t="s">
        <v>1850</v>
      </c>
      <c r="AH749" s="366" t="s">
        <v>1850</v>
      </c>
    </row>
    <row r="750" customFormat="false" ht="15.75" hidden="false" customHeight="false" outlineLevel="0" collapsed="false">
      <c r="A750" s="262" t="n">
        <v>645</v>
      </c>
      <c r="B750" s="361" t="n">
        <v>748</v>
      </c>
      <c r="C750" s="261" t="s">
        <v>1849</v>
      </c>
      <c r="D750" s="261" t="s">
        <v>1838</v>
      </c>
      <c r="E750" s="358" t="s">
        <v>1851</v>
      </c>
      <c r="F750" s="261" t="s">
        <v>1532</v>
      </c>
      <c r="G750" s="261" t="s">
        <v>1198</v>
      </c>
      <c r="H750" s="261" t="n">
        <v>1</v>
      </c>
      <c r="I750" s="261" t="n">
        <v>1</v>
      </c>
      <c r="J750" s="361" t="n">
        <v>1</v>
      </c>
      <c r="K750" s="262" t="n">
        <v>89</v>
      </c>
      <c r="L750" s="262" t="n">
        <v>145</v>
      </c>
      <c r="M750" s="262" t="n">
        <v>90</v>
      </c>
      <c r="N750" s="262" t="n">
        <v>105</v>
      </c>
      <c r="O750" s="262" t="n">
        <v>80</v>
      </c>
      <c r="P750" s="361" t="n">
        <v>91</v>
      </c>
      <c r="Q750" s="261" t="s">
        <v>148</v>
      </c>
      <c r="R750" s="261" t="s">
        <v>146</v>
      </c>
      <c r="S750" s="363" t="n">
        <f aca="false" t="array" ref="S750:S750">IF(COUNTIF('0.3.0 GO Calculation Values'!$J$2:$J$99,C750),(INDEX('0.3.0 GO Calculation Values'!$K$2:$K$99,MATCH(C750,'0.3.0 GO Calculation Values'!$J$2:$J$99,0))),1)</f>
        <v>1</v>
      </c>
      <c r="T750" s="262" t="n">
        <f aca="false">ROUND(ROUND(2*((7/8)*MAX(L750,N750)+(1/8)*MIN(L750,N750)),0)*(1+(P750-75)/500),0)</f>
        <v>289</v>
      </c>
      <c r="U750" s="262" t="n">
        <f aca="false">ROUND(ROUND(2*((5/8)*MAX(M750,O750)+(3/8)*MIN(M750,O750)),0)*(1+(P750-75)/500),0)</f>
        <v>179</v>
      </c>
      <c r="V750" s="361" t="n">
        <f aca="false">ROUNDDOWN(K750*1.75+50,0)</f>
        <v>205</v>
      </c>
      <c r="W750" s="261" t="n">
        <v>0</v>
      </c>
      <c r="X750" s="261" t="s">
        <v>60</v>
      </c>
      <c r="Y750" s="364" t="s">
        <v>1849</v>
      </c>
      <c r="Z750" s="364" t="n">
        <v>20</v>
      </c>
      <c r="AA750" s="364"/>
      <c r="AB750" s="365"/>
      <c r="AC750" s="364"/>
      <c r="AD750" s="364"/>
      <c r="AE750" s="366"/>
      <c r="AF750" s="261" t="s">
        <v>1852</v>
      </c>
      <c r="AG750" s="261" t="s">
        <v>1852</v>
      </c>
      <c r="AH750" s="362" t="s">
        <v>1852</v>
      </c>
    </row>
    <row r="751" customFormat="false" ht="15.75" hidden="false" customHeight="false" outlineLevel="0" collapsed="false">
      <c r="A751" s="262" t="n">
        <v>646</v>
      </c>
      <c r="B751" s="361" t="n">
        <v>749</v>
      </c>
      <c r="C751" s="261" t="s">
        <v>1853</v>
      </c>
      <c r="D751" s="261" t="s">
        <v>7</v>
      </c>
      <c r="E751" s="367" t="s">
        <v>1853</v>
      </c>
      <c r="F751" s="261" t="s">
        <v>1532</v>
      </c>
      <c r="G751" s="261" t="s">
        <v>639</v>
      </c>
      <c r="H751" s="261" t="n">
        <v>0</v>
      </c>
      <c r="I751" s="261" t="n">
        <v>1</v>
      </c>
      <c r="J751" s="361" t="n">
        <v>1</v>
      </c>
      <c r="K751" s="262" t="n">
        <v>125</v>
      </c>
      <c r="L751" s="262" t="n">
        <v>130</v>
      </c>
      <c r="M751" s="262" t="n">
        <v>90</v>
      </c>
      <c r="N751" s="262" t="n">
        <v>130</v>
      </c>
      <c r="O751" s="262" t="n">
        <v>90</v>
      </c>
      <c r="P751" s="361" t="n">
        <v>95</v>
      </c>
      <c r="Q751" s="261" t="s">
        <v>159</v>
      </c>
      <c r="R751" s="261" t="s">
        <v>158</v>
      </c>
      <c r="S751" s="368" t="n">
        <f aca="false" t="array" ref="S751:S751">IF(COUNTIF('0.3.0 GO Calculation Values'!$J$2:$J$99,C751),(INDEX('0.3.0 GO Calculation Values'!$K$2:$K$99,MATCH(C751,'0.3.0 GO Calculation Values'!$J$2:$J$99,0))),1)</f>
        <v>0.909090909090909</v>
      </c>
      <c r="T751" s="262" t="n">
        <f aca="false">ROUND(ROUND(2*((7/8)*MAX(L751,N751)+(1/8)*MIN(L751,N751)),0)*(1+(P751-75)/500),0)</f>
        <v>270</v>
      </c>
      <c r="U751" s="262" t="n">
        <f aca="false">ROUND(ROUND(2*((5/8)*MAX(M751,O751)+(3/8)*MIN(M751,O751)),0)*(1+(P751-75)/500),0)</f>
        <v>187</v>
      </c>
      <c r="V751" s="361" t="n">
        <f aca="false">ROUNDDOWN(K751*1.75+50,0)</f>
        <v>268</v>
      </c>
      <c r="W751" s="261" t="n">
        <v>0</v>
      </c>
      <c r="X751" s="261" t="s">
        <v>60</v>
      </c>
      <c r="Y751" s="364" t="s">
        <v>1853</v>
      </c>
      <c r="Z751" s="364" t="n">
        <v>20</v>
      </c>
      <c r="AA751" s="364"/>
      <c r="AB751" s="365"/>
      <c r="AC751" s="364"/>
      <c r="AD751" s="364"/>
      <c r="AE751" s="366"/>
      <c r="AF751" s="364" t="s">
        <v>1854</v>
      </c>
      <c r="AG751" s="364" t="s">
        <v>1854</v>
      </c>
      <c r="AH751" s="366" t="s">
        <v>1854</v>
      </c>
    </row>
    <row r="752" customFormat="false" ht="15.75" hidden="false" customHeight="false" outlineLevel="0" collapsed="false">
      <c r="A752" s="262" t="n">
        <v>646</v>
      </c>
      <c r="B752" s="361" t="n">
        <v>750</v>
      </c>
      <c r="C752" s="261" t="s">
        <v>1853</v>
      </c>
      <c r="D752" s="261" t="s">
        <v>1855</v>
      </c>
      <c r="E752" s="358" t="s">
        <v>1856</v>
      </c>
      <c r="F752" s="261" t="s">
        <v>1532</v>
      </c>
      <c r="G752" s="261" t="s">
        <v>639</v>
      </c>
      <c r="H752" s="261" t="n">
        <v>1</v>
      </c>
      <c r="I752" s="261" t="n">
        <v>2</v>
      </c>
      <c r="J752" s="361" t="n">
        <v>1</v>
      </c>
      <c r="K752" s="262" t="n">
        <v>125</v>
      </c>
      <c r="L752" s="262" t="n">
        <v>170</v>
      </c>
      <c r="M752" s="262" t="n">
        <v>100</v>
      </c>
      <c r="N752" s="262" t="n">
        <v>120</v>
      </c>
      <c r="O752" s="262" t="n">
        <v>90</v>
      </c>
      <c r="P752" s="361" t="n">
        <v>95</v>
      </c>
      <c r="Q752" s="261" t="s">
        <v>159</v>
      </c>
      <c r="R752" s="261" t="s">
        <v>158</v>
      </c>
      <c r="S752" s="368" t="n">
        <f aca="false" t="array" ref="S752:S752">IF(COUNTIF('0.3.0 GO Calculation Values'!$J$2:$J$99,C752),(INDEX('0.3.0 GO Calculation Values'!$K$2:$K$99,MATCH(C752,'0.3.0 GO Calculation Values'!$J$2:$J$99,0))),1)</f>
        <v>0.909090909090909</v>
      </c>
      <c r="T752" s="262" t="n">
        <f aca="false">ROUND(ROUND(2*((7/8)*MAX(L752,N752)+(1/8)*MIN(L752,N752)),0)*(1+(P752-75)/500),0)</f>
        <v>341</v>
      </c>
      <c r="U752" s="262" t="n">
        <f aca="false">ROUND(ROUND(2*((5/8)*MAX(M752,O752)+(3/8)*MIN(M752,O752)),0)*(1+(P752-75)/500),0)</f>
        <v>201</v>
      </c>
      <c r="V752" s="361" t="n">
        <f aca="false">ROUNDDOWN(K752*1.75+50,0)</f>
        <v>268</v>
      </c>
      <c r="W752" s="261" t="n">
        <v>0</v>
      </c>
      <c r="X752" s="261" t="s">
        <v>1853</v>
      </c>
      <c r="Y752" s="364" t="s">
        <v>1853</v>
      </c>
      <c r="Z752" s="364" t="n">
        <v>20</v>
      </c>
      <c r="AA752" s="364"/>
      <c r="AB752" s="365"/>
      <c r="AC752" s="364"/>
      <c r="AD752" s="364"/>
      <c r="AE752" s="366"/>
      <c r="AF752" s="261" t="s">
        <v>1857</v>
      </c>
      <c r="AG752" s="261" t="s">
        <v>1857</v>
      </c>
      <c r="AH752" s="362" t="s">
        <v>1857</v>
      </c>
    </row>
    <row r="753" customFormat="false" ht="15.75" hidden="false" customHeight="false" outlineLevel="0" collapsed="false">
      <c r="A753" s="262" t="n">
        <v>646</v>
      </c>
      <c r="B753" s="361" t="n">
        <v>751</v>
      </c>
      <c r="C753" s="261" t="s">
        <v>1853</v>
      </c>
      <c r="D753" s="261" t="s">
        <v>1858</v>
      </c>
      <c r="E753" s="358" t="s">
        <v>1859</v>
      </c>
      <c r="F753" s="261" t="s">
        <v>1532</v>
      </c>
      <c r="G753" s="261" t="s">
        <v>639</v>
      </c>
      <c r="H753" s="261" t="n">
        <v>1</v>
      </c>
      <c r="I753" s="261" t="n">
        <v>2</v>
      </c>
      <c r="J753" s="361" t="n">
        <v>1</v>
      </c>
      <c r="K753" s="262" t="n">
        <v>125</v>
      </c>
      <c r="L753" s="262" t="n">
        <v>120</v>
      </c>
      <c r="M753" s="262" t="n">
        <v>90</v>
      </c>
      <c r="N753" s="262" t="n">
        <v>170</v>
      </c>
      <c r="O753" s="262" t="n">
        <v>100</v>
      </c>
      <c r="P753" s="361" t="n">
        <v>95</v>
      </c>
      <c r="Q753" s="261" t="s">
        <v>159</v>
      </c>
      <c r="R753" s="261" t="s">
        <v>158</v>
      </c>
      <c r="S753" s="368" t="n">
        <f aca="false" t="array" ref="S753:S753">IF(COUNTIF('0.3.0 GO Calculation Values'!$J$2:$J$99,C753),(INDEX('0.3.0 GO Calculation Values'!$K$2:$K$99,MATCH(C753,'0.3.0 GO Calculation Values'!$J$2:$J$99,0))),1)</f>
        <v>0.909090909090909</v>
      </c>
      <c r="T753" s="262" t="n">
        <f aca="false">ROUND(ROUND(2*((7/8)*MAX(L753,N753)+(1/8)*MIN(L753,N753)),0)*(1+(P753-75)/500),0)</f>
        <v>341</v>
      </c>
      <c r="U753" s="262" t="n">
        <f aca="false">ROUND(ROUND(2*((5/8)*MAX(M753,O753)+(3/8)*MIN(M753,O753)),0)*(1+(P753-75)/500),0)</f>
        <v>201</v>
      </c>
      <c r="V753" s="361" t="n">
        <f aca="false">ROUNDDOWN(K753*1.75+50,0)</f>
        <v>268</v>
      </c>
      <c r="W753" s="261" t="n">
        <v>0</v>
      </c>
      <c r="X753" s="261" t="s">
        <v>1853</v>
      </c>
      <c r="Y753" s="364" t="s">
        <v>1853</v>
      </c>
      <c r="Z753" s="364" t="n">
        <v>20</v>
      </c>
      <c r="AA753" s="364"/>
      <c r="AB753" s="365"/>
      <c r="AC753" s="364"/>
      <c r="AD753" s="364"/>
      <c r="AE753" s="366"/>
      <c r="AF753" s="261" t="s">
        <v>1860</v>
      </c>
      <c r="AG753" s="261" t="s">
        <v>1860</v>
      </c>
      <c r="AH753" s="362" t="s">
        <v>1860</v>
      </c>
    </row>
    <row r="754" customFormat="false" ht="15.75" hidden="false" customHeight="false" outlineLevel="0" collapsed="false">
      <c r="A754" s="262" t="n">
        <v>647</v>
      </c>
      <c r="B754" s="361" t="n">
        <v>752</v>
      </c>
      <c r="C754" s="261" t="s">
        <v>1861</v>
      </c>
      <c r="D754" s="261" t="s">
        <v>60</v>
      </c>
      <c r="E754" s="362" t="s">
        <v>1861</v>
      </c>
      <c r="F754" s="261" t="s">
        <v>1532</v>
      </c>
      <c r="G754" s="261" t="s">
        <v>650</v>
      </c>
      <c r="H754" s="261" t="n">
        <v>0</v>
      </c>
      <c r="I754" s="261" t="n">
        <v>1</v>
      </c>
      <c r="J754" s="361" t="n">
        <v>1</v>
      </c>
      <c r="K754" s="262" t="n">
        <v>91</v>
      </c>
      <c r="L754" s="262" t="n">
        <v>72</v>
      </c>
      <c r="M754" s="262" t="n">
        <v>90</v>
      </c>
      <c r="N754" s="262" t="n">
        <v>129</v>
      </c>
      <c r="O754" s="262" t="n">
        <v>90</v>
      </c>
      <c r="P754" s="361" t="n">
        <v>108</v>
      </c>
      <c r="Q754" s="261" t="s">
        <v>154</v>
      </c>
      <c r="R754" s="261" t="s">
        <v>145</v>
      </c>
      <c r="S754" s="363" t="n">
        <f aca="false" t="array" ref="S754:S754">IF(COUNTIF('0.3.0 GO Calculation Values'!$J$2:$J$99,C754),(INDEX('0.3.0 GO Calculation Values'!$K$2:$K$99,MATCH(C754,'0.3.0 GO Calculation Values'!$J$2:$J$99,0))),1)</f>
        <v>1</v>
      </c>
      <c r="T754" s="262" t="n">
        <f aca="false">ROUND(ROUND(2*((7/8)*MAX(L754,N754)+(1/8)*MIN(L754,N754)),0)*(1+(P754-75)/500),0)</f>
        <v>260</v>
      </c>
      <c r="U754" s="262" t="n">
        <f aca="false">ROUND(ROUND(2*((5/8)*MAX(M754,O754)+(3/8)*MIN(M754,O754)),0)*(1+(P754-75)/500),0)</f>
        <v>192</v>
      </c>
      <c r="V754" s="361" t="n">
        <f aca="false">ROUNDDOWN(K754*1.75+50,0)</f>
        <v>209</v>
      </c>
      <c r="W754" s="261" t="n">
        <v>0</v>
      </c>
      <c r="X754" s="261" t="s">
        <v>60</v>
      </c>
      <c r="Y754" s="364" t="s">
        <v>1861</v>
      </c>
      <c r="Z754" s="364" t="n">
        <v>20</v>
      </c>
      <c r="AA754" s="364"/>
      <c r="AB754" s="365"/>
      <c r="AC754" s="364"/>
      <c r="AD754" s="364"/>
      <c r="AE754" s="366"/>
      <c r="AF754" s="364" t="s">
        <v>1862</v>
      </c>
      <c r="AG754" s="364" t="s">
        <v>1862</v>
      </c>
      <c r="AH754" s="366" t="s">
        <v>1862</v>
      </c>
    </row>
    <row r="755" customFormat="false" ht="15.75" hidden="false" customHeight="false" outlineLevel="0" collapsed="false">
      <c r="A755" s="262" t="n">
        <v>648</v>
      </c>
      <c r="B755" s="361" t="n">
        <v>753</v>
      </c>
      <c r="C755" s="261" t="s">
        <v>1863</v>
      </c>
      <c r="D755" s="261" t="s">
        <v>1864</v>
      </c>
      <c r="E755" s="358" t="s">
        <v>1863</v>
      </c>
      <c r="F755" s="261" t="s">
        <v>1532</v>
      </c>
      <c r="G755" s="261" t="s">
        <v>650</v>
      </c>
      <c r="H755" s="261" t="n">
        <v>0</v>
      </c>
      <c r="I755" s="261" t="n">
        <v>1</v>
      </c>
      <c r="J755" s="361" t="n">
        <v>1</v>
      </c>
      <c r="K755" s="262" t="n">
        <v>100</v>
      </c>
      <c r="L755" s="262" t="n">
        <v>77</v>
      </c>
      <c r="M755" s="262" t="n">
        <v>77</v>
      </c>
      <c r="N755" s="262" t="n">
        <v>128</v>
      </c>
      <c r="O755" s="262" t="n">
        <v>128</v>
      </c>
      <c r="P755" s="361" t="n">
        <v>90</v>
      </c>
      <c r="Q755" s="261" t="s">
        <v>144</v>
      </c>
      <c r="R755" s="261" t="s">
        <v>157</v>
      </c>
      <c r="S755" s="363" t="n">
        <f aca="false" t="array" ref="S755:S755">IF(COUNTIF('0.3.0 GO Calculation Values'!$J$2:$J$99,C755),(INDEX('0.3.0 GO Calculation Values'!$K$2:$K$99,MATCH(C755,'0.3.0 GO Calculation Values'!$J$2:$J$99,0))),1)</f>
        <v>1</v>
      </c>
      <c r="T755" s="262" t="n">
        <f aca="false">ROUND(ROUND(2*((7/8)*MAX(L755,N755)+(1/8)*MIN(L755,N755)),0)*(1+(P755-75)/500),0)</f>
        <v>250</v>
      </c>
      <c r="U755" s="262" t="n">
        <f aca="false">ROUND(ROUND(2*((5/8)*MAX(M755,O755)+(3/8)*MIN(M755,O755)),0)*(1+(P755-75)/500),0)</f>
        <v>225</v>
      </c>
      <c r="V755" s="361" t="n">
        <f aca="false">ROUNDDOWN(K755*1.75+50,0)</f>
        <v>225</v>
      </c>
      <c r="W755" s="261" t="n">
        <v>0</v>
      </c>
      <c r="X755" s="261" t="s">
        <v>60</v>
      </c>
      <c r="Y755" s="364" t="s">
        <v>1863</v>
      </c>
      <c r="Z755" s="364" t="n">
        <v>20</v>
      </c>
      <c r="AA755" s="364"/>
      <c r="AB755" s="365"/>
      <c r="AC755" s="364"/>
      <c r="AD755" s="364"/>
      <c r="AE755" s="366"/>
      <c r="AF755" s="261" t="s">
        <v>1865</v>
      </c>
      <c r="AG755" s="261" t="s">
        <v>1866</v>
      </c>
      <c r="AH755" s="362" t="s">
        <v>1866</v>
      </c>
    </row>
    <row r="756" customFormat="false" ht="15.75" hidden="false" customHeight="false" outlineLevel="0" collapsed="false">
      <c r="A756" s="262" t="n">
        <v>648</v>
      </c>
      <c r="B756" s="361" t="n">
        <v>754</v>
      </c>
      <c r="C756" s="261" t="s">
        <v>1863</v>
      </c>
      <c r="D756" s="261" t="s">
        <v>1867</v>
      </c>
      <c r="E756" s="358" t="s">
        <v>1868</v>
      </c>
      <c r="F756" s="261" t="s">
        <v>1532</v>
      </c>
      <c r="G756" s="261" t="s">
        <v>650</v>
      </c>
      <c r="H756" s="261" t="n">
        <v>2</v>
      </c>
      <c r="I756" s="261" t="n">
        <v>1</v>
      </c>
      <c r="J756" s="361" t="n">
        <v>1</v>
      </c>
      <c r="K756" s="262" t="n">
        <v>100</v>
      </c>
      <c r="L756" s="262" t="n">
        <v>128</v>
      </c>
      <c r="M756" s="262" t="n">
        <v>90</v>
      </c>
      <c r="N756" s="262" t="n">
        <v>77</v>
      </c>
      <c r="O756" s="262" t="n">
        <v>77</v>
      </c>
      <c r="P756" s="361" t="n">
        <v>128</v>
      </c>
      <c r="Q756" s="261" t="s">
        <v>144</v>
      </c>
      <c r="R756" s="261" t="s">
        <v>145</v>
      </c>
      <c r="S756" s="363" t="n">
        <f aca="false" t="array" ref="S756:S756">IF(COUNTIF('0.3.0 GO Calculation Values'!$J$2:$J$99,C756),(INDEX('0.3.0 GO Calculation Values'!$K$2:$K$99,MATCH(C756,'0.3.0 GO Calculation Values'!$J$2:$J$99,0))),1)</f>
        <v>1</v>
      </c>
      <c r="T756" s="262" t="n">
        <f aca="false">ROUND(ROUND(2*((7/8)*MAX(L756,N756)+(1/8)*MIN(L756,N756)),0)*(1+(P756-75)/500),0)</f>
        <v>269</v>
      </c>
      <c r="U756" s="262" t="n">
        <f aca="false">ROUND(ROUND(2*((5/8)*MAX(M756,O756)+(3/8)*MIN(M756,O756)),0)*(1+(P756-75)/500),0)</f>
        <v>188</v>
      </c>
      <c r="V756" s="361" t="n">
        <f aca="false">ROUNDDOWN(K756*1.75+50,0)</f>
        <v>225</v>
      </c>
      <c r="W756" s="261" t="n">
        <v>0</v>
      </c>
      <c r="X756" s="261" t="s">
        <v>60</v>
      </c>
      <c r="Y756" s="364" t="s">
        <v>1863</v>
      </c>
      <c r="Z756" s="364" t="n">
        <v>20</v>
      </c>
      <c r="AA756" s="364"/>
      <c r="AB756" s="365"/>
      <c r="AC756" s="364"/>
      <c r="AD756" s="364"/>
      <c r="AE756" s="366"/>
      <c r="AF756" s="261" t="s">
        <v>1869</v>
      </c>
      <c r="AG756" s="261" t="s">
        <v>1869</v>
      </c>
      <c r="AH756" s="362" t="s">
        <v>1869</v>
      </c>
    </row>
    <row r="757" customFormat="false" ht="15.75" hidden="false" customHeight="false" outlineLevel="0" collapsed="false">
      <c r="A757" s="262" t="n">
        <v>649</v>
      </c>
      <c r="B757" s="361" t="n">
        <v>755</v>
      </c>
      <c r="C757" s="261" t="s">
        <v>1870</v>
      </c>
      <c r="D757" s="261" t="s">
        <v>60</v>
      </c>
      <c r="E757" s="362" t="s">
        <v>1870</v>
      </c>
      <c r="F757" s="261" t="s">
        <v>1532</v>
      </c>
      <c r="G757" s="261" t="s">
        <v>650</v>
      </c>
      <c r="H757" s="261" t="n">
        <v>0</v>
      </c>
      <c r="I757" s="261" t="n">
        <v>1</v>
      </c>
      <c r="J757" s="361" t="n">
        <v>1</v>
      </c>
      <c r="K757" s="262" t="n">
        <v>71</v>
      </c>
      <c r="L757" s="262" t="n">
        <v>120</v>
      </c>
      <c r="M757" s="262" t="n">
        <v>95</v>
      </c>
      <c r="N757" s="262" t="n">
        <v>120</v>
      </c>
      <c r="O757" s="262" t="n">
        <v>95</v>
      </c>
      <c r="P757" s="361" t="n">
        <v>99</v>
      </c>
      <c r="Q757" s="261" t="s">
        <v>150</v>
      </c>
      <c r="R757" s="261" t="s">
        <v>152</v>
      </c>
      <c r="S757" s="363" t="n">
        <f aca="false" t="array" ref="S757:S757">IF(COUNTIF('0.3.0 GO Calculation Values'!$J$2:$J$99,C757),(INDEX('0.3.0 GO Calculation Values'!$K$2:$K$99,MATCH(C757,'0.3.0 GO Calculation Values'!$J$2:$J$99,0))),1)</f>
        <v>1</v>
      </c>
      <c r="T757" s="262" t="n">
        <f aca="false">ROUND(ROUND(2*((7/8)*MAX(L757,N757)+(1/8)*MIN(L757,N757)),0)*(1+(P757-75)/500),0)</f>
        <v>252</v>
      </c>
      <c r="U757" s="262" t="n">
        <f aca="false">ROUND(ROUND(2*((5/8)*MAX(M757,O757)+(3/8)*MIN(M757,O757)),0)*(1+(P757-75)/500),0)</f>
        <v>199</v>
      </c>
      <c r="V757" s="361" t="n">
        <f aca="false">ROUNDDOWN(K757*1.75+50,0)</f>
        <v>174</v>
      </c>
      <c r="W757" s="261" t="n">
        <v>0</v>
      </c>
      <c r="X757" s="261" t="s">
        <v>60</v>
      </c>
      <c r="Y757" s="364" t="s">
        <v>1870</v>
      </c>
      <c r="Z757" s="364" t="n">
        <v>20</v>
      </c>
      <c r="AA757" s="364"/>
      <c r="AB757" s="365"/>
      <c r="AC757" s="364"/>
      <c r="AD757" s="364"/>
      <c r="AE757" s="366"/>
      <c r="AF757" s="364" t="s">
        <v>1871</v>
      </c>
      <c r="AG757" s="364" t="s">
        <v>1871</v>
      </c>
      <c r="AH757" s="366" t="s">
        <v>1871</v>
      </c>
    </row>
    <row r="758" customFormat="false" ht="15.75" hidden="false" customHeight="false" outlineLevel="0" collapsed="false">
      <c r="A758" s="262" t="n">
        <v>650</v>
      </c>
      <c r="B758" s="361" t="n">
        <v>756</v>
      </c>
      <c r="C758" s="261" t="s">
        <v>1872</v>
      </c>
      <c r="D758" s="261" t="s">
        <v>60</v>
      </c>
      <c r="E758" s="362" t="s">
        <v>1872</v>
      </c>
      <c r="F758" s="261" t="s">
        <v>1873</v>
      </c>
      <c r="G758" s="261" t="s">
        <v>229</v>
      </c>
      <c r="H758" s="261" t="n">
        <v>0</v>
      </c>
      <c r="I758" s="261" t="n">
        <v>1</v>
      </c>
      <c r="J758" s="361" t="n">
        <v>0</v>
      </c>
      <c r="K758" s="262" t="n">
        <v>56</v>
      </c>
      <c r="L758" s="262" t="n">
        <v>61</v>
      </c>
      <c r="M758" s="262" t="n">
        <v>65</v>
      </c>
      <c r="N758" s="262" t="n">
        <v>48</v>
      </c>
      <c r="O758" s="262" t="n">
        <v>45</v>
      </c>
      <c r="P758" s="361" t="n">
        <v>38</v>
      </c>
      <c r="Q758" s="261" t="s">
        <v>155</v>
      </c>
      <c r="R758" s="261"/>
      <c r="S758" s="363" t="n">
        <f aca="false" t="array" ref="S758:S758">IF(COUNTIF('0.3.0 GO Calculation Values'!$J$2:$J$99,C758),(INDEX('0.3.0 GO Calculation Values'!$K$2:$K$99,MATCH(C758,'0.3.0 GO Calculation Values'!$J$2:$J$99,0))),1)</f>
        <v>1</v>
      </c>
      <c r="T758" s="262" t="n">
        <f aca="false">ROUND(ROUND(2*((7/8)*MAX(L758,N758)+(1/8)*MIN(L758,N758)),0)*(1+(P758-75)/500),0)</f>
        <v>110</v>
      </c>
      <c r="U758" s="262" t="n">
        <f aca="false">ROUND(ROUND(2*((5/8)*MAX(M758,O758)+(3/8)*MIN(M758,O758)),0)*(1+(P758-75)/500),0)</f>
        <v>106</v>
      </c>
      <c r="V758" s="361" t="n">
        <f aca="false">ROUNDDOWN(K758*1.75+50,0)</f>
        <v>148</v>
      </c>
      <c r="W758" s="261" t="n">
        <v>0</v>
      </c>
      <c r="X758" s="261" t="s">
        <v>60</v>
      </c>
      <c r="Y758" s="364" t="s">
        <v>1872</v>
      </c>
      <c r="Z758" s="364"/>
      <c r="AA758" s="364"/>
      <c r="AB758" s="365"/>
      <c r="AC758" s="364"/>
      <c r="AD758" s="364"/>
      <c r="AE758" s="366"/>
      <c r="AF758" s="364" t="s">
        <v>1874</v>
      </c>
      <c r="AG758" s="364" t="s">
        <v>1874</v>
      </c>
      <c r="AH758" s="366" t="s">
        <v>1874</v>
      </c>
    </row>
    <row r="759" customFormat="false" ht="15.75" hidden="false" customHeight="false" outlineLevel="0" collapsed="false">
      <c r="A759" s="262" t="n">
        <v>651</v>
      </c>
      <c r="B759" s="361" t="n">
        <v>757</v>
      </c>
      <c r="C759" s="261" t="s">
        <v>1875</v>
      </c>
      <c r="D759" s="261" t="s">
        <v>60</v>
      </c>
      <c r="E759" s="362" t="s">
        <v>1875</v>
      </c>
      <c r="F759" s="261" t="s">
        <v>1873</v>
      </c>
      <c r="G759" s="261" t="s">
        <v>229</v>
      </c>
      <c r="H759" s="261" t="n">
        <v>0</v>
      </c>
      <c r="I759" s="261" t="n">
        <v>2</v>
      </c>
      <c r="J759" s="361" t="n">
        <v>0</v>
      </c>
      <c r="K759" s="262" t="n">
        <v>61</v>
      </c>
      <c r="L759" s="262" t="n">
        <v>78</v>
      </c>
      <c r="M759" s="262" t="n">
        <v>95</v>
      </c>
      <c r="N759" s="262" t="n">
        <v>56</v>
      </c>
      <c r="O759" s="262" t="n">
        <v>58</v>
      </c>
      <c r="P759" s="361" t="n">
        <v>57</v>
      </c>
      <c r="Q759" s="261" t="s">
        <v>155</v>
      </c>
      <c r="R759" s="261"/>
      <c r="S759" s="363" t="n">
        <f aca="false" t="array" ref="S759:S759">IF(COUNTIF('0.3.0 GO Calculation Values'!$J$2:$J$99,C759),(INDEX('0.3.0 GO Calculation Values'!$K$2:$K$99,MATCH(C759,'0.3.0 GO Calculation Values'!$J$2:$J$99,0))),1)</f>
        <v>1</v>
      </c>
      <c r="T759" s="262" t="n">
        <f aca="false">ROUND(ROUND(2*((7/8)*MAX(L759,N759)+(1/8)*MIN(L759,N759)),0)*(1+(P759-75)/500),0)</f>
        <v>146</v>
      </c>
      <c r="U759" s="262" t="n">
        <f aca="false">ROUND(ROUND(2*((5/8)*MAX(M759,O759)+(3/8)*MIN(M759,O759)),0)*(1+(P759-75)/500),0)</f>
        <v>156</v>
      </c>
      <c r="V759" s="361" t="n">
        <f aca="false">ROUNDDOWN(K759*1.75+50,0)</f>
        <v>156</v>
      </c>
      <c r="W759" s="261" t="n">
        <v>0</v>
      </c>
      <c r="X759" s="261" t="s">
        <v>1872</v>
      </c>
      <c r="Y759" s="364" t="s">
        <v>1872</v>
      </c>
      <c r="Z759" s="364"/>
      <c r="AA759" s="364"/>
      <c r="AB759" s="365"/>
      <c r="AC759" s="364"/>
      <c r="AD759" s="364"/>
      <c r="AE759" s="366"/>
      <c r="AF759" s="364" t="s">
        <v>1876</v>
      </c>
      <c r="AG759" s="364" t="s">
        <v>1876</v>
      </c>
      <c r="AH759" s="366" t="s">
        <v>1876</v>
      </c>
    </row>
    <row r="760" customFormat="false" ht="15.75" hidden="false" customHeight="false" outlineLevel="0" collapsed="false">
      <c r="A760" s="262" t="n">
        <v>652</v>
      </c>
      <c r="B760" s="361" t="n">
        <v>758</v>
      </c>
      <c r="C760" s="261" t="s">
        <v>1877</v>
      </c>
      <c r="D760" s="261" t="s">
        <v>60</v>
      </c>
      <c r="E760" s="362" t="s">
        <v>1877</v>
      </c>
      <c r="F760" s="261" t="s">
        <v>1873</v>
      </c>
      <c r="G760" s="261" t="s">
        <v>229</v>
      </c>
      <c r="H760" s="261" t="n">
        <v>0</v>
      </c>
      <c r="I760" s="261" t="n">
        <v>3</v>
      </c>
      <c r="J760" s="361" t="n">
        <v>1</v>
      </c>
      <c r="K760" s="262" t="n">
        <v>88</v>
      </c>
      <c r="L760" s="262" t="n">
        <v>107</v>
      </c>
      <c r="M760" s="262" t="n">
        <v>122</v>
      </c>
      <c r="N760" s="262" t="n">
        <v>74</v>
      </c>
      <c r="O760" s="262" t="n">
        <v>75</v>
      </c>
      <c r="P760" s="361" t="n">
        <v>64</v>
      </c>
      <c r="Q760" s="261" t="s">
        <v>155</v>
      </c>
      <c r="R760" s="261" t="s">
        <v>145</v>
      </c>
      <c r="S760" s="363" t="n">
        <f aca="false" t="array" ref="S760:S760">IF(COUNTIF('0.3.0 GO Calculation Values'!$J$2:$J$99,C760),(INDEX('0.3.0 GO Calculation Values'!$K$2:$K$99,MATCH(C760,'0.3.0 GO Calculation Values'!$J$2:$J$99,0))),1)</f>
        <v>1</v>
      </c>
      <c r="T760" s="262" t="n">
        <f aca="false">ROUND(ROUND(2*((7/8)*MAX(L760,N760)+(1/8)*MIN(L760,N760)),0)*(1+(P760-75)/500),0)</f>
        <v>201</v>
      </c>
      <c r="U760" s="262" t="n">
        <f aca="false">ROUND(ROUND(2*((5/8)*MAX(M760,O760)+(3/8)*MIN(M760,O760)),0)*(1+(P760-75)/500),0)</f>
        <v>204</v>
      </c>
      <c r="V760" s="361" t="n">
        <f aca="false">ROUNDDOWN(K760*1.75+50,0)</f>
        <v>204</v>
      </c>
      <c r="W760" s="261" t="n">
        <v>0</v>
      </c>
      <c r="X760" s="261" t="s">
        <v>1875</v>
      </c>
      <c r="Y760" s="364" t="s">
        <v>1872</v>
      </c>
      <c r="Z760" s="364"/>
      <c r="AA760" s="364"/>
      <c r="AB760" s="365"/>
      <c r="AC760" s="364"/>
      <c r="AD760" s="364"/>
      <c r="AE760" s="366"/>
      <c r="AF760" s="364" t="s">
        <v>1878</v>
      </c>
      <c r="AG760" s="364" t="s">
        <v>1878</v>
      </c>
      <c r="AH760" s="366" t="s">
        <v>1878</v>
      </c>
    </row>
    <row r="761" customFormat="false" ht="15.75" hidden="false" customHeight="false" outlineLevel="0" collapsed="false">
      <c r="A761" s="262" t="n">
        <v>653</v>
      </c>
      <c r="B761" s="361" t="n">
        <v>759</v>
      </c>
      <c r="C761" s="261" t="s">
        <v>1879</v>
      </c>
      <c r="D761" s="261" t="s">
        <v>60</v>
      </c>
      <c r="E761" s="362" t="s">
        <v>1879</v>
      </c>
      <c r="F761" s="261" t="s">
        <v>1873</v>
      </c>
      <c r="G761" s="261" t="s">
        <v>229</v>
      </c>
      <c r="H761" s="261" t="n">
        <v>0</v>
      </c>
      <c r="I761" s="261" t="n">
        <v>1</v>
      </c>
      <c r="J761" s="361" t="n">
        <v>0</v>
      </c>
      <c r="K761" s="262" t="n">
        <v>40</v>
      </c>
      <c r="L761" s="262" t="n">
        <v>45</v>
      </c>
      <c r="M761" s="262" t="n">
        <v>40</v>
      </c>
      <c r="N761" s="262" t="n">
        <v>62</v>
      </c>
      <c r="O761" s="262" t="n">
        <v>60</v>
      </c>
      <c r="P761" s="361" t="n">
        <v>60</v>
      </c>
      <c r="Q761" s="261" t="s">
        <v>153</v>
      </c>
      <c r="R761" s="261"/>
      <c r="S761" s="363" t="n">
        <f aca="false" t="array" ref="S761:S761">IF(COUNTIF('0.3.0 GO Calculation Values'!$J$2:$J$99,C761),(INDEX('0.3.0 GO Calculation Values'!$K$2:$K$99,MATCH(C761,'0.3.0 GO Calculation Values'!$J$2:$J$99,0))),1)</f>
        <v>1</v>
      </c>
      <c r="T761" s="262" t="n">
        <f aca="false">ROUND(ROUND(2*((7/8)*MAX(L761,N761)+(1/8)*MIN(L761,N761)),0)*(1+(P761-75)/500),0)</f>
        <v>116</v>
      </c>
      <c r="U761" s="262" t="n">
        <f aca="false">ROUND(ROUND(2*((5/8)*MAX(M761,O761)+(3/8)*MIN(M761,O761)),0)*(1+(P761-75)/500),0)</f>
        <v>102</v>
      </c>
      <c r="V761" s="361" t="n">
        <f aca="false">ROUNDDOWN(K761*1.75+50,0)</f>
        <v>120</v>
      </c>
      <c r="W761" s="261" t="n">
        <v>0</v>
      </c>
      <c r="X761" s="261" t="s">
        <v>60</v>
      </c>
      <c r="Y761" s="364" t="s">
        <v>1879</v>
      </c>
      <c r="Z761" s="364"/>
      <c r="AA761" s="364"/>
      <c r="AB761" s="365"/>
      <c r="AC761" s="364"/>
      <c r="AD761" s="364"/>
      <c r="AE761" s="366"/>
      <c r="AF761" s="364" t="s">
        <v>1880</v>
      </c>
      <c r="AG761" s="364" t="s">
        <v>1880</v>
      </c>
      <c r="AH761" s="366" t="s">
        <v>1880</v>
      </c>
    </row>
    <row r="762" customFormat="false" ht="15.75" hidden="false" customHeight="false" outlineLevel="0" collapsed="false">
      <c r="A762" s="262" t="n">
        <v>654</v>
      </c>
      <c r="B762" s="361" t="n">
        <v>760</v>
      </c>
      <c r="C762" s="261" t="s">
        <v>1881</v>
      </c>
      <c r="D762" s="261" t="s">
        <v>60</v>
      </c>
      <c r="E762" s="362" t="s">
        <v>1881</v>
      </c>
      <c r="F762" s="261" t="s">
        <v>1873</v>
      </c>
      <c r="G762" s="261" t="s">
        <v>229</v>
      </c>
      <c r="H762" s="261" t="n">
        <v>0</v>
      </c>
      <c r="I762" s="261" t="n">
        <v>2</v>
      </c>
      <c r="J762" s="361" t="n">
        <v>0</v>
      </c>
      <c r="K762" s="262" t="n">
        <v>59</v>
      </c>
      <c r="L762" s="262" t="n">
        <v>59</v>
      </c>
      <c r="M762" s="262" t="n">
        <v>58</v>
      </c>
      <c r="N762" s="262" t="n">
        <v>90</v>
      </c>
      <c r="O762" s="262" t="n">
        <v>70</v>
      </c>
      <c r="P762" s="361" t="n">
        <v>73</v>
      </c>
      <c r="Q762" s="261" t="s">
        <v>153</v>
      </c>
      <c r="R762" s="261"/>
      <c r="S762" s="363" t="n">
        <f aca="false" t="array" ref="S762:S762">IF(COUNTIF('0.3.0 GO Calculation Values'!$J$2:$J$99,C762),(INDEX('0.3.0 GO Calculation Values'!$K$2:$K$99,MATCH(C762,'0.3.0 GO Calculation Values'!$J$2:$J$99,0))),1)</f>
        <v>1</v>
      </c>
      <c r="T762" s="262" t="n">
        <f aca="false">ROUND(ROUND(2*((7/8)*MAX(L762,N762)+(1/8)*MIN(L762,N762)),0)*(1+(P762-75)/500),0)</f>
        <v>171</v>
      </c>
      <c r="U762" s="262" t="n">
        <f aca="false">ROUND(ROUND(2*((5/8)*MAX(M762,O762)+(3/8)*MIN(M762,O762)),0)*(1+(P762-75)/500),0)</f>
        <v>130</v>
      </c>
      <c r="V762" s="361" t="n">
        <f aca="false">ROUNDDOWN(K762*1.75+50,0)</f>
        <v>153</v>
      </c>
      <c r="W762" s="261" t="n">
        <v>0</v>
      </c>
      <c r="X762" s="261" t="s">
        <v>1879</v>
      </c>
      <c r="Y762" s="364" t="s">
        <v>1879</v>
      </c>
      <c r="Z762" s="364"/>
      <c r="AA762" s="364"/>
      <c r="AB762" s="365"/>
      <c r="AC762" s="364"/>
      <c r="AD762" s="364"/>
      <c r="AE762" s="366"/>
      <c r="AF762" s="364" t="s">
        <v>1882</v>
      </c>
      <c r="AG762" s="364" t="s">
        <v>1882</v>
      </c>
      <c r="AH762" s="366" t="s">
        <v>1882</v>
      </c>
    </row>
    <row r="763" customFormat="false" ht="15.75" hidden="false" customHeight="false" outlineLevel="0" collapsed="false">
      <c r="A763" s="262" t="n">
        <v>655</v>
      </c>
      <c r="B763" s="361" t="n">
        <v>761</v>
      </c>
      <c r="C763" s="261" t="s">
        <v>1883</v>
      </c>
      <c r="D763" s="261" t="s">
        <v>60</v>
      </c>
      <c r="E763" s="362" t="s">
        <v>1883</v>
      </c>
      <c r="F763" s="261" t="s">
        <v>1873</v>
      </c>
      <c r="G763" s="261" t="s">
        <v>229</v>
      </c>
      <c r="H763" s="261" t="n">
        <v>0</v>
      </c>
      <c r="I763" s="261" t="n">
        <v>3</v>
      </c>
      <c r="J763" s="361" t="n">
        <v>1</v>
      </c>
      <c r="K763" s="262" t="n">
        <v>75</v>
      </c>
      <c r="L763" s="262" t="n">
        <v>69</v>
      </c>
      <c r="M763" s="262" t="n">
        <v>72</v>
      </c>
      <c r="N763" s="262" t="n">
        <v>114</v>
      </c>
      <c r="O763" s="262" t="n">
        <v>100</v>
      </c>
      <c r="P763" s="361" t="n">
        <v>104</v>
      </c>
      <c r="Q763" s="261" t="s">
        <v>153</v>
      </c>
      <c r="R763" s="261" t="s">
        <v>157</v>
      </c>
      <c r="S763" s="363" t="n">
        <f aca="false" t="array" ref="S763:S763">IF(COUNTIF('0.3.0 GO Calculation Values'!$J$2:$J$99,C763),(INDEX('0.3.0 GO Calculation Values'!$K$2:$K$99,MATCH(C763,'0.3.0 GO Calculation Values'!$J$2:$J$99,0))),1)</f>
        <v>1</v>
      </c>
      <c r="T763" s="262" t="n">
        <f aca="false">ROUND(ROUND(2*((7/8)*MAX(L763,N763)+(1/8)*MIN(L763,N763)),0)*(1+(P763-75)/500),0)</f>
        <v>230</v>
      </c>
      <c r="U763" s="262" t="n">
        <f aca="false">ROUND(ROUND(2*((5/8)*MAX(M763,O763)+(3/8)*MIN(M763,O763)),0)*(1+(P763-75)/500),0)</f>
        <v>189</v>
      </c>
      <c r="V763" s="361" t="n">
        <f aca="false">ROUNDDOWN(K763*1.75+50,0)</f>
        <v>181</v>
      </c>
      <c r="W763" s="261" t="n">
        <v>0</v>
      </c>
      <c r="X763" s="261" t="s">
        <v>1881</v>
      </c>
      <c r="Y763" s="364" t="s">
        <v>1879</v>
      </c>
      <c r="Z763" s="364"/>
      <c r="AA763" s="364"/>
      <c r="AB763" s="365"/>
      <c r="AC763" s="364"/>
      <c r="AD763" s="364"/>
      <c r="AE763" s="366"/>
      <c r="AF763" s="364" t="s">
        <v>1884</v>
      </c>
      <c r="AG763" s="364" t="s">
        <v>1884</v>
      </c>
      <c r="AH763" s="366" t="s">
        <v>1884</v>
      </c>
    </row>
    <row r="764" customFormat="false" ht="15.75" hidden="false" customHeight="false" outlineLevel="0" collapsed="false">
      <c r="A764" s="262" t="n">
        <v>656</v>
      </c>
      <c r="B764" s="361" t="n">
        <v>762</v>
      </c>
      <c r="C764" s="261" t="s">
        <v>1885</v>
      </c>
      <c r="D764" s="261" t="s">
        <v>60</v>
      </c>
      <c r="E764" s="362" t="s">
        <v>1885</v>
      </c>
      <c r="F764" s="261" t="s">
        <v>1873</v>
      </c>
      <c r="G764" s="261" t="s">
        <v>229</v>
      </c>
      <c r="H764" s="261" t="n">
        <v>0</v>
      </c>
      <c r="I764" s="261" t="n">
        <v>1</v>
      </c>
      <c r="J764" s="361" t="n">
        <v>0</v>
      </c>
      <c r="K764" s="262" t="n">
        <v>41</v>
      </c>
      <c r="L764" s="262" t="n">
        <v>56</v>
      </c>
      <c r="M764" s="262" t="n">
        <v>41</v>
      </c>
      <c r="N764" s="262" t="n">
        <v>62</v>
      </c>
      <c r="O764" s="262" t="n">
        <v>44</v>
      </c>
      <c r="P764" s="361" t="n">
        <v>71</v>
      </c>
      <c r="Q764" s="261" t="s">
        <v>154</v>
      </c>
      <c r="R764" s="261"/>
      <c r="S764" s="363" t="n">
        <f aca="false" t="array" ref="S764:S764">IF(COUNTIF('0.3.0 GO Calculation Values'!$J$2:$J$99,C764),(INDEX('0.3.0 GO Calculation Values'!$K$2:$K$99,MATCH(C764,'0.3.0 GO Calculation Values'!$J$2:$J$99,0))),1)</f>
        <v>1</v>
      </c>
      <c r="T764" s="262" t="n">
        <f aca="false">ROUND(ROUND(2*((7/8)*MAX(L764,N764)+(1/8)*MIN(L764,N764)),0)*(1+(P764-75)/500),0)</f>
        <v>122</v>
      </c>
      <c r="U764" s="262" t="n">
        <f aca="false">ROUND(ROUND(2*((5/8)*MAX(M764,O764)+(3/8)*MIN(M764,O764)),0)*(1+(P764-75)/500),0)</f>
        <v>85</v>
      </c>
      <c r="V764" s="361" t="n">
        <f aca="false">ROUNDDOWN(K764*1.75+50,0)</f>
        <v>121</v>
      </c>
      <c r="W764" s="261" t="n">
        <v>0</v>
      </c>
      <c r="X764" s="261" t="s">
        <v>60</v>
      </c>
      <c r="Y764" s="364" t="s">
        <v>1885</v>
      </c>
      <c r="Z764" s="364"/>
      <c r="AA764" s="364"/>
      <c r="AB764" s="365"/>
      <c r="AC764" s="364"/>
      <c r="AD764" s="364"/>
      <c r="AE764" s="366"/>
      <c r="AF764" s="364" t="s">
        <v>1886</v>
      </c>
      <c r="AG764" s="364" t="s">
        <v>1886</v>
      </c>
      <c r="AH764" s="366" t="s">
        <v>1886</v>
      </c>
    </row>
    <row r="765" customFormat="false" ht="15.75" hidden="false" customHeight="false" outlineLevel="0" collapsed="false">
      <c r="A765" s="262" t="n">
        <v>657</v>
      </c>
      <c r="B765" s="361" t="n">
        <v>763</v>
      </c>
      <c r="C765" s="261" t="s">
        <v>1887</v>
      </c>
      <c r="D765" s="261" t="s">
        <v>60</v>
      </c>
      <c r="E765" s="362" t="s">
        <v>1887</v>
      </c>
      <c r="F765" s="261" t="s">
        <v>1873</v>
      </c>
      <c r="G765" s="261" t="s">
        <v>229</v>
      </c>
      <c r="H765" s="261" t="n">
        <v>0</v>
      </c>
      <c r="I765" s="261" t="n">
        <v>2</v>
      </c>
      <c r="J765" s="361" t="n">
        <v>0</v>
      </c>
      <c r="K765" s="262" t="n">
        <v>54</v>
      </c>
      <c r="L765" s="262" t="n">
        <v>63</v>
      </c>
      <c r="M765" s="262" t="n">
        <v>52</v>
      </c>
      <c r="N765" s="262" t="n">
        <v>83</v>
      </c>
      <c r="O765" s="262" t="n">
        <v>56</v>
      </c>
      <c r="P765" s="361" t="n">
        <v>97</v>
      </c>
      <c r="Q765" s="261" t="s">
        <v>154</v>
      </c>
      <c r="R765" s="261"/>
      <c r="S765" s="363" t="n">
        <f aca="false" t="array" ref="S765:S765">IF(COUNTIF('0.3.0 GO Calculation Values'!$J$2:$J$99,C765),(INDEX('0.3.0 GO Calculation Values'!$K$2:$K$99,MATCH(C765,'0.3.0 GO Calculation Values'!$J$2:$J$99,0))),1)</f>
        <v>1</v>
      </c>
      <c r="T765" s="262" t="n">
        <f aca="false">ROUND(ROUND(2*((7/8)*MAX(L765,N765)+(1/8)*MIN(L765,N765)),0)*(1+(P765-75)/500),0)</f>
        <v>168</v>
      </c>
      <c r="U765" s="262" t="n">
        <f aca="false">ROUND(ROUND(2*((5/8)*MAX(M765,O765)+(3/8)*MIN(M765,O765)),0)*(1+(P765-75)/500),0)</f>
        <v>114</v>
      </c>
      <c r="V765" s="361" t="n">
        <f aca="false">ROUNDDOWN(K765*1.75+50,0)</f>
        <v>144</v>
      </c>
      <c r="W765" s="261" t="n">
        <v>0</v>
      </c>
      <c r="X765" s="261" t="s">
        <v>1885</v>
      </c>
      <c r="Y765" s="364" t="s">
        <v>1885</v>
      </c>
      <c r="Z765" s="364"/>
      <c r="AA765" s="364"/>
      <c r="AB765" s="365"/>
      <c r="AC765" s="364"/>
      <c r="AD765" s="364"/>
      <c r="AE765" s="366"/>
      <c r="AF765" s="364" t="s">
        <v>1888</v>
      </c>
      <c r="AG765" s="364" t="s">
        <v>1888</v>
      </c>
      <c r="AH765" s="366" t="s">
        <v>1888</v>
      </c>
    </row>
    <row r="766" customFormat="false" ht="15.75" hidden="false" customHeight="false" outlineLevel="0" collapsed="false">
      <c r="A766" s="262" t="n">
        <v>658</v>
      </c>
      <c r="B766" s="361" t="n">
        <v>764</v>
      </c>
      <c r="C766" s="261" t="s">
        <v>1889</v>
      </c>
      <c r="D766" s="261" t="s">
        <v>7</v>
      </c>
      <c r="E766" s="367" t="s">
        <v>1889</v>
      </c>
      <c r="F766" s="261" t="s">
        <v>1873</v>
      </c>
      <c r="G766" s="261" t="s">
        <v>229</v>
      </c>
      <c r="H766" s="261" t="n">
        <v>0</v>
      </c>
      <c r="I766" s="261" t="n">
        <v>3</v>
      </c>
      <c r="J766" s="361" t="n">
        <v>1</v>
      </c>
      <c r="K766" s="262" t="n">
        <v>72</v>
      </c>
      <c r="L766" s="262" t="n">
        <v>95</v>
      </c>
      <c r="M766" s="262" t="n">
        <v>67</v>
      </c>
      <c r="N766" s="262" t="n">
        <v>103</v>
      </c>
      <c r="O766" s="262" t="n">
        <v>71</v>
      </c>
      <c r="P766" s="361" t="n">
        <v>122</v>
      </c>
      <c r="Q766" s="261" t="s">
        <v>154</v>
      </c>
      <c r="R766" s="261" t="s">
        <v>160</v>
      </c>
      <c r="S766" s="363" t="n">
        <f aca="false" t="array" ref="S766:S766">IF(COUNTIF('0.3.0 GO Calculation Values'!$J$2:$J$99,C766),(INDEX('0.3.0 GO Calculation Values'!$K$2:$K$99,MATCH(C766,'0.3.0 GO Calculation Values'!$J$2:$J$99,0))),1)</f>
        <v>1</v>
      </c>
      <c r="T766" s="262" t="n">
        <f aca="false">ROUND(ROUND(2*((7/8)*MAX(L766,N766)+(1/8)*MIN(L766,N766)),0)*(1+(P766-75)/500),0)</f>
        <v>223</v>
      </c>
      <c r="U766" s="262" t="n">
        <f aca="false">ROUND(ROUND(2*((5/8)*MAX(M766,O766)+(3/8)*MIN(M766,O766)),0)*(1+(P766-75)/500),0)</f>
        <v>152</v>
      </c>
      <c r="V766" s="361" t="n">
        <f aca="false">ROUNDDOWN(K766*1.75+50,0)</f>
        <v>176</v>
      </c>
      <c r="W766" s="261" t="n">
        <v>0</v>
      </c>
      <c r="X766" s="261" t="s">
        <v>1887</v>
      </c>
      <c r="Y766" s="364" t="s">
        <v>1885</v>
      </c>
      <c r="Z766" s="364"/>
      <c r="AA766" s="364"/>
      <c r="AB766" s="365"/>
      <c r="AC766" s="364"/>
      <c r="AD766" s="364"/>
      <c r="AE766" s="366"/>
      <c r="AF766" s="364" t="s">
        <v>1890</v>
      </c>
      <c r="AG766" s="364" t="s">
        <v>1890</v>
      </c>
      <c r="AH766" s="366" t="s">
        <v>1890</v>
      </c>
    </row>
    <row r="767" customFormat="false" ht="15.75" hidden="false" customHeight="false" outlineLevel="0" collapsed="false">
      <c r="A767" s="262" t="n">
        <v>658</v>
      </c>
      <c r="B767" s="361" t="n">
        <v>765</v>
      </c>
      <c r="C767" s="261" t="s">
        <v>1889</v>
      </c>
      <c r="D767" s="261" t="s">
        <v>1891</v>
      </c>
      <c r="E767" s="358" t="s">
        <v>1892</v>
      </c>
      <c r="F767" s="261" t="s">
        <v>1873</v>
      </c>
      <c r="G767" s="261" t="s">
        <v>229</v>
      </c>
      <c r="H767" s="261" t="n">
        <v>2</v>
      </c>
      <c r="I767" s="261" t="n">
        <v>3</v>
      </c>
      <c r="J767" s="361" t="n">
        <v>1</v>
      </c>
      <c r="K767" s="262" t="n">
        <v>72</v>
      </c>
      <c r="L767" s="262" t="n">
        <v>145</v>
      </c>
      <c r="M767" s="262" t="n">
        <v>67</v>
      </c>
      <c r="N767" s="262" t="n">
        <v>153</v>
      </c>
      <c r="O767" s="262" t="n">
        <v>71</v>
      </c>
      <c r="P767" s="361" t="n">
        <v>132</v>
      </c>
      <c r="Q767" s="261" t="s">
        <v>154</v>
      </c>
      <c r="R767" s="261" t="s">
        <v>160</v>
      </c>
      <c r="S767" s="363" t="n">
        <f aca="false" t="array" ref="S767:S767">IF(COUNTIF('0.3.0 GO Calculation Values'!$J$2:$J$99,C767),(INDEX('0.3.0 GO Calculation Values'!$K$2:$K$99,MATCH(C767,'0.3.0 GO Calculation Values'!$J$2:$J$99,0))),1)</f>
        <v>1</v>
      </c>
      <c r="T767" s="262" t="n">
        <f aca="false">ROUND(ROUND(2*((7/8)*MAX(L767,N767)+(1/8)*MIN(L767,N767)),0)*(1+(P767-75)/500),0)</f>
        <v>339</v>
      </c>
      <c r="U767" s="262" t="n">
        <f aca="false">ROUND(ROUND(2*((5/8)*MAX(M767,O767)+(3/8)*MIN(M767,O767)),0)*(1+(P767-75)/500),0)</f>
        <v>155</v>
      </c>
      <c r="V767" s="361" t="n">
        <f aca="false">ROUNDDOWN(K767*1.75+50,0)</f>
        <v>176</v>
      </c>
      <c r="W767" s="261" t="n">
        <v>0</v>
      </c>
      <c r="X767" s="261" t="s">
        <v>1889</v>
      </c>
      <c r="Y767" s="364" t="s">
        <v>1885</v>
      </c>
      <c r="Z767" s="364"/>
      <c r="AA767" s="364"/>
      <c r="AB767" s="365"/>
      <c r="AC767" s="364"/>
      <c r="AD767" s="364"/>
      <c r="AE767" s="366"/>
      <c r="AF767" s="261" t="s">
        <v>1893</v>
      </c>
      <c r="AG767" s="261" t="s">
        <v>1893</v>
      </c>
      <c r="AH767" s="362" t="s">
        <v>1893</v>
      </c>
    </row>
    <row r="768" customFormat="false" ht="15.75" hidden="false" customHeight="false" outlineLevel="0" collapsed="false">
      <c r="A768" s="262" t="n">
        <v>659</v>
      </c>
      <c r="B768" s="361" t="n">
        <v>766</v>
      </c>
      <c r="C768" s="261" t="s">
        <v>1894</v>
      </c>
      <c r="D768" s="261" t="s">
        <v>60</v>
      </c>
      <c r="E768" s="362" t="s">
        <v>1894</v>
      </c>
      <c r="F768" s="261" t="s">
        <v>1873</v>
      </c>
      <c r="G768" s="261" t="s">
        <v>144</v>
      </c>
      <c r="H768" s="261" t="n">
        <v>0</v>
      </c>
      <c r="I768" s="261" t="n">
        <v>1</v>
      </c>
      <c r="J768" s="361" t="n">
        <v>0</v>
      </c>
      <c r="K768" s="262" t="n">
        <v>38</v>
      </c>
      <c r="L768" s="262" t="n">
        <v>36</v>
      </c>
      <c r="M768" s="262" t="n">
        <v>38</v>
      </c>
      <c r="N768" s="262" t="n">
        <v>32</v>
      </c>
      <c r="O768" s="262" t="n">
        <v>36</v>
      </c>
      <c r="P768" s="361" t="n">
        <v>57</v>
      </c>
      <c r="Q768" s="261" t="s">
        <v>144</v>
      </c>
      <c r="R768" s="261"/>
      <c r="S768" s="363" t="n">
        <f aca="false" t="array" ref="S768:S768">IF(COUNTIF('0.3.0 GO Calculation Values'!$J$2:$J$99,C768),(INDEX('0.3.0 GO Calculation Values'!$K$2:$K$99,MATCH(C768,'0.3.0 GO Calculation Values'!$J$2:$J$99,0))),1)</f>
        <v>1</v>
      </c>
      <c r="T768" s="262" t="n">
        <f aca="false">ROUND(ROUND(2*((7/8)*MAX(L768,N768)+(1/8)*MIN(L768,N768)),0)*(1+(P768-75)/500),0)</f>
        <v>68</v>
      </c>
      <c r="U768" s="262" t="n">
        <f aca="false">ROUND(ROUND(2*((5/8)*MAX(M768,O768)+(3/8)*MIN(M768,O768)),0)*(1+(P768-75)/500),0)</f>
        <v>72</v>
      </c>
      <c r="V768" s="361" t="n">
        <f aca="false">ROUNDDOWN(K768*1.75+50,0)</f>
        <v>116</v>
      </c>
      <c r="W768" s="261" t="n">
        <v>0</v>
      </c>
      <c r="X768" s="261" t="s">
        <v>60</v>
      </c>
      <c r="Y768" s="364" t="s">
        <v>1894</v>
      </c>
      <c r="Z768" s="364"/>
      <c r="AA768" s="364"/>
      <c r="AB768" s="365"/>
      <c r="AC768" s="364"/>
      <c r="AD768" s="364"/>
      <c r="AE768" s="366"/>
      <c r="AF768" s="364" t="s">
        <v>1895</v>
      </c>
      <c r="AG768" s="364" t="s">
        <v>1895</v>
      </c>
      <c r="AH768" s="366" t="s">
        <v>1895</v>
      </c>
    </row>
    <row r="769" customFormat="false" ht="15.75" hidden="false" customHeight="false" outlineLevel="0" collapsed="false">
      <c r="A769" s="262" t="n">
        <v>660</v>
      </c>
      <c r="B769" s="361" t="n">
        <v>767</v>
      </c>
      <c r="C769" s="261" t="s">
        <v>1896</v>
      </c>
      <c r="D769" s="261" t="s">
        <v>60</v>
      </c>
      <c r="E769" s="362" t="s">
        <v>1896</v>
      </c>
      <c r="F769" s="261" t="s">
        <v>1873</v>
      </c>
      <c r="G769" s="261" t="s">
        <v>144</v>
      </c>
      <c r="H769" s="261" t="n">
        <v>0</v>
      </c>
      <c r="I769" s="261" t="n">
        <v>2</v>
      </c>
      <c r="J769" s="361" t="n">
        <v>1</v>
      </c>
      <c r="K769" s="262" t="n">
        <v>85</v>
      </c>
      <c r="L769" s="262" t="n">
        <v>56</v>
      </c>
      <c r="M769" s="262" t="n">
        <v>77</v>
      </c>
      <c r="N769" s="262" t="n">
        <v>50</v>
      </c>
      <c r="O769" s="262" t="n">
        <v>77</v>
      </c>
      <c r="P769" s="361" t="n">
        <v>78</v>
      </c>
      <c r="Q769" s="261" t="s">
        <v>144</v>
      </c>
      <c r="R769" s="261" t="s">
        <v>148</v>
      </c>
      <c r="S769" s="363" t="n">
        <f aca="false" t="array" ref="S769:S769">IF(COUNTIF('0.3.0 GO Calculation Values'!$J$2:$J$99,C769),(INDEX('0.3.0 GO Calculation Values'!$K$2:$K$99,MATCH(C769,'0.3.0 GO Calculation Values'!$J$2:$J$99,0))),1)</f>
        <v>1</v>
      </c>
      <c r="T769" s="262" t="n">
        <f aca="false">ROUND(ROUND(2*((7/8)*MAX(L769,N769)+(1/8)*MIN(L769,N769)),0)*(1+(P769-75)/500),0)</f>
        <v>112</v>
      </c>
      <c r="U769" s="262" t="n">
        <f aca="false">ROUND(ROUND(2*((5/8)*MAX(M769,O769)+(3/8)*MIN(M769,O769)),0)*(1+(P769-75)/500),0)</f>
        <v>155</v>
      </c>
      <c r="V769" s="361" t="n">
        <f aca="false">ROUNDDOWN(K769*1.75+50,0)</f>
        <v>198</v>
      </c>
      <c r="W769" s="261" t="n">
        <v>0</v>
      </c>
      <c r="X769" s="261" t="s">
        <v>1894</v>
      </c>
      <c r="Y769" s="364" t="s">
        <v>1894</v>
      </c>
      <c r="Z769" s="364"/>
      <c r="AA769" s="364"/>
      <c r="AB769" s="365"/>
      <c r="AC769" s="364"/>
      <c r="AD769" s="364"/>
      <c r="AE769" s="366"/>
      <c r="AF769" s="364" t="s">
        <v>1897</v>
      </c>
      <c r="AG769" s="364" t="s">
        <v>1897</v>
      </c>
      <c r="AH769" s="366" t="s">
        <v>1897</v>
      </c>
    </row>
    <row r="770" customFormat="false" ht="15.75" hidden="false" customHeight="false" outlineLevel="0" collapsed="false">
      <c r="A770" s="262" t="n">
        <v>661</v>
      </c>
      <c r="B770" s="361" t="n">
        <v>768</v>
      </c>
      <c r="C770" s="261" t="s">
        <v>1898</v>
      </c>
      <c r="D770" s="261" t="s">
        <v>60</v>
      </c>
      <c r="E770" s="362" t="s">
        <v>1898</v>
      </c>
      <c r="F770" s="261" t="s">
        <v>1873</v>
      </c>
      <c r="G770" s="261" t="s">
        <v>144</v>
      </c>
      <c r="H770" s="261" t="n">
        <v>0</v>
      </c>
      <c r="I770" s="261" t="n">
        <v>1</v>
      </c>
      <c r="J770" s="361" t="n">
        <v>0</v>
      </c>
      <c r="K770" s="262" t="n">
        <v>45</v>
      </c>
      <c r="L770" s="262" t="n">
        <v>50</v>
      </c>
      <c r="M770" s="262" t="n">
        <v>43</v>
      </c>
      <c r="N770" s="262" t="n">
        <v>40</v>
      </c>
      <c r="O770" s="262" t="n">
        <v>38</v>
      </c>
      <c r="P770" s="361" t="n">
        <v>62</v>
      </c>
      <c r="Q770" s="261" t="s">
        <v>144</v>
      </c>
      <c r="R770" s="261" t="s">
        <v>146</v>
      </c>
      <c r="S770" s="363" t="n">
        <f aca="false" t="array" ref="S770:S770">IF(COUNTIF('0.3.0 GO Calculation Values'!$J$2:$J$99,C770),(INDEX('0.3.0 GO Calculation Values'!$K$2:$K$99,MATCH(C770,'0.3.0 GO Calculation Values'!$J$2:$J$99,0))),1)</f>
        <v>1</v>
      </c>
      <c r="T770" s="262" t="n">
        <f aca="false">ROUND(ROUND(2*((7/8)*MAX(L770,N770)+(1/8)*MIN(L770,N770)),0)*(1+(P770-75)/500),0)</f>
        <v>95</v>
      </c>
      <c r="U770" s="262" t="n">
        <f aca="false">ROUND(ROUND(2*((5/8)*MAX(M770,O770)+(3/8)*MIN(M770,O770)),0)*(1+(P770-75)/500),0)</f>
        <v>80</v>
      </c>
      <c r="V770" s="361" t="n">
        <f aca="false">ROUNDDOWN(K770*1.75+50,0)</f>
        <v>128</v>
      </c>
      <c r="W770" s="261" t="n">
        <v>0</v>
      </c>
      <c r="X770" s="261" t="s">
        <v>60</v>
      </c>
      <c r="Y770" s="364" t="s">
        <v>1898</v>
      </c>
      <c r="Z770" s="364"/>
      <c r="AA770" s="364"/>
      <c r="AB770" s="365"/>
      <c r="AC770" s="364"/>
      <c r="AD770" s="364"/>
      <c r="AE770" s="366"/>
      <c r="AF770" s="364" t="s">
        <v>1899</v>
      </c>
      <c r="AG770" s="364" t="s">
        <v>1899</v>
      </c>
      <c r="AH770" s="366" t="s">
        <v>1899</v>
      </c>
    </row>
    <row r="771" customFormat="false" ht="15.75" hidden="false" customHeight="false" outlineLevel="0" collapsed="false">
      <c r="A771" s="262" t="n">
        <v>662</v>
      </c>
      <c r="B771" s="361" t="n">
        <v>769</v>
      </c>
      <c r="C771" s="261" t="s">
        <v>1900</v>
      </c>
      <c r="D771" s="261" t="s">
        <v>60</v>
      </c>
      <c r="E771" s="362" t="s">
        <v>1900</v>
      </c>
      <c r="F771" s="261" t="s">
        <v>1873</v>
      </c>
      <c r="G771" s="261" t="s">
        <v>144</v>
      </c>
      <c r="H771" s="261" t="n">
        <v>0</v>
      </c>
      <c r="I771" s="261" t="n">
        <v>2</v>
      </c>
      <c r="J771" s="361" t="n">
        <v>0</v>
      </c>
      <c r="K771" s="262" t="n">
        <v>62</v>
      </c>
      <c r="L771" s="262" t="n">
        <v>73</v>
      </c>
      <c r="M771" s="262" t="n">
        <v>55</v>
      </c>
      <c r="N771" s="262" t="n">
        <v>56</v>
      </c>
      <c r="O771" s="262" t="n">
        <v>52</v>
      </c>
      <c r="P771" s="361" t="n">
        <v>84</v>
      </c>
      <c r="Q771" s="261" t="s">
        <v>153</v>
      </c>
      <c r="R771" s="261" t="s">
        <v>146</v>
      </c>
      <c r="S771" s="363" t="n">
        <f aca="false" t="array" ref="S771:S771">IF(COUNTIF('0.3.0 GO Calculation Values'!$J$2:$J$99,C771),(INDEX('0.3.0 GO Calculation Values'!$K$2:$K$99,MATCH(C771,'0.3.0 GO Calculation Values'!$J$2:$J$99,0))),1)</f>
        <v>1</v>
      </c>
      <c r="T771" s="262" t="n">
        <f aca="false">ROUND(ROUND(2*((7/8)*MAX(L771,N771)+(1/8)*MIN(L771,N771)),0)*(1+(P771-75)/500),0)</f>
        <v>145</v>
      </c>
      <c r="U771" s="262" t="n">
        <f aca="false">ROUND(ROUND(2*((5/8)*MAX(M771,O771)+(3/8)*MIN(M771,O771)),0)*(1+(P771-75)/500),0)</f>
        <v>110</v>
      </c>
      <c r="V771" s="361" t="n">
        <f aca="false">ROUNDDOWN(K771*1.75+50,0)</f>
        <v>158</v>
      </c>
      <c r="W771" s="261" t="n">
        <v>0</v>
      </c>
      <c r="X771" s="261" t="s">
        <v>1898</v>
      </c>
      <c r="Y771" s="364" t="s">
        <v>1898</v>
      </c>
      <c r="Z771" s="364"/>
      <c r="AA771" s="364"/>
      <c r="AB771" s="365"/>
      <c r="AC771" s="364"/>
      <c r="AD771" s="364"/>
      <c r="AE771" s="366"/>
      <c r="AF771" s="364" t="s">
        <v>1901</v>
      </c>
      <c r="AG771" s="364" t="s">
        <v>1901</v>
      </c>
      <c r="AH771" s="366" t="s">
        <v>1901</v>
      </c>
    </row>
    <row r="772" customFormat="false" ht="15.75" hidden="false" customHeight="false" outlineLevel="0" collapsed="false">
      <c r="A772" s="262" t="n">
        <v>663</v>
      </c>
      <c r="B772" s="361" t="n">
        <v>770</v>
      </c>
      <c r="C772" s="261" t="s">
        <v>1902</v>
      </c>
      <c r="D772" s="261" t="s">
        <v>60</v>
      </c>
      <c r="E772" s="362" t="s">
        <v>1902</v>
      </c>
      <c r="F772" s="261" t="s">
        <v>1873</v>
      </c>
      <c r="G772" s="261" t="s">
        <v>144</v>
      </c>
      <c r="H772" s="261" t="n">
        <v>0</v>
      </c>
      <c r="I772" s="261" t="n">
        <v>3</v>
      </c>
      <c r="J772" s="361" t="n">
        <v>1</v>
      </c>
      <c r="K772" s="262" t="n">
        <v>78</v>
      </c>
      <c r="L772" s="262" t="n">
        <v>81</v>
      </c>
      <c r="M772" s="262" t="n">
        <v>71</v>
      </c>
      <c r="N772" s="262" t="n">
        <v>74</v>
      </c>
      <c r="O772" s="262" t="n">
        <v>69</v>
      </c>
      <c r="P772" s="361" t="n">
        <v>126</v>
      </c>
      <c r="Q772" s="261" t="s">
        <v>153</v>
      </c>
      <c r="R772" s="261" t="s">
        <v>146</v>
      </c>
      <c r="S772" s="363" t="n">
        <f aca="false" t="array" ref="S772:S772">IF(COUNTIF('0.3.0 GO Calculation Values'!$J$2:$J$99,C772),(INDEX('0.3.0 GO Calculation Values'!$K$2:$K$99,MATCH(C772,'0.3.0 GO Calculation Values'!$J$2:$J$99,0))),1)</f>
        <v>1</v>
      </c>
      <c r="T772" s="262" t="n">
        <f aca="false">ROUND(ROUND(2*((7/8)*MAX(L772,N772)+(1/8)*MIN(L772,N772)),0)*(1+(P772-75)/500),0)</f>
        <v>176</v>
      </c>
      <c r="U772" s="262" t="n">
        <f aca="false">ROUND(ROUND(2*((5/8)*MAX(M772,O772)+(3/8)*MIN(M772,O772)),0)*(1+(P772-75)/500),0)</f>
        <v>155</v>
      </c>
      <c r="V772" s="361" t="n">
        <f aca="false">ROUNDDOWN(K772*1.75+50,0)</f>
        <v>186</v>
      </c>
      <c r="W772" s="261" t="n">
        <v>0</v>
      </c>
      <c r="X772" s="261" t="s">
        <v>1900</v>
      </c>
      <c r="Y772" s="364" t="s">
        <v>1898</v>
      </c>
      <c r="Z772" s="364"/>
      <c r="AA772" s="364"/>
      <c r="AB772" s="365"/>
      <c r="AC772" s="364"/>
      <c r="AD772" s="364"/>
      <c r="AE772" s="366"/>
      <c r="AF772" s="364" t="s">
        <v>1903</v>
      </c>
      <c r="AG772" s="364" t="s">
        <v>1903</v>
      </c>
      <c r="AH772" s="366" t="s">
        <v>1903</v>
      </c>
    </row>
    <row r="773" customFormat="false" ht="15.75" hidden="false" customHeight="false" outlineLevel="0" collapsed="false">
      <c r="A773" s="262" t="n">
        <v>664</v>
      </c>
      <c r="B773" s="361" t="n">
        <v>771</v>
      </c>
      <c r="C773" s="261" t="s">
        <v>1904</v>
      </c>
      <c r="D773" s="261" t="s">
        <v>60</v>
      </c>
      <c r="E773" s="362" t="s">
        <v>1904</v>
      </c>
      <c r="F773" s="261" t="s">
        <v>1873</v>
      </c>
      <c r="G773" s="261" t="s">
        <v>144</v>
      </c>
      <c r="H773" s="261" t="n">
        <v>0</v>
      </c>
      <c r="I773" s="261" t="n">
        <v>1</v>
      </c>
      <c r="J773" s="361" t="n">
        <v>0</v>
      </c>
      <c r="K773" s="262" t="n">
        <v>38</v>
      </c>
      <c r="L773" s="262" t="n">
        <v>35</v>
      </c>
      <c r="M773" s="262" t="n">
        <v>40</v>
      </c>
      <c r="N773" s="262" t="n">
        <v>27</v>
      </c>
      <c r="O773" s="262" t="n">
        <v>25</v>
      </c>
      <c r="P773" s="361" t="n">
        <v>35</v>
      </c>
      <c r="Q773" s="261" t="s">
        <v>150</v>
      </c>
      <c r="R773" s="261"/>
      <c r="S773" s="363" t="n">
        <f aca="false" t="array" ref="S773:S773">IF(COUNTIF('0.3.0 GO Calculation Values'!$J$2:$J$99,C773),(INDEX('0.3.0 GO Calculation Values'!$K$2:$K$99,MATCH(C773,'0.3.0 GO Calculation Values'!$J$2:$J$99,0))),1)</f>
        <v>1</v>
      </c>
      <c r="T773" s="262" t="n">
        <f aca="false">ROUND(ROUND(2*((7/8)*MAX(L773,N773)+(1/8)*MIN(L773,N773)),0)*(1+(P773-75)/500),0)</f>
        <v>63</v>
      </c>
      <c r="U773" s="262" t="n">
        <f aca="false">ROUND(ROUND(2*((5/8)*MAX(M773,O773)+(3/8)*MIN(M773,O773)),0)*(1+(P773-75)/500),0)</f>
        <v>63</v>
      </c>
      <c r="V773" s="361" t="n">
        <f aca="false">ROUNDDOWN(K773*1.75+50,0)</f>
        <v>116</v>
      </c>
      <c r="W773" s="261" t="n">
        <v>0</v>
      </c>
      <c r="X773" s="261" t="s">
        <v>60</v>
      </c>
      <c r="Y773" s="364" t="s">
        <v>1904</v>
      </c>
      <c r="Z773" s="364"/>
      <c r="AA773" s="364"/>
      <c r="AB773" s="365"/>
      <c r="AC773" s="364"/>
      <c r="AD773" s="364"/>
      <c r="AE773" s="366"/>
      <c r="AF773" s="364" t="s">
        <v>1905</v>
      </c>
      <c r="AG773" s="364" t="s">
        <v>1905</v>
      </c>
      <c r="AH773" s="366" t="s">
        <v>1905</v>
      </c>
    </row>
    <row r="774" customFormat="false" ht="15.75" hidden="false" customHeight="false" outlineLevel="0" collapsed="false">
      <c r="A774" s="262" t="n">
        <v>665</v>
      </c>
      <c r="B774" s="361" t="n">
        <v>772</v>
      </c>
      <c r="C774" s="261" t="s">
        <v>1906</v>
      </c>
      <c r="D774" s="261" t="s">
        <v>60</v>
      </c>
      <c r="E774" s="362" t="s">
        <v>1906</v>
      </c>
      <c r="F774" s="261" t="s">
        <v>1873</v>
      </c>
      <c r="G774" s="261" t="s">
        <v>144</v>
      </c>
      <c r="H774" s="261" t="n">
        <v>0</v>
      </c>
      <c r="I774" s="261" t="n">
        <v>2</v>
      </c>
      <c r="J774" s="361" t="n">
        <v>0</v>
      </c>
      <c r="K774" s="262" t="n">
        <v>45</v>
      </c>
      <c r="L774" s="262" t="n">
        <v>22</v>
      </c>
      <c r="M774" s="262" t="n">
        <v>60</v>
      </c>
      <c r="N774" s="262" t="n">
        <v>27</v>
      </c>
      <c r="O774" s="262" t="n">
        <v>30</v>
      </c>
      <c r="P774" s="361" t="n">
        <v>29</v>
      </c>
      <c r="Q774" s="261" t="s">
        <v>150</v>
      </c>
      <c r="R774" s="261"/>
      <c r="S774" s="363" t="n">
        <f aca="false" t="array" ref="S774:S774">IF(COUNTIF('0.3.0 GO Calculation Values'!$J$2:$J$99,C774),(INDEX('0.3.0 GO Calculation Values'!$K$2:$K$99,MATCH(C774,'0.3.0 GO Calculation Values'!$J$2:$J$99,0))),1)</f>
        <v>1</v>
      </c>
      <c r="T774" s="262" t="n">
        <f aca="false">ROUND(ROUND(2*((7/8)*MAX(L774,N774)+(1/8)*MIN(L774,N774)),0)*(1+(P774-75)/500),0)</f>
        <v>48</v>
      </c>
      <c r="U774" s="262" t="n">
        <f aca="false">ROUND(ROUND(2*((5/8)*MAX(M774,O774)+(3/8)*MIN(M774,O774)),0)*(1+(P774-75)/500),0)</f>
        <v>89</v>
      </c>
      <c r="V774" s="361" t="n">
        <f aca="false">ROUNDDOWN(K774*1.75+50,0)</f>
        <v>128</v>
      </c>
      <c r="W774" s="261" t="n">
        <v>0</v>
      </c>
      <c r="X774" s="261" t="s">
        <v>1904</v>
      </c>
      <c r="Y774" s="364" t="s">
        <v>1904</v>
      </c>
      <c r="Z774" s="364"/>
      <c r="AA774" s="364"/>
      <c r="AB774" s="365"/>
      <c r="AC774" s="364"/>
      <c r="AD774" s="364"/>
      <c r="AE774" s="366"/>
      <c r="AF774" s="364" t="s">
        <v>1907</v>
      </c>
      <c r="AG774" s="364" t="s">
        <v>1907</v>
      </c>
      <c r="AH774" s="366" t="s">
        <v>1907</v>
      </c>
    </row>
    <row r="775" customFormat="false" ht="15.75" hidden="false" customHeight="false" outlineLevel="0" collapsed="false">
      <c r="A775" s="262" t="n">
        <v>666</v>
      </c>
      <c r="B775" s="361" t="n">
        <v>773</v>
      </c>
      <c r="C775" s="261" t="s">
        <v>1908</v>
      </c>
      <c r="D775" s="261" t="s">
        <v>60</v>
      </c>
      <c r="E775" s="362" t="s">
        <v>1908</v>
      </c>
      <c r="F775" s="261" t="s">
        <v>1873</v>
      </c>
      <c r="G775" s="261" t="s">
        <v>144</v>
      </c>
      <c r="H775" s="261" t="n">
        <v>0</v>
      </c>
      <c r="I775" s="261" t="n">
        <v>3</v>
      </c>
      <c r="J775" s="361" t="n">
        <v>1</v>
      </c>
      <c r="K775" s="262" t="n">
        <v>80</v>
      </c>
      <c r="L775" s="262" t="n">
        <v>52</v>
      </c>
      <c r="M775" s="262" t="n">
        <v>50</v>
      </c>
      <c r="N775" s="262" t="n">
        <v>90</v>
      </c>
      <c r="O775" s="262" t="n">
        <v>50</v>
      </c>
      <c r="P775" s="361" t="n">
        <v>89</v>
      </c>
      <c r="Q775" s="261" t="s">
        <v>150</v>
      </c>
      <c r="R775" s="261" t="s">
        <v>146</v>
      </c>
      <c r="S775" s="363" t="n">
        <f aca="false" t="array" ref="S775:S775">IF(COUNTIF('0.3.0 GO Calculation Values'!$J$2:$J$99,C775),(INDEX('0.3.0 GO Calculation Values'!$K$2:$K$99,MATCH(C775,'0.3.0 GO Calculation Values'!$J$2:$J$99,0))),1)</f>
        <v>1</v>
      </c>
      <c r="T775" s="262" t="n">
        <f aca="false">ROUND(ROUND(2*((7/8)*MAX(L775,N775)+(1/8)*MIN(L775,N775)),0)*(1+(P775-75)/500),0)</f>
        <v>176</v>
      </c>
      <c r="U775" s="262" t="n">
        <f aca="false">ROUND(ROUND(2*((5/8)*MAX(M775,O775)+(3/8)*MIN(M775,O775)),0)*(1+(P775-75)/500),0)</f>
        <v>103</v>
      </c>
      <c r="V775" s="361" t="n">
        <f aca="false">ROUNDDOWN(K775*1.75+50,0)</f>
        <v>190</v>
      </c>
      <c r="W775" s="261" t="n">
        <v>0</v>
      </c>
      <c r="X775" s="261" t="s">
        <v>1906</v>
      </c>
      <c r="Y775" s="364" t="s">
        <v>1904</v>
      </c>
      <c r="Z775" s="364"/>
      <c r="AA775" s="364"/>
      <c r="AB775" s="365"/>
      <c r="AC775" s="364"/>
      <c r="AD775" s="364"/>
      <c r="AE775" s="366"/>
      <c r="AF775" s="364" t="s">
        <v>1909</v>
      </c>
      <c r="AG775" s="364" t="s">
        <v>1909</v>
      </c>
      <c r="AH775" s="366" t="s">
        <v>1909</v>
      </c>
    </row>
    <row r="776" customFormat="false" ht="15.75" hidden="false" customHeight="false" outlineLevel="0" collapsed="false">
      <c r="A776" s="262" t="n">
        <v>667</v>
      </c>
      <c r="B776" s="361" t="n">
        <v>774</v>
      </c>
      <c r="C776" s="261" t="s">
        <v>1910</v>
      </c>
      <c r="D776" s="261" t="s">
        <v>60</v>
      </c>
      <c r="E776" s="362" t="s">
        <v>1910</v>
      </c>
      <c r="F776" s="261" t="s">
        <v>1873</v>
      </c>
      <c r="G776" s="261" t="s">
        <v>144</v>
      </c>
      <c r="H776" s="261" t="n">
        <v>0</v>
      </c>
      <c r="I776" s="261" t="n">
        <v>1</v>
      </c>
      <c r="J776" s="361" t="n">
        <v>0</v>
      </c>
      <c r="K776" s="262" t="n">
        <v>62</v>
      </c>
      <c r="L776" s="262" t="n">
        <v>50</v>
      </c>
      <c r="M776" s="262" t="n">
        <v>58</v>
      </c>
      <c r="N776" s="262" t="n">
        <v>73</v>
      </c>
      <c r="O776" s="262" t="n">
        <v>54</v>
      </c>
      <c r="P776" s="361" t="n">
        <v>72</v>
      </c>
      <c r="Q776" s="261" t="s">
        <v>153</v>
      </c>
      <c r="R776" s="261" t="s">
        <v>144</v>
      </c>
      <c r="S776" s="363" t="n">
        <f aca="false" t="array" ref="S776:S776">IF(COUNTIF('0.3.0 GO Calculation Values'!$J$2:$J$99,C776),(INDEX('0.3.0 GO Calculation Values'!$K$2:$K$99,MATCH(C776,'0.3.0 GO Calculation Values'!$J$2:$J$99,0))),1)</f>
        <v>1</v>
      </c>
      <c r="T776" s="262" t="n">
        <f aca="false">ROUND(ROUND(2*((7/8)*MAX(L776,N776)+(1/8)*MIN(L776,N776)),0)*(1+(P776-75)/500),0)</f>
        <v>139</v>
      </c>
      <c r="U776" s="262" t="n">
        <f aca="false">ROUND(ROUND(2*((5/8)*MAX(M776,O776)+(3/8)*MIN(M776,O776)),0)*(1+(P776-75)/500),0)</f>
        <v>112</v>
      </c>
      <c r="V776" s="361" t="n">
        <f aca="false">ROUNDDOWN(K776*1.75+50,0)</f>
        <v>158</v>
      </c>
      <c r="W776" s="261" t="n">
        <v>0</v>
      </c>
      <c r="X776" s="261" t="s">
        <v>60</v>
      </c>
      <c r="Y776" s="364" t="s">
        <v>1910</v>
      </c>
      <c r="Z776" s="364"/>
      <c r="AA776" s="364"/>
      <c r="AB776" s="365"/>
      <c r="AC776" s="364"/>
      <c r="AD776" s="364"/>
      <c r="AE776" s="366"/>
      <c r="AF776" s="364" t="s">
        <v>1911</v>
      </c>
      <c r="AG776" s="364" t="s">
        <v>1911</v>
      </c>
      <c r="AH776" s="366" t="s">
        <v>1911</v>
      </c>
    </row>
    <row r="777" customFormat="false" ht="15.75" hidden="false" customHeight="false" outlineLevel="0" collapsed="false">
      <c r="A777" s="262" t="n">
        <v>668</v>
      </c>
      <c r="B777" s="361" t="n">
        <v>775</v>
      </c>
      <c r="C777" s="261" t="s">
        <v>1912</v>
      </c>
      <c r="D777" s="261" t="s">
        <v>60</v>
      </c>
      <c r="E777" s="362" t="s">
        <v>1912</v>
      </c>
      <c r="F777" s="261" t="s">
        <v>1873</v>
      </c>
      <c r="G777" s="261" t="s">
        <v>144</v>
      </c>
      <c r="H777" s="261" t="n">
        <v>0</v>
      </c>
      <c r="I777" s="261" t="n">
        <v>2</v>
      </c>
      <c r="J777" s="361" t="n">
        <v>1</v>
      </c>
      <c r="K777" s="262" t="n">
        <v>86</v>
      </c>
      <c r="L777" s="262" t="n">
        <v>68</v>
      </c>
      <c r="M777" s="262" t="n">
        <v>72</v>
      </c>
      <c r="N777" s="262" t="n">
        <v>109</v>
      </c>
      <c r="O777" s="262" t="n">
        <v>66</v>
      </c>
      <c r="P777" s="361" t="n">
        <v>106</v>
      </c>
      <c r="Q777" s="261" t="s">
        <v>153</v>
      </c>
      <c r="R777" s="261" t="s">
        <v>144</v>
      </c>
      <c r="S777" s="363" t="n">
        <f aca="false" t="array" ref="S777:S777">IF(COUNTIF('0.3.0 GO Calculation Values'!$J$2:$J$99,C777),(INDEX('0.3.0 GO Calculation Values'!$K$2:$K$99,MATCH(C777,'0.3.0 GO Calculation Values'!$J$2:$J$99,0))),1)</f>
        <v>1</v>
      </c>
      <c r="T777" s="262" t="n">
        <f aca="false">ROUND(ROUND(2*((7/8)*MAX(L777,N777)+(1/8)*MIN(L777,N777)),0)*(1+(P777-75)/500),0)</f>
        <v>221</v>
      </c>
      <c r="U777" s="262" t="n">
        <f aca="false">ROUND(ROUND(2*((5/8)*MAX(M777,O777)+(3/8)*MIN(M777,O777)),0)*(1+(P777-75)/500),0)</f>
        <v>149</v>
      </c>
      <c r="V777" s="361" t="n">
        <f aca="false">ROUNDDOWN(K777*1.75+50,0)</f>
        <v>200</v>
      </c>
      <c r="W777" s="261" t="n">
        <v>0</v>
      </c>
      <c r="X777" s="261" t="s">
        <v>1910</v>
      </c>
      <c r="Y777" s="364" t="s">
        <v>1910</v>
      </c>
      <c r="Z777" s="364"/>
      <c r="AA777" s="364"/>
      <c r="AB777" s="365"/>
      <c r="AC777" s="364"/>
      <c r="AD777" s="364"/>
      <c r="AE777" s="366"/>
      <c r="AF777" s="364" t="s">
        <v>1913</v>
      </c>
      <c r="AG777" s="364" t="s">
        <v>1913</v>
      </c>
      <c r="AH777" s="366" t="s">
        <v>1913</v>
      </c>
    </row>
    <row r="778" customFormat="false" ht="15.75" hidden="false" customHeight="false" outlineLevel="0" collapsed="false">
      <c r="A778" s="262" t="n">
        <v>669</v>
      </c>
      <c r="B778" s="361" t="n">
        <v>776</v>
      </c>
      <c r="C778" s="261" t="s">
        <v>1914</v>
      </c>
      <c r="D778" s="261" t="s">
        <v>60</v>
      </c>
      <c r="E778" s="362" t="s">
        <v>1914</v>
      </c>
      <c r="F778" s="261" t="s">
        <v>1873</v>
      </c>
      <c r="G778" s="261" t="s">
        <v>144</v>
      </c>
      <c r="H778" s="261" t="n">
        <v>0</v>
      </c>
      <c r="I778" s="261" t="n">
        <v>1</v>
      </c>
      <c r="J778" s="361" t="n">
        <v>0</v>
      </c>
      <c r="K778" s="262" t="n">
        <v>44</v>
      </c>
      <c r="L778" s="262" t="n">
        <v>38</v>
      </c>
      <c r="M778" s="262" t="n">
        <v>39</v>
      </c>
      <c r="N778" s="262" t="n">
        <v>61</v>
      </c>
      <c r="O778" s="262" t="n">
        <v>79</v>
      </c>
      <c r="P778" s="361" t="n">
        <v>42</v>
      </c>
      <c r="Q778" s="261" t="s">
        <v>161</v>
      </c>
      <c r="R778" s="261"/>
      <c r="S778" s="363" t="n">
        <f aca="false" t="array" ref="S778:S778">IF(COUNTIF('0.3.0 GO Calculation Values'!$J$2:$J$99,C778),(INDEX('0.3.0 GO Calculation Values'!$K$2:$K$99,MATCH(C778,'0.3.0 GO Calculation Values'!$J$2:$J$99,0))),1)</f>
        <v>1</v>
      </c>
      <c r="T778" s="262" t="n">
        <f aca="false">ROUND(ROUND(2*((7/8)*MAX(L778,N778)+(1/8)*MIN(L778,N778)),0)*(1+(P778-75)/500),0)</f>
        <v>108</v>
      </c>
      <c r="U778" s="262" t="n">
        <f aca="false">ROUND(ROUND(2*((5/8)*MAX(M778,O778)+(3/8)*MIN(M778,O778)),0)*(1+(P778-75)/500),0)</f>
        <v>120</v>
      </c>
      <c r="V778" s="361" t="n">
        <f aca="false">ROUNDDOWN(K778*1.75+50,0)</f>
        <v>127</v>
      </c>
      <c r="W778" s="261" t="n">
        <v>0</v>
      </c>
      <c r="X778" s="261" t="s">
        <v>60</v>
      </c>
      <c r="Y778" s="364" t="s">
        <v>1914</v>
      </c>
      <c r="Z778" s="364"/>
      <c r="AA778" s="364"/>
      <c r="AB778" s="365"/>
      <c r="AC778" s="364"/>
      <c r="AD778" s="364"/>
      <c r="AE778" s="366"/>
      <c r="AF778" s="261" t="s">
        <v>1915</v>
      </c>
      <c r="AG778" s="261" t="s">
        <v>1915</v>
      </c>
      <c r="AH778" s="362" t="s">
        <v>1915</v>
      </c>
    </row>
    <row r="779" customFormat="false" ht="15.75" hidden="false" customHeight="false" outlineLevel="0" collapsed="false">
      <c r="A779" s="262" t="n">
        <v>670</v>
      </c>
      <c r="B779" s="361" t="n">
        <v>777</v>
      </c>
      <c r="C779" s="261" t="s">
        <v>1916</v>
      </c>
      <c r="D779" s="261" t="s">
        <v>7</v>
      </c>
      <c r="E779" s="367" t="s">
        <v>1916</v>
      </c>
      <c r="F779" s="261" t="s">
        <v>1873</v>
      </c>
      <c r="G779" s="261" t="s">
        <v>144</v>
      </c>
      <c r="H779" s="261" t="n">
        <v>0</v>
      </c>
      <c r="I779" s="261" t="n">
        <v>2</v>
      </c>
      <c r="J779" s="361" t="n">
        <v>0</v>
      </c>
      <c r="K779" s="262" t="n">
        <v>54</v>
      </c>
      <c r="L779" s="262" t="n">
        <v>45</v>
      </c>
      <c r="M779" s="262" t="n">
        <v>47</v>
      </c>
      <c r="N779" s="262" t="n">
        <v>75</v>
      </c>
      <c r="O779" s="262" t="n">
        <v>98</v>
      </c>
      <c r="P779" s="361" t="n">
        <v>52</v>
      </c>
      <c r="Q779" s="261" t="s">
        <v>161</v>
      </c>
      <c r="R779" s="261"/>
      <c r="S779" s="363" t="n">
        <f aca="false" t="array" ref="S779:S779">IF(COUNTIF('0.3.0 GO Calculation Values'!$J$2:$J$99,C779),(INDEX('0.3.0 GO Calculation Values'!$K$2:$K$99,MATCH(C779,'0.3.0 GO Calculation Values'!$J$2:$J$99,0))),1)</f>
        <v>1</v>
      </c>
      <c r="T779" s="262" t="n">
        <f aca="false">ROUND(ROUND(2*((7/8)*MAX(L779,N779)+(1/8)*MIN(L779,N779)),0)*(1+(P779-75)/500),0)</f>
        <v>136</v>
      </c>
      <c r="U779" s="262" t="n">
        <f aca="false">ROUND(ROUND(2*((5/8)*MAX(M779,O779)+(3/8)*MIN(M779,O779)),0)*(1+(P779-75)/500),0)</f>
        <v>151</v>
      </c>
      <c r="V779" s="361" t="n">
        <f aca="false">ROUNDDOWN(K779*1.75+50,0)</f>
        <v>144</v>
      </c>
      <c r="W779" s="261" t="n">
        <v>0</v>
      </c>
      <c r="X779" s="261" t="s">
        <v>1914</v>
      </c>
      <c r="Y779" s="364" t="s">
        <v>1914</v>
      </c>
      <c r="Z779" s="364"/>
      <c r="AA779" s="364"/>
      <c r="AB779" s="365"/>
      <c r="AC779" s="364"/>
      <c r="AD779" s="364"/>
      <c r="AE779" s="366"/>
      <c r="AF779" s="364" t="s">
        <v>1917</v>
      </c>
      <c r="AG779" s="364" t="s">
        <v>1917</v>
      </c>
      <c r="AH779" s="366" t="s">
        <v>1917</v>
      </c>
    </row>
    <row r="780" customFormat="false" ht="15.75" hidden="false" customHeight="false" outlineLevel="0" collapsed="false">
      <c r="A780" s="262" t="n">
        <v>670</v>
      </c>
      <c r="B780" s="361" t="n">
        <v>778</v>
      </c>
      <c r="C780" s="261" t="s">
        <v>1916</v>
      </c>
      <c r="D780" s="261" t="s">
        <v>1918</v>
      </c>
      <c r="E780" s="358" t="s">
        <v>1919</v>
      </c>
      <c r="F780" s="261" t="s">
        <v>1873</v>
      </c>
      <c r="G780" s="261" t="s">
        <v>144</v>
      </c>
      <c r="H780" s="261" t="n">
        <v>1</v>
      </c>
      <c r="I780" s="261" t="n">
        <v>1</v>
      </c>
      <c r="J780" s="361" t="n">
        <v>0</v>
      </c>
      <c r="K780" s="262" t="n">
        <v>74</v>
      </c>
      <c r="L780" s="262" t="n">
        <v>65</v>
      </c>
      <c r="M780" s="262" t="n">
        <v>67</v>
      </c>
      <c r="N780" s="262" t="n">
        <v>125</v>
      </c>
      <c r="O780" s="262" t="n">
        <v>128</v>
      </c>
      <c r="P780" s="361" t="n">
        <v>92</v>
      </c>
      <c r="Q780" s="261" t="s">
        <v>161</v>
      </c>
      <c r="R780" s="261"/>
      <c r="S780" s="363" t="n">
        <f aca="false" t="array" ref="S780:S780">IF(COUNTIF('0.3.0 GO Calculation Values'!$J$2:$J$99,C780),(INDEX('0.3.0 GO Calculation Values'!$K$2:$K$99,MATCH(C780,'0.3.0 GO Calculation Values'!$J$2:$J$99,0))),1)</f>
        <v>1</v>
      </c>
      <c r="T780" s="262" t="n">
        <f aca="false">ROUND(ROUND(2*((7/8)*MAX(L780,N780)+(1/8)*MIN(L780,N780)),0)*(1+(P780-75)/500),0)</f>
        <v>243</v>
      </c>
      <c r="U780" s="262" t="n">
        <f aca="false">ROUND(ROUND(2*((5/8)*MAX(M780,O780)+(3/8)*MIN(M780,O780)),0)*(1+(P780-75)/500),0)</f>
        <v>217</v>
      </c>
      <c r="V780" s="361" t="n">
        <f aca="false">ROUNDDOWN(K780*1.75+50,0)</f>
        <v>179</v>
      </c>
      <c r="W780" s="261" t="n">
        <v>0</v>
      </c>
      <c r="X780" s="261" t="s">
        <v>60</v>
      </c>
      <c r="Y780" s="364" t="s">
        <v>1916</v>
      </c>
      <c r="Z780" s="364"/>
      <c r="AA780" s="364"/>
      <c r="AB780" s="365"/>
      <c r="AC780" s="364"/>
      <c r="AD780" s="364"/>
      <c r="AE780" s="366"/>
      <c r="AF780" s="364" t="s">
        <v>1917</v>
      </c>
      <c r="AG780" s="261" t="s">
        <v>1920</v>
      </c>
      <c r="AH780" s="362" t="s">
        <v>1920</v>
      </c>
    </row>
    <row r="781" customFormat="false" ht="15.75" hidden="false" customHeight="false" outlineLevel="0" collapsed="false">
      <c r="A781" s="262" t="n">
        <v>671</v>
      </c>
      <c r="B781" s="361" t="n">
        <v>779</v>
      </c>
      <c r="C781" s="261" t="s">
        <v>1921</v>
      </c>
      <c r="D781" s="261" t="s">
        <v>60</v>
      </c>
      <c r="E781" s="362" t="s">
        <v>1921</v>
      </c>
      <c r="F781" s="261" t="s">
        <v>1873</v>
      </c>
      <c r="G781" s="261" t="s">
        <v>144</v>
      </c>
      <c r="H781" s="261" t="n">
        <v>0</v>
      </c>
      <c r="I781" s="261" t="n">
        <v>3</v>
      </c>
      <c r="J781" s="361" t="n">
        <v>1</v>
      </c>
      <c r="K781" s="262" t="n">
        <v>78</v>
      </c>
      <c r="L781" s="262" t="n">
        <v>65</v>
      </c>
      <c r="M781" s="262" t="n">
        <v>68</v>
      </c>
      <c r="N781" s="262" t="n">
        <v>112</v>
      </c>
      <c r="O781" s="262" t="n">
        <v>154</v>
      </c>
      <c r="P781" s="361" t="n">
        <v>75</v>
      </c>
      <c r="Q781" s="261" t="s">
        <v>161</v>
      </c>
      <c r="R781" s="261"/>
      <c r="S781" s="363" t="n">
        <f aca="false" t="array" ref="S781:S781">IF(COUNTIF('0.3.0 GO Calculation Values'!$J$2:$J$99,C781),(INDEX('0.3.0 GO Calculation Values'!$K$2:$K$99,MATCH(C781,'0.3.0 GO Calculation Values'!$J$2:$J$99,0))),1)</f>
        <v>1</v>
      </c>
      <c r="T781" s="262" t="n">
        <f aca="false">ROUND(ROUND(2*((7/8)*MAX(L781,N781)+(1/8)*MIN(L781,N781)),0)*(1+(P781-75)/500),0)</f>
        <v>212</v>
      </c>
      <c r="U781" s="262" t="n">
        <f aca="false">ROUND(ROUND(2*((5/8)*MAX(M781,O781)+(3/8)*MIN(M781,O781)),0)*(1+(P781-75)/500),0)</f>
        <v>244</v>
      </c>
      <c r="V781" s="361" t="n">
        <f aca="false">ROUNDDOWN(K781*1.75+50,0)</f>
        <v>186</v>
      </c>
      <c r="W781" s="261" t="n">
        <v>0</v>
      </c>
      <c r="X781" s="261" t="s">
        <v>1916</v>
      </c>
      <c r="Y781" s="364" t="s">
        <v>1914</v>
      </c>
      <c r="Z781" s="364"/>
      <c r="AA781" s="364"/>
      <c r="AB781" s="365"/>
      <c r="AC781" s="364"/>
      <c r="AD781" s="364"/>
      <c r="AE781" s="366"/>
      <c r="AF781" s="364" t="s">
        <v>1922</v>
      </c>
      <c r="AG781" s="364" t="s">
        <v>1922</v>
      </c>
      <c r="AH781" s="366" t="s">
        <v>1922</v>
      </c>
    </row>
    <row r="782" customFormat="false" ht="15.75" hidden="false" customHeight="false" outlineLevel="0" collapsed="false">
      <c r="A782" s="262" t="n">
        <v>672</v>
      </c>
      <c r="B782" s="361" t="n">
        <v>780</v>
      </c>
      <c r="C782" s="261" t="s">
        <v>1923</v>
      </c>
      <c r="D782" s="261" t="s">
        <v>60</v>
      </c>
      <c r="E782" s="362" t="s">
        <v>1923</v>
      </c>
      <c r="F782" s="261" t="s">
        <v>1873</v>
      </c>
      <c r="G782" s="261" t="s">
        <v>144</v>
      </c>
      <c r="H782" s="261" t="n">
        <v>0</v>
      </c>
      <c r="I782" s="261" t="n">
        <v>1</v>
      </c>
      <c r="J782" s="361" t="n">
        <v>0</v>
      </c>
      <c r="K782" s="262" t="n">
        <v>66</v>
      </c>
      <c r="L782" s="262" t="n">
        <v>65</v>
      </c>
      <c r="M782" s="262" t="n">
        <v>48</v>
      </c>
      <c r="N782" s="262" t="n">
        <v>62</v>
      </c>
      <c r="O782" s="262" t="n">
        <v>57</v>
      </c>
      <c r="P782" s="361" t="n">
        <v>52</v>
      </c>
      <c r="Q782" s="261" t="s">
        <v>155</v>
      </c>
      <c r="R782" s="261"/>
      <c r="S782" s="363" t="n">
        <f aca="false" t="array" ref="S782:S782">IF(COUNTIF('0.3.0 GO Calculation Values'!$J$2:$J$99,C782),(INDEX('0.3.0 GO Calculation Values'!$K$2:$K$99,MATCH(C782,'0.3.0 GO Calculation Values'!$J$2:$J$99,0))),1)</f>
        <v>1</v>
      </c>
      <c r="T782" s="262" t="n">
        <f aca="false">ROUND(ROUND(2*((7/8)*MAX(L782,N782)+(1/8)*MIN(L782,N782)),0)*(1+(P782-75)/500),0)</f>
        <v>123</v>
      </c>
      <c r="U782" s="262" t="n">
        <f aca="false">ROUND(ROUND(2*((5/8)*MAX(M782,O782)+(3/8)*MIN(M782,O782)),0)*(1+(P782-75)/500),0)</f>
        <v>102</v>
      </c>
      <c r="V782" s="361" t="n">
        <f aca="false">ROUNDDOWN(K782*1.75+50,0)</f>
        <v>165</v>
      </c>
      <c r="W782" s="261" t="n">
        <v>0</v>
      </c>
      <c r="X782" s="261" t="s">
        <v>60</v>
      </c>
      <c r="Y782" s="364" t="s">
        <v>1923</v>
      </c>
      <c r="Z782" s="364"/>
      <c r="AA782" s="364"/>
      <c r="AB782" s="365"/>
      <c r="AC782" s="364"/>
      <c r="AD782" s="364"/>
      <c r="AE782" s="366"/>
      <c r="AF782" s="364" t="s">
        <v>1924</v>
      </c>
      <c r="AG782" s="364" t="s">
        <v>1924</v>
      </c>
      <c r="AH782" s="366" t="s">
        <v>1924</v>
      </c>
    </row>
    <row r="783" customFormat="false" ht="15.75" hidden="false" customHeight="false" outlineLevel="0" collapsed="false">
      <c r="A783" s="262" t="n">
        <v>673</v>
      </c>
      <c r="B783" s="361" t="n">
        <v>781</v>
      </c>
      <c r="C783" s="261" t="s">
        <v>1925</v>
      </c>
      <c r="D783" s="261" t="s">
        <v>60</v>
      </c>
      <c r="E783" s="362" t="s">
        <v>1925</v>
      </c>
      <c r="F783" s="261" t="s">
        <v>1873</v>
      </c>
      <c r="G783" s="261" t="s">
        <v>144</v>
      </c>
      <c r="H783" s="261" t="n">
        <v>0</v>
      </c>
      <c r="I783" s="261" t="n">
        <v>2</v>
      </c>
      <c r="J783" s="361" t="n">
        <v>1</v>
      </c>
      <c r="K783" s="262" t="n">
        <v>123</v>
      </c>
      <c r="L783" s="262" t="n">
        <v>100</v>
      </c>
      <c r="M783" s="262" t="n">
        <v>62</v>
      </c>
      <c r="N783" s="262" t="n">
        <v>97</v>
      </c>
      <c r="O783" s="262" t="n">
        <v>81</v>
      </c>
      <c r="P783" s="361" t="n">
        <v>68</v>
      </c>
      <c r="Q783" s="261" t="s">
        <v>155</v>
      </c>
      <c r="R783" s="261"/>
      <c r="S783" s="363" t="n">
        <f aca="false" t="array" ref="S783:S783">IF(COUNTIF('0.3.0 GO Calculation Values'!$J$2:$J$99,C783),(INDEX('0.3.0 GO Calculation Values'!$K$2:$K$99,MATCH(C783,'0.3.0 GO Calculation Values'!$J$2:$J$99,0))),1)</f>
        <v>1</v>
      </c>
      <c r="T783" s="262" t="n">
        <f aca="false">ROUND(ROUND(2*((7/8)*MAX(L783,N783)+(1/8)*MIN(L783,N783)),0)*(1+(P783-75)/500),0)</f>
        <v>196</v>
      </c>
      <c r="U783" s="262" t="n">
        <f aca="false">ROUND(ROUND(2*((5/8)*MAX(M783,O783)+(3/8)*MIN(M783,O783)),0)*(1+(P783-75)/500),0)</f>
        <v>146</v>
      </c>
      <c r="V783" s="361" t="n">
        <f aca="false">ROUNDDOWN(K783*1.75+50,0)</f>
        <v>265</v>
      </c>
      <c r="W783" s="261" t="n">
        <v>0</v>
      </c>
      <c r="X783" s="261" t="s">
        <v>1923</v>
      </c>
      <c r="Y783" s="364" t="s">
        <v>1923</v>
      </c>
      <c r="Z783" s="364"/>
      <c r="AA783" s="364"/>
      <c r="AB783" s="365"/>
      <c r="AC783" s="364"/>
      <c r="AD783" s="364"/>
      <c r="AE783" s="366"/>
      <c r="AF783" s="364" t="s">
        <v>1926</v>
      </c>
      <c r="AG783" s="364" t="s">
        <v>1926</v>
      </c>
      <c r="AH783" s="366" t="s">
        <v>1926</v>
      </c>
    </row>
    <row r="784" customFormat="false" ht="15.75" hidden="false" customHeight="false" outlineLevel="0" collapsed="false">
      <c r="A784" s="262" t="n">
        <v>674</v>
      </c>
      <c r="B784" s="361" t="n">
        <v>782</v>
      </c>
      <c r="C784" s="261" t="s">
        <v>1927</v>
      </c>
      <c r="D784" s="261" t="s">
        <v>60</v>
      </c>
      <c r="E784" s="362" t="s">
        <v>1927</v>
      </c>
      <c r="F784" s="261" t="s">
        <v>1873</v>
      </c>
      <c r="G784" s="261" t="s">
        <v>144</v>
      </c>
      <c r="H784" s="261" t="n">
        <v>0</v>
      </c>
      <c r="I784" s="261" t="n">
        <v>1</v>
      </c>
      <c r="J784" s="361" t="n">
        <v>0</v>
      </c>
      <c r="K784" s="262" t="n">
        <v>67</v>
      </c>
      <c r="L784" s="262" t="n">
        <v>82</v>
      </c>
      <c r="M784" s="262" t="n">
        <v>62</v>
      </c>
      <c r="N784" s="262" t="n">
        <v>46</v>
      </c>
      <c r="O784" s="262" t="n">
        <v>48</v>
      </c>
      <c r="P784" s="361" t="n">
        <v>43</v>
      </c>
      <c r="Q784" s="261" t="s">
        <v>145</v>
      </c>
      <c r="R784" s="261"/>
      <c r="S784" s="363" t="n">
        <f aca="false" t="array" ref="S784:S784">IF(COUNTIF('0.3.0 GO Calculation Values'!$J$2:$J$99,C784),(INDEX('0.3.0 GO Calculation Values'!$K$2:$K$99,MATCH(C784,'0.3.0 GO Calculation Values'!$J$2:$J$99,0))),1)</f>
        <v>1</v>
      </c>
      <c r="T784" s="262" t="n">
        <f aca="false">ROUND(ROUND(2*((7/8)*MAX(L784,N784)+(1/8)*MIN(L784,N784)),0)*(1+(P784-75)/500),0)</f>
        <v>145</v>
      </c>
      <c r="U784" s="262" t="n">
        <f aca="false">ROUND(ROUND(2*((5/8)*MAX(M784,O784)+(3/8)*MIN(M784,O784)),0)*(1+(P784-75)/500),0)</f>
        <v>107</v>
      </c>
      <c r="V784" s="361" t="n">
        <f aca="false">ROUNDDOWN(K784*1.75+50,0)</f>
        <v>167</v>
      </c>
      <c r="W784" s="261" t="n">
        <v>0</v>
      </c>
      <c r="X784" s="261" t="s">
        <v>60</v>
      </c>
      <c r="Y784" s="364" t="s">
        <v>1927</v>
      </c>
      <c r="Z784" s="364"/>
      <c r="AA784" s="364"/>
      <c r="AB784" s="365"/>
      <c r="AC784" s="364"/>
      <c r="AD784" s="364"/>
      <c r="AE784" s="366"/>
      <c r="AF784" s="364" t="s">
        <v>1928</v>
      </c>
      <c r="AG784" s="364" t="s">
        <v>1928</v>
      </c>
      <c r="AH784" s="366" t="s">
        <v>1928</v>
      </c>
    </row>
    <row r="785" customFormat="false" ht="15.75" hidden="false" customHeight="false" outlineLevel="0" collapsed="false">
      <c r="A785" s="262" t="n">
        <v>675</v>
      </c>
      <c r="B785" s="361" t="n">
        <v>783</v>
      </c>
      <c r="C785" s="261" t="s">
        <v>1929</v>
      </c>
      <c r="D785" s="261" t="s">
        <v>60</v>
      </c>
      <c r="E785" s="362" t="s">
        <v>1929</v>
      </c>
      <c r="F785" s="261" t="s">
        <v>1873</v>
      </c>
      <c r="G785" s="261" t="s">
        <v>144</v>
      </c>
      <c r="H785" s="261" t="n">
        <v>0</v>
      </c>
      <c r="I785" s="261" t="n">
        <v>2</v>
      </c>
      <c r="J785" s="361" t="n">
        <v>1</v>
      </c>
      <c r="K785" s="262" t="n">
        <v>95</v>
      </c>
      <c r="L785" s="262" t="n">
        <v>124</v>
      </c>
      <c r="M785" s="262" t="n">
        <v>78</v>
      </c>
      <c r="N785" s="262" t="n">
        <v>69</v>
      </c>
      <c r="O785" s="262" t="n">
        <v>71</v>
      </c>
      <c r="P785" s="361" t="n">
        <v>58</v>
      </c>
      <c r="Q785" s="261" t="s">
        <v>145</v>
      </c>
      <c r="R785" s="261" t="s">
        <v>160</v>
      </c>
      <c r="S785" s="363" t="n">
        <f aca="false" t="array" ref="S785:S785">IF(COUNTIF('0.3.0 GO Calculation Values'!$J$2:$J$99,C785),(INDEX('0.3.0 GO Calculation Values'!$K$2:$K$99,MATCH(C785,'0.3.0 GO Calculation Values'!$J$2:$J$99,0))),1)</f>
        <v>1</v>
      </c>
      <c r="T785" s="262" t="n">
        <f aca="false">ROUND(ROUND(2*((7/8)*MAX(L785,N785)+(1/8)*MIN(L785,N785)),0)*(1+(P785-75)/500),0)</f>
        <v>226</v>
      </c>
      <c r="U785" s="262" t="n">
        <f aca="false">ROUND(ROUND(2*((5/8)*MAX(M785,O785)+(3/8)*MIN(M785,O785)),0)*(1+(P785-75)/500),0)</f>
        <v>146</v>
      </c>
      <c r="V785" s="361" t="n">
        <f aca="false">ROUNDDOWN(K785*1.75+50,0)</f>
        <v>216</v>
      </c>
      <c r="W785" s="261" t="n">
        <v>0</v>
      </c>
      <c r="X785" s="261" t="s">
        <v>1927</v>
      </c>
      <c r="Y785" s="364" t="s">
        <v>1927</v>
      </c>
      <c r="Z785" s="364"/>
      <c r="AA785" s="364"/>
      <c r="AB785" s="365"/>
      <c r="AC785" s="364"/>
      <c r="AD785" s="364"/>
      <c r="AE785" s="366"/>
      <c r="AF785" s="364" t="s">
        <v>1930</v>
      </c>
      <c r="AG785" s="364" t="s">
        <v>1930</v>
      </c>
      <c r="AH785" s="366" t="s">
        <v>1930</v>
      </c>
    </row>
    <row r="786" customFormat="false" ht="15.75" hidden="false" customHeight="false" outlineLevel="0" collapsed="false">
      <c r="A786" s="262" t="n">
        <v>676</v>
      </c>
      <c r="B786" s="361" t="n">
        <v>784</v>
      </c>
      <c r="C786" s="261" t="s">
        <v>1931</v>
      </c>
      <c r="D786" s="261" t="s">
        <v>60</v>
      </c>
      <c r="E786" s="362" t="s">
        <v>1931</v>
      </c>
      <c r="F786" s="261" t="s">
        <v>1873</v>
      </c>
      <c r="G786" s="261" t="s">
        <v>144</v>
      </c>
      <c r="H786" s="261" t="n">
        <v>0</v>
      </c>
      <c r="I786" s="261" t="n">
        <v>1</v>
      </c>
      <c r="J786" s="361" t="n">
        <v>1</v>
      </c>
      <c r="K786" s="262" t="n">
        <v>75</v>
      </c>
      <c r="L786" s="262" t="n">
        <v>80</v>
      </c>
      <c r="M786" s="262" t="n">
        <v>60</v>
      </c>
      <c r="N786" s="262" t="n">
        <v>65</v>
      </c>
      <c r="O786" s="262" t="n">
        <v>90</v>
      </c>
      <c r="P786" s="361" t="n">
        <v>102</v>
      </c>
      <c r="Q786" s="261" t="s">
        <v>144</v>
      </c>
      <c r="R786" s="261"/>
      <c r="S786" s="363" t="n">
        <f aca="false" t="array" ref="S786:S786">IF(COUNTIF('0.3.0 GO Calculation Values'!$J$2:$J$99,C786),(INDEX('0.3.0 GO Calculation Values'!$K$2:$K$99,MATCH(C786,'0.3.0 GO Calculation Values'!$J$2:$J$99,0))),1)</f>
        <v>1</v>
      </c>
      <c r="T786" s="262" t="n">
        <f aca="false">ROUND(ROUND(2*((7/8)*MAX(L786,N786)+(1/8)*MIN(L786,N786)),0)*(1+(P786-75)/500),0)</f>
        <v>164</v>
      </c>
      <c r="U786" s="262" t="n">
        <f aca="false">ROUND(ROUND(2*((5/8)*MAX(M786,O786)+(3/8)*MIN(M786,O786)),0)*(1+(P786-75)/500),0)</f>
        <v>167</v>
      </c>
      <c r="V786" s="361" t="n">
        <f aca="false">ROUNDDOWN(K786*1.75+50,0)</f>
        <v>181</v>
      </c>
      <c r="W786" s="261" t="n">
        <v>0</v>
      </c>
      <c r="X786" s="261" t="s">
        <v>60</v>
      </c>
      <c r="Y786" s="364" t="s">
        <v>1931</v>
      </c>
      <c r="Z786" s="364"/>
      <c r="AA786" s="364"/>
      <c r="AB786" s="365"/>
      <c r="AC786" s="364"/>
      <c r="AD786" s="364"/>
      <c r="AE786" s="366"/>
      <c r="AF786" s="364" t="s">
        <v>1932</v>
      </c>
      <c r="AG786" s="364" t="s">
        <v>1932</v>
      </c>
      <c r="AH786" s="366" t="s">
        <v>1932</v>
      </c>
    </row>
    <row r="787" customFormat="false" ht="15.75" hidden="false" customHeight="false" outlineLevel="0" collapsed="false">
      <c r="A787" s="262" t="n">
        <v>677</v>
      </c>
      <c r="B787" s="361" t="n">
        <v>785</v>
      </c>
      <c r="C787" s="261" t="s">
        <v>1933</v>
      </c>
      <c r="D787" s="261" t="s">
        <v>60</v>
      </c>
      <c r="E787" s="362" t="s">
        <v>1933</v>
      </c>
      <c r="F787" s="261" t="s">
        <v>1873</v>
      </c>
      <c r="G787" s="261" t="s">
        <v>144</v>
      </c>
      <c r="H787" s="261" t="n">
        <v>0</v>
      </c>
      <c r="I787" s="261" t="n">
        <v>1</v>
      </c>
      <c r="J787" s="361" t="n">
        <v>0</v>
      </c>
      <c r="K787" s="262" t="n">
        <v>62</v>
      </c>
      <c r="L787" s="262" t="n">
        <v>48</v>
      </c>
      <c r="M787" s="262" t="n">
        <v>54</v>
      </c>
      <c r="N787" s="262" t="n">
        <v>63</v>
      </c>
      <c r="O787" s="262" t="n">
        <v>60</v>
      </c>
      <c r="P787" s="361" t="n">
        <v>68</v>
      </c>
      <c r="Q787" s="261" t="s">
        <v>157</v>
      </c>
      <c r="R787" s="261"/>
      <c r="S787" s="363" t="n">
        <f aca="false" t="array" ref="S787:S787">IF(COUNTIF('0.3.0 GO Calculation Values'!$J$2:$J$99,C787),(INDEX('0.3.0 GO Calculation Values'!$K$2:$K$99,MATCH(C787,'0.3.0 GO Calculation Values'!$J$2:$J$99,0))),1)</f>
        <v>1</v>
      </c>
      <c r="T787" s="262" t="n">
        <f aca="false">ROUND(ROUND(2*((7/8)*MAX(L787,N787)+(1/8)*MIN(L787,N787)),0)*(1+(P787-75)/500),0)</f>
        <v>120</v>
      </c>
      <c r="U787" s="262" t="n">
        <f aca="false">ROUND(ROUND(2*((5/8)*MAX(M787,O787)+(3/8)*MIN(M787,O787)),0)*(1+(P787-75)/500),0)</f>
        <v>114</v>
      </c>
      <c r="V787" s="361" t="n">
        <f aca="false">ROUNDDOWN(K787*1.75+50,0)</f>
        <v>158</v>
      </c>
      <c r="W787" s="261" t="n">
        <v>0</v>
      </c>
      <c r="X787" s="261" t="s">
        <v>60</v>
      </c>
      <c r="Y787" s="364" t="s">
        <v>1933</v>
      </c>
      <c r="Z787" s="364"/>
      <c r="AA787" s="364"/>
      <c r="AB787" s="365"/>
      <c r="AC787" s="364"/>
      <c r="AD787" s="364"/>
      <c r="AE787" s="366"/>
      <c r="AF787" s="364" t="s">
        <v>1934</v>
      </c>
      <c r="AG787" s="364" t="s">
        <v>1934</v>
      </c>
      <c r="AH787" s="366" t="s">
        <v>1934</v>
      </c>
    </row>
    <row r="788" customFormat="false" ht="15.75" hidden="false" customHeight="false" outlineLevel="0" collapsed="false">
      <c r="A788" s="262" t="n">
        <v>678</v>
      </c>
      <c r="B788" s="361" t="n">
        <v>786</v>
      </c>
      <c r="C788" s="261" t="s">
        <v>1935</v>
      </c>
      <c r="D788" s="261" t="s">
        <v>60</v>
      </c>
      <c r="E788" s="362" t="s">
        <v>1935</v>
      </c>
      <c r="F788" s="261" t="s">
        <v>1873</v>
      </c>
      <c r="G788" s="261" t="s">
        <v>144</v>
      </c>
      <c r="H788" s="261" t="n">
        <v>0</v>
      </c>
      <c r="I788" s="261" t="n">
        <v>2</v>
      </c>
      <c r="J788" s="361" t="n">
        <v>1</v>
      </c>
      <c r="K788" s="262" t="n">
        <v>74</v>
      </c>
      <c r="L788" s="262" t="n">
        <v>48</v>
      </c>
      <c r="M788" s="262" t="n">
        <v>76</v>
      </c>
      <c r="N788" s="262" t="n">
        <v>83</v>
      </c>
      <c r="O788" s="262" t="n">
        <v>81</v>
      </c>
      <c r="P788" s="361" t="n">
        <v>104</v>
      </c>
      <c r="Q788" s="261" t="s">
        <v>157</v>
      </c>
      <c r="R788" s="261"/>
      <c r="S788" s="363" t="n">
        <f aca="false" t="array" ref="S788:S788">IF(COUNTIF('0.3.0 GO Calculation Values'!$J$2:$J$99,C788),(INDEX('0.3.0 GO Calculation Values'!$K$2:$K$99,MATCH(C788,'0.3.0 GO Calculation Values'!$J$2:$J$99,0))),1)</f>
        <v>1</v>
      </c>
      <c r="T788" s="262" t="n">
        <f aca="false">ROUND(ROUND(2*((7/8)*MAX(L788,N788)+(1/8)*MIN(L788,N788)),0)*(1+(P788-75)/500),0)</f>
        <v>166</v>
      </c>
      <c r="U788" s="262" t="n">
        <f aca="false">ROUND(ROUND(2*((5/8)*MAX(M788,O788)+(3/8)*MIN(M788,O788)),0)*(1+(P788-75)/500),0)</f>
        <v>167</v>
      </c>
      <c r="V788" s="361" t="n">
        <f aca="false">ROUNDDOWN(K788*1.75+50,0)</f>
        <v>179</v>
      </c>
      <c r="W788" s="261" t="n">
        <v>0</v>
      </c>
      <c r="X788" s="261" t="s">
        <v>1933</v>
      </c>
      <c r="Y788" s="364" t="s">
        <v>1933</v>
      </c>
      <c r="Z788" s="364"/>
      <c r="AA788" s="364"/>
      <c r="AB788" s="365"/>
      <c r="AC788" s="364"/>
      <c r="AD788" s="364"/>
      <c r="AE788" s="366"/>
      <c r="AF788" s="261" t="s">
        <v>1936</v>
      </c>
      <c r="AG788" s="364" t="s">
        <v>1937</v>
      </c>
      <c r="AH788" s="366" t="s">
        <v>1937</v>
      </c>
    </row>
    <row r="789" customFormat="false" ht="15.75" hidden="false" customHeight="false" outlineLevel="0" collapsed="false">
      <c r="A789" s="262" t="n">
        <v>679</v>
      </c>
      <c r="B789" s="361" t="n">
        <v>787</v>
      </c>
      <c r="C789" s="261" t="s">
        <v>1938</v>
      </c>
      <c r="D789" s="261" t="s">
        <v>60</v>
      </c>
      <c r="E789" s="362" t="s">
        <v>1938</v>
      </c>
      <c r="F789" s="261" t="s">
        <v>1873</v>
      </c>
      <c r="G789" s="261" t="s">
        <v>144</v>
      </c>
      <c r="H789" s="261" t="n">
        <v>0</v>
      </c>
      <c r="I789" s="261" t="n">
        <v>1</v>
      </c>
      <c r="J789" s="361" t="n">
        <v>0</v>
      </c>
      <c r="K789" s="262" t="n">
        <v>45</v>
      </c>
      <c r="L789" s="262" t="n">
        <v>80</v>
      </c>
      <c r="M789" s="262" t="n">
        <v>100</v>
      </c>
      <c r="N789" s="262" t="n">
        <v>35</v>
      </c>
      <c r="O789" s="262" t="n">
        <v>37</v>
      </c>
      <c r="P789" s="361" t="n">
        <v>28</v>
      </c>
      <c r="Q789" s="261" t="s">
        <v>152</v>
      </c>
      <c r="R789" s="261" t="s">
        <v>151</v>
      </c>
      <c r="S789" s="363" t="n">
        <f aca="false" t="array" ref="S789:S789">IF(COUNTIF('0.3.0 GO Calculation Values'!$J$2:$J$99,C789),(INDEX('0.3.0 GO Calculation Values'!$K$2:$K$99,MATCH(C789,'0.3.0 GO Calculation Values'!$J$2:$J$99,0))),1)</f>
        <v>1</v>
      </c>
      <c r="T789" s="262" t="n">
        <f aca="false">ROUND(ROUND(2*((7/8)*MAX(L789,N789)+(1/8)*MIN(L789,N789)),0)*(1+(P789-75)/500),0)</f>
        <v>135</v>
      </c>
      <c r="U789" s="262" t="n">
        <f aca="false">ROUND(ROUND(2*((5/8)*MAX(M789,O789)+(3/8)*MIN(M789,O789)),0)*(1+(P789-75)/500),0)</f>
        <v>139</v>
      </c>
      <c r="V789" s="361" t="n">
        <f aca="false">ROUNDDOWN(K789*1.75+50,0)</f>
        <v>128</v>
      </c>
      <c r="W789" s="261" t="n">
        <v>0</v>
      </c>
      <c r="X789" s="261" t="s">
        <v>60</v>
      </c>
      <c r="Y789" s="364" t="s">
        <v>1938</v>
      </c>
      <c r="Z789" s="364"/>
      <c r="AA789" s="364"/>
      <c r="AB789" s="365"/>
      <c r="AC789" s="364"/>
      <c r="AD789" s="364"/>
      <c r="AE789" s="366"/>
      <c r="AF789" s="364" t="s">
        <v>1939</v>
      </c>
      <c r="AG789" s="364" t="s">
        <v>1939</v>
      </c>
      <c r="AH789" s="366" t="s">
        <v>1939</v>
      </c>
    </row>
    <row r="790" customFormat="false" ht="15.75" hidden="false" customHeight="false" outlineLevel="0" collapsed="false">
      <c r="A790" s="262" t="n">
        <v>680</v>
      </c>
      <c r="B790" s="361" t="n">
        <v>788</v>
      </c>
      <c r="C790" s="261" t="s">
        <v>1940</v>
      </c>
      <c r="D790" s="261" t="s">
        <v>60</v>
      </c>
      <c r="E790" s="362" t="s">
        <v>1940</v>
      </c>
      <c r="F790" s="261" t="s">
        <v>1873</v>
      </c>
      <c r="G790" s="261" t="s">
        <v>144</v>
      </c>
      <c r="H790" s="261" t="n">
        <v>0</v>
      </c>
      <c r="I790" s="261" t="n">
        <v>2</v>
      </c>
      <c r="J790" s="361" t="n">
        <v>0</v>
      </c>
      <c r="K790" s="262" t="n">
        <v>59</v>
      </c>
      <c r="L790" s="262" t="n">
        <v>110</v>
      </c>
      <c r="M790" s="262" t="n">
        <v>150</v>
      </c>
      <c r="N790" s="262" t="n">
        <v>45</v>
      </c>
      <c r="O790" s="262" t="n">
        <v>49</v>
      </c>
      <c r="P790" s="361" t="n">
        <v>35</v>
      </c>
      <c r="Q790" s="261" t="s">
        <v>152</v>
      </c>
      <c r="R790" s="261" t="s">
        <v>151</v>
      </c>
      <c r="S790" s="363" t="n">
        <f aca="false" t="array" ref="S790:S790">IF(COUNTIF('0.3.0 GO Calculation Values'!$J$2:$J$99,C790),(INDEX('0.3.0 GO Calculation Values'!$K$2:$K$99,MATCH(C790,'0.3.0 GO Calculation Values'!$J$2:$J$99,0))),1)</f>
        <v>1</v>
      </c>
      <c r="T790" s="262" t="n">
        <f aca="false">ROUND(ROUND(2*((7/8)*MAX(L790,N790)+(1/8)*MIN(L790,N790)),0)*(1+(P790-75)/500),0)</f>
        <v>188</v>
      </c>
      <c r="U790" s="262" t="n">
        <f aca="false">ROUND(ROUND(2*((5/8)*MAX(M790,O790)+(3/8)*MIN(M790,O790)),0)*(1+(P790-75)/500),0)</f>
        <v>206</v>
      </c>
      <c r="V790" s="361" t="n">
        <f aca="false">ROUNDDOWN(K790*1.75+50,0)</f>
        <v>153</v>
      </c>
      <c r="W790" s="261" t="n">
        <v>0</v>
      </c>
      <c r="X790" s="261" t="s">
        <v>1938</v>
      </c>
      <c r="Y790" s="364" t="s">
        <v>1938</v>
      </c>
      <c r="Z790" s="364"/>
      <c r="AA790" s="364"/>
      <c r="AB790" s="365"/>
      <c r="AC790" s="364"/>
      <c r="AD790" s="364"/>
      <c r="AE790" s="366"/>
      <c r="AF790" s="364" t="s">
        <v>1941</v>
      </c>
      <c r="AG790" s="364" t="s">
        <v>1941</v>
      </c>
      <c r="AH790" s="366" t="s">
        <v>1941</v>
      </c>
    </row>
    <row r="791" customFormat="false" ht="15.75" hidden="false" customHeight="false" outlineLevel="0" collapsed="false">
      <c r="A791" s="262" t="n">
        <v>681</v>
      </c>
      <c r="B791" s="361" t="n">
        <v>789</v>
      </c>
      <c r="C791" s="261" t="s">
        <v>1942</v>
      </c>
      <c r="D791" s="261" t="s">
        <v>1943</v>
      </c>
      <c r="E791" s="358" t="s">
        <v>1942</v>
      </c>
      <c r="F791" s="261" t="s">
        <v>1873</v>
      </c>
      <c r="G791" s="261" t="s">
        <v>144</v>
      </c>
      <c r="H791" s="261" t="n">
        <v>0</v>
      </c>
      <c r="I791" s="261" t="n">
        <v>3</v>
      </c>
      <c r="J791" s="361" t="n">
        <v>1</v>
      </c>
      <c r="K791" s="262" t="n">
        <v>60</v>
      </c>
      <c r="L791" s="262" t="n">
        <v>50</v>
      </c>
      <c r="M791" s="262" t="n">
        <v>150</v>
      </c>
      <c r="N791" s="262" t="n">
        <v>50</v>
      </c>
      <c r="O791" s="262" t="n">
        <v>150</v>
      </c>
      <c r="P791" s="361" t="n">
        <v>60</v>
      </c>
      <c r="Q791" s="261" t="s">
        <v>152</v>
      </c>
      <c r="R791" s="261" t="s">
        <v>151</v>
      </c>
      <c r="S791" s="363" t="n">
        <f aca="false" t="array" ref="S791:S791">IF(COUNTIF('0.3.0 GO Calculation Values'!$J$2:$J$99,C791),(INDEX('0.3.0 GO Calculation Values'!$K$2:$K$99,MATCH(C791,'0.3.0 GO Calculation Values'!$J$2:$J$99,0))),1)</f>
        <v>1</v>
      </c>
      <c r="T791" s="262" t="n">
        <f aca="false">ROUND(ROUND(2*((7/8)*MAX(L791,N791)+(1/8)*MIN(L791,N791)),0)*(1+(P791-75)/500),0)</f>
        <v>97</v>
      </c>
      <c r="U791" s="262" t="n">
        <f aca="false">ROUND(ROUND(2*((5/8)*MAX(M791,O791)+(3/8)*MIN(M791,O791)),0)*(1+(P791-75)/500),0)</f>
        <v>291</v>
      </c>
      <c r="V791" s="361" t="n">
        <f aca="false">ROUNDDOWN(K791*1.75+50,0)</f>
        <v>155</v>
      </c>
      <c r="W791" s="261" t="n">
        <v>0</v>
      </c>
      <c r="X791" s="261" t="s">
        <v>1940</v>
      </c>
      <c r="Y791" s="364" t="s">
        <v>1938</v>
      </c>
      <c r="Z791" s="364"/>
      <c r="AA791" s="364"/>
      <c r="AB791" s="365"/>
      <c r="AC791" s="364"/>
      <c r="AD791" s="364"/>
      <c r="AE791" s="366"/>
      <c r="AF791" s="261" t="s">
        <v>1944</v>
      </c>
      <c r="AG791" s="261" t="s">
        <v>1945</v>
      </c>
      <c r="AH791" s="362" t="s">
        <v>1945</v>
      </c>
    </row>
    <row r="792" customFormat="false" ht="15.75" hidden="false" customHeight="false" outlineLevel="0" collapsed="false">
      <c r="A792" s="262" t="n">
        <v>681</v>
      </c>
      <c r="B792" s="361" t="n">
        <v>790</v>
      </c>
      <c r="C792" s="261" t="s">
        <v>1942</v>
      </c>
      <c r="D792" s="261" t="s">
        <v>1946</v>
      </c>
      <c r="E792" s="358" t="s">
        <v>1947</v>
      </c>
      <c r="F792" s="261" t="s">
        <v>1873</v>
      </c>
      <c r="G792" s="261" t="s">
        <v>144</v>
      </c>
      <c r="H792" s="261" t="n">
        <v>2</v>
      </c>
      <c r="I792" s="261" t="n">
        <v>3</v>
      </c>
      <c r="J792" s="361" t="n">
        <v>1</v>
      </c>
      <c r="K792" s="262" t="n">
        <v>60</v>
      </c>
      <c r="L792" s="262" t="n">
        <v>150</v>
      </c>
      <c r="M792" s="262" t="n">
        <v>50</v>
      </c>
      <c r="N792" s="262" t="n">
        <v>150</v>
      </c>
      <c r="O792" s="262" t="n">
        <v>50</v>
      </c>
      <c r="P792" s="361" t="n">
        <v>60</v>
      </c>
      <c r="Q792" s="261" t="s">
        <v>152</v>
      </c>
      <c r="R792" s="261" t="s">
        <v>151</v>
      </c>
      <c r="S792" s="363" t="n">
        <f aca="false" t="array" ref="S792:S792">IF(COUNTIF('0.3.0 GO Calculation Values'!$J$2:$J$99,C792),(INDEX('0.3.0 GO Calculation Values'!$K$2:$K$99,MATCH(C792,'0.3.0 GO Calculation Values'!$J$2:$J$99,0))),1)</f>
        <v>1</v>
      </c>
      <c r="T792" s="262" t="n">
        <f aca="false">ROUND(ROUND(2*((7/8)*MAX(L792,N792)+(1/8)*MIN(L792,N792)),0)*(1+(P792-75)/500),0)</f>
        <v>291</v>
      </c>
      <c r="U792" s="262" t="n">
        <f aca="false">ROUND(ROUND(2*((5/8)*MAX(M792,O792)+(3/8)*MIN(M792,O792)),0)*(1+(P792-75)/500),0)</f>
        <v>97</v>
      </c>
      <c r="V792" s="361" t="n">
        <f aca="false">ROUNDDOWN(K792*1.75+50,0)</f>
        <v>155</v>
      </c>
      <c r="W792" s="261" t="n">
        <v>0</v>
      </c>
      <c r="X792" s="261" t="s">
        <v>1940</v>
      </c>
      <c r="Y792" s="364" t="s">
        <v>1938</v>
      </c>
      <c r="Z792" s="364"/>
      <c r="AA792" s="364"/>
      <c r="AB792" s="365"/>
      <c r="AC792" s="364"/>
      <c r="AD792" s="364"/>
      <c r="AE792" s="366"/>
      <c r="AF792" s="261" t="s">
        <v>1948</v>
      </c>
      <c r="AG792" s="261" t="s">
        <v>1948</v>
      </c>
      <c r="AH792" s="362" t="s">
        <v>1948</v>
      </c>
    </row>
    <row r="793" customFormat="false" ht="15.75" hidden="false" customHeight="false" outlineLevel="0" collapsed="false">
      <c r="A793" s="262" t="n">
        <v>682</v>
      </c>
      <c r="B793" s="361" t="n">
        <v>791</v>
      </c>
      <c r="C793" s="261" t="s">
        <v>1949</v>
      </c>
      <c r="D793" s="261" t="s">
        <v>60</v>
      </c>
      <c r="E793" s="362" t="s">
        <v>1949</v>
      </c>
      <c r="F793" s="261" t="s">
        <v>1873</v>
      </c>
      <c r="G793" s="261" t="s">
        <v>144</v>
      </c>
      <c r="H793" s="261" t="n">
        <v>0</v>
      </c>
      <c r="I793" s="261" t="n">
        <v>1</v>
      </c>
      <c r="J793" s="361" t="n">
        <v>0</v>
      </c>
      <c r="K793" s="262" t="n">
        <v>78</v>
      </c>
      <c r="L793" s="262" t="n">
        <v>52</v>
      </c>
      <c r="M793" s="262" t="n">
        <v>60</v>
      </c>
      <c r="N793" s="262" t="n">
        <v>63</v>
      </c>
      <c r="O793" s="262" t="n">
        <v>65</v>
      </c>
      <c r="P793" s="361" t="n">
        <v>23</v>
      </c>
      <c r="Q793" s="261" t="s">
        <v>161</v>
      </c>
      <c r="R793" s="261"/>
      <c r="S793" s="363" t="n">
        <f aca="false" t="array" ref="S793:S793">IF(COUNTIF('0.3.0 GO Calculation Values'!$J$2:$J$99,C793),(INDEX('0.3.0 GO Calculation Values'!$K$2:$K$99,MATCH(C793,'0.3.0 GO Calculation Values'!$J$2:$J$99,0))),1)</f>
        <v>1</v>
      </c>
      <c r="T793" s="262" t="n">
        <f aca="false">ROUND(ROUND(2*((7/8)*MAX(L793,N793)+(1/8)*MIN(L793,N793)),0)*(1+(P793-75)/500),0)</f>
        <v>110</v>
      </c>
      <c r="U793" s="262" t="n">
        <f aca="false">ROUND(ROUND(2*((5/8)*MAX(M793,O793)+(3/8)*MIN(M793,O793)),0)*(1+(P793-75)/500),0)</f>
        <v>113</v>
      </c>
      <c r="V793" s="361" t="n">
        <f aca="false">ROUNDDOWN(K793*1.75+50,0)</f>
        <v>186</v>
      </c>
      <c r="W793" s="261" t="n">
        <v>0</v>
      </c>
      <c r="X793" s="261" t="s">
        <v>60</v>
      </c>
      <c r="Y793" s="364" t="s">
        <v>1949</v>
      </c>
      <c r="Z793" s="364"/>
      <c r="AA793" s="364"/>
      <c r="AB793" s="365"/>
      <c r="AC793" s="364"/>
      <c r="AD793" s="364"/>
      <c r="AE793" s="366"/>
      <c r="AF793" s="364" t="s">
        <v>1950</v>
      </c>
      <c r="AG793" s="364" t="s">
        <v>1950</v>
      </c>
      <c r="AH793" s="366" t="s">
        <v>1950</v>
      </c>
    </row>
    <row r="794" customFormat="false" ht="15.75" hidden="false" customHeight="false" outlineLevel="0" collapsed="false">
      <c r="A794" s="262" t="n">
        <v>683</v>
      </c>
      <c r="B794" s="361" t="n">
        <v>792</v>
      </c>
      <c r="C794" s="261" t="s">
        <v>1951</v>
      </c>
      <c r="D794" s="261" t="s">
        <v>60</v>
      </c>
      <c r="E794" s="362" t="s">
        <v>1951</v>
      </c>
      <c r="F794" s="261" t="s">
        <v>1873</v>
      </c>
      <c r="G794" s="261" t="s">
        <v>144</v>
      </c>
      <c r="H794" s="261" t="n">
        <v>0</v>
      </c>
      <c r="I794" s="261" t="n">
        <v>2</v>
      </c>
      <c r="J794" s="361" t="n">
        <v>1</v>
      </c>
      <c r="K794" s="262" t="n">
        <v>101</v>
      </c>
      <c r="L794" s="262" t="n">
        <v>72</v>
      </c>
      <c r="M794" s="262" t="n">
        <v>72</v>
      </c>
      <c r="N794" s="262" t="n">
        <v>99</v>
      </c>
      <c r="O794" s="262" t="n">
        <v>89</v>
      </c>
      <c r="P794" s="361" t="n">
        <v>29</v>
      </c>
      <c r="Q794" s="261" t="s">
        <v>161</v>
      </c>
      <c r="R794" s="261"/>
      <c r="S794" s="363" t="n">
        <f aca="false" t="array" ref="S794:S794">IF(COUNTIF('0.3.0 GO Calculation Values'!$J$2:$J$99,C794),(INDEX('0.3.0 GO Calculation Values'!$K$2:$K$99,MATCH(C794,'0.3.0 GO Calculation Values'!$J$2:$J$99,0))),1)</f>
        <v>1</v>
      </c>
      <c r="T794" s="262" t="n">
        <f aca="false">ROUND(ROUND(2*((7/8)*MAX(L794,N794)+(1/8)*MIN(L794,N794)),0)*(1+(P794-75)/500),0)</f>
        <v>173</v>
      </c>
      <c r="U794" s="262" t="n">
        <f aca="false">ROUND(ROUND(2*((5/8)*MAX(M794,O794)+(3/8)*MIN(M794,O794)),0)*(1+(P794-75)/500),0)</f>
        <v>150</v>
      </c>
      <c r="V794" s="361" t="n">
        <f aca="false">ROUNDDOWN(K794*1.75+50,0)</f>
        <v>226</v>
      </c>
      <c r="W794" s="261" t="n">
        <v>0</v>
      </c>
      <c r="X794" s="261" t="s">
        <v>1949</v>
      </c>
      <c r="Y794" s="364" t="s">
        <v>1949</v>
      </c>
      <c r="Z794" s="364"/>
      <c r="AA794" s="364"/>
      <c r="AB794" s="365"/>
      <c r="AC794" s="364"/>
      <c r="AD794" s="364"/>
      <c r="AE794" s="366"/>
      <c r="AF794" s="364" t="s">
        <v>1952</v>
      </c>
      <c r="AG794" s="364" t="s">
        <v>1952</v>
      </c>
      <c r="AH794" s="366" t="s">
        <v>1952</v>
      </c>
    </row>
    <row r="795" customFormat="false" ht="15.75" hidden="false" customHeight="false" outlineLevel="0" collapsed="false">
      <c r="A795" s="262" t="n">
        <v>684</v>
      </c>
      <c r="B795" s="361" t="n">
        <v>793</v>
      </c>
      <c r="C795" s="261" t="s">
        <v>1953</v>
      </c>
      <c r="D795" s="261" t="s">
        <v>60</v>
      </c>
      <c r="E795" s="362" t="s">
        <v>1953</v>
      </c>
      <c r="F795" s="261" t="s">
        <v>1873</v>
      </c>
      <c r="G795" s="261" t="s">
        <v>144</v>
      </c>
      <c r="H795" s="261" t="n">
        <v>0</v>
      </c>
      <c r="I795" s="261" t="n">
        <v>1</v>
      </c>
      <c r="J795" s="361" t="n">
        <v>0</v>
      </c>
      <c r="K795" s="262" t="n">
        <v>62</v>
      </c>
      <c r="L795" s="262" t="n">
        <v>48</v>
      </c>
      <c r="M795" s="262" t="n">
        <v>66</v>
      </c>
      <c r="N795" s="262" t="n">
        <v>59</v>
      </c>
      <c r="O795" s="262" t="n">
        <v>57</v>
      </c>
      <c r="P795" s="361" t="n">
        <v>49</v>
      </c>
      <c r="Q795" s="261" t="s">
        <v>161</v>
      </c>
      <c r="R795" s="261"/>
      <c r="S795" s="363" t="n">
        <f aca="false" t="array" ref="S795:S795">IF(COUNTIF('0.3.0 GO Calculation Values'!$J$2:$J$99,C795),(INDEX('0.3.0 GO Calculation Values'!$K$2:$K$99,MATCH(C795,'0.3.0 GO Calculation Values'!$J$2:$J$99,0))),1)</f>
        <v>1</v>
      </c>
      <c r="T795" s="262" t="n">
        <f aca="false">ROUND(ROUND(2*((7/8)*MAX(L795,N795)+(1/8)*MIN(L795,N795)),0)*(1+(P795-75)/500),0)</f>
        <v>109</v>
      </c>
      <c r="U795" s="262" t="n">
        <f aca="false">ROUND(ROUND(2*((5/8)*MAX(M795,O795)+(3/8)*MIN(M795,O795)),0)*(1+(P795-75)/500),0)</f>
        <v>119</v>
      </c>
      <c r="V795" s="361" t="n">
        <f aca="false">ROUNDDOWN(K795*1.75+50,0)</f>
        <v>158</v>
      </c>
      <c r="W795" s="261" t="n">
        <v>0</v>
      </c>
      <c r="X795" s="261" t="s">
        <v>60</v>
      </c>
      <c r="Y795" s="364" t="s">
        <v>1953</v>
      </c>
      <c r="Z795" s="364"/>
      <c r="AA795" s="364"/>
      <c r="AB795" s="365"/>
      <c r="AC795" s="364"/>
      <c r="AD795" s="364"/>
      <c r="AE795" s="366"/>
      <c r="AF795" s="364" t="s">
        <v>1954</v>
      </c>
      <c r="AG795" s="364" t="s">
        <v>1954</v>
      </c>
      <c r="AH795" s="366" t="s">
        <v>1954</v>
      </c>
    </row>
    <row r="796" customFormat="false" ht="15.75" hidden="false" customHeight="false" outlineLevel="0" collapsed="false">
      <c r="A796" s="262" t="n">
        <v>685</v>
      </c>
      <c r="B796" s="361" t="n">
        <v>794</v>
      </c>
      <c r="C796" s="261" t="s">
        <v>1955</v>
      </c>
      <c r="D796" s="261" t="s">
        <v>60</v>
      </c>
      <c r="E796" s="362" t="s">
        <v>1955</v>
      </c>
      <c r="F796" s="261" t="s">
        <v>1873</v>
      </c>
      <c r="G796" s="261" t="s">
        <v>144</v>
      </c>
      <c r="H796" s="261" t="n">
        <v>0</v>
      </c>
      <c r="I796" s="261" t="n">
        <v>2</v>
      </c>
      <c r="J796" s="361" t="n">
        <v>1</v>
      </c>
      <c r="K796" s="262" t="n">
        <v>82</v>
      </c>
      <c r="L796" s="262" t="n">
        <v>80</v>
      </c>
      <c r="M796" s="262" t="n">
        <v>86</v>
      </c>
      <c r="N796" s="262" t="n">
        <v>85</v>
      </c>
      <c r="O796" s="262" t="n">
        <v>75</v>
      </c>
      <c r="P796" s="361" t="n">
        <v>72</v>
      </c>
      <c r="Q796" s="261" t="s">
        <v>161</v>
      </c>
      <c r="R796" s="261"/>
      <c r="S796" s="363" t="n">
        <f aca="false" t="array" ref="S796:S796">IF(COUNTIF('0.3.0 GO Calculation Values'!$J$2:$J$99,C796),(INDEX('0.3.0 GO Calculation Values'!$K$2:$K$99,MATCH(C796,'0.3.0 GO Calculation Values'!$J$2:$J$99,0))),1)</f>
        <v>1</v>
      </c>
      <c r="T796" s="262" t="n">
        <f aca="false">ROUND(ROUND(2*((7/8)*MAX(L796,N796)+(1/8)*MIN(L796,N796)),0)*(1+(P796-75)/500),0)</f>
        <v>168</v>
      </c>
      <c r="U796" s="262" t="n">
        <f aca="false">ROUND(ROUND(2*((5/8)*MAX(M796,O796)+(3/8)*MIN(M796,O796)),0)*(1+(P796-75)/500),0)</f>
        <v>163</v>
      </c>
      <c r="V796" s="361" t="n">
        <f aca="false">ROUNDDOWN(K796*1.75+50,0)</f>
        <v>193</v>
      </c>
      <c r="W796" s="261" t="n">
        <v>0</v>
      </c>
      <c r="X796" s="261" t="s">
        <v>1953</v>
      </c>
      <c r="Y796" s="364" t="s">
        <v>1953</v>
      </c>
      <c r="Z796" s="364"/>
      <c r="AA796" s="364"/>
      <c r="AB796" s="365"/>
      <c r="AC796" s="364"/>
      <c r="AD796" s="364"/>
      <c r="AE796" s="366"/>
      <c r="AF796" s="364" t="s">
        <v>1956</v>
      </c>
      <c r="AG796" s="364" t="s">
        <v>1956</v>
      </c>
      <c r="AH796" s="366" t="s">
        <v>1956</v>
      </c>
    </row>
    <row r="797" customFormat="false" ht="15.75" hidden="false" customHeight="false" outlineLevel="0" collapsed="false">
      <c r="A797" s="262" t="n">
        <v>686</v>
      </c>
      <c r="B797" s="361" t="n">
        <v>795</v>
      </c>
      <c r="C797" s="261" t="s">
        <v>1957</v>
      </c>
      <c r="D797" s="261" t="s">
        <v>60</v>
      </c>
      <c r="E797" s="362" t="s">
        <v>1957</v>
      </c>
      <c r="F797" s="261" t="s">
        <v>1873</v>
      </c>
      <c r="G797" s="261" t="s">
        <v>144</v>
      </c>
      <c r="H797" s="261" t="n">
        <v>0</v>
      </c>
      <c r="I797" s="261" t="n">
        <v>1</v>
      </c>
      <c r="J797" s="361" t="n">
        <v>0</v>
      </c>
      <c r="K797" s="262" t="n">
        <v>53</v>
      </c>
      <c r="L797" s="262" t="n">
        <v>54</v>
      </c>
      <c r="M797" s="262" t="n">
        <v>53</v>
      </c>
      <c r="N797" s="262" t="n">
        <v>37</v>
      </c>
      <c r="O797" s="262" t="n">
        <v>46</v>
      </c>
      <c r="P797" s="361" t="n">
        <v>45</v>
      </c>
      <c r="Q797" s="261" t="s">
        <v>160</v>
      </c>
      <c r="R797" s="261" t="s">
        <v>157</v>
      </c>
      <c r="S797" s="363" t="n">
        <f aca="false" t="array" ref="S797:S797">IF(COUNTIF('0.3.0 GO Calculation Values'!$J$2:$J$99,C797),(INDEX('0.3.0 GO Calculation Values'!$K$2:$K$99,MATCH(C797,'0.3.0 GO Calculation Values'!$J$2:$J$99,0))),1)</f>
        <v>1</v>
      </c>
      <c r="T797" s="262" t="n">
        <f aca="false">ROUND(ROUND(2*((7/8)*MAX(L797,N797)+(1/8)*MIN(L797,N797)),0)*(1+(P797-75)/500),0)</f>
        <v>98</v>
      </c>
      <c r="U797" s="262" t="n">
        <f aca="false">ROUND(ROUND(2*((5/8)*MAX(M797,O797)+(3/8)*MIN(M797,O797)),0)*(1+(P797-75)/500),0)</f>
        <v>95</v>
      </c>
      <c r="V797" s="361" t="n">
        <f aca="false">ROUNDDOWN(K797*1.75+50,0)</f>
        <v>142</v>
      </c>
      <c r="W797" s="261" t="n">
        <v>0</v>
      </c>
      <c r="X797" s="261" t="s">
        <v>60</v>
      </c>
      <c r="Y797" s="364" t="s">
        <v>1957</v>
      </c>
      <c r="Z797" s="364"/>
      <c r="AA797" s="364"/>
      <c r="AB797" s="365"/>
      <c r="AC797" s="364"/>
      <c r="AD797" s="364"/>
      <c r="AE797" s="366"/>
      <c r="AF797" s="364" t="s">
        <v>1958</v>
      </c>
      <c r="AG797" s="364" t="s">
        <v>1958</v>
      </c>
      <c r="AH797" s="366" t="s">
        <v>1958</v>
      </c>
    </row>
    <row r="798" customFormat="false" ht="15.75" hidden="false" customHeight="false" outlineLevel="0" collapsed="false">
      <c r="A798" s="262" t="n">
        <v>687</v>
      </c>
      <c r="B798" s="361" t="n">
        <v>796</v>
      </c>
      <c r="C798" s="261" t="s">
        <v>1959</v>
      </c>
      <c r="D798" s="261" t="s">
        <v>60</v>
      </c>
      <c r="E798" s="362" t="s">
        <v>1959</v>
      </c>
      <c r="F798" s="261" t="s">
        <v>1873</v>
      </c>
      <c r="G798" s="261" t="s">
        <v>144</v>
      </c>
      <c r="H798" s="261" t="n">
        <v>0</v>
      </c>
      <c r="I798" s="261" t="n">
        <v>2</v>
      </c>
      <c r="J798" s="361" t="n">
        <v>1</v>
      </c>
      <c r="K798" s="262" t="n">
        <v>86</v>
      </c>
      <c r="L798" s="262" t="n">
        <v>92</v>
      </c>
      <c r="M798" s="262" t="n">
        <v>88</v>
      </c>
      <c r="N798" s="262" t="n">
        <v>68</v>
      </c>
      <c r="O798" s="262" t="n">
        <v>75</v>
      </c>
      <c r="P798" s="361" t="n">
        <v>73</v>
      </c>
      <c r="Q798" s="261" t="s">
        <v>160</v>
      </c>
      <c r="R798" s="261" t="s">
        <v>157</v>
      </c>
      <c r="S798" s="363" t="n">
        <f aca="false" t="array" ref="S798:S798">IF(COUNTIF('0.3.0 GO Calculation Values'!$J$2:$J$99,C798),(INDEX('0.3.0 GO Calculation Values'!$K$2:$K$99,MATCH(C798,'0.3.0 GO Calculation Values'!$J$2:$J$99,0))),1)</f>
        <v>1</v>
      </c>
      <c r="T798" s="262" t="n">
        <f aca="false">ROUND(ROUND(2*((7/8)*MAX(L798,N798)+(1/8)*MIN(L798,N798)),0)*(1+(P798-75)/500),0)</f>
        <v>177</v>
      </c>
      <c r="U798" s="262" t="n">
        <f aca="false">ROUND(ROUND(2*((5/8)*MAX(M798,O798)+(3/8)*MIN(M798,O798)),0)*(1+(P798-75)/500),0)</f>
        <v>165</v>
      </c>
      <c r="V798" s="361" t="n">
        <f aca="false">ROUNDDOWN(K798*1.75+50,0)</f>
        <v>200</v>
      </c>
      <c r="W798" s="261" t="n">
        <v>0</v>
      </c>
      <c r="X798" s="261" t="s">
        <v>1957</v>
      </c>
      <c r="Y798" s="364" t="s">
        <v>1957</v>
      </c>
      <c r="Z798" s="364"/>
      <c r="AA798" s="364"/>
      <c r="AB798" s="365"/>
      <c r="AC798" s="364"/>
      <c r="AD798" s="364"/>
      <c r="AE798" s="366"/>
      <c r="AF798" s="364" t="s">
        <v>1960</v>
      </c>
      <c r="AG798" s="364" t="s">
        <v>1960</v>
      </c>
      <c r="AH798" s="366" t="s">
        <v>1960</v>
      </c>
    </row>
    <row r="799" customFormat="false" ht="15.75" hidden="false" customHeight="false" outlineLevel="0" collapsed="false">
      <c r="A799" s="262" t="n">
        <v>688</v>
      </c>
      <c r="B799" s="361" t="n">
        <v>797</v>
      </c>
      <c r="C799" s="261" t="s">
        <v>1961</v>
      </c>
      <c r="D799" s="261" t="s">
        <v>60</v>
      </c>
      <c r="E799" s="362" t="s">
        <v>1961</v>
      </c>
      <c r="F799" s="261" t="s">
        <v>1873</v>
      </c>
      <c r="G799" s="261" t="s">
        <v>144</v>
      </c>
      <c r="H799" s="261" t="n">
        <v>0</v>
      </c>
      <c r="I799" s="261" t="n">
        <v>1</v>
      </c>
      <c r="J799" s="361" t="n">
        <v>0</v>
      </c>
      <c r="K799" s="262" t="n">
        <v>42</v>
      </c>
      <c r="L799" s="262" t="n">
        <v>52</v>
      </c>
      <c r="M799" s="262" t="n">
        <v>67</v>
      </c>
      <c r="N799" s="262" t="n">
        <v>39</v>
      </c>
      <c r="O799" s="262" t="n">
        <v>56</v>
      </c>
      <c r="P799" s="361" t="n">
        <v>50</v>
      </c>
      <c r="Q799" s="261" t="s">
        <v>149</v>
      </c>
      <c r="R799" s="261" t="s">
        <v>154</v>
      </c>
      <c r="S799" s="363" t="n">
        <f aca="false" t="array" ref="S799:S799">IF(COUNTIF('0.3.0 GO Calculation Values'!$J$2:$J$99,C799),(INDEX('0.3.0 GO Calculation Values'!$K$2:$K$99,MATCH(C799,'0.3.0 GO Calculation Values'!$J$2:$J$99,0))),1)</f>
        <v>1</v>
      </c>
      <c r="T799" s="262" t="n">
        <f aca="false">ROUND(ROUND(2*((7/8)*MAX(L799,N799)+(1/8)*MIN(L799,N799)),0)*(1+(P799-75)/500),0)</f>
        <v>96</v>
      </c>
      <c r="U799" s="262" t="n">
        <f aca="false">ROUND(ROUND(2*((5/8)*MAX(M799,O799)+(3/8)*MIN(M799,O799)),0)*(1+(P799-75)/500),0)</f>
        <v>120</v>
      </c>
      <c r="V799" s="361" t="n">
        <f aca="false">ROUNDDOWN(K799*1.75+50,0)</f>
        <v>123</v>
      </c>
      <c r="W799" s="261" t="n">
        <v>0</v>
      </c>
      <c r="X799" s="261" t="s">
        <v>60</v>
      </c>
      <c r="Y799" s="364" t="s">
        <v>1961</v>
      </c>
      <c r="Z799" s="364"/>
      <c r="AA799" s="364"/>
      <c r="AB799" s="365"/>
      <c r="AC799" s="364"/>
      <c r="AD799" s="364"/>
      <c r="AE799" s="366"/>
      <c r="AF799" s="364" t="s">
        <v>1962</v>
      </c>
      <c r="AG799" s="364" t="s">
        <v>1962</v>
      </c>
      <c r="AH799" s="366" t="s">
        <v>1962</v>
      </c>
    </row>
    <row r="800" customFormat="false" ht="15.75" hidden="false" customHeight="false" outlineLevel="0" collapsed="false">
      <c r="A800" s="262" t="n">
        <v>689</v>
      </c>
      <c r="B800" s="361" t="n">
        <v>798</v>
      </c>
      <c r="C800" s="261" t="s">
        <v>1963</v>
      </c>
      <c r="D800" s="261" t="s">
        <v>60</v>
      </c>
      <c r="E800" s="362" t="s">
        <v>1963</v>
      </c>
      <c r="F800" s="261" t="s">
        <v>1873</v>
      </c>
      <c r="G800" s="261" t="s">
        <v>144</v>
      </c>
      <c r="H800" s="261" t="n">
        <v>0</v>
      </c>
      <c r="I800" s="261" t="n">
        <v>2</v>
      </c>
      <c r="J800" s="361" t="n">
        <v>1</v>
      </c>
      <c r="K800" s="262" t="n">
        <v>72</v>
      </c>
      <c r="L800" s="262" t="n">
        <v>105</v>
      </c>
      <c r="M800" s="262" t="n">
        <v>115</v>
      </c>
      <c r="N800" s="262" t="n">
        <v>54</v>
      </c>
      <c r="O800" s="262" t="n">
        <v>86</v>
      </c>
      <c r="P800" s="361" t="n">
        <v>68</v>
      </c>
      <c r="Q800" s="261" t="s">
        <v>149</v>
      </c>
      <c r="R800" s="261" t="s">
        <v>154</v>
      </c>
      <c r="S800" s="363" t="n">
        <f aca="false" t="array" ref="S800:S800">IF(COUNTIF('0.3.0 GO Calculation Values'!$J$2:$J$99,C800),(INDEX('0.3.0 GO Calculation Values'!$K$2:$K$99,MATCH(C800,'0.3.0 GO Calculation Values'!$J$2:$J$99,0))),1)</f>
        <v>1</v>
      </c>
      <c r="T800" s="262" t="n">
        <f aca="false">ROUND(ROUND(2*((7/8)*MAX(L800,N800)+(1/8)*MIN(L800,N800)),0)*(1+(P800-75)/500),0)</f>
        <v>194</v>
      </c>
      <c r="U800" s="262" t="n">
        <f aca="false">ROUND(ROUND(2*((5/8)*MAX(M800,O800)+(3/8)*MIN(M800,O800)),0)*(1+(P800-75)/500),0)</f>
        <v>205</v>
      </c>
      <c r="V800" s="361" t="n">
        <f aca="false">ROUNDDOWN(K800*1.75+50,0)</f>
        <v>176</v>
      </c>
      <c r="W800" s="261" t="n">
        <v>0</v>
      </c>
      <c r="X800" s="261" t="s">
        <v>1961</v>
      </c>
      <c r="Y800" s="364" t="s">
        <v>1961</v>
      </c>
      <c r="Z800" s="364"/>
      <c r="AA800" s="364"/>
      <c r="AB800" s="365"/>
      <c r="AC800" s="364"/>
      <c r="AD800" s="364"/>
      <c r="AE800" s="366"/>
      <c r="AF800" s="364" t="s">
        <v>1964</v>
      </c>
      <c r="AG800" s="364" t="s">
        <v>1964</v>
      </c>
      <c r="AH800" s="366" t="s">
        <v>1964</v>
      </c>
    </row>
    <row r="801" customFormat="false" ht="15.75" hidden="false" customHeight="false" outlineLevel="0" collapsed="false">
      <c r="A801" s="262" t="n">
        <v>690</v>
      </c>
      <c r="B801" s="361" t="n">
        <v>799</v>
      </c>
      <c r="C801" s="261" t="s">
        <v>1965</v>
      </c>
      <c r="D801" s="261" t="s">
        <v>60</v>
      </c>
      <c r="E801" s="362" t="s">
        <v>1965</v>
      </c>
      <c r="F801" s="261" t="s">
        <v>1873</v>
      </c>
      <c r="G801" s="261" t="s">
        <v>144</v>
      </c>
      <c r="H801" s="261" t="n">
        <v>0</v>
      </c>
      <c r="I801" s="261" t="n">
        <v>1</v>
      </c>
      <c r="J801" s="361" t="n">
        <v>0</v>
      </c>
      <c r="K801" s="262" t="n">
        <v>50</v>
      </c>
      <c r="L801" s="262" t="n">
        <v>60</v>
      </c>
      <c r="M801" s="262" t="n">
        <v>60</v>
      </c>
      <c r="N801" s="262" t="n">
        <v>60</v>
      </c>
      <c r="O801" s="262" t="n">
        <v>60</v>
      </c>
      <c r="P801" s="361" t="n">
        <v>30</v>
      </c>
      <c r="Q801" s="261" t="s">
        <v>147</v>
      </c>
      <c r="R801" s="261" t="s">
        <v>154</v>
      </c>
      <c r="S801" s="363" t="n">
        <f aca="false" t="array" ref="S801:S801">IF(COUNTIF('0.3.0 GO Calculation Values'!$J$2:$J$99,C801),(INDEX('0.3.0 GO Calculation Values'!$K$2:$K$99,MATCH(C801,'0.3.0 GO Calculation Values'!$J$2:$J$99,0))),1)</f>
        <v>1</v>
      </c>
      <c r="T801" s="262" t="n">
        <f aca="false">ROUND(ROUND(2*((7/8)*MAX(L801,N801)+(1/8)*MIN(L801,N801)),0)*(1+(P801-75)/500),0)</f>
        <v>109</v>
      </c>
      <c r="U801" s="262" t="n">
        <f aca="false">ROUND(ROUND(2*((5/8)*MAX(M801,O801)+(3/8)*MIN(M801,O801)),0)*(1+(P801-75)/500),0)</f>
        <v>109</v>
      </c>
      <c r="V801" s="361" t="n">
        <f aca="false">ROUNDDOWN(K801*1.75+50,0)</f>
        <v>137</v>
      </c>
      <c r="W801" s="261" t="n">
        <v>0</v>
      </c>
      <c r="X801" s="261" t="s">
        <v>60</v>
      </c>
      <c r="Y801" s="364" t="s">
        <v>1965</v>
      </c>
      <c r="Z801" s="364"/>
      <c r="AA801" s="364"/>
      <c r="AB801" s="365"/>
      <c r="AC801" s="364"/>
      <c r="AD801" s="364"/>
      <c r="AE801" s="366"/>
      <c r="AF801" s="364" t="s">
        <v>1966</v>
      </c>
      <c r="AG801" s="364" t="s">
        <v>1966</v>
      </c>
      <c r="AH801" s="366" t="s">
        <v>1966</v>
      </c>
    </row>
    <row r="802" customFormat="false" ht="15.75" hidden="false" customHeight="false" outlineLevel="0" collapsed="false">
      <c r="A802" s="262" t="n">
        <v>691</v>
      </c>
      <c r="B802" s="361" t="n">
        <v>800</v>
      </c>
      <c r="C802" s="261" t="s">
        <v>1967</v>
      </c>
      <c r="D802" s="261" t="s">
        <v>60</v>
      </c>
      <c r="E802" s="362" t="s">
        <v>1967</v>
      </c>
      <c r="F802" s="261" t="s">
        <v>1873</v>
      </c>
      <c r="G802" s="261" t="s">
        <v>144</v>
      </c>
      <c r="H802" s="261" t="n">
        <v>0</v>
      </c>
      <c r="I802" s="261" t="n">
        <v>2</v>
      </c>
      <c r="J802" s="361" t="n">
        <v>1</v>
      </c>
      <c r="K802" s="262" t="n">
        <v>65</v>
      </c>
      <c r="L802" s="262" t="n">
        <v>75</v>
      </c>
      <c r="M802" s="262" t="n">
        <v>90</v>
      </c>
      <c r="N802" s="262" t="n">
        <v>97</v>
      </c>
      <c r="O802" s="262" t="n">
        <v>123</v>
      </c>
      <c r="P802" s="361" t="n">
        <v>44</v>
      </c>
      <c r="Q802" s="261" t="s">
        <v>147</v>
      </c>
      <c r="R802" s="261" t="s">
        <v>159</v>
      </c>
      <c r="S802" s="363" t="n">
        <f aca="false" t="array" ref="S802:S802">IF(COUNTIF('0.3.0 GO Calculation Values'!$J$2:$J$99,C802),(INDEX('0.3.0 GO Calculation Values'!$K$2:$K$99,MATCH(C802,'0.3.0 GO Calculation Values'!$J$2:$J$99,0))),1)</f>
        <v>1</v>
      </c>
      <c r="T802" s="262" t="n">
        <f aca="false">ROUND(ROUND(2*((7/8)*MAX(L802,N802)+(1/8)*MIN(L802,N802)),0)*(1+(P802-75)/500),0)</f>
        <v>177</v>
      </c>
      <c r="U802" s="262" t="n">
        <f aca="false">ROUND(ROUND(2*((5/8)*MAX(M802,O802)+(3/8)*MIN(M802,O802)),0)*(1+(P802-75)/500),0)</f>
        <v>207</v>
      </c>
      <c r="V802" s="361" t="n">
        <f aca="false">ROUNDDOWN(K802*1.75+50,0)</f>
        <v>163</v>
      </c>
      <c r="W802" s="261" t="n">
        <v>0</v>
      </c>
      <c r="X802" s="261" t="s">
        <v>1965</v>
      </c>
      <c r="Y802" s="364" t="s">
        <v>1965</v>
      </c>
      <c r="Z802" s="364"/>
      <c r="AA802" s="364"/>
      <c r="AB802" s="365"/>
      <c r="AC802" s="364"/>
      <c r="AD802" s="364"/>
      <c r="AE802" s="366"/>
      <c r="AF802" s="364" t="s">
        <v>1968</v>
      </c>
      <c r="AG802" s="364" t="s">
        <v>1968</v>
      </c>
      <c r="AH802" s="366" t="s">
        <v>1968</v>
      </c>
    </row>
    <row r="803" customFormat="false" ht="15.75" hidden="false" customHeight="false" outlineLevel="0" collapsed="false">
      <c r="A803" s="262" t="n">
        <v>692</v>
      </c>
      <c r="B803" s="361" t="n">
        <v>801</v>
      </c>
      <c r="C803" s="261" t="s">
        <v>1969</v>
      </c>
      <c r="D803" s="261" t="s">
        <v>60</v>
      </c>
      <c r="E803" s="362" t="s">
        <v>1969</v>
      </c>
      <c r="F803" s="261" t="s">
        <v>1873</v>
      </c>
      <c r="G803" s="261" t="s">
        <v>144</v>
      </c>
      <c r="H803" s="261" t="n">
        <v>0</v>
      </c>
      <c r="I803" s="261" t="n">
        <v>1</v>
      </c>
      <c r="J803" s="361" t="n">
        <v>0</v>
      </c>
      <c r="K803" s="262" t="n">
        <v>50</v>
      </c>
      <c r="L803" s="262" t="n">
        <v>53</v>
      </c>
      <c r="M803" s="262" t="n">
        <v>62</v>
      </c>
      <c r="N803" s="262" t="n">
        <v>58</v>
      </c>
      <c r="O803" s="262" t="n">
        <v>63</v>
      </c>
      <c r="P803" s="361" t="n">
        <v>44</v>
      </c>
      <c r="Q803" s="261" t="s">
        <v>154</v>
      </c>
      <c r="R803" s="261"/>
      <c r="S803" s="363" t="n">
        <f aca="false" t="array" ref="S803:S803">IF(COUNTIF('0.3.0 GO Calculation Values'!$J$2:$J$99,C803),(INDEX('0.3.0 GO Calculation Values'!$K$2:$K$99,MATCH(C803,'0.3.0 GO Calculation Values'!$J$2:$J$99,0))),1)</f>
        <v>1</v>
      </c>
      <c r="T803" s="262" t="n">
        <f aca="false">ROUND(ROUND(2*((7/8)*MAX(L803,N803)+(1/8)*MIN(L803,N803)),0)*(1+(P803-75)/500),0)</f>
        <v>108</v>
      </c>
      <c r="U803" s="262" t="n">
        <f aca="false">ROUND(ROUND(2*((5/8)*MAX(M803,O803)+(3/8)*MIN(M803,O803)),0)*(1+(P803-75)/500),0)</f>
        <v>117</v>
      </c>
      <c r="V803" s="361" t="n">
        <f aca="false">ROUNDDOWN(K803*1.75+50,0)</f>
        <v>137</v>
      </c>
      <c r="W803" s="261" t="n">
        <v>0</v>
      </c>
      <c r="X803" s="261" t="s">
        <v>60</v>
      </c>
      <c r="Y803" s="364" t="s">
        <v>1969</v>
      </c>
      <c r="Z803" s="364"/>
      <c r="AA803" s="364"/>
      <c r="AB803" s="365"/>
      <c r="AC803" s="364"/>
      <c r="AD803" s="364"/>
      <c r="AE803" s="366"/>
      <c r="AF803" s="364" t="s">
        <v>1970</v>
      </c>
      <c r="AG803" s="364" t="s">
        <v>1970</v>
      </c>
      <c r="AH803" s="366" t="s">
        <v>1970</v>
      </c>
    </row>
    <row r="804" customFormat="false" ht="15.75" hidden="false" customHeight="false" outlineLevel="0" collapsed="false">
      <c r="A804" s="262" t="n">
        <v>693</v>
      </c>
      <c r="B804" s="361" t="n">
        <v>802</v>
      </c>
      <c r="C804" s="261" t="s">
        <v>1971</v>
      </c>
      <c r="D804" s="261" t="s">
        <v>60</v>
      </c>
      <c r="E804" s="362" t="s">
        <v>1971</v>
      </c>
      <c r="F804" s="261" t="s">
        <v>1873</v>
      </c>
      <c r="G804" s="261" t="s">
        <v>144</v>
      </c>
      <c r="H804" s="261" t="n">
        <v>0</v>
      </c>
      <c r="I804" s="261" t="n">
        <v>2</v>
      </c>
      <c r="J804" s="361" t="n">
        <v>1</v>
      </c>
      <c r="K804" s="262" t="n">
        <v>71</v>
      </c>
      <c r="L804" s="262" t="n">
        <v>73</v>
      </c>
      <c r="M804" s="262" t="n">
        <v>88</v>
      </c>
      <c r="N804" s="262" t="n">
        <v>120</v>
      </c>
      <c r="O804" s="262" t="n">
        <v>89</v>
      </c>
      <c r="P804" s="361" t="n">
        <v>63</v>
      </c>
      <c r="Q804" s="261" t="s">
        <v>154</v>
      </c>
      <c r="R804" s="261"/>
      <c r="S804" s="363" t="n">
        <f aca="false" t="array" ref="S804:S804">IF(COUNTIF('0.3.0 GO Calculation Values'!$J$2:$J$99,C804),(INDEX('0.3.0 GO Calculation Values'!$K$2:$K$99,MATCH(C804,'0.3.0 GO Calculation Values'!$J$2:$J$99,0))),1)</f>
        <v>1</v>
      </c>
      <c r="T804" s="262" t="n">
        <f aca="false">ROUND(ROUND(2*((7/8)*MAX(L804,N804)+(1/8)*MIN(L804,N804)),0)*(1+(P804-75)/500),0)</f>
        <v>223</v>
      </c>
      <c r="U804" s="262" t="n">
        <f aca="false">ROUND(ROUND(2*((5/8)*MAX(M804,O804)+(3/8)*MIN(M804,O804)),0)*(1+(P804-75)/500),0)</f>
        <v>173</v>
      </c>
      <c r="V804" s="361" t="n">
        <f aca="false">ROUNDDOWN(K804*1.75+50,0)</f>
        <v>174</v>
      </c>
      <c r="W804" s="261" t="n">
        <v>0</v>
      </c>
      <c r="X804" s="261" t="s">
        <v>1969</v>
      </c>
      <c r="Y804" s="364" t="s">
        <v>1969</v>
      </c>
      <c r="Z804" s="364"/>
      <c r="AA804" s="364"/>
      <c r="AB804" s="365"/>
      <c r="AC804" s="364"/>
      <c r="AD804" s="364"/>
      <c r="AE804" s="366"/>
      <c r="AF804" s="364" t="s">
        <v>1972</v>
      </c>
      <c r="AG804" s="364" t="s">
        <v>1972</v>
      </c>
      <c r="AH804" s="366" t="s">
        <v>1972</v>
      </c>
    </row>
    <row r="805" customFormat="false" ht="15.75" hidden="false" customHeight="false" outlineLevel="0" collapsed="false">
      <c r="A805" s="262" t="n">
        <v>694</v>
      </c>
      <c r="B805" s="361" t="n">
        <v>803</v>
      </c>
      <c r="C805" s="261" t="s">
        <v>1973</v>
      </c>
      <c r="D805" s="261" t="s">
        <v>60</v>
      </c>
      <c r="E805" s="362" t="s">
        <v>1973</v>
      </c>
      <c r="F805" s="261" t="s">
        <v>1873</v>
      </c>
      <c r="G805" s="261" t="s">
        <v>144</v>
      </c>
      <c r="H805" s="261" t="n">
        <v>0</v>
      </c>
      <c r="I805" s="261" t="n">
        <v>1</v>
      </c>
      <c r="J805" s="361" t="n">
        <v>0</v>
      </c>
      <c r="K805" s="262" t="n">
        <v>44</v>
      </c>
      <c r="L805" s="262" t="n">
        <v>38</v>
      </c>
      <c r="M805" s="262" t="n">
        <v>33</v>
      </c>
      <c r="N805" s="262" t="n">
        <v>61</v>
      </c>
      <c r="O805" s="262" t="n">
        <v>43</v>
      </c>
      <c r="P805" s="361" t="n">
        <v>70</v>
      </c>
      <c r="Q805" s="261" t="s">
        <v>156</v>
      </c>
      <c r="R805" s="261" t="s">
        <v>144</v>
      </c>
      <c r="S805" s="363" t="n">
        <f aca="false" t="array" ref="S805:S805">IF(COUNTIF('0.3.0 GO Calculation Values'!$J$2:$J$99,C805),(INDEX('0.3.0 GO Calculation Values'!$K$2:$K$99,MATCH(C805,'0.3.0 GO Calculation Values'!$J$2:$J$99,0))),1)</f>
        <v>1</v>
      </c>
      <c r="T805" s="262" t="n">
        <f aca="false">ROUND(ROUND(2*((7/8)*MAX(L805,N805)+(1/8)*MIN(L805,N805)),0)*(1+(P805-75)/500),0)</f>
        <v>115</v>
      </c>
      <c r="U805" s="262" t="n">
        <f aca="false">ROUND(ROUND(2*((5/8)*MAX(M805,O805)+(3/8)*MIN(M805,O805)),0)*(1+(P805-75)/500),0)</f>
        <v>78</v>
      </c>
      <c r="V805" s="361" t="n">
        <f aca="false">ROUNDDOWN(K805*1.75+50,0)</f>
        <v>127</v>
      </c>
      <c r="W805" s="261" t="n">
        <v>0</v>
      </c>
      <c r="X805" s="261" t="s">
        <v>60</v>
      </c>
      <c r="Y805" s="364" t="s">
        <v>1973</v>
      </c>
      <c r="Z805" s="364"/>
      <c r="AA805" s="364"/>
      <c r="AB805" s="365"/>
      <c r="AC805" s="364"/>
      <c r="AD805" s="364"/>
      <c r="AE805" s="366"/>
      <c r="AF805" s="364" t="s">
        <v>1974</v>
      </c>
      <c r="AG805" s="364" t="s">
        <v>1974</v>
      </c>
      <c r="AH805" s="366" t="s">
        <v>1974</v>
      </c>
    </row>
    <row r="806" customFormat="false" ht="15.75" hidden="false" customHeight="false" outlineLevel="0" collapsed="false">
      <c r="A806" s="262" t="n">
        <v>695</v>
      </c>
      <c r="B806" s="361" t="n">
        <v>804</v>
      </c>
      <c r="C806" s="261" t="s">
        <v>1975</v>
      </c>
      <c r="D806" s="261" t="s">
        <v>60</v>
      </c>
      <c r="E806" s="362" t="s">
        <v>1975</v>
      </c>
      <c r="F806" s="261" t="s">
        <v>1873</v>
      </c>
      <c r="G806" s="261" t="s">
        <v>144</v>
      </c>
      <c r="H806" s="261" t="n">
        <v>0</v>
      </c>
      <c r="I806" s="261" t="n">
        <v>2</v>
      </c>
      <c r="J806" s="361" t="n">
        <v>1</v>
      </c>
      <c r="K806" s="262" t="n">
        <v>62</v>
      </c>
      <c r="L806" s="262" t="n">
        <v>55</v>
      </c>
      <c r="M806" s="262" t="n">
        <v>52</v>
      </c>
      <c r="N806" s="262" t="n">
        <v>109</v>
      </c>
      <c r="O806" s="262" t="n">
        <v>94</v>
      </c>
      <c r="P806" s="361" t="n">
        <v>109</v>
      </c>
      <c r="Q806" s="261" t="s">
        <v>156</v>
      </c>
      <c r="R806" s="261" t="s">
        <v>144</v>
      </c>
      <c r="S806" s="363" t="n">
        <f aca="false" t="array" ref="S806:S806">IF(COUNTIF('0.3.0 GO Calculation Values'!$J$2:$J$99,C806),(INDEX('0.3.0 GO Calculation Values'!$K$2:$K$99,MATCH(C806,'0.3.0 GO Calculation Values'!$J$2:$J$99,0))),1)</f>
        <v>1</v>
      </c>
      <c r="T806" s="262" t="n">
        <f aca="false">ROUND(ROUND(2*((7/8)*MAX(L806,N806)+(1/8)*MIN(L806,N806)),0)*(1+(P806-75)/500),0)</f>
        <v>219</v>
      </c>
      <c r="U806" s="262" t="n">
        <f aca="false">ROUND(ROUND(2*((5/8)*MAX(M806,O806)+(3/8)*MIN(M806,O806)),0)*(1+(P806-75)/500),0)</f>
        <v>168</v>
      </c>
      <c r="V806" s="361" t="n">
        <f aca="false">ROUNDDOWN(K806*1.75+50,0)</f>
        <v>158</v>
      </c>
      <c r="W806" s="261" t="n">
        <v>0</v>
      </c>
      <c r="X806" s="261" t="s">
        <v>1973</v>
      </c>
      <c r="Y806" s="364" t="s">
        <v>1973</v>
      </c>
      <c r="Z806" s="364"/>
      <c r="AA806" s="364"/>
      <c r="AB806" s="365"/>
      <c r="AC806" s="364"/>
      <c r="AD806" s="364"/>
      <c r="AE806" s="366"/>
      <c r="AF806" s="364" t="s">
        <v>1976</v>
      </c>
      <c r="AG806" s="364" t="s">
        <v>1976</v>
      </c>
      <c r="AH806" s="366" t="s">
        <v>1976</v>
      </c>
    </row>
    <row r="807" customFormat="false" ht="15.75" hidden="false" customHeight="false" outlineLevel="0" collapsed="false">
      <c r="A807" s="262" t="n">
        <v>696</v>
      </c>
      <c r="B807" s="361" t="n">
        <v>805</v>
      </c>
      <c r="C807" s="261" t="s">
        <v>1977</v>
      </c>
      <c r="D807" s="261" t="s">
        <v>60</v>
      </c>
      <c r="E807" s="362" t="s">
        <v>1977</v>
      </c>
      <c r="F807" s="261" t="s">
        <v>1873</v>
      </c>
      <c r="G807" s="261" t="s">
        <v>144</v>
      </c>
      <c r="H807" s="261" t="n">
        <v>0</v>
      </c>
      <c r="I807" s="261" t="n">
        <v>1</v>
      </c>
      <c r="J807" s="361" t="n">
        <v>0</v>
      </c>
      <c r="K807" s="262" t="n">
        <v>58</v>
      </c>
      <c r="L807" s="262" t="n">
        <v>89</v>
      </c>
      <c r="M807" s="262" t="n">
        <v>77</v>
      </c>
      <c r="N807" s="262" t="n">
        <v>45</v>
      </c>
      <c r="O807" s="262" t="n">
        <v>45</v>
      </c>
      <c r="P807" s="361" t="n">
        <v>48</v>
      </c>
      <c r="Q807" s="261" t="s">
        <v>149</v>
      </c>
      <c r="R807" s="261" t="s">
        <v>159</v>
      </c>
      <c r="S807" s="363" t="n">
        <f aca="false" t="array" ref="S807:S807">IF(COUNTIF('0.3.0 GO Calculation Values'!$J$2:$J$99,C807),(INDEX('0.3.0 GO Calculation Values'!$K$2:$K$99,MATCH(C807,'0.3.0 GO Calculation Values'!$J$2:$J$99,0))),1)</f>
        <v>1</v>
      </c>
      <c r="T807" s="262" t="n">
        <f aca="false">ROUND(ROUND(2*((7/8)*MAX(L807,N807)+(1/8)*MIN(L807,N807)),0)*(1+(P807-75)/500),0)</f>
        <v>158</v>
      </c>
      <c r="U807" s="262" t="n">
        <f aca="false">ROUND(ROUND(2*((5/8)*MAX(M807,O807)+(3/8)*MIN(M807,O807)),0)*(1+(P807-75)/500),0)</f>
        <v>123</v>
      </c>
      <c r="V807" s="361" t="n">
        <f aca="false">ROUNDDOWN(K807*1.75+50,0)</f>
        <v>151</v>
      </c>
      <c r="W807" s="261" t="n">
        <v>0</v>
      </c>
      <c r="X807" s="261" t="s">
        <v>60</v>
      </c>
      <c r="Y807" s="364" t="s">
        <v>1977</v>
      </c>
      <c r="Z807" s="364"/>
      <c r="AA807" s="364"/>
      <c r="AB807" s="365"/>
      <c r="AC807" s="364"/>
      <c r="AD807" s="364"/>
      <c r="AE807" s="366"/>
      <c r="AF807" s="364" t="s">
        <v>1978</v>
      </c>
      <c r="AG807" s="364" t="s">
        <v>1978</v>
      </c>
      <c r="AH807" s="366" t="s">
        <v>1978</v>
      </c>
    </row>
    <row r="808" customFormat="false" ht="15.75" hidden="false" customHeight="false" outlineLevel="0" collapsed="false">
      <c r="A808" s="262" t="n">
        <v>697</v>
      </c>
      <c r="B808" s="361" t="n">
        <v>806</v>
      </c>
      <c r="C808" s="261" t="s">
        <v>1979</v>
      </c>
      <c r="D808" s="261" t="s">
        <v>60</v>
      </c>
      <c r="E808" s="362" t="s">
        <v>1979</v>
      </c>
      <c r="F808" s="261" t="s">
        <v>1873</v>
      </c>
      <c r="G808" s="261" t="s">
        <v>144</v>
      </c>
      <c r="H808" s="261" t="n">
        <v>0</v>
      </c>
      <c r="I808" s="261" t="n">
        <v>2</v>
      </c>
      <c r="J808" s="361" t="n">
        <v>1</v>
      </c>
      <c r="K808" s="262" t="n">
        <v>82</v>
      </c>
      <c r="L808" s="262" t="n">
        <v>121</v>
      </c>
      <c r="M808" s="262" t="n">
        <v>119</v>
      </c>
      <c r="N808" s="262" t="n">
        <v>69</v>
      </c>
      <c r="O808" s="262" t="n">
        <v>59</v>
      </c>
      <c r="P808" s="361" t="n">
        <v>71</v>
      </c>
      <c r="Q808" s="261" t="s">
        <v>149</v>
      </c>
      <c r="R808" s="261" t="s">
        <v>159</v>
      </c>
      <c r="S808" s="363" t="n">
        <f aca="false" t="array" ref="S808:S808">IF(COUNTIF('0.3.0 GO Calculation Values'!$J$2:$J$99,C808),(INDEX('0.3.0 GO Calculation Values'!$K$2:$K$99,MATCH(C808,'0.3.0 GO Calculation Values'!$J$2:$J$99,0))),1)</f>
        <v>1</v>
      </c>
      <c r="T808" s="262" t="n">
        <f aca="false">ROUND(ROUND(2*((7/8)*MAX(L808,N808)+(1/8)*MIN(L808,N808)),0)*(1+(P808-75)/500),0)</f>
        <v>227</v>
      </c>
      <c r="U808" s="262" t="n">
        <f aca="false">ROUND(ROUND(2*((5/8)*MAX(M808,O808)+(3/8)*MIN(M808,O808)),0)*(1+(P808-75)/500),0)</f>
        <v>191</v>
      </c>
      <c r="V808" s="361" t="n">
        <f aca="false">ROUNDDOWN(K808*1.75+50,0)</f>
        <v>193</v>
      </c>
      <c r="W808" s="261" t="n">
        <v>0</v>
      </c>
      <c r="X808" s="261" t="s">
        <v>1977</v>
      </c>
      <c r="Y808" s="364" t="s">
        <v>1977</v>
      </c>
      <c r="Z808" s="364"/>
      <c r="AA808" s="364"/>
      <c r="AB808" s="365"/>
      <c r="AC808" s="364"/>
      <c r="AD808" s="364"/>
      <c r="AE808" s="366"/>
      <c r="AF808" s="364" t="s">
        <v>1980</v>
      </c>
      <c r="AG808" s="364" t="s">
        <v>1980</v>
      </c>
      <c r="AH808" s="366" t="s">
        <v>1980</v>
      </c>
    </row>
    <row r="809" customFormat="false" ht="15.75" hidden="false" customHeight="false" outlineLevel="0" collapsed="false">
      <c r="A809" s="262" t="n">
        <v>698</v>
      </c>
      <c r="B809" s="361" t="n">
        <v>807</v>
      </c>
      <c r="C809" s="261" t="s">
        <v>1981</v>
      </c>
      <c r="D809" s="261" t="s">
        <v>60</v>
      </c>
      <c r="E809" s="362" t="s">
        <v>1981</v>
      </c>
      <c r="F809" s="261" t="s">
        <v>1873</v>
      </c>
      <c r="G809" s="261" t="s">
        <v>144</v>
      </c>
      <c r="H809" s="261" t="n">
        <v>0</v>
      </c>
      <c r="I809" s="261" t="n">
        <v>1</v>
      </c>
      <c r="J809" s="361" t="n">
        <v>0</v>
      </c>
      <c r="K809" s="262" t="n">
        <v>77</v>
      </c>
      <c r="L809" s="262" t="n">
        <v>59</v>
      </c>
      <c r="M809" s="262" t="n">
        <v>50</v>
      </c>
      <c r="N809" s="262" t="n">
        <v>67</v>
      </c>
      <c r="O809" s="262" t="n">
        <v>63</v>
      </c>
      <c r="P809" s="361" t="n">
        <v>46</v>
      </c>
      <c r="Q809" s="261" t="s">
        <v>149</v>
      </c>
      <c r="R809" s="261" t="s">
        <v>158</v>
      </c>
      <c r="S809" s="363" t="n">
        <f aca="false" t="array" ref="S809:S809">IF(COUNTIF('0.3.0 GO Calculation Values'!$J$2:$J$99,C809),(INDEX('0.3.0 GO Calculation Values'!$K$2:$K$99,MATCH(C809,'0.3.0 GO Calculation Values'!$J$2:$J$99,0))),1)</f>
        <v>1</v>
      </c>
      <c r="T809" s="262" t="n">
        <f aca="false">ROUND(ROUND(2*((7/8)*MAX(L809,N809)+(1/8)*MIN(L809,N809)),0)*(1+(P809-75)/500),0)</f>
        <v>124</v>
      </c>
      <c r="U809" s="262" t="n">
        <f aca="false">ROUND(ROUND(2*((5/8)*MAX(M809,O809)+(3/8)*MIN(M809,O809)),0)*(1+(P809-75)/500),0)</f>
        <v>109</v>
      </c>
      <c r="V809" s="361" t="n">
        <f aca="false">ROUNDDOWN(K809*1.75+50,0)</f>
        <v>184</v>
      </c>
      <c r="W809" s="261" t="n">
        <v>0</v>
      </c>
      <c r="X809" s="261" t="s">
        <v>60</v>
      </c>
      <c r="Y809" s="364" t="s">
        <v>1981</v>
      </c>
      <c r="Z809" s="364"/>
      <c r="AA809" s="364"/>
      <c r="AB809" s="365"/>
      <c r="AC809" s="364"/>
      <c r="AD809" s="364"/>
      <c r="AE809" s="366"/>
      <c r="AF809" s="364" t="s">
        <v>1982</v>
      </c>
      <c r="AG809" s="364" t="s">
        <v>1982</v>
      </c>
      <c r="AH809" s="366" t="s">
        <v>1982</v>
      </c>
    </row>
    <row r="810" customFormat="false" ht="15.75" hidden="false" customHeight="false" outlineLevel="0" collapsed="false">
      <c r="A810" s="262" t="n">
        <v>699</v>
      </c>
      <c r="B810" s="361" t="n">
        <v>808</v>
      </c>
      <c r="C810" s="261" t="s">
        <v>1983</v>
      </c>
      <c r="D810" s="261" t="s">
        <v>60</v>
      </c>
      <c r="E810" s="362" t="s">
        <v>1983</v>
      </c>
      <c r="F810" s="261" t="s">
        <v>1873</v>
      </c>
      <c r="G810" s="261" t="s">
        <v>144</v>
      </c>
      <c r="H810" s="261" t="n">
        <v>0</v>
      </c>
      <c r="I810" s="261" t="n">
        <v>2</v>
      </c>
      <c r="J810" s="361" t="n">
        <v>1</v>
      </c>
      <c r="K810" s="262" t="n">
        <v>123</v>
      </c>
      <c r="L810" s="262" t="n">
        <v>77</v>
      </c>
      <c r="M810" s="262" t="n">
        <v>72</v>
      </c>
      <c r="N810" s="262" t="n">
        <v>99</v>
      </c>
      <c r="O810" s="262" t="n">
        <v>92</v>
      </c>
      <c r="P810" s="361" t="n">
        <v>58</v>
      </c>
      <c r="Q810" s="261" t="s">
        <v>149</v>
      </c>
      <c r="R810" s="261" t="s">
        <v>158</v>
      </c>
      <c r="S810" s="363" t="n">
        <f aca="false" t="array" ref="S810:S810">IF(COUNTIF('0.3.0 GO Calculation Values'!$J$2:$J$99,C810),(INDEX('0.3.0 GO Calculation Values'!$K$2:$K$99,MATCH(C810,'0.3.0 GO Calculation Values'!$J$2:$J$99,0))),1)</f>
        <v>1</v>
      </c>
      <c r="T810" s="262" t="n">
        <f aca="false">ROUND(ROUND(2*((7/8)*MAX(L810,N810)+(1/8)*MIN(L810,N810)),0)*(1+(P810-75)/500),0)</f>
        <v>186</v>
      </c>
      <c r="U810" s="262" t="n">
        <f aca="false">ROUND(ROUND(2*((5/8)*MAX(M810,O810)+(3/8)*MIN(M810,O810)),0)*(1+(P810-75)/500),0)</f>
        <v>163</v>
      </c>
      <c r="V810" s="361" t="n">
        <f aca="false">ROUNDDOWN(K810*1.75+50,0)</f>
        <v>265</v>
      </c>
      <c r="W810" s="261" t="n">
        <v>0</v>
      </c>
      <c r="X810" s="261" t="s">
        <v>1981</v>
      </c>
      <c r="Y810" s="364" t="s">
        <v>1981</v>
      </c>
      <c r="Z810" s="364"/>
      <c r="AA810" s="364"/>
      <c r="AB810" s="365"/>
      <c r="AC810" s="364"/>
      <c r="AD810" s="364"/>
      <c r="AE810" s="366"/>
      <c r="AF810" s="364" t="s">
        <v>1984</v>
      </c>
      <c r="AG810" s="364" t="s">
        <v>1984</v>
      </c>
      <c r="AH810" s="366" t="s">
        <v>1984</v>
      </c>
    </row>
    <row r="811" customFormat="false" ht="15.75" hidden="false" customHeight="false" outlineLevel="0" collapsed="false">
      <c r="A811" s="262" t="n">
        <v>700</v>
      </c>
      <c r="B811" s="361" t="n">
        <v>809</v>
      </c>
      <c r="C811" s="261" t="s">
        <v>1985</v>
      </c>
      <c r="D811" s="261" t="s">
        <v>60</v>
      </c>
      <c r="E811" s="362" t="s">
        <v>1985</v>
      </c>
      <c r="F811" s="261" t="s">
        <v>1873</v>
      </c>
      <c r="G811" s="261" t="s">
        <v>144</v>
      </c>
      <c r="H811" s="261" t="n">
        <v>0</v>
      </c>
      <c r="I811" s="261" t="n">
        <v>2</v>
      </c>
      <c r="J811" s="361" t="n">
        <v>1</v>
      </c>
      <c r="K811" s="262" t="n">
        <v>95</v>
      </c>
      <c r="L811" s="262" t="n">
        <v>65</v>
      </c>
      <c r="M811" s="262" t="n">
        <v>65</v>
      </c>
      <c r="N811" s="262" t="n">
        <v>110</v>
      </c>
      <c r="O811" s="262" t="n">
        <v>130</v>
      </c>
      <c r="P811" s="361" t="n">
        <v>60</v>
      </c>
      <c r="Q811" s="261" t="s">
        <v>161</v>
      </c>
      <c r="R811" s="261"/>
      <c r="S811" s="363" t="n">
        <f aca="false" t="array" ref="S811:S811">IF(COUNTIF('0.3.0 GO Calculation Values'!$J$2:$J$99,C811),(INDEX('0.3.0 GO Calculation Values'!$K$2:$K$99,MATCH(C811,'0.3.0 GO Calculation Values'!$J$2:$J$99,0))),1)</f>
        <v>1</v>
      </c>
      <c r="T811" s="262" t="n">
        <f aca="false">ROUND(ROUND(2*((7/8)*MAX(L811,N811)+(1/8)*MIN(L811,N811)),0)*(1+(P811-75)/500),0)</f>
        <v>203</v>
      </c>
      <c r="U811" s="262" t="n">
        <f aca="false">ROUND(ROUND(2*((5/8)*MAX(M811,O811)+(3/8)*MIN(M811,O811)),0)*(1+(P811-75)/500),0)</f>
        <v>205</v>
      </c>
      <c r="V811" s="361" t="n">
        <f aca="false">ROUNDDOWN(K811*1.75+50,0)</f>
        <v>216</v>
      </c>
      <c r="W811" s="261" t="n">
        <v>0</v>
      </c>
      <c r="X811" s="261" t="s">
        <v>598</v>
      </c>
      <c r="Y811" s="364" t="s">
        <v>598</v>
      </c>
      <c r="Z811" s="364" t="n">
        <v>5</v>
      </c>
      <c r="AA811" s="364"/>
      <c r="AB811" s="365"/>
      <c r="AC811" s="364"/>
      <c r="AD811" s="364"/>
      <c r="AE811" s="366"/>
      <c r="AF811" s="364" t="s">
        <v>1986</v>
      </c>
      <c r="AG811" s="364" t="s">
        <v>1986</v>
      </c>
      <c r="AH811" s="366" t="s">
        <v>1986</v>
      </c>
    </row>
    <row r="812" customFormat="false" ht="15.75" hidden="false" customHeight="false" outlineLevel="0" collapsed="false">
      <c r="A812" s="262" t="n">
        <v>701</v>
      </c>
      <c r="B812" s="361" t="n">
        <v>810</v>
      </c>
      <c r="C812" s="261" t="s">
        <v>1987</v>
      </c>
      <c r="D812" s="261" t="s">
        <v>60</v>
      </c>
      <c r="E812" s="362" t="s">
        <v>1987</v>
      </c>
      <c r="F812" s="261" t="s">
        <v>1873</v>
      </c>
      <c r="G812" s="261" t="s">
        <v>144</v>
      </c>
      <c r="H812" s="261" t="n">
        <v>0</v>
      </c>
      <c r="I812" s="261" t="n">
        <v>1</v>
      </c>
      <c r="J812" s="361" t="n">
        <v>1</v>
      </c>
      <c r="K812" s="262" t="n">
        <v>78</v>
      </c>
      <c r="L812" s="262" t="n">
        <v>92</v>
      </c>
      <c r="M812" s="262" t="n">
        <v>77</v>
      </c>
      <c r="N812" s="262" t="n">
        <v>74</v>
      </c>
      <c r="O812" s="262" t="n">
        <v>63</v>
      </c>
      <c r="P812" s="361" t="n">
        <v>118</v>
      </c>
      <c r="Q812" s="261" t="s">
        <v>145</v>
      </c>
      <c r="R812" s="261" t="s">
        <v>146</v>
      </c>
      <c r="S812" s="363" t="n">
        <f aca="false" t="array" ref="S812:S812">IF(COUNTIF('0.3.0 GO Calculation Values'!$J$2:$J$99,C812),(INDEX('0.3.0 GO Calculation Values'!$K$2:$K$99,MATCH(C812,'0.3.0 GO Calculation Values'!$J$2:$J$99,0))),1)</f>
        <v>1</v>
      </c>
      <c r="T812" s="262" t="n">
        <f aca="false">ROUND(ROUND(2*((7/8)*MAX(L812,N812)+(1/8)*MIN(L812,N812)),0)*(1+(P812-75)/500),0)</f>
        <v>195</v>
      </c>
      <c r="U812" s="262" t="n">
        <f aca="false">ROUND(ROUND(2*((5/8)*MAX(M812,O812)+(3/8)*MIN(M812,O812)),0)*(1+(P812-75)/500),0)</f>
        <v>156</v>
      </c>
      <c r="V812" s="361" t="n">
        <f aca="false">ROUNDDOWN(K812*1.75+50,0)</f>
        <v>186</v>
      </c>
      <c r="W812" s="261" t="n">
        <v>0</v>
      </c>
      <c r="X812" s="261" t="s">
        <v>60</v>
      </c>
      <c r="Y812" s="364" t="s">
        <v>1987</v>
      </c>
      <c r="Z812" s="364"/>
      <c r="AA812" s="364"/>
      <c r="AB812" s="365"/>
      <c r="AC812" s="364"/>
      <c r="AD812" s="364"/>
      <c r="AE812" s="366"/>
      <c r="AF812" s="364" t="s">
        <v>1988</v>
      </c>
      <c r="AG812" s="364" t="s">
        <v>1988</v>
      </c>
      <c r="AH812" s="366" t="s">
        <v>1988</v>
      </c>
    </row>
    <row r="813" customFormat="false" ht="15.75" hidden="false" customHeight="false" outlineLevel="0" collapsed="false">
      <c r="A813" s="262" t="n">
        <v>702</v>
      </c>
      <c r="B813" s="361" t="n">
        <v>811</v>
      </c>
      <c r="C813" s="261" t="s">
        <v>1989</v>
      </c>
      <c r="D813" s="261" t="s">
        <v>60</v>
      </c>
      <c r="E813" s="362" t="s">
        <v>1989</v>
      </c>
      <c r="F813" s="261" t="s">
        <v>1873</v>
      </c>
      <c r="G813" s="261" t="s">
        <v>144</v>
      </c>
      <c r="H813" s="261" t="n">
        <v>0</v>
      </c>
      <c r="I813" s="261" t="n">
        <v>1</v>
      </c>
      <c r="J813" s="361" t="n">
        <v>1</v>
      </c>
      <c r="K813" s="262" t="n">
        <v>67</v>
      </c>
      <c r="L813" s="262" t="n">
        <v>58</v>
      </c>
      <c r="M813" s="262" t="n">
        <v>57</v>
      </c>
      <c r="N813" s="262" t="n">
        <v>81</v>
      </c>
      <c r="O813" s="262" t="n">
        <v>67</v>
      </c>
      <c r="P813" s="361" t="n">
        <v>101</v>
      </c>
      <c r="Q813" s="261" t="s">
        <v>156</v>
      </c>
      <c r="R813" s="261" t="s">
        <v>161</v>
      </c>
      <c r="S813" s="363" t="n">
        <f aca="false" t="array" ref="S813:S813">IF(COUNTIF('0.3.0 GO Calculation Values'!$J$2:$J$99,C813),(INDEX('0.3.0 GO Calculation Values'!$K$2:$K$99,MATCH(C813,'0.3.0 GO Calculation Values'!$J$2:$J$99,0))),1)</f>
        <v>1</v>
      </c>
      <c r="T813" s="262" t="n">
        <f aca="false">ROUND(ROUND(2*((7/8)*MAX(L813,N813)+(1/8)*MIN(L813,N813)),0)*(1+(P813-75)/500),0)</f>
        <v>164</v>
      </c>
      <c r="U813" s="262" t="n">
        <f aca="false">ROUND(ROUND(2*((5/8)*MAX(M813,O813)+(3/8)*MIN(M813,O813)),0)*(1+(P813-75)/500),0)</f>
        <v>134</v>
      </c>
      <c r="V813" s="361" t="n">
        <f aca="false">ROUNDDOWN(K813*1.75+50,0)</f>
        <v>167</v>
      </c>
      <c r="W813" s="261" t="n">
        <v>0</v>
      </c>
      <c r="X813" s="261" t="s">
        <v>60</v>
      </c>
      <c r="Y813" s="364" t="s">
        <v>1989</v>
      </c>
      <c r="Z813" s="364"/>
      <c r="AA813" s="364"/>
      <c r="AB813" s="365"/>
      <c r="AC813" s="364"/>
      <c r="AD813" s="364"/>
      <c r="AE813" s="366"/>
      <c r="AF813" s="364" t="s">
        <v>1990</v>
      </c>
      <c r="AG813" s="364" t="s">
        <v>1990</v>
      </c>
      <c r="AH813" s="366" t="s">
        <v>1990</v>
      </c>
    </row>
    <row r="814" customFormat="false" ht="15.75" hidden="false" customHeight="false" outlineLevel="0" collapsed="false">
      <c r="A814" s="262" t="n">
        <v>703</v>
      </c>
      <c r="B814" s="361" t="n">
        <v>812</v>
      </c>
      <c r="C814" s="261" t="s">
        <v>1991</v>
      </c>
      <c r="D814" s="261" t="s">
        <v>60</v>
      </c>
      <c r="E814" s="362" t="s">
        <v>1991</v>
      </c>
      <c r="F814" s="261" t="s">
        <v>1873</v>
      </c>
      <c r="G814" s="261" t="s">
        <v>144</v>
      </c>
      <c r="H814" s="261" t="n">
        <v>0</v>
      </c>
      <c r="I814" s="261" t="n">
        <v>1</v>
      </c>
      <c r="J814" s="361" t="n">
        <v>1</v>
      </c>
      <c r="K814" s="262" t="n">
        <v>50</v>
      </c>
      <c r="L814" s="262" t="n">
        <v>50</v>
      </c>
      <c r="M814" s="262" t="n">
        <v>150</v>
      </c>
      <c r="N814" s="262" t="n">
        <v>50</v>
      </c>
      <c r="O814" s="262" t="n">
        <v>150</v>
      </c>
      <c r="P814" s="361" t="n">
        <v>50</v>
      </c>
      <c r="Q814" s="261" t="s">
        <v>149</v>
      </c>
      <c r="R814" s="261" t="s">
        <v>161</v>
      </c>
      <c r="S814" s="363" t="n">
        <f aca="false" t="array" ref="S814:S814">IF(COUNTIF('0.3.0 GO Calculation Values'!$J$2:$J$99,C814),(INDEX('0.3.0 GO Calculation Values'!$K$2:$K$99,MATCH(C814,'0.3.0 GO Calculation Values'!$J$2:$J$99,0))),1)</f>
        <v>1</v>
      </c>
      <c r="T814" s="262" t="n">
        <f aca="false">ROUND(ROUND(2*((7/8)*MAX(L814,N814)+(1/8)*MIN(L814,N814)),0)*(1+(P814-75)/500),0)</f>
        <v>95</v>
      </c>
      <c r="U814" s="262" t="n">
        <f aca="false">ROUND(ROUND(2*((5/8)*MAX(M814,O814)+(3/8)*MIN(M814,O814)),0)*(1+(P814-75)/500),0)</f>
        <v>285</v>
      </c>
      <c r="V814" s="361" t="n">
        <f aca="false">ROUNDDOWN(K814*1.75+50,0)</f>
        <v>137</v>
      </c>
      <c r="W814" s="261" t="n">
        <v>0</v>
      </c>
      <c r="X814" s="261" t="s">
        <v>60</v>
      </c>
      <c r="Y814" s="364" t="s">
        <v>1991</v>
      </c>
      <c r="Z814" s="364"/>
      <c r="AA814" s="364"/>
      <c r="AB814" s="365"/>
      <c r="AC814" s="364"/>
      <c r="AD814" s="364"/>
      <c r="AE814" s="366"/>
      <c r="AF814" s="364" t="s">
        <v>1992</v>
      </c>
      <c r="AG814" s="364" t="s">
        <v>1992</v>
      </c>
      <c r="AH814" s="366" t="s">
        <v>1992</v>
      </c>
    </row>
    <row r="815" customFormat="false" ht="15.75" hidden="false" customHeight="false" outlineLevel="0" collapsed="false">
      <c r="A815" s="262" t="n">
        <v>704</v>
      </c>
      <c r="B815" s="361" t="n">
        <v>813</v>
      </c>
      <c r="C815" s="261" t="s">
        <v>1993</v>
      </c>
      <c r="D815" s="261" t="s">
        <v>60</v>
      </c>
      <c r="E815" s="362" t="s">
        <v>1993</v>
      </c>
      <c r="F815" s="261" t="s">
        <v>1873</v>
      </c>
      <c r="G815" s="261" t="s">
        <v>632</v>
      </c>
      <c r="H815" s="261" t="n">
        <v>0</v>
      </c>
      <c r="I815" s="261" t="n">
        <v>1</v>
      </c>
      <c r="J815" s="361" t="n">
        <v>0</v>
      </c>
      <c r="K815" s="262" t="n">
        <v>45</v>
      </c>
      <c r="L815" s="262" t="n">
        <v>50</v>
      </c>
      <c r="M815" s="262" t="n">
        <v>35</v>
      </c>
      <c r="N815" s="262" t="n">
        <v>55</v>
      </c>
      <c r="O815" s="262" t="n">
        <v>75</v>
      </c>
      <c r="P815" s="361" t="n">
        <v>40</v>
      </c>
      <c r="Q815" s="261" t="s">
        <v>159</v>
      </c>
      <c r="R815" s="261"/>
      <c r="S815" s="363" t="n">
        <f aca="false" t="array" ref="S815:S815">IF(COUNTIF('0.3.0 GO Calculation Values'!$J$2:$J$99,C815),(INDEX('0.3.0 GO Calculation Values'!$K$2:$K$99,MATCH(C815,'0.3.0 GO Calculation Values'!$J$2:$J$99,0))),1)</f>
        <v>1</v>
      </c>
      <c r="T815" s="262" t="n">
        <f aca="false">ROUND(ROUND(2*((7/8)*MAX(L815,N815)+(1/8)*MIN(L815,N815)),0)*(1+(P815-75)/500),0)</f>
        <v>101</v>
      </c>
      <c r="U815" s="262" t="n">
        <f aca="false">ROUND(ROUND(2*((5/8)*MAX(M815,O815)+(3/8)*MIN(M815,O815)),0)*(1+(P815-75)/500),0)</f>
        <v>112</v>
      </c>
      <c r="V815" s="361" t="n">
        <f aca="false">ROUNDDOWN(K815*1.75+50,0)</f>
        <v>128</v>
      </c>
      <c r="W815" s="261" t="n">
        <v>0</v>
      </c>
      <c r="X815" s="261" t="s">
        <v>60</v>
      </c>
      <c r="Y815" s="364" t="s">
        <v>1993</v>
      </c>
      <c r="Z815" s="364"/>
      <c r="AA815" s="364"/>
      <c r="AB815" s="365"/>
      <c r="AC815" s="364"/>
      <c r="AD815" s="364"/>
      <c r="AE815" s="366"/>
      <c r="AF815" s="364" t="s">
        <v>1994</v>
      </c>
      <c r="AG815" s="364" t="s">
        <v>1994</v>
      </c>
      <c r="AH815" s="366" t="s">
        <v>1994</v>
      </c>
    </row>
    <row r="816" customFormat="false" ht="15.75" hidden="false" customHeight="false" outlineLevel="0" collapsed="false">
      <c r="A816" s="262" t="n">
        <v>705</v>
      </c>
      <c r="B816" s="361" t="n">
        <v>814</v>
      </c>
      <c r="C816" s="261" t="s">
        <v>1995</v>
      </c>
      <c r="D816" s="261" t="s">
        <v>60</v>
      </c>
      <c r="E816" s="362" t="s">
        <v>1995</v>
      </c>
      <c r="F816" s="261" t="s">
        <v>1873</v>
      </c>
      <c r="G816" s="261" t="s">
        <v>632</v>
      </c>
      <c r="H816" s="261" t="n">
        <v>0</v>
      </c>
      <c r="I816" s="261" t="n">
        <v>2</v>
      </c>
      <c r="J816" s="361" t="n">
        <v>0</v>
      </c>
      <c r="K816" s="262" t="n">
        <v>68</v>
      </c>
      <c r="L816" s="262" t="n">
        <v>75</v>
      </c>
      <c r="M816" s="262" t="n">
        <v>53</v>
      </c>
      <c r="N816" s="262" t="n">
        <v>83</v>
      </c>
      <c r="O816" s="262" t="n">
        <v>113</v>
      </c>
      <c r="P816" s="361" t="n">
        <v>60</v>
      </c>
      <c r="Q816" s="261" t="s">
        <v>159</v>
      </c>
      <c r="R816" s="261"/>
      <c r="S816" s="363" t="n">
        <f aca="false" t="array" ref="S816:S816">IF(COUNTIF('0.3.0 GO Calculation Values'!$J$2:$J$99,C816),(INDEX('0.3.0 GO Calculation Values'!$K$2:$K$99,MATCH(C816,'0.3.0 GO Calculation Values'!$J$2:$J$99,0))),1)</f>
        <v>1</v>
      </c>
      <c r="T816" s="262" t="n">
        <f aca="false">ROUND(ROUND(2*((7/8)*MAX(L816,N816)+(1/8)*MIN(L816,N816)),0)*(1+(P816-75)/500),0)</f>
        <v>159</v>
      </c>
      <c r="U816" s="262" t="n">
        <f aca="false">ROUND(ROUND(2*((5/8)*MAX(M816,O816)+(3/8)*MIN(M816,O816)),0)*(1+(P816-75)/500),0)</f>
        <v>176</v>
      </c>
      <c r="V816" s="361" t="n">
        <f aca="false">ROUNDDOWN(K816*1.75+50,0)</f>
        <v>169</v>
      </c>
      <c r="W816" s="261" t="n">
        <v>0</v>
      </c>
      <c r="X816" s="261" t="s">
        <v>1993</v>
      </c>
      <c r="Y816" s="364" t="s">
        <v>1993</v>
      </c>
      <c r="Z816" s="364"/>
      <c r="AA816" s="364"/>
      <c r="AB816" s="365"/>
      <c r="AC816" s="364"/>
      <c r="AD816" s="364"/>
      <c r="AE816" s="366"/>
      <c r="AF816" s="364" t="s">
        <v>1996</v>
      </c>
      <c r="AG816" s="364" t="s">
        <v>1996</v>
      </c>
      <c r="AH816" s="366" t="s">
        <v>1996</v>
      </c>
    </row>
    <row r="817" customFormat="false" ht="15.75" hidden="false" customHeight="false" outlineLevel="0" collapsed="false">
      <c r="A817" s="262" t="n">
        <v>706</v>
      </c>
      <c r="B817" s="361" t="n">
        <v>815</v>
      </c>
      <c r="C817" s="261" t="s">
        <v>1997</v>
      </c>
      <c r="D817" s="261" t="s">
        <v>60</v>
      </c>
      <c r="E817" s="362" t="s">
        <v>1997</v>
      </c>
      <c r="F817" s="261" t="s">
        <v>1873</v>
      </c>
      <c r="G817" s="261" t="s">
        <v>632</v>
      </c>
      <c r="H817" s="261" t="n">
        <v>0</v>
      </c>
      <c r="I817" s="261" t="n">
        <v>3</v>
      </c>
      <c r="J817" s="361" t="n">
        <v>1</v>
      </c>
      <c r="K817" s="262" t="n">
        <v>90</v>
      </c>
      <c r="L817" s="262" t="n">
        <v>100</v>
      </c>
      <c r="M817" s="262" t="n">
        <v>70</v>
      </c>
      <c r="N817" s="262" t="n">
        <v>110</v>
      </c>
      <c r="O817" s="262" t="n">
        <v>150</v>
      </c>
      <c r="P817" s="361" t="n">
        <v>80</v>
      </c>
      <c r="Q817" s="261" t="s">
        <v>159</v>
      </c>
      <c r="R817" s="261"/>
      <c r="S817" s="363" t="n">
        <f aca="false" t="array" ref="S817:S817">IF(COUNTIF('0.3.0 GO Calculation Values'!$J$2:$J$99,C817),(INDEX('0.3.0 GO Calculation Values'!$K$2:$K$99,MATCH(C817,'0.3.0 GO Calculation Values'!$J$2:$J$99,0))),1)</f>
        <v>1</v>
      </c>
      <c r="T817" s="262" t="n">
        <f aca="false">ROUND(ROUND(2*((7/8)*MAX(L817,N817)+(1/8)*MIN(L817,N817)),0)*(1+(P817-75)/500),0)</f>
        <v>220</v>
      </c>
      <c r="U817" s="262" t="n">
        <f aca="false">ROUND(ROUND(2*((5/8)*MAX(M817,O817)+(3/8)*MIN(M817,O817)),0)*(1+(P817-75)/500),0)</f>
        <v>242</v>
      </c>
      <c r="V817" s="361" t="n">
        <f aca="false">ROUNDDOWN(K817*1.75+50,0)</f>
        <v>207</v>
      </c>
      <c r="W817" s="261" t="n">
        <v>0</v>
      </c>
      <c r="X817" s="261" t="s">
        <v>1995</v>
      </c>
      <c r="Y817" s="364" t="s">
        <v>1993</v>
      </c>
      <c r="Z817" s="364"/>
      <c r="AA817" s="364"/>
      <c r="AB817" s="365"/>
      <c r="AC817" s="364"/>
      <c r="AD817" s="364"/>
      <c r="AE817" s="366"/>
      <c r="AF817" s="364" t="s">
        <v>1998</v>
      </c>
      <c r="AG817" s="364" t="s">
        <v>1998</v>
      </c>
      <c r="AH817" s="366" t="s">
        <v>1998</v>
      </c>
    </row>
    <row r="818" customFormat="false" ht="15.75" hidden="false" customHeight="false" outlineLevel="0" collapsed="false">
      <c r="A818" s="262" t="n">
        <v>707</v>
      </c>
      <c r="B818" s="361" t="n">
        <v>816</v>
      </c>
      <c r="C818" s="261" t="s">
        <v>1999</v>
      </c>
      <c r="D818" s="261" t="s">
        <v>60</v>
      </c>
      <c r="E818" s="362" t="s">
        <v>1999</v>
      </c>
      <c r="F818" s="261" t="s">
        <v>1873</v>
      </c>
      <c r="G818" s="261" t="s">
        <v>144</v>
      </c>
      <c r="H818" s="261" t="n">
        <v>0</v>
      </c>
      <c r="I818" s="261" t="n">
        <v>1</v>
      </c>
      <c r="J818" s="361" t="n">
        <v>1</v>
      </c>
      <c r="K818" s="262" t="n">
        <v>58</v>
      </c>
      <c r="L818" s="262" t="n">
        <v>81</v>
      </c>
      <c r="M818" s="262" t="n">
        <v>91</v>
      </c>
      <c r="N818" s="262" t="n">
        <v>81</v>
      </c>
      <c r="O818" s="262" t="n">
        <v>87</v>
      </c>
      <c r="P818" s="361" t="n">
        <v>76</v>
      </c>
      <c r="Q818" s="261" t="s">
        <v>152</v>
      </c>
      <c r="R818" s="261" t="s">
        <v>161</v>
      </c>
      <c r="S818" s="363" t="n">
        <f aca="false" t="array" ref="S818:S818">IF(COUNTIF('0.3.0 GO Calculation Values'!$J$2:$J$99,C818),(INDEX('0.3.0 GO Calculation Values'!$K$2:$K$99,MATCH(C818,'0.3.0 GO Calculation Values'!$J$2:$J$99,0))),1)</f>
        <v>1</v>
      </c>
      <c r="T818" s="262" t="n">
        <f aca="false">ROUND(ROUND(2*((7/8)*MAX(L818,N818)+(1/8)*MIN(L818,N818)),0)*(1+(P818-75)/500),0)</f>
        <v>162</v>
      </c>
      <c r="U818" s="262" t="n">
        <f aca="false">ROUND(ROUND(2*((5/8)*MAX(M818,O818)+(3/8)*MIN(M818,O818)),0)*(1+(P818-75)/500),0)</f>
        <v>179</v>
      </c>
      <c r="V818" s="361" t="n">
        <f aca="false">ROUNDDOWN(K818*1.75+50,0)</f>
        <v>151</v>
      </c>
      <c r="W818" s="261" t="n">
        <v>0</v>
      </c>
      <c r="X818" s="261" t="s">
        <v>60</v>
      </c>
      <c r="Y818" s="364" t="s">
        <v>1999</v>
      </c>
      <c r="Z818" s="364"/>
      <c r="AA818" s="364"/>
      <c r="AB818" s="365"/>
      <c r="AC818" s="364"/>
      <c r="AD818" s="364"/>
      <c r="AE818" s="366"/>
      <c r="AF818" s="364" t="s">
        <v>2000</v>
      </c>
      <c r="AG818" s="364" t="s">
        <v>2000</v>
      </c>
      <c r="AH818" s="366" t="s">
        <v>2000</v>
      </c>
    </row>
    <row r="819" customFormat="false" ht="15.75" hidden="false" customHeight="false" outlineLevel="0" collapsed="false">
      <c r="A819" s="262" t="n">
        <v>708</v>
      </c>
      <c r="B819" s="361" t="n">
        <v>817</v>
      </c>
      <c r="C819" s="261" t="s">
        <v>2001</v>
      </c>
      <c r="D819" s="261" t="s">
        <v>60</v>
      </c>
      <c r="E819" s="362" t="s">
        <v>2001</v>
      </c>
      <c r="F819" s="261" t="s">
        <v>1873</v>
      </c>
      <c r="G819" s="261" t="s">
        <v>144</v>
      </c>
      <c r="H819" s="261" t="n">
        <v>0</v>
      </c>
      <c r="I819" s="261" t="n">
        <v>1</v>
      </c>
      <c r="J819" s="361" t="n">
        <v>0</v>
      </c>
      <c r="K819" s="262" t="n">
        <v>43</v>
      </c>
      <c r="L819" s="262" t="n">
        <v>70</v>
      </c>
      <c r="M819" s="262" t="n">
        <v>48</v>
      </c>
      <c r="N819" s="262" t="n">
        <v>50</v>
      </c>
      <c r="O819" s="262" t="n">
        <v>60</v>
      </c>
      <c r="P819" s="361" t="n">
        <v>38</v>
      </c>
      <c r="Q819" s="261" t="s">
        <v>155</v>
      </c>
      <c r="R819" s="261" t="s">
        <v>151</v>
      </c>
      <c r="S819" s="363" t="n">
        <f aca="false" t="array" ref="S819:S819">IF(COUNTIF('0.3.0 GO Calculation Values'!$J$2:$J$99,C819),(INDEX('0.3.0 GO Calculation Values'!$K$2:$K$99,MATCH(C819,'0.3.0 GO Calculation Values'!$J$2:$J$99,0))),1)</f>
        <v>1</v>
      </c>
      <c r="T819" s="262" t="n">
        <f aca="false">ROUND(ROUND(2*((7/8)*MAX(L819,N819)+(1/8)*MIN(L819,N819)),0)*(1+(P819-75)/500),0)</f>
        <v>125</v>
      </c>
      <c r="U819" s="262" t="n">
        <f aca="false">ROUND(ROUND(2*((5/8)*MAX(M819,O819)+(3/8)*MIN(M819,O819)),0)*(1+(P819-75)/500),0)</f>
        <v>103</v>
      </c>
      <c r="V819" s="361" t="n">
        <f aca="false">ROUNDDOWN(K819*1.75+50,0)</f>
        <v>125</v>
      </c>
      <c r="W819" s="261" t="n">
        <v>0</v>
      </c>
      <c r="X819" s="261" t="s">
        <v>60</v>
      </c>
      <c r="Y819" s="364" t="s">
        <v>2001</v>
      </c>
      <c r="Z819" s="364"/>
      <c r="AA819" s="364"/>
      <c r="AB819" s="365"/>
      <c r="AC819" s="364"/>
      <c r="AD819" s="364"/>
      <c r="AE819" s="366"/>
      <c r="AF819" s="364" t="s">
        <v>2002</v>
      </c>
      <c r="AG819" s="364" t="s">
        <v>2002</v>
      </c>
      <c r="AH819" s="366" t="s">
        <v>2002</v>
      </c>
    </row>
    <row r="820" customFormat="false" ht="15.75" hidden="false" customHeight="false" outlineLevel="0" collapsed="false">
      <c r="A820" s="262" t="n">
        <v>709</v>
      </c>
      <c r="B820" s="361" t="n">
        <v>818</v>
      </c>
      <c r="C820" s="261" t="s">
        <v>2003</v>
      </c>
      <c r="D820" s="261" t="s">
        <v>60</v>
      </c>
      <c r="E820" s="362" t="s">
        <v>2003</v>
      </c>
      <c r="F820" s="261" t="s">
        <v>1873</v>
      </c>
      <c r="G820" s="261" t="s">
        <v>144</v>
      </c>
      <c r="H820" s="261" t="n">
        <v>0</v>
      </c>
      <c r="I820" s="261" t="n">
        <v>2</v>
      </c>
      <c r="J820" s="361" t="n">
        <v>1</v>
      </c>
      <c r="K820" s="262" t="n">
        <v>85</v>
      </c>
      <c r="L820" s="262" t="n">
        <v>110</v>
      </c>
      <c r="M820" s="262" t="n">
        <v>76</v>
      </c>
      <c r="N820" s="262" t="n">
        <v>65</v>
      </c>
      <c r="O820" s="262" t="n">
        <v>82</v>
      </c>
      <c r="P820" s="361" t="n">
        <v>56</v>
      </c>
      <c r="Q820" s="261" t="s">
        <v>155</v>
      </c>
      <c r="R820" s="261" t="s">
        <v>151</v>
      </c>
      <c r="S820" s="363" t="n">
        <f aca="false" t="array" ref="S820:S820">IF(COUNTIF('0.3.0 GO Calculation Values'!$J$2:$J$99,C820),(INDEX('0.3.0 GO Calculation Values'!$K$2:$K$99,MATCH(C820,'0.3.0 GO Calculation Values'!$J$2:$J$99,0))),1)</f>
        <v>1</v>
      </c>
      <c r="T820" s="262" t="n">
        <f aca="false">ROUND(ROUND(2*((7/8)*MAX(L820,N820)+(1/8)*MIN(L820,N820)),0)*(1+(P820-75)/500),0)</f>
        <v>201</v>
      </c>
      <c r="U820" s="262" t="n">
        <f aca="false">ROUND(ROUND(2*((5/8)*MAX(M820,O820)+(3/8)*MIN(M820,O820)),0)*(1+(P820-75)/500),0)</f>
        <v>154</v>
      </c>
      <c r="V820" s="361" t="n">
        <f aca="false">ROUNDDOWN(K820*1.75+50,0)</f>
        <v>198</v>
      </c>
      <c r="W820" s="261" t="n">
        <v>0</v>
      </c>
      <c r="X820" s="261" t="s">
        <v>2001</v>
      </c>
      <c r="Y820" s="364" t="s">
        <v>2001</v>
      </c>
      <c r="Z820" s="364"/>
      <c r="AA820" s="364"/>
      <c r="AB820" s="365"/>
      <c r="AC820" s="364"/>
      <c r="AD820" s="364"/>
      <c r="AE820" s="366"/>
      <c r="AF820" s="364" t="s">
        <v>2004</v>
      </c>
      <c r="AG820" s="364" t="s">
        <v>2004</v>
      </c>
      <c r="AH820" s="366" t="s">
        <v>2004</v>
      </c>
    </row>
    <row r="821" customFormat="false" ht="15.75" hidden="false" customHeight="false" outlineLevel="0" collapsed="false">
      <c r="A821" s="262" t="n">
        <v>710</v>
      </c>
      <c r="B821" s="361" t="n">
        <v>819</v>
      </c>
      <c r="C821" s="261" t="s">
        <v>2005</v>
      </c>
      <c r="D821" s="261" t="s">
        <v>2006</v>
      </c>
      <c r="E821" s="358" t="s">
        <v>2007</v>
      </c>
      <c r="F821" s="261" t="s">
        <v>1873</v>
      </c>
      <c r="G821" s="261" t="s">
        <v>144</v>
      </c>
      <c r="H821" s="261" t="n">
        <v>0</v>
      </c>
      <c r="I821" s="261" t="n">
        <v>1</v>
      </c>
      <c r="J821" s="361" t="n">
        <v>0</v>
      </c>
      <c r="K821" s="262" t="n">
        <v>49</v>
      </c>
      <c r="L821" s="262" t="n">
        <v>66</v>
      </c>
      <c r="M821" s="262" t="n">
        <v>70</v>
      </c>
      <c r="N821" s="262" t="n">
        <v>44</v>
      </c>
      <c r="O821" s="262" t="n">
        <v>55</v>
      </c>
      <c r="P821" s="361" t="n">
        <v>51</v>
      </c>
      <c r="Q821" s="261" t="s">
        <v>155</v>
      </c>
      <c r="R821" s="261" t="s">
        <v>151</v>
      </c>
      <c r="S821" s="363" t="n">
        <f aca="false" t="array" ref="S821:S821">IF(COUNTIF('0.3.0 GO Calculation Values'!$J$2:$J$99,C821),(INDEX('0.3.0 GO Calculation Values'!$K$2:$K$99,MATCH(C821,'0.3.0 GO Calculation Values'!$J$2:$J$99,0))),1)</f>
        <v>1</v>
      </c>
      <c r="T821" s="262" t="n">
        <f aca="false">ROUND(ROUND(2*((7/8)*MAX(L821,N821)+(1/8)*MIN(L821,N821)),0)*(1+(P821-75)/500),0)</f>
        <v>121</v>
      </c>
      <c r="U821" s="262" t="n">
        <f aca="false">ROUND(ROUND(2*((5/8)*MAX(M821,O821)+(3/8)*MIN(M821,O821)),0)*(1+(P821-75)/500),0)</f>
        <v>123</v>
      </c>
      <c r="V821" s="361" t="n">
        <f aca="false">ROUNDDOWN(K821*1.75+50,0)</f>
        <v>135</v>
      </c>
      <c r="W821" s="261" t="n">
        <v>0</v>
      </c>
      <c r="X821" s="261" t="s">
        <v>60</v>
      </c>
      <c r="Y821" s="364" t="s">
        <v>2005</v>
      </c>
      <c r="Z821" s="364"/>
      <c r="AA821" s="364"/>
      <c r="AB821" s="365"/>
      <c r="AC821" s="364"/>
      <c r="AD821" s="364"/>
      <c r="AE821" s="366"/>
      <c r="AF821" s="364" t="s">
        <v>2008</v>
      </c>
      <c r="AG821" s="261" t="s">
        <v>2008</v>
      </c>
      <c r="AH821" s="366" t="s">
        <v>2008</v>
      </c>
    </row>
    <row r="822" customFormat="false" ht="15.75" hidden="false" customHeight="false" outlineLevel="0" collapsed="false">
      <c r="A822" s="262" t="n">
        <v>710</v>
      </c>
      <c r="B822" s="361" t="n">
        <v>820</v>
      </c>
      <c r="C822" s="261" t="s">
        <v>2005</v>
      </c>
      <c r="D822" s="261" t="s">
        <v>2009</v>
      </c>
      <c r="E822" s="358" t="s">
        <v>2010</v>
      </c>
      <c r="F822" s="261" t="s">
        <v>1873</v>
      </c>
      <c r="G822" s="261" t="s">
        <v>144</v>
      </c>
      <c r="H822" s="261" t="n">
        <v>1</v>
      </c>
      <c r="I822" s="261" t="n">
        <v>1</v>
      </c>
      <c r="J822" s="361" t="n">
        <v>0</v>
      </c>
      <c r="K822" s="262" t="n">
        <v>44</v>
      </c>
      <c r="L822" s="262" t="n">
        <v>66</v>
      </c>
      <c r="M822" s="262" t="n">
        <v>70</v>
      </c>
      <c r="N822" s="262" t="n">
        <v>44</v>
      </c>
      <c r="O822" s="262" t="n">
        <v>55</v>
      </c>
      <c r="P822" s="361" t="n">
        <v>56</v>
      </c>
      <c r="Q822" s="261" t="s">
        <v>155</v>
      </c>
      <c r="R822" s="261" t="s">
        <v>151</v>
      </c>
      <c r="S822" s="363" t="n">
        <f aca="false" t="array" ref="S822:S822">IF(COUNTIF('0.3.0 GO Calculation Values'!$J$2:$J$99,C822),(INDEX('0.3.0 GO Calculation Values'!$K$2:$K$99,MATCH(C822,'0.3.0 GO Calculation Values'!$J$2:$J$99,0))),1)</f>
        <v>1</v>
      </c>
      <c r="T822" s="262" t="n">
        <f aca="false">ROUND(ROUND(2*((7/8)*MAX(L822,N822)+(1/8)*MIN(L822,N822)),0)*(1+(P822-75)/500),0)</f>
        <v>122</v>
      </c>
      <c r="U822" s="262" t="n">
        <f aca="false">ROUND(ROUND(2*((5/8)*MAX(M822,O822)+(3/8)*MIN(M822,O822)),0)*(1+(P822-75)/500),0)</f>
        <v>124</v>
      </c>
      <c r="V822" s="361" t="n">
        <f aca="false">ROUNDDOWN(K822*1.75+50,0)</f>
        <v>127</v>
      </c>
      <c r="W822" s="261" t="n">
        <v>0</v>
      </c>
      <c r="X822" s="261" t="s">
        <v>60</v>
      </c>
      <c r="Y822" s="364" t="s">
        <v>2005</v>
      </c>
      <c r="Z822" s="364"/>
      <c r="AA822" s="364"/>
      <c r="AB822" s="365"/>
      <c r="AC822" s="364"/>
      <c r="AD822" s="364"/>
      <c r="AE822" s="366"/>
      <c r="AF822" s="364" t="s">
        <v>2008</v>
      </c>
      <c r="AG822" s="261" t="s">
        <v>2011</v>
      </c>
      <c r="AH822" s="366" t="s">
        <v>2011</v>
      </c>
    </row>
    <row r="823" customFormat="false" ht="15.75" hidden="false" customHeight="false" outlineLevel="0" collapsed="false">
      <c r="A823" s="262" t="n">
        <v>710</v>
      </c>
      <c r="B823" s="361" t="n">
        <v>821</v>
      </c>
      <c r="C823" s="261" t="s">
        <v>2005</v>
      </c>
      <c r="D823" s="261" t="s">
        <v>2012</v>
      </c>
      <c r="E823" s="358" t="s">
        <v>2013</v>
      </c>
      <c r="F823" s="261" t="s">
        <v>1873</v>
      </c>
      <c r="G823" s="261" t="s">
        <v>144</v>
      </c>
      <c r="H823" s="261" t="n">
        <v>1</v>
      </c>
      <c r="I823" s="261" t="n">
        <v>1</v>
      </c>
      <c r="J823" s="361" t="n">
        <v>0</v>
      </c>
      <c r="K823" s="262" t="n">
        <v>54</v>
      </c>
      <c r="L823" s="262" t="n">
        <v>66</v>
      </c>
      <c r="M823" s="262" t="n">
        <v>70</v>
      </c>
      <c r="N823" s="262" t="n">
        <v>44</v>
      </c>
      <c r="O823" s="262" t="n">
        <v>55</v>
      </c>
      <c r="P823" s="361" t="n">
        <v>46</v>
      </c>
      <c r="Q823" s="261" t="s">
        <v>155</v>
      </c>
      <c r="R823" s="261" t="s">
        <v>151</v>
      </c>
      <c r="S823" s="363" t="n">
        <f aca="false" t="array" ref="S823:S823">IF(COUNTIF('0.3.0 GO Calculation Values'!$J$2:$J$99,C823),(INDEX('0.3.0 GO Calculation Values'!$K$2:$K$99,MATCH(C823,'0.3.0 GO Calculation Values'!$J$2:$J$99,0))),1)</f>
        <v>1</v>
      </c>
      <c r="T823" s="262" t="n">
        <f aca="false">ROUND(ROUND(2*((7/8)*MAX(L823,N823)+(1/8)*MIN(L823,N823)),0)*(1+(P823-75)/500),0)</f>
        <v>120</v>
      </c>
      <c r="U823" s="262" t="n">
        <f aca="false">ROUND(ROUND(2*((5/8)*MAX(M823,O823)+(3/8)*MIN(M823,O823)),0)*(1+(P823-75)/500),0)</f>
        <v>122</v>
      </c>
      <c r="V823" s="361" t="n">
        <f aca="false">ROUNDDOWN(K823*1.75+50,0)</f>
        <v>144</v>
      </c>
      <c r="W823" s="261" t="n">
        <v>0</v>
      </c>
      <c r="X823" s="261" t="s">
        <v>60</v>
      </c>
      <c r="Y823" s="364" t="s">
        <v>2005</v>
      </c>
      <c r="Z823" s="364"/>
      <c r="AA823" s="364"/>
      <c r="AB823" s="365"/>
      <c r="AC823" s="364"/>
      <c r="AD823" s="364"/>
      <c r="AE823" s="366"/>
      <c r="AF823" s="364" t="s">
        <v>2008</v>
      </c>
      <c r="AG823" s="261" t="s">
        <v>2014</v>
      </c>
      <c r="AH823" s="366" t="s">
        <v>2014</v>
      </c>
    </row>
    <row r="824" customFormat="false" ht="15.75" hidden="false" customHeight="false" outlineLevel="0" collapsed="false">
      <c r="A824" s="262" t="n">
        <v>710</v>
      </c>
      <c r="B824" s="361" t="n">
        <v>822</v>
      </c>
      <c r="C824" s="261" t="s">
        <v>2005</v>
      </c>
      <c r="D824" s="261" t="s">
        <v>2015</v>
      </c>
      <c r="E824" s="358" t="s">
        <v>2016</v>
      </c>
      <c r="F824" s="261" t="s">
        <v>1873</v>
      </c>
      <c r="G824" s="261" t="s">
        <v>144</v>
      </c>
      <c r="H824" s="261" t="n">
        <v>1</v>
      </c>
      <c r="I824" s="261" t="n">
        <v>1</v>
      </c>
      <c r="J824" s="361" t="n">
        <v>0</v>
      </c>
      <c r="K824" s="262" t="n">
        <v>59</v>
      </c>
      <c r="L824" s="262" t="n">
        <v>66</v>
      </c>
      <c r="M824" s="262" t="n">
        <v>70</v>
      </c>
      <c r="N824" s="262" t="n">
        <v>44</v>
      </c>
      <c r="O824" s="262" t="n">
        <v>55</v>
      </c>
      <c r="P824" s="361" t="n">
        <v>41</v>
      </c>
      <c r="Q824" s="261" t="s">
        <v>155</v>
      </c>
      <c r="R824" s="261" t="s">
        <v>151</v>
      </c>
      <c r="S824" s="363" t="n">
        <f aca="false" t="array" ref="S824:S824">IF(COUNTIF('0.3.0 GO Calculation Values'!$J$2:$J$99,C824),(INDEX('0.3.0 GO Calculation Values'!$K$2:$K$99,MATCH(C824,'0.3.0 GO Calculation Values'!$J$2:$J$99,0))),1)</f>
        <v>1</v>
      </c>
      <c r="T824" s="262" t="n">
        <f aca="false">ROUND(ROUND(2*((7/8)*MAX(L824,N824)+(1/8)*MIN(L824,N824)),0)*(1+(P824-75)/500),0)</f>
        <v>118</v>
      </c>
      <c r="U824" s="262" t="n">
        <f aca="false">ROUND(ROUND(2*((5/8)*MAX(M824,O824)+(3/8)*MIN(M824,O824)),0)*(1+(P824-75)/500),0)</f>
        <v>120</v>
      </c>
      <c r="V824" s="361" t="n">
        <f aca="false">ROUNDDOWN(K824*1.75+50,0)</f>
        <v>153</v>
      </c>
      <c r="W824" s="261" t="n">
        <v>0</v>
      </c>
      <c r="X824" s="261" t="s">
        <v>60</v>
      </c>
      <c r="Y824" s="364" t="s">
        <v>2005</v>
      </c>
      <c r="Z824" s="364"/>
      <c r="AA824" s="364"/>
      <c r="AB824" s="365"/>
      <c r="AC824" s="364"/>
      <c r="AD824" s="364"/>
      <c r="AE824" s="366"/>
      <c r="AF824" s="364" t="s">
        <v>2008</v>
      </c>
      <c r="AG824" s="261" t="s">
        <v>2017</v>
      </c>
      <c r="AH824" s="366" t="s">
        <v>2017</v>
      </c>
    </row>
    <row r="825" customFormat="false" ht="15.75" hidden="false" customHeight="false" outlineLevel="0" collapsed="false">
      <c r="A825" s="262" t="n">
        <v>711</v>
      </c>
      <c r="B825" s="361" t="n">
        <v>823</v>
      </c>
      <c r="C825" s="261" t="s">
        <v>2018</v>
      </c>
      <c r="D825" s="261" t="s">
        <v>2006</v>
      </c>
      <c r="E825" s="358" t="s">
        <v>2019</v>
      </c>
      <c r="F825" s="261" t="s">
        <v>1873</v>
      </c>
      <c r="G825" s="261" t="s">
        <v>144</v>
      </c>
      <c r="H825" s="261" t="n">
        <v>0</v>
      </c>
      <c r="I825" s="261" t="n">
        <v>2</v>
      </c>
      <c r="J825" s="361" t="n">
        <v>1</v>
      </c>
      <c r="K825" s="262" t="n">
        <v>65</v>
      </c>
      <c r="L825" s="262" t="n">
        <v>90</v>
      </c>
      <c r="M825" s="262" t="n">
        <v>122</v>
      </c>
      <c r="N825" s="262" t="n">
        <v>58</v>
      </c>
      <c r="O825" s="262" t="n">
        <v>75</v>
      </c>
      <c r="P825" s="361" t="n">
        <v>84</v>
      </c>
      <c r="Q825" s="261" t="s">
        <v>155</v>
      </c>
      <c r="R825" s="261" t="s">
        <v>151</v>
      </c>
      <c r="S825" s="363" t="n">
        <f aca="false" t="array" ref="S825:S825">IF(COUNTIF('0.3.0 GO Calculation Values'!$J$2:$J$99,C825),(INDEX('0.3.0 GO Calculation Values'!$K$2:$K$99,MATCH(C825,'0.3.0 GO Calculation Values'!$J$2:$J$99,0))),1)</f>
        <v>1</v>
      </c>
      <c r="T825" s="262" t="n">
        <f aca="false">ROUND(ROUND(2*((7/8)*MAX(L825,N825)+(1/8)*MIN(L825,N825)),0)*(1+(P825-75)/500),0)</f>
        <v>175</v>
      </c>
      <c r="U825" s="262" t="n">
        <f aca="false">ROUND(ROUND(2*((5/8)*MAX(M825,O825)+(3/8)*MIN(M825,O825)),0)*(1+(P825-75)/500),0)</f>
        <v>213</v>
      </c>
      <c r="V825" s="361" t="n">
        <f aca="false">ROUNDDOWN(K825*1.75+50,0)</f>
        <v>163</v>
      </c>
      <c r="W825" s="261" t="n">
        <v>0</v>
      </c>
      <c r="X825" s="261" t="s">
        <v>2005</v>
      </c>
      <c r="Y825" s="364" t="s">
        <v>2005</v>
      </c>
      <c r="Z825" s="364"/>
      <c r="AA825" s="364"/>
      <c r="AB825" s="365"/>
      <c r="AC825" s="364"/>
      <c r="AD825" s="364"/>
      <c r="AE825" s="366"/>
      <c r="AF825" s="364" t="s">
        <v>2020</v>
      </c>
      <c r="AG825" s="261" t="s">
        <v>2020</v>
      </c>
      <c r="AH825" s="366" t="s">
        <v>2020</v>
      </c>
    </row>
    <row r="826" customFormat="false" ht="15.75" hidden="false" customHeight="false" outlineLevel="0" collapsed="false">
      <c r="A826" s="262" t="n">
        <v>711</v>
      </c>
      <c r="B826" s="361" t="n">
        <v>824</v>
      </c>
      <c r="C826" s="261" t="s">
        <v>2018</v>
      </c>
      <c r="D826" s="261" t="s">
        <v>2009</v>
      </c>
      <c r="E826" s="358" t="s">
        <v>2021</v>
      </c>
      <c r="F826" s="261" t="s">
        <v>1873</v>
      </c>
      <c r="G826" s="261" t="s">
        <v>144</v>
      </c>
      <c r="H826" s="261" t="n">
        <v>1</v>
      </c>
      <c r="I826" s="261" t="n">
        <v>2</v>
      </c>
      <c r="J826" s="361" t="n">
        <v>1</v>
      </c>
      <c r="K826" s="262" t="n">
        <v>55</v>
      </c>
      <c r="L826" s="262" t="n">
        <v>85</v>
      </c>
      <c r="M826" s="262" t="n">
        <v>122</v>
      </c>
      <c r="N826" s="262" t="n">
        <v>58</v>
      </c>
      <c r="O826" s="262" t="n">
        <v>75</v>
      </c>
      <c r="P826" s="361" t="n">
        <v>99</v>
      </c>
      <c r="Q826" s="261" t="s">
        <v>155</v>
      </c>
      <c r="R826" s="261" t="s">
        <v>151</v>
      </c>
      <c r="S826" s="363" t="n">
        <f aca="false" t="array" ref="S826:S826">IF(COUNTIF('0.3.0 GO Calculation Values'!$J$2:$J$99,C826),(INDEX('0.3.0 GO Calculation Values'!$K$2:$K$99,MATCH(C826,'0.3.0 GO Calculation Values'!$J$2:$J$99,0))),1)</f>
        <v>1</v>
      </c>
      <c r="T826" s="262" t="n">
        <f aca="false">ROUND(ROUND(2*((7/8)*MAX(L826,N826)+(1/8)*MIN(L826,N826)),0)*(1+(P826-75)/500),0)</f>
        <v>171</v>
      </c>
      <c r="U826" s="262" t="n">
        <f aca="false">ROUND(ROUND(2*((5/8)*MAX(M826,O826)+(3/8)*MIN(M826,O826)),0)*(1+(P826-75)/500),0)</f>
        <v>219</v>
      </c>
      <c r="V826" s="361" t="n">
        <f aca="false">ROUNDDOWN(K826*1.75+50,0)</f>
        <v>146</v>
      </c>
      <c r="W826" s="261" t="n">
        <v>0</v>
      </c>
      <c r="X826" s="261" t="s">
        <v>2005</v>
      </c>
      <c r="Y826" s="364" t="s">
        <v>2005</v>
      </c>
      <c r="Z826" s="364"/>
      <c r="AA826" s="364"/>
      <c r="AB826" s="365"/>
      <c r="AC826" s="364"/>
      <c r="AD826" s="364"/>
      <c r="AE826" s="366"/>
      <c r="AF826" s="364" t="s">
        <v>2020</v>
      </c>
      <c r="AG826" s="261" t="s">
        <v>2022</v>
      </c>
      <c r="AH826" s="366" t="s">
        <v>2022</v>
      </c>
    </row>
    <row r="827" customFormat="false" ht="15.75" hidden="false" customHeight="false" outlineLevel="0" collapsed="false">
      <c r="A827" s="262" t="n">
        <v>711</v>
      </c>
      <c r="B827" s="361" t="n">
        <v>825</v>
      </c>
      <c r="C827" s="261" t="s">
        <v>2018</v>
      </c>
      <c r="D827" s="261" t="s">
        <v>2012</v>
      </c>
      <c r="E827" s="358" t="s">
        <v>2023</v>
      </c>
      <c r="F827" s="261" t="s">
        <v>1873</v>
      </c>
      <c r="G827" s="261" t="s">
        <v>144</v>
      </c>
      <c r="H827" s="261" t="n">
        <v>1</v>
      </c>
      <c r="I827" s="261" t="n">
        <v>2</v>
      </c>
      <c r="J827" s="361" t="n">
        <v>1</v>
      </c>
      <c r="K827" s="262" t="n">
        <v>75</v>
      </c>
      <c r="L827" s="262" t="n">
        <v>95</v>
      </c>
      <c r="M827" s="262" t="n">
        <v>122</v>
      </c>
      <c r="N827" s="262" t="n">
        <v>58</v>
      </c>
      <c r="O827" s="262" t="n">
        <v>75</v>
      </c>
      <c r="P827" s="361" t="n">
        <v>69</v>
      </c>
      <c r="Q827" s="261" t="s">
        <v>155</v>
      </c>
      <c r="R827" s="261" t="s">
        <v>151</v>
      </c>
      <c r="S827" s="363" t="n">
        <f aca="false" t="array" ref="S827:S827">IF(COUNTIF('0.3.0 GO Calculation Values'!$J$2:$J$99,C827),(INDEX('0.3.0 GO Calculation Values'!$K$2:$K$99,MATCH(C827,'0.3.0 GO Calculation Values'!$J$2:$J$99,0))),1)</f>
        <v>1</v>
      </c>
      <c r="T827" s="262" t="n">
        <f aca="false">ROUND(ROUND(2*((7/8)*MAX(L827,N827)+(1/8)*MIN(L827,N827)),0)*(1+(P827-75)/500),0)</f>
        <v>179</v>
      </c>
      <c r="U827" s="262" t="n">
        <f aca="false">ROUND(ROUND(2*((5/8)*MAX(M827,O827)+(3/8)*MIN(M827,O827)),0)*(1+(P827-75)/500),0)</f>
        <v>206</v>
      </c>
      <c r="V827" s="361" t="n">
        <f aca="false">ROUNDDOWN(K827*1.75+50,0)</f>
        <v>181</v>
      </c>
      <c r="W827" s="261" t="n">
        <v>0</v>
      </c>
      <c r="X827" s="261" t="s">
        <v>2005</v>
      </c>
      <c r="Y827" s="364" t="s">
        <v>2005</v>
      </c>
      <c r="Z827" s="364"/>
      <c r="AA827" s="364"/>
      <c r="AB827" s="365"/>
      <c r="AC827" s="364"/>
      <c r="AD827" s="364"/>
      <c r="AE827" s="366"/>
      <c r="AF827" s="364" t="s">
        <v>2020</v>
      </c>
      <c r="AG827" s="261" t="s">
        <v>2024</v>
      </c>
      <c r="AH827" s="366" t="s">
        <v>2024</v>
      </c>
    </row>
    <row r="828" customFormat="false" ht="15.75" hidden="false" customHeight="false" outlineLevel="0" collapsed="false">
      <c r="A828" s="262" t="n">
        <v>711</v>
      </c>
      <c r="B828" s="361" t="n">
        <v>826</v>
      </c>
      <c r="C828" s="261" t="s">
        <v>2018</v>
      </c>
      <c r="D828" s="261" t="s">
        <v>2015</v>
      </c>
      <c r="E828" s="358" t="s">
        <v>2025</v>
      </c>
      <c r="F828" s="261" t="s">
        <v>1873</v>
      </c>
      <c r="G828" s="261" t="s">
        <v>144</v>
      </c>
      <c r="H828" s="261" t="n">
        <v>1</v>
      </c>
      <c r="I828" s="261" t="n">
        <v>2</v>
      </c>
      <c r="J828" s="361" t="n">
        <v>1</v>
      </c>
      <c r="K828" s="262" t="n">
        <v>85</v>
      </c>
      <c r="L828" s="262" t="n">
        <v>100</v>
      </c>
      <c r="M828" s="262" t="n">
        <v>122</v>
      </c>
      <c r="N828" s="262" t="n">
        <v>58</v>
      </c>
      <c r="O828" s="262" t="n">
        <v>75</v>
      </c>
      <c r="P828" s="361" t="n">
        <v>54</v>
      </c>
      <c r="Q828" s="261" t="s">
        <v>155</v>
      </c>
      <c r="R828" s="261" t="s">
        <v>151</v>
      </c>
      <c r="S828" s="363" t="n">
        <f aca="false" t="array" ref="S828:S828">IF(COUNTIF('0.3.0 GO Calculation Values'!$J$2:$J$99,C828),(INDEX('0.3.0 GO Calculation Values'!$K$2:$K$99,MATCH(C828,'0.3.0 GO Calculation Values'!$J$2:$J$99,0))),1)</f>
        <v>1</v>
      </c>
      <c r="T828" s="262" t="n">
        <f aca="false">ROUND(ROUND(2*((7/8)*MAX(L828,N828)+(1/8)*MIN(L828,N828)),0)*(1+(P828-75)/500),0)</f>
        <v>182</v>
      </c>
      <c r="U828" s="262" t="n">
        <f aca="false">ROUND(ROUND(2*((5/8)*MAX(M828,O828)+(3/8)*MIN(M828,O828)),0)*(1+(P828-75)/500),0)</f>
        <v>200</v>
      </c>
      <c r="V828" s="361" t="n">
        <f aca="false">ROUNDDOWN(K828*1.75+50,0)</f>
        <v>198</v>
      </c>
      <c r="W828" s="261" t="n">
        <v>0</v>
      </c>
      <c r="X828" s="261" t="s">
        <v>2005</v>
      </c>
      <c r="Y828" s="364" t="s">
        <v>2005</v>
      </c>
      <c r="Z828" s="364"/>
      <c r="AA828" s="364"/>
      <c r="AB828" s="365"/>
      <c r="AC828" s="364"/>
      <c r="AD828" s="364"/>
      <c r="AE828" s="366"/>
      <c r="AF828" s="364" t="s">
        <v>2020</v>
      </c>
      <c r="AG828" s="261" t="s">
        <v>2026</v>
      </c>
      <c r="AH828" s="366" t="s">
        <v>2026</v>
      </c>
    </row>
    <row r="829" customFormat="false" ht="15.75" hidden="false" customHeight="false" outlineLevel="0" collapsed="false">
      <c r="A829" s="262" t="n">
        <v>712</v>
      </c>
      <c r="B829" s="361" t="n">
        <v>827</v>
      </c>
      <c r="C829" s="261" t="s">
        <v>2027</v>
      </c>
      <c r="D829" s="261" t="s">
        <v>60</v>
      </c>
      <c r="E829" s="362" t="s">
        <v>2027</v>
      </c>
      <c r="F829" s="261" t="s">
        <v>1873</v>
      </c>
      <c r="G829" s="261" t="s">
        <v>144</v>
      </c>
      <c r="H829" s="261" t="n">
        <v>0</v>
      </c>
      <c r="I829" s="261" t="n">
        <v>1</v>
      </c>
      <c r="J829" s="361" t="n">
        <v>0</v>
      </c>
      <c r="K829" s="262" t="n">
        <v>56</v>
      </c>
      <c r="L829" s="262" t="n">
        <v>69</v>
      </c>
      <c r="M829" s="262" t="n">
        <v>86</v>
      </c>
      <c r="N829" s="262" t="n">
        <v>32</v>
      </c>
      <c r="O829" s="262" t="n">
        <v>36</v>
      </c>
      <c r="P829" s="361" t="n">
        <v>28</v>
      </c>
      <c r="Q829" s="261" t="s">
        <v>158</v>
      </c>
      <c r="R829" s="261"/>
      <c r="S829" s="363" t="n">
        <f aca="false" t="array" ref="S829:S829">IF(COUNTIF('0.3.0 GO Calculation Values'!$J$2:$J$99,C829),(INDEX('0.3.0 GO Calculation Values'!$K$2:$K$99,MATCH(C829,'0.3.0 GO Calculation Values'!$J$2:$J$99,0))),1)</f>
        <v>1</v>
      </c>
      <c r="T829" s="262" t="n">
        <f aca="false">ROUND(ROUND(2*((7/8)*MAX(L829,N829)+(1/8)*MIN(L829,N829)),0)*(1+(P829-75)/500),0)</f>
        <v>117</v>
      </c>
      <c r="U829" s="262" t="n">
        <f aca="false">ROUND(ROUND(2*((5/8)*MAX(M829,O829)+(3/8)*MIN(M829,O829)),0)*(1+(P829-75)/500),0)</f>
        <v>122</v>
      </c>
      <c r="V829" s="361" t="n">
        <f aca="false">ROUNDDOWN(K829*1.75+50,0)</f>
        <v>148</v>
      </c>
      <c r="W829" s="261" t="n">
        <v>0</v>
      </c>
      <c r="X829" s="261" t="s">
        <v>60</v>
      </c>
      <c r="Y829" s="364" t="s">
        <v>2027</v>
      </c>
      <c r="Z829" s="364"/>
      <c r="AA829" s="364"/>
      <c r="AB829" s="365"/>
      <c r="AC829" s="364"/>
      <c r="AD829" s="364"/>
      <c r="AE829" s="366"/>
      <c r="AF829" s="364" t="s">
        <v>2028</v>
      </c>
      <c r="AG829" s="364" t="s">
        <v>2028</v>
      </c>
      <c r="AH829" s="366" t="s">
        <v>2028</v>
      </c>
    </row>
    <row r="830" customFormat="false" ht="15.75" hidden="false" customHeight="false" outlineLevel="0" collapsed="false">
      <c r="A830" s="262" t="n">
        <v>713</v>
      </c>
      <c r="B830" s="361" t="n">
        <v>828</v>
      </c>
      <c r="C830" s="261" t="s">
        <v>2029</v>
      </c>
      <c r="D830" s="261" t="s">
        <v>60</v>
      </c>
      <c r="E830" s="362" t="s">
        <v>2029</v>
      </c>
      <c r="F830" s="261" t="s">
        <v>1873</v>
      </c>
      <c r="G830" s="261" t="s">
        <v>144</v>
      </c>
      <c r="H830" s="261" t="n">
        <v>0</v>
      </c>
      <c r="I830" s="261" t="n">
        <v>2</v>
      </c>
      <c r="J830" s="361" t="n">
        <v>1</v>
      </c>
      <c r="K830" s="262" t="n">
        <v>95</v>
      </c>
      <c r="L830" s="262" t="n">
        <v>117</v>
      </c>
      <c r="M830" s="262" t="n">
        <v>184</v>
      </c>
      <c r="N830" s="262" t="n">
        <v>44</v>
      </c>
      <c r="O830" s="262" t="n">
        <v>46</v>
      </c>
      <c r="P830" s="361" t="n">
        <v>28</v>
      </c>
      <c r="Q830" s="261" t="s">
        <v>158</v>
      </c>
      <c r="R830" s="261"/>
      <c r="S830" s="363" t="n">
        <f aca="false" t="array" ref="S830:S830">IF(COUNTIF('0.3.0 GO Calculation Values'!$J$2:$J$99,C830),(INDEX('0.3.0 GO Calculation Values'!$K$2:$K$99,MATCH(C830,'0.3.0 GO Calculation Values'!$J$2:$J$99,0))),1)</f>
        <v>1</v>
      </c>
      <c r="T830" s="262" t="n">
        <f aca="false">ROUND(ROUND(2*((7/8)*MAX(L830,N830)+(1/8)*MIN(L830,N830)),0)*(1+(P830-75)/500),0)</f>
        <v>196</v>
      </c>
      <c r="U830" s="262" t="n">
        <f aca="false">ROUND(ROUND(2*((5/8)*MAX(M830,O830)+(3/8)*MIN(M830,O830)),0)*(1+(P830-75)/500),0)</f>
        <v>240</v>
      </c>
      <c r="V830" s="361" t="n">
        <f aca="false">ROUNDDOWN(K830*1.75+50,0)</f>
        <v>216</v>
      </c>
      <c r="W830" s="261" t="n">
        <v>0</v>
      </c>
      <c r="X830" s="261" t="s">
        <v>2027</v>
      </c>
      <c r="Y830" s="364" t="s">
        <v>2027</v>
      </c>
      <c r="Z830" s="364"/>
      <c r="AA830" s="364"/>
      <c r="AB830" s="365"/>
      <c r="AC830" s="364"/>
      <c r="AD830" s="364"/>
      <c r="AE830" s="366"/>
      <c r="AF830" s="364" t="s">
        <v>2030</v>
      </c>
      <c r="AG830" s="364" t="s">
        <v>2030</v>
      </c>
      <c r="AH830" s="366" t="s">
        <v>2030</v>
      </c>
    </row>
    <row r="831" customFormat="false" ht="15.75" hidden="false" customHeight="false" outlineLevel="0" collapsed="false">
      <c r="A831" s="262" t="n">
        <v>714</v>
      </c>
      <c r="B831" s="361" t="n">
        <v>829</v>
      </c>
      <c r="C831" s="261" t="s">
        <v>2031</v>
      </c>
      <c r="D831" s="261" t="s">
        <v>60</v>
      </c>
      <c r="E831" s="362" t="s">
        <v>2031</v>
      </c>
      <c r="F831" s="261" t="s">
        <v>1873</v>
      </c>
      <c r="G831" s="261" t="s">
        <v>144</v>
      </c>
      <c r="H831" s="261" t="n">
        <v>0</v>
      </c>
      <c r="I831" s="261" t="n">
        <v>1</v>
      </c>
      <c r="J831" s="361" t="n">
        <v>0</v>
      </c>
      <c r="K831" s="262" t="n">
        <v>40</v>
      </c>
      <c r="L831" s="262" t="n">
        <v>30</v>
      </c>
      <c r="M831" s="262" t="n">
        <v>35</v>
      </c>
      <c r="N831" s="262" t="n">
        <v>45</v>
      </c>
      <c r="O831" s="262" t="n">
        <v>40</v>
      </c>
      <c r="P831" s="361" t="n">
        <v>55</v>
      </c>
      <c r="Q831" s="261" t="s">
        <v>146</v>
      </c>
      <c r="R831" s="261" t="s">
        <v>159</v>
      </c>
      <c r="S831" s="363" t="n">
        <f aca="false" t="array" ref="S831:S831">IF(COUNTIF('0.3.0 GO Calculation Values'!$J$2:$J$99,C831),(INDEX('0.3.0 GO Calculation Values'!$K$2:$K$99,MATCH(C831,'0.3.0 GO Calculation Values'!$J$2:$J$99,0))),1)</f>
        <v>1</v>
      </c>
      <c r="T831" s="262" t="n">
        <f aca="false">ROUND(ROUND(2*((7/8)*MAX(L831,N831)+(1/8)*MIN(L831,N831)),0)*(1+(P831-75)/500),0)</f>
        <v>83</v>
      </c>
      <c r="U831" s="262" t="n">
        <f aca="false">ROUND(ROUND(2*((5/8)*MAX(M831,O831)+(3/8)*MIN(M831,O831)),0)*(1+(P831-75)/500),0)</f>
        <v>73</v>
      </c>
      <c r="V831" s="361" t="n">
        <f aca="false">ROUNDDOWN(K831*1.75+50,0)</f>
        <v>120</v>
      </c>
      <c r="W831" s="261" t="n">
        <v>0</v>
      </c>
      <c r="X831" s="261" t="s">
        <v>60</v>
      </c>
      <c r="Y831" s="364" t="s">
        <v>2031</v>
      </c>
      <c r="Z831" s="364"/>
      <c r="AA831" s="364"/>
      <c r="AB831" s="365"/>
      <c r="AC831" s="364"/>
      <c r="AD831" s="364"/>
      <c r="AE831" s="366"/>
      <c r="AF831" s="364" t="s">
        <v>2032</v>
      </c>
      <c r="AG831" s="364" t="s">
        <v>2032</v>
      </c>
      <c r="AH831" s="366" t="s">
        <v>2032</v>
      </c>
    </row>
    <row r="832" customFormat="false" ht="15.75" hidden="false" customHeight="false" outlineLevel="0" collapsed="false">
      <c r="A832" s="262" t="n">
        <v>715</v>
      </c>
      <c r="B832" s="361" t="n">
        <v>830</v>
      </c>
      <c r="C832" s="261" t="s">
        <v>2033</v>
      </c>
      <c r="D832" s="261" t="s">
        <v>60</v>
      </c>
      <c r="E832" s="362" t="s">
        <v>2033</v>
      </c>
      <c r="F832" s="261" t="s">
        <v>1873</v>
      </c>
      <c r="G832" s="261" t="s">
        <v>144</v>
      </c>
      <c r="H832" s="261" t="n">
        <v>0</v>
      </c>
      <c r="I832" s="261" t="n">
        <v>2</v>
      </c>
      <c r="J832" s="361" t="n">
        <v>1</v>
      </c>
      <c r="K832" s="262" t="n">
        <v>85</v>
      </c>
      <c r="L832" s="262" t="n">
        <v>70</v>
      </c>
      <c r="M832" s="262" t="n">
        <v>80</v>
      </c>
      <c r="N832" s="262" t="n">
        <v>97</v>
      </c>
      <c r="O832" s="262" t="n">
        <v>80</v>
      </c>
      <c r="P832" s="361" t="n">
        <v>123</v>
      </c>
      <c r="Q832" s="261" t="s">
        <v>146</v>
      </c>
      <c r="R832" s="261" t="s">
        <v>159</v>
      </c>
      <c r="S832" s="363" t="n">
        <f aca="false" t="array" ref="S832:S832">IF(COUNTIF('0.3.0 GO Calculation Values'!$J$2:$J$99,C832),(INDEX('0.3.0 GO Calculation Values'!$K$2:$K$99,MATCH(C832,'0.3.0 GO Calculation Values'!$J$2:$J$99,0))),1)</f>
        <v>1</v>
      </c>
      <c r="T832" s="262" t="n">
        <f aca="false">ROUND(ROUND(2*((7/8)*MAX(L832,N832)+(1/8)*MIN(L832,N832)),0)*(1+(P832-75)/500),0)</f>
        <v>205</v>
      </c>
      <c r="U832" s="262" t="n">
        <f aca="false">ROUND(ROUND(2*((5/8)*MAX(M832,O832)+(3/8)*MIN(M832,O832)),0)*(1+(P832-75)/500),0)</f>
        <v>175</v>
      </c>
      <c r="V832" s="361" t="n">
        <f aca="false">ROUNDDOWN(K832*1.75+50,0)</f>
        <v>198</v>
      </c>
      <c r="W832" s="261" t="n">
        <v>0</v>
      </c>
      <c r="X832" s="261" t="s">
        <v>2031</v>
      </c>
      <c r="Y832" s="364" t="s">
        <v>2031</v>
      </c>
      <c r="Z832" s="364"/>
      <c r="AA832" s="364"/>
      <c r="AB832" s="365"/>
      <c r="AC832" s="364"/>
      <c r="AD832" s="364"/>
      <c r="AE832" s="366"/>
      <c r="AF832" s="364" t="s">
        <v>2034</v>
      </c>
      <c r="AG832" s="364" t="s">
        <v>2034</v>
      </c>
      <c r="AH832" s="366" t="s">
        <v>2034</v>
      </c>
    </row>
    <row r="833" customFormat="false" ht="15.75" hidden="false" customHeight="false" outlineLevel="0" collapsed="false">
      <c r="A833" s="262" t="n">
        <v>716</v>
      </c>
      <c r="B833" s="361" t="n">
        <v>831</v>
      </c>
      <c r="C833" s="261" t="s">
        <v>2035</v>
      </c>
      <c r="D833" s="261" t="s">
        <v>60</v>
      </c>
      <c r="E833" s="362" t="s">
        <v>2035</v>
      </c>
      <c r="F833" s="261" t="s">
        <v>1873</v>
      </c>
      <c r="G833" s="261" t="s">
        <v>639</v>
      </c>
      <c r="H833" s="261" t="n">
        <v>0</v>
      </c>
      <c r="I833" s="261" t="n">
        <v>1</v>
      </c>
      <c r="J833" s="361" t="n">
        <v>1</v>
      </c>
      <c r="K833" s="262" t="n">
        <v>126</v>
      </c>
      <c r="L833" s="262" t="n">
        <v>131</v>
      </c>
      <c r="M833" s="262" t="n">
        <v>95</v>
      </c>
      <c r="N833" s="262" t="n">
        <v>131</v>
      </c>
      <c r="O833" s="262" t="n">
        <v>98</v>
      </c>
      <c r="P833" s="361" t="n">
        <v>99</v>
      </c>
      <c r="Q833" s="261" t="s">
        <v>161</v>
      </c>
      <c r="R833" s="261"/>
      <c r="S833" s="368" t="n">
        <f aca="false" t="array" ref="S833:S833">IF(COUNTIF('0.3.0 GO Calculation Values'!$J$2:$J$99,C833),(INDEX('0.3.0 GO Calculation Values'!$K$2:$K$99,MATCH(C833,'0.3.0 GO Calculation Values'!$J$2:$J$99,0))),1)</f>
        <v>0.909090909090909</v>
      </c>
      <c r="T833" s="262" t="n">
        <f aca="false">ROUND(ROUND(2*((7/8)*MAX(L833,N833)+(1/8)*MIN(L833,N833)),0)*(1+(P833-75)/500),0)</f>
        <v>275</v>
      </c>
      <c r="U833" s="262" t="n">
        <f aca="false">ROUND(ROUND(2*((5/8)*MAX(M833,O833)+(3/8)*MIN(M833,O833)),0)*(1+(P833-75)/500),0)</f>
        <v>203</v>
      </c>
      <c r="V833" s="361" t="n">
        <f aca="false">ROUNDDOWN(K833*1.75+50,0)</f>
        <v>270</v>
      </c>
      <c r="W833" s="261" t="n">
        <v>0</v>
      </c>
      <c r="X833" s="261" t="s">
        <v>60</v>
      </c>
      <c r="Y833" s="364" t="s">
        <v>2035</v>
      </c>
      <c r="Z833" s="364" t="n">
        <v>20</v>
      </c>
      <c r="AA833" s="364"/>
      <c r="AB833" s="365"/>
      <c r="AC833" s="364"/>
      <c r="AD833" s="364"/>
      <c r="AE833" s="366"/>
      <c r="AF833" s="364" t="s">
        <v>2036</v>
      </c>
      <c r="AG833" s="364" t="s">
        <v>2036</v>
      </c>
      <c r="AH833" s="366" t="s">
        <v>2036</v>
      </c>
    </row>
    <row r="834" customFormat="false" ht="15.75" hidden="false" customHeight="false" outlineLevel="0" collapsed="false">
      <c r="A834" s="262" t="n">
        <v>717</v>
      </c>
      <c r="B834" s="361" t="n">
        <v>832</v>
      </c>
      <c r="C834" s="261" t="s">
        <v>2037</v>
      </c>
      <c r="D834" s="261" t="s">
        <v>60</v>
      </c>
      <c r="E834" s="362" t="s">
        <v>2037</v>
      </c>
      <c r="F834" s="261" t="s">
        <v>1873</v>
      </c>
      <c r="G834" s="261" t="s">
        <v>639</v>
      </c>
      <c r="H834" s="261" t="n">
        <v>0</v>
      </c>
      <c r="I834" s="261" t="n">
        <v>1</v>
      </c>
      <c r="J834" s="361" t="n">
        <v>1</v>
      </c>
      <c r="K834" s="262" t="n">
        <v>126</v>
      </c>
      <c r="L834" s="262" t="n">
        <v>131</v>
      </c>
      <c r="M834" s="262" t="n">
        <v>95</v>
      </c>
      <c r="N834" s="262" t="n">
        <v>131</v>
      </c>
      <c r="O834" s="262" t="n">
        <v>98</v>
      </c>
      <c r="P834" s="361" t="n">
        <v>99</v>
      </c>
      <c r="Q834" s="261" t="s">
        <v>160</v>
      </c>
      <c r="R834" s="261" t="s">
        <v>146</v>
      </c>
      <c r="S834" s="368" t="n">
        <f aca="false" t="array" ref="S834:S834">IF(COUNTIF('0.3.0 GO Calculation Values'!$J$2:$J$99,C834),(INDEX('0.3.0 GO Calculation Values'!$K$2:$K$99,MATCH(C834,'0.3.0 GO Calculation Values'!$J$2:$J$99,0))),1)</f>
        <v>0.909090909090909</v>
      </c>
      <c r="T834" s="262" t="n">
        <f aca="false">ROUND(ROUND(2*((7/8)*MAX(L834,N834)+(1/8)*MIN(L834,N834)),0)*(1+(P834-75)/500),0)</f>
        <v>275</v>
      </c>
      <c r="U834" s="262" t="n">
        <f aca="false">ROUND(ROUND(2*((5/8)*MAX(M834,O834)+(3/8)*MIN(M834,O834)),0)*(1+(P834-75)/500),0)</f>
        <v>203</v>
      </c>
      <c r="V834" s="361" t="n">
        <f aca="false">ROUNDDOWN(K834*1.75+50,0)</f>
        <v>270</v>
      </c>
      <c r="W834" s="261" t="n">
        <v>0</v>
      </c>
      <c r="X834" s="261" t="s">
        <v>60</v>
      </c>
      <c r="Y834" s="364" t="s">
        <v>2037</v>
      </c>
      <c r="Z834" s="364" t="n">
        <v>20</v>
      </c>
      <c r="AA834" s="364"/>
      <c r="AB834" s="365"/>
      <c r="AC834" s="364"/>
      <c r="AD834" s="364"/>
      <c r="AE834" s="366"/>
      <c r="AF834" s="364" t="s">
        <v>2038</v>
      </c>
      <c r="AG834" s="364" t="s">
        <v>2038</v>
      </c>
      <c r="AH834" s="366" t="s">
        <v>2038</v>
      </c>
    </row>
    <row r="835" customFormat="false" ht="15.75" hidden="false" customHeight="false" outlineLevel="0" collapsed="false">
      <c r="A835" s="262" t="n">
        <v>718</v>
      </c>
      <c r="B835" s="361" t="n">
        <v>833</v>
      </c>
      <c r="C835" s="261" t="s">
        <v>2039</v>
      </c>
      <c r="D835" s="261" t="s">
        <v>2040</v>
      </c>
      <c r="E835" s="367" t="s">
        <v>2039</v>
      </c>
      <c r="F835" s="261" t="s">
        <v>1873</v>
      </c>
      <c r="G835" s="261" t="s">
        <v>1198</v>
      </c>
      <c r="H835" s="261" t="n">
        <v>0</v>
      </c>
      <c r="I835" s="261" t="n">
        <v>1</v>
      </c>
      <c r="J835" s="361" t="n">
        <v>1</v>
      </c>
      <c r="K835" s="262" t="n">
        <v>108</v>
      </c>
      <c r="L835" s="262" t="n">
        <v>100</v>
      </c>
      <c r="M835" s="262" t="n">
        <v>121</v>
      </c>
      <c r="N835" s="262" t="n">
        <v>81</v>
      </c>
      <c r="O835" s="262" t="n">
        <v>95</v>
      </c>
      <c r="P835" s="361" t="n">
        <v>95</v>
      </c>
      <c r="Q835" s="261" t="s">
        <v>159</v>
      </c>
      <c r="R835" s="261" t="s">
        <v>148</v>
      </c>
      <c r="S835" s="363" t="n">
        <f aca="false" t="array" ref="S835:S835">IF(COUNTIF('0.3.0 GO Calculation Values'!$J$2:$J$99,C835),(INDEX('0.3.0 GO Calculation Values'!$K$2:$K$99,MATCH(C835,'0.3.0 GO Calculation Values'!$J$2:$J$99,0))),1)</f>
        <v>1</v>
      </c>
      <c r="T835" s="262" t="n">
        <f aca="false">ROUND(ROUND(2*((7/8)*MAX(L835,N835)+(1/8)*MIN(L835,N835)),0)*(1+(P835-75)/500),0)</f>
        <v>203</v>
      </c>
      <c r="U835" s="262" t="n">
        <f aca="false">ROUND(ROUND(2*((5/8)*MAX(M835,O835)+(3/8)*MIN(M835,O835)),0)*(1+(P835-75)/500),0)</f>
        <v>232</v>
      </c>
      <c r="V835" s="361" t="n">
        <f aca="false">ROUNDDOWN(K835*1.75+50,0)</f>
        <v>239</v>
      </c>
      <c r="W835" s="261" t="n">
        <v>0</v>
      </c>
      <c r="X835" s="261" t="s">
        <v>60</v>
      </c>
      <c r="Y835" s="364" t="s">
        <v>2039</v>
      </c>
      <c r="Z835" s="364" t="n">
        <v>20</v>
      </c>
      <c r="AA835" s="364"/>
      <c r="AB835" s="365"/>
      <c r="AC835" s="364"/>
      <c r="AD835" s="364"/>
      <c r="AE835" s="366"/>
      <c r="AF835" s="364" t="s">
        <v>2041</v>
      </c>
      <c r="AG835" s="364" t="s">
        <v>2041</v>
      </c>
      <c r="AH835" s="366" t="s">
        <v>2041</v>
      </c>
    </row>
    <row r="836" customFormat="false" ht="15.75" hidden="false" customHeight="false" outlineLevel="0" collapsed="false">
      <c r="A836" s="262" t="n">
        <v>718</v>
      </c>
      <c r="B836" s="361" t="n">
        <v>834</v>
      </c>
      <c r="C836" s="261" t="s">
        <v>2039</v>
      </c>
      <c r="D836" s="261" t="s">
        <v>2042</v>
      </c>
      <c r="E836" s="367" t="s">
        <v>2043</v>
      </c>
      <c r="F836" s="261" t="s">
        <v>1873</v>
      </c>
      <c r="G836" s="261" t="s">
        <v>1198</v>
      </c>
      <c r="H836" s="261" t="n">
        <v>1</v>
      </c>
      <c r="I836" s="261" t="n">
        <v>1</v>
      </c>
      <c r="J836" s="361" t="n">
        <v>1</v>
      </c>
      <c r="K836" s="262" t="n">
        <v>54</v>
      </c>
      <c r="L836" s="262" t="n">
        <v>100</v>
      </c>
      <c r="M836" s="262" t="n">
        <v>71</v>
      </c>
      <c r="N836" s="262" t="n">
        <v>61</v>
      </c>
      <c r="O836" s="262" t="n">
        <v>85</v>
      </c>
      <c r="P836" s="361" t="n">
        <v>115</v>
      </c>
      <c r="Q836" s="261" t="s">
        <v>159</v>
      </c>
      <c r="R836" s="261" t="s">
        <v>148</v>
      </c>
      <c r="S836" s="363" t="n">
        <f aca="false" t="array" ref="S836:S836">IF(COUNTIF('0.3.0 GO Calculation Values'!$J$2:$J$99,C836),(INDEX('0.3.0 GO Calculation Values'!$K$2:$K$99,MATCH(C836,'0.3.0 GO Calculation Values'!$J$2:$J$99,0))),1)</f>
        <v>1</v>
      </c>
      <c r="T836" s="262" t="n">
        <f aca="false">ROUND(ROUND(2*((7/8)*MAX(L836,N836)+(1/8)*MIN(L836,N836)),0)*(1+(P836-75)/500),0)</f>
        <v>205</v>
      </c>
      <c r="U836" s="262" t="n">
        <f aca="false">ROUND(ROUND(2*((5/8)*MAX(M836,O836)+(3/8)*MIN(M836,O836)),0)*(1+(P836-75)/500),0)</f>
        <v>173</v>
      </c>
      <c r="V836" s="361" t="n">
        <f aca="false">ROUNDDOWN(K836*1.75+50,0)</f>
        <v>144</v>
      </c>
      <c r="W836" s="261" t="n">
        <v>0</v>
      </c>
      <c r="X836" s="261" t="s">
        <v>60</v>
      </c>
      <c r="Y836" s="364" t="s">
        <v>2039</v>
      </c>
      <c r="Z836" s="364" t="n">
        <v>20</v>
      </c>
      <c r="AA836" s="364"/>
      <c r="AB836" s="365"/>
      <c r="AC836" s="364"/>
      <c r="AD836" s="364"/>
      <c r="AE836" s="366"/>
      <c r="AF836" s="261" t="s">
        <v>2044</v>
      </c>
      <c r="AG836" s="261" t="s">
        <v>2044</v>
      </c>
      <c r="AH836" s="362" t="s">
        <v>2045</v>
      </c>
    </row>
    <row r="837" customFormat="false" ht="15.75" hidden="false" customHeight="false" outlineLevel="0" collapsed="false">
      <c r="A837" s="262" t="n">
        <v>718</v>
      </c>
      <c r="B837" s="361" t="n">
        <v>835</v>
      </c>
      <c r="C837" s="261" t="s">
        <v>2039</v>
      </c>
      <c r="D837" s="261" t="s">
        <v>2046</v>
      </c>
      <c r="E837" s="358" t="s">
        <v>2047</v>
      </c>
      <c r="F837" s="261" t="s">
        <v>1873</v>
      </c>
      <c r="G837" s="261" t="s">
        <v>1198</v>
      </c>
      <c r="H837" s="261" t="n">
        <v>2</v>
      </c>
      <c r="I837" s="261" t="n">
        <v>1</v>
      </c>
      <c r="J837" s="361" t="n">
        <v>1</v>
      </c>
      <c r="K837" s="262" t="n">
        <v>216</v>
      </c>
      <c r="L837" s="262" t="n">
        <v>100</v>
      </c>
      <c r="M837" s="262" t="n">
        <v>121</v>
      </c>
      <c r="N837" s="262" t="n">
        <v>91</v>
      </c>
      <c r="O837" s="262" t="n">
        <v>95</v>
      </c>
      <c r="P837" s="361" t="n">
        <v>85</v>
      </c>
      <c r="Q837" s="261" t="s">
        <v>159</v>
      </c>
      <c r="R837" s="261" t="s">
        <v>148</v>
      </c>
      <c r="S837" s="363" t="n">
        <f aca="false" t="array" ref="S837:S837">IF(COUNTIF('0.3.0 GO Calculation Values'!$J$2:$J$99,C837),(INDEX('0.3.0 GO Calculation Values'!$K$2:$K$99,MATCH(C837,'0.3.0 GO Calculation Values'!$J$2:$J$99,0))),1)</f>
        <v>1</v>
      </c>
      <c r="T837" s="262" t="n">
        <f aca="false">ROUND(ROUND(2*((7/8)*MAX(L837,N837)+(1/8)*MIN(L837,N837)),0)*(1+(P837-75)/500),0)</f>
        <v>202</v>
      </c>
      <c r="U837" s="262" t="n">
        <f aca="false">ROUND(ROUND(2*((5/8)*MAX(M837,O837)+(3/8)*MIN(M837,O837)),0)*(1+(P837-75)/500),0)</f>
        <v>227</v>
      </c>
      <c r="V837" s="361" t="n">
        <f aca="false">ROUNDDOWN(K837*1.75+50,0)</f>
        <v>428</v>
      </c>
      <c r="W837" s="261" t="n">
        <v>0</v>
      </c>
      <c r="X837" s="261" t="s">
        <v>60</v>
      </c>
      <c r="Y837" s="364" t="s">
        <v>2039</v>
      </c>
      <c r="Z837" s="364" t="n">
        <v>20</v>
      </c>
      <c r="AA837" s="364"/>
      <c r="AB837" s="365"/>
      <c r="AC837" s="364"/>
      <c r="AD837" s="364"/>
      <c r="AE837" s="366"/>
      <c r="AF837" s="261" t="s">
        <v>2048</v>
      </c>
      <c r="AG837" s="261" t="s">
        <v>2048</v>
      </c>
      <c r="AH837" s="362" t="s">
        <v>2048</v>
      </c>
    </row>
    <row r="838" customFormat="false" ht="15.75" hidden="false" customHeight="false" outlineLevel="0" collapsed="false">
      <c r="A838" s="262" t="n">
        <v>719</v>
      </c>
      <c r="B838" s="361" t="n">
        <v>836</v>
      </c>
      <c r="C838" s="261" t="s">
        <v>2049</v>
      </c>
      <c r="D838" s="261" t="s">
        <v>7</v>
      </c>
      <c r="E838" s="367" t="s">
        <v>2049</v>
      </c>
      <c r="F838" s="261" t="s">
        <v>1873</v>
      </c>
      <c r="G838" s="261" t="s">
        <v>650</v>
      </c>
      <c r="H838" s="261" t="n">
        <v>0</v>
      </c>
      <c r="I838" s="261" t="n">
        <v>1</v>
      </c>
      <c r="J838" s="361" t="n">
        <v>1</v>
      </c>
      <c r="K838" s="262" t="n">
        <v>50</v>
      </c>
      <c r="L838" s="262" t="n">
        <v>100</v>
      </c>
      <c r="M838" s="262" t="n">
        <v>150</v>
      </c>
      <c r="N838" s="262" t="n">
        <v>100</v>
      </c>
      <c r="O838" s="262" t="n">
        <v>150</v>
      </c>
      <c r="P838" s="361" t="n">
        <v>50</v>
      </c>
      <c r="Q838" s="261" t="s">
        <v>149</v>
      </c>
      <c r="R838" s="261" t="s">
        <v>161</v>
      </c>
      <c r="S838" s="363" t="n">
        <f aca="false" t="array" ref="S838:S838">IF(COUNTIF('0.3.0 GO Calculation Values'!$J$2:$J$99,C838),(INDEX('0.3.0 GO Calculation Values'!$K$2:$K$99,MATCH(C838,'0.3.0 GO Calculation Values'!$J$2:$J$99,0))),1)</f>
        <v>1</v>
      </c>
      <c r="T838" s="262" t="n">
        <f aca="false">ROUND(ROUND(2*((7/8)*MAX(L838,N838)+(1/8)*MIN(L838,N838)),0)*(1+(P838-75)/500),0)</f>
        <v>190</v>
      </c>
      <c r="U838" s="262" t="n">
        <f aca="false">ROUND(ROUND(2*((5/8)*MAX(M838,O838)+(3/8)*MIN(M838,O838)),0)*(1+(P838-75)/500),0)</f>
        <v>285</v>
      </c>
      <c r="V838" s="361" t="n">
        <f aca="false">ROUNDDOWN(K838*1.75+50,0)</f>
        <v>137</v>
      </c>
      <c r="W838" s="261" t="n">
        <v>0</v>
      </c>
      <c r="X838" s="261" t="s">
        <v>60</v>
      </c>
      <c r="Y838" s="364" t="s">
        <v>2049</v>
      </c>
      <c r="Z838" s="364" t="n">
        <v>20</v>
      </c>
      <c r="AA838" s="364"/>
      <c r="AB838" s="365"/>
      <c r="AC838" s="364"/>
      <c r="AD838" s="364"/>
      <c r="AE838" s="366"/>
      <c r="AF838" s="364" t="s">
        <v>2050</v>
      </c>
      <c r="AG838" s="364" t="s">
        <v>2050</v>
      </c>
      <c r="AH838" s="366" t="s">
        <v>2050</v>
      </c>
    </row>
    <row r="839" customFormat="false" ht="15.75" hidden="false" customHeight="false" outlineLevel="0" collapsed="false">
      <c r="A839" s="262" t="n">
        <v>719</v>
      </c>
      <c r="B839" s="361" t="n">
        <v>837</v>
      </c>
      <c r="C839" s="261" t="s">
        <v>2049</v>
      </c>
      <c r="D839" s="261" t="s">
        <v>2051</v>
      </c>
      <c r="E839" s="358" t="s">
        <v>2052</v>
      </c>
      <c r="F839" s="261" t="s">
        <v>1873</v>
      </c>
      <c r="G839" s="261" t="s">
        <v>650</v>
      </c>
      <c r="H839" s="261" t="n">
        <v>2</v>
      </c>
      <c r="I839" s="261" t="n">
        <v>2</v>
      </c>
      <c r="J839" s="361" t="n">
        <v>1</v>
      </c>
      <c r="K839" s="262" t="n">
        <v>50</v>
      </c>
      <c r="L839" s="262" t="n">
        <v>160</v>
      </c>
      <c r="M839" s="262" t="n">
        <v>110</v>
      </c>
      <c r="N839" s="262" t="n">
        <v>160</v>
      </c>
      <c r="O839" s="262" t="n">
        <v>110</v>
      </c>
      <c r="P839" s="361" t="n">
        <v>110</v>
      </c>
      <c r="Q839" s="261" t="s">
        <v>149</v>
      </c>
      <c r="R839" s="261" t="s">
        <v>161</v>
      </c>
      <c r="S839" s="363" t="n">
        <f aca="false" t="array" ref="S839:S839">IF(COUNTIF('0.3.0 GO Calculation Values'!$J$2:$J$99,C839),(INDEX('0.3.0 GO Calculation Values'!$K$2:$K$99,MATCH(C839,'0.3.0 GO Calculation Values'!$J$2:$J$99,0))),1)</f>
        <v>1</v>
      </c>
      <c r="T839" s="262" t="n">
        <f aca="false">ROUND(ROUND(2*((7/8)*MAX(L839,N839)+(1/8)*MIN(L839,N839)),0)*(1+(P839-75)/500),0)</f>
        <v>342</v>
      </c>
      <c r="U839" s="262" t="n">
        <f aca="false">ROUND(ROUND(2*((5/8)*MAX(M839,O839)+(3/8)*MIN(M839,O839)),0)*(1+(P839-75)/500),0)</f>
        <v>235</v>
      </c>
      <c r="V839" s="361" t="n">
        <f aca="false">ROUNDDOWN(K839*1.75+50,0)</f>
        <v>137</v>
      </c>
      <c r="W839" s="261" t="n">
        <v>0</v>
      </c>
      <c r="X839" s="261" t="s">
        <v>2049</v>
      </c>
      <c r="Y839" s="364" t="s">
        <v>2049</v>
      </c>
      <c r="Z839" s="364" t="n">
        <v>20</v>
      </c>
      <c r="AA839" s="364"/>
      <c r="AB839" s="365"/>
      <c r="AC839" s="364"/>
      <c r="AD839" s="364"/>
      <c r="AE839" s="366"/>
      <c r="AF839" s="364" t="s">
        <v>2053</v>
      </c>
      <c r="AG839" s="364" t="s">
        <v>2053</v>
      </c>
      <c r="AH839" s="366" t="s">
        <v>2053</v>
      </c>
    </row>
    <row r="840" customFormat="false" ht="15.75" hidden="false" customHeight="false" outlineLevel="0" collapsed="false">
      <c r="A840" s="262" t="n">
        <v>720</v>
      </c>
      <c r="B840" s="361" t="n">
        <v>838</v>
      </c>
      <c r="C840" s="261" t="s">
        <v>2054</v>
      </c>
      <c r="D840" s="261" t="s">
        <v>2055</v>
      </c>
      <c r="E840" s="358" t="s">
        <v>2054</v>
      </c>
      <c r="F840" s="261" t="s">
        <v>1873</v>
      </c>
      <c r="G840" s="261" t="s">
        <v>650</v>
      </c>
      <c r="H840" s="261" t="n">
        <v>0</v>
      </c>
      <c r="I840" s="261" t="n">
        <v>1</v>
      </c>
      <c r="J840" s="361" t="n">
        <v>1</v>
      </c>
      <c r="K840" s="262" t="n">
        <v>80</v>
      </c>
      <c r="L840" s="262" t="n">
        <v>110</v>
      </c>
      <c r="M840" s="262" t="n">
        <v>60</v>
      </c>
      <c r="N840" s="262" t="n">
        <v>150</v>
      </c>
      <c r="O840" s="262" t="n">
        <v>130</v>
      </c>
      <c r="P840" s="361" t="n">
        <v>70</v>
      </c>
      <c r="Q840" s="261" t="s">
        <v>157</v>
      </c>
      <c r="R840" s="261" t="s">
        <v>151</v>
      </c>
      <c r="S840" s="368" t="n">
        <f aca="false" t="array" ref="S840:S840">IF(COUNTIF('0.3.0 GO Calculation Values'!$J$2:$J$99,C840),(INDEX('0.3.0 GO Calculation Values'!$K$2:$K$99,MATCH(C840,'0.3.0 GO Calculation Values'!$J$2:$J$99,0))),1)</f>
        <v>0.909090909090909</v>
      </c>
      <c r="T840" s="262" t="n">
        <f aca="false">ROUND(ROUND(2*((7/8)*MAX(L840,N840)+(1/8)*MIN(L840,N840)),0)*(1+(P840-75)/500),0)</f>
        <v>287</v>
      </c>
      <c r="U840" s="262" t="n">
        <f aca="false">ROUND(ROUND(2*((5/8)*MAX(M840,O840)+(3/8)*MIN(M840,O840)),0)*(1+(P840-75)/500),0)</f>
        <v>206</v>
      </c>
      <c r="V840" s="361" t="n">
        <f aca="false">ROUNDDOWN(K840*1.75+50,0)</f>
        <v>190</v>
      </c>
      <c r="W840" s="261" t="n">
        <v>0</v>
      </c>
      <c r="X840" s="261" t="s">
        <v>60</v>
      </c>
      <c r="Y840" s="364" t="s">
        <v>2054</v>
      </c>
      <c r="Z840" s="364" t="n">
        <v>20</v>
      </c>
      <c r="AA840" s="364"/>
      <c r="AB840" s="365"/>
      <c r="AC840" s="364"/>
      <c r="AD840" s="364"/>
      <c r="AE840" s="366"/>
      <c r="AF840" s="261" t="s">
        <v>2056</v>
      </c>
      <c r="AG840" s="261" t="s">
        <v>2057</v>
      </c>
      <c r="AH840" s="362" t="s">
        <v>2057</v>
      </c>
    </row>
    <row r="841" customFormat="false" ht="15.75" hidden="false" customHeight="false" outlineLevel="0" collapsed="false">
      <c r="A841" s="262" t="n">
        <v>720</v>
      </c>
      <c r="B841" s="361" t="n">
        <v>839</v>
      </c>
      <c r="C841" s="261" t="s">
        <v>2054</v>
      </c>
      <c r="D841" s="261" t="s">
        <v>2058</v>
      </c>
      <c r="E841" s="358" t="s">
        <v>2059</v>
      </c>
      <c r="F841" s="261" t="s">
        <v>1873</v>
      </c>
      <c r="G841" s="261" t="s">
        <v>650</v>
      </c>
      <c r="H841" s="261" t="n">
        <v>1</v>
      </c>
      <c r="I841" s="261" t="n">
        <v>2</v>
      </c>
      <c r="J841" s="361" t="n">
        <v>1</v>
      </c>
      <c r="K841" s="262" t="n">
        <v>80</v>
      </c>
      <c r="L841" s="262" t="n">
        <v>160</v>
      </c>
      <c r="M841" s="262" t="n">
        <v>60</v>
      </c>
      <c r="N841" s="262" t="n">
        <v>170</v>
      </c>
      <c r="O841" s="262" t="n">
        <v>130</v>
      </c>
      <c r="P841" s="361" t="n">
        <v>80</v>
      </c>
      <c r="Q841" s="261" t="s">
        <v>157</v>
      </c>
      <c r="R841" s="261" t="s">
        <v>160</v>
      </c>
      <c r="S841" s="368" t="n">
        <f aca="false" t="array" ref="S841:S841">IF(COUNTIF('0.3.0 GO Calculation Values'!$J$2:$J$99,C841),(INDEX('0.3.0 GO Calculation Values'!$K$2:$K$99,MATCH(C841,'0.3.0 GO Calculation Values'!$J$2:$J$99,0))),1)</f>
        <v>0.909090909090909</v>
      </c>
      <c r="T841" s="262" t="n">
        <f aca="false">ROUND(ROUND(2*((7/8)*MAX(L841,N841)+(1/8)*MIN(L841,N841)),0)*(1+(P841-75)/500),0)</f>
        <v>341</v>
      </c>
      <c r="U841" s="262" t="n">
        <f aca="false">ROUND(ROUND(2*((5/8)*MAX(M841,O841)+(3/8)*MIN(M841,O841)),0)*(1+(P841-75)/500),0)</f>
        <v>210</v>
      </c>
      <c r="V841" s="361" t="n">
        <f aca="false">ROUNDDOWN(K841*1.75+50,0)</f>
        <v>190</v>
      </c>
      <c r="W841" s="261" t="n">
        <v>0</v>
      </c>
      <c r="X841" s="261" t="s">
        <v>2054</v>
      </c>
      <c r="Y841" s="364" t="s">
        <v>2054</v>
      </c>
      <c r="Z841" s="364" t="n">
        <v>20</v>
      </c>
      <c r="AA841" s="364"/>
      <c r="AB841" s="365"/>
      <c r="AC841" s="364"/>
      <c r="AD841" s="364"/>
      <c r="AE841" s="366"/>
      <c r="AF841" s="261" t="s">
        <v>2060</v>
      </c>
      <c r="AG841" s="261" t="s">
        <v>2060</v>
      </c>
      <c r="AH841" s="362" t="s">
        <v>2060</v>
      </c>
    </row>
    <row r="842" customFormat="false" ht="15.75" hidden="false" customHeight="false" outlineLevel="0" collapsed="false">
      <c r="A842" s="262" t="n">
        <v>721</v>
      </c>
      <c r="B842" s="361" t="n">
        <v>840</v>
      </c>
      <c r="C842" s="261" t="s">
        <v>2061</v>
      </c>
      <c r="D842" s="261" t="s">
        <v>60</v>
      </c>
      <c r="E842" s="362" t="s">
        <v>2061</v>
      </c>
      <c r="F842" s="261" t="s">
        <v>1873</v>
      </c>
      <c r="G842" s="261" t="s">
        <v>650</v>
      </c>
      <c r="H842" s="261" t="n">
        <v>0</v>
      </c>
      <c r="I842" s="261" t="n">
        <v>1</v>
      </c>
      <c r="J842" s="361" t="n">
        <v>1</v>
      </c>
      <c r="K842" s="262" t="n">
        <v>80</v>
      </c>
      <c r="L842" s="262" t="n">
        <v>110</v>
      </c>
      <c r="M842" s="262" t="n">
        <v>120</v>
      </c>
      <c r="N842" s="262" t="n">
        <v>130</v>
      </c>
      <c r="O842" s="262" t="n">
        <v>90</v>
      </c>
      <c r="P842" s="361" t="n">
        <v>70</v>
      </c>
      <c r="Q842" s="261" t="s">
        <v>153</v>
      </c>
      <c r="R842" s="261" t="s">
        <v>154</v>
      </c>
      <c r="S842" s="363" t="n">
        <f aca="false" t="array" ref="S842:S842">IF(COUNTIF('0.3.0 GO Calculation Values'!$J$2:$J$99,C842),(INDEX('0.3.0 GO Calculation Values'!$K$2:$K$99,MATCH(C842,'0.3.0 GO Calculation Values'!$J$2:$J$99,0))),1)</f>
        <v>1</v>
      </c>
      <c r="T842" s="262" t="n">
        <f aca="false">ROUND(ROUND(2*((7/8)*MAX(L842,N842)+(1/8)*MIN(L842,N842)),0)*(1+(P842-75)/500),0)</f>
        <v>252</v>
      </c>
      <c r="U842" s="262" t="n">
        <f aca="false">ROUND(ROUND(2*((5/8)*MAX(M842,O842)+(3/8)*MIN(M842,O842)),0)*(1+(P842-75)/500),0)</f>
        <v>216</v>
      </c>
      <c r="V842" s="361" t="n">
        <f aca="false">ROUNDDOWN(K842*1.75+50,0)</f>
        <v>190</v>
      </c>
      <c r="W842" s="261" t="n">
        <v>0</v>
      </c>
      <c r="X842" s="261" t="s">
        <v>60</v>
      </c>
      <c r="Y842" s="364" t="s">
        <v>2061</v>
      </c>
      <c r="Z842" s="364" t="n">
        <v>20</v>
      </c>
      <c r="AA842" s="364"/>
      <c r="AB842" s="365"/>
      <c r="AC842" s="364"/>
      <c r="AD842" s="364"/>
      <c r="AE842" s="366"/>
      <c r="AF842" s="364" t="s">
        <v>2062</v>
      </c>
      <c r="AG842" s="364" t="s">
        <v>2062</v>
      </c>
      <c r="AH842" s="366" t="s">
        <v>2062</v>
      </c>
    </row>
    <row r="843" customFormat="false" ht="15.75" hidden="false" customHeight="false" outlineLevel="0" collapsed="false">
      <c r="A843" s="262" t="n">
        <v>722</v>
      </c>
      <c r="B843" s="361" t="n">
        <v>841</v>
      </c>
      <c r="C843" s="261" t="s">
        <v>2063</v>
      </c>
      <c r="D843" s="261" t="s">
        <v>60</v>
      </c>
      <c r="E843" s="362" t="s">
        <v>2063</v>
      </c>
      <c r="F843" s="261" t="s">
        <v>290</v>
      </c>
      <c r="G843" s="261" t="s">
        <v>229</v>
      </c>
      <c r="H843" s="261" t="n">
        <v>0</v>
      </c>
      <c r="I843" s="261" t="n">
        <v>1</v>
      </c>
      <c r="J843" s="361" t="n">
        <v>0</v>
      </c>
      <c r="K843" s="262" t="n">
        <v>68</v>
      </c>
      <c r="L843" s="262" t="n">
        <v>55</v>
      </c>
      <c r="M843" s="262" t="n">
        <v>55</v>
      </c>
      <c r="N843" s="262" t="n">
        <v>50</v>
      </c>
      <c r="O843" s="262" t="n">
        <v>50</v>
      </c>
      <c r="P843" s="361" t="n">
        <v>42</v>
      </c>
      <c r="Q843" s="261" t="s">
        <v>155</v>
      </c>
      <c r="R843" s="261" t="s">
        <v>146</v>
      </c>
      <c r="S843" s="363" t="n">
        <f aca="false" t="array" ref="S843:S843">IF(COUNTIF('0.3.0 GO Calculation Values'!$J$2:$J$99,C843),(INDEX('0.3.0 GO Calculation Values'!$K$2:$K$99,MATCH(C843,'0.3.0 GO Calculation Values'!$J$2:$J$99,0))),1)</f>
        <v>1</v>
      </c>
      <c r="T843" s="262" t="n">
        <f aca="false">ROUND(ROUND(2*((7/8)*MAX(L843,N843)+(1/8)*MIN(L843,N843)),0)*(1+(P843-75)/500),0)</f>
        <v>102</v>
      </c>
      <c r="U843" s="262" t="n">
        <f aca="false">ROUND(ROUND(2*((5/8)*MAX(M843,O843)+(3/8)*MIN(M843,O843)),0)*(1+(P843-75)/500),0)</f>
        <v>99</v>
      </c>
      <c r="V843" s="361" t="n">
        <f aca="false">ROUNDDOWN(K843*1.75+50,0)</f>
        <v>169</v>
      </c>
      <c r="W843" s="261" t="n">
        <v>0</v>
      </c>
      <c r="X843" s="261" t="s">
        <v>60</v>
      </c>
      <c r="Y843" s="364" t="s">
        <v>2063</v>
      </c>
      <c r="Z843" s="364"/>
      <c r="AA843" s="364"/>
      <c r="AB843" s="365"/>
      <c r="AC843" s="364"/>
      <c r="AD843" s="364"/>
      <c r="AE843" s="366"/>
      <c r="AF843" s="364" t="s">
        <v>2064</v>
      </c>
      <c r="AG843" s="364" t="s">
        <v>2064</v>
      </c>
      <c r="AH843" s="366" t="s">
        <v>2064</v>
      </c>
    </row>
    <row r="844" customFormat="false" ht="15.75" hidden="false" customHeight="false" outlineLevel="0" collapsed="false">
      <c r="A844" s="262" t="n">
        <v>723</v>
      </c>
      <c r="B844" s="361" t="n">
        <v>842</v>
      </c>
      <c r="C844" s="261" t="s">
        <v>2065</v>
      </c>
      <c r="D844" s="261" t="s">
        <v>60</v>
      </c>
      <c r="E844" s="362" t="s">
        <v>2065</v>
      </c>
      <c r="F844" s="261" t="s">
        <v>290</v>
      </c>
      <c r="G844" s="261" t="s">
        <v>229</v>
      </c>
      <c r="H844" s="261" t="n">
        <v>0</v>
      </c>
      <c r="I844" s="261" t="n">
        <v>2</v>
      </c>
      <c r="J844" s="361" t="n">
        <v>0</v>
      </c>
      <c r="K844" s="262" t="n">
        <v>78</v>
      </c>
      <c r="L844" s="262" t="n">
        <v>75</v>
      </c>
      <c r="M844" s="262" t="n">
        <v>75</v>
      </c>
      <c r="N844" s="262" t="n">
        <v>70</v>
      </c>
      <c r="O844" s="262" t="n">
        <v>70</v>
      </c>
      <c r="P844" s="361" t="n">
        <v>52</v>
      </c>
      <c r="Q844" s="261" t="s">
        <v>155</v>
      </c>
      <c r="R844" s="261" t="s">
        <v>146</v>
      </c>
      <c r="S844" s="363" t="n">
        <f aca="false" t="array" ref="S844:S844">IF(COUNTIF('0.3.0 GO Calculation Values'!$J$2:$J$99,C844),(INDEX('0.3.0 GO Calculation Values'!$K$2:$K$99,MATCH(C844,'0.3.0 GO Calculation Values'!$J$2:$J$99,0))),1)</f>
        <v>1</v>
      </c>
      <c r="T844" s="262" t="n">
        <f aca="false">ROUND(ROUND(2*((7/8)*MAX(L844,N844)+(1/8)*MIN(L844,N844)),0)*(1+(P844-75)/500),0)</f>
        <v>142</v>
      </c>
      <c r="U844" s="262" t="n">
        <f aca="false">ROUND(ROUND(2*((5/8)*MAX(M844,O844)+(3/8)*MIN(M844,O844)),0)*(1+(P844-75)/500),0)</f>
        <v>139</v>
      </c>
      <c r="V844" s="361" t="n">
        <f aca="false">ROUNDDOWN(K844*1.75+50,0)</f>
        <v>186</v>
      </c>
      <c r="W844" s="261" t="n">
        <v>0</v>
      </c>
      <c r="X844" s="261" t="s">
        <v>2063</v>
      </c>
      <c r="Y844" s="364" t="s">
        <v>2063</v>
      </c>
      <c r="Z844" s="364"/>
      <c r="AA844" s="364"/>
      <c r="AB844" s="365"/>
      <c r="AC844" s="364"/>
      <c r="AD844" s="364"/>
      <c r="AE844" s="366"/>
      <c r="AF844" s="364" t="s">
        <v>2066</v>
      </c>
      <c r="AG844" s="364" t="s">
        <v>2066</v>
      </c>
      <c r="AH844" s="366" t="s">
        <v>2066</v>
      </c>
    </row>
    <row r="845" customFormat="false" ht="15.75" hidden="false" customHeight="false" outlineLevel="0" collapsed="false">
      <c r="A845" s="262" t="n">
        <v>724</v>
      </c>
      <c r="B845" s="361" t="n">
        <v>843</v>
      </c>
      <c r="C845" s="261" t="s">
        <v>2067</v>
      </c>
      <c r="D845" s="261" t="s">
        <v>60</v>
      </c>
      <c r="E845" s="362" t="s">
        <v>2067</v>
      </c>
      <c r="F845" s="261" t="s">
        <v>290</v>
      </c>
      <c r="G845" s="261" t="s">
        <v>229</v>
      </c>
      <c r="H845" s="261" t="n">
        <v>0</v>
      </c>
      <c r="I845" s="261" t="n">
        <v>3</v>
      </c>
      <c r="J845" s="361" t="n">
        <v>1</v>
      </c>
      <c r="K845" s="262" t="n">
        <v>78</v>
      </c>
      <c r="L845" s="262" t="n">
        <v>107</v>
      </c>
      <c r="M845" s="262" t="n">
        <v>75</v>
      </c>
      <c r="N845" s="262" t="n">
        <v>100</v>
      </c>
      <c r="O845" s="262" t="n">
        <v>100</v>
      </c>
      <c r="P845" s="361" t="n">
        <v>70</v>
      </c>
      <c r="Q845" s="261" t="s">
        <v>155</v>
      </c>
      <c r="R845" s="261" t="s">
        <v>151</v>
      </c>
      <c r="S845" s="363" t="n">
        <f aca="false" t="array" ref="S845:S845">IF(COUNTIF('0.3.0 GO Calculation Values'!$J$2:$J$99,C845),(INDEX('0.3.0 GO Calculation Values'!$K$2:$K$99,MATCH(C845,'0.3.0 GO Calculation Values'!$J$2:$J$99,0))),1)</f>
        <v>1</v>
      </c>
      <c r="T845" s="262" t="n">
        <f aca="false">ROUND(ROUND(2*((7/8)*MAX(L845,N845)+(1/8)*MIN(L845,N845)),0)*(1+(P845-75)/500),0)</f>
        <v>210</v>
      </c>
      <c r="U845" s="262" t="n">
        <f aca="false">ROUND(ROUND(2*((5/8)*MAX(M845,O845)+(3/8)*MIN(M845,O845)),0)*(1+(P845-75)/500),0)</f>
        <v>179</v>
      </c>
      <c r="V845" s="361" t="n">
        <f aca="false">ROUNDDOWN(K845*1.75+50,0)</f>
        <v>186</v>
      </c>
      <c r="W845" s="261" t="n">
        <v>0</v>
      </c>
      <c r="X845" s="261" t="s">
        <v>2065</v>
      </c>
      <c r="Y845" s="364" t="s">
        <v>2063</v>
      </c>
      <c r="Z845" s="364"/>
      <c r="AA845" s="364"/>
      <c r="AB845" s="365"/>
      <c r="AC845" s="364"/>
      <c r="AD845" s="364"/>
      <c r="AE845" s="366"/>
      <c r="AF845" s="364" t="s">
        <v>2068</v>
      </c>
      <c r="AG845" s="364" t="s">
        <v>2068</v>
      </c>
      <c r="AH845" s="366" t="s">
        <v>2068</v>
      </c>
    </row>
    <row r="846" customFormat="false" ht="15.75" hidden="false" customHeight="false" outlineLevel="0" collapsed="false">
      <c r="A846" s="262" t="n">
        <v>725</v>
      </c>
      <c r="B846" s="361" t="n">
        <v>844</v>
      </c>
      <c r="C846" s="261" t="s">
        <v>2069</v>
      </c>
      <c r="D846" s="261" t="s">
        <v>60</v>
      </c>
      <c r="E846" s="362" t="s">
        <v>2069</v>
      </c>
      <c r="F846" s="261" t="s">
        <v>290</v>
      </c>
      <c r="G846" s="261" t="s">
        <v>229</v>
      </c>
      <c r="H846" s="261" t="n">
        <v>0</v>
      </c>
      <c r="I846" s="261" t="n">
        <v>1</v>
      </c>
      <c r="J846" s="361" t="n">
        <v>0</v>
      </c>
      <c r="K846" s="262" t="n">
        <v>45</v>
      </c>
      <c r="L846" s="262" t="n">
        <v>65</v>
      </c>
      <c r="M846" s="262" t="n">
        <v>40</v>
      </c>
      <c r="N846" s="262" t="n">
        <v>60</v>
      </c>
      <c r="O846" s="262" t="n">
        <v>40</v>
      </c>
      <c r="P846" s="361" t="n">
        <v>70</v>
      </c>
      <c r="Q846" s="261" t="s">
        <v>153</v>
      </c>
      <c r="R846" s="261"/>
      <c r="S846" s="363" t="n">
        <f aca="false" t="array" ref="S846:S846">IF(COUNTIF('0.3.0 GO Calculation Values'!$J$2:$J$99,C846),(INDEX('0.3.0 GO Calculation Values'!$K$2:$K$99,MATCH(C846,'0.3.0 GO Calculation Values'!$J$2:$J$99,0))),1)</f>
        <v>1</v>
      </c>
      <c r="T846" s="262" t="n">
        <f aca="false">ROUND(ROUND(2*((7/8)*MAX(L846,N846)+(1/8)*MIN(L846,N846)),0)*(1+(P846-75)/500),0)</f>
        <v>128</v>
      </c>
      <c r="U846" s="262" t="n">
        <f aca="false">ROUND(ROUND(2*((5/8)*MAX(M846,O846)+(3/8)*MIN(M846,O846)),0)*(1+(P846-75)/500),0)</f>
        <v>79</v>
      </c>
      <c r="V846" s="361" t="n">
        <f aca="false">ROUNDDOWN(K846*1.75+50,0)</f>
        <v>128</v>
      </c>
      <c r="W846" s="261" t="n">
        <v>0</v>
      </c>
      <c r="X846" s="261" t="s">
        <v>60</v>
      </c>
      <c r="Y846" s="364" t="s">
        <v>2069</v>
      </c>
      <c r="Z846" s="364"/>
      <c r="AA846" s="364"/>
      <c r="AB846" s="365"/>
      <c r="AC846" s="364"/>
      <c r="AD846" s="364"/>
      <c r="AE846" s="366"/>
      <c r="AF846" s="364" t="s">
        <v>2070</v>
      </c>
      <c r="AG846" s="364" t="s">
        <v>2070</v>
      </c>
      <c r="AH846" s="366" t="s">
        <v>2070</v>
      </c>
    </row>
    <row r="847" customFormat="false" ht="15.75" hidden="false" customHeight="false" outlineLevel="0" collapsed="false">
      <c r="A847" s="262" t="n">
        <v>726</v>
      </c>
      <c r="B847" s="361" t="n">
        <v>845</v>
      </c>
      <c r="C847" s="261" t="s">
        <v>2071</v>
      </c>
      <c r="D847" s="261" t="s">
        <v>60</v>
      </c>
      <c r="E847" s="362" t="s">
        <v>2071</v>
      </c>
      <c r="F847" s="261" t="s">
        <v>290</v>
      </c>
      <c r="G847" s="261" t="s">
        <v>229</v>
      </c>
      <c r="H847" s="261" t="n">
        <v>0</v>
      </c>
      <c r="I847" s="261" t="n">
        <v>2</v>
      </c>
      <c r="J847" s="361" t="n">
        <v>0</v>
      </c>
      <c r="K847" s="262" t="n">
        <v>65</v>
      </c>
      <c r="L847" s="262" t="n">
        <v>85</v>
      </c>
      <c r="M847" s="262" t="n">
        <v>50</v>
      </c>
      <c r="N847" s="262" t="n">
        <v>80</v>
      </c>
      <c r="O847" s="262" t="n">
        <v>50</v>
      </c>
      <c r="P847" s="361" t="n">
        <v>90</v>
      </c>
      <c r="Q847" s="261" t="s">
        <v>153</v>
      </c>
      <c r="R847" s="261"/>
      <c r="S847" s="363" t="n">
        <f aca="false" t="array" ref="S847:S847">IF(COUNTIF('0.3.0 GO Calculation Values'!$J$2:$J$99,C847),(INDEX('0.3.0 GO Calculation Values'!$K$2:$K$99,MATCH(C847,'0.3.0 GO Calculation Values'!$J$2:$J$99,0))),1)</f>
        <v>1</v>
      </c>
      <c r="T847" s="262" t="n">
        <f aca="false">ROUND(ROUND(2*((7/8)*MAX(L847,N847)+(1/8)*MIN(L847,N847)),0)*(1+(P847-75)/500),0)</f>
        <v>174</v>
      </c>
      <c r="U847" s="262" t="n">
        <f aca="false">ROUND(ROUND(2*((5/8)*MAX(M847,O847)+(3/8)*MIN(M847,O847)),0)*(1+(P847-75)/500),0)</f>
        <v>103</v>
      </c>
      <c r="V847" s="361" t="n">
        <f aca="false">ROUNDDOWN(K847*1.75+50,0)</f>
        <v>163</v>
      </c>
      <c r="W847" s="261" t="n">
        <v>0</v>
      </c>
      <c r="X847" s="261" t="s">
        <v>2069</v>
      </c>
      <c r="Y847" s="364" t="s">
        <v>2069</v>
      </c>
      <c r="Z847" s="364"/>
      <c r="AA847" s="364"/>
      <c r="AB847" s="365"/>
      <c r="AC847" s="364"/>
      <c r="AD847" s="364"/>
      <c r="AE847" s="366"/>
      <c r="AF847" s="364" t="s">
        <v>2072</v>
      </c>
      <c r="AG847" s="364" t="s">
        <v>2072</v>
      </c>
      <c r="AH847" s="366" t="s">
        <v>2072</v>
      </c>
    </row>
    <row r="848" customFormat="false" ht="15.75" hidden="false" customHeight="false" outlineLevel="0" collapsed="false">
      <c r="A848" s="262" t="n">
        <v>727</v>
      </c>
      <c r="B848" s="361" t="n">
        <v>846</v>
      </c>
      <c r="C848" s="261" t="s">
        <v>2073</v>
      </c>
      <c r="D848" s="261" t="s">
        <v>60</v>
      </c>
      <c r="E848" s="362" t="s">
        <v>2073</v>
      </c>
      <c r="F848" s="261" t="s">
        <v>290</v>
      </c>
      <c r="G848" s="261" t="s">
        <v>229</v>
      </c>
      <c r="H848" s="261" t="n">
        <v>0</v>
      </c>
      <c r="I848" s="261" t="n">
        <v>3</v>
      </c>
      <c r="J848" s="361" t="n">
        <v>1</v>
      </c>
      <c r="K848" s="262" t="n">
        <v>95</v>
      </c>
      <c r="L848" s="262" t="n">
        <v>115</v>
      </c>
      <c r="M848" s="262" t="n">
        <v>90</v>
      </c>
      <c r="N848" s="262" t="n">
        <v>80</v>
      </c>
      <c r="O848" s="262" t="n">
        <v>90</v>
      </c>
      <c r="P848" s="361" t="n">
        <v>60</v>
      </c>
      <c r="Q848" s="261" t="s">
        <v>153</v>
      </c>
      <c r="R848" s="261" t="s">
        <v>160</v>
      </c>
      <c r="S848" s="363" t="n">
        <f aca="false" t="array" ref="S848:S848">IF(COUNTIF('0.3.0 GO Calculation Values'!$J$2:$J$99,C848),(INDEX('0.3.0 GO Calculation Values'!$K$2:$K$99,MATCH(C848,'0.3.0 GO Calculation Values'!$J$2:$J$99,0))),1)</f>
        <v>1</v>
      </c>
      <c r="T848" s="262" t="n">
        <f aca="false">ROUND(ROUND(2*((7/8)*MAX(L848,N848)+(1/8)*MIN(L848,N848)),0)*(1+(P848-75)/500),0)</f>
        <v>214</v>
      </c>
      <c r="U848" s="262" t="n">
        <f aca="false">ROUND(ROUND(2*((5/8)*MAX(M848,O848)+(3/8)*MIN(M848,O848)),0)*(1+(P848-75)/500),0)</f>
        <v>175</v>
      </c>
      <c r="V848" s="361" t="n">
        <f aca="false">ROUNDDOWN(K848*1.75+50,0)</f>
        <v>216</v>
      </c>
      <c r="W848" s="261" t="n">
        <v>0</v>
      </c>
      <c r="X848" s="261" t="s">
        <v>2071</v>
      </c>
      <c r="Y848" s="364" t="s">
        <v>2069</v>
      </c>
      <c r="Z848" s="364"/>
      <c r="AA848" s="364"/>
      <c r="AB848" s="365"/>
      <c r="AC848" s="364"/>
      <c r="AD848" s="364"/>
      <c r="AE848" s="366"/>
      <c r="AF848" s="364" t="s">
        <v>2074</v>
      </c>
      <c r="AG848" s="364" t="s">
        <v>2074</v>
      </c>
      <c r="AH848" s="366" t="s">
        <v>2074</v>
      </c>
    </row>
    <row r="849" customFormat="false" ht="15.75" hidden="false" customHeight="false" outlineLevel="0" collapsed="false">
      <c r="A849" s="262" t="n">
        <v>728</v>
      </c>
      <c r="B849" s="361" t="n">
        <v>847</v>
      </c>
      <c r="C849" s="261" t="s">
        <v>2075</v>
      </c>
      <c r="D849" s="261" t="s">
        <v>60</v>
      </c>
      <c r="E849" s="362" t="s">
        <v>2075</v>
      </c>
      <c r="F849" s="261" t="s">
        <v>290</v>
      </c>
      <c r="G849" s="261" t="s">
        <v>229</v>
      </c>
      <c r="H849" s="261" t="n">
        <v>0</v>
      </c>
      <c r="I849" s="261" t="n">
        <v>1</v>
      </c>
      <c r="J849" s="361" t="n">
        <v>0</v>
      </c>
      <c r="K849" s="262" t="n">
        <v>50</v>
      </c>
      <c r="L849" s="262" t="n">
        <v>54</v>
      </c>
      <c r="M849" s="262" t="n">
        <v>54</v>
      </c>
      <c r="N849" s="262" t="n">
        <v>66</v>
      </c>
      <c r="O849" s="262" t="n">
        <v>56</v>
      </c>
      <c r="P849" s="361" t="n">
        <v>40</v>
      </c>
      <c r="Q849" s="261" t="s">
        <v>154</v>
      </c>
      <c r="R849" s="261"/>
      <c r="S849" s="363" t="n">
        <f aca="false" t="array" ref="S849:S849">IF(COUNTIF('0.3.0 GO Calculation Values'!$J$2:$J$99,C849),(INDEX('0.3.0 GO Calculation Values'!$K$2:$K$99,MATCH(C849,'0.3.0 GO Calculation Values'!$J$2:$J$99,0))),1)</f>
        <v>1</v>
      </c>
      <c r="T849" s="262" t="n">
        <f aca="false">ROUND(ROUND(2*((7/8)*MAX(L849,N849)+(1/8)*MIN(L849,N849)),0)*(1+(P849-75)/500),0)</f>
        <v>120</v>
      </c>
      <c r="U849" s="262" t="n">
        <f aca="false">ROUND(ROUND(2*((5/8)*MAX(M849,O849)+(3/8)*MIN(M849,O849)),0)*(1+(P849-75)/500),0)</f>
        <v>103</v>
      </c>
      <c r="V849" s="361" t="n">
        <f aca="false">ROUNDDOWN(K849*1.75+50,0)</f>
        <v>137</v>
      </c>
      <c r="W849" s="261" t="n">
        <v>0</v>
      </c>
      <c r="X849" s="261" t="s">
        <v>60</v>
      </c>
      <c r="Y849" s="364" t="s">
        <v>2075</v>
      </c>
      <c r="Z849" s="364"/>
      <c r="AA849" s="364"/>
      <c r="AB849" s="365"/>
      <c r="AC849" s="364"/>
      <c r="AD849" s="364"/>
      <c r="AE849" s="366"/>
      <c r="AF849" s="364" t="s">
        <v>2076</v>
      </c>
      <c r="AG849" s="364" t="s">
        <v>2076</v>
      </c>
      <c r="AH849" s="366" t="s">
        <v>2076</v>
      </c>
    </row>
    <row r="850" customFormat="false" ht="15.75" hidden="false" customHeight="false" outlineLevel="0" collapsed="false">
      <c r="A850" s="262" t="n">
        <v>729</v>
      </c>
      <c r="B850" s="361" t="n">
        <v>848</v>
      </c>
      <c r="C850" s="261" t="s">
        <v>2077</v>
      </c>
      <c r="D850" s="261" t="s">
        <v>60</v>
      </c>
      <c r="E850" s="362" t="s">
        <v>2077</v>
      </c>
      <c r="F850" s="261" t="s">
        <v>290</v>
      </c>
      <c r="G850" s="261" t="s">
        <v>229</v>
      </c>
      <c r="H850" s="261" t="n">
        <v>0</v>
      </c>
      <c r="I850" s="261" t="n">
        <v>2</v>
      </c>
      <c r="J850" s="361" t="n">
        <v>0</v>
      </c>
      <c r="K850" s="262" t="n">
        <v>60</v>
      </c>
      <c r="L850" s="262" t="n">
        <v>69</v>
      </c>
      <c r="M850" s="262" t="n">
        <v>69</v>
      </c>
      <c r="N850" s="262" t="n">
        <v>91</v>
      </c>
      <c r="O850" s="262" t="n">
        <v>81</v>
      </c>
      <c r="P850" s="361" t="n">
        <v>50</v>
      </c>
      <c r="Q850" s="261" t="s">
        <v>154</v>
      </c>
      <c r="R850" s="261"/>
      <c r="S850" s="363" t="n">
        <f aca="false" t="array" ref="S850:S850">IF(COUNTIF('0.3.0 GO Calculation Values'!$J$2:$J$99,C850),(INDEX('0.3.0 GO Calculation Values'!$K$2:$K$99,MATCH(C850,'0.3.0 GO Calculation Values'!$J$2:$J$99,0))),1)</f>
        <v>1</v>
      </c>
      <c r="T850" s="262" t="n">
        <f aca="false">ROUND(ROUND(2*((7/8)*MAX(L850,N850)+(1/8)*MIN(L850,N850)),0)*(1+(P850-75)/500),0)</f>
        <v>168</v>
      </c>
      <c r="U850" s="262" t="n">
        <f aca="false">ROUND(ROUND(2*((5/8)*MAX(M850,O850)+(3/8)*MIN(M850,O850)),0)*(1+(P850-75)/500),0)</f>
        <v>145</v>
      </c>
      <c r="V850" s="361" t="n">
        <f aca="false">ROUNDDOWN(K850*1.75+50,0)</f>
        <v>155</v>
      </c>
      <c r="W850" s="261" t="n">
        <v>0</v>
      </c>
      <c r="X850" s="261" t="s">
        <v>2075</v>
      </c>
      <c r="Y850" s="364" t="s">
        <v>2075</v>
      </c>
      <c r="Z850" s="364"/>
      <c r="AA850" s="364"/>
      <c r="AB850" s="365"/>
      <c r="AC850" s="364"/>
      <c r="AD850" s="364"/>
      <c r="AE850" s="366"/>
      <c r="AF850" s="364" t="s">
        <v>2078</v>
      </c>
      <c r="AG850" s="364" t="s">
        <v>2078</v>
      </c>
      <c r="AH850" s="366" t="s">
        <v>2078</v>
      </c>
    </row>
    <row r="851" customFormat="false" ht="15.75" hidden="false" customHeight="false" outlineLevel="0" collapsed="false">
      <c r="A851" s="262" t="n">
        <v>730</v>
      </c>
      <c r="B851" s="361" t="n">
        <v>849</v>
      </c>
      <c r="C851" s="261" t="s">
        <v>2079</v>
      </c>
      <c r="D851" s="261" t="s">
        <v>60</v>
      </c>
      <c r="E851" s="362" t="s">
        <v>2079</v>
      </c>
      <c r="F851" s="261" t="s">
        <v>290</v>
      </c>
      <c r="G851" s="261" t="s">
        <v>229</v>
      </c>
      <c r="H851" s="261" t="n">
        <v>0</v>
      </c>
      <c r="I851" s="261" t="n">
        <v>3</v>
      </c>
      <c r="J851" s="361" t="n">
        <v>1</v>
      </c>
      <c r="K851" s="262" t="n">
        <v>80</v>
      </c>
      <c r="L851" s="262" t="n">
        <v>74</v>
      </c>
      <c r="M851" s="262" t="n">
        <v>74</v>
      </c>
      <c r="N851" s="262" t="n">
        <v>126</v>
      </c>
      <c r="O851" s="262" t="n">
        <v>116</v>
      </c>
      <c r="P851" s="361" t="n">
        <v>60</v>
      </c>
      <c r="Q851" s="261" t="s">
        <v>154</v>
      </c>
      <c r="R851" s="261" t="s">
        <v>161</v>
      </c>
      <c r="S851" s="363" t="n">
        <f aca="false" t="array" ref="S851:S851">IF(COUNTIF('0.3.0 GO Calculation Values'!$J$2:$J$99,C851),(INDEX('0.3.0 GO Calculation Values'!$K$2:$K$99,MATCH(C851,'0.3.0 GO Calculation Values'!$J$2:$J$99,0))),1)</f>
        <v>1</v>
      </c>
      <c r="T851" s="262" t="n">
        <f aca="false">ROUND(ROUND(2*((7/8)*MAX(L851,N851)+(1/8)*MIN(L851,N851)),0)*(1+(P851-75)/500),0)</f>
        <v>232</v>
      </c>
      <c r="U851" s="262" t="n">
        <f aca="false">ROUND(ROUND(2*((5/8)*MAX(M851,O851)+(3/8)*MIN(M851,O851)),0)*(1+(P851-75)/500),0)</f>
        <v>195</v>
      </c>
      <c r="V851" s="361" t="n">
        <f aca="false">ROUNDDOWN(K851*1.75+50,0)</f>
        <v>190</v>
      </c>
      <c r="W851" s="261" t="n">
        <v>0</v>
      </c>
      <c r="X851" s="261" t="s">
        <v>2077</v>
      </c>
      <c r="Y851" s="364" t="s">
        <v>2075</v>
      </c>
      <c r="Z851" s="364"/>
      <c r="AA851" s="364"/>
      <c r="AB851" s="365"/>
      <c r="AC851" s="364"/>
      <c r="AD851" s="364"/>
      <c r="AE851" s="366"/>
      <c r="AF851" s="364" t="s">
        <v>2080</v>
      </c>
      <c r="AG851" s="364" t="s">
        <v>2080</v>
      </c>
      <c r="AH851" s="366" t="s">
        <v>2080</v>
      </c>
    </row>
    <row r="852" customFormat="false" ht="15.75" hidden="false" customHeight="false" outlineLevel="0" collapsed="false">
      <c r="A852" s="262" t="n">
        <v>731</v>
      </c>
      <c r="B852" s="361" t="n">
        <v>850</v>
      </c>
      <c r="C852" s="261" t="s">
        <v>2081</v>
      </c>
      <c r="D852" s="261" t="s">
        <v>60</v>
      </c>
      <c r="E852" s="362" t="s">
        <v>2081</v>
      </c>
      <c r="F852" s="261" t="s">
        <v>290</v>
      </c>
      <c r="G852" s="261" t="s">
        <v>144</v>
      </c>
      <c r="H852" s="261" t="n">
        <v>0</v>
      </c>
      <c r="I852" s="261" t="n">
        <v>1</v>
      </c>
      <c r="J852" s="361" t="n">
        <v>0</v>
      </c>
      <c r="K852" s="262" t="n">
        <v>35</v>
      </c>
      <c r="L852" s="262" t="n">
        <v>75</v>
      </c>
      <c r="M852" s="262" t="n">
        <v>30</v>
      </c>
      <c r="N852" s="262" t="n">
        <v>30</v>
      </c>
      <c r="O852" s="262" t="n">
        <v>30</v>
      </c>
      <c r="P852" s="361" t="n">
        <v>65</v>
      </c>
      <c r="Q852" s="261" t="s">
        <v>144</v>
      </c>
      <c r="R852" s="261" t="s">
        <v>146</v>
      </c>
      <c r="S852" s="363" t="n">
        <f aca="false" t="array" ref="S852:S852">IF(COUNTIF('0.3.0 GO Calculation Values'!$J$2:$J$99,C852),(INDEX('0.3.0 GO Calculation Values'!$K$2:$K$99,MATCH(C852,'0.3.0 GO Calculation Values'!$J$2:$J$99,0))),1)</f>
        <v>1</v>
      </c>
      <c r="T852" s="262" t="n">
        <f aca="false">ROUND(ROUND(2*((7/8)*MAX(L852,N852)+(1/8)*MIN(L852,N852)),0)*(1+(P852-75)/500),0)</f>
        <v>136</v>
      </c>
      <c r="U852" s="262" t="n">
        <f aca="false">ROUND(ROUND(2*((5/8)*MAX(M852,O852)+(3/8)*MIN(M852,O852)),0)*(1+(P852-75)/500),0)</f>
        <v>59</v>
      </c>
      <c r="V852" s="361" t="n">
        <f aca="false">ROUNDDOWN(K852*1.75+50,0)</f>
        <v>111</v>
      </c>
      <c r="W852" s="261" t="n">
        <v>0</v>
      </c>
      <c r="X852" s="261" t="s">
        <v>60</v>
      </c>
      <c r="Y852" s="364" t="s">
        <v>2081</v>
      </c>
      <c r="Z852" s="364"/>
      <c r="AA852" s="364"/>
      <c r="AB852" s="365"/>
      <c r="AC852" s="364"/>
      <c r="AD852" s="364"/>
      <c r="AE852" s="366"/>
      <c r="AF852" s="364" t="s">
        <v>2082</v>
      </c>
      <c r="AG852" s="364" t="s">
        <v>2082</v>
      </c>
      <c r="AH852" s="366" t="s">
        <v>2082</v>
      </c>
    </row>
    <row r="853" customFormat="false" ht="15.75" hidden="false" customHeight="false" outlineLevel="0" collapsed="false">
      <c r="A853" s="262" t="n">
        <v>732</v>
      </c>
      <c r="B853" s="361" t="n">
        <v>851</v>
      </c>
      <c r="C853" s="261" t="s">
        <v>2083</v>
      </c>
      <c r="D853" s="261" t="s">
        <v>60</v>
      </c>
      <c r="E853" s="362" t="s">
        <v>2083</v>
      </c>
      <c r="F853" s="261" t="s">
        <v>290</v>
      </c>
      <c r="G853" s="261" t="s">
        <v>144</v>
      </c>
      <c r="H853" s="261" t="n">
        <v>0</v>
      </c>
      <c r="I853" s="261" t="n">
        <v>2</v>
      </c>
      <c r="J853" s="361" t="n">
        <v>0</v>
      </c>
      <c r="K853" s="262" t="n">
        <v>55</v>
      </c>
      <c r="L853" s="262" t="n">
        <v>85</v>
      </c>
      <c r="M853" s="262" t="n">
        <v>50</v>
      </c>
      <c r="N853" s="262" t="n">
        <v>40</v>
      </c>
      <c r="O853" s="262" t="n">
        <v>50</v>
      </c>
      <c r="P853" s="361" t="n">
        <v>75</v>
      </c>
      <c r="Q853" s="261" t="s">
        <v>144</v>
      </c>
      <c r="R853" s="261" t="s">
        <v>146</v>
      </c>
      <c r="S853" s="363" t="n">
        <f aca="false" t="array" ref="S853:S853">IF(COUNTIF('0.3.0 GO Calculation Values'!$J$2:$J$99,C853),(INDEX('0.3.0 GO Calculation Values'!$K$2:$K$99,MATCH(C853,'0.3.0 GO Calculation Values'!$J$2:$J$99,0))),1)</f>
        <v>1</v>
      </c>
      <c r="T853" s="262" t="n">
        <f aca="false">ROUND(ROUND(2*((7/8)*MAX(L853,N853)+(1/8)*MIN(L853,N853)),0)*(1+(P853-75)/500),0)</f>
        <v>159</v>
      </c>
      <c r="U853" s="262" t="n">
        <f aca="false">ROUND(ROUND(2*((5/8)*MAX(M853,O853)+(3/8)*MIN(M853,O853)),0)*(1+(P853-75)/500),0)</f>
        <v>100</v>
      </c>
      <c r="V853" s="361" t="n">
        <f aca="false">ROUNDDOWN(K853*1.75+50,0)</f>
        <v>146</v>
      </c>
      <c r="W853" s="261" t="n">
        <v>0</v>
      </c>
      <c r="X853" s="261" t="s">
        <v>2081</v>
      </c>
      <c r="Y853" s="364" t="s">
        <v>2081</v>
      </c>
      <c r="Z853" s="364"/>
      <c r="AA853" s="364"/>
      <c r="AB853" s="365"/>
      <c r="AC853" s="364"/>
      <c r="AD853" s="364"/>
      <c r="AE853" s="366"/>
      <c r="AF853" s="364" t="s">
        <v>2084</v>
      </c>
      <c r="AG853" s="364" t="s">
        <v>2084</v>
      </c>
      <c r="AH853" s="366" t="s">
        <v>2084</v>
      </c>
    </row>
    <row r="854" customFormat="false" ht="15.75" hidden="false" customHeight="false" outlineLevel="0" collapsed="false">
      <c r="A854" s="262" t="n">
        <v>733</v>
      </c>
      <c r="B854" s="361" t="n">
        <v>852</v>
      </c>
      <c r="C854" s="261" t="s">
        <v>2085</v>
      </c>
      <c r="D854" s="261" t="s">
        <v>60</v>
      </c>
      <c r="E854" s="362" t="s">
        <v>2085</v>
      </c>
      <c r="F854" s="261" t="s">
        <v>290</v>
      </c>
      <c r="G854" s="261" t="s">
        <v>144</v>
      </c>
      <c r="H854" s="261" t="n">
        <v>0</v>
      </c>
      <c r="I854" s="261" t="n">
        <v>3</v>
      </c>
      <c r="J854" s="361" t="n">
        <v>1</v>
      </c>
      <c r="K854" s="262" t="n">
        <v>80</v>
      </c>
      <c r="L854" s="262" t="n">
        <v>120</v>
      </c>
      <c r="M854" s="262" t="n">
        <v>75</v>
      </c>
      <c r="N854" s="262" t="n">
        <v>75</v>
      </c>
      <c r="O854" s="262" t="n">
        <v>75</v>
      </c>
      <c r="P854" s="361" t="n">
        <v>60</v>
      </c>
      <c r="Q854" s="261" t="s">
        <v>144</v>
      </c>
      <c r="R854" s="261" t="s">
        <v>146</v>
      </c>
      <c r="S854" s="363" t="n">
        <f aca="false" t="array" ref="S854:S854">IF(COUNTIF('0.3.0 GO Calculation Values'!$J$2:$J$99,C854),(INDEX('0.3.0 GO Calculation Values'!$K$2:$K$99,MATCH(C854,'0.3.0 GO Calculation Values'!$J$2:$J$99,0))),1)</f>
        <v>1</v>
      </c>
      <c r="T854" s="262" t="n">
        <f aca="false">ROUND(ROUND(2*((7/8)*MAX(L854,N854)+(1/8)*MIN(L854,N854)),0)*(1+(P854-75)/500),0)</f>
        <v>222</v>
      </c>
      <c r="U854" s="262" t="n">
        <f aca="false">ROUND(ROUND(2*((5/8)*MAX(M854,O854)+(3/8)*MIN(M854,O854)),0)*(1+(P854-75)/500),0)</f>
        <v>146</v>
      </c>
      <c r="V854" s="361" t="n">
        <f aca="false">ROUNDDOWN(K854*1.75+50,0)</f>
        <v>190</v>
      </c>
      <c r="W854" s="261" t="n">
        <v>0</v>
      </c>
      <c r="X854" s="261" t="s">
        <v>2083</v>
      </c>
      <c r="Y854" s="364" t="s">
        <v>2081</v>
      </c>
      <c r="Z854" s="364"/>
      <c r="AA854" s="364"/>
      <c r="AB854" s="365"/>
      <c r="AC854" s="364"/>
      <c r="AD854" s="364"/>
      <c r="AE854" s="366"/>
      <c r="AF854" s="364" t="s">
        <v>2086</v>
      </c>
      <c r="AG854" s="364" t="s">
        <v>2086</v>
      </c>
      <c r="AH854" s="366" t="s">
        <v>2086</v>
      </c>
    </row>
    <row r="855" customFormat="false" ht="15.75" hidden="false" customHeight="false" outlineLevel="0" collapsed="false">
      <c r="A855" s="262" t="n">
        <v>734</v>
      </c>
      <c r="B855" s="361" t="n">
        <v>853</v>
      </c>
      <c r="C855" s="261" t="s">
        <v>2087</v>
      </c>
      <c r="D855" s="261" t="s">
        <v>60</v>
      </c>
      <c r="E855" s="362" t="s">
        <v>2087</v>
      </c>
      <c r="F855" s="261" t="s">
        <v>290</v>
      </c>
      <c r="G855" s="261" t="s">
        <v>144</v>
      </c>
      <c r="H855" s="261" t="n">
        <v>0</v>
      </c>
      <c r="I855" s="261" t="n">
        <v>1</v>
      </c>
      <c r="J855" s="361" t="n">
        <v>0</v>
      </c>
      <c r="K855" s="262" t="n">
        <v>48</v>
      </c>
      <c r="L855" s="262" t="n">
        <v>70</v>
      </c>
      <c r="M855" s="262" t="n">
        <v>30</v>
      </c>
      <c r="N855" s="262" t="n">
        <v>30</v>
      </c>
      <c r="O855" s="262" t="n">
        <v>30</v>
      </c>
      <c r="P855" s="361" t="n">
        <v>45</v>
      </c>
      <c r="Q855" s="261" t="s">
        <v>144</v>
      </c>
      <c r="R855" s="261"/>
      <c r="S855" s="363" t="n">
        <f aca="false" t="array" ref="S855:S855">IF(COUNTIF('0.3.0 GO Calculation Values'!$J$2:$J$99,C855),(INDEX('0.3.0 GO Calculation Values'!$K$2:$K$99,MATCH(C855,'0.3.0 GO Calculation Values'!$J$2:$J$99,0))),1)</f>
        <v>1</v>
      </c>
      <c r="T855" s="262" t="n">
        <f aca="false">ROUND(ROUND(2*((7/8)*MAX(L855,N855)+(1/8)*MIN(L855,N855)),0)*(1+(P855-75)/500),0)</f>
        <v>122</v>
      </c>
      <c r="U855" s="262" t="n">
        <f aca="false">ROUND(ROUND(2*((5/8)*MAX(M855,O855)+(3/8)*MIN(M855,O855)),0)*(1+(P855-75)/500),0)</f>
        <v>56</v>
      </c>
      <c r="V855" s="361" t="n">
        <f aca="false">ROUNDDOWN(K855*1.75+50,0)</f>
        <v>134</v>
      </c>
      <c r="W855" s="261" t="n">
        <v>0</v>
      </c>
      <c r="X855" s="261" t="s">
        <v>60</v>
      </c>
      <c r="Y855" s="364" t="s">
        <v>2087</v>
      </c>
      <c r="Z855" s="364"/>
      <c r="AA855" s="364"/>
      <c r="AB855" s="365"/>
      <c r="AC855" s="364"/>
      <c r="AD855" s="364"/>
      <c r="AE855" s="366"/>
      <c r="AF855" s="364" t="s">
        <v>2088</v>
      </c>
      <c r="AG855" s="364" t="s">
        <v>2088</v>
      </c>
      <c r="AH855" s="366" t="s">
        <v>2088</v>
      </c>
    </row>
    <row r="856" customFormat="false" ht="15.75" hidden="false" customHeight="false" outlineLevel="0" collapsed="false">
      <c r="A856" s="262" t="n">
        <v>735</v>
      </c>
      <c r="B856" s="361" t="n">
        <v>854</v>
      </c>
      <c r="C856" s="261" t="s">
        <v>2089</v>
      </c>
      <c r="D856" s="261" t="s">
        <v>60</v>
      </c>
      <c r="E856" s="362" t="s">
        <v>2089</v>
      </c>
      <c r="F856" s="261" t="s">
        <v>290</v>
      </c>
      <c r="G856" s="261" t="s">
        <v>144</v>
      </c>
      <c r="H856" s="261" t="n">
        <v>0</v>
      </c>
      <c r="I856" s="261" t="n">
        <v>2</v>
      </c>
      <c r="J856" s="361" t="n">
        <v>1</v>
      </c>
      <c r="K856" s="262" t="n">
        <v>88</v>
      </c>
      <c r="L856" s="262" t="n">
        <v>110</v>
      </c>
      <c r="M856" s="262" t="n">
        <v>60</v>
      </c>
      <c r="N856" s="262" t="n">
        <v>55</v>
      </c>
      <c r="O856" s="262" t="n">
        <v>60</v>
      </c>
      <c r="P856" s="361" t="n">
        <v>45</v>
      </c>
      <c r="Q856" s="261" t="s">
        <v>144</v>
      </c>
      <c r="R856" s="261"/>
      <c r="S856" s="363" t="n">
        <f aca="false" t="array" ref="S856:S856">IF(COUNTIF('0.3.0 GO Calculation Values'!$J$2:$J$99,C856),(INDEX('0.3.0 GO Calculation Values'!$K$2:$K$99,MATCH(C856,'0.3.0 GO Calculation Values'!$J$2:$J$99,0))),1)</f>
        <v>1</v>
      </c>
      <c r="T856" s="262" t="n">
        <f aca="false">ROUND(ROUND(2*((7/8)*MAX(L856,N856)+(1/8)*MIN(L856,N856)),0)*(1+(P856-75)/500),0)</f>
        <v>194</v>
      </c>
      <c r="U856" s="262" t="n">
        <f aca="false">ROUND(ROUND(2*((5/8)*MAX(M856,O856)+(3/8)*MIN(M856,O856)),0)*(1+(P856-75)/500),0)</f>
        <v>113</v>
      </c>
      <c r="V856" s="361" t="n">
        <f aca="false">ROUNDDOWN(K856*1.75+50,0)</f>
        <v>204</v>
      </c>
      <c r="W856" s="261" t="n">
        <v>0</v>
      </c>
      <c r="X856" s="261" t="s">
        <v>2087</v>
      </c>
      <c r="Y856" s="364" t="s">
        <v>2087</v>
      </c>
      <c r="Z856" s="364"/>
      <c r="AA856" s="364"/>
      <c r="AB856" s="365"/>
      <c r="AC856" s="364"/>
      <c r="AD856" s="364"/>
      <c r="AE856" s="366"/>
      <c r="AF856" s="364" t="s">
        <v>2090</v>
      </c>
      <c r="AG856" s="364" t="s">
        <v>2090</v>
      </c>
      <c r="AH856" s="366" t="s">
        <v>2090</v>
      </c>
    </row>
    <row r="857" customFormat="false" ht="15.75" hidden="false" customHeight="false" outlineLevel="0" collapsed="false">
      <c r="A857" s="262" t="n">
        <v>736</v>
      </c>
      <c r="B857" s="361" t="n">
        <v>855</v>
      </c>
      <c r="C857" s="261" t="s">
        <v>2091</v>
      </c>
      <c r="D857" s="261" t="s">
        <v>60</v>
      </c>
      <c r="E857" s="362" t="s">
        <v>2091</v>
      </c>
      <c r="F857" s="261" t="s">
        <v>290</v>
      </c>
      <c r="G857" s="261" t="s">
        <v>144</v>
      </c>
      <c r="H857" s="261" t="n">
        <v>0</v>
      </c>
      <c r="I857" s="261" t="n">
        <v>1</v>
      </c>
      <c r="J857" s="361" t="n">
        <v>0</v>
      </c>
      <c r="K857" s="262" t="n">
        <v>47</v>
      </c>
      <c r="L857" s="262" t="n">
        <v>62</v>
      </c>
      <c r="M857" s="262" t="n">
        <v>45</v>
      </c>
      <c r="N857" s="262" t="n">
        <v>55</v>
      </c>
      <c r="O857" s="262" t="n">
        <v>45</v>
      </c>
      <c r="P857" s="361" t="n">
        <v>46</v>
      </c>
      <c r="Q857" s="261" t="s">
        <v>150</v>
      </c>
      <c r="R857" s="261"/>
      <c r="S857" s="363" t="n">
        <f aca="false" t="array" ref="S857:S857">IF(COUNTIF('0.3.0 GO Calculation Values'!$J$2:$J$99,C857),(INDEX('0.3.0 GO Calculation Values'!$K$2:$K$99,MATCH(C857,'0.3.0 GO Calculation Values'!$J$2:$J$99,0))),1)</f>
        <v>1</v>
      </c>
      <c r="T857" s="262" t="n">
        <f aca="false">ROUND(ROUND(2*((7/8)*MAX(L857,N857)+(1/8)*MIN(L857,N857)),0)*(1+(P857-75)/500),0)</f>
        <v>115</v>
      </c>
      <c r="U857" s="262" t="n">
        <f aca="false">ROUND(ROUND(2*((5/8)*MAX(M857,O857)+(3/8)*MIN(M857,O857)),0)*(1+(P857-75)/500),0)</f>
        <v>85</v>
      </c>
      <c r="V857" s="361" t="n">
        <f aca="false">ROUNDDOWN(K857*1.75+50,0)</f>
        <v>132</v>
      </c>
      <c r="W857" s="261" t="n">
        <v>0</v>
      </c>
      <c r="X857" s="261" t="s">
        <v>60</v>
      </c>
      <c r="Y857" s="364" t="s">
        <v>2091</v>
      </c>
      <c r="Z857" s="364"/>
      <c r="AA857" s="364"/>
      <c r="AB857" s="365"/>
      <c r="AC857" s="364"/>
      <c r="AD857" s="364"/>
      <c r="AE857" s="366"/>
      <c r="AF857" s="364" t="s">
        <v>2092</v>
      </c>
      <c r="AG857" s="364" t="s">
        <v>2092</v>
      </c>
      <c r="AH857" s="366" t="s">
        <v>2092</v>
      </c>
    </row>
    <row r="858" customFormat="false" ht="15.75" hidden="false" customHeight="false" outlineLevel="0" collapsed="false">
      <c r="A858" s="262" t="n">
        <v>737</v>
      </c>
      <c r="B858" s="361" t="n">
        <v>856</v>
      </c>
      <c r="C858" s="261" t="s">
        <v>2093</v>
      </c>
      <c r="D858" s="261" t="s">
        <v>60</v>
      </c>
      <c r="E858" s="362" t="s">
        <v>2093</v>
      </c>
      <c r="F858" s="261" t="s">
        <v>290</v>
      </c>
      <c r="G858" s="261" t="s">
        <v>144</v>
      </c>
      <c r="H858" s="261" t="n">
        <v>0</v>
      </c>
      <c r="I858" s="261" t="n">
        <v>2</v>
      </c>
      <c r="J858" s="361" t="n">
        <v>0</v>
      </c>
      <c r="K858" s="262" t="n">
        <v>57</v>
      </c>
      <c r="L858" s="262" t="n">
        <v>82</v>
      </c>
      <c r="M858" s="262" t="n">
        <v>95</v>
      </c>
      <c r="N858" s="262" t="n">
        <v>55</v>
      </c>
      <c r="O858" s="262" t="n">
        <v>75</v>
      </c>
      <c r="P858" s="361" t="n">
        <v>36</v>
      </c>
      <c r="Q858" s="261" t="s">
        <v>150</v>
      </c>
      <c r="R858" s="261" t="s">
        <v>156</v>
      </c>
      <c r="S858" s="363" t="n">
        <f aca="false" t="array" ref="S858:S858">IF(COUNTIF('0.3.0 GO Calculation Values'!$J$2:$J$99,C858),(INDEX('0.3.0 GO Calculation Values'!$K$2:$K$99,MATCH(C858,'0.3.0 GO Calculation Values'!$J$2:$J$99,0))),1)</f>
        <v>1</v>
      </c>
      <c r="T858" s="262" t="n">
        <f aca="false">ROUND(ROUND(2*((7/8)*MAX(L858,N858)+(1/8)*MIN(L858,N858)),0)*(1+(P858-75)/500),0)</f>
        <v>145</v>
      </c>
      <c r="U858" s="262" t="n">
        <f aca="false">ROUND(ROUND(2*((5/8)*MAX(M858,O858)+(3/8)*MIN(M858,O858)),0)*(1+(P858-75)/500),0)</f>
        <v>161</v>
      </c>
      <c r="V858" s="361" t="n">
        <f aca="false">ROUNDDOWN(K858*1.75+50,0)</f>
        <v>149</v>
      </c>
      <c r="W858" s="261" t="n">
        <v>0</v>
      </c>
      <c r="X858" s="261" t="s">
        <v>2091</v>
      </c>
      <c r="Y858" s="364" t="s">
        <v>2091</v>
      </c>
      <c r="Z858" s="364"/>
      <c r="AA858" s="364"/>
      <c r="AB858" s="365"/>
      <c r="AC858" s="364"/>
      <c r="AD858" s="364"/>
      <c r="AE858" s="366"/>
      <c r="AF858" s="364" t="s">
        <v>2094</v>
      </c>
      <c r="AG858" s="364" t="s">
        <v>2094</v>
      </c>
      <c r="AH858" s="366" t="s">
        <v>2094</v>
      </c>
    </row>
    <row r="859" customFormat="false" ht="15.75" hidden="false" customHeight="false" outlineLevel="0" collapsed="false">
      <c r="A859" s="262" t="n">
        <v>738</v>
      </c>
      <c r="B859" s="361" t="n">
        <v>857</v>
      </c>
      <c r="C859" s="261" t="s">
        <v>2095</v>
      </c>
      <c r="D859" s="261" t="s">
        <v>60</v>
      </c>
      <c r="E859" s="362" t="s">
        <v>2095</v>
      </c>
      <c r="F859" s="261" t="s">
        <v>290</v>
      </c>
      <c r="G859" s="261" t="s">
        <v>144</v>
      </c>
      <c r="H859" s="261" t="n">
        <v>0</v>
      </c>
      <c r="I859" s="261" t="n">
        <v>3</v>
      </c>
      <c r="J859" s="361" t="n">
        <v>1</v>
      </c>
      <c r="K859" s="262" t="n">
        <v>77</v>
      </c>
      <c r="L859" s="262" t="n">
        <v>70</v>
      </c>
      <c r="M859" s="262" t="n">
        <v>90</v>
      </c>
      <c r="N859" s="262" t="n">
        <v>145</v>
      </c>
      <c r="O859" s="262" t="n">
        <v>75</v>
      </c>
      <c r="P859" s="361" t="n">
        <v>43</v>
      </c>
      <c r="Q859" s="261" t="s">
        <v>150</v>
      </c>
      <c r="R859" s="261" t="s">
        <v>156</v>
      </c>
      <c r="S859" s="363" t="n">
        <f aca="false" t="array" ref="S859:S859">IF(COUNTIF('0.3.0 GO Calculation Values'!$J$2:$J$99,C859),(INDEX('0.3.0 GO Calculation Values'!$K$2:$K$99,MATCH(C859,'0.3.0 GO Calculation Values'!$J$2:$J$99,0))),1)</f>
        <v>1</v>
      </c>
      <c r="T859" s="262" t="n">
        <f aca="false">ROUND(ROUND(2*((7/8)*MAX(L859,N859)+(1/8)*MIN(L859,N859)),0)*(1+(P859-75)/500),0)</f>
        <v>254</v>
      </c>
      <c r="U859" s="262" t="n">
        <f aca="false">ROUND(ROUND(2*((5/8)*MAX(M859,O859)+(3/8)*MIN(M859,O859)),0)*(1+(P859-75)/500),0)</f>
        <v>158</v>
      </c>
      <c r="V859" s="361" t="n">
        <f aca="false">ROUNDDOWN(K859*1.75+50,0)</f>
        <v>184</v>
      </c>
      <c r="W859" s="261" t="n">
        <v>0</v>
      </c>
      <c r="X859" s="261" t="s">
        <v>2093</v>
      </c>
      <c r="Y859" s="364" t="s">
        <v>2091</v>
      </c>
      <c r="Z859" s="364"/>
      <c r="AA859" s="364"/>
      <c r="AB859" s="365"/>
      <c r="AC859" s="364"/>
      <c r="AD859" s="364"/>
      <c r="AE859" s="366"/>
      <c r="AF859" s="364" t="s">
        <v>2096</v>
      </c>
      <c r="AG859" s="364" t="s">
        <v>2096</v>
      </c>
      <c r="AH859" s="366" t="s">
        <v>2096</v>
      </c>
    </row>
    <row r="860" customFormat="false" ht="15.75" hidden="false" customHeight="false" outlineLevel="0" collapsed="false">
      <c r="A860" s="262" t="n">
        <v>739</v>
      </c>
      <c r="B860" s="361" t="n">
        <v>858</v>
      </c>
      <c r="C860" s="261" t="s">
        <v>2097</v>
      </c>
      <c r="D860" s="261" t="s">
        <v>60</v>
      </c>
      <c r="E860" s="362" t="s">
        <v>2097</v>
      </c>
      <c r="F860" s="261" t="s">
        <v>290</v>
      </c>
      <c r="G860" s="261" t="s">
        <v>144</v>
      </c>
      <c r="H860" s="261" t="n">
        <v>0</v>
      </c>
      <c r="I860" s="261" t="n">
        <v>1</v>
      </c>
      <c r="J860" s="361" t="n">
        <v>0</v>
      </c>
      <c r="K860" s="262" t="n">
        <v>47</v>
      </c>
      <c r="L860" s="262" t="n">
        <v>82</v>
      </c>
      <c r="M860" s="262" t="n">
        <v>57</v>
      </c>
      <c r="N860" s="262" t="n">
        <v>42</v>
      </c>
      <c r="O860" s="262" t="n">
        <v>47</v>
      </c>
      <c r="P860" s="361" t="n">
        <v>63</v>
      </c>
      <c r="Q860" s="261" t="s">
        <v>145</v>
      </c>
      <c r="R860" s="261"/>
      <c r="S860" s="363" t="n">
        <f aca="false" t="array" ref="S860:S860">IF(COUNTIF('0.3.0 GO Calculation Values'!$J$2:$J$99,C860),(INDEX('0.3.0 GO Calculation Values'!$K$2:$K$99,MATCH(C860,'0.3.0 GO Calculation Values'!$J$2:$J$99,0))),1)</f>
        <v>1</v>
      </c>
      <c r="T860" s="262" t="n">
        <f aca="false">ROUND(ROUND(2*((7/8)*MAX(L860,N860)+(1/8)*MIN(L860,N860)),0)*(1+(P860-75)/500),0)</f>
        <v>150</v>
      </c>
      <c r="U860" s="262" t="n">
        <f aca="false">ROUND(ROUND(2*((5/8)*MAX(M860,O860)+(3/8)*MIN(M860,O860)),0)*(1+(P860-75)/500),0)</f>
        <v>104</v>
      </c>
      <c r="V860" s="361" t="n">
        <f aca="false">ROUNDDOWN(K860*1.75+50,0)</f>
        <v>132</v>
      </c>
      <c r="W860" s="261" t="n">
        <v>0</v>
      </c>
      <c r="X860" s="261" t="s">
        <v>60</v>
      </c>
      <c r="Y860" s="364" t="s">
        <v>2097</v>
      </c>
      <c r="Z860" s="364"/>
      <c r="AA860" s="364"/>
      <c r="AB860" s="365"/>
      <c r="AC860" s="364"/>
      <c r="AD860" s="364"/>
      <c r="AE860" s="366"/>
      <c r="AF860" s="364" t="s">
        <v>2098</v>
      </c>
      <c r="AG860" s="364" t="s">
        <v>2098</v>
      </c>
      <c r="AH860" s="366" t="s">
        <v>2098</v>
      </c>
    </row>
    <row r="861" customFormat="false" ht="15.75" hidden="false" customHeight="false" outlineLevel="0" collapsed="false">
      <c r="A861" s="262" t="n">
        <v>740</v>
      </c>
      <c r="B861" s="361" t="n">
        <v>859</v>
      </c>
      <c r="C861" s="261" t="s">
        <v>2099</v>
      </c>
      <c r="D861" s="261" t="s">
        <v>60</v>
      </c>
      <c r="E861" s="362" t="s">
        <v>2099</v>
      </c>
      <c r="F861" s="261" t="s">
        <v>290</v>
      </c>
      <c r="G861" s="261" t="s">
        <v>144</v>
      </c>
      <c r="H861" s="261" t="n">
        <v>0</v>
      </c>
      <c r="I861" s="261" t="n">
        <v>2</v>
      </c>
      <c r="J861" s="361" t="n">
        <v>1</v>
      </c>
      <c r="K861" s="262" t="n">
        <v>97</v>
      </c>
      <c r="L861" s="262" t="n">
        <v>132</v>
      </c>
      <c r="M861" s="262" t="n">
        <v>77</v>
      </c>
      <c r="N861" s="262" t="n">
        <v>62</v>
      </c>
      <c r="O861" s="262" t="n">
        <v>67</v>
      </c>
      <c r="P861" s="361" t="n">
        <v>43</v>
      </c>
      <c r="Q861" s="261" t="s">
        <v>145</v>
      </c>
      <c r="R861" s="261" t="s">
        <v>158</v>
      </c>
      <c r="S861" s="363" t="n">
        <f aca="false" t="array" ref="S861:S861">IF(COUNTIF('0.3.0 GO Calculation Values'!$J$2:$J$99,C861),(INDEX('0.3.0 GO Calculation Values'!$K$2:$K$99,MATCH(C861,'0.3.0 GO Calculation Values'!$J$2:$J$99,0))),1)</f>
        <v>1</v>
      </c>
      <c r="T861" s="262" t="n">
        <f aca="false">ROUND(ROUND(2*((7/8)*MAX(L861,N861)+(1/8)*MIN(L861,N861)),0)*(1+(P861-75)/500),0)</f>
        <v>231</v>
      </c>
      <c r="U861" s="262" t="n">
        <f aca="false">ROUND(ROUND(2*((5/8)*MAX(M861,O861)+(3/8)*MIN(M861,O861)),0)*(1+(P861-75)/500),0)</f>
        <v>138</v>
      </c>
      <c r="V861" s="361" t="n">
        <f aca="false">ROUNDDOWN(K861*1.75+50,0)</f>
        <v>219</v>
      </c>
      <c r="W861" s="261" t="n">
        <v>0</v>
      </c>
      <c r="X861" s="261" t="s">
        <v>2097</v>
      </c>
      <c r="Y861" s="364" t="s">
        <v>2097</v>
      </c>
      <c r="Z861" s="364"/>
      <c r="AA861" s="364"/>
      <c r="AB861" s="365"/>
      <c r="AC861" s="364"/>
      <c r="AD861" s="364"/>
      <c r="AE861" s="366"/>
      <c r="AF861" s="364" t="s">
        <v>2100</v>
      </c>
      <c r="AG861" s="364" t="s">
        <v>2100</v>
      </c>
      <c r="AH861" s="366" t="s">
        <v>2100</v>
      </c>
    </row>
    <row r="862" customFormat="false" ht="15.75" hidden="false" customHeight="false" outlineLevel="0" collapsed="false">
      <c r="A862" s="262" t="n">
        <v>741</v>
      </c>
      <c r="B862" s="361" t="n">
        <v>860</v>
      </c>
      <c r="C862" s="261" t="s">
        <v>2101</v>
      </c>
      <c r="D862" s="261" t="s">
        <v>60</v>
      </c>
      <c r="E862" s="362" t="s">
        <v>2101</v>
      </c>
      <c r="F862" s="261" t="s">
        <v>290</v>
      </c>
      <c r="G862" s="261" t="s">
        <v>144</v>
      </c>
      <c r="H862" s="261" t="n">
        <v>0</v>
      </c>
      <c r="I862" s="261" t="n">
        <v>1</v>
      </c>
      <c r="J862" s="361" t="n">
        <v>1</v>
      </c>
      <c r="K862" s="262" t="n">
        <v>75</v>
      </c>
      <c r="L862" s="262" t="n">
        <v>70</v>
      </c>
      <c r="M862" s="262" t="n">
        <v>70</v>
      </c>
      <c r="N862" s="262" t="n">
        <v>98</v>
      </c>
      <c r="O862" s="262" t="n">
        <v>70</v>
      </c>
      <c r="P862" s="361" t="n">
        <v>93</v>
      </c>
      <c r="Q862" s="261" t="s">
        <v>153</v>
      </c>
      <c r="R862" s="261" t="s">
        <v>146</v>
      </c>
      <c r="S862" s="363" t="n">
        <f aca="false" t="array" ref="S862:S862">IF(COUNTIF('0.3.0 GO Calculation Values'!$J$2:$J$99,C862),(INDEX('0.3.0 GO Calculation Values'!$K$2:$K$99,MATCH(C862,'0.3.0 GO Calculation Values'!$J$2:$J$99,0))),1)</f>
        <v>1</v>
      </c>
      <c r="T862" s="262" t="n">
        <f aca="false">ROUND(ROUND(2*((7/8)*MAX(L862,N862)+(1/8)*MIN(L862,N862)),0)*(1+(P862-75)/500),0)</f>
        <v>196</v>
      </c>
      <c r="U862" s="262" t="n">
        <f aca="false">ROUND(ROUND(2*((5/8)*MAX(M862,O862)+(3/8)*MIN(M862,O862)),0)*(1+(P862-75)/500),0)</f>
        <v>145</v>
      </c>
      <c r="V862" s="361" t="n">
        <f aca="false">ROUNDDOWN(K862*1.75+50,0)</f>
        <v>181</v>
      </c>
      <c r="W862" s="261" t="n">
        <v>0</v>
      </c>
      <c r="X862" s="261" t="s">
        <v>60</v>
      </c>
      <c r="Y862" s="364" t="s">
        <v>2101</v>
      </c>
      <c r="Z862" s="364"/>
      <c r="AA862" s="364"/>
      <c r="AB862" s="365"/>
      <c r="AC862" s="364"/>
      <c r="AD862" s="364"/>
      <c r="AE862" s="366"/>
      <c r="AF862" s="364" t="s">
        <v>2102</v>
      </c>
      <c r="AG862" s="364" t="s">
        <v>2102</v>
      </c>
      <c r="AH862" s="366" t="s">
        <v>2102</v>
      </c>
    </row>
    <row r="863" customFormat="false" ht="15.75" hidden="false" customHeight="false" outlineLevel="0" collapsed="false">
      <c r="A863" s="262" t="n">
        <v>742</v>
      </c>
      <c r="B863" s="361" t="n">
        <v>861</v>
      </c>
      <c r="C863" s="261" t="s">
        <v>2103</v>
      </c>
      <c r="D863" s="261" t="s">
        <v>60</v>
      </c>
      <c r="E863" s="362" t="s">
        <v>2103</v>
      </c>
      <c r="F863" s="261" t="s">
        <v>290</v>
      </c>
      <c r="G863" s="261" t="s">
        <v>144</v>
      </c>
      <c r="H863" s="261" t="n">
        <v>0</v>
      </c>
      <c r="I863" s="261" t="n">
        <v>1</v>
      </c>
      <c r="J863" s="361" t="n">
        <v>0</v>
      </c>
      <c r="K863" s="262" t="n">
        <v>40</v>
      </c>
      <c r="L863" s="262" t="n">
        <v>45</v>
      </c>
      <c r="M863" s="262" t="n">
        <v>40</v>
      </c>
      <c r="N863" s="262" t="n">
        <v>55</v>
      </c>
      <c r="O863" s="262" t="n">
        <v>40</v>
      </c>
      <c r="P863" s="361" t="n">
        <v>84</v>
      </c>
      <c r="Q863" s="261" t="s">
        <v>150</v>
      </c>
      <c r="R863" s="261" t="s">
        <v>161</v>
      </c>
      <c r="S863" s="363" t="n">
        <f aca="false" t="array" ref="S863:S863">IF(COUNTIF('0.3.0 GO Calculation Values'!$J$2:$J$99,C863),(INDEX('0.3.0 GO Calculation Values'!$K$2:$K$99,MATCH(C863,'0.3.0 GO Calculation Values'!$J$2:$J$99,0))),1)</f>
        <v>1</v>
      </c>
      <c r="T863" s="262" t="n">
        <f aca="false">ROUND(ROUND(2*((7/8)*MAX(L863,N863)+(1/8)*MIN(L863,N863)),0)*(1+(P863-75)/500),0)</f>
        <v>110</v>
      </c>
      <c r="U863" s="262" t="n">
        <f aca="false">ROUND(ROUND(2*((5/8)*MAX(M863,O863)+(3/8)*MIN(M863,O863)),0)*(1+(P863-75)/500),0)</f>
        <v>81</v>
      </c>
      <c r="V863" s="361" t="n">
        <f aca="false">ROUNDDOWN(K863*1.75+50,0)</f>
        <v>120</v>
      </c>
      <c r="W863" s="261" t="n">
        <v>0</v>
      </c>
      <c r="X863" s="261" t="s">
        <v>60</v>
      </c>
      <c r="Y863" s="364" t="s">
        <v>2103</v>
      </c>
      <c r="Z863" s="364"/>
      <c r="AA863" s="364"/>
      <c r="AB863" s="365"/>
      <c r="AC863" s="364"/>
      <c r="AD863" s="364"/>
      <c r="AE863" s="366"/>
      <c r="AF863" s="364" t="s">
        <v>2104</v>
      </c>
      <c r="AG863" s="364" t="s">
        <v>2104</v>
      </c>
      <c r="AH863" s="366" t="s">
        <v>2104</v>
      </c>
    </row>
    <row r="864" customFormat="false" ht="15.75" hidden="false" customHeight="false" outlineLevel="0" collapsed="false">
      <c r="A864" s="262" t="n">
        <v>743</v>
      </c>
      <c r="B864" s="361" t="n">
        <v>862</v>
      </c>
      <c r="C864" s="261" t="s">
        <v>2105</v>
      </c>
      <c r="D864" s="261" t="s">
        <v>60</v>
      </c>
      <c r="E864" s="362" t="s">
        <v>2105</v>
      </c>
      <c r="F864" s="261" t="s">
        <v>290</v>
      </c>
      <c r="G864" s="261" t="s">
        <v>144</v>
      </c>
      <c r="H864" s="261" t="n">
        <v>0</v>
      </c>
      <c r="I864" s="261" t="n">
        <v>2</v>
      </c>
      <c r="J864" s="361" t="n">
        <v>1</v>
      </c>
      <c r="K864" s="262" t="n">
        <v>60</v>
      </c>
      <c r="L864" s="262" t="n">
        <v>55</v>
      </c>
      <c r="M864" s="262" t="n">
        <v>60</v>
      </c>
      <c r="N864" s="262" t="n">
        <v>95</v>
      </c>
      <c r="O864" s="262" t="n">
        <v>70</v>
      </c>
      <c r="P864" s="361" t="n">
        <v>124</v>
      </c>
      <c r="Q864" s="261" t="s">
        <v>150</v>
      </c>
      <c r="R864" s="261" t="s">
        <v>161</v>
      </c>
      <c r="S864" s="363" t="n">
        <f aca="false" t="array" ref="S864:S864">IF(COUNTIF('0.3.0 GO Calculation Values'!$J$2:$J$99,C864),(INDEX('0.3.0 GO Calculation Values'!$K$2:$K$99,MATCH(C864,'0.3.0 GO Calculation Values'!$J$2:$J$99,0))),1)</f>
        <v>1</v>
      </c>
      <c r="T864" s="262" t="n">
        <f aca="false">ROUND(ROUND(2*((7/8)*MAX(L864,N864)+(1/8)*MIN(L864,N864)),0)*(1+(P864-75)/500),0)</f>
        <v>198</v>
      </c>
      <c r="U864" s="262" t="n">
        <f aca="false">ROUND(ROUND(2*((5/8)*MAX(M864,O864)+(3/8)*MIN(M864,O864)),0)*(1+(P864-75)/500),0)</f>
        <v>146</v>
      </c>
      <c r="V864" s="361" t="n">
        <f aca="false">ROUNDDOWN(K864*1.75+50,0)</f>
        <v>155</v>
      </c>
      <c r="W864" s="261" t="n">
        <v>0</v>
      </c>
      <c r="X864" s="261" t="s">
        <v>2103</v>
      </c>
      <c r="Y864" s="364" t="s">
        <v>2103</v>
      </c>
      <c r="Z864" s="364"/>
      <c r="AA864" s="364"/>
      <c r="AB864" s="365"/>
      <c r="AC864" s="364"/>
      <c r="AD864" s="364"/>
      <c r="AE864" s="366"/>
      <c r="AF864" s="364" t="s">
        <v>2106</v>
      </c>
      <c r="AG864" s="364" t="s">
        <v>2106</v>
      </c>
      <c r="AH864" s="366" t="s">
        <v>2106</v>
      </c>
    </row>
    <row r="865" customFormat="false" ht="15.75" hidden="false" customHeight="false" outlineLevel="0" collapsed="false">
      <c r="A865" s="262" t="n">
        <v>744</v>
      </c>
      <c r="B865" s="361" t="n">
        <v>863</v>
      </c>
      <c r="C865" s="261" t="s">
        <v>2107</v>
      </c>
      <c r="D865" s="261" t="s">
        <v>60</v>
      </c>
      <c r="E865" s="362" t="s">
        <v>2107</v>
      </c>
      <c r="F865" s="261" t="s">
        <v>290</v>
      </c>
      <c r="G865" s="261" t="s">
        <v>144</v>
      </c>
      <c r="H865" s="261" t="n">
        <v>0</v>
      </c>
      <c r="I865" s="261" t="n">
        <v>1</v>
      </c>
      <c r="J865" s="361" t="n">
        <v>0</v>
      </c>
      <c r="K865" s="262" t="n">
        <v>45</v>
      </c>
      <c r="L865" s="262" t="n">
        <v>65</v>
      </c>
      <c r="M865" s="262" t="n">
        <v>40</v>
      </c>
      <c r="N865" s="262" t="n">
        <v>30</v>
      </c>
      <c r="O865" s="262" t="n">
        <v>40</v>
      </c>
      <c r="P865" s="361" t="n">
        <v>60</v>
      </c>
      <c r="Q865" s="261" t="s">
        <v>149</v>
      </c>
      <c r="R865" s="261"/>
      <c r="S865" s="363" t="n">
        <f aca="false" t="array" ref="S865:S865">IF(COUNTIF('0.3.0 GO Calculation Values'!$J$2:$J$99,C865),(INDEX('0.3.0 GO Calculation Values'!$K$2:$K$99,MATCH(C865,'0.3.0 GO Calculation Values'!$J$2:$J$99,0))),1)</f>
        <v>1</v>
      </c>
      <c r="T865" s="262" t="n">
        <f aca="false">ROUND(ROUND(2*((7/8)*MAX(L865,N865)+(1/8)*MIN(L865,N865)),0)*(1+(P865-75)/500),0)</f>
        <v>117</v>
      </c>
      <c r="U865" s="262" t="n">
        <f aca="false">ROUND(ROUND(2*((5/8)*MAX(M865,O865)+(3/8)*MIN(M865,O865)),0)*(1+(P865-75)/500),0)</f>
        <v>78</v>
      </c>
      <c r="V865" s="361" t="n">
        <f aca="false">ROUNDDOWN(K865*1.75+50,0)</f>
        <v>128</v>
      </c>
      <c r="W865" s="261" t="n">
        <v>0</v>
      </c>
      <c r="X865" s="261" t="s">
        <v>60</v>
      </c>
      <c r="Y865" s="364" t="s">
        <v>2107</v>
      </c>
      <c r="Z865" s="364"/>
      <c r="AA865" s="364"/>
      <c r="AB865" s="365"/>
      <c r="AC865" s="364"/>
      <c r="AD865" s="364"/>
      <c r="AE865" s="366"/>
      <c r="AF865" s="364" t="s">
        <v>2108</v>
      </c>
      <c r="AG865" s="364" t="s">
        <v>2108</v>
      </c>
      <c r="AH865" s="366" t="s">
        <v>2108</v>
      </c>
    </row>
    <row r="866" customFormat="false" ht="15.75" hidden="false" customHeight="false" outlineLevel="0" collapsed="false">
      <c r="A866" s="262" t="n">
        <v>745</v>
      </c>
      <c r="B866" s="361" t="n">
        <v>864</v>
      </c>
      <c r="C866" s="261" t="s">
        <v>2109</v>
      </c>
      <c r="D866" s="261" t="s">
        <v>2110</v>
      </c>
      <c r="E866" s="358" t="s">
        <v>2111</v>
      </c>
      <c r="F866" s="261" t="s">
        <v>290</v>
      </c>
      <c r="G866" s="261" t="s">
        <v>144</v>
      </c>
      <c r="H866" s="261" t="n">
        <v>0</v>
      </c>
      <c r="I866" s="261" t="n">
        <v>2</v>
      </c>
      <c r="J866" s="361" t="n">
        <v>1</v>
      </c>
      <c r="K866" s="262" t="n">
        <v>75</v>
      </c>
      <c r="L866" s="262" t="n">
        <v>115</v>
      </c>
      <c r="M866" s="262" t="n">
        <v>65</v>
      </c>
      <c r="N866" s="262" t="n">
        <v>55</v>
      </c>
      <c r="O866" s="262" t="n">
        <v>65</v>
      </c>
      <c r="P866" s="361" t="n">
        <v>112</v>
      </c>
      <c r="Q866" s="261" t="s">
        <v>149</v>
      </c>
      <c r="R866" s="261"/>
      <c r="S866" s="363" t="n">
        <f aca="false" t="array" ref="S866:S866">IF(COUNTIF('0.3.0 GO Calculation Values'!$J$2:$J$99,C866),(INDEX('0.3.0 GO Calculation Values'!$K$2:$K$99,MATCH(C866,'0.3.0 GO Calculation Values'!$J$2:$J$99,0))),1)</f>
        <v>1</v>
      </c>
      <c r="T866" s="262" t="n">
        <f aca="false">ROUND(ROUND(2*((7/8)*MAX(L866,N866)+(1/8)*MIN(L866,N866)),0)*(1+(P866-75)/500),0)</f>
        <v>231</v>
      </c>
      <c r="U866" s="262" t="n">
        <f aca="false">ROUND(ROUND(2*((5/8)*MAX(M866,O866)+(3/8)*MIN(M866,O866)),0)*(1+(P866-75)/500),0)</f>
        <v>140</v>
      </c>
      <c r="V866" s="361" t="n">
        <f aca="false">ROUNDDOWN(K866*1.75+50,0)</f>
        <v>181</v>
      </c>
      <c r="W866" s="261" t="n">
        <v>0</v>
      </c>
      <c r="X866" s="261" t="s">
        <v>2107</v>
      </c>
      <c r="Y866" s="364" t="s">
        <v>2107</v>
      </c>
      <c r="Z866" s="364"/>
      <c r="AA866" s="364"/>
      <c r="AB866" s="365"/>
      <c r="AC866" s="364"/>
      <c r="AD866" s="364"/>
      <c r="AE866" s="366"/>
      <c r="AF866" s="261" t="s">
        <v>2112</v>
      </c>
      <c r="AG866" s="261" t="s">
        <v>2113</v>
      </c>
      <c r="AH866" s="362" t="s">
        <v>2113</v>
      </c>
    </row>
    <row r="867" customFormat="false" ht="15.75" hidden="false" customHeight="false" outlineLevel="0" collapsed="false">
      <c r="A867" s="262" t="n">
        <v>745</v>
      </c>
      <c r="B867" s="361" t="n">
        <v>865</v>
      </c>
      <c r="C867" s="261" t="s">
        <v>2109</v>
      </c>
      <c r="D867" s="261" t="s">
        <v>2114</v>
      </c>
      <c r="E867" s="358" t="s">
        <v>2115</v>
      </c>
      <c r="F867" s="261" t="s">
        <v>290</v>
      </c>
      <c r="G867" s="261" t="s">
        <v>144</v>
      </c>
      <c r="H867" s="261" t="n">
        <v>0</v>
      </c>
      <c r="I867" s="261" t="n">
        <v>2</v>
      </c>
      <c r="J867" s="361" t="n">
        <v>1</v>
      </c>
      <c r="K867" s="262" t="n">
        <v>85</v>
      </c>
      <c r="L867" s="262" t="n">
        <v>115</v>
      </c>
      <c r="M867" s="262" t="n">
        <v>75</v>
      </c>
      <c r="N867" s="262" t="n">
        <v>55</v>
      </c>
      <c r="O867" s="262" t="n">
        <v>75</v>
      </c>
      <c r="P867" s="361" t="n">
        <v>82</v>
      </c>
      <c r="Q867" s="261" t="s">
        <v>149</v>
      </c>
      <c r="R867" s="261"/>
      <c r="S867" s="363" t="n">
        <f aca="false" t="array" ref="S867:S867">IF(COUNTIF('0.3.0 GO Calculation Values'!$J$2:$J$99,C867),(INDEX('0.3.0 GO Calculation Values'!$K$2:$K$99,MATCH(C867,'0.3.0 GO Calculation Values'!$J$2:$J$99,0))),1)</f>
        <v>1</v>
      </c>
      <c r="T867" s="262" t="n">
        <f aca="false">ROUND(ROUND(2*((7/8)*MAX(L867,N867)+(1/8)*MIN(L867,N867)),0)*(1+(P867-75)/500),0)</f>
        <v>218</v>
      </c>
      <c r="U867" s="262" t="n">
        <f aca="false">ROUND(ROUND(2*((5/8)*MAX(M867,O867)+(3/8)*MIN(M867,O867)),0)*(1+(P867-75)/500),0)</f>
        <v>152</v>
      </c>
      <c r="V867" s="361" t="n">
        <f aca="false">ROUNDDOWN(K867*1.75+50,0)</f>
        <v>198</v>
      </c>
      <c r="W867" s="261" t="n">
        <v>0</v>
      </c>
      <c r="X867" s="261" t="s">
        <v>2107</v>
      </c>
      <c r="Y867" s="364" t="s">
        <v>2107</v>
      </c>
      <c r="Z867" s="364"/>
      <c r="AA867" s="364"/>
      <c r="AB867" s="365"/>
      <c r="AC867" s="364"/>
      <c r="AD867" s="364"/>
      <c r="AE867" s="366"/>
      <c r="AF867" s="261" t="s">
        <v>2116</v>
      </c>
      <c r="AG867" s="261" t="s">
        <v>2116</v>
      </c>
      <c r="AH867" s="362" t="s">
        <v>2116</v>
      </c>
    </row>
    <row r="868" customFormat="false" ht="15.75" hidden="false" customHeight="false" outlineLevel="0" collapsed="false">
      <c r="A868" s="262" t="n">
        <v>745</v>
      </c>
      <c r="B868" s="361" t="n">
        <v>866</v>
      </c>
      <c r="C868" s="261" t="s">
        <v>2109</v>
      </c>
      <c r="D868" s="261" t="s">
        <v>2117</v>
      </c>
      <c r="E868" s="358" t="s">
        <v>2118</v>
      </c>
      <c r="F868" s="261" t="s">
        <v>290</v>
      </c>
      <c r="G868" s="261" t="s">
        <v>144</v>
      </c>
      <c r="H868" s="261" t="n">
        <v>0</v>
      </c>
      <c r="I868" s="261" t="n">
        <v>2</v>
      </c>
      <c r="J868" s="361" t="n">
        <v>1</v>
      </c>
      <c r="K868" s="262" t="n">
        <v>75</v>
      </c>
      <c r="L868" s="262" t="n">
        <v>117</v>
      </c>
      <c r="M868" s="262" t="n">
        <v>65</v>
      </c>
      <c r="N868" s="262" t="n">
        <v>55</v>
      </c>
      <c r="O868" s="262" t="n">
        <v>65</v>
      </c>
      <c r="P868" s="361" t="n">
        <v>110</v>
      </c>
      <c r="Q868" s="261" t="s">
        <v>149</v>
      </c>
      <c r="R868" s="261"/>
      <c r="S868" s="363" t="n">
        <f aca="false" t="array" ref="S868:S868">IF(COUNTIF('0.3.0 GO Calculation Values'!$J$2:$J$99,C868),(INDEX('0.3.0 GO Calculation Values'!$K$2:$K$99,MATCH(C868,'0.3.0 GO Calculation Values'!$J$2:$J$99,0))),1)</f>
        <v>1</v>
      </c>
      <c r="T868" s="262" t="n">
        <f aca="false">ROUND(ROUND(2*((7/8)*MAX(L868,N868)+(1/8)*MIN(L868,N868)),0)*(1+(P868-75)/500),0)</f>
        <v>234</v>
      </c>
      <c r="U868" s="262" t="n">
        <f aca="false">ROUND(ROUND(2*((5/8)*MAX(M868,O868)+(3/8)*MIN(M868,O868)),0)*(1+(P868-75)/500),0)</f>
        <v>139</v>
      </c>
      <c r="V868" s="361" t="n">
        <f aca="false">ROUNDDOWN(K868*1.75+50,0)</f>
        <v>181</v>
      </c>
      <c r="W868" s="261" t="n">
        <v>0</v>
      </c>
      <c r="X868" s="261" t="s">
        <v>2107</v>
      </c>
      <c r="Y868" s="364" t="s">
        <v>2107</v>
      </c>
      <c r="Z868" s="364"/>
      <c r="AA868" s="364"/>
      <c r="AB868" s="365"/>
      <c r="AC868" s="364"/>
      <c r="AD868" s="364"/>
      <c r="AE868" s="366"/>
      <c r="AF868" s="261" t="s">
        <v>2119</v>
      </c>
      <c r="AG868" s="261" t="s">
        <v>2119</v>
      </c>
      <c r="AH868" s="362" t="s">
        <v>2119</v>
      </c>
    </row>
    <row r="869" customFormat="false" ht="15.75" hidden="false" customHeight="false" outlineLevel="0" collapsed="false">
      <c r="A869" s="262" t="n">
        <v>746</v>
      </c>
      <c r="B869" s="361" t="n">
        <v>867</v>
      </c>
      <c r="C869" s="261" t="s">
        <v>2120</v>
      </c>
      <c r="D869" s="261" t="s">
        <v>2121</v>
      </c>
      <c r="E869" s="358" t="s">
        <v>2120</v>
      </c>
      <c r="F869" s="261" t="s">
        <v>290</v>
      </c>
      <c r="G869" s="261" t="s">
        <v>144</v>
      </c>
      <c r="H869" s="261" t="n">
        <v>0</v>
      </c>
      <c r="I869" s="261" t="n">
        <v>1</v>
      </c>
      <c r="J869" s="361" t="n">
        <v>1</v>
      </c>
      <c r="K869" s="262" t="n">
        <v>45</v>
      </c>
      <c r="L869" s="262" t="n">
        <v>20</v>
      </c>
      <c r="M869" s="262" t="n">
        <v>20</v>
      </c>
      <c r="N869" s="262" t="n">
        <v>25</v>
      </c>
      <c r="O869" s="262" t="n">
        <v>25</v>
      </c>
      <c r="P869" s="361" t="n">
        <v>40</v>
      </c>
      <c r="Q869" s="261" t="s">
        <v>154</v>
      </c>
      <c r="R869" s="261"/>
      <c r="S869" s="363" t="n">
        <f aca="false" t="array" ref="S869:S869">IF(COUNTIF('0.3.0 GO Calculation Values'!$J$2:$J$99,C869),(INDEX('0.3.0 GO Calculation Values'!$K$2:$K$99,MATCH(C869,'0.3.0 GO Calculation Values'!$J$2:$J$99,0))),1)</f>
        <v>1</v>
      </c>
      <c r="T869" s="262" t="n">
        <f aca="false">ROUND(ROUND(2*((7/8)*MAX(L869,N869)+(1/8)*MIN(L869,N869)),0)*(1+(P869-75)/500),0)</f>
        <v>46</v>
      </c>
      <c r="U869" s="262" t="n">
        <f aca="false">ROUND(ROUND(2*((5/8)*MAX(M869,O869)+(3/8)*MIN(M869,O869)),0)*(1+(P869-75)/500),0)</f>
        <v>43</v>
      </c>
      <c r="V869" s="361" t="n">
        <f aca="false">ROUNDDOWN(K869*1.75+50,0)</f>
        <v>128</v>
      </c>
      <c r="W869" s="261" t="n">
        <v>0</v>
      </c>
      <c r="X869" s="261" t="s">
        <v>60</v>
      </c>
      <c r="Y869" s="364" t="s">
        <v>2120</v>
      </c>
      <c r="Z869" s="364"/>
      <c r="AA869" s="364"/>
      <c r="AB869" s="365"/>
      <c r="AC869" s="364"/>
      <c r="AD869" s="364"/>
      <c r="AE869" s="366"/>
      <c r="AF869" s="261" t="s">
        <v>2122</v>
      </c>
      <c r="AG869" s="261" t="s">
        <v>2123</v>
      </c>
      <c r="AH869" s="362" t="s">
        <v>2123</v>
      </c>
    </row>
    <row r="870" customFormat="false" ht="15.75" hidden="false" customHeight="false" outlineLevel="0" collapsed="false">
      <c r="A870" s="262" t="n">
        <v>746</v>
      </c>
      <c r="B870" s="361" t="n">
        <v>868</v>
      </c>
      <c r="C870" s="261" t="s">
        <v>2120</v>
      </c>
      <c r="D870" s="261" t="s">
        <v>2124</v>
      </c>
      <c r="E870" s="358" t="s">
        <v>2125</v>
      </c>
      <c r="F870" s="261" t="s">
        <v>290</v>
      </c>
      <c r="G870" s="261" t="s">
        <v>144</v>
      </c>
      <c r="H870" s="261" t="n">
        <v>2</v>
      </c>
      <c r="I870" s="261" t="n">
        <v>2</v>
      </c>
      <c r="J870" s="361" t="n">
        <v>1</v>
      </c>
      <c r="K870" s="262" t="n">
        <v>45</v>
      </c>
      <c r="L870" s="262" t="n">
        <v>140</v>
      </c>
      <c r="M870" s="262" t="n">
        <v>130</v>
      </c>
      <c r="N870" s="262" t="n">
        <v>140</v>
      </c>
      <c r="O870" s="262" t="n">
        <v>135</v>
      </c>
      <c r="P870" s="361" t="n">
        <v>30</v>
      </c>
      <c r="Q870" s="261" t="s">
        <v>154</v>
      </c>
      <c r="R870" s="261"/>
      <c r="S870" s="363" t="n">
        <f aca="false" t="array" ref="S870:S870">IF(COUNTIF('0.3.0 GO Calculation Values'!$J$2:$J$99,C870),(INDEX('0.3.0 GO Calculation Values'!$K$2:$K$99,MATCH(C870,'0.3.0 GO Calculation Values'!$J$2:$J$99,0))),1)</f>
        <v>1</v>
      </c>
      <c r="T870" s="262" t="n">
        <f aca="false">ROUND(ROUND(2*((7/8)*MAX(L870,N870)+(1/8)*MIN(L870,N870)),0)*(1+(P870-75)/500),0)</f>
        <v>255</v>
      </c>
      <c r="U870" s="262" t="n">
        <f aca="false">ROUND(ROUND(2*((5/8)*MAX(M870,O870)+(3/8)*MIN(M870,O870)),0)*(1+(P870-75)/500),0)</f>
        <v>242</v>
      </c>
      <c r="V870" s="361" t="n">
        <f aca="false">ROUNDDOWN(K870*1.75+50,0)</f>
        <v>128</v>
      </c>
      <c r="W870" s="261" t="n">
        <v>0</v>
      </c>
      <c r="X870" s="261" t="s">
        <v>2120</v>
      </c>
      <c r="Y870" s="364" t="s">
        <v>2120</v>
      </c>
      <c r="Z870" s="364"/>
      <c r="AA870" s="364"/>
      <c r="AB870" s="365"/>
      <c r="AC870" s="364"/>
      <c r="AD870" s="364"/>
      <c r="AE870" s="366"/>
      <c r="AF870" s="261" t="s">
        <v>2126</v>
      </c>
      <c r="AG870" s="261" t="s">
        <v>2126</v>
      </c>
      <c r="AH870" s="362" t="s">
        <v>2126</v>
      </c>
    </row>
    <row r="871" customFormat="false" ht="15.75" hidden="false" customHeight="false" outlineLevel="0" collapsed="false">
      <c r="A871" s="262" t="n">
        <v>747</v>
      </c>
      <c r="B871" s="361" t="n">
        <v>869</v>
      </c>
      <c r="C871" s="261" t="s">
        <v>2127</v>
      </c>
      <c r="D871" s="261" t="s">
        <v>60</v>
      </c>
      <c r="E871" s="362" t="s">
        <v>2127</v>
      </c>
      <c r="F871" s="261" t="s">
        <v>290</v>
      </c>
      <c r="G871" s="261" t="s">
        <v>144</v>
      </c>
      <c r="H871" s="261" t="n">
        <v>0</v>
      </c>
      <c r="I871" s="261" t="n">
        <v>1</v>
      </c>
      <c r="J871" s="361" t="n">
        <v>0</v>
      </c>
      <c r="K871" s="262" t="n">
        <v>50</v>
      </c>
      <c r="L871" s="262" t="n">
        <v>53</v>
      </c>
      <c r="M871" s="262" t="n">
        <v>62</v>
      </c>
      <c r="N871" s="262" t="n">
        <v>43</v>
      </c>
      <c r="O871" s="262" t="n">
        <v>52</v>
      </c>
      <c r="P871" s="361" t="n">
        <v>45</v>
      </c>
      <c r="Q871" s="261" t="s">
        <v>147</v>
      </c>
      <c r="R871" s="261" t="s">
        <v>154</v>
      </c>
      <c r="S871" s="363" t="n">
        <f aca="false" t="array" ref="S871:S871">IF(COUNTIF('0.3.0 GO Calculation Values'!$J$2:$J$99,C871),(INDEX('0.3.0 GO Calculation Values'!$K$2:$K$99,MATCH(C871,'0.3.0 GO Calculation Values'!$J$2:$J$99,0))),1)</f>
        <v>1</v>
      </c>
      <c r="T871" s="262" t="n">
        <f aca="false">ROUND(ROUND(2*((7/8)*MAX(L871,N871)+(1/8)*MIN(L871,N871)),0)*(1+(P871-75)/500),0)</f>
        <v>98</v>
      </c>
      <c r="U871" s="262" t="n">
        <f aca="false">ROUND(ROUND(2*((5/8)*MAX(M871,O871)+(3/8)*MIN(M871,O871)),0)*(1+(P871-75)/500),0)</f>
        <v>110</v>
      </c>
      <c r="V871" s="361" t="n">
        <f aca="false">ROUNDDOWN(K871*1.75+50,0)</f>
        <v>137</v>
      </c>
      <c r="W871" s="261" t="n">
        <v>0</v>
      </c>
      <c r="X871" s="261" t="s">
        <v>60</v>
      </c>
      <c r="Y871" s="364" t="s">
        <v>2127</v>
      </c>
      <c r="Z871" s="364"/>
      <c r="AA871" s="364"/>
      <c r="AB871" s="365"/>
      <c r="AC871" s="364"/>
      <c r="AD871" s="364"/>
      <c r="AE871" s="366"/>
      <c r="AF871" s="364" t="s">
        <v>2128</v>
      </c>
      <c r="AG871" s="364" t="s">
        <v>2128</v>
      </c>
      <c r="AH871" s="366" t="s">
        <v>2128</v>
      </c>
    </row>
    <row r="872" customFormat="false" ht="15.75" hidden="false" customHeight="false" outlineLevel="0" collapsed="false">
      <c r="A872" s="262" t="n">
        <v>748</v>
      </c>
      <c r="B872" s="361" t="n">
        <v>870</v>
      </c>
      <c r="C872" s="261" t="s">
        <v>2129</v>
      </c>
      <c r="D872" s="261" t="s">
        <v>60</v>
      </c>
      <c r="E872" s="362" t="s">
        <v>2129</v>
      </c>
      <c r="F872" s="261" t="s">
        <v>290</v>
      </c>
      <c r="G872" s="261" t="s">
        <v>144</v>
      </c>
      <c r="H872" s="261" t="n">
        <v>0</v>
      </c>
      <c r="I872" s="261" t="n">
        <v>2</v>
      </c>
      <c r="J872" s="361" t="n">
        <v>1</v>
      </c>
      <c r="K872" s="262" t="n">
        <v>50</v>
      </c>
      <c r="L872" s="262" t="n">
        <v>63</v>
      </c>
      <c r="M872" s="262" t="n">
        <v>152</v>
      </c>
      <c r="N872" s="262" t="n">
        <v>53</v>
      </c>
      <c r="O872" s="262" t="n">
        <v>142</v>
      </c>
      <c r="P872" s="361" t="n">
        <v>35</v>
      </c>
      <c r="Q872" s="261" t="s">
        <v>147</v>
      </c>
      <c r="R872" s="261" t="s">
        <v>154</v>
      </c>
      <c r="S872" s="363" t="n">
        <f aca="false" t="array" ref="S872:S872">IF(COUNTIF('0.3.0 GO Calculation Values'!$J$2:$J$99,C872),(INDEX('0.3.0 GO Calculation Values'!$K$2:$K$99,MATCH(C872,'0.3.0 GO Calculation Values'!$J$2:$J$99,0))),1)</f>
        <v>1</v>
      </c>
      <c r="T872" s="262" t="n">
        <f aca="false">ROUND(ROUND(2*((7/8)*MAX(L872,N872)+(1/8)*MIN(L872,N872)),0)*(1+(P872-75)/500),0)</f>
        <v>114</v>
      </c>
      <c r="U872" s="262" t="n">
        <f aca="false">ROUND(ROUND(2*((5/8)*MAX(M872,O872)+(3/8)*MIN(M872,O872)),0)*(1+(P872-75)/500),0)</f>
        <v>273</v>
      </c>
      <c r="V872" s="361" t="n">
        <f aca="false">ROUNDDOWN(K872*1.75+50,0)</f>
        <v>137</v>
      </c>
      <c r="W872" s="261" t="n">
        <v>0</v>
      </c>
      <c r="X872" s="261" t="s">
        <v>2127</v>
      </c>
      <c r="Y872" s="364" t="s">
        <v>2127</v>
      </c>
      <c r="Z872" s="364"/>
      <c r="AA872" s="364"/>
      <c r="AB872" s="365"/>
      <c r="AC872" s="364"/>
      <c r="AD872" s="364"/>
      <c r="AE872" s="366"/>
      <c r="AF872" s="364" t="s">
        <v>2130</v>
      </c>
      <c r="AG872" s="364" t="s">
        <v>2130</v>
      </c>
      <c r="AH872" s="366" t="s">
        <v>2130</v>
      </c>
    </row>
    <row r="873" customFormat="false" ht="15.75" hidden="false" customHeight="false" outlineLevel="0" collapsed="false">
      <c r="A873" s="262" t="n">
        <v>749</v>
      </c>
      <c r="B873" s="361" t="n">
        <v>871</v>
      </c>
      <c r="C873" s="261" t="s">
        <v>2131</v>
      </c>
      <c r="D873" s="261" t="s">
        <v>60</v>
      </c>
      <c r="E873" s="362" t="s">
        <v>2131</v>
      </c>
      <c r="F873" s="261" t="s">
        <v>290</v>
      </c>
      <c r="G873" s="261" t="s">
        <v>144</v>
      </c>
      <c r="H873" s="261" t="n">
        <v>0</v>
      </c>
      <c r="I873" s="261" t="n">
        <v>1</v>
      </c>
      <c r="J873" s="361" t="n">
        <v>0</v>
      </c>
      <c r="K873" s="262" t="n">
        <v>70</v>
      </c>
      <c r="L873" s="262" t="n">
        <v>100</v>
      </c>
      <c r="M873" s="262" t="n">
        <v>70</v>
      </c>
      <c r="N873" s="262" t="n">
        <v>45</v>
      </c>
      <c r="O873" s="262" t="n">
        <v>55</v>
      </c>
      <c r="P873" s="361" t="n">
        <v>45</v>
      </c>
      <c r="Q873" s="261" t="s">
        <v>148</v>
      </c>
      <c r="R873" s="261"/>
      <c r="S873" s="363" t="n">
        <f aca="false" t="array" ref="S873:S873">IF(COUNTIF('0.3.0 GO Calculation Values'!$J$2:$J$99,C873),(INDEX('0.3.0 GO Calculation Values'!$K$2:$K$99,MATCH(C873,'0.3.0 GO Calculation Values'!$J$2:$J$99,0))),1)</f>
        <v>1</v>
      </c>
      <c r="T873" s="262" t="n">
        <f aca="false">ROUND(ROUND(2*((7/8)*MAX(L873,N873)+(1/8)*MIN(L873,N873)),0)*(1+(P873-75)/500),0)</f>
        <v>175</v>
      </c>
      <c r="U873" s="262" t="n">
        <f aca="false">ROUND(ROUND(2*((5/8)*MAX(M873,O873)+(3/8)*MIN(M873,O873)),0)*(1+(P873-75)/500),0)</f>
        <v>121</v>
      </c>
      <c r="V873" s="361" t="n">
        <f aca="false">ROUNDDOWN(K873*1.75+50,0)</f>
        <v>172</v>
      </c>
      <c r="W873" s="261" t="n">
        <v>0</v>
      </c>
      <c r="X873" s="261" t="s">
        <v>60</v>
      </c>
      <c r="Y873" s="364" t="s">
        <v>2131</v>
      </c>
      <c r="Z873" s="364"/>
      <c r="AA873" s="364"/>
      <c r="AB873" s="365"/>
      <c r="AC873" s="364"/>
      <c r="AD873" s="364"/>
      <c r="AE873" s="366"/>
      <c r="AF873" s="364" t="s">
        <v>2132</v>
      </c>
      <c r="AG873" s="364" t="s">
        <v>2132</v>
      </c>
      <c r="AH873" s="366" t="s">
        <v>2132</v>
      </c>
    </row>
    <row r="874" customFormat="false" ht="15.75" hidden="false" customHeight="false" outlineLevel="0" collapsed="false">
      <c r="A874" s="262" t="n">
        <v>750</v>
      </c>
      <c r="B874" s="361" t="n">
        <v>872</v>
      </c>
      <c r="C874" s="261" t="s">
        <v>2133</v>
      </c>
      <c r="D874" s="261" t="s">
        <v>60</v>
      </c>
      <c r="E874" s="362" t="s">
        <v>2133</v>
      </c>
      <c r="F874" s="261" t="s">
        <v>290</v>
      </c>
      <c r="G874" s="261" t="s">
        <v>144</v>
      </c>
      <c r="H874" s="261" t="n">
        <v>0</v>
      </c>
      <c r="I874" s="261" t="n">
        <v>2</v>
      </c>
      <c r="J874" s="361" t="n">
        <v>1</v>
      </c>
      <c r="K874" s="262" t="n">
        <v>100</v>
      </c>
      <c r="L874" s="262" t="n">
        <v>125</v>
      </c>
      <c r="M874" s="262" t="n">
        <v>100</v>
      </c>
      <c r="N874" s="262" t="n">
        <v>55</v>
      </c>
      <c r="O874" s="262" t="n">
        <v>85</v>
      </c>
      <c r="P874" s="361" t="n">
        <v>35</v>
      </c>
      <c r="Q874" s="261" t="s">
        <v>148</v>
      </c>
      <c r="R874" s="261"/>
      <c r="S874" s="363" t="n">
        <f aca="false" t="array" ref="S874:S874">IF(COUNTIF('0.3.0 GO Calculation Values'!$J$2:$J$99,C874),(INDEX('0.3.0 GO Calculation Values'!$K$2:$K$99,MATCH(C874,'0.3.0 GO Calculation Values'!$J$2:$J$99,0))),1)</f>
        <v>1</v>
      </c>
      <c r="T874" s="262" t="n">
        <f aca="false">ROUND(ROUND(2*((7/8)*MAX(L874,N874)+(1/8)*MIN(L874,N874)),0)*(1+(P874-75)/500),0)</f>
        <v>214</v>
      </c>
      <c r="U874" s="262" t="n">
        <f aca="false">ROUND(ROUND(2*((5/8)*MAX(M874,O874)+(3/8)*MIN(M874,O874)),0)*(1+(P874-75)/500),0)</f>
        <v>174</v>
      </c>
      <c r="V874" s="361" t="n">
        <f aca="false">ROUNDDOWN(K874*1.75+50,0)</f>
        <v>225</v>
      </c>
      <c r="W874" s="261" t="n">
        <v>0</v>
      </c>
      <c r="X874" s="261" t="s">
        <v>2131</v>
      </c>
      <c r="Y874" s="364" t="s">
        <v>2131</v>
      </c>
      <c r="Z874" s="364"/>
      <c r="AA874" s="364"/>
      <c r="AB874" s="365"/>
      <c r="AC874" s="364"/>
      <c r="AD874" s="364"/>
      <c r="AE874" s="366"/>
      <c r="AF874" s="364" t="s">
        <v>2134</v>
      </c>
      <c r="AG874" s="364" t="s">
        <v>2134</v>
      </c>
      <c r="AH874" s="366" t="s">
        <v>2134</v>
      </c>
    </row>
    <row r="875" customFormat="false" ht="15.75" hidden="false" customHeight="false" outlineLevel="0" collapsed="false">
      <c r="A875" s="262" t="n">
        <v>751</v>
      </c>
      <c r="B875" s="361" t="n">
        <v>873</v>
      </c>
      <c r="C875" s="261" t="s">
        <v>2135</v>
      </c>
      <c r="D875" s="261" t="s">
        <v>60</v>
      </c>
      <c r="E875" s="362" t="s">
        <v>2135</v>
      </c>
      <c r="F875" s="261" t="s">
        <v>290</v>
      </c>
      <c r="G875" s="261" t="s">
        <v>144</v>
      </c>
      <c r="H875" s="261" t="n">
        <v>0</v>
      </c>
      <c r="I875" s="261" t="n">
        <v>1</v>
      </c>
      <c r="J875" s="361" t="n">
        <v>0</v>
      </c>
      <c r="K875" s="262" t="n">
        <v>38</v>
      </c>
      <c r="L875" s="262" t="n">
        <v>40</v>
      </c>
      <c r="M875" s="262" t="n">
        <v>52</v>
      </c>
      <c r="N875" s="262" t="n">
        <v>40</v>
      </c>
      <c r="O875" s="262" t="n">
        <v>72</v>
      </c>
      <c r="P875" s="361" t="n">
        <v>27</v>
      </c>
      <c r="Q875" s="261" t="s">
        <v>154</v>
      </c>
      <c r="R875" s="261" t="s">
        <v>150</v>
      </c>
      <c r="S875" s="363" t="n">
        <f aca="false" t="array" ref="S875:S875">IF(COUNTIF('0.3.0 GO Calculation Values'!$J$2:$J$99,C875),(INDEX('0.3.0 GO Calculation Values'!$K$2:$K$99,MATCH(C875,'0.3.0 GO Calculation Values'!$J$2:$J$99,0))),1)</f>
        <v>1</v>
      </c>
      <c r="T875" s="262" t="n">
        <f aca="false">ROUND(ROUND(2*((7/8)*MAX(L875,N875)+(1/8)*MIN(L875,N875)),0)*(1+(P875-75)/500),0)</f>
        <v>72</v>
      </c>
      <c r="U875" s="262" t="n">
        <f aca="false">ROUND(ROUND(2*((5/8)*MAX(M875,O875)+(3/8)*MIN(M875,O875)),0)*(1+(P875-75)/500),0)</f>
        <v>117</v>
      </c>
      <c r="V875" s="361" t="n">
        <f aca="false">ROUNDDOWN(K875*1.75+50,0)</f>
        <v>116</v>
      </c>
      <c r="W875" s="261" t="n">
        <v>0</v>
      </c>
      <c r="X875" s="261" t="s">
        <v>60</v>
      </c>
      <c r="Y875" s="364" t="s">
        <v>2135</v>
      </c>
      <c r="Z875" s="364"/>
      <c r="AA875" s="364"/>
      <c r="AB875" s="365"/>
      <c r="AC875" s="364"/>
      <c r="AD875" s="364"/>
      <c r="AE875" s="366"/>
      <c r="AF875" s="364" t="s">
        <v>2136</v>
      </c>
      <c r="AG875" s="364" t="s">
        <v>2136</v>
      </c>
      <c r="AH875" s="366" t="s">
        <v>2136</v>
      </c>
    </row>
    <row r="876" customFormat="false" ht="15.75" hidden="false" customHeight="false" outlineLevel="0" collapsed="false">
      <c r="A876" s="262" t="n">
        <v>752</v>
      </c>
      <c r="B876" s="361" t="n">
        <v>874</v>
      </c>
      <c r="C876" s="261" t="s">
        <v>2137</v>
      </c>
      <c r="D876" s="261" t="s">
        <v>60</v>
      </c>
      <c r="E876" s="362" t="s">
        <v>2137</v>
      </c>
      <c r="F876" s="261" t="s">
        <v>290</v>
      </c>
      <c r="G876" s="261" t="s">
        <v>144</v>
      </c>
      <c r="H876" s="261" t="n">
        <v>0</v>
      </c>
      <c r="I876" s="261" t="n">
        <v>2</v>
      </c>
      <c r="J876" s="361" t="n">
        <v>1</v>
      </c>
      <c r="K876" s="262" t="n">
        <v>68</v>
      </c>
      <c r="L876" s="262" t="n">
        <v>70</v>
      </c>
      <c r="M876" s="262" t="n">
        <v>92</v>
      </c>
      <c r="N876" s="262" t="n">
        <v>50</v>
      </c>
      <c r="O876" s="262" t="n">
        <v>132</v>
      </c>
      <c r="P876" s="361" t="n">
        <v>42</v>
      </c>
      <c r="Q876" s="261" t="s">
        <v>154</v>
      </c>
      <c r="R876" s="261" t="s">
        <v>150</v>
      </c>
      <c r="S876" s="363" t="n">
        <f aca="false" t="array" ref="S876:S876">IF(COUNTIF('0.3.0 GO Calculation Values'!$J$2:$J$99,C876),(INDEX('0.3.0 GO Calculation Values'!$K$2:$K$99,MATCH(C876,'0.3.0 GO Calculation Values'!$J$2:$J$99,0))),1)</f>
        <v>1</v>
      </c>
      <c r="T876" s="262" t="n">
        <f aca="false">ROUND(ROUND(2*((7/8)*MAX(L876,N876)+(1/8)*MIN(L876,N876)),0)*(1+(P876-75)/500),0)</f>
        <v>126</v>
      </c>
      <c r="U876" s="262" t="n">
        <f aca="false">ROUND(ROUND(2*((5/8)*MAX(M876,O876)+(3/8)*MIN(M876,O876)),0)*(1+(P876-75)/500),0)</f>
        <v>219</v>
      </c>
      <c r="V876" s="361" t="n">
        <f aca="false">ROUNDDOWN(K876*1.75+50,0)</f>
        <v>169</v>
      </c>
      <c r="W876" s="261" t="n">
        <v>0</v>
      </c>
      <c r="X876" s="261" t="s">
        <v>2135</v>
      </c>
      <c r="Y876" s="364" t="s">
        <v>2135</v>
      </c>
      <c r="Z876" s="364"/>
      <c r="AA876" s="364"/>
      <c r="AB876" s="365"/>
      <c r="AC876" s="364"/>
      <c r="AD876" s="364"/>
      <c r="AE876" s="366"/>
      <c r="AF876" s="364" t="s">
        <v>2138</v>
      </c>
      <c r="AG876" s="364" t="s">
        <v>2138</v>
      </c>
      <c r="AH876" s="366" t="s">
        <v>2138</v>
      </c>
    </row>
    <row r="877" customFormat="false" ht="15.75" hidden="false" customHeight="false" outlineLevel="0" collapsed="false">
      <c r="A877" s="262" t="n">
        <v>753</v>
      </c>
      <c r="B877" s="361" t="n">
        <v>875</v>
      </c>
      <c r="C877" s="261" t="s">
        <v>2139</v>
      </c>
      <c r="D877" s="261" t="s">
        <v>60</v>
      </c>
      <c r="E877" s="362" t="s">
        <v>2139</v>
      </c>
      <c r="F877" s="261" t="s">
        <v>290</v>
      </c>
      <c r="G877" s="261" t="s">
        <v>144</v>
      </c>
      <c r="H877" s="261" t="n">
        <v>0</v>
      </c>
      <c r="I877" s="261" t="n">
        <v>1</v>
      </c>
      <c r="J877" s="361" t="n">
        <v>0</v>
      </c>
      <c r="K877" s="262" t="n">
        <v>40</v>
      </c>
      <c r="L877" s="262" t="n">
        <v>55</v>
      </c>
      <c r="M877" s="262" t="n">
        <v>35</v>
      </c>
      <c r="N877" s="262" t="n">
        <v>50</v>
      </c>
      <c r="O877" s="262" t="n">
        <v>35</v>
      </c>
      <c r="P877" s="361" t="n">
        <v>35</v>
      </c>
      <c r="Q877" s="261" t="s">
        <v>155</v>
      </c>
      <c r="R877" s="261"/>
      <c r="S877" s="363" t="n">
        <f aca="false" t="array" ref="S877:S877">IF(COUNTIF('0.3.0 GO Calculation Values'!$J$2:$J$99,C877),(INDEX('0.3.0 GO Calculation Values'!$K$2:$K$99,MATCH(C877,'0.3.0 GO Calculation Values'!$J$2:$J$99,0))),1)</f>
        <v>1</v>
      </c>
      <c r="T877" s="262" t="n">
        <f aca="false">ROUND(ROUND(2*((7/8)*MAX(L877,N877)+(1/8)*MIN(L877,N877)),0)*(1+(P877-75)/500),0)</f>
        <v>100</v>
      </c>
      <c r="U877" s="262" t="n">
        <f aca="false">ROUND(ROUND(2*((5/8)*MAX(M877,O877)+(3/8)*MIN(M877,O877)),0)*(1+(P877-75)/500),0)</f>
        <v>64</v>
      </c>
      <c r="V877" s="361" t="n">
        <f aca="false">ROUNDDOWN(K877*1.75+50,0)</f>
        <v>120</v>
      </c>
      <c r="W877" s="261" t="n">
        <v>0</v>
      </c>
      <c r="X877" s="261" t="s">
        <v>60</v>
      </c>
      <c r="Y877" s="364" t="s">
        <v>2139</v>
      </c>
      <c r="Z877" s="364"/>
      <c r="AA877" s="364"/>
      <c r="AB877" s="365"/>
      <c r="AC877" s="364"/>
      <c r="AD877" s="364"/>
      <c r="AE877" s="366"/>
      <c r="AF877" s="364" t="s">
        <v>2140</v>
      </c>
      <c r="AG877" s="364" t="s">
        <v>2140</v>
      </c>
      <c r="AH877" s="366" t="s">
        <v>2140</v>
      </c>
    </row>
    <row r="878" customFormat="false" ht="15.75" hidden="false" customHeight="false" outlineLevel="0" collapsed="false">
      <c r="A878" s="262" t="n">
        <v>754</v>
      </c>
      <c r="B878" s="361" t="n">
        <v>876</v>
      </c>
      <c r="C878" s="261" t="s">
        <v>2141</v>
      </c>
      <c r="D878" s="261" t="s">
        <v>60</v>
      </c>
      <c r="E878" s="362" t="s">
        <v>2141</v>
      </c>
      <c r="F878" s="261" t="s">
        <v>290</v>
      </c>
      <c r="G878" s="261" t="s">
        <v>144</v>
      </c>
      <c r="H878" s="261" t="n">
        <v>0</v>
      </c>
      <c r="I878" s="261" t="n">
        <v>2</v>
      </c>
      <c r="J878" s="361" t="n">
        <v>1</v>
      </c>
      <c r="K878" s="262" t="n">
        <v>70</v>
      </c>
      <c r="L878" s="262" t="n">
        <v>105</v>
      </c>
      <c r="M878" s="262" t="n">
        <v>90</v>
      </c>
      <c r="N878" s="262" t="n">
        <v>80</v>
      </c>
      <c r="O878" s="262" t="n">
        <v>90</v>
      </c>
      <c r="P878" s="361" t="n">
        <v>45</v>
      </c>
      <c r="Q878" s="261" t="s">
        <v>155</v>
      </c>
      <c r="R878" s="261"/>
      <c r="S878" s="363" t="n">
        <f aca="false" t="array" ref="S878:S878">IF(COUNTIF('0.3.0 GO Calculation Values'!$J$2:$J$99,C878),(INDEX('0.3.0 GO Calculation Values'!$K$2:$K$99,MATCH(C878,'0.3.0 GO Calculation Values'!$J$2:$J$99,0))),1)</f>
        <v>1</v>
      </c>
      <c r="T878" s="262" t="n">
        <f aca="false">ROUND(ROUND(2*((7/8)*MAX(L878,N878)+(1/8)*MIN(L878,N878)),0)*(1+(P878-75)/500),0)</f>
        <v>192</v>
      </c>
      <c r="U878" s="262" t="n">
        <f aca="false">ROUND(ROUND(2*((5/8)*MAX(M878,O878)+(3/8)*MIN(M878,O878)),0)*(1+(P878-75)/500),0)</f>
        <v>169</v>
      </c>
      <c r="V878" s="361" t="n">
        <f aca="false">ROUNDDOWN(K878*1.75+50,0)</f>
        <v>172</v>
      </c>
      <c r="W878" s="261" t="n">
        <v>0</v>
      </c>
      <c r="X878" s="261" t="s">
        <v>2139</v>
      </c>
      <c r="Y878" s="364" t="s">
        <v>2139</v>
      </c>
      <c r="Z878" s="364"/>
      <c r="AA878" s="364"/>
      <c r="AB878" s="365"/>
      <c r="AC878" s="364"/>
      <c r="AD878" s="364"/>
      <c r="AE878" s="366"/>
      <c r="AF878" s="364" t="s">
        <v>2142</v>
      </c>
      <c r="AG878" s="364" t="s">
        <v>2142</v>
      </c>
      <c r="AH878" s="366" t="s">
        <v>2142</v>
      </c>
    </row>
    <row r="879" customFormat="false" ht="15.75" hidden="false" customHeight="false" outlineLevel="0" collapsed="false">
      <c r="A879" s="262" t="n">
        <v>755</v>
      </c>
      <c r="B879" s="361" t="n">
        <v>877</v>
      </c>
      <c r="C879" s="261" t="s">
        <v>2143</v>
      </c>
      <c r="D879" s="261" t="s">
        <v>60</v>
      </c>
      <c r="E879" s="362" t="s">
        <v>2143</v>
      </c>
      <c r="F879" s="261" t="s">
        <v>290</v>
      </c>
      <c r="G879" s="261" t="s">
        <v>144</v>
      </c>
      <c r="H879" s="261" t="n">
        <v>0</v>
      </c>
      <c r="I879" s="261" t="n">
        <v>1</v>
      </c>
      <c r="J879" s="361" t="n">
        <v>0</v>
      </c>
      <c r="K879" s="262" t="n">
        <v>40</v>
      </c>
      <c r="L879" s="262" t="n">
        <v>35</v>
      </c>
      <c r="M879" s="262" t="n">
        <v>55</v>
      </c>
      <c r="N879" s="262" t="n">
        <v>65</v>
      </c>
      <c r="O879" s="262" t="n">
        <v>75</v>
      </c>
      <c r="P879" s="361" t="n">
        <v>15</v>
      </c>
      <c r="Q879" s="261" t="s">
        <v>155</v>
      </c>
      <c r="R879" s="261" t="s">
        <v>161</v>
      </c>
      <c r="S879" s="363" t="n">
        <f aca="false" t="array" ref="S879:S879">IF(COUNTIF('0.3.0 GO Calculation Values'!$J$2:$J$99,C879),(INDEX('0.3.0 GO Calculation Values'!$K$2:$K$99,MATCH(C879,'0.3.0 GO Calculation Values'!$J$2:$J$99,0))),1)</f>
        <v>1</v>
      </c>
      <c r="T879" s="262" t="n">
        <f aca="false">ROUND(ROUND(2*((7/8)*MAX(L879,N879)+(1/8)*MIN(L879,N879)),0)*(1+(P879-75)/500),0)</f>
        <v>108</v>
      </c>
      <c r="U879" s="262" t="n">
        <f aca="false">ROUND(ROUND(2*((5/8)*MAX(M879,O879)+(3/8)*MIN(M879,O879)),0)*(1+(P879-75)/500),0)</f>
        <v>119</v>
      </c>
      <c r="V879" s="361" t="n">
        <f aca="false">ROUNDDOWN(K879*1.75+50,0)</f>
        <v>120</v>
      </c>
      <c r="W879" s="261" t="n">
        <v>0</v>
      </c>
      <c r="X879" s="261" t="s">
        <v>60</v>
      </c>
      <c r="Y879" s="364" t="s">
        <v>2143</v>
      </c>
      <c r="Z879" s="364"/>
      <c r="AA879" s="364"/>
      <c r="AB879" s="365"/>
      <c r="AC879" s="364"/>
      <c r="AD879" s="364"/>
      <c r="AE879" s="366"/>
      <c r="AF879" s="364" t="s">
        <v>2144</v>
      </c>
      <c r="AG879" s="364" t="s">
        <v>2144</v>
      </c>
      <c r="AH879" s="366" t="s">
        <v>2144</v>
      </c>
    </row>
    <row r="880" customFormat="false" ht="15.75" hidden="false" customHeight="false" outlineLevel="0" collapsed="false">
      <c r="A880" s="262" t="n">
        <v>756</v>
      </c>
      <c r="B880" s="361" t="n">
        <v>878</v>
      </c>
      <c r="C880" s="261" t="s">
        <v>2145</v>
      </c>
      <c r="D880" s="261" t="s">
        <v>60</v>
      </c>
      <c r="E880" s="362" t="s">
        <v>2145</v>
      </c>
      <c r="F880" s="261" t="s">
        <v>290</v>
      </c>
      <c r="G880" s="261" t="s">
        <v>144</v>
      </c>
      <c r="H880" s="261" t="n">
        <v>0</v>
      </c>
      <c r="I880" s="261" t="n">
        <v>2</v>
      </c>
      <c r="J880" s="361" t="n">
        <v>1</v>
      </c>
      <c r="K880" s="262" t="n">
        <v>60</v>
      </c>
      <c r="L880" s="262" t="n">
        <v>45</v>
      </c>
      <c r="M880" s="262" t="n">
        <v>80</v>
      </c>
      <c r="N880" s="262" t="n">
        <v>90</v>
      </c>
      <c r="O880" s="262" t="n">
        <v>100</v>
      </c>
      <c r="P880" s="361" t="n">
        <v>30</v>
      </c>
      <c r="Q880" s="261" t="s">
        <v>155</v>
      </c>
      <c r="R880" s="261" t="s">
        <v>161</v>
      </c>
      <c r="S880" s="363" t="n">
        <f aca="false" t="array" ref="S880:S880">IF(COUNTIF('0.3.0 GO Calculation Values'!$J$2:$J$99,C880),(INDEX('0.3.0 GO Calculation Values'!$K$2:$K$99,MATCH(C880,'0.3.0 GO Calculation Values'!$J$2:$J$99,0))),1)</f>
        <v>1</v>
      </c>
      <c r="T880" s="262" t="n">
        <f aca="false">ROUND(ROUND(2*((7/8)*MAX(L880,N880)+(1/8)*MIN(L880,N880)),0)*(1+(P880-75)/500),0)</f>
        <v>154</v>
      </c>
      <c r="U880" s="262" t="n">
        <f aca="false">ROUND(ROUND(2*((5/8)*MAX(M880,O880)+(3/8)*MIN(M880,O880)),0)*(1+(P880-75)/500),0)</f>
        <v>168</v>
      </c>
      <c r="V880" s="361" t="n">
        <f aca="false">ROUNDDOWN(K880*1.75+50,0)</f>
        <v>155</v>
      </c>
      <c r="W880" s="261" t="n">
        <v>0</v>
      </c>
      <c r="X880" s="261" t="s">
        <v>2143</v>
      </c>
      <c r="Y880" s="364" t="s">
        <v>2143</v>
      </c>
      <c r="Z880" s="364"/>
      <c r="AA880" s="364"/>
      <c r="AB880" s="365"/>
      <c r="AC880" s="364"/>
      <c r="AD880" s="364"/>
      <c r="AE880" s="366"/>
      <c r="AF880" s="364" t="s">
        <v>2146</v>
      </c>
      <c r="AG880" s="364" t="s">
        <v>2146</v>
      </c>
      <c r="AH880" s="366" t="s">
        <v>2146</v>
      </c>
    </row>
    <row r="881" customFormat="false" ht="15.75" hidden="false" customHeight="false" outlineLevel="0" collapsed="false">
      <c r="A881" s="262" t="n">
        <v>757</v>
      </c>
      <c r="B881" s="361" t="n">
        <v>879</v>
      </c>
      <c r="C881" s="261" t="s">
        <v>2147</v>
      </c>
      <c r="D881" s="261" t="s">
        <v>60</v>
      </c>
      <c r="E881" s="362" t="s">
        <v>2147</v>
      </c>
      <c r="F881" s="261" t="s">
        <v>290</v>
      </c>
      <c r="G881" s="261" t="s">
        <v>144</v>
      </c>
      <c r="H881" s="261" t="n">
        <v>0</v>
      </c>
      <c r="I881" s="261" t="n">
        <v>1</v>
      </c>
      <c r="J881" s="361" t="n">
        <v>0</v>
      </c>
      <c r="K881" s="262" t="n">
        <v>48</v>
      </c>
      <c r="L881" s="262" t="n">
        <v>44</v>
      </c>
      <c r="M881" s="262" t="n">
        <v>40</v>
      </c>
      <c r="N881" s="262" t="n">
        <v>71</v>
      </c>
      <c r="O881" s="262" t="n">
        <v>40</v>
      </c>
      <c r="P881" s="361" t="n">
        <v>77</v>
      </c>
      <c r="Q881" s="261" t="s">
        <v>147</v>
      </c>
      <c r="R881" s="261" t="s">
        <v>153</v>
      </c>
      <c r="S881" s="363" t="n">
        <f aca="false" t="array" ref="S881:S881">IF(COUNTIF('0.3.0 GO Calculation Values'!$J$2:$J$99,C881),(INDEX('0.3.0 GO Calculation Values'!$K$2:$K$99,MATCH(C881,'0.3.0 GO Calculation Values'!$J$2:$J$99,0))),1)</f>
        <v>1</v>
      </c>
      <c r="T881" s="262" t="n">
        <f aca="false">ROUND(ROUND(2*((7/8)*MAX(L881,N881)+(1/8)*MIN(L881,N881)),0)*(1+(P881-75)/500),0)</f>
        <v>136</v>
      </c>
      <c r="U881" s="262" t="n">
        <f aca="false">ROUND(ROUND(2*((5/8)*MAX(M881,O881)+(3/8)*MIN(M881,O881)),0)*(1+(P881-75)/500),0)</f>
        <v>80</v>
      </c>
      <c r="V881" s="361" t="n">
        <f aca="false">ROUNDDOWN(K881*1.75+50,0)</f>
        <v>134</v>
      </c>
      <c r="W881" s="261" t="n">
        <v>0</v>
      </c>
      <c r="X881" s="261" t="s">
        <v>60</v>
      </c>
      <c r="Y881" s="364" t="s">
        <v>2147</v>
      </c>
      <c r="Z881" s="364"/>
      <c r="AA881" s="364"/>
      <c r="AB881" s="365"/>
      <c r="AC881" s="364"/>
      <c r="AD881" s="364"/>
      <c r="AE881" s="366"/>
      <c r="AF881" s="364" t="s">
        <v>2148</v>
      </c>
      <c r="AG881" s="364" t="s">
        <v>2148</v>
      </c>
      <c r="AH881" s="366" t="s">
        <v>2148</v>
      </c>
    </row>
    <row r="882" customFormat="false" ht="15.75" hidden="false" customHeight="false" outlineLevel="0" collapsed="false">
      <c r="A882" s="262" t="n">
        <v>758</v>
      </c>
      <c r="B882" s="361" t="n">
        <v>880</v>
      </c>
      <c r="C882" s="261" t="s">
        <v>2149</v>
      </c>
      <c r="D882" s="261" t="s">
        <v>60</v>
      </c>
      <c r="E882" s="362" t="s">
        <v>2149</v>
      </c>
      <c r="F882" s="261" t="s">
        <v>290</v>
      </c>
      <c r="G882" s="261" t="s">
        <v>144</v>
      </c>
      <c r="H882" s="261" t="n">
        <v>0</v>
      </c>
      <c r="I882" s="261" t="n">
        <v>2</v>
      </c>
      <c r="J882" s="361" t="n">
        <v>1</v>
      </c>
      <c r="K882" s="262" t="n">
        <v>68</v>
      </c>
      <c r="L882" s="262" t="n">
        <v>64</v>
      </c>
      <c r="M882" s="262" t="n">
        <v>60</v>
      </c>
      <c r="N882" s="262" t="n">
        <v>111</v>
      </c>
      <c r="O882" s="262" t="n">
        <v>60</v>
      </c>
      <c r="P882" s="361" t="n">
        <v>117</v>
      </c>
      <c r="Q882" s="261" t="s">
        <v>147</v>
      </c>
      <c r="R882" s="261" t="s">
        <v>153</v>
      </c>
      <c r="S882" s="363" t="n">
        <f aca="false" t="array" ref="S882:S882">IF(COUNTIF('0.3.0 GO Calculation Values'!$J$2:$J$99,C882),(INDEX('0.3.0 GO Calculation Values'!$K$2:$K$99,MATCH(C882,'0.3.0 GO Calculation Values'!$J$2:$J$99,0))),1)</f>
        <v>1</v>
      </c>
      <c r="T882" s="262" t="n">
        <f aca="false">ROUND(ROUND(2*((7/8)*MAX(L882,N882)+(1/8)*MIN(L882,N882)),0)*(1+(P882-75)/500),0)</f>
        <v>228</v>
      </c>
      <c r="U882" s="262" t="n">
        <f aca="false">ROUND(ROUND(2*((5/8)*MAX(M882,O882)+(3/8)*MIN(M882,O882)),0)*(1+(P882-75)/500),0)</f>
        <v>130</v>
      </c>
      <c r="V882" s="361" t="n">
        <f aca="false">ROUNDDOWN(K882*1.75+50,0)</f>
        <v>169</v>
      </c>
      <c r="W882" s="261" t="n">
        <v>0</v>
      </c>
      <c r="X882" s="261" t="s">
        <v>2147</v>
      </c>
      <c r="Y882" s="364" t="s">
        <v>2147</v>
      </c>
      <c r="Z882" s="364"/>
      <c r="AA882" s="364"/>
      <c r="AB882" s="365"/>
      <c r="AC882" s="364"/>
      <c r="AD882" s="364"/>
      <c r="AE882" s="366"/>
      <c r="AF882" s="364" t="s">
        <v>2150</v>
      </c>
      <c r="AG882" s="364" t="s">
        <v>2150</v>
      </c>
      <c r="AH882" s="366" t="s">
        <v>2150</v>
      </c>
    </row>
    <row r="883" customFormat="false" ht="15.75" hidden="false" customHeight="false" outlineLevel="0" collapsed="false">
      <c r="A883" s="262" t="n">
        <v>759</v>
      </c>
      <c r="B883" s="361" t="n">
        <v>881</v>
      </c>
      <c r="C883" s="261" t="s">
        <v>2151</v>
      </c>
      <c r="D883" s="261" t="s">
        <v>60</v>
      </c>
      <c r="E883" s="362" t="s">
        <v>2151</v>
      </c>
      <c r="F883" s="261" t="s">
        <v>290</v>
      </c>
      <c r="G883" s="261" t="s">
        <v>144</v>
      </c>
      <c r="H883" s="261" t="n">
        <v>0</v>
      </c>
      <c r="I883" s="261" t="n">
        <v>1</v>
      </c>
      <c r="J883" s="361" t="n">
        <v>0</v>
      </c>
      <c r="K883" s="262" t="n">
        <v>70</v>
      </c>
      <c r="L883" s="262" t="n">
        <v>75</v>
      </c>
      <c r="M883" s="262" t="n">
        <v>50</v>
      </c>
      <c r="N883" s="262" t="n">
        <v>45</v>
      </c>
      <c r="O883" s="262" t="n">
        <v>50</v>
      </c>
      <c r="P883" s="361" t="n">
        <v>50</v>
      </c>
      <c r="Q883" s="261" t="s">
        <v>144</v>
      </c>
      <c r="R883" s="261" t="s">
        <v>145</v>
      </c>
      <c r="S883" s="363" t="n">
        <f aca="false" t="array" ref="S883:S883">IF(COUNTIF('0.3.0 GO Calculation Values'!$J$2:$J$99,C883),(INDEX('0.3.0 GO Calculation Values'!$K$2:$K$99,MATCH(C883,'0.3.0 GO Calculation Values'!$J$2:$J$99,0))),1)</f>
        <v>1</v>
      </c>
      <c r="T883" s="262" t="n">
        <f aca="false">ROUND(ROUND(2*((7/8)*MAX(L883,N883)+(1/8)*MIN(L883,N883)),0)*(1+(P883-75)/500),0)</f>
        <v>136</v>
      </c>
      <c r="U883" s="262" t="n">
        <f aca="false">ROUND(ROUND(2*((5/8)*MAX(M883,O883)+(3/8)*MIN(M883,O883)),0)*(1+(P883-75)/500),0)</f>
        <v>95</v>
      </c>
      <c r="V883" s="361" t="n">
        <f aca="false">ROUNDDOWN(K883*1.75+50,0)</f>
        <v>172</v>
      </c>
      <c r="W883" s="261" t="n">
        <v>0</v>
      </c>
      <c r="X883" s="261" t="s">
        <v>60</v>
      </c>
      <c r="Y883" s="364" t="s">
        <v>2151</v>
      </c>
      <c r="Z883" s="364"/>
      <c r="AA883" s="364"/>
      <c r="AB883" s="365"/>
      <c r="AC883" s="364"/>
      <c r="AD883" s="364"/>
      <c r="AE883" s="366"/>
      <c r="AF883" s="364" t="s">
        <v>2152</v>
      </c>
      <c r="AG883" s="364" t="s">
        <v>2152</v>
      </c>
      <c r="AH883" s="366" t="s">
        <v>2152</v>
      </c>
    </row>
    <row r="884" customFormat="false" ht="15.75" hidden="false" customHeight="false" outlineLevel="0" collapsed="false">
      <c r="A884" s="262" t="n">
        <v>760</v>
      </c>
      <c r="B884" s="361" t="n">
        <v>882</v>
      </c>
      <c r="C884" s="261" t="s">
        <v>2153</v>
      </c>
      <c r="D884" s="261" t="s">
        <v>60</v>
      </c>
      <c r="E884" s="362" t="s">
        <v>2153</v>
      </c>
      <c r="F884" s="261" t="s">
        <v>290</v>
      </c>
      <c r="G884" s="261" t="s">
        <v>144</v>
      </c>
      <c r="H884" s="261" t="n">
        <v>0</v>
      </c>
      <c r="I884" s="261" t="n">
        <v>2</v>
      </c>
      <c r="J884" s="361" t="n">
        <v>1</v>
      </c>
      <c r="K884" s="262" t="n">
        <v>120</v>
      </c>
      <c r="L884" s="262" t="n">
        <v>125</v>
      </c>
      <c r="M884" s="262" t="n">
        <v>80</v>
      </c>
      <c r="N884" s="262" t="n">
        <v>55</v>
      </c>
      <c r="O884" s="262" t="n">
        <v>60</v>
      </c>
      <c r="P884" s="361" t="n">
        <v>60</v>
      </c>
      <c r="Q884" s="261" t="s">
        <v>144</v>
      </c>
      <c r="R884" s="261" t="s">
        <v>145</v>
      </c>
      <c r="S884" s="363" t="n">
        <f aca="false" t="array" ref="S884:S884">IF(COUNTIF('0.3.0 GO Calculation Values'!$J$2:$J$99,C884),(INDEX('0.3.0 GO Calculation Values'!$K$2:$K$99,MATCH(C884,'0.3.0 GO Calculation Values'!$J$2:$J$99,0))),1)</f>
        <v>1</v>
      </c>
      <c r="T884" s="262" t="n">
        <f aca="false">ROUND(ROUND(2*((7/8)*MAX(L884,N884)+(1/8)*MIN(L884,N884)),0)*(1+(P884-75)/500),0)</f>
        <v>226</v>
      </c>
      <c r="U884" s="262" t="n">
        <f aca="false">ROUND(ROUND(2*((5/8)*MAX(M884,O884)+(3/8)*MIN(M884,O884)),0)*(1+(P884-75)/500),0)</f>
        <v>141</v>
      </c>
      <c r="V884" s="361" t="n">
        <f aca="false">ROUNDDOWN(K884*1.75+50,0)</f>
        <v>260</v>
      </c>
      <c r="W884" s="261" t="n">
        <v>0</v>
      </c>
      <c r="X884" s="261" t="s">
        <v>2151</v>
      </c>
      <c r="Y884" s="364" t="s">
        <v>2151</v>
      </c>
      <c r="Z884" s="364"/>
      <c r="AA884" s="364"/>
      <c r="AB884" s="365"/>
      <c r="AC884" s="364"/>
      <c r="AD884" s="364"/>
      <c r="AE884" s="366"/>
      <c r="AF884" s="364" t="s">
        <v>2154</v>
      </c>
      <c r="AG884" s="364" t="s">
        <v>2154</v>
      </c>
      <c r="AH884" s="366" t="s">
        <v>2154</v>
      </c>
    </row>
    <row r="885" customFormat="false" ht="15.75" hidden="false" customHeight="false" outlineLevel="0" collapsed="false">
      <c r="A885" s="262" t="n">
        <v>761</v>
      </c>
      <c r="B885" s="361" t="n">
        <v>883</v>
      </c>
      <c r="C885" s="261" t="s">
        <v>2155</v>
      </c>
      <c r="D885" s="261" t="s">
        <v>60</v>
      </c>
      <c r="E885" s="362" t="s">
        <v>2155</v>
      </c>
      <c r="F885" s="261" t="s">
        <v>290</v>
      </c>
      <c r="G885" s="261" t="s">
        <v>144</v>
      </c>
      <c r="H885" s="261" t="n">
        <v>0</v>
      </c>
      <c r="I885" s="261" t="n">
        <v>1</v>
      </c>
      <c r="J885" s="361" t="n">
        <v>0</v>
      </c>
      <c r="K885" s="262" t="n">
        <v>42</v>
      </c>
      <c r="L885" s="262" t="n">
        <v>30</v>
      </c>
      <c r="M885" s="262" t="n">
        <v>38</v>
      </c>
      <c r="N885" s="262" t="n">
        <v>30</v>
      </c>
      <c r="O885" s="262" t="n">
        <v>38</v>
      </c>
      <c r="P885" s="361" t="n">
        <v>32</v>
      </c>
      <c r="Q885" s="261" t="s">
        <v>155</v>
      </c>
      <c r="R885" s="261"/>
      <c r="S885" s="363" t="n">
        <f aca="false" t="array" ref="S885:S885">IF(COUNTIF('0.3.0 GO Calculation Values'!$J$2:$J$99,C885),(INDEX('0.3.0 GO Calculation Values'!$K$2:$K$99,MATCH(C885,'0.3.0 GO Calculation Values'!$J$2:$J$99,0))),1)</f>
        <v>1</v>
      </c>
      <c r="T885" s="262" t="n">
        <f aca="false">ROUND(ROUND(2*((7/8)*MAX(L885,N885)+(1/8)*MIN(L885,N885)),0)*(1+(P885-75)/500),0)</f>
        <v>55</v>
      </c>
      <c r="U885" s="262" t="n">
        <f aca="false">ROUND(ROUND(2*((5/8)*MAX(M885,O885)+(3/8)*MIN(M885,O885)),0)*(1+(P885-75)/500),0)</f>
        <v>69</v>
      </c>
      <c r="V885" s="361" t="n">
        <f aca="false">ROUNDDOWN(K885*1.75+50,0)</f>
        <v>123</v>
      </c>
      <c r="W885" s="261" t="n">
        <v>0</v>
      </c>
      <c r="X885" s="261" t="s">
        <v>60</v>
      </c>
      <c r="Y885" s="364" t="s">
        <v>2155</v>
      </c>
      <c r="Z885" s="364"/>
      <c r="AA885" s="364"/>
      <c r="AB885" s="365"/>
      <c r="AC885" s="364"/>
      <c r="AD885" s="364"/>
      <c r="AE885" s="366"/>
      <c r="AF885" s="364" t="s">
        <v>2156</v>
      </c>
      <c r="AG885" s="364" t="s">
        <v>2156</v>
      </c>
      <c r="AH885" s="366" t="s">
        <v>2156</v>
      </c>
    </row>
    <row r="886" customFormat="false" ht="15.75" hidden="false" customHeight="false" outlineLevel="0" collapsed="false">
      <c r="A886" s="262" t="n">
        <v>762</v>
      </c>
      <c r="B886" s="361" t="n">
        <v>884</v>
      </c>
      <c r="C886" s="261" t="s">
        <v>2157</v>
      </c>
      <c r="D886" s="261" t="s">
        <v>60</v>
      </c>
      <c r="E886" s="362" t="s">
        <v>2157</v>
      </c>
      <c r="F886" s="261" t="s">
        <v>290</v>
      </c>
      <c r="G886" s="261" t="s">
        <v>144</v>
      </c>
      <c r="H886" s="261" t="n">
        <v>0</v>
      </c>
      <c r="I886" s="261" t="n">
        <v>2</v>
      </c>
      <c r="J886" s="361" t="n">
        <v>0</v>
      </c>
      <c r="K886" s="262" t="n">
        <v>52</v>
      </c>
      <c r="L886" s="262" t="n">
        <v>40</v>
      </c>
      <c r="M886" s="262" t="n">
        <v>48</v>
      </c>
      <c r="N886" s="262" t="n">
        <v>40</v>
      </c>
      <c r="O886" s="262" t="n">
        <v>48</v>
      </c>
      <c r="P886" s="361" t="n">
        <v>62</v>
      </c>
      <c r="Q886" s="261" t="s">
        <v>155</v>
      </c>
      <c r="R886" s="261"/>
      <c r="S886" s="363" t="n">
        <f aca="false" t="array" ref="S886:S886">IF(COUNTIF('0.3.0 GO Calculation Values'!$J$2:$J$99,C886),(INDEX('0.3.0 GO Calculation Values'!$K$2:$K$99,MATCH(C886,'0.3.0 GO Calculation Values'!$J$2:$J$99,0))),1)</f>
        <v>1</v>
      </c>
      <c r="T886" s="262" t="n">
        <f aca="false">ROUND(ROUND(2*((7/8)*MAX(L886,N886)+(1/8)*MIN(L886,N886)),0)*(1+(P886-75)/500),0)</f>
        <v>78</v>
      </c>
      <c r="U886" s="262" t="n">
        <f aca="false">ROUND(ROUND(2*((5/8)*MAX(M886,O886)+(3/8)*MIN(M886,O886)),0)*(1+(P886-75)/500),0)</f>
        <v>94</v>
      </c>
      <c r="V886" s="361" t="n">
        <f aca="false">ROUNDDOWN(K886*1.75+50,0)</f>
        <v>141</v>
      </c>
      <c r="W886" s="261" t="n">
        <v>0</v>
      </c>
      <c r="X886" s="261" t="s">
        <v>2155</v>
      </c>
      <c r="Y886" s="364" t="s">
        <v>2155</v>
      </c>
      <c r="Z886" s="364"/>
      <c r="AA886" s="364"/>
      <c r="AB886" s="365"/>
      <c r="AC886" s="364"/>
      <c r="AD886" s="364"/>
      <c r="AE886" s="366"/>
      <c r="AF886" s="364" t="s">
        <v>2158</v>
      </c>
      <c r="AG886" s="364" t="s">
        <v>2158</v>
      </c>
      <c r="AH886" s="366" t="s">
        <v>2158</v>
      </c>
    </row>
    <row r="887" customFormat="false" ht="15.75" hidden="false" customHeight="false" outlineLevel="0" collapsed="false">
      <c r="A887" s="262" t="n">
        <v>763</v>
      </c>
      <c r="B887" s="361" t="n">
        <v>885</v>
      </c>
      <c r="C887" s="261" t="s">
        <v>2159</v>
      </c>
      <c r="D887" s="261" t="s">
        <v>60</v>
      </c>
      <c r="E887" s="362" t="s">
        <v>2159</v>
      </c>
      <c r="F887" s="261" t="s">
        <v>290</v>
      </c>
      <c r="G887" s="261" t="s">
        <v>144</v>
      </c>
      <c r="H887" s="261" t="n">
        <v>0</v>
      </c>
      <c r="I887" s="261" t="n">
        <v>3</v>
      </c>
      <c r="J887" s="361" t="n">
        <v>1</v>
      </c>
      <c r="K887" s="262" t="n">
        <v>72</v>
      </c>
      <c r="L887" s="262" t="n">
        <v>120</v>
      </c>
      <c r="M887" s="262" t="n">
        <v>98</v>
      </c>
      <c r="N887" s="262" t="n">
        <v>50</v>
      </c>
      <c r="O887" s="262" t="n">
        <v>98</v>
      </c>
      <c r="P887" s="361" t="n">
        <v>72</v>
      </c>
      <c r="Q887" s="261" t="s">
        <v>155</v>
      </c>
      <c r="R887" s="261"/>
      <c r="S887" s="363" t="n">
        <f aca="false" t="array" ref="S887:S887">IF(COUNTIF('0.3.0 GO Calculation Values'!$J$2:$J$99,C887),(INDEX('0.3.0 GO Calculation Values'!$K$2:$K$99,MATCH(C887,'0.3.0 GO Calculation Values'!$J$2:$J$99,0))),1)</f>
        <v>1</v>
      </c>
      <c r="T887" s="262" t="n">
        <f aca="false">ROUND(ROUND(2*((7/8)*MAX(L887,N887)+(1/8)*MIN(L887,N887)),0)*(1+(P887-75)/500),0)</f>
        <v>222</v>
      </c>
      <c r="U887" s="262" t="n">
        <f aca="false">ROUND(ROUND(2*((5/8)*MAX(M887,O887)+(3/8)*MIN(M887,O887)),0)*(1+(P887-75)/500),0)</f>
        <v>195</v>
      </c>
      <c r="V887" s="361" t="n">
        <f aca="false">ROUNDDOWN(K887*1.75+50,0)</f>
        <v>176</v>
      </c>
      <c r="W887" s="261" t="n">
        <v>0</v>
      </c>
      <c r="X887" s="261" t="s">
        <v>2157</v>
      </c>
      <c r="Y887" s="364" t="s">
        <v>2155</v>
      </c>
      <c r="Z887" s="364"/>
      <c r="AA887" s="364"/>
      <c r="AB887" s="365"/>
      <c r="AC887" s="364"/>
      <c r="AD887" s="364"/>
      <c r="AE887" s="366"/>
      <c r="AF887" s="364" t="s">
        <v>2160</v>
      </c>
      <c r="AG887" s="364" t="s">
        <v>2160</v>
      </c>
      <c r="AH887" s="366" t="s">
        <v>2160</v>
      </c>
    </row>
    <row r="888" customFormat="false" ht="15.75" hidden="false" customHeight="false" outlineLevel="0" collapsed="false">
      <c r="A888" s="262" t="n">
        <v>764</v>
      </c>
      <c r="B888" s="361" t="n">
        <v>886</v>
      </c>
      <c r="C888" s="261" t="s">
        <v>2161</v>
      </c>
      <c r="D888" s="261" t="s">
        <v>60</v>
      </c>
      <c r="E888" s="362" t="s">
        <v>2161</v>
      </c>
      <c r="F888" s="261" t="s">
        <v>290</v>
      </c>
      <c r="G888" s="261" t="s">
        <v>144</v>
      </c>
      <c r="H888" s="261" t="n">
        <v>0</v>
      </c>
      <c r="I888" s="261" t="n">
        <v>1</v>
      </c>
      <c r="J888" s="361" t="n">
        <v>1</v>
      </c>
      <c r="K888" s="262" t="n">
        <v>51</v>
      </c>
      <c r="L888" s="262" t="n">
        <v>52</v>
      </c>
      <c r="M888" s="262" t="n">
        <v>90</v>
      </c>
      <c r="N888" s="262" t="n">
        <v>82</v>
      </c>
      <c r="O888" s="262" t="n">
        <v>110</v>
      </c>
      <c r="P888" s="361" t="n">
        <v>100</v>
      </c>
      <c r="Q888" s="261" t="s">
        <v>161</v>
      </c>
      <c r="R888" s="261"/>
      <c r="S888" s="363" t="n">
        <f aca="false" t="array" ref="S888:S888">IF(COUNTIF('0.3.0 GO Calculation Values'!$J$2:$J$99,C888),(INDEX('0.3.0 GO Calculation Values'!$K$2:$K$99,MATCH(C888,'0.3.0 GO Calculation Values'!$J$2:$J$99,0))),1)</f>
        <v>1</v>
      </c>
      <c r="T888" s="262" t="n">
        <f aca="false">ROUND(ROUND(2*((7/8)*MAX(L888,N888)+(1/8)*MIN(L888,N888)),0)*(1+(P888-75)/500),0)</f>
        <v>165</v>
      </c>
      <c r="U888" s="262" t="n">
        <f aca="false">ROUND(ROUND(2*((5/8)*MAX(M888,O888)+(3/8)*MIN(M888,O888)),0)*(1+(P888-75)/500),0)</f>
        <v>215</v>
      </c>
      <c r="V888" s="361" t="n">
        <f aca="false">ROUNDDOWN(K888*1.75+50,0)</f>
        <v>139</v>
      </c>
      <c r="W888" s="261" t="n">
        <v>0</v>
      </c>
      <c r="X888" s="261" t="s">
        <v>60</v>
      </c>
      <c r="Y888" s="364" t="s">
        <v>2161</v>
      </c>
      <c r="Z888" s="364"/>
      <c r="AA888" s="364"/>
      <c r="AB888" s="365"/>
      <c r="AC888" s="364"/>
      <c r="AD888" s="364"/>
      <c r="AE888" s="366"/>
      <c r="AF888" s="364" t="s">
        <v>2162</v>
      </c>
      <c r="AG888" s="364" t="s">
        <v>2162</v>
      </c>
      <c r="AH888" s="366" t="s">
        <v>2162</v>
      </c>
    </row>
    <row r="889" customFormat="false" ht="15.75" hidden="false" customHeight="false" outlineLevel="0" collapsed="false">
      <c r="A889" s="262" t="n">
        <v>765</v>
      </c>
      <c r="B889" s="361" t="n">
        <v>887</v>
      </c>
      <c r="C889" s="261" t="s">
        <v>2163</v>
      </c>
      <c r="D889" s="261" t="s">
        <v>60</v>
      </c>
      <c r="E889" s="362" t="s">
        <v>2163</v>
      </c>
      <c r="F889" s="261" t="s">
        <v>290</v>
      </c>
      <c r="G889" s="261" t="s">
        <v>144</v>
      </c>
      <c r="H889" s="261" t="n">
        <v>0</v>
      </c>
      <c r="I889" s="261" t="n">
        <v>1</v>
      </c>
      <c r="J889" s="361" t="n">
        <v>1</v>
      </c>
      <c r="K889" s="262" t="n">
        <v>90</v>
      </c>
      <c r="L889" s="262" t="n">
        <v>60</v>
      </c>
      <c r="M889" s="262" t="n">
        <v>80</v>
      </c>
      <c r="N889" s="262" t="n">
        <v>90</v>
      </c>
      <c r="O889" s="262" t="n">
        <v>110</v>
      </c>
      <c r="P889" s="361" t="n">
        <v>60</v>
      </c>
      <c r="Q889" s="261" t="s">
        <v>144</v>
      </c>
      <c r="R889" s="261" t="s">
        <v>157</v>
      </c>
      <c r="S889" s="363" t="n">
        <f aca="false" t="array" ref="S889:S889">IF(COUNTIF('0.3.0 GO Calculation Values'!$J$2:$J$99,C889),(INDEX('0.3.0 GO Calculation Values'!$K$2:$K$99,MATCH(C889,'0.3.0 GO Calculation Values'!$J$2:$J$99,0))),1)</f>
        <v>1</v>
      </c>
      <c r="T889" s="262" t="n">
        <f aca="false">ROUND(ROUND(2*((7/8)*MAX(L889,N889)+(1/8)*MIN(L889,N889)),0)*(1+(P889-75)/500),0)</f>
        <v>168</v>
      </c>
      <c r="U889" s="262" t="n">
        <f aca="false">ROUND(ROUND(2*((5/8)*MAX(M889,O889)+(3/8)*MIN(M889,O889)),0)*(1+(P889-75)/500),0)</f>
        <v>192</v>
      </c>
      <c r="V889" s="361" t="n">
        <f aca="false">ROUNDDOWN(K889*1.75+50,0)</f>
        <v>207</v>
      </c>
      <c r="W889" s="261" t="n">
        <v>0</v>
      </c>
      <c r="X889" s="261" t="s">
        <v>60</v>
      </c>
      <c r="Y889" s="364" t="s">
        <v>2163</v>
      </c>
      <c r="Z889" s="364"/>
      <c r="AA889" s="364"/>
      <c r="AB889" s="365"/>
      <c r="AC889" s="364"/>
      <c r="AD889" s="364"/>
      <c r="AE889" s="366"/>
      <c r="AF889" s="364" t="s">
        <v>2164</v>
      </c>
      <c r="AG889" s="364" t="s">
        <v>2164</v>
      </c>
      <c r="AH889" s="366" t="s">
        <v>2164</v>
      </c>
    </row>
    <row r="890" customFormat="false" ht="15.75" hidden="false" customHeight="false" outlineLevel="0" collapsed="false">
      <c r="A890" s="262" t="n">
        <v>766</v>
      </c>
      <c r="B890" s="361" t="n">
        <v>888</v>
      </c>
      <c r="C890" s="261" t="s">
        <v>2165</v>
      </c>
      <c r="D890" s="261" t="s">
        <v>60</v>
      </c>
      <c r="E890" s="362" t="s">
        <v>2165</v>
      </c>
      <c r="F890" s="261" t="s">
        <v>290</v>
      </c>
      <c r="G890" s="261" t="s">
        <v>144</v>
      </c>
      <c r="H890" s="261" t="n">
        <v>0</v>
      </c>
      <c r="I890" s="261" t="n">
        <v>1</v>
      </c>
      <c r="J890" s="361" t="n">
        <v>1</v>
      </c>
      <c r="K890" s="262" t="n">
        <v>100</v>
      </c>
      <c r="L890" s="262" t="n">
        <v>120</v>
      </c>
      <c r="M890" s="262" t="n">
        <v>90</v>
      </c>
      <c r="N890" s="262" t="n">
        <v>40</v>
      </c>
      <c r="O890" s="262" t="n">
        <v>60</v>
      </c>
      <c r="P890" s="361" t="n">
        <v>80</v>
      </c>
      <c r="Q890" s="261" t="s">
        <v>145</v>
      </c>
      <c r="R890" s="261"/>
      <c r="S890" s="363" t="n">
        <f aca="false" t="array" ref="S890:S890">IF(COUNTIF('0.3.0 GO Calculation Values'!$J$2:$J$99,C890),(INDEX('0.3.0 GO Calculation Values'!$K$2:$K$99,MATCH(C890,'0.3.0 GO Calculation Values'!$J$2:$J$99,0))),1)</f>
        <v>1</v>
      </c>
      <c r="T890" s="262" t="n">
        <f aca="false">ROUND(ROUND(2*((7/8)*MAX(L890,N890)+(1/8)*MIN(L890,N890)),0)*(1+(P890-75)/500),0)</f>
        <v>222</v>
      </c>
      <c r="U890" s="262" t="n">
        <f aca="false">ROUND(ROUND(2*((5/8)*MAX(M890,O890)+(3/8)*MIN(M890,O890)),0)*(1+(P890-75)/500),0)</f>
        <v>160</v>
      </c>
      <c r="V890" s="361" t="n">
        <f aca="false">ROUNDDOWN(K890*1.75+50,0)</f>
        <v>225</v>
      </c>
      <c r="W890" s="261" t="n">
        <v>0</v>
      </c>
      <c r="X890" s="261" t="s">
        <v>60</v>
      </c>
      <c r="Y890" s="364" t="s">
        <v>2165</v>
      </c>
      <c r="Z890" s="364"/>
      <c r="AA890" s="364"/>
      <c r="AB890" s="365"/>
      <c r="AC890" s="364"/>
      <c r="AD890" s="364"/>
      <c r="AE890" s="366"/>
      <c r="AF890" s="364" t="s">
        <v>2166</v>
      </c>
      <c r="AG890" s="364" t="s">
        <v>2166</v>
      </c>
      <c r="AH890" s="366" t="s">
        <v>2166</v>
      </c>
    </row>
    <row r="891" customFormat="false" ht="15.75" hidden="false" customHeight="false" outlineLevel="0" collapsed="false">
      <c r="A891" s="262" t="n">
        <v>767</v>
      </c>
      <c r="B891" s="361" t="n">
        <v>889</v>
      </c>
      <c r="C891" s="261" t="s">
        <v>2167</v>
      </c>
      <c r="D891" s="261" t="s">
        <v>60</v>
      </c>
      <c r="E891" s="362" t="s">
        <v>2167</v>
      </c>
      <c r="F891" s="261" t="s">
        <v>290</v>
      </c>
      <c r="G891" s="261" t="s">
        <v>144</v>
      </c>
      <c r="H891" s="261" t="n">
        <v>0</v>
      </c>
      <c r="I891" s="261" t="n">
        <v>1</v>
      </c>
      <c r="J891" s="361" t="n">
        <v>0</v>
      </c>
      <c r="K891" s="262" t="n">
        <v>25</v>
      </c>
      <c r="L891" s="262" t="n">
        <v>35</v>
      </c>
      <c r="M891" s="262" t="n">
        <v>40</v>
      </c>
      <c r="N891" s="262" t="n">
        <v>20</v>
      </c>
      <c r="O891" s="262" t="n">
        <v>30</v>
      </c>
      <c r="P891" s="361" t="n">
        <v>80</v>
      </c>
      <c r="Q891" s="261" t="s">
        <v>150</v>
      </c>
      <c r="R891" s="261" t="s">
        <v>154</v>
      </c>
      <c r="S891" s="363" t="n">
        <f aca="false" t="array" ref="S891:S891">IF(COUNTIF('0.3.0 GO Calculation Values'!$J$2:$J$99,C891),(INDEX('0.3.0 GO Calculation Values'!$K$2:$K$99,MATCH(C891,'0.3.0 GO Calculation Values'!$J$2:$J$99,0))),1)</f>
        <v>1</v>
      </c>
      <c r="T891" s="262" t="n">
        <f aca="false">ROUND(ROUND(2*((7/8)*MAX(L891,N891)+(1/8)*MIN(L891,N891)),0)*(1+(P891-75)/500),0)</f>
        <v>67</v>
      </c>
      <c r="U891" s="262" t="n">
        <f aca="false">ROUND(ROUND(2*((5/8)*MAX(M891,O891)+(3/8)*MIN(M891,O891)),0)*(1+(P891-75)/500),0)</f>
        <v>74</v>
      </c>
      <c r="V891" s="361" t="n">
        <f aca="false">ROUNDDOWN(K891*1.75+50,0)</f>
        <v>93</v>
      </c>
      <c r="W891" s="261" t="n">
        <v>0</v>
      </c>
      <c r="X891" s="261" t="s">
        <v>60</v>
      </c>
      <c r="Y891" s="364" t="s">
        <v>2167</v>
      </c>
      <c r="Z891" s="364"/>
      <c r="AA891" s="364"/>
      <c r="AB891" s="365"/>
      <c r="AC891" s="364"/>
      <c r="AD891" s="364"/>
      <c r="AE891" s="366"/>
      <c r="AF891" s="364" t="s">
        <v>2168</v>
      </c>
      <c r="AG891" s="364" t="s">
        <v>2168</v>
      </c>
      <c r="AH891" s="366" t="s">
        <v>2168</v>
      </c>
    </row>
    <row r="892" customFormat="false" ht="15.75" hidden="false" customHeight="false" outlineLevel="0" collapsed="false">
      <c r="A892" s="262" t="n">
        <v>768</v>
      </c>
      <c r="B892" s="361" t="n">
        <v>890</v>
      </c>
      <c r="C892" s="261" t="s">
        <v>2169</v>
      </c>
      <c r="D892" s="261" t="s">
        <v>60</v>
      </c>
      <c r="E892" s="362" t="s">
        <v>2169</v>
      </c>
      <c r="F892" s="261" t="s">
        <v>290</v>
      </c>
      <c r="G892" s="261" t="s">
        <v>144</v>
      </c>
      <c r="H892" s="261" t="n">
        <v>0</v>
      </c>
      <c r="I892" s="261" t="n">
        <v>2</v>
      </c>
      <c r="J892" s="361" t="n">
        <v>1</v>
      </c>
      <c r="K892" s="262" t="n">
        <v>75</v>
      </c>
      <c r="L892" s="262" t="n">
        <v>125</v>
      </c>
      <c r="M892" s="262" t="n">
        <v>140</v>
      </c>
      <c r="N892" s="262" t="n">
        <v>60</v>
      </c>
      <c r="O892" s="262" t="n">
        <v>90</v>
      </c>
      <c r="P892" s="361" t="n">
        <v>40</v>
      </c>
      <c r="Q892" s="261" t="s">
        <v>150</v>
      </c>
      <c r="R892" s="261" t="s">
        <v>154</v>
      </c>
      <c r="S892" s="363" t="n">
        <f aca="false" t="array" ref="S892:S892">IF(COUNTIF('0.3.0 GO Calculation Values'!$J$2:$J$99,C892),(INDEX('0.3.0 GO Calculation Values'!$K$2:$K$99,MATCH(C892,'0.3.0 GO Calculation Values'!$J$2:$J$99,0))),1)</f>
        <v>1</v>
      </c>
      <c r="T892" s="262" t="n">
        <f aca="false">ROUND(ROUND(2*((7/8)*MAX(L892,N892)+(1/8)*MIN(L892,N892)),0)*(1+(P892-75)/500),0)</f>
        <v>218</v>
      </c>
      <c r="U892" s="262" t="n">
        <f aca="false">ROUND(ROUND(2*((5/8)*MAX(M892,O892)+(3/8)*MIN(M892,O892)),0)*(1+(P892-75)/500),0)</f>
        <v>226</v>
      </c>
      <c r="V892" s="361" t="n">
        <f aca="false">ROUNDDOWN(K892*1.75+50,0)</f>
        <v>181</v>
      </c>
      <c r="W892" s="261" t="n">
        <v>0</v>
      </c>
      <c r="X892" s="261" t="s">
        <v>2167</v>
      </c>
      <c r="Y892" s="364" t="s">
        <v>2167</v>
      </c>
      <c r="Z892" s="364"/>
      <c r="AA892" s="364"/>
      <c r="AB892" s="365"/>
      <c r="AC892" s="364"/>
      <c r="AD892" s="364"/>
      <c r="AE892" s="366"/>
      <c r="AF892" s="364" t="s">
        <v>2170</v>
      </c>
      <c r="AG892" s="364" t="s">
        <v>2170</v>
      </c>
      <c r="AH892" s="366" t="s">
        <v>2170</v>
      </c>
    </row>
    <row r="893" customFormat="false" ht="15.75" hidden="false" customHeight="false" outlineLevel="0" collapsed="false">
      <c r="A893" s="262" t="n">
        <v>769</v>
      </c>
      <c r="B893" s="361" t="n">
        <v>891</v>
      </c>
      <c r="C893" s="261" t="s">
        <v>2171</v>
      </c>
      <c r="D893" s="261" t="s">
        <v>60</v>
      </c>
      <c r="E893" s="362" t="s">
        <v>2171</v>
      </c>
      <c r="F893" s="261" t="s">
        <v>290</v>
      </c>
      <c r="G893" s="261" t="s">
        <v>144</v>
      </c>
      <c r="H893" s="261" t="n">
        <v>0</v>
      </c>
      <c r="I893" s="261" t="n">
        <v>1</v>
      </c>
      <c r="J893" s="361" t="n">
        <v>0</v>
      </c>
      <c r="K893" s="262" t="n">
        <v>55</v>
      </c>
      <c r="L893" s="262" t="n">
        <v>55</v>
      </c>
      <c r="M893" s="262" t="n">
        <v>80</v>
      </c>
      <c r="N893" s="262" t="n">
        <v>70</v>
      </c>
      <c r="O893" s="262" t="n">
        <v>45</v>
      </c>
      <c r="P893" s="361" t="n">
        <v>15</v>
      </c>
      <c r="Q893" s="261" t="s">
        <v>151</v>
      </c>
      <c r="R893" s="261" t="s">
        <v>148</v>
      </c>
      <c r="S893" s="363" t="n">
        <f aca="false" t="array" ref="S893:S893">IF(COUNTIF('0.3.0 GO Calculation Values'!$J$2:$J$99,C893),(INDEX('0.3.0 GO Calculation Values'!$K$2:$K$99,MATCH(C893,'0.3.0 GO Calculation Values'!$J$2:$J$99,0))),1)</f>
        <v>1</v>
      </c>
      <c r="T893" s="262" t="n">
        <f aca="false">ROUND(ROUND(2*((7/8)*MAX(L893,N893)+(1/8)*MIN(L893,N893)),0)*(1+(P893-75)/500),0)</f>
        <v>120</v>
      </c>
      <c r="U893" s="262" t="n">
        <f aca="false">ROUND(ROUND(2*((5/8)*MAX(M893,O893)+(3/8)*MIN(M893,O893)),0)*(1+(P893-75)/500),0)</f>
        <v>118</v>
      </c>
      <c r="V893" s="361" t="n">
        <f aca="false">ROUNDDOWN(K893*1.75+50,0)</f>
        <v>146</v>
      </c>
      <c r="W893" s="261" t="n">
        <v>0</v>
      </c>
      <c r="X893" s="261" t="s">
        <v>60</v>
      </c>
      <c r="Y893" s="364" t="s">
        <v>2171</v>
      </c>
      <c r="Z893" s="364"/>
      <c r="AA893" s="364"/>
      <c r="AB893" s="365"/>
      <c r="AC893" s="364"/>
      <c r="AD893" s="364"/>
      <c r="AE893" s="366"/>
      <c r="AF893" s="364" t="s">
        <v>2172</v>
      </c>
      <c r="AG893" s="364" t="s">
        <v>2172</v>
      </c>
      <c r="AH893" s="366" t="s">
        <v>2172</v>
      </c>
    </row>
    <row r="894" customFormat="false" ht="15.75" hidden="false" customHeight="false" outlineLevel="0" collapsed="false">
      <c r="A894" s="262" t="n">
        <v>770</v>
      </c>
      <c r="B894" s="361" t="n">
        <v>892</v>
      </c>
      <c r="C894" s="261" t="s">
        <v>2173</v>
      </c>
      <c r="D894" s="261" t="s">
        <v>60</v>
      </c>
      <c r="E894" s="362" t="s">
        <v>2173</v>
      </c>
      <c r="F894" s="261" t="s">
        <v>290</v>
      </c>
      <c r="G894" s="261" t="s">
        <v>144</v>
      </c>
      <c r="H894" s="261" t="n">
        <v>0</v>
      </c>
      <c r="I894" s="261" t="n">
        <v>2</v>
      </c>
      <c r="J894" s="361" t="n">
        <v>1</v>
      </c>
      <c r="K894" s="262" t="n">
        <v>85</v>
      </c>
      <c r="L894" s="262" t="n">
        <v>75</v>
      </c>
      <c r="M894" s="262" t="n">
        <v>110</v>
      </c>
      <c r="N894" s="262" t="n">
        <v>100</v>
      </c>
      <c r="O894" s="262" t="n">
        <v>75</v>
      </c>
      <c r="P894" s="361" t="n">
        <v>35</v>
      </c>
      <c r="Q894" s="261" t="s">
        <v>151</v>
      </c>
      <c r="R894" s="261" t="s">
        <v>148</v>
      </c>
      <c r="S894" s="363" t="n">
        <f aca="false" t="array" ref="S894:S894">IF(COUNTIF('0.3.0 GO Calculation Values'!$J$2:$J$99,C894),(INDEX('0.3.0 GO Calculation Values'!$K$2:$K$99,MATCH(C894,'0.3.0 GO Calculation Values'!$J$2:$J$99,0))),1)</f>
        <v>1</v>
      </c>
      <c r="T894" s="262" t="n">
        <f aca="false">ROUND(ROUND(2*((7/8)*MAX(L894,N894)+(1/8)*MIN(L894,N894)),0)*(1+(P894-75)/500),0)</f>
        <v>178</v>
      </c>
      <c r="U894" s="262" t="n">
        <f aca="false">ROUND(ROUND(2*((5/8)*MAX(M894,O894)+(3/8)*MIN(M894,O894)),0)*(1+(P894-75)/500),0)</f>
        <v>178</v>
      </c>
      <c r="V894" s="361" t="n">
        <f aca="false">ROUNDDOWN(K894*1.75+50,0)</f>
        <v>198</v>
      </c>
      <c r="W894" s="261" t="n">
        <v>0</v>
      </c>
      <c r="X894" s="261" t="s">
        <v>2171</v>
      </c>
      <c r="Y894" s="364" t="s">
        <v>2171</v>
      </c>
      <c r="Z894" s="364"/>
      <c r="AA894" s="364"/>
      <c r="AB894" s="365"/>
      <c r="AC894" s="364"/>
      <c r="AD894" s="364"/>
      <c r="AE894" s="366"/>
      <c r="AF894" s="364" t="s">
        <v>2174</v>
      </c>
      <c r="AG894" s="364" t="s">
        <v>2174</v>
      </c>
      <c r="AH894" s="366" t="s">
        <v>2174</v>
      </c>
    </row>
    <row r="895" customFormat="false" ht="15.75" hidden="false" customHeight="false" outlineLevel="0" collapsed="false">
      <c r="A895" s="262" t="n">
        <v>771</v>
      </c>
      <c r="B895" s="361" t="n">
        <v>893</v>
      </c>
      <c r="C895" s="261" t="s">
        <v>2175</v>
      </c>
      <c r="D895" s="261" t="s">
        <v>60</v>
      </c>
      <c r="E895" s="362" t="s">
        <v>2175</v>
      </c>
      <c r="F895" s="261" t="s">
        <v>290</v>
      </c>
      <c r="G895" s="261" t="s">
        <v>144</v>
      </c>
      <c r="H895" s="261" t="n">
        <v>0</v>
      </c>
      <c r="I895" s="261" t="n">
        <v>1</v>
      </c>
      <c r="J895" s="361" t="n">
        <v>1</v>
      </c>
      <c r="K895" s="262" t="n">
        <v>55</v>
      </c>
      <c r="L895" s="262" t="n">
        <v>60</v>
      </c>
      <c r="M895" s="262" t="n">
        <v>130</v>
      </c>
      <c r="N895" s="262" t="n">
        <v>30</v>
      </c>
      <c r="O895" s="262" t="n">
        <v>130</v>
      </c>
      <c r="P895" s="361" t="n">
        <v>5</v>
      </c>
      <c r="Q895" s="261" t="s">
        <v>154</v>
      </c>
      <c r="R895" s="261"/>
      <c r="S895" s="363" t="n">
        <f aca="false" t="array" ref="S895:S895">IF(COUNTIF('0.3.0 GO Calculation Values'!$J$2:$J$99,C895),(INDEX('0.3.0 GO Calculation Values'!$K$2:$K$99,MATCH(C895,'0.3.0 GO Calculation Values'!$J$2:$J$99,0))),1)</f>
        <v>1</v>
      </c>
      <c r="T895" s="262" t="n">
        <f aca="false">ROUND(ROUND(2*((7/8)*MAX(L895,N895)+(1/8)*MIN(L895,N895)),0)*(1+(P895-75)/500),0)</f>
        <v>97</v>
      </c>
      <c r="U895" s="262" t="n">
        <f aca="false">ROUND(ROUND(2*((5/8)*MAX(M895,O895)+(3/8)*MIN(M895,O895)),0)*(1+(P895-75)/500),0)</f>
        <v>224</v>
      </c>
      <c r="V895" s="361" t="n">
        <f aca="false">ROUNDDOWN(K895*1.75+50,0)</f>
        <v>146</v>
      </c>
      <c r="W895" s="261" t="n">
        <v>0</v>
      </c>
      <c r="X895" s="261" t="s">
        <v>60</v>
      </c>
      <c r="Y895" s="364" t="s">
        <v>2175</v>
      </c>
      <c r="Z895" s="364"/>
      <c r="AA895" s="364"/>
      <c r="AB895" s="365"/>
      <c r="AC895" s="364"/>
      <c r="AD895" s="364"/>
      <c r="AE895" s="366"/>
      <c r="AF895" s="364" t="s">
        <v>2176</v>
      </c>
      <c r="AG895" s="364" t="s">
        <v>2176</v>
      </c>
      <c r="AH895" s="366" t="s">
        <v>2176</v>
      </c>
    </row>
    <row r="896" customFormat="false" ht="15.75" hidden="false" customHeight="false" outlineLevel="0" collapsed="false">
      <c r="A896" s="262" t="n">
        <v>772</v>
      </c>
      <c r="B896" s="361" t="n">
        <v>894</v>
      </c>
      <c r="C896" s="261" t="s">
        <v>2177</v>
      </c>
      <c r="D896" s="261" t="s">
        <v>60</v>
      </c>
      <c r="E896" s="362" t="s">
        <v>2177</v>
      </c>
      <c r="F896" s="261" t="s">
        <v>290</v>
      </c>
      <c r="G896" s="261" t="s">
        <v>625</v>
      </c>
      <c r="H896" s="261" t="n">
        <v>0</v>
      </c>
      <c r="I896" s="261" t="n">
        <v>1</v>
      </c>
      <c r="J896" s="361" t="n">
        <v>0</v>
      </c>
      <c r="K896" s="262" t="n">
        <v>95</v>
      </c>
      <c r="L896" s="262" t="n">
        <v>95</v>
      </c>
      <c r="M896" s="262" t="n">
        <v>95</v>
      </c>
      <c r="N896" s="262" t="n">
        <v>95</v>
      </c>
      <c r="O896" s="262" t="n">
        <v>95</v>
      </c>
      <c r="P896" s="361" t="n">
        <v>59</v>
      </c>
      <c r="Q896" s="261" t="s">
        <v>144</v>
      </c>
      <c r="R896" s="261"/>
      <c r="S896" s="363" t="n">
        <f aca="false" t="array" ref="S896:S896">IF(COUNTIF('0.3.0 GO Calculation Values'!$J$2:$J$99,C896),(INDEX('0.3.0 GO Calculation Values'!$K$2:$K$99,MATCH(C896,'0.3.0 GO Calculation Values'!$J$2:$J$99,0))),1)</f>
        <v>1</v>
      </c>
      <c r="T896" s="262" t="n">
        <f aca="false">ROUND(ROUND(2*((7/8)*MAX(L896,N896)+(1/8)*MIN(L896,N896)),0)*(1+(P896-75)/500),0)</f>
        <v>184</v>
      </c>
      <c r="U896" s="262" t="n">
        <f aca="false">ROUND(ROUND(2*((5/8)*MAX(M896,O896)+(3/8)*MIN(M896,O896)),0)*(1+(P896-75)/500),0)</f>
        <v>184</v>
      </c>
      <c r="V896" s="361" t="n">
        <f aca="false">ROUNDDOWN(K896*1.75+50,0)</f>
        <v>216</v>
      </c>
      <c r="W896" s="261" t="n">
        <v>0</v>
      </c>
      <c r="X896" s="261" t="s">
        <v>60</v>
      </c>
      <c r="Y896" s="364" t="s">
        <v>2177</v>
      </c>
      <c r="Z896" s="364" t="n">
        <v>20</v>
      </c>
      <c r="AA896" s="364"/>
      <c r="AB896" s="365"/>
      <c r="AC896" s="364"/>
      <c r="AD896" s="364"/>
      <c r="AE896" s="366"/>
      <c r="AF896" s="261" t="s">
        <v>2178</v>
      </c>
      <c r="AG896" s="261" t="s">
        <v>2179</v>
      </c>
      <c r="AH896" s="362" t="s">
        <v>2178</v>
      </c>
    </row>
    <row r="897" customFormat="false" ht="15.75" hidden="false" customHeight="false" outlineLevel="0" collapsed="false">
      <c r="A897" s="262" t="n">
        <v>773</v>
      </c>
      <c r="B897" s="361" t="n">
        <v>895</v>
      </c>
      <c r="C897" s="261" t="s">
        <v>2180</v>
      </c>
      <c r="D897" s="261" t="s">
        <v>144</v>
      </c>
      <c r="E897" s="367" t="s">
        <v>2181</v>
      </c>
      <c r="F897" s="261" t="s">
        <v>290</v>
      </c>
      <c r="G897" s="261" t="s">
        <v>625</v>
      </c>
      <c r="H897" s="261" t="n">
        <v>0</v>
      </c>
      <c r="I897" s="261" t="n">
        <v>2</v>
      </c>
      <c r="J897" s="361" t="n">
        <v>1</v>
      </c>
      <c r="K897" s="262" t="n">
        <v>95</v>
      </c>
      <c r="L897" s="262" t="n">
        <v>95</v>
      </c>
      <c r="M897" s="262" t="n">
        <v>95</v>
      </c>
      <c r="N897" s="262" t="n">
        <v>95</v>
      </c>
      <c r="O897" s="262" t="n">
        <v>95</v>
      </c>
      <c r="P897" s="361" t="n">
        <v>95</v>
      </c>
      <c r="Q897" s="261" t="s">
        <v>144</v>
      </c>
      <c r="R897" s="261"/>
      <c r="S897" s="363" t="n">
        <f aca="false" t="array" ref="S897:S897">IF(COUNTIF('0.3.0 GO Calculation Values'!$J$2:$J$99,C897),(INDEX('0.3.0 GO Calculation Values'!$K$2:$K$99,MATCH(C897,'0.3.0 GO Calculation Values'!$J$2:$J$99,0))),1)</f>
        <v>1</v>
      </c>
      <c r="T897" s="262" t="n">
        <f aca="false">ROUND(ROUND(2*((7/8)*MAX(L897,N897)+(1/8)*MIN(L897,N897)),0)*(1+(P897-75)/500),0)</f>
        <v>198</v>
      </c>
      <c r="U897" s="262" t="n">
        <f aca="false">ROUND(ROUND(2*((5/8)*MAX(M897,O897)+(3/8)*MIN(M897,O897)),0)*(1+(P897-75)/500),0)</f>
        <v>198</v>
      </c>
      <c r="V897" s="361" t="n">
        <f aca="false">ROUNDDOWN(K897*1.75+50,0)</f>
        <v>216</v>
      </c>
      <c r="W897" s="261" t="n">
        <v>0</v>
      </c>
      <c r="X897" s="261" t="s">
        <v>2177</v>
      </c>
      <c r="Y897" s="364" t="s">
        <v>2177</v>
      </c>
      <c r="Z897" s="364" t="n">
        <v>20</v>
      </c>
      <c r="AA897" s="364"/>
      <c r="AB897" s="365"/>
      <c r="AC897" s="364"/>
      <c r="AD897" s="364"/>
      <c r="AE897" s="366"/>
      <c r="AF897" s="364" t="s">
        <v>2182</v>
      </c>
      <c r="AG897" s="364" t="s">
        <v>2182</v>
      </c>
      <c r="AH897" s="366" t="s">
        <v>2182</v>
      </c>
    </row>
    <row r="898" customFormat="false" ht="15.75" hidden="false" customHeight="false" outlineLevel="0" collapsed="false">
      <c r="A898" s="262" t="n">
        <v>773</v>
      </c>
      <c r="B898" s="361" t="n">
        <v>896</v>
      </c>
      <c r="C898" s="261" t="s">
        <v>2180</v>
      </c>
      <c r="D898" s="261" t="s">
        <v>145</v>
      </c>
      <c r="E898" s="367" t="s">
        <v>2183</v>
      </c>
      <c r="F898" s="261" t="s">
        <v>290</v>
      </c>
      <c r="G898" s="261" t="s">
        <v>625</v>
      </c>
      <c r="H898" s="261" t="n">
        <v>1</v>
      </c>
      <c r="I898" s="261" t="n">
        <v>2</v>
      </c>
      <c r="J898" s="361" t="n">
        <v>1</v>
      </c>
      <c r="K898" s="262" t="n">
        <v>95</v>
      </c>
      <c r="L898" s="262" t="n">
        <v>95</v>
      </c>
      <c r="M898" s="262" t="n">
        <v>95</v>
      </c>
      <c r="N898" s="262" t="n">
        <v>95</v>
      </c>
      <c r="O898" s="262" t="n">
        <v>95</v>
      </c>
      <c r="P898" s="361" t="n">
        <v>95</v>
      </c>
      <c r="Q898" s="261" t="s">
        <v>145</v>
      </c>
      <c r="R898" s="261"/>
      <c r="S898" s="363" t="n">
        <f aca="false" t="array" ref="S898:S898">IF(COUNTIF('0.3.0 GO Calculation Values'!$J$2:$J$99,C898),(INDEX('0.3.0 GO Calculation Values'!$K$2:$K$99,MATCH(C898,'0.3.0 GO Calculation Values'!$J$2:$J$99,0))),1)</f>
        <v>1</v>
      </c>
      <c r="T898" s="262" t="n">
        <f aca="false">ROUND(ROUND(2*((7/8)*MAX(L898,N898)+(1/8)*MIN(L898,N898)),0)*(1+(P898-75)/500),0)</f>
        <v>198</v>
      </c>
      <c r="U898" s="262" t="n">
        <f aca="false">ROUND(ROUND(2*((5/8)*MAX(M898,O898)+(3/8)*MIN(M898,O898)),0)*(1+(P898-75)/500),0)</f>
        <v>198</v>
      </c>
      <c r="V898" s="361" t="n">
        <f aca="false">ROUNDDOWN(K898*1.75+50,0)</f>
        <v>216</v>
      </c>
      <c r="W898" s="261" t="n">
        <v>0</v>
      </c>
      <c r="X898" s="261" t="s">
        <v>2177</v>
      </c>
      <c r="Y898" s="364" t="s">
        <v>2177</v>
      </c>
      <c r="Z898" s="364" t="n">
        <v>20</v>
      </c>
      <c r="AA898" s="364"/>
      <c r="AB898" s="365"/>
      <c r="AC898" s="364"/>
      <c r="AD898" s="364"/>
      <c r="AE898" s="366"/>
      <c r="AF898" s="364" t="s">
        <v>2182</v>
      </c>
      <c r="AG898" s="364" t="s">
        <v>2184</v>
      </c>
      <c r="AH898" s="366" t="s">
        <v>2184</v>
      </c>
    </row>
    <row r="899" customFormat="false" ht="15.75" hidden="false" customHeight="false" outlineLevel="0" collapsed="false">
      <c r="A899" s="262" t="n">
        <v>773</v>
      </c>
      <c r="B899" s="361" t="n">
        <v>897</v>
      </c>
      <c r="C899" s="261" t="s">
        <v>2180</v>
      </c>
      <c r="D899" s="261" t="s">
        <v>146</v>
      </c>
      <c r="E899" s="367" t="s">
        <v>2185</v>
      </c>
      <c r="F899" s="261" t="s">
        <v>290</v>
      </c>
      <c r="G899" s="261" t="s">
        <v>625</v>
      </c>
      <c r="H899" s="261" t="n">
        <v>1</v>
      </c>
      <c r="I899" s="261" t="n">
        <v>2</v>
      </c>
      <c r="J899" s="361" t="n">
        <v>1</v>
      </c>
      <c r="K899" s="262" t="n">
        <v>95</v>
      </c>
      <c r="L899" s="262" t="n">
        <v>95</v>
      </c>
      <c r="M899" s="262" t="n">
        <v>95</v>
      </c>
      <c r="N899" s="262" t="n">
        <v>95</v>
      </c>
      <c r="O899" s="262" t="n">
        <v>95</v>
      </c>
      <c r="P899" s="361" t="n">
        <v>95</v>
      </c>
      <c r="Q899" s="261" t="s">
        <v>146</v>
      </c>
      <c r="R899" s="261"/>
      <c r="S899" s="363" t="n">
        <f aca="false" t="array" ref="S899:S899">IF(COUNTIF('0.3.0 GO Calculation Values'!$J$2:$J$99,C899),(INDEX('0.3.0 GO Calculation Values'!$K$2:$K$99,MATCH(C899,'0.3.0 GO Calculation Values'!$J$2:$J$99,0))),1)</f>
        <v>1</v>
      </c>
      <c r="T899" s="262" t="n">
        <f aca="false">ROUND(ROUND(2*((7/8)*MAX(L899,N899)+(1/8)*MIN(L899,N899)),0)*(1+(P899-75)/500),0)</f>
        <v>198</v>
      </c>
      <c r="U899" s="262" t="n">
        <f aca="false">ROUND(ROUND(2*((5/8)*MAX(M899,O899)+(3/8)*MIN(M899,O899)),0)*(1+(P899-75)/500),0)</f>
        <v>198</v>
      </c>
      <c r="V899" s="361" t="n">
        <f aca="false">ROUNDDOWN(K899*1.75+50,0)</f>
        <v>216</v>
      </c>
      <c r="W899" s="261" t="n">
        <v>0</v>
      </c>
      <c r="X899" s="261" t="s">
        <v>2177</v>
      </c>
      <c r="Y899" s="364" t="s">
        <v>2177</v>
      </c>
      <c r="Z899" s="364" t="n">
        <v>20</v>
      </c>
      <c r="AA899" s="364"/>
      <c r="AB899" s="365"/>
      <c r="AC899" s="364"/>
      <c r="AD899" s="364"/>
      <c r="AE899" s="366"/>
      <c r="AF899" s="364" t="s">
        <v>2182</v>
      </c>
      <c r="AG899" s="364" t="s">
        <v>2186</v>
      </c>
      <c r="AH899" s="366" t="s">
        <v>2186</v>
      </c>
    </row>
    <row r="900" customFormat="false" ht="15.75" hidden="false" customHeight="false" outlineLevel="0" collapsed="false">
      <c r="A900" s="262" t="n">
        <v>773</v>
      </c>
      <c r="B900" s="361" t="n">
        <v>898</v>
      </c>
      <c r="C900" s="261" t="s">
        <v>2180</v>
      </c>
      <c r="D900" s="261" t="s">
        <v>147</v>
      </c>
      <c r="E900" s="367" t="s">
        <v>2187</v>
      </c>
      <c r="F900" s="261" t="s">
        <v>290</v>
      </c>
      <c r="G900" s="261" t="s">
        <v>625</v>
      </c>
      <c r="H900" s="261" t="n">
        <v>1</v>
      </c>
      <c r="I900" s="261" t="n">
        <v>2</v>
      </c>
      <c r="J900" s="361" t="n">
        <v>1</v>
      </c>
      <c r="K900" s="262" t="n">
        <v>95</v>
      </c>
      <c r="L900" s="262" t="n">
        <v>95</v>
      </c>
      <c r="M900" s="262" t="n">
        <v>95</v>
      </c>
      <c r="N900" s="262" t="n">
        <v>95</v>
      </c>
      <c r="O900" s="262" t="n">
        <v>95</v>
      </c>
      <c r="P900" s="361" t="n">
        <v>95</v>
      </c>
      <c r="Q900" s="261" t="s">
        <v>147</v>
      </c>
      <c r="R900" s="261"/>
      <c r="S900" s="363" t="n">
        <f aca="false" t="array" ref="S900:S900">IF(COUNTIF('0.3.0 GO Calculation Values'!$J$2:$J$99,C900),(INDEX('0.3.0 GO Calculation Values'!$K$2:$K$99,MATCH(C900,'0.3.0 GO Calculation Values'!$J$2:$J$99,0))),1)</f>
        <v>1</v>
      </c>
      <c r="T900" s="262" t="n">
        <f aca="false">ROUND(ROUND(2*((7/8)*MAX(L900,N900)+(1/8)*MIN(L900,N900)),0)*(1+(P900-75)/500),0)</f>
        <v>198</v>
      </c>
      <c r="U900" s="262" t="n">
        <f aca="false">ROUND(ROUND(2*((5/8)*MAX(M900,O900)+(3/8)*MIN(M900,O900)),0)*(1+(P900-75)/500),0)</f>
        <v>198</v>
      </c>
      <c r="V900" s="361" t="n">
        <f aca="false">ROUNDDOWN(K900*1.75+50,0)</f>
        <v>216</v>
      </c>
      <c r="W900" s="261" t="n">
        <v>0</v>
      </c>
      <c r="X900" s="261" t="s">
        <v>2177</v>
      </c>
      <c r="Y900" s="364" t="s">
        <v>2177</v>
      </c>
      <c r="Z900" s="364" t="n">
        <v>20</v>
      </c>
      <c r="AA900" s="364"/>
      <c r="AB900" s="365"/>
      <c r="AC900" s="364"/>
      <c r="AD900" s="364"/>
      <c r="AE900" s="366"/>
      <c r="AF900" s="364" t="s">
        <v>2182</v>
      </c>
      <c r="AG900" s="364" t="s">
        <v>2188</v>
      </c>
      <c r="AH900" s="366" t="s">
        <v>2188</v>
      </c>
    </row>
    <row r="901" customFormat="false" ht="15.75" hidden="false" customHeight="false" outlineLevel="0" collapsed="false">
      <c r="A901" s="262" t="n">
        <v>773</v>
      </c>
      <c r="B901" s="361" t="n">
        <v>899</v>
      </c>
      <c r="C901" s="261" t="s">
        <v>2180</v>
      </c>
      <c r="D901" s="261" t="s">
        <v>148</v>
      </c>
      <c r="E901" s="367" t="s">
        <v>2189</v>
      </c>
      <c r="F901" s="261" t="s">
        <v>290</v>
      </c>
      <c r="G901" s="261" t="s">
        <v>625</v>
      </c>
      <c r="H901" s="261" t="n">
        <v>1</v>
      </c>
      <c r="I901" s="261" t="n">
        <v>2</v>
      </c>
      <c r="J901" s="361" t="n">
        <v>1</v>
      </c>
      <c r="K901" s="262" t="n">
        <v>95</v>
      </c>
      <c r="L901" s="262" t="n">
        <v>95</v>
      </c>
      <c r="M901" s="262" t="n">
        <v>95</v>
      </c>
      <c r="N901" s="262" t="n">
        <v>95</v>
      </c>
      <c r="O901" s="262" t="n">
        <v>95</v>
      </c>
      <c r="P901" s="361" t="n">
        <v>95</v>
      </c>
      <c r="Q901" s="261" t="s">
        <v>148</v>
      </c>
      <c r="R901" s="261"/>
      <c r="S901" s="363" t="n">
        <f aca="false" t="array" ref="S901:S901">IF(COUNTIF('0.3.0 GO Calculation Values'!$J$2:$J$99,C901),(INDEX('0.3.0 GO Calculation Values'!$K$2:$K$99,MATCH(C901,'0.3.0 GO Calculation Values'!$J$2:$J$99,0))),1)</f>
        <v>1</v>
      </c>
      <c r="T901" s="262" t="n">
        <f aca="false">ROUND(ROUND(2*((7/8)*MAX(L901,N901)+(1/8)*MIN(L901,N901)),0)*(1+(P901-75)/500),0)</f>
        <v>198</v>
      </c>
      <c r="U901" s="262" t="n">
        <f aca="false">ROUND(ROUND(2*((5/8)*MAX(M901,O901)+(3/8)*MIN(M901,O901)),0)*(1+(P901-75)/500),0)</f>
        <v>198</v>
      </c>
      <c r="V901" s="361" t="n">
        <f aca="false">ROUNDDOWN(K901*1.75+50,0)</f>
        <v>216</v>
      </c>
      <c r="W901" s="261" t="n">
        <v>0</v>
      </c>
      <c r="X901" s="261" t="s">
        <v>2177</v>
      </c>
      <c r="Y901" s="364" t="s">
        <v>2177</v>
      </c>
      <c r="Z901" s="364" t="n">
        <v>20</v>
      </c>
      <c r="AA901" s="364"/>
      <c r="AB901" s="365"/>
      <c r="AC901" s="364"/>
      <c r="AD901" s="364"/>
      <c r="AE901" s="366"/>
      <c r="AF901" s="364" t="s">
        <v>2182</v>
      </c>
      <c r="AG901" s="364" t="s">
        <v>2190</v>
      </c>
      <c r="AH901" s="366" t="s">
        <v>2190</v>
      </c>
    </row>
    <row r="902" customFormat="false" ht="15.75" hidden="false" customHeight="false" outlineLevel="0" collapsed="false">
      <c r="A902" s="262" t="n">
        <v>773</v>
      </c>
      <c r="B902" s="361" t="n">
        <v>900</v>
      </c>
      <c r="C902" s="261" t="s">
        <v>2180</v>
      </c>
      <c r="D902" s="261" t="s">
        <v>149</v>
      </c>
      <c r="E902" s="367" t="s">
        <v>2191</v>
      </c>
      <c r="F902" s="261" t="s">
        <v>290</v>
      </c>
      <c r="G902" s="261" t="s">
        <v>625</v>
      </c>
      <c r="H902" s="261" t="n">
        <v>1</v>
      </c>
      <c r="I902" s="261" t="n">
        <v>2</v>
      </c>
      <c r="J902" s="361" t="n">
        <v>1</v>
      </c>
      <c r="K902" s="262" t="n">
        <v>95</v>
      </c>
      <c r="L902" s="262" t="n">
        <v>95</v>
      </c>
      <c r="M902" s="262" t="n">
        <v>95</v>
      </c>
      <c r="N902" s="262" t="n">
        <v>95</v>
      </c>
      <c r="O902" s="262" t="n">
        <v>95</v>
      </c>
      <c r="P902" s="361" t="n">
        <v>95</v>
      </c>
      <c r="Q902" s="261" t="s">
        <v>149</v>
      </c>
      <c r="R902" s="261"/>
      <c r="S902" s="363" t="n">
        <f aca="false" t="array" ref="S902:S902">IF(COUNTIF('0.3.0 GO Calculation Values'!$J$2:$J$99,C902),(INDEX('0.3.0 GO Calculation Values'!$K$2:$K$99,MATCH(C902,'0.3.0 GO Calculation Values'!$J$2:$J$99,0))),1)</f>
        <v>1</v>
      </c>
      <c r="T902" s="262" t="n">
        <f aca="false">ROUND(ROUND(2*((7/8)*MAX(L902,N902)+(1/8)*MIN(L902,N902)),0)*(1+(P902-75)/500),0)</f>
        <v>198</v>
      </c>
      <c r="U902" s="262" t="n">
        <f aca="false">ROUND(ROUND(2*((5/8)*MAX(M902,O902)+(3/8)*MIN(M902,O902)),0)*(1+(P902-75)/500),0)</f>
        <v>198</v>
      </c>
      <c r="V902" s="361" t="n">
        <f aca="false">ROUNDDOWN(K902*1.75+50,0)</f>
        <v>216</v>
      </c>
      <c r="W902" s="261" t="n">
        <v>0</v>
      </c>
      <c r="X902" s="261" t="s">
        <v>2177</v>
      </c>
      <c r="Y902" s="364" t="s">
        <v>2177</v>
      </c>
      <c r="Z902" s="364" t="n">
        <v>20</v>
      </c>
      <c r="AA902" s="364"/>
      <c r="AB902" s="365"/>
      <c r="AC902" s="364"/>
      <c r="AD902" s="364"/>
      <c r="AE902" s="366"/>
      <c r="AF902" s="364" t="s">
        <v>2182</v>
      </c>
      <c r="AG902" s="364" t="s">
        <v>2192</v>
      </c>
      <c r="AH902" s="366" t="s">
        <v>2192</v>
      </c>
    </row>
    <row r="903" customFormat="false" ht="15.75" hidden="false" customHeight="false" outlineLevel="0" collapsed="false">
      <c r="A903" s="262" t="n">
        <v>773</v>
      </c>
      <c r="B903" s="361" t="n">
        <v>901</v>
      </c>
      <c r="C903" s="261" t="s">
        <v>2180</v>
      </c>
      <c r="D903" s="261" t="s">
        <v>150</v>
      </c>
      <c r="E903" s="367" t="s">
        <v>2193</v>
      </c>
      <c r="F903" s="261" t="s">
        <v>290</v>
      </c>
      <c r="G903" s="261" t="s">
        <v>625</v>
      </c>
      <c r="H903" s="261" t="n">
        <v>1</v>
      </c>
      <c r="I903" s="261" t="n">
        <v>2</v>
      </c>
      <c r="J903" s="361" t="n">
        <v>1</v>
      </c>
      <c r="K903" s="262" t="n">
        <v>95</v>
      </c>
      <c r="L903" s="262" t="n">
        <v>95</v>
      </c>
      <c r="M903" s="262" t="n">
        <v>95</v>
      </c>
      <c r="N903" s="262" t="n">
        <v>95</v>
      </c>
      <c r="O903" s="262" t="n">
        <v>95</v>
      </c>
      <c r="P903" s="361" t="n">
        <v>95</v>
      </c>
      <c r="Q903" s="261" t="s">
        <v>150</v>
      </c>
      <c r="R903" s="261"/>
      <c r="S903" s="363" t="n">
        <f aca="false" t="array" ref="S903:S903">IF(COUNTIF('0.3.0 GO Calculation Values'!$J$2:$J$99,C903),(INDEX('0.3.0 GO Calculation Values'!$K$2:$K$99,MATCH(C903,'0.3.0 GO Calculation Values'!$J$2:$J$99,0))),1)</f>
        <v>1</v>
      </c>
      <c r="T903" s="262" t="n">
        <f aca="false">ROUND(ROUND(2*((7/8)*MAX(L903,N903)+(1/8)*MIN(L903,N903)),0)*(1+(P903-75)/500),0)</f>
        <v>198</v>
      </c>
      <c r="U903" s="262" t="n">
        <f aca="false">ROUND(ROUND(2*((5/8)*MAX(M903,O903)+(3/8)*MIN(M903,O903)),0)*(1+(P903-75)/500),0)</f>
        <v>198</v>
      </c>
      <c r="V903" s="361" t="n">
        <f aca="false">ROUNDDOWN(K903*1.75+50,0)</f>
        <v>216</v>
      </c>
      <c r="W903" s="261" t="n">
        <v>0</v>
      </c>
      <c r="X903" s="261" t="s">
        <v>2177</v>
      </c>
      <c r="Y903" s="364" t="s">
        <v>2177</v>
      </c>
      <c r="Z903" s="364" t="n">
        <v>20</v>
      </c>
      <c r="AA903" s="364"/>
      <c r="AB903" s="365"/>
      <c r="AC903" s="364"/>
      <c r="AD903" s="364"/>
      <c r="AE903" s="366"/>
      <c r="AF903" s="364" t="s">
        <v>2182</v>
      </c>
      <c r="AG903" s="364" t="s">
        <v>2194</v>
      </c>
      <c r="AH903" s="366" t="s">
        <v>2194</v>
      </c>
    </row>
    <row r="904" customFormat="false" ht="15.75" hidden="false" customHeight="false" outlineLevel="0" collapsed="false">
      <c r="A904" s="262" t="n">
        <v>773</v>
      </c>
      <c r="B904" s="361" t="n">
        <v>902</v>
      </c>
      <c r="C904" s="261" t="s">
        <v>2180</v>
      </c>
      <c r="D904" s="261" t="s">
        <v>151</v>
      </c>
      <c r="E904" s="367" t="s">
        <v>2195</v>
      </c>
      <c r="F904" s="261" t="s">
        <v>290</v>
      </c>
      <c r="G904" s="261" t="s">
        <v>625</v>
      </c>
      <c r="H904" s="261" t="n">
        <v>1</v>
      </c>
      <c r="I904" s="261" t="n">
        <v>2</v>
      </c>
      <c r="J904" s="361" t="n">
        <v>1</v>
      </c>
      <c r="K904" s="262" t="n">
        <v>95</v>
      </c>
      <c r="L904" s="262" t="n">
        <v>95</v>
      </c>
      <c r="M904" s="262" t="n">
        <v>95</v>
      </c>
      <c r="N904" s="262" t="n">
        <v>95</v>
      </c>
      <c r="O904" s="262" t="n">
        <v>95</v>
      </c>
      <c r="P904" s="361" t="n">
        <v>95</v>
      </c>
      <c r="Q904" s="261" t="s">
        <v>151</v>
      </c>
      <c r="R904" s="261"/>
      <c r="S904" s="363" t="n">
        <f aca="false" t="array" ref="S904:S904">IF(COUNTIF('0.3.0 GO Calculation Values'!$J$2:$J$99,C904),(INDEX('0.3.0 GO Calculation Values'!$K$2:$K$99,MATCH(C904,'0.3.0 GO Calculation Values'!$J$2:$J$99,0))),1)</f>
        <v>1</v>
      </c>
      <c r="T904" s="262" t="n">
        <f aca="false">ROUND(ROUND(2*((7/8)*MAX(L904,N904)+(1/8)*MIN(L904,N904)),0)*(1+(P904-75)/500),0)</f>
        <v>198</v>
      </c>
      <c r="U904" s="262" t="n">
        <f aca="false">ROUND(ROUND(2*((5/8)*MAX(M904,O904)+(3/8)*MIN(M904,O904)),0)*(1+(P904-75)/500),0)</f>
        <v>198</v>
      </c>
      <c r="V904" s="361" t="n">
        <f aca="false">ROUNDDOWN(K904*1.75+50,0)</f>
        <v>216</v>
      </c>
      <c r="W904" s="261" t="n">
        <v>0</v>
      </c>
      <c r="X904" s="261" t="s">
        <v>2177</v>
      </c>
      <c r="Y904" s="364" t="s">
        <v>2177</v>
      </c>
      <c r="Z904" s="364" t="n">
        <v>20</v>
      </c>
      <c r="AA904" s="364"/>
      <c r="AB904" s="365"/>
      <c r="AC904" s="364"/>
      <c r="AD904" s="364"/>
      <c r="AE904" s="366"/>
      <c r="AF904" s="364" t="s">
        <v>2182</v>
      </c>
      <c r="AG904" s="364" t="s">
        <v>2196</v>
      </c>
      <c r="AH904" s="366" t="s">
        <v>2196</v>
      </c>
    </row>
    <row r="905" customFormat="false" ht="15.75" hidden="false" customHeight="false" outlineLevel="0" collapsed="false">
      <c r="A905" s="262" t="n">
        <v>773</v>
      </c>
      <c r="B905" s="361" t="n">
        <v>903</v>
      </c>
      <c r="C905" s="261" t="s">
        <v>2180</v>
      </c>
      <c r="D905" s="261" t="s">
        <v>152</v>
      </c>
      <c r="E905" s="367" t="s">
        <v>2197</v>
      </c>
      <c r="F905" s="261" t="s">
        <v>290</v>
      </c>
      <c r="G905" s="261" t="s">
        <v>625</v>
      </c>
      <c r="H905" s="261" t="n">
        <v>1</v>
      </c>
      <c r="I905" s="261" t="n">
        <v>2</v>
      </c>
      <c r="J905" s="361" t="n">
        <v>1</v>
      </c>
      <c r="K905" s="262" t="n">
        <v>95</v>
      </c>
      <c r="L905" s="262" t="n">
        <v>95</v>
      </c>
      <c r="M905" s="262" t="n">
        <v>95</v>
      </c>
      <c r="N905" s="262" t="n">
        <v>95</v>
      </c>
      <c r="O905" s="262" t="n">
        <v>95</v>
      </c>
      <c r="P905" s="361" t="n">
        <v>95</v>
      </c>
      <c r="Q905" s="261" t="s">
        <v>152</v>
      </c>
      <c r="R905" s="261"/>
      <c r="S905" s="363" t="n">
        <f aca="false" t="array" ref="S905:S905">IF(COUNTIF('0.3.0 GO Calculation Values'!$J$2:$J$99,C905),(INDEX('0.3.0 GO Calculation Values'!$K$2:$K$99,MATCH(C905,'0.3.0 GO Calculation Values'!$J$2:$J$99,0))),1)</f>
        <v>1</v>
      </c>
      <c r="T905" s="262" t="n">
        <f aca="false">ROUND(ROUND(2*((7/8)*MAX(L905,N905)+(1/8)*MIN(L905,N905)),0)*(1+(P905-75)/500),0)</f>
        <v>198</v>
      </c>
      <c r="U905" s="262" t="n">
        <f aca="false">ROUND(ROUND(2*((5/8)*MAX(M905,O905)+(3/8)*MIN(M905,O905)),0)*(1+(P905-75)/500),0)</f>
        <v>198</v>
      </c>
      <c r="V905" s="361" t="n">
        <f aca="false">ROUNDDOWN(K905*1.75+50,0)</f>
        <v>216</v>
      </c>
      <c r="W905" s="261" t="n">
        <v>0</v>
      </c>
      <c r="X905" s="261" t="s">
        <v>2177</v>
      </c>
      <c r="Y905" s="364" t="s">
        <v>2177</v>
      </c>
      <c r="Z905" s="364" t="n">
        <v>20</v>
      </c>
      <c r="AA905" s="364"/>
      <c r="AB905" s="365"/>
      <c r="AC905" s="364"/>
      <c r="AD905" s="364"/>
      <c r="AE905" s="366"/>
      <c r="AF905" s="364" t="s">
        <v>2182</v>
      </c>
      <c r="AG905" s="364" t="s">
        <v>2198</v>
      </c>
      <c r="AH905" s="366" t="s">
        <v>2198</v>
      </c>
    </row>
    <row r="906" customFormat="false" ht="15.75" hidden="false" customHeight="false" outlineLevel="0" collapsed="false">
      <c r="A906" s="262" t="n">
        <v>773</v>
      </c>
      <c r="B906" s="361" t="n">
        <v>904</v>
      </c>
      <c r="C906" s="261" t="s">
        <v>2180</v>
      </c>
      <c r="D906" s="261" t="s">
        <v>153</v>
      </c>
      <c r="E906" s="367" t="s">
        <v>2199</v>
      </c>
      <c r="F906" s="261" t="s">
        <v>290</v>
      </c>
      <c r="G906" s="261" t="s">
        <v>625</v>
      </c>
      <c r="H906" s="261" t="n">
        <v>1</v>
      </c>
      <c r="I906" s="261" t="n">
        <v>2</v>
      </c>
      <c r="J906" s="361" t="n">
        <v>1</v>
      </c>
      <c r="K906" s="262" t="n">
        <v>95</v>
      </c>
      <c r="L906" s="262" t="n">
        <v>95</v>
      </c>
      <c r="M906" s="262" t="n">
        <v>95</v>
      </c>
      <c r="N906" s="262" t="n">
        <v>95</v>
      </c>
      <c r="O906" s="262" t="n">
        <v>95</v>
      </c>
      <c r="P906" s="361" t="n">
        <v>95</v>
      </c>
      <c r="Q906" s="261" t="s">
        <v>153</v>
      </c>
      <c r="R906" s="261"/>
      <c r="S906" s="363" t="n">
        <f aca="false" t="array" ref="S906:S906">IF(COUNTIF('0.3.0 GO Calculation Values'!$J$2:$J$99,C906),(INDEX('0.3.0 GO Calculation Values'!$K$2:$K$99,MATCH(C906,'0.3.0 GO Calculation Values'!$J$2:$J$99,0))),1)</f>
        <v>1</v>
      </c>
      <c r="T906" s="262" t="n">
        <f aca="false">ROUND(ROUND(2*((7/8)*MAX(L906,N906)+(1/8)*MIN(L906,N906)),0)*(1+(P906-75)/500),0)</f>
        <v>198</v>
      </c>
      <c r="U906" s="262" t="n">
        <f aca="false">ROUND(ROUND(2*((5/8)*MAX(M906,O906)+(3/8)*MIN(M906,O906)),0)*(1+(P906-75)/500),0)</f>
        <v>198</v>
      </c>
      <c r="V906" s="361" t="n">
        <f aca="false">ROUNDDOWN(K906*1.75+50,0)</f>
        <v>216</v>
      </c>
      <c r="W906" s="261" t="n">
        <v>0</v>
      </c>
      <c r="X906" s="261" t="s">
        <v>2177</v>
      </c>
      <c r="Y906" s="364" t="s">
        <v>2177</v>
      </c>
      <c r="Z906" s="364" t="n">
        <v>20</v>
      </c>
      <c r="AA906" s="364"/>
      <c r="AB906" s="365"/>
      <c r="AC906" s="364"/>
      <c r="AD906" s="364"/>
      <c r="AE906" s="366"/>
      <c r="AF906" s="364" t="s">
        <v>2182</v>
      </c>
      <c r="AG906" s="364" t="s">
        <v>2200</v>
      </c>
      <c r="AH906" s="366" t="s">
        <v>2200</v>
      </c>
    </row>
    <row r="907" customFormat="false" ht="15.75" hidden="false" customHeight="false" outlineLevel="0" collapsed="false">
      <c r="A907" s="262" t="n">
        <v>773</v>
      </c>
      <c r="B907" s="361" t="n">
        <v>905</v>
      </c>
      <c r="C907" s="261" t="s">
        <v>2180</v>
      </c>
      <c r="D907" s="261" t="s">
        <v>154</v>
      </c>
      <c r="E907" s="367" t="s">
        <v>2201</v>
      </c>
      <c r="F907" s="261" t="s">
        <v>290</v>
      </c>
      <c r="G907" s="261" t="s">
        <v>625</v>
      </c>
      <c r="H907" s="261" t="n">
        <v>1</v>
      </c>
      <c r="I907" s="261" t="n">
        <v>2</v>
      </c>
      <c r="J907" s="361" t="n">
        <v>1</v>
      </c>
      <c r="K907" s="262" t="n">
        <v>95</v>
      </c>
      <c r="L907" s="262" t="n">
        <v>95</v>
      </c>
      <c r="M907" s="262" t="n">
        <v>95</v>
      </c>
      <c r="N907" s="262" t="n">
        <v>95</v>
      </c>
      <c r="O907" s="262" t="n">
        <v>95</v>
      </c>
      <c r="P907" s="361" t="n">
        <v>95</v>
      </c>
      <c r="Q907" s="261" t="s">
        <v>154</v>
      </c>
      <c r="R907" s="261"/>
      <c r="S907" s="363" t="n">
        <f aca="false" t="array" ref="S907:S907">IF(COUNTIF('0.3.0 GO Calculation Values'!$J$2:$J$99,C907),(INDEX('0.3.0 GO Calculation Values'!$K$2:$K$99,MATCH(C907,'0.3.0 GO Calculation Values'!$J$2:$J$99,0))),1)</f>
        <v>1</v>
      </c>
      <c r="T907" s="262" t="n">
        <f aca="false">ROUND(ROUND(2*((7/8)*MAX(L907,N907)+(1/8)*MIN(L907,N907)),0)*(1+(P907-75)/500),0)</f>
        <v>198</v>
      </c>
      <c r="U907" s="262" t="n">
        <f aca="false">ROUND(ROUND(2*((5/8)*MAX(M907,O907)+(3/8)*MIN(M907,O907)),0)*(1+(P907-75)/500),0)</f>
        <v>198</v>
      </c>
      <c r="V907" s="361" t="n">
        <f aca="false">ROUNDDOWN(K907*1.75+50,0)</f>
        <v>216</v>
      </c>
      <c r="W907" s="261" t="n">
        <v>0</v>
      </c>
      <c r="X907" s="261" t="s">
        <v>2177</v>
      </c>
      <c r="Y907" s="364" t="s">
        <v>2177</v>
      </c>
      <c r="Z907" s="364" t="n">
        <v>20</v>
      </c>
      <c r="AA907" s="364"/>
      <c r="AB907" s="365"/>
      <c r="AC907" s="364"/>
      <c r="AD907" s="364"/>
      <c r="AE907" s="366"/>
      <c r="AF907" s="364" t="s">
        <v>2182</v>
      </c>
      <c r="AG907" s="364" t="s">
        <v>2202</v>
      </c>
      <c r="AH907" s="366" t="s">
        <v>2202</v>
      </c>
    </row>
    <row r="908" customFormat="false" ht="15.75" hidden="false" customHeight="false" outlineLevel="0" collapsed="false">
      <c r="A908" s="262" t="n">
        <v>773</v>
      </c>
      <c r="B908" s="361" t="n">
        <v>906</v>
      </c>
      <c r="C908" s="261" t="s">
        <v>2180</v>
      </c>
      <c r="D908" s="261" t="s">
        <v>155</v>
      </c>
      <c r="E908" s="367" t="s">
        <v>2203</v>
      </c>
      <c r="F908" s="261" t="s">
        <v>290</v>
      </c>
      <c r="G908" s="261" t="s">
        <v>625</v>
      </c>
      <c r="H908" s="261" t="n">
        <v>1</v>
      </c>
      <c r="I908" s="261" t="n">
        <v>2</v>
      </c>
      <c r="J908" s="361" t="n">
        <v>1</v>
      </c>
      <c r="K908" s="262" t="n">
        <v>95</v>
      </c>
      <c r="L908" s="262" t="n">
        <v>95</v>
      </c>
      <c r="M908" s="262" t="n">
        <v>95</v>
      </c>
      <c r="N908" s="262" t="n">
        <v>95</v>
      </c>
      <c r="O908" s="262" t="n">
        <v>95</v>
      </c>
      <c r="P908" s="361" t="n">
        <v>95</v>
      </c>
      <c r="Q908" s="261" t="s">
        <v>155</v>
      </c>
      <c r="R908" s="261"/>
      <c r="S908" s="363" t="n">
        <f aca="false" t="array" ref="S908:S908">IF(COUNTIF('0.3.0 GO Calculation Values'!$J$2:$J$99,C908),(INDEX('0.3.0 GO Calculation Values'!$K$2:$K$99,MATCH(C908,'0.3.0 GO Calculation Values'!$J$2:$J$99,0))),1)</f>
        <v>1</v>
      </c>
      <c r="T908" s="262" t="n">
        <f aca="false">ROUND(ROUND(2*((7/8)*MAX(L908,N908)+(1/8)*MIN(L908,N908)),0)*(1+(P908-75)/500),0)</f>
        <v>198</v>
      </c>
      <c r="U908" s="262" t="n">
        <f aca="false">ROUND(ROUND(2*((5/8)*MAX(M908,O908)+(3/8)*MIN(M908,O908)),0)*(1+(P908-75)/500),0)</f>
        <v>198</v>
      </c>
      <c r="V908" s="361" t="n">
        <f aca="false">ROUNDDOWN(K908*1.75+50,0)</f>
        <v>216</v>
      </c>
      <c r="W908" s="261" t="n">
        <v>0</v>
      </c>
      <c r="X908" s="261" t="s">
        <v>2177</v>
      </c>
      <c r="Y908" s="364" t="s">
        <v>2177</v>
      </c>
      <c r="Z908" s="364" t="n">
        <v>20</v>
      </c>
      <c r="AA908" s="364"/>
      <c r="AB908" s="365"/>
      <c r="AC908" s="364"/>
      <c r="AD908" s="364"/>
      <c r="AE908" s="366"/>
      <c r="AF908" s="364" t="s">
        <v>2182</v>
      </c>
      <c r="AG908" s="364" t="s">
        <v>2204</v>
      </c>
      <c r="AH908" s="366" t="s">
        <v>2204</v>
      </c>
    </row>
    <row r="909" customFormat="false" ht="15.75" hidden="false" customHeight="false" outlineLevel="0" collapsed="false">
      <c r="A909" s="262" t="n">
        <v>773</v>
      </c>
      <c r="B909" s="361" t="n">
        <v>907</v>
      </c>
      <c r="C909" s="261" t="s">
        <v>2180</v>
      </c>
      <c r="D909" s="261" t="s">
        <v>156</v>
      </c>
      <c r="E909" s="367" t="s">
        <v>2205</v>
      </c>
      <c r="F909" s="261" t="s">
        <v>290</v>
      </c>
      <c r="G909" s="261" t="s">
        <v>625</v>
      </c>
      <c r="H909" s="261" t="n">
        <v>1</v>
      </c>
      <c r="I909" s="261" t="n">
        <v>2</v>
      </c>
      <c r="J909" s="361" t="n">
        <v>1</v>
      </c>
      <c r="K909" s="262" t="n">
        <v>95</v>
      </c>
      <c r="L909" s="262" t="n">
        <v>95</v>
      </c>
      <c r="M909" s="262" t="n">
        <v>95</v>
      </c>
      <c r="N909" s="262" t="n">
        <v>95</v>
      </c>
      <c r="O909" s="262" t="n">
        <v>95</v>
      </c>
      <c r="P909" s="361" t="n">
        <v>95</v>
      </c>
      <c r="Q909" s="261" t="s">
        <v>156</v>
      </c>
      <c r="R909" s="261"/>
      <c r="S909" s="363" t="n">
        <f aca="false" t="array" ref="S909:S909">IF(COUNTIF('0.3.0 GO Calculation Values'!$J$2:$J$99,C909),(INDEX('0.3.0 GO Calculation Values'!$K$2:$K$99,MATCH(C909,'0.3.0 GO Calculation Values'!$J$2:$J$99,0))),1)</f>
        <v>1</v>
      </c>
      <c r="T909" s="262" t="n">
        <f aca="false">ROUND(ROUND(2*((7/8)*MAX(L909,N909)+(1/8)*MIN(L909,N909)),0)*(1+(P909-75)/500),0)</f>
        <v>198</v>
      </c>
      <c r="U909" s="262" t="n">
        <f aca="false">ROUND(ROUND(2*((5/8)*MAX(M909,O909)+(3/8)*MIN(M909,O909)),0)*(1+(P909-75)/500),0)</f>
        <v>198</v>
      </c>
      <c r="V909" s="361" t="n">
        <f aca="false">ROUNDDOWN(K909*1.75+50,0)</f>
        <v>216</v>
      </c>
      <c r="W909" s="261" t="n">
        <v>0</v>
      </c>
      <c r="X909" s="261" t="s">
        <v>2177</v>
      </c>
      <c r="Y909" s="364" t="s">
        <v>2177</v>
      </c>
      <c r="Z909" s="364" t="n">
        <v>20</v>
      </c>
      <c r="AA909" s="364"/>
      <c r="AB909" s="365"/>
      <c r="AC909" s="364"/>
      <c r="AD909" s="364"/>
      <c r="AE909" s="366"/>
      <c r="AF909" s="364" t="s">
        <v>2182</v>
      </c>
      <c r="AG909" s="364" t="s">
        <v>2206</v>
      </c>
      <c r="AH909" s="366" t="s">
        <v>2206</v>
      </c>
    </row>
    <row r="910" customFormat="false" ht="15.75" hidden="false" customHeight="false" outlineLevel="0" collapsed="false">
      <c r="A910" s="262" t="n">
        <v>773</v>
      </c>
      <c r="B910" s="361" t="n">
        <v>908</v>
      </c>
      <c r="C910" s="261" t="s">
        <v>2180</v>
      </c>
      <c r="D910" s="261" t="s">
        <v>157</v>
      </c>
      <c r="E910" s="367" t="s">
        <v>2207</v>
      </c>
      <c r="F910" s="261" t="s">
        <v>290</v>
      </c>
      <c r="G910" s="261" t="s">
        <v>625</v>
      </c>
      <c r="H910" s="261" t="n">
        <v>1</v>
      </c>
      <c r="I910" s="261" t="n">
        <v>2</v>
      </c>
      <c r="J910" s="361" t="n">
        <v>1</v>
      </c>
      <c r="K910" s="262" t="n">
        <v>95</v>
      </c>
      <c r="L910" s="262" t="n">
        <v>95</v>
      </c>
      <c r="M910" s="262" t="n">
        <v>95</v>
      </c>
      <c r="N910" s="262" t="n">
        <v>95</v>
      </c>
      <c r="O910" s="262" t="n">
        <v>95</v>
      </c>
      <c r="P910" s="361" t="n">
        <v>95</v>
      </c>
      <c r="Q910" s="261" t="s">
        <v>157</v>
      </c>
      <c r="R910" s="261"/>
      <c r="S910" s="363" t="n">
        <f aca="false" t="array" ref="S910:S910">IF(COUNTIF('0.3.0 GO Calculation Values'!$J$2:$J$99,C910),(INDEX('0.3.0 GO Calculation Values'!$K$2:$K$99,MATCH(C910,'0.3.0 GO Calculation Values'!$J$2:$J$99,0))),1)</f>
        <v>1</v>
      </c>
      <c r="T910" s="262" t="n">
        <f aca="false">ROUND(ROUND(2*((7/8)*MAX(L910,N910)+(1/8)*MIN(L910,N910)),0)*(1+(P910-75)/500),0)</f>
        <v>198</v>
      </c>
      <c r="U910" s="262" t="n">
        <f aca="false">ROUND(ROUND(2*((5/8)*MAX(M910,O910)+(3/8)*MIN(M910,O910)),0)*(1+(P910-75)/500),0)</f>
        <v>198</v>
      </c>
      <c r="V910" s="361" t="n">
        <f aca="false">ROUNDDOWN(K910*1.75+50,0)</f>
        <v>216</v>
      </c>
      <c r="W910" s="261" t="n">
        <v>0</v>
      </c>
      <c r="X910" s="261" t="s">
        <v>2177</v>
      </c>
      <c r="Y910" s="364" t="s">
        <v>2177</v>
      </c>
      <c r="Z910" s="364" t="n">
        <v>20</v>
      </c>
      <c r="AA910" s="364"/>
      <c r="AB910" s="365"/>
      <c r="AC910" s="364"/>
      <c r="AD910" s="364"/>
      <c r="AE910" s="366"/>
      <c r="AF910" s="364" t="s">
        <v>2182</v>
      </c>
      <c r="AG910" s="364" t="s">
        <v>2208</v>
      </c>
      <c r="AH910" s="366" t="s">
        <v>2208</v>
      </c>
    </row>
    <row r="911" customFormat="false" ht="15.75" hidden="false" customHeight="false" outlineLevel="0" collapsed="false">
      <c r="A911" s="262" t="n">
        <v>773</v>
      </c>
      <c r="B911" s="361" t="n">
        <v>909</v>
      </c>
      <c r="C911" s="261" t="s">
        <v>2180</v>
      </c>
      <c r="D911" s="261" t="s">
        <v>158</v>
      </c>
      <c r="E911" s="367" t="s">
        <v>2209</v>
      </c>
      <c r="F911" s="261" t="s">
        <v>290</v>
      </c>
      <c r="G911" s="261" t="s">
        <v>625</v>
      </c>
      <c r="H911" s="261" t="n">
        <v>1</v>
      </c>
      <c r="I911" s="261" t="n">
        <v>2</v>
      </c>
      <c r="J911" s="361" t="n">
        <v>1</v>
      </c>
      <c r="K911" s="262" t="n">
        <v>95</v>
      </c>
      <c r="L911" s="262" t="n">
        <v>95</v>
      </c>
      <c r="M911" s="262" t="n">
        <v>95</v>
      </c>
      <c r="N911" s="262" t="n">
        <v>95</v>
      </c>
      <c r="O911" s="262" t="n">
        <v>95</v>
      </c>
      <c r="P911" s="361" t="n">
        <v>95</v>
      </c>
      <c r="Q911" s="261" t="s">
        <v>158</v>
      </c>
      <c r="R911" s="261"/>
      <c r="S911" s="363" t="n">
        <f aca="false" t="array" ref="S911:S911">IF(COUNTIF('0.3.0 GO Calculation Values'!$J$2:$J$99,C911),(INDEX('0.3.0 GO Calculation Values'!$K$2:$K$99,MATCH(C911,'0.3.0 GO Calculation Values'!$J$2:$J$99,0))),1)</f>
        <v>1</v>
      </c>
      <c r="T911" s="262" t="n">
        <f aca="false">ROUND(ROUND(2*((7/8)*MAX(L911,N911)+(1/8)*MIN(L911,N911)),0)*(1+(P911-75)/500),0)</f>
        <v>198</v>
      </c>
      <c r="U911" s="262" t="n">
        <f aca="false">ROUND(ROUND(2*((5/8)*MAX(M911,O911)+(3/8)*MIN(M911,O911)),0)*(1+(P911-75)/500),0)</f>
        <v>198</v>
      </c>
      <c r="V911" s="361" t="n">
        <f aca="false">ROUNDDOWN(K911*1.75+50,0)</f>
        <v>216</v>
      </c>
      <c r="W911" s="261" t="n">
        <v>0</v>
      </c>
      <c r="X911" s="261" t="s">
        <v>2177</v>
      </c>
      <c r="Y911" s="364" t="s">
        <v>2177</v>
      </c>
      <c r="Z911" s="364" t="n">
        <v>20</v>
      </c>
      <c r="AA911" s="364"/>
      <c r="AB911" s="365"/>
      <c r="AC911" s="364"/>
      <c r="AD911" s="364"/>
      <c r="AE911" s="366"/>
      <c r="AF911" s="364" t="s">
        <v>2182</v>
      </c>
      <c r="AG911" s="364" t="s">
        <v>2210</v>
      </c>
      <c r="AH911" s="366" t="s">
        <v>2210</v>
      </c>
    </row>
    <row r="912" customFormat="false" ht="15.75" hidden="false" customHeight="false" outlineLevel="0" collapsed="false">
      <c r="A912" s="262" t="n">
        <v>773</v>
      </c>
      <c r="B912" s="361" t="n">
        <v>910</v>
      </c>
      <c r="C912" s="261" t="s">
        <v>2180</v>
      </c>
      <c r="D912" s="261" t="s">
        <v>159</v>
      </c>
      <c r="E912" s="367" t="s">
        <v>2211</v>
      </c>
      <c r="F912" s="261" t="s">
        <v>290</v>
      </c>
      <c r="G912" s="261" t="s">
        <v>625</v>
      </c>
      <c r="H912" s="261" t="n">
        <v>1</v>
      </c>
      <c r="I912" s="261" t="n">
        <v>2</v>
      </c>
      <c r="J912" s="361" t="n">
        <v>1</v>
      </c>
      <c r="K912" s="262" t="n">
        <v>95</v>
      </c>
      <c r="L912" s="262" t="n">
        <v>95</v>
      </c>
      <c r="M912" s="262" t="n">
        <v>95</v>
      </c>
      <c r="N912" s="262" t="n">
        <v>95</v>
      </c>
      <c r="O912" s="262" t="n">
        <v>95</v>
      </c>
      <c r="P912" s="361" t="n">
        <v>95</v>
      </c>
      <c r="Q912" s="261" t="s">
        <v>159</v>
      </c>
      <c r="R912" s="261"/>
      <c r="S912" s="363" t="n">
        <f aca="false" t="array" ref="S912:S912">IF(COUNTIF('0.3.0 GO Calculation Values'!$J$2:$J$99,C912),(INDEX('0.3.0 GO Calculation Values'!$K$2:$K$99,MATCH(C912,'0.3.0 GO Calculation Values'!$J$2:$J$99,0))),1)</f>
        <v>1</v>
      </c>
      <c r="T912" s="262" t="n">
        <f aca="false">ROUND(ROUND(2*((7/8)*MAX(L912,N912)+(1/8)*MIN(L912,N912)),0)*(1+(P912-75)/500),0)</f>
        <v>198</v>
      </c>
      <c r="U912" s="262" t="n">
        <f aca="false">ROUND(ROUND(2*((5/8)*MAX(M912,O912)+(3/8)*MIN(M912,O912)),0)*(1+(P912-75)/500),0)</f>
        <v>198</v>
      </c>
      <c r="V912" s="361" t="n">
        <f aca="false">ROUNDDOWN(K912*1.75+50,0)</f>
        <v>216</v>
      </c>
      <c r="W912" s="261" t="n">
        <v>0</v>
      </c>
      <c r="X912" s="261" t="s">
        <v>2177</v>
      </c>
      <c r="Y912" s="364" t="s">
        <v>2177</v>
      </c>
      <c r="Z912" s="364" t="n">
        <v>20</v>
      </c>
      <c r="AA912" s="364"/>
      <c r="AB912" s="365"/>
      <c r="AC912" s="364"/>
      <c r="AD912" s="364"/>
      <c r="AE912" s="366"/>
      <c r="AF912" s="364" t="s">
        <v>2182</v>
      </c>
      <c r="AG912" s="364" t="s">
        <v>2212</v>
      </c>
      <c r="AH912" s="366" t="s">
        <v>2212</v>
      </c>
    </row>
    <row r="913" customFormat="false" ht="15.75" hidden="false" customHeight="false" outlineLevel="0" collapsed="false">
      <c r="A913" s="262" t="n">
        <v>773</v>
      </c>
      <c r="B913" s="361" t="n">
        <v>911</v>
      </c>
      <c r="C913" s="261" t="s">
        <v>2180</v>
      </c>
      <c r="D913" s="261" t="s">
        <v>160</v>
      </c>
      <c r="E913" s="367" t="s">
        <v>2213</v>
      </c>
      <c r="F913" s="261" t="s">
        <v>290</v>
      </c>
      <c r="G913" s="261" t="s">
        <v>625</v>
      </c>
      <c r="H913" s="261" t="n">
        <v>1</v>
      </c>
      <c r="I913" s="261" t="n">
        <v>2</v>
      </c>
      <c r="J913" s="361" t="n">
        <v>1</v>
      </c>
      <c r="K913" s="262" t="n">
        <v>95</v>
      </c>
      <c r="L913" s="262" t="n">
        <v>95</v>
      </c>
      <c r="M913" s="262" t="n">
        <v>95</v>
      </c>
      <c r="N913" s="262" t="n">
        <v>95</v>
      </c>
      <c r="O913" s="262" t="n">
        <v>95</v>
      </c>
      <c r="P913" s="361" t="n">
        <v>95</v>
      </c>
      <c r="Q913" s="261" t="s">
        <v>160</v>
      </c>
      <c r="R913" s="261"/>
      <c r="S913" s="363" t="n">
        <f aca="false" t="array" ref="S913:S913">IF(COUNTIF('0.3.0 GO Calculation Values'!$J$2:$J$99,C913),(INDEX('0.3.0 GO Calculation Values'!$K$2:$K$99,MATCH(C913,'0.3.0 GO Calculation Values'!$J$2:$J$99,0))),1)</f>
        <v>1</v>
      </c>
      <c r="T913" s="262" t="n">
        <f aca="false">ROUND(ROUND(2*((7/8)*MAX(L913,N913)+(1/8)*MIN(L913,N913)),0)*(1+(P913-75)/500),0)</f>
        <v>198</v>
      </c>
      <c r="U913" s="262" t="n">
        <f aca="false">ROUND(ROUND(2*((5/8)*MAX(M913,O913)+(3/8)*MIN(M913,O913)),0)*(1+(P913-75)/500),0)</f>
        <v>198</v>
      </c>
      <c r="V913" s="361" t="n">
        <f aca="false">ROUNDDOWN(K913*1.75+50,0)</f>
        <v>216</v>
      </c>
      <c r="W913" s="261" t="n">
        <v>0</v>
      </c>
      <c r="X913" s="261" t="s">
        <v>2177</v>
      </c>
      <c r="Y913" s="364" t="s">
        <v>2177</v>
      </c>
      <c r="Z913" s="364" t="n">
        <v>20</v>
      </c>
      <c r="AA913" s="364"/>
      <c r="AB913" s="365"/>
      <c r="AC913" s="364"/>
      <c r="AD913" s="364"/>
      <c r="AE913" s="366"/>
      <c r="AF913" s="364" t="s">
        <v>2182</v>
      </c>
      <c r="AG913" s="364" t="s">
        <v>2214</v>
      </c>
      <c r="AH913" s="366" t="s">
        <v>2214</v>
      </c>
    </row>
    <row r="914" customFormat="false" ht="15.75" hidden="false" customHeight="false" outlineLevel="0" collapsed="false">
      <c r="A914" s="262" t="n">
        <v>773</v>
      </c>
      <c r="B914" s="361" t="n">
        <v>912</v>
      </c>
      <c r="C914" s="261" t="s">
        <v>2180</v>
      </c>
      <c r="D914" s="261" t="s">
        <v>161</v>
      </c>
      <c r="E914" s="367" t="s">
        <v>2215</v>
      </c>
      <c r="F914" s="261" t="s">
        <v>290</v>
      </c>
      <c r="G914" s="261" t="s">
        <v>625</v>
      </c>
      <c r="H914" s="261" t="n">
        <v>1</v>
      </c>
      <c r="I914" s="261" t="n">
        <v>2</v>
      </c>
      <c r="J914" s="361" t="n">
        <v>1</v>
      </c>
      <c r="K914" s="262" t="n">
        <v>95</v>
      </c>
      <c r="L914" s="262" t="n">
        <v>95</v>
      </c>
      <c r="M914" s="262" t="n">
        <v>95</v>
      </c>
      <c r="N914" s="262" t="n">
        <v>95</v>
      </c>
      <c r="O914" s="262" t="n">
        <v>95</v>
      </c>
      <c r="P914" s="361" t="n">
        <v>95</v>
      </c>
      <c r="Q914" s="261" t="s">
        <v>161</v>
      </c>
      <c r="R914" s="261"/>
      <c r="S914" s="363" t="n">
        <f aca="false" t="array" ref="S914:S914">IF(COUNTIF('0.3.0 GO Calculation Values'!$J$2:$J$99,C914),(INDEX('0.3.0 GO Calculation Values'!$K$2:$K$99,MATCH(C914,'0.3.0 GO Calculation Values'!$J$2:$J$99,0))),1)</f>
        <v>1</v>
      </c>
      <c r="T914" s="262" t="n">
        <f aca="false">ROUND(ROUND(2*((7/8)*MAX(L914,N914)+(1/8)*MIN(L914,N914)),0)*(1+(P914-75)/500),0)</f>
        <v>198</v>
      </c>
      <c r="U914" s="262" t="n">
        <f aca="false">ROUND(ROUND(2*((5/8)*MAX(M914,O914)+(3/8)*MIN(M914,O914)),0)*(1+(P914-75)/500),0)</f>
        <v>198</v>
      </c>
      <c r="V914" s="361" t="n">
        <f aca="false">ROUNDDOWN(K914*1.75+50,0)</f>
        <v>216</v>
      </c>
      <c r="W914" s="261" t="n">
        <v>0</v>
      </c>
      <c r="X914" s="261" t="s">
        <v>2177</v>
      </c>
      <c r="Y914" s="364" t="s">
        <v>2177</v>
      </c>
      <c r="Z914" s="364" t="n">
        <v>20</v>
      </c>
      <c r="AA914" s="364"/>
      <c r="AB914" s="365"/>
      <c r="AC914" s="364"/>
      <c r="AD914" s="364"/>
      <c r="AE914" s="366"/>
      <c r="AF914" s="364" t="s">
        <v>2182</v>
      </c>
      <c r="AG914" s="364" t="s">
        <v>2216</v>
      </c>
      <c r="AH914" s="366" t="s">
        <v>2216</v>
      </c>
    </row>
    <row r="915" customFormat="false" ht="15.75" hidden="false" customHeight="false" outlineLevel="0" collapsed="false">
      <c r="A915" s="262" t="n">
        <v>774</v>
      </c>
      <c r="B915" s="361" t="n">
        <v>913</v>
      </c>
      <c r="C915" s="261" t="s">
        <v>2217</v>
      </c>
      <c r="D915" s="261" t="s">
        <v>2218</v>
      </c>
      <c r="E915" s="358" t="s">
        <v>2217</v>
      </c>
      <c r="F915" s="261" t="s">
        <v>290</v>
      </c>
      <c r="G915" s="261" t="s">
        <v>144</v>
      </c>
      <c r="H915" s="261" t="n">
        <v>0</v>
      </c>
      <c r="I915" s="261" t="n">
        <v>1</v>
      </c>
      <c r="J915" s="361" t="n">
        <v>1</v>
      </c>
      <c r="K915" s="262" t="n">
        <v>60</v>
      </c>
      <c r="L915" s="262" t="n">
        <v>60</v>
      </c>
      <c r="M915" s="262" t="n">
        <v>100</v>
      </c>
      <c r="N915" s="262" t="n">
        <v>60</v>
      </c>
      <c r="O915" s="262" t="n">
        <v>100</v>
      </c>
      <c r="P915" s="361" t="n">
        <v>60</v>
      </c>
      <c r="Q915" s="261" t="s">
        <v>149</v>
      </c>
      <c r="R915" s="261" t="s">
        <v>146</v>
      </c>
      <c r="S915" s="363" t="n">
        <f aca="false" t="array" ref="S915:S915">IF(COUNTIF('0.3.0 GO Calculation Values'!$J$2:$J$99,C915),(INDEX('0.3.0 GO Calculation Values'!$K$2:$K$99,MATCH(C915,'0.3.0 GO Calculation Values'!$J$2:$J$99,0))),1)</f>
        <v>1</v>
      </c>
      <c r="T915" s="262" t="n">
        <f aca="false">ROUND(ROUND(2*((7/8)*MAX(L915,N915)+(1/8)*MIN(L915,N915)),0)*(1+(P915-75)/500),0)</f>
        <v>116</v>
      </c>
      <c r="U915" s="262" t="n">
        <f aca="false">ROUND(ROUND(2*((5/8)*MAX(M915,O915)+(3/8)*MIN(M915,O915)),0)*(1+(P915-75)/500),0)</f>
        <v>194</v>
      </c>
      <c r="V915" s="361" t="n">
        <f aca="false">ROUNDDOWN(K915*1.75+50,0)</f>
        <v>155</v>
      </c>
      <c r="W915" s="261" t="n">
        <v>0</v>
      </c>
      <c r="X915" s="261" t="s">
        <v>60</v>
      </c>
      <c r="Y915" s="364" t="s">
        <v>2217</v>
      </c>
      <c r="Z915" s="364"/>
      <c r="AA915" s="364"/>
      <c r="AB915" s="365"/>
      <c r="AC915" s="364"/>
      <c r="AD915" s="364"/>
      <c r="AE915" s="366"/>
      <c r="AF915" s="261" t="s">
        <v>2219</v>
      </c>
      <c r="AG915" s="261" t="s">
        <v>2219</v>
      </c>
      <c r="AH915" s="362" t="s">
        <v>2219</v>
      </c>
    </row>
    <row r="916" customFormat="false" ht="15.75" hidden="false" customHeight="false" outlineLevel="0" collapsed="false">
      <c r="A916" s="262" t="n">
        <v>774</v>
      </c>
      <c r="B916" s="361" t="n">
        <v>914</v>
      </c>
      <c r="C916" s="261" t="s">
        <v>2217</v>
      </c>
      <c r="D916" s="261" t="s">
        <v>2220</v>
      </c>
      <c r="E916" s="358" t="s">
        <v>2221</v>
      </c>
      <c r="F916" s="261" t="s">
        <v>290</v>
      </c>
      <c r="G916" s="261" t="s">
        <v>144</v>
      </c>
      <c r="H916" s="261" t="n">
        <v>2</v>
      </c>
      <c r="I916" s="261" t="n">
        <v>1</v>
      </c>
      <c r="J916" s="361" t="n">
        <v>1</v>
      </c>
      <c r="K916" s="262" t="n">
        <v>60</v>
      </c>
      <c r="L916" s="262" t="n">
        <v>100</v>
      </c>
      <c r="M916" s="262" t="n">
        <v>60</v>
      </c>
      <c r="N916" s="262" t="n">
        <v>100</v>
      </c>
      <c r="O916" s="262" t="n">
        <v>60</v>
      </c>
      <c r="P916" s="361" t="n">
        <v>120</v>
      </c>
      <c r="Q916" s="261" t="s">
        <v>149</v>
      </c>
      <c r="R916" s="261" t="s">
        <v>146</v>
      </c>
      <c r="S916" s="363" t="n">
        <f aca="false" t="array" ref="S916:S916">IF(COUNTIF('0.3.0 GO Calculation Values'!$J$2:$J$99,C916),(INDEX('0.3.0 GO Calculation Values'!$K$2:$K$99,MATCH(C916,'0.3.0 GO Calculation Values'!$J$2:$J$99,0))),1)</f>
        <v>1</v>
      </c>
      <c r="T916" s="262" t="n">
        <f aca="false">ROUND(ROUND(2*((7/8)*MAX(L916,N916)+(1/8)*MIN(L916,N916)),0)*(1+(P916-75)/500),0)</f>
        <v>218</v>
      </c>
      <c r="U916" s="262" t="n">
        <f aca="false">ROUND(ROUND(2*((5/8)*MAX(M916,O916)+(3/8)*MIN(M916,O916)),0)*(1+(P916-75)/500),0)</f>
        <v>131</v>
      </c>
      <c r="V916" s="361" t="n">
        <f aca="false">ROUNDDOWN(K916*1.75+50,0)</f>
        <v>155</v>
      </c>
      <c r="W916" s="261" t="n">
        <v>0</v>
      </c>
      <c r="X916" s="261" t="s">
        <v>60</v>
      </c>
      <c r="Y916" s="364" t="s">
        <v>2217</v>
      </c>
      <c r="Z916" s="364"/>
      <c r="AA916" s="364"/>
      <c r="AB916" s="365"/>
      <c r="AC916" s="364"/>
      <c r="AD916" s="364"/>
      <c r="AE916" s="366"/>
      <c r="AF916" s="261" t="s">
        <v>2222</v>
      </c>
      <c r="AG916" s="261" t="s">
        <v>2222</v>
      </c>
      <c r="AH916" s="362" t="s">
        <v>2222</v>
      </c>
    </row>
    <row r="917" customFormat="false" ht="15.75" hidden="false" customHeight="false" outlineLevel="0" collapsed="false">
      <c r="A917" s="262" t="n">
        <v>775</v>
      </c>
      <c r="B917" s="361" t="n">
        <v>915</v>
      </c>
      <c r="C917" s="261" t="s">
        <v>2223</v>
      </c>
      <c r="D917" s="261" t="s">
        <v>60</v>
      </c>
      <c r="E917" s="362" t="s">
        <v>2223</v>
      </c>
      <c r="F917" s="261" t="s">
        <v>290</v>
      </c>
      <c r="G917" s="261" t="s">
        <v>144</v>
      </c>
      <c r="H917" s="261" t="n">
        <v>0</v>
      </c>
      <c r="I917" s="261" t="n">
        <v>1</v>
      </c>
      <c r="J917" s="361" t="n">
        <v>1</v>
      </c>
      <c r="K917" s="262" t="n">
        <v>65</v>
      </c>
      <c r="L917" s="262" t="n">
        <v>115</v>
      </c>
      <c r="M917" s="262" t="n">
        <v>65</v>
      </c>
      <c r="N917" s="262" t="n">
        <v>75</v>
      </c>
      <c r="O917" s="262" t="n">
        <v>95</v>
      </c>
      <c r="P917" s="361" t="n">
        <v>65</v>
      </c>
      <c r="Q917" s="261" t="s">
        <v>144</v>
      </c>
      <c r="R917" s="261"/>
      <c r="S917" s="363" t="n">
        <f aca="false" t="array" ref="S917:S917">IF(COUNTIF('0.3.0 GO Calculation Values'!$J$2:$J$99,C917),(INDEX('0.3.0 GO Calculation Values'!$K$2:$K$99,MATCH(C917,'0.3.0 GO Calculation Values'!$J$2:$J$99,0))),1)</f>
        <v>1</v>
      </c>
      <c r="T917" s="262" t="n">
        <f aca="false">ROUND(ROUND(2*((7/8)*MAX(L917,N917)+(1/8)*MIN(L917,N917)),0)*(1+(P917-75)/500),0)</f>
        <v>216</v>
      </c>
      <c r="U917" s="262" t="n">
        <f aca="false">ROUND(ROUND(2*((5/8)*MAX(M917,O917)+(3/8)*MIN(M917,O917)),0)*(1+(P917-75)/500),0)</f>
        <v>165</v>
      </c>
      <c r="V917" s="361" t="n">
        <f aca="false">ROUNDDOWN(K917*1.75+50,0)</f>
        <v>163</v>
      </c>
      <c r="W917" s="261" t="n">
        <v>0</v>
      </c>
      <c r="X917" s="261" t="s">
        <v>60</v>
      </c>
      <c r="Y917" s="364" t="s">
        <v>2223</v>
      </c>
      <c r="Z917" s="364"/>
      <c r="AA917" s="364"/>
      <c r="AB917" s="365"/>
      <c r="AC917" s="364"/>
      <c r="AD917" s="364"/>
      <c r="AE917" s="366"/>
      <c r="AF917" s="364" t="s">
        <v>2224</v>
      </c>
      <c r="AG917" s="364" t="s">
        <v>2224</v>
      </c>
      <c r="AH917" s="366" t="s">
        <v>2224</v>
      </c>
    </row>
    <row r="918" customFormat="false" ht="15.75" hidden="false" customHeight="false" outlineLevel="0" collapsed="false">
      <c r="A918" s="262" t="n">
        <v>776</v>
      </c>
      <c r="B918" s="361" t="n">
        <v>916</v>
      </c>
      <c r="C918" s="261" t="s">
        <v>2225</v>
      </c>
      <c r="D918" s="261" t="s">
        <v>60</v>
      </c>
      <c r="E918" s="362" t="s">
        <v>2225</v>
      </c>
      <c r="F918" s="261" t="s">
        <v>290</v>
      </c>
      <c r="G918" s="261" t="s">
        <v>144</v>
      </c>
      <c r="H918" s="261" t="n">
        <v>0</v>
      </c>
      <c r="I918" s="261" t="n">
        <v>1</v>
      </c>
      <c r="J918" s="361" t="n">
        <v>1</v>
      </c>
      <c r="K918" s="262" t="n">
        <v>60</v>
      </c>
      <c r="L918" s="262" t="n">
        <v>78</v>
      </c>
      <c r="M918" s="262" t="n">
        <v>135</v>
      </c>
      <c r="N918" s="262" t="n">
        <v>91</v>
      </c>
      <c r="O918" s="262" t="n">
        <v>85</v>
      </c>
      <c r="P918" s="361" t="n">
        <v>36</v>
      </c>
      <c r="Q918" s="261" t="s">
        <v>153</v>
      </c>
      <c r="R918" s="261" t="s">
        <v>159</v>
      </c>
      <c r="S918" s="363" t="n">
        <f aca="false" t="array" ref="S918:S918">IF(COUNTIF('0.3.0 GO Calculation Values'!$J$2:$J$99,C918),(INDEX('0.3.0 GO Calculation Values'!$K$2:$K$99,MATCH(C918,'0.3.0 GO Calculation Values'!$J$2:$J$99,0))),1)</f>
        <v>1</v>
      </c>
      <c r="T918" s="262" t="n">
        <f aca="false">ROUND(ROUND(2*((7/8)*MAX(L918,N918)+(1/8)*MIN(L918,N918)),0)*(1+(P918-75)/500),0)</f>
        <v>165</v>
      </c>
      <c r="U918" s="262" t="n">
        <f aca="false">ROUND(ROUND(2*((5/8)*MAX(M918,O918)+(3/8)*MIN(M918,O918)),0)*(1+(P918-75)/500),0)</f>
        <v>215</v>
      </c>
      <c r="V918" s="361" t="n">
        <f aca="false">ROUNDDOWN(K918*1.75+50,0)</f>
        <v>155</v>
      </c>
      <c r="W918" s="261" t="n">
        <v>0</v>
      </c>
      <c r="X918" s="261" t="s">
        <v>60</v>
      </c>
      <c r="Y918" s="364" t="s">
        <v>2225</v>
      </c>
      <c r="Z918" s="364"/>
      <c r="AA918" s="364"/>
      <c r="AB918" s="365"/>
      <c r="AC918" s="364"/>
      <c r="AD918" s="364"/>
      <c r="AE918" s="366"/>
      <c r="AF918" s="364" t="s">
        <v>2226</v>
      </c>
      <c r="AG918" s="364" t="s">
        <v>2226</v>
      </c>
      <c r="AH918" s="366" t="s">
        <v>2226</v>
      </c>
    </row>
    <row r="919" customFormat="false" ht="15.75" hidden="false" customHeight="false" outlineLevel="0" collapsed="false">
      <c r="A919" s="262" t="n">
        <v>777</v>
      </c>
      <c r="B919" s="361" t="n">
        <v>917</v>
      </c>
      <c r="C919" s="261" t="s">
        <v>2227</v>
      </c>
      <c r="D919" s="261" t="s">
        <v>60</v>
      </c>
      <c r="E919" s="362" t="s">
        <v>2227</v>
      </c>
      <c r="F919" s="261" t="s">
        <v>290</v>
      </c>
      <c r="G919" s="261" t="s">
        <v>144</v>
      </c>
      <c r="H919" s="261" t="n">
        <v>0</v>
      </c>
      <c r="I919" s="261" t="n">
        <v>1</v>
      </c>
      <c r="J919" s="361" t="n">
        <v>1</v>
      </c>
      <c r="K919" s="262" t="n">
        <v>65</v>
      </c>
      <c r="L919" s="262" t="n">
        <v>98</v>
      </c>
      <c r="M919" s="262" t="n">
        <v>63</v>
      </c>
      <c r="N919" s="262" t="n">
        <v>40</v>
      </c>
      <c r="O919" s="262" t="n">
        <v>73</v>
      </c>
      <c r="P919" s="361" t="n">
        <v>96</v>
      </c>
      <c r="Q919" s="261" t="s">
        <v>156</v>
      </c>
      <c r="R919" s="261" t="s">
        <v>152</v>
      </c>
      <c r="S919" s="363" t="n">
        <f aca="false" t="array" ref="S919:S919">IF(COUNTIF('0.3.0 GO Calculation Values'!$J$2:$J$99,C919),(INDEX('0.3.0 GO Calculation Values'!$K$2:$K$99,MATCH(C919,'0.3.0 GO Calculation Values'!$J$2:$J$99,0))),1)</f>
        <v>1</v>
      </c>
      <c r="T919" s="262" t="n">
        <f aca="false">ROUND(ROUND(2*((7/8)*MAX(L919,N919)+(1/8)*MIN(L919,N919)),0)*(1+(P919-75)/500),0)</f>
        <v>190</v>
      </c>
      <c r="U919" s="262" t="n">
        <f aca="false">ROUND(ROUND(2*((5/8)*MAX(M919,O919)+(3/8)*MIN(M919,O919)),0)*(1+(P919-75)/500),0)</f>
        <v>145</v>
      </c>
      <c r="V919" s="361" t="n">
        <f aca="false">ROUNDDOWN(K919*1.75+50,0)</f>
        <v>163</v>
      </c>
      <c r="W919" s="261" t="n">
        <v>0</v>
      </c>
      <c r="X919" s="261" t="s">
        <v>60</v>
      </c>
      <c r="Y919" s="364" t="s">
        <v>2227</v>
      </c>
      <c r="Z919" s="364"/>
      <c r="AA919" s="364"/>
      <c r="AB919" s="365"/>
      <c r="AC919" s="364"/>
      <c r="AD919" s="364"/>
      <c r="AE919" s="366"/>
      <c r="AF919" s="364" t="s">
        <v>2228</v>
      </c>
      <c r="AG919" s="364" t="s">
        <v>2228</v>
      </c>
      <c r="AH919" s="366" t="s">
        <v>2228</v>
      </c>
    </row>
    <row r="920" customFormat="false" ht="15.75" hidden="false" customHeight="false" outlineLevel="0" collapsed="false">
      <c r="A920" s="262" t="n">
        <v>778</v>
      </c>
      <c r="B920" s="361" t="n">
        <v>918</v>
      </c>
      <c r="C920" s="261" t="s">
        <v>2229</v>
      </c>
      <c r="D920" s="261" t="s">
        <v>60</v>
      </c>
      <c r="E920" s="362" t="s">
        <v>2229</v>
      </c>
      <c r="F920" s="261" t="s">
        <v>290</v>
      </c>
      <c r="G920" s="261" t="s">
        <v>144</v>
      </c>
      <c r="H920" s="261" t="n">
        <v>0</v>
      </c>
      <c r="I920" s="261" t="n">
        <v>1</v>
      </c>
      <c r="J920" s="361" t="n">
        <v>1</v>
      </c>
      <c r="K920" s="262" t="n">
        <v>55</v>
      </c>
      <c r="L920" s="262" t="n">
        <v>90</v>
      </c>
      <c r="M920" s="262" t="n">
        <v>80</v>
      </c>
      <c r="N920" s="262" t="n">
        <v>50</v>
      </c>
      <c r="O920" s="262" t="n">
        <v>105</v>
      </c>
      <c r="P920" s="361" t="n">
        <v>96</v>
      </c>
      <c r="Q920" s="261" t="s">
        <v>151</v>
      </c>
      <c r="R920" s="261" t="s">
        <v>161</v>
      </c>
      <c r="S920" s="363" t="n">
        <f aca="false" t="array" ref="S920:S920">IF(COUNTIF('0.3.0 GO Calculation Values'!$J$2:$J$99,C920),(INDEX('0.3.0 GO Calculation Values'!$K$2:$K$99,MATCH(C920,'0.3.0 GO Calculation Values'!$J$2:$J$99,0))),1)</f>
        <v>1</v>
      </c>
      <c r="T920" s="262" t="n">
        <f aca="false">ROUND(ROUND(2*((7/8)*MAX(L920,N920)+(1/8)*MIN(L920,N920)),0)*(1+(P920-75)/500),0)</f>
        <v>177</v>
      </c>
      <c r="U920" s="262" t="n">
        <f aca="false">ROUND(ROUND(2*((5/8)*MAX(M920,O920)+(3/8)*MIN(M920,O920)),0)*(1+(P920-75)/500),0)</f>
        <v>199</v>
      </c>
      <c r="V920" s="361" t="n">
        <f aca="false">ROUNDDOWN(K920*1.75+50,0)</f>
        <v>146</v>
      </c>
      <c r="W920" s="261" t="n">
        <v>0</v>
      </c>
      <c r="X920" s="261" t="s">
        <v>60</v>
      </c>
      <c r="Y920" s="364" t="s">
        <v>2229</v>
      </c>
      <c r="Z920" s="364"/>
      <c r="AA920" s="364"/>
      <c r="AB920" s="365"/>
      <c r="AC920" s="364"/>
      <c r="AD920" s="364"/>
      <c r="AE920" s="366"/>
      <c r="AF920" s="364" t="s">
        <v>2230</v>
      </c>
      <c r="AG920" s="364" t="s">
        <v>2230</v>
      </c>
      <c r="AH920" s="366" t="s">
        <v>2230</v>
      </c>
    </row>
    <row r="921" customFormat="false" ht="15.75" hidden="false" customHeight="false" outlineLevel="0" collapsed="false">
      <c r="A921" s="262" t="n">
        <v>779</v>
      </c>
      <c r="B921" s="361" t="n">
        <v>919</v>
      </c>
      <c r="C921" s="261" t="s">
        <v>2231</v>
      </c>
      <c r="D921" s="261" t="s">
        <v>60</v>
      </c>
      <c r="E921" s="362" t="s">
        <v>2231</v>
      </c>
      <c r="F921" s="261" t="s">
        <v>290</v>
      </c>
      <c r="G921" s="261" t="s">
        <v>144</v>
      </c>
      <c r="H921" s="261" t="n">
        <v>0</v>
      </c>
      <c r="I921" s="261" t="n">
        <v>1</v>
      </c>
      <c r="J921" s="361" t="n">
        <v>1</v>
      </c>
      <c r="K921" s="262" t="n">
        <v>68</v>
      </c>
      <c r="L921" s="262" t="n">
        <v>105</v>
      </c>
      <c r="M921" s="262" t="n">
        <v>70</v>
      </c>
      <c r="N921" s="262" t="n">
        <v>70</v>
      </c>
      <c r="O921" s="262" t="n">
        <v>70</v>
      </c>
      <c r="P921" s="361" t="n">
        <v>92</v>
      </c>
      <c r="Q921" s="261" t="s">
        <v>154</v>
      </c>
      <c r="R921" s="261" t="s">
        <v>157</v>
      </c>
      <c r="S921" s="363" t="n">
        <f aca="false" t="array" ref="S921:S921">IF(COUNTIF('0.3.0 GO Calculation Values'!$J$2:$J$99,C921),(INDEX('0.3.0 GO Calculation Values'!$K$2:$K$99,MATCH(C921,'0.3.0 GO Calculation Values'!$J$2:$J$99,0))),1)</f>
        <v>1</v>
      </c>
      <c r="T921" s="262" t="n">
        <f aca="false">ROUND(ROUND(2*((7/8)*MAX(L921,N921)+(1/8)*MIN(L921,N921)),0)*(1+(P921-75)/500),0)</f>
        <v>208</v>
      </c>
      <c r="U921" s="262" t="n">
        <f aca="false">ROUND(ROUND(2*((5/8)*MAX(M921,O921)+(3/8)*MIN(M921,O921)),0)*(1+(P921-75)/500),0)</f>
        <v>145</v>
      </c>
      <c r="V921" s="361" t="n">
        <f aca="false">ROUNDDOWN(K921*1.75+50,0)</f>
        <v>169</v>
      </c>
      <c r="W921" s="261" t="n">
        <v>0</v>
      </c>
      <c r="X921" s="261" t="s">
        <v>60</v>
      </c>
      <c r="Y921" s="364" t="s">
        <v>2231</v>
      </c>
      <c r="Z921" s="364"/>
      <c r="AA921" s="364"/>
      <c r="AB921" s="365"/>
      <c r="AC921" s="364"/>
      <c r="AD921" s="364"/>
      <c r="AE921" s="366"/>
      <c r="AF921" s="364" t="s">
        <v>2232</v>
      </c>
      <c r="AG921" s="364" t="s">
        <v>2232</v>
      </c>
      <c r="AH921" s="366" t="s">
        <v>2232</v>
      </c>
    </row>
    <row r="922" customFormat="false" ht="15.75" hidden="false" customHeight="false" outlineLevel="0" collapsed="false">
      <c r="A922" s="262" t="n">
        <v>780</v>
      </c>
      <c r="B922" s="361" t="n">
        <v>920</v>
      </c>
      <c r="C922" s="261" t="s">
        <v>2233</v>
      </c>
      <c r="D922" s="261" t="s">
        <v>60</v>
      </c>
      <c r="E922" s="362" t="s">
        <v>2233</v>
      </c>
      <c r="F922" s="261" t="s">
        <v>290</v>
      </c>
      <c r="G922" s="261" t="s">
        <v>144</v>
      </c>
      <c r="H922" s="261" t="n">
        <v>0</v>
      </c>
      <c r="I922" s="261" t="n">
        <v>1</v>
      </c>
      <c r="J922" s="361" t="n">
        <v>1</v>
      </c>
      <c r="K922" s="262" t="n">
        <v>78</v>
      </c>
      <c r="L922" s="262" t="n">
        <v>60</v>
      </c>
      <c r="M922" s="262" t="n">
        <v>85</v>
      </c>
      <c r="N922" s="262" t="n">
        <v>135</v>
      </c>
      <c r="O922" s="262" t="n">
        <v>91</v>
      </c>
      <c r="P922" s="361" t="n">
        <v>36</v>
      </c>
      <c r="Q922" s="261" t="s">
        <v>144</v>
      </c>
      <c r="R922" s="261" t="s">
        <v>159</v>
      </c>
      <c r="S922" s="363" t="n">
        <f aca="false" t="array" ref="S922:S922">IF(COUNTIF('0.3.0 GO Calculation Values'!$J$2:$J$99,C922),(INDEX('0.3.0 GO Calculation Values'!$K$2:$K$99,MATCH(C922,'0.3.0 GO Calculation Values'!$J$2:$J$99,0))),1)</f>
        <v>1</v>
      </c>
      <c r="T922" s="262" t="n">
        <f aca="false">ROUND(ROUND(2*((7/8)*MAX(L922,N922)+(1/8)*MIN(L922,N922)),0)*(1+(P922-75)/500),0)</f>
        <v>231</v>
      </c>
      <c r="U922" s="262" t="n">
        <f aca="false">ROUND(ROUND(2*((5/8)*MAX(M922,O922)+(3/8)*MIN(M922,O922)),0)*(1+(P922-75)/500),0)</f>
        <v>164</v>
      </c>
      <c r="V922" s="361" t="n">
        <f aca="false">ROUNDDOWN(K922*1.75+50,0)</f>
        <v>186</v>
      </c>
      <c r="W922" s="261" t="n">
        <v>0</v>
      </c>
      <c r="X922" s="261" t="s">
        <v>60</v>
      </c>
      <c r="Y922" s="364" t="s">
        <v>2233</v>
      </c>
      <c r="Z922" s="364"/>
      <c r="AA922" s="364"/>
      <c r="AB922" s="365"/>
      <c r="AC922" s="364"/>
      <c r="AD922" s="364"/>
      <c r="AE922" s="366"/>
      <c r="AF922" s="364" t="s">
        <v>2234</v>
      </c>
      <c r="AG922" s="364" t="s">
        <v>2234</v>
      </c>
      <c r="AH922" s="366" t="s">
        <v>2234</v>
      </c>
    </row>
    <row r="923" customFormat="false" ht="15.75" hidden="false" customHeight="false" outlineLevel="0" collapsed="false">
      <c r="A923" s="262" t="n">
        <v>781</v>
      </c>
      <c r="B923" s="361" t="n">
        <v>921</v>
      </c>
      <c r="C923" s="261" t="s">
        <v>2235</v>
      </c>
      <c r="D923" s="261" t="s">
        <v>60</v>
      </c>
      <c r="E923" s="362" t="s">
        <v>2235</v>
      </c>
      <c r="F923" s="261" t="s">
        <v>290</v>
      </c>
      <c r="G923" s="261" t="s">
        <v>144</v>
      </c>
      <c r="H923" s="261" t="n">
        <v>0</v>
      </c>
      <c r="I923" s="261" t="n">
        <v>1</v>
      </c>
      <c r="J923" s="361" t="n">
        <v>1</v>
      </c>
      <c r="K923" s="262" t="n">
        <v>70</v>
      </c>
      <c r="L923" s="262" t="n">
        <v>131</v>
      </c>
      <c r="M923" s="262" t="n">
        <v>100</v>
      </c>
      <c r="N923" s="262" t="n">
        <v>86</v>
      </c>
      <c r="O923" s="262" t="n">
        <v>90</v>
      </c>
      <c r="P923" s="361" t="n">
        <v>40</v>
      </c>
      <c r="Q923" s="261" t="s">
        <v>151</v>
      </c>
      <c r="R923" s="261" t="s">
        <v>155</v>
      </c>
      <c r="S923" s="363" t="n">
        <f aca="false" t="array" ref="S923:S923">IF(COUNTIF('0.3.0 GO Calculation Values'!$J$2:$J$99,C923),(INDEX('0.3.0 GO Calculation Values'!$K$2:$K$99,MATCH(C923,'0.3.0 GO Calculation Values'!$J$2:$J$99,0))),1)</f>
        <v>1</v>
      </c>
      <c r="T923" s="262" t="n">
        <f aca="false">ROUND(ROUND(2*((7/8)*MAX(L923,N923)+(1/8)*MIN(L923,N923)),0)*(1+(P923-75)/500),0)</f>
        <v>233</v>
      </c>
      <c r="U923" s="262" t="n">
        <f aca="false">ROUND(ROUND(2*((5/8)*MAX(M923,O923)+(3/8)*MIN(M923,O923)),0)*(1+(P923-75)/500),0)</f>
        <v>179</v>
      </c>
      <c r="V923" s="361" t="n">
        <f aca="false">ROUNDDOWN(K923*1.75+50,0)</f>
        <v>172</v>
      </c>
      <c r="W923" s="261" t="n">
        <v>0</v>
      </c>
      <c r="X923" s="261" t="s">
        <v>60</v>
      </c>
      <c r="Y923" s="364" t="s">
        <v>2235</v>
      </c>
      <c r="Z923" s="364"/>
      <c r="AA923" s="364"/>
      <c r="AB923" s="365"/>
      <c r="AC923" s="364"/>
      <c r="AD923" s="364"/>
      <c r="AE923" s="366"/>
      <c r="AF923" s="364" t="s">
        <v>2236</v>
      </c>
      <c r="AG923" s="364" t="s">
        <v>2236</v>
      </c>
      <c r="AH923" s="366" t="s">
        <v>2236</v>
      </c>
    </row>
    <row r="924" customFormat="false" ht="15.75" hidden="false" customHeight="false" outlineLevel="0" collapsed="false">
      <c r="A924" s="262" t="n">
        <v>782</v>
      </c>
      <c r="B924" s="361" t="n">
        <v>922</v>
      </c>
      <c r="C924" s="261" t="s">
        <v>2237</v>
      </c>
      <c r="D924" s="261" t="s">
        <v>60</v>
      </c>
      <c r="E924" s="362" t="s">
        <v>2237</v>
      </c>
      <c r="F924" s="261" t="s">
        <v>290</v>
      </c>
      <c r="G924" s="261" t="s">
        <v>632</v>
      </c>
      <c r="H924" s="261" t="n">
        <v>0</v>
      </c>
      <c r="I924" s="261" t="n">
        <v>1</v>
      </c>
      <c r="J924" s="361" t="n">
        <v>0</v>
      </c>
      <c r="K924" s="262" t="n">
        <v>45</v>
      </c>
      <c r="L924" s="262" t="n">
        <v>55</v>
      </c>
      <c r="M924" s="262" t="n">
        <v>65</v>
      </c>
      <c r="N924" s="262" t="n">
        <v>45</v>
      </c>
      <c r="O924" s="262" t="n">
        <v>45</v>
      </c>
      <c r="P924" s="361" t="n">
        <v>45</v>
      </c>
      <c r="Q924" s="261" t="s">
        <v>159</v>
      </c>
      <c r="R924" s="261"/>
      <c r="S924" s="363" t="n">
        <f aca="false" t="array" ref="S924:S924">IF(COUNTIF('0.3.0 GO Calculation Values'!$J$2:$J$99,C924),(INDEX('0.3.0 GO Calculation Values'!$K$2:$K$99,MATCH(C924,'0.3.0 GO Calculation Values'!$J$2:$J$99,0))),1)</f>
        <v>1</v>
      </c>
      <c r="T924" s="262" t="n">
        <f aca="false">ROUND(ROUND(2*((7/8)*MAX(L924,N924)+(1/8)*MIN(L924,N924)),0)*(1+(P924-75)/500),0)</f>
        <v>102</v>
      </c>
      <c r="U924" s="262" t="n">
        <f aca="false">ROUND(ROUND(2*((5/8)*MAX(M924,O924)+(3/8)*MIN(M924,O924)),0)*(1+(P924-75)/500),0)</f>
        <v>108</v>
      </c>
      <c r="V924" s="361" t="n">
        <f aca="false">ROUNDDOWN(K924*1.75+50,0)</f>
        <v>128</v>
      </c>
      <c r="W924" s="261" t="n">
        <v>0</v>
      </c>
      <c r="X924" s="261" t="s">
        <v>60</v>
      </c>
      <c r="Y924" s="364" t="s">
        <v>2237</v>
      </c>
      <c r="Z924" s="364"/>
      <c r="AA924" s="364"/>
      <c r="AB924" s="365"/>
      <c r="AC924" s="364"/>
      <c r="AD924" s="364"/>
      <c r="AE924" s="366"/>
      <c r="AF924" s="364" t="s">
        <v>2238</v>
      </c>
      <c r="AG924" s="261" t="s">
        <v>2239</v>
      </c>
      <c r="AH924" s="366" t="s">
        <v>2238</v>
      </c>
    </row>
    <row r="925" customFormat="false" ht="15.75" hidden="false" customHeight="false" outlineLevel="0" collapsed="false">
      <c r="A925" s="262" t="n">
        <v>783</v>
      </c>
      <c r="B925" s="361" t="n">
        <v>923</v>
      </c>
      <c r="C925" s="261" t="s">
        <v>2240</v>
      </c>
      <c r="D925" s="261" t="s">
        <v>60</v>
      </c>
      <c r="E925" s="362" t="s">
        <v>2240</v>
      </c>
      <c r="F925" s="261" t="s">
        <v>290</v>
      </c>
      <c r="G925" s="261" t="s">
        <v>632</v>
      </c>
      <c r="H925" s="261" t="n">
        <v>0</v>
      </c>
      <c r="I925" s="261" t="n">
        <v>2</v>
      </c>
      <c r="J925" s="361" t="n">
        <v>0</v>
      </c>
      <c r="K925" s="262" t="n">
        <v>55</v>
      </c>
      <c r="L925" s="262" t="n">
        <v>75</v>
      </c>
      <c r="M925" s="262" t="n">
        <v>90</v>
      </c>
      <c r="N925" s="262" t="n">
        <v>65</v>
      </c>
      <c r="O925" s="262" t="n">
        <v>70</v>
      </c>
      <c r="P925" s="361" t="n">
        <v>65</v>
      </c>
      <c r="Q925" s="261" t="s">
        <v>159</v>
      </c>
      <c r="R925" s="261" t="s">
        <v>145</v>
      </c>
      <c r="S925" s="363" t="n">
        <f aca="false" t="array" ref="S925:S925">IF(COUNTIF('0.3.0 GO Calculation Values'!$J$2:$J$99,C925),(INDEX('0.3.0 GO Calculation Values'!$K$2:$K$99,MATCH(C925,'0.3.0 GO Calculation Values'!$J$2:$J$99,0))),1)</f>
        <v>1</v>
      </c>
      <c r="T925" s="262" t="n">
        <f aca="false">ROUND(ROUND(2*((7/8)*MAX(L925,N925)+(1/8)*MIN(L925,N925)),0)*(1+(P925-75)/500),0)</f>
        <v>145</v>
      </c>
      <c r="U925" s="262" t="n">
        <f aca="false">ROUND(ROUND(2*((5/8)*MAX(M925,O925)+(3/8)*MIN(M925,O925)),0)*(1+(P925-75)/500),0)</f>
        <v>162</v>
      </c>
      <c r="V925" s="361" t="n">
        <f aca="false">ROUNDDOWN(K925*1.75+50,0)</f>
        <v>146</v>
      </c>
      <c r="W925" s="261" t="n">
        <v>0</v>
      </c>
      <c r="X925" s="261" t="s">
        <v>2237</v>
      </c>
      <c r="Y925" s="364" t="s">
        <v>2237</v>
      </c>
      <c r="Z925" s="364"/>
      <c r="AA925" s="364"/>
      <c r="AB925" s="365"/>
      <c r="AC925" s="364"/>
      <c r="AD925" s="364"/>
      <c r="AE925" s="366"/>
      <c r="AF925" s="364" t="s">
        <v>2241</v>
      </c>
      <c r="AG925" s="261" t="s">
        <v>2242</v>
      </c>
      <c r="AH925" s="366" t="s">
        <v>2241</v>
      </c>
    </row>
    <row r="926" customFormat="false" ht="15.75" hidden="false" customHeight="false" outlineLevel="0" collapsed="false">
      <c r="A926" s="262" t="n">
        <v>784</v>
      </c>
      <c r="B926" s="361" t="n">
        <v>924</v>
      </c>
      <c r="C926" s="261" t="s">
        <v>2243</v>
      </c>
      <c r="D926" s="261" t="s">
        <v>60</v>
      </c>
      <c r="E926" s="362" t="s">
        <v>2243</v>
      </c>
      <c r="F926" s="261" t="s">
        <v>290</v>
      </c>
      <c r="G926" s="261" t="s">
        <v>632</v>
      </c>
      <c r="H926" s="261" t="n">
        <v>0</v>
      </c>
      <c r="I926" s="261" t="n">
        <v>3</v>
      </c>
      <c r="J926" s="361" t="n">
        <v>1</v>
      </c>
      <c r="K926" s="262" t="n">
        <v>75</v>
      </c>
      <c r="L926" s="262" t="n">
        <v>110</v>
      </c>
      <c r="M926" s="262" t="n">
        <v>125</v>
      </c>
      <c r="N926" s="262" t="n">
        <v>100</v>
      </c>
      <c r="O926" s="262" t="n">
        <v>105</v>
      </c>
      <c r="P926" s="361" t="n">
        <v>85</v>
      </c>
      <c r="Q926" s="261" t="s">
        <v>159</v>
      </c>
      <c r="R926" s="261" t="s">
        <v>145</v>
      </c>
      <c r="S926" s="363" t="n">
        <f aca="false" t="array" ref="S926:S926">IF(COUNTIF('0.3.0 GO Calculation Values'!$J$2:$J$99,C926),(INDEX('0.3.0 GO Calculation Values'!$K$2:$K$99,MATCH(C926,'0.3.0 GO Calculation Values'!$J$2:$J$99,0))),1)</f>
        <v>1</v>
      </c>
      <c r="T926" s="262" t="n">
        <f aca="false">ROUND(ROUND(2*((7/8)*MAX(L926,N926)+(1/8)*MIN(L926,N926)),0)*(1+(P926-75)/500),0)</f>
        <v>222</v>
      </c>
      <c r="U926" s="262" t="n">
        <f aca="false">ROUND(ROUND(2*((5/8)*MAX(M926,O926)+(3/8)*MIN(M926,O926)),0)*(1+(P926-75)/500),0)</f>
        <v>240</v>
      </c>
      <c r="V926" s="361" t="n">
        <f aca="false">ROUNDDOWN(K926*1.75+50,0)</f>
        <v>181</v>
      </c>
      <c r="W926" s="261" t="n">
        <v>0</v>
      </c>
      <c r="X926" s="261" t="s">
        <v>2240</v>
      </c>
      <c r="Y926" s="364" t="s">
        <v>2237</v>
      </c>
      <c r="Z926" s="364"/>
      <c r="AA926" s="364"/>
      <c r="AB926" s="365"/>
      <c r="AC926" s="364"/>
      <c r="AD926" s="364"/>
      <c r="AE926" s="366"/>
      <c r="AF926" s="364" t="s">
        <v>2244</v>
      </c>
      <c r="AG926" s="261" t="s">
        <v>2245</v>
      </c>
      <c r="AH926" s="366" t="s">
        <v>2244</v>
      </c>
    </row>
    <row r="927" customFormat="false" ht="15.75" hidden="false" customHeight="false" outlineLevel="0" collapsed="false">
      <c r="A927" s="262" t="n">
        <v>785</v>
      </c>
      <c r="B927" s="361" t="n">
        <v>925</v>
      </c>
      <c r="C927" s="261" t="s">
        <v>2246</v>
      </c>
      <c r="D927" s="261" t="s">
        <v>60</v>
      </c>
      <c r="E927" s="362" t="s">
        <v>2246</v>
      </c>
      <c r="F927" s="261" t="s">
        <v>290</v>
      </c>
      <c r="G927" s="261" t="s">
        <v>625</v>
      </c>
      <c r="H927" s="261" t="n">
        <v>0</v>
      </c>
      <c r="I927" s="261" t="n">
        <v>1</v>
      </c>
      <c r="J927" s="361" t="n">
        <v>1</v>
      </c>
      <c r="K927" s="262" t="n">
        <v>70</v>
      </c>
      <c r="L927" s="262" t="n">
        <v>115</v>
      </c>
      <c r="M927" s="262" t="n">
        <v>85</v>
      </c>
      <c r="N927" s="262" t="n">
        <v>95</v>
      </c>
      <c r="O927" s="262" t="n">
        <v>75</v>
      </c>
      <c r="P927" s="361" t="n">
        <v>130</v>
      </c>
      <c r="Q927" s="261" t="s">
        <v>156</v>
      </c>
      <c r="R927" s="261" t="s">
        <v>161</v>
      </c>
      <c r="S927" s="363" t="n">
        <f aca="false" t="array" ref="S927:S927">IF(COUNTIF('0.3.0 GO Calculation Values'!$J$2:$J$99,C927),(INDEX('0.3.0 GO Calculation Values'!$K$2:$K$99,MATCH(C927,'0.3.0 GO Calculation Values'!$J$2:$J$99,0))),1)</f>
        <v>1</v>
      </c>
      <c r="T927" s="262" t="n">
        <f aca="false">ROUND(ROUND(2*((7/8)*MAX(L927,N927)+(1/8)*MIN(L927,N927)),0)*(1+(P927-75)/500),0)</f>
        <v>250</v>
      </c>
      <c r="U927" s="262" t="n">
        <f aca="false">ROUND(ROUND(2*((5/8)*MAX(M927,O927)+(3/8)*MIN(M927,O927)),0)*(1+(P927-75)/500),0)</f>
        <v>181</v>
      </c>
      <c r="V927" s="361" t="n">
        <f aca="false">ROUNDDOWN(K927*1.75+50,0)</f>
        <v>172</v>
      </c>
      <c r="W927" s="261" t="n">
        <v>0</v>
      </c>
      <c r="X927" s="261" t="s">
        <v>60</v>
      </c>
      <c r="Y927" s="364" t="s">
        <v>2246</v>
      </c>
      <c r="Z927" s="364" t="n">
        <v>20</v>
      </c>
      <c r="AA927" s="364"/>
      <c r="AB927" s="365"/>
      <c r="AC927" s="364"/>
      <c r="AD927" s="364"/>
      <c r="AE927" s="366"/>
      <c r="AF927" s="261" t="s">
        <v>2247</v>
      </c>
      <c r="AG927" s="261" t="s">
        <v>2248</v>
      </c>
      <c r="AH927" s="362" t="s">
        <v>2247</v>
      </c>
    </row>
    <row r="928" customFormat="false" ht="15.75" hidden="false" customHeight="false" outlineLevel="0" collapsed="false">
      <c r="A928" s="262" t="n">
        <v>786</v>
      </c>
      <c r="B928" s="361" t="n">
        <v>926</v>
      </c>
      <c r="C928" s="261" t="s">
        <v>2249</v>
      </c>
      <c r="D928" s="261" t="s">
        <v>60</v>
      </c>
      <c r="E928" s="362" t="s">
        <v>2249</v>
      </c>
      <c r="F928" s="261" t="s">
        <v>290</v>
      </c>
      <c r="G928" s="261" t="s">
        <v>625</v>
      </c>
      <c r="H928" s="261" t="n">
        <v>0</v>
      </c>
      <c r="I928" s="261" t="n">
        <v>1</v>
      </c>
      <c r="J928" s="361" t="n">
        <v>1</v>
      </c>
      <c r="K928" s="262" t="n">
        <v>70</v>
      </c>
      <c r="L928" s="262" t="n">
        <v>85</v>
      </c>
      <c r="M928" s="262" t="n">
        <v>75</v>
      </c>
      <c r="N928" s="262" t="n">
        <v>130</v>
      </c>
      <c r="O928" s="262" t="n">
        <v>115</v>
      </c>
      <c r="P928" s="361" t="n">
        <v>95</v>
      </c>
      <c r="Q928" s="261" t="s">
        <v>157</v>
      </c>
      <c r="R928" s="261" t="s">
        <v>161</v>
      </c>
      <c r="S928" s="363" t="n">
        <f aca="false" t="array" ref="S928:S928">IF(COUNTIF('0.3.0 GO Calculation Values'!$J$2:$J$99,C928),(INDEX('0.3.0 GO Calculation Values'!$K$2:$K$99,MATCH(C928,'0.3.0 GO Calculation Values'!$J$2:$J$99,0))),1)</f>
        <v>1</v>
      </c>
      <c r="T928" s="262" t="n">
        <f aca="false">ROUND(ROUND(2*((7/8)*MAX(L928,N928)+(1/8)*MIN(L928,N928)),0)*(1+(P928-75)/500),0)</f>
        <v>259</v>
      </c>
      <c r="U928" s="262" t="n">
        <f aca="false">ROUND(ROUND(2*((5/8)*MAX(M928,O928)+(3/8)*MIN(M928,O928)),0)*(1+(P928-75)/500),0)</f>
        <v>208</v>
      </c>
      <c r="V928" s="361" t="n">
        <f aca="false">ROUNDDOWN(K928*1.75+50,0)</f>
        <v>172</v>
      </c>
      <c r="W928" s="261" t="n">
        <v>0</v>
      </c>
      <c r="X928" s="261" t="s">
        <v>60</v>
      </c>
      <c r="Y928" s="364" t="s">
        <v>2249</v>
      </c>
      <c r="Z928" s="364" t="n">
        <v>20</v>
      </c>
      <c r="AA928" s="364"/>
      <c r="AB928" s="365"/>
      <c r="AC928" s="364"/>
      <c r="AD928" s="364"/>
      <c r="AE928" s="366"/>
      <c r="AF928" s="261" t="s">
        <v>2250</v>
      </c>
      <c r="AG928" s="261" t="s">
        <v>2251</v>
      </c>
      <c r="AH928" s="362" t="s">
        <v>2250</v>
      </c>
    </row>
    <row r="929" customFormat="false" ht="15.75" hidden="false" customHeight="false" outlineLevel="0" collapsed="false">
      <c r="A929" s="262" t="n">
        <v>787</v>
      </c>
      <c r="B929" s="361" t="n">
        <v>927</v>
      </c>
      <c r="C929" s="261" t="s">
        <v>2252</v>
      </c>
      <c r="D929" s="261" t="s">
        <v>60</v>
      </c>
      <c r="E929" s="362" t="s">
        <v>2252</v>
      </c>
      <c r="F929" s="261" t="s">
        <v>290</v>
      </c>
      <c r="G929" s="261" t="s">
        <v>625</v>
      </c>
      <c r="H929" s="261" t="n">
        <v>0</v>
      </c>
      <c r="I929" s="261" t="n">
        <v>1</v>
      </c>
      <c r="J929" s="361" t="n">
        <v>1</v>
      </c>
      <c r="K929" s="262" t="n">
        <v>70</v>
      </c>
      <c r="L929" s="262" t="n">
        <v>130</v>
      </c>
      <c r="M929" s="262" t="n">
        <v>115</v>
      </c>
      <c r="N929" s="262" t="n">
        <v>85</v>
      </c>
      <c r="O929" s="262" t="n">
        <v>95</v>
      </c>
      <c r="P929" s="361" t="n">
        <v>75</v>
      </c>
      <c r="Q929" s="261" t="s">
        <v>155</v>
      </c>
      <c r="R929" s="261" t="s">
        <v>161</v>
      </c>
      <c r="S929" s="363" t="n">
        <f aca="false" t="array" ref="S929:S929">IF(COUNTIF('0.3.0 GO Calculation Values'!$J$2:$J$99,C929),(INDEX('0.3.0 GO Calculation Values'!$K$2:$K$99,MATCH(C929,'0.3.0 GO Calculation Values'!$J$2:$J$99,0))),1)</f>
        <v>1</v>
      </c>
      <c r="T929" s="262" t="n">
        <f aca="false">ROUND(ROUND(2*((7/8)*MAX(L929,N929)+(1/8)*MIN(L929,N929)),0)*(1+(P929-75)/500),0)</f>
        <v>249</v>
      </c>
      <c r="U929" s="262" t="n">
        <f aca="false">ROUND(ROUND(2*((5/8)*MAX(M929,O929)+(3/8)*MIN(M929,O929)),0)*(1+(P929-75)/500),0)</f>
        <v>215</v>
      </c>
      <c r="V929" s="361" t="n">
        <f aca="false">ROUNDDOWN(K929*1.75+50,0)</f>
        <v>172</v>
      </c>
      <c r="W929" s="261" t="n">
        <v>0</v>
      </c>
      <c r="X929" s="261" t="s">
        <v>60</v>
      </c>
      <c r="Y929" s="364" t="s">
        <v>2252</v>
      </c>
      <c r="Z929" s="364" t="n">
        <v>20</v>
      </c>
      <c r="AA929" s="364"/>
      <c r="AB929" s="365"/>
      <c r="AC929" s="364"/>
      <c r="AD929" s="364"/>
      <c r="AE929" s="366"/>
      <c r="AF929" s="261" t="s">
        <v>2253</v>
      </c>
      <c r="AG929" s="261" t="s">
        <v>2254</v>
      </c>
      <c r="AH929" s="362" t="s">
        <v>2253</v>
      </c>
    </row>
    <row r="930" customFormat="false" ht="15.75" hidden="false" customHeight="false" outlineLevel="0" collapsed="false">
      <c r="A930" s="262" t="n">
        <v>788</v>
      </c>
      <c r="B930" s="361" t="n">
        <v>928</v>
      </c>
      <c r="C930" s="261" t="s">
        <v>2255</v>
      </c>
      <c r="D930" s="261" t="s">
        <v>60</v>
      </c>
      <c r="E930" s="362" t="s">
        <v>2255</v>
      </c>
      <c r="F930" s="261" t="s">
        <v>290</v>
      </c>
      <c r="G930" s="261" t="s">
        <v>625</v>
      </c>
      <c r="H930" s="261" t="n">
        <v>0</v>
      </c>
      <c r="I930" s="261" t="n">
        <v>1</v>
      </c>
      <c r="J930" s="361" t="n">
        <v>1</v>
      </c>
      <c r="K930" s="262" t="n">
        <v>70</v>
      </c>
      <c r="L930" s="262" t="n">
        <v>75</v>
      </c>
      <c r="M930" s="262" t="n">
        <v>115</v>
      </c>
      <c r="N930" s="262" t="n">
        <v>95</v>
      </c>
      <c r="O930" s="262" t="n">
        <v>130</v>
      </c>
      <c r="P930" s="361" t="n">
        <v>85</v>
      </c>
      <c r="Q930" s="261" t="s">
        <v>154</v>
      </c>
      <c r="R930" s="261" t="s">
        <v>161</v>
      </c>
      <c r="S930" s="363" t="n">
        <f aca="false" t="array" ref="S930:S930">IF(COUNTIF('0.3.0 GO Calculation Values'!$J$2:$J$99,C930),(INDEX('0.3.0 GO Calculation Values'!$K$2:$K$99,MATCH(C930,'0.3.0 GO Calculation Values'!$J$2:$J$99,0))),1)</f>
        <v>1</v>
      </c>
      <c r="T930" s="262" t="n">
        <f aca="false">ROUND(ROUND(2*((7/8)*MAX(L930,N930)+(1/8)*MIN(L930,N930)),0)*(1+(P930-75)/500),0)</f>
        <v>189</v>
      </c>
      <c r="U930" s="262" t="n">
        <f aca="false">ROUND(ROUND(2*((5/8)*MAX(M930,O930)+(3/8)*MIN(M930,O930)),0)*(1+(P930-75)/500),0)</f>
        <v>254</v>
      </c>
      <c r="V930" s="361" t="n">
        <f aca="false">ROUNDDOWN(K930*1.75+50,0)</f>
        <v>172</v>
      </c>
      <c r="W930" s="261" t="n">
        <v>0</v>
      </c>
      <c r="X930" s="261" t="s">
        <v>60</v>
      </c>
      <c r="Y930" s="364" t="s">
        <v>2255</v>
      </c>
      <c r="Z930" s="364" t="n">
        <v>20</v>
      </c>
      <c r="AA930" s="364"/>
      <c r="AB930" s="365"/>
      <c r="AC930" s="364"/>
      <c r="AD930" s="364"/>
      <c r="AE930" s="366"/>
      <c r="AF930" s="261" t="s">
        <v>2256</v>
      </c>
      <c r="AG930" s="261" t="s">
        <v>2257</v>
      </c>
      <c r="AH930" s="362" t="s">
        <v>2256</v>
      </c>
    </row>
    <row r="931" customFormat="false" ht="15.75" hidden="false" customHeight="false" outlineLevel="0" collapsed="false">
      <c r="A931" s="262" t="n">
        <v>789</v>
      </c>
      <c r="B931" s="361" t="n">
        <v>929</v>
      </c>
      <c r="C931" s="261" t="s">
        <v>2258</v>
      </c>
      <c r="D931" s="261" t="s">
        <v>60</v>
      </c>
      <c r="E931" s="362" t="s">
        <v>2258</v>
      </c>
      <c r="F931" s="261" t="s">
        <v>290</v>
      </c>
      <c r="G931" s="261" t="s">
        <v>639</v>
      </c>
      <c r="H931" s="261" t="n">
        <v>0</v>
      </c>
      <c r="I931" s="261" t="n">
        <v>1</v>
      </c>
      <c r="J931" s="361" t="n">
        <v>0</v>
      </c>
      <c r="K931" s="262" t="n">
        <v>43</v>
      </c>
      <c r="L931" s="262" t="n">
        <v>29</v>
      </c>
      <c r="M931" s="262" t="n">
        <v>31</v>
      </c>
      <c r="N931" s="262" t="n">
        <v>29</v>
      </c>
      <c r="O931" s="262" t="n">
        <v>31</v>
      </c>
      <c r="P931" s="361" t="n">
        <v>37</v>
      </c>
      <c r="Q931" s="261" t="s">
        <v>157</v>
      </c>
      <c r="R931" s="261"/>
      <c r="S931" s="363" t="n">
        <f aca="false" t="array" ref="S931:S931">IF(COUNTIF('0.3.0 GO Calculation Values'!$J$2:$J$99,C931),(INDEX('0.3.0 GO Calculation Values'!$K$2:$K$99,MATCH(C931,'0.3.0 GO Calculation Values'!$J$2:$J$99,0))),1)</f>
        <v>1</v>
      </c>
      <c r="T931" s="262" t="n">
        <f aca="false">ROUND(ROUND(2*((7/8)*MAX(L931,N931)+(1/8)*MIN(L931,N931)),0)*(1+(P931-75)/500),0)</f>
        <v>54</v>
      </c>
      <c r="U931" s="262" t="n">
        <f aca="false">ROUND(ROUND(2*((5/8)*MAX(M931,O931)+(3/8)*MIN(M931,O931)),0)*(1+(P931-75)/500),0)</f>
        <v>57</v>
      </c>
      <c r="V931" s="361" t="n">
        <f aca="false">ROUNDDOWN(K931*1.75+50,0)</f>
        <v>125</v>
      </c>
      <c r="W931" s="261" t="n">
        <v>0</v>
      </c>
      <c r="X931" s="261" t="s">
        <v>60</v>
      </c>
      <c r="Y931" s="364" t="s">
        <v>2258</v>
      </c>
      <c r="Z931" s="364" t="n">
        <v>20</v>
      </c>
      <c r="AA931" s="364"/>
      <c r="AB931" s="365"/>
      <c r="AC931" s="364"/>
      <c r="AD931" s="364"/>
      <c r="AE931" s="366"/>
      <c r="AF931" s="364" t="s">
        <v>2259</v>
      </c>
      <c r="AG931" s="364" t="s">
        <v>2259</v>
      </c>
      <c r="AH931" s="366" t="s">
        <v>2259</v>
      </c>
    </row>
    <row r="932" customFormat="false" ht="15.75" hidden="false" customHeight="false" outlineLevel="0" collapsed="false">
      <c r="A932" s="262" t="n">
        <v>790</v>
      </c>
      <c r="B932" s="361" t="n">
        <v>930</v>
      </c>
      <c r="C932" s="261" t="s">
        <v>2260</v>
      </c>
      <c r="D932" s="261" t="s">
        <v>60</v>
      </c>
      <c r="E932" s="362" t="s">
        <v>2260</v>
      </c>
      <c r="F932" s="261" t="s">
        <v>290</v>
      </c>
      <c r="G932" s="261" t="s">
        <v>639</v>
      </c>
      <c r="H932" s="261" t="n">
        <v>0</v>
      </c>
      <c r="I932" s="261" t="n">
        <v>2</v>
      </c>
      <c r="J932" s="361" t="n">
        <v>0</v>
      </c>
      <c r="K932" s="262" t="n">
        <v>43</v>
      </c>
      <c r="L932" s="262" t="n">
        <v>29</v>
      </c>
      <c r="M932" s="262" t="n">
        <v>131</v>
      </c>
      <c r="N932" s="262" t="n">
        <v>29</v>
      </c>
      <c r="O932" s="262" t="n">
        <v>131</v>
      </c>
      <c r="P932" s="361" t="n">
        <v>37</v>
      </c>
      <c r="Q932" s="261" t="s">
        <v>157</v>
      </c>
      <c r="R932" s="261"/>
      <c r="S932" s="363" t="n">
        <f aca="false" t="array" ref="S932:S932">IF(COUNTIF('0.3.0 GO Calculation Values'!$J$2:$J$99,C932),(INDEX('0.3.0 GO Calculation Values'!$K$2:$K$99,MATCH(C932,'0.3.0 GO Calculation Values'!$J$2:$J$99,0))),1)</f>
        <v>1</v>
      </c>
      <c r="T932" s="262" t="n">
        <f aca="false">ROUND(ROUND(2*((7/8)*MAX(L932,N932)+(1/8)*MIN(L932,N932)),0)*(1+(P932-75)/500),0)</f>
        <v>54</v>
      </c>
      <c r="U932" s="262" t="n">
        <f aca="false">ROUND(ROUND(2*((5/8)*MAX(M932,O932)+(3/8)*MIN(M932,O932)),0)*(1+(P932-75)/500),0)</f>
        <v>242</v>
      </c>
      <c r="V932" s="361" t="n">
        <f aca="false">ROUNDDOWN(K932*1.75+50,0)</f>
        <v>125</v>
      </c>
      <c r="W932" s="261" t="n">
        <v>0</v>
      </c>
      <c r="X932" s="261" t="s">
        <v>2258</v>
      </c>
      <c r="Y932" s="364" t="s">
        <v>2258</v>
      </c>
      <c r="Z932" s="364" t="n">
        <v>20</v>
      </c>
      <c r="AA932" s="364"/>
      <c r="AB932" s="365"/>
      <c r="AC932" s="364"/>
      <c r="AD932" s="364"/>
      <c r="AE932" s="366"/>
      <c r="AF932" s="364" t="s">
        <v>2261</v>
      </c>
      <c r="AG932" s="364" t="s">
        <v>2261</v>
      </c>
      <c r="AH932" s="366" t="s">
        <v>2261</v>
      </c>
    </row>
    <row r="933" customFormat="false" ht="15.75" hidden="false" customHeight="false" outlineLevel="0" collapsed="false">
      <c r="A933" s="262" t="n">
        <v>791</v>
      </c>
      <c r="B933" s="361" t="n">
        <v>931</v>
      </c>
      <c r="C933" s="261" t="s">
        <v>2262</v>
      </c>
      <c r="D933" s="261" t="s">
        <v>60</v>
      </c>
      <c r="E933" s="362" t="s">
        <v>2262</v>
      </c>
      <c r="F933" s="261" t="s">
        <v>290</v>
      </c>
      <c r="G933" s="261" t="s">
        <v>639</v>
      </c>
      <c r="H933" s="261" t="n">
        <v>0</v>
      </c>
      <c r="I933" s="261" t="n">
        <v>3</v>
      </c>
      <c r="J933" s="361" t="n">
        <v>1</v>
      </c>
      <c r="K933" s="262" t="n">
        <v>137</v>
      </c>
      <c r="L933" s="262" t="n">
        <v>137</v>
      </c>
      <c r="M933" s="262" t="n">
        <v>107</v>
      </c>
      <c r="N933" s="262" t="n">
        <v>113</v>
      </c>
      <c r="O933" s="262" t="n">
        <v>89</v>
      </c>
      <c r="P933" s="361" t="n">
        <v>97</v>
      </c>
      <c r="Q933" s="261" t="s">
        <v>157</v>
      </c>
      <c r="R933" s="261" t="s">
        <v>152</v>
      </c>
      <c r="S933" s="368" t="n">
        <f aca="false" t="array" ref="S933:S933">IF(COUNTIF('0.3.0 GO Calculation Values'!$J$2:$J$99,C933),(INDEX('0.3.0 GO Calculation Values'!$K$2:$K$99,MATCH(C933,'0.3.0 GO Calculation Values'!$J$2:$J$99,0))),1)</f>
        <v>0.909090909090909</v>
      </c>
      <c r="T933" s="262" t="n">
        <f aca="false">ROUND(ROUND(2*((7/8)*MAX(L933,N933)+(1/8)*MIN(L933,N933)),0)*(1+(P933-75)/500),0)</f>
        <v>280</v>
      </c>
      <c r="U933" s="262" t="n">
        <f aca="false">ROUND(ROUND(2*((5/8)*MAX(M933,O933)+(3/8)*MIN(M933,O933)),0)*(1+(P933-75)/500),0)</f>
        <v>210</v>
      </c>
      <c r="V933" s="361" t="n">
        <f aca="false">ROUNDDOWN(K933*1.75+50,0)</f>
        <v>289</v>
      </c>
      <c r="W933" s="261" t="n">
        <v>0</v>
      </c>
      <c r="X933" s="261" t="s">
        <v>2260</v>
      </c>
      <c r="Y933" s="364" t="s">
        <v>2258</v>
      </c>
      <c r="Z933" s="364" t="n">
        <v>20</v>
      </c>
      <c r="AA933" s="364"/>
      <c r="AB933" s="365"/>
      <c r="AC933" s="364"/>
      <c r="AD933" s="364"/>
      <c r="AE933" s="366"/>
      <c r="AF933" s="364" t="s">
        <v>2263</v>
      </c>
      <c r="AG933" s="364" t="s">
        <v>2263</v>
      </c>
      <c r="AH933" s="366" t="s">
        <v>2263</v>
      </c>
    </row>
    <row r="934" customFormat="false" ht="15.75" hidden="false" customHeight="false" outlineLevel="0" collapsed="false">
      <c r="A934" s="262" t="n">
        <v>792</v>
      </c>
      <c r="B934" s="361" t="n">
        <v>932</v>
      </c>
      <c r="C934" s="261" t="s">
        <v>2264</v>
      </c>
      <c r="D934" s="261" t="s">
        <v>60</v>
      </c>
      <c r="E934" s="362" t="s">
        <v>2264</v>
      </c>
      <c r="F934" s="261" t="s">
        <v>290</v>
      </c>
      <c r="G934" s="261" t="s">
        <v>639</v>
      </c>
      <c r="H934" s="261" t="n">
        <v>0</v>
      </c>
      <c r="I934" s="261" t="n">
        <v>3</v>
      </c>
      <c r="J934" s="361" t="n">
        <v>1</v>
      </c>
      <c r="K934" s="262" t="n">
        <v>137</v>
      </c>
      <c r="L934" s="262" t="n">
        <v>113</v>
      </c>
      <c r="M934" s="262" t="n">
        <v>89</v>
      </c>
      <c r="N934" s="262" t="n">
        <v>137</v>
      </c>
      <c r="O934" s="262" t="n">
        <v>107</v>
      </c>
      <c r="P934" s="361" t="n">
        <v>97</v>
      </c>
      <c r="Q934" s="261" t="s">
        <v>157</v>
      </c>
      <c r="R934" s="261" t="s">
        <v>151</v>
      </c>
      <c r="S934" s="368" t="n">
        <f aca="false" t="array" ref="S934:S934">IF(COUNTIF('0.3.0 GO Calculation Values'!$J$2:$J$99,C934),(INDEX('0.3.0 GO Calculation Values'!$K$2:$K$99,MATCH(C934,'0.3.0 GO Calculation Values'!$J$2:$J$99,0))),1)</f>
        <v>0.909090909090909</v>
      </c>
      <c r="T934" s="262" t="n">
        <f aca="false">ROUND(ROUND(2*((7/8)*MAX(L934,N934)+(1/8)*MIN(L934,N934)),0)*(1+(P934-75)/500),0)</f>
        <v>280</v>
      </c>
      <c r="U934" s="262" t="n">
        <f aca="false">ROUND(ROUND(2*((5/8)*MAX(M934,O934)+(3/8)*MIN(M934,O934)),0)*(1+(P934-75)/500),0)</f>
        <v>210</v>
      </c>
      <c r="V934" s="361" t="n">
        <f aca="false">ROUNDDOWN(K934*1.75+50,0)</f>
        <v>289</v>
      </c>
      <c r="W934" s="261" t="n">
        <v>0</v>
      </c>
      <c r="X934" s="261" t="s">
        <v>2260</v>
      </c>
      <c r="Y934" s="364" t="s">
        <v>2258</v>
      </c>
      <c r="Z934" s="364" t="n">
        <v>20</v>
      </c>
      <c r="AA934" s="364"/>
      <c r="AB934" s="365"/>
      <c r="AC934" s="364"/>
      <c r="AD934" s="364"/>
      <c r="AE934" s="366"/>
      <c r="AF934" s="364" t="s">
        <v>2265</v>
      </c>
      <c r="AG934" s="364" t="s">
        <v>2265</v>
      </c>
      <c r="AH934" s="366" t="s">
        <v>2265</v>
      </c>
    </row>
    <row r="935" customFormat="false" ht="15.75" hidden="false" customHeight="false" outlineLevel="0" collapsed="false">
      <c r="A935" s="262" t="n">
        <v>793</v>
      </c>
      <c r="B935" s="361" t="n">
        <v>933</v>
      </c>
      <c r="C935" s="261" t="s">
        <v>2266</v>
      </c>
      <c r="D935" s="261" t="s">
        <v>60</v>
      </c>
      <c r="E935" s="362" t="s">
        <v>2266</v>
      </c>
      <c r="F935" s="261" t="s">
        <v>290</v>
      </c>
      <c r="G935" s="261" t="s">
        <v>2267</v>
      </c>
      <c r="H935" s="261" t="n">
        <v>0</v>
      </c>
      <c r="I935" s="261" t="n">
        <v>1</v>
      </c>
      <c r="J935" s="361" t="n">
        <v>1</v>
      </c>
      <c r="K935" s="262" t="n">
        <v>109</v>
      </c>
      <c r="L935" s="262" t="n">
        <v>53</v>
      </c>
      <c r="M935" s="262" t="n">
        <v>47</v>
      </c>
      <c r="N935" s="262" t="n">
        <v>127</v>
      </c>
      <c r="O935" s="262" t="n">
        <v>131</v>
      </c>
      <c r="P935" s="361" t="n">
        <v>103</v>
      </c>
      <c r="Q935" s="261" t="s">
        <v>149</v>
      </c>
      <c r="R935" s="261" t="s">
        <v>147</v>
      </c>
      <c r="S935" s="368" t="n">
        <f aca="false" t="array" ref="S935:S935">IF(COUNTIF('0.3.0 GO Calculation Values'!$J$2:$J$99,C935),(INDEX('0.3.0 GO Calculation Values'!$K$2:$K$99,MATCH(C935,'0.3.0 GO Calculation Values'!$J$2:$J$99,0))),1)</f>
        <v>0.909090909090909</v>
      </c>
      <c r="T935" s="262" t="n">
        <f aca="false">ROUND(ROUND(2*((7/8)*MAX(L935,N935)+(1/8)*MIN(L935,N935)),0)*(1+(P935-75)/500),0)</f>
        <v>249</v>
      </c>
      <c r="U935" s="262" t="n">
        <f aca="false">ROUND(ROUND(2*((5/8)*MAX(M935,O935)+(3/8)*MIN(M935,O935)),0)*(1+(P935-75)/500),0)</f>
        <v>210</v>
      </c>
      <c r="V935" s="361" t="n">
        <f aca="false">ROUNDDOWN(K935*1.75+50,0)</f>
        <v>240</v>
      </c>
      <c r="W935" s="261" t="n">
        <v>0</v>
      </c>
      <c r="X935" s="261" t="s">
        <v>60</v>
      </c>
      <c r="Y935" s="364" t="s">
        <v>2266</v>
      </c>
      <c r="Z935" s="364" t="n">
        <v>20</v>
      </c>
      <c r="AA935" s="364"/>
      <c r="AB935" s="365"/>
      <c r="AC935" s="364"/>
      <c r="AD935" s="364"/>
      <c r="AE935" s="366"/>
      <c r="AF935" s="364" t="s">
        <v>2268</v>
      </c>
      <c r="AG935" s="364" t="s">
        <v>2268</v>
      </c>
      <c r="AH935" s="366" t="s">
        <v>2268</v>
      </c>
    </row>
    <row r="936" customFormat="false" ht="15.75" hidden="false" customHeight="false" outlineLevel="0" collapsed="false">
      <c r="A936" s="262" t="n">
        <v>794</v>
      </c>
      <c r="B936" s="361" t="n">
        <v>934</v>
      </c>
      <c r="C936" s="261" t="s">
        <v>2269</v>
      </c>
      <c r="D936" s="261" t="s">
        <v>60</v>
      </c>
      <c r="E936" s="362" t="s">
        <v>2269</v>
      </c>
      <c r="F936" s="261" t="s">
        <v>290</v>
      </c>
      <c r="G936" s="261" t="s">
        <v>2267</v>
      </c>
      <c r="H936" s="261" t="n">
        <v>0</v>
      </c>
      <c r="I936" s="261" t="n">
        <v>1</v>
      </c>
      <c r="J936" s="361" t="n">
        <v>1</v>
      </c>
      <c r="K936" s="262" t="n">
        <v>107</v>
      </c>
      <c r="L936" s="262" t="n">
        <v>139</v>
      </c>
      <c r="M936" s="262" t="n">
        <v>139</v>
      </c>
      <c r="N936" s="262" t="n">
        <v>53</v>
      </c>
      <c r="O936" s="262" t="n">
        <v>53</v>
      </c>
      <c r="P936" s="361" t="n">
        <v>79</v>
      </c>
      <c r="Q936" s="261" t="s">
        <v>150</v>
      </c>
      <c r="R936" s="261" t="s">
        <v>145</v>
      </c>
      <c r="S936" s="368" t="n">
        <f aca="false" t="array" ref="S936:S936">IF(COUNTIF('0.3.0 GO Calculation Values'!$J$2:$J$99,C936),(INDEX('0.3.0 GO Calculation Values'!$K$2:$K$99,MATCH(C936,'0.3.0 GO Calculation Values'!$J$2:$J$99,0))),1)</f>
        <v>0.909090909090909</v>
      </c>
      <c r="T936" s="262" t="n">
        <f aca="false">ROUND(ROUND(2*((7/8)*MAX(L936,N936)+(1/8)*MIN(L936,N936)),0)*(1+(P936-75)/500),0)</f>
        <v>259</v>
      </c>
      <c r="U936" s="262" t="n">
        <f aca="false">ROUND(ROUND(2*((5/8)*MAX(M936,O936)+(3/8)*MIN(M936,O936)),0)*(1+(P936-75)/500),0)</f>
        <v>216</v>
      </c>
      <c r="V936" s="361" t="n">
        <f aca="false">ROUNDDOWN(K936*1.75+50,0)</f>
        <v>237</v>
      </c>
      <c r="W936" s="261" t="n">
        <v>0</v>
      </c>
      <c r="X936" s="261" t="s">
        <v>60</v>
      </c>
      <c r="Y936" s="364" t="s">
        <v>2269</v>
      </c>
      <c r="Z936" s="364" t="n">
        <v>20</v>
      </c>
      <c r="AA936" s="364"/>
      <c r="AB936" s="365"/>
      <c r="AC936" s="364"/>
      <c r="AD936" s="364"/>
      <c r="AE936" s="366"/>
      <c r="AF936" s="364" t="s">
        <v>2270</v>
      </c>
      <c r="AG936" s="364" t="s">
        <v>2270</v>
      </c>
      <c r="AH936" s="366" t="s">
        <v>2270</v>
      </c>
    </row>
    <row r="937" customFormat="false" ht="15.75" hidden="false" customHeight="false" outlineLevel="0" collapsed="false">
      <c r="A937" s="262" t="n">
        <v>795</v>
      </c>
      <c r="B937" s="361" t="n">
        <v>935</v>
      </c>
      <c r="C937" s="261" t="s">
        <v>2271</v>
      </c>
      <c r="D937" s="261" t="s">
        <v>60</v>
      </c>
      <c r="E937" s="362" t="s">
        <v>2271</v>
      </c>
      <c r="F937" s="261" t="s">
        <v>290</v>
      </c>
      <c r="G937" s="261" t="s">
        <v>2267</v>
      </c>
      <c r="H937" s="261" t="n">
        <v>0</v>
      </c>
      <c r="I937" s="261" t="n">
        <v>1</v>
      </c>
      <c r="J937" s="361" t="n">
        <v>1</v>
      </c>
      <c r="K937" s="262" t="n">
        <v>71</v>
      </c>
      <c r="L937" s="262" t="n">
        <v>137</v>
      </c>
      <c r="M937" s="262" t="n">
        <v>37</v>
      </c>
      <c r="N937" s="262" t="n">
        <v>137</v>
      </c>
      <c r="O937" s="262" t="n">
        <v>37</v>
      </c>
      <c r="P937" s="361" t="n">
        <v>151</v>
      </c>
      <c r="Q937" s="261" t="s">
        <v>150</v>
      </c>
      <c r="R937" s="261" t="s">
        <v>145</v>
      </c>
      <c r="S937" s="363" t="n">
        <f aca="false" t="array" ref="S937:S937">IF(COUNTIF('0.3.0 GO Calculation Values'!$J$2:$J$99,C937),(INDEX('0.3.0 GO Calculation Values'!$K$2:$K$99,MATCH(C937,'0.3.0 GO Calculation Values'!$J$2:$J$99,0))),1)</f>
        <v>1</v>
      </c>
      <c r="T937" s="262" t="n">
        <f aca="false">ROUND(ROUND(2*((7/8)*MAX(L937,N937)+(1/8)*MIN(L937,N937)),0)*(1+(P937-75)/500),0)</f>
        <v>316</v>
      </c>
      <c r="U937" s="262" t="n">
        <f aca="false">ROUND(ROUND(2*((5/8)*MAX(M937,O937)+(3/8)*MIN(M937,O937)),0)*(1+(P937-75)/500),0)</f>
        <v>85</v>
      </c>
      <c r="V937" s="361" t="n">
        <f aca="false">ROUNDDOWN(K937*1.75+50,0)</f>
        <v>174</v>
      </c>
      <c r="W937" s="261" t="n">
        <v>0</v>
      </c>
      <c r="X937" s="261" t="s">
        <v>60</v>
      </c>
      <c r="Y937" s="364" t="s">
        <v>2271</v>
      </c>
      <c r="Z937" s="364" t="n">
        <v>20</v>
      </c>
      <c r="AA937" s="364"/>
      <c r="AB937" s="365"/>
      <c r="AC937" s="364"/>
      <c r="AD937" s="364"/>
      <c r="AE937" s="366"/>
      <c r="AF937" s="364" t="s">
        <v>2272</v>
      </c>
      <c r="AG937" s="364" t="s">
        <v>2272</v>
      </c>
      <c r="AH937" s="366" t="s">
        <v>2272</v>
      </c>
    </row>
    <row r="938" customFormat="false" ht="15.75" hidden="false" customHeight="false" outlineLevel="0" collapsed="false">
      <c r="A938" s="262" t="n">
        <v>796</v>
      </c>
      <c r="B938" s="361" t="n">
        <v>936</v>
      </c>
      <c r="C938" s="261" t="s">
        <v>2273</v>
      </c>
      <c r="D938" s="261" t="s">
        <v>60</v>
      </c>
      <c r="E938" s="362" t="s">
        <v>2273</v>
      </c>
      <c r="F938" s="261" t="s">
        <v>290</v>
      </c>
      <c r="G938" s="261" t="s">
        <v>2267</v>
      </c>
      <c r="H938" s="261" t="n">
        <v>0</v>
      </c>
      <c r="I938" s="261" t="n">
        <v>1</v>
      </c>
      <c r="J938" s="361" t="n">
        <v>1</v>
      </c>
      <c r="K938" s="262" t="n">
        <v>83</v>
      </c>
      <c r="L938" s="262" t="n">
        <v>89</v>
      </c>
      <c r="M938" s="262" t="n">
        <v>71</v>
      </c>
      <c r="N938" s="262" t="n">
        <v>173</v>
      </c>
      <c r="O938" s="262" t="n">
        <v>71</v>
      </c>
      <c r="P938" s="361" t="n">
        <v>83</v>
      </c>
      <c r="Q938" s="261" t="s">
        <v>156</v>
      </c>
      <c r="R938" s="261"/>
      <c r="S938" s="363" t="n">
        <f aca="false" t="array" ref="S938:S938">IF(COUNTIF('0.3.0 GO Calculation Values'!$J$2:$J$99,C938),(INDEX('0.3.0 GO Calculation Values'!$K$2:$K$99,MATCH(C938,'0.3.0 GO Calculation Values'!$J$2:$J$99,0))),1)</f>
        <v>1</v>
      </c>
      <c r="T938" s="262" t="n">
        <f aca="false">ROUND(ROUND(2*((7/8)*MAX(L938,N938)+(1/8)*MIN(L938,N938)),0)*(1+(P938-75)/500),0)</f>
        <v>330</v>
      </c>
      <c r="U938" s="262" t="n">
        <f aca="false">ROUND(ROUND(2*((5/8)*MAX(M938,O938)+(3/8)*MIN(M938,O938)),0)*(1+(P938-75)/500),0)</f>
        <v>144</v>
      </c>
      <c r="V938" s="361" t="n">
        <f aca="false">ROUNDDOWN(K938*1.75+50,0)</f>
        <v>195</v>
      </c>
      <c r="W938" s="261" t="n">
        <v>0</v>
      </c>
      <c r="X938" s="261" t="s">
        <v>60</v>
      </c>
      <c r="Y938" s="364" t="s">
        <v>2273</v>
      </c>
      <c r="Z938" s="364" t="n">
        <v>20</v>
      </c>
      <c r="AA938" s="364"/>
      <c r="AB938" s="365"/>
      <c r="AC938" s="364"/>
      <c r="AD938" s="364"/>
      <c r="AE938" s="366"/>
      <c r="AF938" s="364" t="s">
        <v>2274</v>
      </c>
      <c r="AG938" s="364" t="s">
        <v>2274</v>
      </c>
      <c r="AH938" s="366" t="s">
        <v>2274</v>
      </c>
    </row>
    <row r="939" customFormat="false" ht="15.75" hidden="false" customHeight="false" outlineLevel="0" collapsed="false">
      <c r="A939" s="262" t="n">
        <v>797</v>
      </c>
      <c r="B939" s="361" t="n">
        <v>937</v>
      </c>
      <c r="C939" s="261" t="s">
        <v>2275</v>
      </c>
      <c r="D939" s="261" t="s">
        <v>60</v>
      </c>
      <c r="E939" s="362" t="s">
        <v>2275</v>
      </c>
      <c r="F939" s="261" t="s">
        <v>290</v>
      </c>
      <c r="G939" s="261" t="s">
        <v>2267</v>
      </c>
      <c r="H939" s="261" t="n">
        <v>0</v>
      </c>
      <c r="I939" s="261" t="n">
        <v>1</v>
      </c>
      <c r="J939" s="361" t="n">
        <v>1</v>
      </c>
      <c r="K939" s="262" t="n">
        <v>97</v>
      </c>
      <c r="L939" s="262" t="n">
        <v>101</v>
      </c>
      <c r="M939" s="262" t="n">
        <v>103</v>
      </c>
      <c r="N939" s="262" t="n">
        <v>107</v>
      </c>
      <c r="O939" s="262" t="n">
        <v>101</v>
      </c>
      <c r="P939" s="361" t="n">
        <v>61</v>
      </c>
      <c r="Q939" s="261" t="s">
        <v>152</v>
      </c>
      <c r="R939" s="261" t="s">
        <v>146</v>
      </c>
      <c r="S939" s="363" t="n">
        <f aca="false" t="array" ref="S939:S939">IF(COUNTIF('0.3.0 GO Calculation Values'!$J$2:$J$99,C939),(INDEX('0.3.0 GO Calculation Values'!$K$2:$K$99,MATCH(C939,'0.3.0 GO Calculation Values'!$J$2:$J$99,0))),1)</f>
        <v>1</v>
      </c>
      <c r="T939" s="262" t="n">
        <f aca="false">ROUND(ROUND(2*((7/8)*MAX(L939,N939)+(1/8)*MIN(L939,N939)),0)*(1+(P939-75)/500),0)</f>
        <v>207</v>
      </c>
      <c r="U939" s="262" t="n">
        <f aca="false">ROUND(ROUND(2*((5/8)*MAX(M939,O939)+(3/8)*MIN(M939,O939)),0)*(1+(P939-75)/500),0)</f>
        <v>199</v>
      </c>
      <c r="V939" s="361" t="n">
        <f aca="false">ROUNDDOWN(K939*1.75+50,0)</f>
        <v>219</v>
      </c>
      <c r="W939" s="261" t="n">
        <v>0</v>
      </c>
      <c r="X939" s="261" t="s">
        <v>60</v>
      </c>
      <c r="Y939" s="364" t="s">
        <v>2275</v>
      </c>
      <c r="Z939" s="364" t="n">
        <v>20</v>
      </c>
      <c r="AA939" s="364"/>
      <c r="AB939" s="365"/>
      <c r="AC939" s="364"/>
      <c r="AD939" s="364"/>
      <c r="AE939" s="366"/>
      <c r="AF939" s="364" t="s">
        <v>2276</v>
      </c>
      <c r="AG939" s="364" t="s">
        <v>2276</v>
      </c>
      <c r="AH939" s="366" t="s">
        <v>2276</v>
      </c>
    </row>
    <row r="940" customFormat="false" ht="15.75" hidden="false" customHeight="false" outlineLevel="0" collapsed="false">
      <c r="A940" s="262" t="n">
        <v>798</v>
      </c>
      <c r="B940" s="361" t="n">
        <v>938</v>
      </c>
      <c r="C940" s="261" t="s">
        <v>2277</v>
      </c>
      <c r="D940" s="261" t="s">
        <v>60</v>
      </c>
      <c r="E940" s="362" t="s">
        <v>2277</v>
      </c>
      <c r="F940" s="261" t="s">
        <v>290</v>
      </c>
      <c r="G940" s="261" t="s">
        <v>2267</v>
      </c>
      <c r="H940" s="261" t="n">
        <v>0</v>
      </c>
      <c r="I940" s="261" t="n">
        <v>1</v>
      </c>
      <c r="J940" s="361" t="n">
        <v>1</v>
      </c>
      <c r="K940" s="262" t="n">
        <v>59</v>
      </c>
      <c r="L940" s="262" t="n">
        <v>181</v>
      </c>
      <c r="M940" s="262" t="n">
        <v>131</v>
      </c>
      <c r="N940" s="262" t="n">
        <v>59</v>
      </c>
      <c r="O940" s="262" t="n">
        <v>31</v>
      </c>
      <c r="P940" s="361" t="n">
        <v>109</v>
      </c>
      <c r="Q940" s="261" t="s">
        <v>155</v>
      </c>
      <c r="R940" s="261" t="s">
        <v>152</v>
      </c>
      <c r="S940" s="368" t="n">
        <f aca="false" t="array" ref="S940:S940">IF(COUNTIF('0.3.0 GO Calculation Values'!$J$2:$J$99,C940),(INDEX('0.3.0 GO Calculation Values'!$K$2:$K$99,MATCH(C940,'0.3.0 GO Calculation Values'!$J$2:$J$99,0))),1)</f>
        <v>0.909090909090909</v>
      </c>
      <c r="T940" s="262" t="n">
        <f aca="false">ROUND(ROUND(2*((7/8)*MAX(L940,N940)+(1/8)*MIN(L940,N940)),0)*(1+(P940-75)/500),0)</f>
        <v>355</v>
      </c>
      <c r="U940" s="262" t="n">
        <f aca="false">ROUND(ROUND(2*((5/8)*MAX(M940,O940)+(3/8)*MIN(M940,O940)),0)*(1+(P940-75)/500),0)</f>
        <v>200</v>
      </c>
      <c r="V940" s="361" t="n">
        <f aca="false">ROUNDDOWN(K940*1.75+50,0)</f>
        <v>153</v>
      </c>
      <c r="W940" s="261" t="n">
        <v>0</v>
      </c>
      <c r="X940" s="261" t="s">
        <v>60</v>
      </c>
      <c r="Y940" s="364" t="s">
        <v>2277</v>
      </c>
      <c r="Z940" s="364" t="n">
        <v>20</v>
      </c>
      <c r="AA940" s="364"/>
      <c r="AB940" s="365"/>
      <c r="AC940" s="364"/>
      <c r="AD940" s="364"/>
      <c r="AE940" s="366"/>
      <c r="AF940" s="364" t="s">
        <v>2278</v>
      </c>
      <c r="AG940" s="364" t="s">
        <v>2278</v>
      </c>
      <c r="AH940" s="366" t="s">
        <v>2278</v>
      </c>
    </row>
    <row r="941" customFormat="false" ht="15.75" hidden="false" customHeight="false" outlineLevel="0" collapsed="false">
      <c r="A941" s="262" t="n">
        <v>799</v>
      </c>
      <c r="B941" s="361" t="n">
        <v>939</v>
      </c>
      <c r="C941" s="261" t="s">
        <v>2279</v>
      </c>
      <c r="D941" s="261" t="s">
        <v>60</v>
      </c>
      <c r="E941" s="362" t="s">
        <v>2279</v>
      </c>
      <c r="F941" s="261" t="s">
        <v>290</v>
      </c>
      <c r="G941" s="261" t="s">
        <v>2267</v>
      </c>
      <c r="H941" s="261" t="n">
        <v>0</v>
      </c>
      <c r="I941" s="261" t="n">
        <v>1</v>
      </c>
      <c r="J941" s="361" t="n">
        <v>1</v>
      </c>
      <c r="K941" s="262" t="n">
        <v>223</v>
      </c>
      <c r="L941" s="262" t="n">
        <v>101</v>
      </c>
      <c r="M941" s="262" t="n">
        <v>53</v>
      </c>
      <c r="N941" s="262" t="n">
        <v>97</v>
      </c>
      <c r="O941" s="262" t="n">
        <v>53</v>
      </c>
      <c r="P941" s="361" t="n">
        <v>43</v>
      </c>
      <c r="Q941" s="261" t="s">
        <v>160</v>
      </c>
      <c r="R941" s="261" t="s">
        <v>159</v>
      </c>
      <c r="S941" s="363" t="n">
        <f aca="false" t="array" ref="S941:S941">IF(COUNTIF('0.3.0 GO Calculation Values'!$J$2:$J$99,C941),(INDEX('0.3.0 GO Calculation Values'!$K$2:$K$99,MATCH(C941,'0.3.0 GO Calculation Values'!$J$2:$J$99,0))),1)</f>
        <v>1</v>
      </c>
      <c r="T941" s="262" t="n">
        <f aca="false">ROUND(ROUND(2*((7/8)*MAX(L941,N941)+(1/8)*MIN(L941,N941)),0)*(1+(P941-75)/500),0)</f>
        <v>188</v>
      </c>
      <c r="U941" s="262" t="n">
        <f aca="false">ROUND(ROUND(2*((5/8)*MAX(M941,O941)+(3/8)*MIN(M941,O941)),0)*(1+(P941-75)/500),0)</f>
        <v>99</v>
      </c>
      <c r="V941" s="361" t="n">
        <f aca="false">ROUNDDOWN(K941*1.75+50,0)</f>
        <v>440</v>
      </c>
      <c r="W941" s="261" t="n">
        <v>0</v>
      </c>
      <c r="X941" s="261" t="s">
        <v>60</v>
      </c>
      <c r="Y941" s="364" t="s">
        <v>2279</v>
      </c>
      <c r="Z941" s="364" t="n">
        <v>20</v>
      </c>
      <c r="AA941" s="364"/>
      <c r="AB941" s="365"/>
      <c r="AC941" s="364"/>
      <c r="AD941" s="364"/>
      <c r="AE941" s="366"/>
      <c r="AF941" s="364" t="s">
        <v>2280</v>
      </c>
      <c r="AG941" s="364" t="s">
        <v>2280</v>
      </c>
      <c r="AH941" s="366" t="s">
        <v>2280</v>
      </c>
    </row>
    <row r="942" customFormat="false" ht="15.75" hidden="false" customHeight="false" outlineLevel="0" collapsed="false">
      <c r="A942" s="262" t="n">
        <v>800</v>
      </c>
      <c r="B942" s="361" t="n">
        <v>940</v>
      </c>
      <c r="C942" s="261" t="s">
        <v>2281</v>
      </c>
      <c r="D942" s="261" t="s">
        <v>7</v>
      </c>
      <c r="E942" s="367" t="s">
        <v>2281</v>
      </c>
      <c r="F942" s="261" t="s">
        <v>290</v>
      </c>
      <c r="G942" s="261" t="s">
        <v>1198</v>
      </c>
      <c r="H942" s="261" t="n">
        <v>0</v>
      </c>
      <c r="I942" s="261" t="n">
        <v>1</v>
      </c>
      <c r="J942" s="361" t="n">
        <v>1</v>
      </c>
      <c r="K942" s="262" t="n">
        <v>97</v>
      </c>
      <c r="L942" s="262" t="n">
        <v>107</v>
      </c>
      <c r="M942" s="262" t="n">
        <v>101</v>
      </c>
      <c r="N942" s="262" t="n">
        <v>127</v>
      </c>
      <c r="O942" s="262" t="n">
        <v>89</v>
      </c>
      <c r="P942" s="361" t="n">
        <v>79</v>
      </c>
      <c r="Q942" s="261" t="s">
        <v>157</v>
      </c>
      <c r="R942" s="261"/>
      <c r="S942" s="368" t="n">
        <f aca="false" t="array" ref="S942:S942">IF(COUNTIF('0.3.0 GO Calculation Values'!$J$2:$J$99,C942),(INDEX('0.3.0 GO Calculation Values'!$K$2:$K$99,MATCH(C942,'0.3.0 GO Calculation Values'!$J$2:$J$99,0))),1)</f>
        <v>0.909090909090909</v>
      </c>
      <c r="T942" s="262" t="n">
        <f aca="false">ROUND(ROUND(2*((7/8)*MAX(L942,N942)+(1/8)*MIN(L942,N942)),0)*(1+(P942-75)/500),0)</f>
        <v>251</v>
      </c>
      <c r="U942" s="262" t="n">
        <f aca="false">ROUND(ROUND(2*((5/8)*MAX(M942,O942)+(3/8)*MIN(M942,O942)),0)*(1+(P942-75)/500),0)</f>
        <v>195</v>
      </c>
      <c r="V942" s="361" t="n">
        <f aca="false">ROUNDDOWN(K942*1.75+50,0)</f>
        <v>219</v>
      </c>
      <c r="W942" s="261" t="n">
        <v>0</v>
      </c>
      <c r="X942" s="261" t="s">
        <v>60</v>
      </c>
      <c r="Y942" s="364" t="s">
        <v>2281</v>
      </c>
      <c r="Z942" s="364" t="n">
        <v>20</v>
      </c>
      <c r="AA942" s="364"/>
      <c r="AB942" s="365"/>
      <c r="AC942" s="364"/>
      <c r="AD942" s="364"/>
      <c r="AE942" s="366"/>
      <c r="AF942" s="364" t="s">
        <v>2282</v>
      </c>
      <c r="AG942" s="364" t="s">
        <v>2282</v>
      </c>
      <c r="AH942" s="366" t="s">
        <v>2282</v>
      </c>
    </row>
    <row r="943" customFormat="false" ht="15.75" hidden="false" customHeight="false" outlineLevel="0" collapsed="false">
      <c r="A943" s="262" t="n">
        <v>800</v>
      </c>
      <c r="B943" s="361" t="n">
        <v>941</v>
      </c>
      <c r="C943" s="261" t="s">
        <v>2281</v>
      </c>
      <c r="D943" s="261" t="s">
        <v>2283</v>
      </c>
      <c r="E943" s="358" t="s">
        <v>2284</v>
      </c>
      <c r="F943" s="261" t="s">
        <v>290</v>
      </c>
      <c r="G943" s="261" t="s">
        <v>1198</v>
      </c>
      <c r="H943" s="261" t="n">
        <v>1</v>
      </c>
      <c r="I943" s="261" t="n">
        <v>1</v>
      </c>
      <c r="J943" s="361" t="n">
        <v>1</v>
      </c>
      <c r="K943" s="262" t="n">
        <v>97</v>
      </c>
      <c r="L943" s="262" t="n">
        <v>157</v>
      </c>
      <c r="M943" s="262" t="n">
        <v>127</v>
      </c>
      <c r="N943" s="262" t="n">
        <v>113</v>
      </c>
      <c r="O943" s="262" t="n">
        <v>109</v>
      </c>
      <c r="P943" s="361" t="n">
        <v>77</v>
      </c>
      <c r="Q943" s="261" t="s">
        <v>157</v>
      </c>
      <c r="R943" s="261" t="s">
        <v>152</v>
      </c>
      <c r="S943" s="368" t="n">
        <f aca="false" t="array" ref="S943:S943">IF(COUNTIF('0.3.0 GO Calculation Values'!$J$2:$J$99,C943),(INDEX('0.3.0 GO Calculation Values'!$K$2:$K$99,MATCH(C943,'0.3.0 GO Calculation Values'!$J$2:$J$99,0))),1)</f>
        <v>0.909090909090909</v>
      </c>
      <c r="T943" s="262" t="n">
        <f aca="false">ROUND(ROUND(2*((7/8)*MAX(L943,N943)+(1/8)*MIN(L943,N943)),0)*(1+(P943-75)/500),0)</f>
        <v>304</v>
      </c>
      <c r="U943" s="262" t="n">
        <f aca="false">ROUND(ROUND(2*((5/8)*MAX(M943,O943)+(3/8)*MIN(M943,O943)),0)*(1+(P943-75)/500),0)</f>
        <v>242</v>
      </c>
      <c r="V943" s="361" t="n">
        <f aca="false">ROUNDDOWN(K943*1.75+50,0)</f>
        <v>219</v>
      </c>
      <c r="W943" s="261" t="n">
        <v>0</v>
      </c>
      <c r="X943" s="261" t="s">
        <v>60</v>
      </c>
      <c r="Y943" s="364" t="s">
        <v>2281</v>
      </c>
      <c r="Z943" s="364" t="n">
        <v>20</v>
      </c>
      <c r="AA943" s="364"/>
      <c r="AB943" s="365"/>
      <c r="AC943" s="364"/>
      <c r="AD943" s="364"/>
      <c r="AE943" s="366"/>
      <c r="AF943" s="261" t="s">
        <v>2285</v>
      </c>
      <c r="AG943" s="261" t="s">
        <v>2286</v>
      </c>
      <c r="AH943" s="362" t="s">
        <v>2285</v>
      </c>
    </row>
    <row r="944" customFormat="false" ht="15.75" hidden="false" customHeight="false" outlineLevel="0" collapsed="false">
      <c r="A944" s="262" t="n">
        <v>800</v>
      </c>
      <c r="B944" s="361" t="n">
        <v>942</v>
      </c>
      <c r="C944" s="261" t="s">
        <v>2281</v>
      </c>
      <c r="D944" s="261" t="s">
        <v>2287</v>
      </c>
      <c r="E944" s="358" t="s">
        <v>2288</v>
      </c>
      <c r="F944" s="261" t="s">
        <v>290</v>
      </c>
      <c r="G944" s="261" t="s">
        <v>1198</v>
      </c>
      <c r="H944" s="261" t="n">
        <v>1</v>
      </c>
      <c r="I944" s="261" t="n">
        <v>1</v>
      </c>
      <c r="J944" s="361" t="n">
        <v>1</v>
      </c>
      <c r="K944" s="262" t="n">
        <v>97</v>
      </c>
      <c r="L944" s="262" t="n">
        <v>113</v>
      </c>
      <c r="M944" s="262" t="n">
        <v>109</v>
      </c>
      <c r="N944" s="262" t="n">
        <v>157</v>
      </c>
      <c r="O944" s="262" t="n">
        <v>127</v>
      </c>
      <c r="P944" s="361" t="n">
        <v>77</v>
      </c>
      <c r="Q944" s="261" t="s">
        <v>157</v>
      </c>
      <c r="R944" s="261" t="s">
        <v>151</v>
      </c>
      <c r="S944" s="368" t="n">
        <f aca="false" t="array" ref="S944:S944">IF(COUNTIF('0.3.0 GO Calculation Values'!$J$2:$J$99,C944),(INDEX('0.3.0 GO Calculation Values'!$K$2:$K$99,MATCH(C944,'0.3.0 GO Calculation Values'!$J$2:$J$99,0))),1)</f>
        <v>0.909090909090909</v>
      </c>
      <c r="T944" s="262" t="n">
        <f aca="false">ROUND(ROUND(2*((7/8)*MAX(L944,N944)+(1/8)*MIN(L944,N944)),0)*(1+(P944-75)/500),0)</f>
        <v>304</v>
      </c>
      <c r="U944" s="262" t="n">
        <f aca="false">ROUND(ROUND(2*((5/8)*MAX(M944,O944)+(3/8)*MIN(M944,O944)),0)*(1+(P944-75)/500),0)</f>
        <v>242</v>
      </c>
      <c r="V944" s="361" t="n">
        <f aca="false">ROUNDDOWN(K944*1.75+50,0)</f>
        <v>219</v>
      </c>
      <c r="W944" s="261" t="n">
        <v>0</v>
      </c>
      <c r="X944" s="261" t="s">
        <v>60</v>
      </c>
      <c r="Y944" s="364" t="s">
        <v>2281</v>
      </c>
      <c r="Z944" s="364" t="n">
        <v>20</v>
      </c>
      <c r="AA944" s="364"/>
      <c r="AB944" s="365"/>
      <c r="AC944" s="364"/>
      <c r="AD944" s="364"/>
      <c r="AE944" s="366"/>
      <c r="AF944" s="261" t="s">
        <v>2289</v>
      </c>
      <c r="AG944" s="261" t="s">
        <v>2290</v>
      </c>
      <c r="AH944" s="362" t="s">
        <v>2289</v>
      </c>
    </row>
    <row r="945" customFormat="false" ht="15.75" hidden="false" customHeight="false" outlineLevel="0" collapsed="false">
      <c r="A945" s="262" t="n">
        <v>800</v>
      </c>
      <c r="B945" s="361" t="n">
        <v>943</v>
      </c>
      <c r="C945" s="261" t="s">
        <v>2281</v>
      </c>
      <c r="D945" s="261" t="s">
        <v>2291</v>
      </c>
      <c r="E945" s="358" t="s">
        <v>2292</v>
      </c>
      <c r="F945" s="261" t="s">
        <v>290</v>
      </c>
      <c r="G945" s="261" t="s">
        <v>1198</v>
      </c>
      <c r="H945" s="261" t="n">
        <v>2</v>
      </c>
      <c r="I945" s="261" t="n">
        <v>1</v>
      </c>
      <c r="J945" s="361" t="n">
        <v>1</v>
      </c>
      <c r="K945" s="262" t="n">
        <v>97</v>
      </c>
      <c r="L945" s="262" t="n">
        <v>167</v>
      </c>
      <c r="M945" s="262" t="n">
        <v>97</v>
      </c>
      <c r="N945" s="262" t="n">
        <v>167</v>
      </c>
      <c r="O945" s="262" t="n">
        <v>97</v>
      </c>
      <c r="P945" s="361" t="n">
        <v>129</v>
      </c>
      <c r="Q945" s="261" t="s">
        <v>157</v>
      </c>
      <c r="R945" s="261" t="s">
        <v>159</v>
      </c>
      <c r="S945" s="368" t="n">
        <f aca="false" t="array" ref="S945:S945">IF(COUNTIF('0.3.0 GO Calculation Values'!$J$2:$J$99,C945),(INDEX('0.3.0 GO Calculation Values'!$K$2:$K$99,MATCH(C945,'0.3.0 GO Calculation Values'!$J$2:$J$99,0))),1)</f>
        <v>0.909090909090909</v>
      </c>
      <c r="T945" s="262" t="n">
        <f aca="false">ROUND(ROUND(2*((7/8)*MAX(L945,N945)+(1/8)*MIN(L945,N945)),0)*(1+(P945-75)/500),0)</f>
        <v>370</v>
      </c>
      <c r="U945" s="262" t="n">
        <f aca="false">ROUND(ROUND(2*((5/8)*MAX(M945,O945)+(3/8)*MIN(M945,O945)),0)*(1+(P945-75)/500),0)</f>
        <v>215</v>
      </c>
      <c r="V945" s="361" t="n">
        <f aca="false">ROUNDDOWN(K945*1.75+50,0)</f>
        <v>219</v>
      </c>
      <c r="W945" s="261" t="n">
        <v>0</v>
      </c>
      <c r="X945" s="261" t="s">
        <v>60</v>
      </c>
      <c r="Y945" s="364" t="s">
        <v>2281</v>
      </c>
      <c r="Z945" s="364" t="n">
        <v>20</v>
      </c>
      <c r="AA945" s="364"/>
      <c r="AB945" s="365"/>
      <c r="AC945" s="364"/>
      <c r="AD945" s="364"/>
      <c r="AE945" s="366"/>
      <c r="AF945" s="261" t="s">
        <v>2293</v>
      </c>
      <c r="AG945" s="261" t="s">
        <v>2293</v>
      </c>
      <c r="AH945" s="362" t="s">
        <v>2293</v>
      </c>
    </row>
    <row r="946" customFormat="false" ht="15.75" hidden="false" customHeight="false" outlineLevel="0" collapsed="false">
      <c r="A946" s="262" t="n">
        <v>801</v>
      </c>
      <c r="B946" s="361" t="n">
        <v>944</v>
      </c>
      <c r="C946" s="261" t="s">
        <v>2294</v>
      </c>
      <c r="D946" s="261" t="s">
        <v>60</v>
      </c>
      <c r="E946" s="362" t="s">
        <v>2294</v>
      </c>
      <c r="F946" s="261" t="s">
        <v>290</v>
      </c>
      <c r="G946" s="261" t="s">
        <v>650</v>
      </c>
      <c r="H946" s="261" t="n">
        <v>0</v>
      </c>
      <c r="I946" s="261" t="n">
        <v>1</v>
      </c>
      <c r="J946" s="361" t="n">
        <v>1</v>
      </c>
      <c r="K946" s="262" t="n">
        <v>80</v>
      </c>
      <c r="L946" s="262" t="n">
        <v>95</v>
      </c>
      <c r="M946" s="262" t="n">
        <v>115</v>
      </c>
      <c r="N946" s="262" t="n">
        <v>130</v>
      </c>
      <c r="O946" s="262" t="n">
        <v>115</v>
      </c>
      <c r="P946" s="361" t="n">
        <v>65</v>
      </c>
      <c r="Q946" s="261" t="s">
        <v>152</v>
      </c>
      <c r="R946" s="261" t="s">
        <v>161</v>
      </c>
      <c r="S946" s="363" t="n">
        <f aca="false" t="array" ref="S946:S946">IF(COUNTIF('0.3.0 GO Calculation Values'!$J$2:$J$99,C946),(INDEX('0.3.0 GO Calculation Values'!$K$2:$K$99,MATCH(C946,'0.3.0 GO Calculation Values'!$J$2:$J$99,0))),1)</f>
        <v>1</v>
      </c>
      <c r="T946" s="262" t="n">
        <f aca="false">ROUND(ROUND(2*((7/8)*MAX(L946,N946)+(1/8)*MIN(L946,N946)),0)*(1+(P946-75)/500),0)</f>
        <v>246</v>
      </c>
      <c r="U946" s="262" t="n">
        <f aca="false">ROUND(ROUND(2*((5/8)*MAX(M946,O946)+(3/8)*MIN(M946,O946)),0)*(1+(P946-75)/500),0)</f>
        <v>225</v>
      </c>
      <c r="V946" s="361" t="n">
        <f aca="false">ROUNDDOWN(K946*1.75+50,0)</f>
        <v>190</v>
      </c>
      <c r="W946" s="261" t="n">
        <v>0</v>
      </c>
      <c r="X946" s="261" t="s">
        <v>60</v>
      </c>
      <c r="Y946" s="364" t="s">
        <v>2294</v>
      </c>
      <c r="Z946" s="364" t="n">
        <v>20</v>
      </c>
      <c r="AA946" s="364"/>
      <c r="AB946" s="365"/>
      <c r="AC946" s="364"/>
      <c r="AD946" s="364"/>
      <c r="AE946" s="366"/>
      <c r="AF946" s="364" t="s">
        <v>2295</v>
      </c>
      <c r="AG946" s="364" t="s">
        <v>2295</v>
      </c>
      <c r="AH946" s="366" t="s">
        <v>2295</v>
      </c>
    </row>
    <row r="947" customFormat="false" ht="15.75" hidden="false" customHeight="false" outlineLevel="0" collapsed="false">
      <c r="A947" s="262" t="n">
        <v>802</v>
      </c>
      <c r="B947" s="361" t="n">
        <v>945</v>
      </c>
      <c r="C947" s="261" t="s">
        <v>2296</v>
      </c>
      <c r="D947" s="261" t="s">
        <v>60</v>
      </c>
      <c r="E947" s="362" t="s">
        <v>2296</v>
      </c>
      <c r="F947" s="261" t="s">
        <v>290</v>
      </c>
      <c r="G947" s="261" t="s">
        <v>650</v>
      </c>
      <c r="H947" s="261" t="n">
        <v>0</v>
      </c>
      <c r="I947" s="261" t="n">
        <v>1</v>
      </c>
      <c r="J947" s="361" t="n">
        <v>1</v>
      </c>
      <c r="K947" s="262" t="n">
        <v>90</v>
      </c>
      <c r="L947" s="262" t="n">
        <v>125</v>
      </c>
      <c r="M947" s="262" t="n">
        <v>80</v>
      </c>
      <c r="N947" s="262" t="n">
        <v>90</v>
      </c>
      <c r="O947" s="262" t="n">
        <v>90</v>
      </c>
      <c r="P947" s="361" t="n">
        <v>125</v>
      </c>
      <c r="Q947" s="261" t="s">
        <v>145</v>
      </c>
      <c r="R947" s="261" t="s">
        <v>151</v>
      </c>
      <c r="S947" s="363" t="n">
        <f aca="false" t="array" ref="S947:S947">IF(COUNTIF('0.3.0 GO Calculation Values'!$J$2:$J$99,C947),(INDEX('0.3.0 GO Calculation Values'!$K$2:$K$99,MATCH(C947,'0.3.0 GO Calculation Values'!$J$2:$J$99,0))),1)</f>
        <v>1</v>
      </c>
      <c r="T947" s="262" t="n">
        <f aca="false">ROUND(ROUND(2*((7/8)*MAX(L947,N947)+(1/8)*MIN(L947,N947)),0)*(1+(P947-75)/500),0)</f>
        <v>265</v>
      </c>
      <c r="U947" s="262" t="n">
        <f aca="false">ROUND(ROUND(2*((5/8)*MAX(M947,O947)+(3/8)*MIN(M947,O947)),0)*(1+(P947-75)/500),0)</f>
        <v>190</v>
      </c>
      <c r="V947" s="361" t="n">
        <f aca="false">ROUNDDOWN(K947*1.75+50,0)</f>
        <v>207</v>
      </c>
      <c r="W947" s="261" t="n">
        <v>0</v>
      </c>
      <c r="X947" s="261" t="s">
        <v>60</v>
      </c>
      <c r="Y947" s="364" t="s">
        <v>2296</v>
      </c>
      <c r="Z947" s="364" t="n">
        <v>20</v>
      </c>
      <c r="AA947" s="364"/>
      <c r="AB947" s="365"/>
      <c r="AC947" s="364"/>
      <c r="AD947" s="364"/>
      <c r="AE947" s="366"/>
      <c r="AF947" s="364" t="s">
        <v>2297</v>
      </c>
      <c r="AG947" s="364" t="s">
        <v>2297</v>
      </c>
      <c r="AH947" s="366" t="s">
        <v>2297</v>
      </c>
    </row>
    <row r="948" customFormat="false" ht="15.75" hidden="false" customHeight="false" outlineLevel="0" collapsed="false">
      <c r="A948" s="262" t="n">
        <v>803</v>
      </c>
      <c r="B948" s="361" t="n">
        <v>946</v>
      </c>
      <c r="C948" s="261" t="s">
        <v>2298</v>
      </c>
      <c r="D948" s="261" t="s">
        <v>60</v>
      </c>
      <c r="E948" s="362" t="s">
        <v>2298</v>
      </c>
      <c r="F948" s="261" t="s">
        <v>290</v>
      </c>
      <c r="G948" s="261" t="s">
        <v>2267</v>
      </c>
      <c r="H948" s="261" t="n">
        <v>0</v>
      </c>
      <c r="I948" s="261" t="n">
        <v>1</v>
      </c>
      <c r="J948" s="361" t="n">
        <v>0</v>
      </c>
      <c r="K948" s="262" t="n">
        <v>67</v>
      </c>
      <c r="L948" s="262" t="n">
        <v>73</v>
      </c>
      <c r="M948" s="262" t="n">
        <v>67</v>
      </c>
      <c r="N948" s="262" t="n">
        <v>73</v>
      </c>
      <c r="O948" s="262" t="n">
        <v>67</v>
      </c>
      <c r="P948" s="361" t="n">
        <v>73</v>
      </c>
      <c r="Q948" s="261" t="s">
        <v>147</v>
      </c>
      <c r="R948" s="261"/>
      <c r="S948" s="363" t="n">
        <f aca="false" t="array" ref="S948:S948">IF(COUNTIF('0.3.0 GO Calculation Values'!$J$2:$J$99,C948),(INDEX('0.3.0 GO Calculation Values'!$K$2:$K$99,MATCH(C948,'0.3.0 GO Calculation Values'!$J$2:$J$99,0))),1)</f>
        <v>1</v>
      </c>
      <c r="T948" s="262" t="n">
        <f aca="false">ROUND(ROUND(2*((7/8)*MAX(L948,N948)+(1/8)*MIN(L948,N948)),0)*(1+(P948-75)/500),0)</f>
        <v>145</v>
      </c>
      <c r="U948" s="262" t="n">
        <f aca="false">ROUND(ROUND(2*((5/8)*MAX(M948,O948)+(3/8)*MIN(M948,O948)),0)*(1+(P948-75)/500),0)</f>
        <v>133</v>
      </c>
      <c r="V948" s="361" t="n">
        <f aca="false">ROUNDDOWN(K948*1.75+50,0)</f>
        <v>167</v>
      </c>
      <c r="W948" s="261" t="n">
        <v>0</v>
      </c>
      <c r="X948" s="261" t="s">
        <v>60</v>
      </c>
      <c r="Y948" s="364" t="s">
        <v>2298</v>
      </c>
      <c r="Z948" s="364" t="n">
        <v>20</v>
      </c>
      <c r="AA948" s="364"/>
      <c r="AB948" s="365"/>
      <c r="AC948" s="364"/>
      <c r="AD948" s="364"/>
      <c r="AE948" s="366"/>
      <c r="AF948" s="364" t="s">
        <v>2299</v>
      </c>
      <c r="AG948" s="364" t="s">
        <v>2299</v>
      </c>
      <c r="AH948" s="366" t="s">
        <v>2299</v>
      </c>
    </row>
    <row r="949" customFormat="false" ht="15.75" hidden="false" customHeight="false" outlineLevel="0" collapsed="false">
      <c r="A949" s="262" t="n">
        <v>804</v>
      </c>
      <c r="B949" s="361" t="n">
        <v>947</v>
      </c>
      <c r="C949" s="261" t="s">
        <v>2300</v>
      </c>
      <c r="D949" s="261" t="s">
        <v>60</v>
      </c>
      <c r="E949" s="362" t="s">
        <v>2300</v>
      </c>
      <c r="F949" s="261" t="s">
        <v>290</v>
      </c>
      <c r="G949" s="261" t="s">
        <v>2267</v>
      </c>
      <c r="H949" s="261" t="n">
        <v>0</v>
      </c>
      <c r="I949" s="261" t="n">
        <v>2</v>
      </c>
      <c r="J949" s="361" t="n">
        <v>1</v>
      </c>
      <c r="K949" s="262" t="n">
        <v>73</v>
      </c>
      <c r="L949" s="262" t="n">
        <v>73</v>
      </c>
      <c r="M949" s="262" t="n">
        <v>73</v>
      </c>
      <c r="N949" s="262" t="n">
        <v>127</v>
      </c>
      <c r="O949" s="262" t="n">
        <v>73</v>
      </c>
      <c r="P949" s="361" t="n">
        <v>121</v>
      </c>
      <c r="Q949" s="261" t="s">
        <v>147</v>
      </c>
      <c r="R949" s="261" t="s">
        <v>159</v>
      </c>
      <c r="S949" s="363" t="n">
        <f aca="false" t="array" ref="S949:S949">IF(COUNTIF('0.3.0 GO Calculation Values'!$J$2:$J$99,C949),(INDEX('0.3.0 GO Calculation Values'!$K$2:$K$99,MATCH(C949,'0.3.0 GO Calculation Values'!$J$2:$J$99,0))),1)</f>
        <v>1</v>
      </c>
      <c r="T949" s="262" t="n">
        <f aca="false">ROUND(ROUND(2*((7/8)*MAX(L949,N949)+(1/8)*MIN(L949,N949)),0)*(1+(P949-75)/500),0)</f>
        <v>263</v>
      </c>
      <c r="U949" s="262" t="n">
        <f aca="false">ROUND(ROUND(2*((5/8)*MAX(M949,O949)+(3/8)*MIN(M949,O949)),0)*(1+(P949-75)/500),0)</f>
        <v>159</v>
      </c>
      <c r="V949" s="361" t="n">
        <f aca="false">ROUNDDOWN(K949*1.75+50,0)</f>
        <v>177</v>
      </c>
      <c r="W949" s="261" t="n">
        <v>0</v>
      </c>
      <c r="X949" s="261" t="s">
        <v>2298</v>
      </c>
      <c r="Y949" s="364" t="s">
        <v>2298</v>
      </c>
      <c r="Z949" s="364" t="n">
        <v>20</v>
      </c>
      <c r="AA949" s="364"/>
      <c r="AB949" s="365"/>
      <c r="AC949" s="364"/>
      <c r="AD949" s="364"/>
      <c r="AE949" s="366"/>
      <c r="AF949" s="364" t="s">
        <v>2301</v>
      </c>
      <c r="AG949" s="364" t="s">
        <v>2301</v>
      </c>
      <c r="AH949" s="366" t="s">
        <v>2301</v>
      </c>
    </row>
    <row r="950" customFormat="false" ht="15.75" hidden="false" customHeight="false" outlineLevel="0" collapsed="false">
      <c r="A950" s="262" t="n">
        <v>805</v>
      </c>
      <c r="B950" s="361" t="n">
        <v>948</v>
      </c>
      <c r="C950" s="261" t="s">
        <v>2302</v>
      </c>
      <c r="D950" s="261" t="s">
        <v>60</v>
      </c>
      <c r="E950" s="362" t="s">
        <v>2302</v>
      </c>
      <c r="F950" s="261" t="s">
        <v>290</v>
      </c>
      <c r="G950" s="261" t="s">
        <v>2267</v>
      </c>
      <c r="H950" s="261" t="n">
        <v>0</v>
      </c>
      <c r="I950" s="261" t="n">
        <v>1</v>
      </c>
      <c r="J950" s="361" t="n">
        <v>1</v>
      </c>
      <c r="K950" s="262" t="n">
        <v>61</v>
      </c>
      <c r="L950" s="262" t="n">
        <v>131</v>
      </c>
      <c r="M950" s="262" t="n">
        <v>211</v>
      </c>
      <c r="N950" s="262" t="n">
        <v>53</v>
      </c>
      <c r="O950" s="262" t="n">
        <v>101</v>
      </c>
      <c r="P950" s="361" t="n">
        <v>13</v>
      </c>
      <c r="Q950" s="261" t="s">
        <v>149</v>
      </c>
      <c r="R950" s="261" t="s">
        <v>152</v>
      </c>
      <c r="S950" s="363" t="n">
        <f aca="false" t="array" ref="S950:S950">IF(COUNTIF('0.3.0 GO Calculation Values'!$J$2:$J$99,C950),(INDEX('0.3.0 GO Calculation Values'!$K$2:$K$99,MATCH(C950,'0.3.0 GO Calculation Values'!$J$2:$J$99,0))),1)</f>
        <v>1</v>
      </c>
      <c r="T950" s="262" t="n">
        <f aca="false">ROUND(ROUND(2*((7/8)*MAX(L950,N950)+(1/8)*MIN(L950,N950)),0)*(1+(P950-75)/500),0)</f>
        <v>213</v>
      </c>
      <c r="U950" s="262" t="n">
        <f aca="false">ROUND(ROUND(2*((5/8)*MAX(M950,O950)+(3/8)*MIN(M950,O950)),0)*(1+(P950-75)/500),0)</f>
        <v>298</v>
      </c>
      <c r="V950" s="361" t="n">
        <f aca="false">ROUNDDOWN(K950*1.75+50,0)</f>
        <v>156</v>
      </c>
      <c r="W950" s="261" t="n">
        <v>0</v>
      </c>
      <c r="X950" s="261" t="s">
        <v>60</v>
      </c>
      <c r="Y950" s="364" t="s">
        <v>2302</v>
      </c>
      <c r="Z950" s="364" t="n">
        <v>20</v>
      </c>
      <c r="AA950" s="364"/>
      <c r="AB950" s="365"/>
      <c r="AC950" s="364"/>
      <c r="AD950" s="364"/>
      <c r="AE950" s="366"/>
      <c r="AF950" s="364" t="s">
        <v>2303</v>
      </c>
      <c r="AG950" s="364" t="s">
        <v>2303</v>
      </c>
      <c r="AH950" s="366" t="s">
        <v>2303</v>
      </c>
    </row>
    <row r="951" customFormat="false" ht="15.75" hidden="false" customHeight="false" outlineLevel="0" collapsed="false">
      <c r="A951" s="262" t="n">
        <v>806</v>
      </c>
      <c r="B951" s="361" t="n">
        <v>949</v>
      </c>
      <c r="C951" s="261" t="s">
        <v>2304</v>
      </c>
      <c r="D951" s="261" t="s">
        <v>60</v>
      </c>
      <c r="E951" s="362" t="s">
        <v>2304</v>
      </c>
      <c r="F951" s="261" t="s">
        <v>290</v>
      </c>
      <c r="G951" s="261" t="s">
        <v>2267</v>
      </c>
      <c r="H951" s="261" t="n">
        <v>0</v>
      </c>
      <c r="I951" s="261" t="n">
        <v>1</v>
      </c>
      <c r="J951" s="361" t="n">
        <v>1</v>
      </c>
      <c r="K951" s="262" t="n">
        <v>53</v>
      </c>
      <c r="L951" s="262" t="n">
        <v>127</v>
      </c>
      <c r="M951" s="262" t="n">
        <v>53</v>
      </c>
      <c r="N951" s="262" t="n">
        <v>151</v>
      </c>
      <c r="O951" s="262" t="n">
        <v>79</v>
      </c>
      <c r="P951" s="361" t="n">
        <v>107</v>
      </c>
      <c r="Q951" s="261" t="s">
        <v>153</v>
      </c>
      <c r="R951" s="261" t="s">
        <v>151</v>
      </c>
      <c r="S951" s="363" t="n">
        <f aca="false" t="array" ref="S951:S951">IF(COUNTIF('0.3.0 GO Calculation Values'!$J$2:$J$99,C951),(INDEX('0.3.0 GO Calculation Values'!$K$2:$K$99,MATCH(C951,'0.3.0 GO Calculation Values'!$J$2:$J$99,0))),1)</f>
        <v>1</v>
      </c>
      <c r="T951" s="262" t="n">
        <f aca="false">ROUND(ROUND(2*((7/8)*MAX(L951,N951)+(1/8)*MIN(L951,N951)),0)*(1+(P951-75)/500),0)</f>
        <v>315</v>
      </c>
      <c r="U951" s="262" t="n">
        <f aca="false">ROUND(ROUND(2*((5/8)*MAX(M951,O951)+(3/8)*MIN(M951,O951)),0)*(1+(P951-75)/500),0)</f>
        <v>148</v>
      </c>
      <c r="V951" s="361" t="n">
        <f aca="false">ROUNDDOWN(K951*1.75+50,0)</f>
        <v>142</v>
      </c>
      <c r="W951" s="261" t="n">
        <v>0</v>
      </c>
      <c r="X951" s="261" t="s">
        <v>60</v>
      </c>
      <c r="Y951" s="364" t="s">
        <v>2304</v>
      </c>
      <c r="Z951" s="364" t="n">
        <v>20</v>
      </c>
      <c r="AA951" s="364"/>
      <c r="AB951" s="365"/>
      <c r="AC951" s="364"/>
      <c r="AD951" s="364"/>
      <c r="AE951" s="366"/>
      <c r="AF951" s="364" t="s">
        <v>2305</v>
      </c>
      <c r="AG951" s="364" t="s">
        <v>2305</v>
      </c>
      <c r="AH951" s="366" t="s">
        <v>2305</v>
      </c>
    </row>
    <row r="952" customFormat="false" ht="15.75" hidden="false" customHeight="false" outlineLevel="0" collapsed="false">
      <c r="A952" s="262" t="n">
        <v>807</v>
      </c>
      <c r="B952" s="361" t="n">
        <v>950</v>
      </c>
      <c r="C952" s="261" t="s">
        <v>2306</v>
      </c>
      <c r="D952" s="261" t="s">
        <v>60</v>
      </c>
      <c r="E952" s="362" t="s">
        <v>2306</v>
      </c>
      <c r="F952" s="261" t="s">
        <v>290</v>
      </c>
      <c r="G952" s="261" t="s">
        <v>650</v>
      </c>
      <c r="H952" s="261" t="n">
        <v>0</v>
      </c>
      <c r="I952" s="261" t="n">
        <v>1</v>
      </c>
      <c r="J952" s="361" t="n">
        <v>1</v>
      </c>
      <c r="K952" s="262" t="n">
        <v>88</v>
      </c>
      <c r="L952" s="262" t="n">
        <v>112</v>
      </c>
      <c r="M952" s="262" t="n">
        <v>75</v>
      </c>
      <c r="N952" s="262" t="n">
        <v>102</v>
      </c>
      <c r="O952" s="262" t="n">
        <v>80</v>
      </c>
      <c r="P952" s="361" t="n">
        <v>143</v>
      </c>
      <c r="Q952" s="261" t="s">
        <v>156</v>
      </c>
      <c r="R952" s="261"/>
      <c r="S952" s="363" t="n">
        <f aca="false" t="array" ref="S952:S952">IF(COUNTIF('0.3.0 GO Calculation Values'!$J$2:$J$99,C952),(INDEX('0.3.0 GO Calculation Values'!$K$2:$K$99,MATCH(C952,'0.3.0 GO Calculation Values'!$J$2:$J$99,0))),1)</f>
        <v>1</v>
      </c>
      <c r="T952" s="262" t="n">
        <f aca="false">ROUND(ROUND(2*((7/8)*MAX(L952,N952)+(1/8)*MIN(L952,N952)),0)*(1+(P952-75)/500),0)</f>
        <v>252</v>
      </c>
      <c r="U952" s="262" t="n">
        <f aca="false">ROUND(ROUND(2*((5/8)*MAX(M952,O952)+(3/8)*MIN(M952,O952)),0)*(1+(P952-75)/500),0)</f>
        <v>177</v>
      </c>
      <c r="V952" s="361" t="n">
        <f aca="false">ROUNDDOWN(K952*1.75+50,0)</f>
        <v>204</v>
      </c>
      <c r="W952" s="261" t="n">
        <v>0</v>
      </c>
      <c r="X952" s="261" t="s">
        <v>60</v>
      </c>
      <c r="Y952" s="364" t="s">
        <v>2306</v>
      </c>
      <c r="Z952" s="364" t="n">
        <v>20</v>
      </c>
      <c r="AA952" s="364"/>
      <c r="AB952" s="365"/>
      <c r="AC952" s="364"/>
      <c r="AD952" s="364"/>
      <c r="AE952" s="366"/>
      <c r="AF952" s="364" t="s">
        <v>2307</v>
      </c>
      <c r="AG952" s="364" t="s">
        <v>2307</v>
      </c>
      <c r="AH952" s="366" t="s">
        <v>2307</v>
      </c>
    </row>
    <row r="953" customFormat="false" ht="15.75" hidden="false" customHeight="false" outlineLevel="0" collapsed="false">
      <c r="E953" s="367"/>
      <c r="AB953" s="370"/>
    </row>
    <row r="954" customFormat="false" ht="15.75" hidden="false" customHeight="false" outlineLevel="0" collapsed="false">
      <c r="E954" s="367"/>
      <c r="AB954" s="370"/>
    </row>
    <row r="955" customFormat="false" ht="15.75" hidden="false" customHeight="false" outlineLevel="0" collapsed="false">
      <c r="E955" s="367"/>
      <c r="AB955" s="370"/>
    </row>
    <row r="956" customFormat="false" ht="15.75" hidden="false" customHeight="false" outlineLevel="0" collapsed="false">
      <c r="E956" s="367"/>
      <c r="AB956" s="370"/>
    </row>
    <row r="957" customFormat="false" ht="15.75" hidden="false" customHeight="false" outlineLevel="0" collapsed="false">
      <c r="E957" s="367"/>
      <c r="AB957" s="370"/>
    </row>
    <row r="958" customFormat="false" ht="15.75" hidden="false" customHeight="false" outlineLevel="0" collapsed="false">
      <c r="E958" s="367"/>
      <c r="AB958" s="370"/>
    </row>
    <row r="959" customFormat="false" ht="15.75" hidden="false" customHeight="false" outlineLevel="0" collapsed="false">
      <c r="E959" s="367"/>
      <c r="AB959" s="370"/>
    </row>
    <row r="960" customFormat="false" ht="15.75" hidden="false" customHeight="false" outlineLevel="0" collapsed="false">
      <c r="E960" s="367"/>
      <c r="AB960" s="370"/>
    </row>
    <row r="961" customFormat="false" ht="15.75" hidden="false" customHeight="false" outlineLevel="0" collapsed="false">
      <c r="E961" s="367"/>
      <c r="AB961" s="370"/>
    </row>
    <row r="962" customFormat="false" ht="15.75" hidden="false" customHeight="false" outlineLevel="0" collapsed="false">
      <c r="E962" s="367"/>
      <c r="AB962" s="370"/>
    </row>
    <row r="963" customFormat="false" ht="15.75" hidden="false" customHeight="false" outlineLevel="0" collapsed="false">
      <c r="E963" s="367"/>
      <c r="AB963" s="370"/>
    </row>
    <row r="964" customFormat="false" ht="15.75" hidden="false" customHeight="false" outlineLevel="0" collapsed="false">
      <c r="E964" s="367"/>
      <c r="AB964" s="370"/>
    </row>
    <row r="965" customFormat="false" ht="15.75" hidden="false" customHeight="false" outlineLevel="0" collapsed="false">
      <c r="E965" s="367"/>
      <c r="AB965" s="370"/>
    </row>
    <row r="966" customFormat="false" ht="15.75" hidden="false" customHeight="false" outlineLevel="0" collapsed="false">
      <c r="E966" s="367"/>
      <c r="AB966" s="370"/>
    </row>
    <row r="967" customFormat="false" ht="15.75" hidden="false" customHeight="false" outlineLevel="0" collapsed="false">
      <c r="E967" s="367"/>
      <c r="AB967" s="370"/>
    </row>
    <row r="968" customFormat="false" ht="15.75" hidden="false" customHeight="false" outlineLevel="0" collapsed="false">
      <c r="E968" s="367"/>
      <c r="AB968" s="370"/>
    </row>
    <row r="969" customFormat="false" ht="15.75" hidden="false" customHeight="false" outlineLevel="0" collapsed="false">
      <c r="E969" s="367"/>
      <c r="AB969" s="370"/>
    </row>
    <row r="970" customFormat="false" ht="15.75" hidden="false" customHeight="false" outlineLevel="0" collapsed="false">
      <c r="E970" s="367"/>
      <c r="AB970" s="370"/>
    </row>
    <row r="971" customFormat="false" ht="15.75" hidden="false" customHeight="false" outlineLevel="0" collapsed="false">
      <c r="E971" s="367"/>
      <c r="AB971" s="370"/>
    </row>
    <row r="972" customFormat="false" ht="15.75" hidden="false" customHeight="false" outlineLevel="0" collapsed="false">
      <c r="E972" s="367"/>
      <c r="AB972" s="370"/>
    </row>
    <row r="973" customFormat="false" ht="15.75" hidden="false" customHeight="false" outlineLevel="0" collapsed="false">
      <c r="E973" s="367"/>
      <c r="AB973" s="370"/>
    </row>
    <row r="974" customFormat="false" ht="15.75" hidden="false" customHeight="false" outlineLevel="0" collapsed="false">
      <c r="E974" s="367"/>
      <c r="AB974" s="370"/>
    </row>
    <row r="975" customFormat="false" ht="15.75" hidden="false" customHeight="false" outlineLevel="0" collapsed="false">
      <c r="E975" s="367"/>
      <c r="AB975" s="370"/>
    </row>
    <row r="976" customFormat="false" ht="15.75" hidden="false" customHeight="false" outlineLevel="0" collapsed="false">
      <c r="E976" s="367"/>
      <c r="AB976" s="370"/>
    </row>
    <row r="977" customFormat="false" ht="15.75" hidden="false" customHeight="false" outlineLevel="0" collapsed="false">
      <c r="E977" s="367"/>
      <c r="AB977" s="370"/>
    </row>
    <row r="978" customFormat="false" ht="15.75" hidden="false" customHeight="false" outlineLevel="0" collapsed="false">
      <c r="E978" s="367"/>
      <c r="AB978" s="370"/>
    </row>
    <row r="979" customFormat="false" ht="15.75" hidden="false" customHeight="false" outlineLevel="0" collapsed="false">
      <c r="E979" s="367"/>
      <c r="AB979" s="370"/>
    </row>
    <row r="980" customFormat="false" ht="15.75" hidden="false" customHeight="false" outlineLevel="0" collapsed="false">
      <c r="E980" s="367"/>
      <c r="AB980" s="370"/>
    </row>
    <row r="981" customFormat="false" ht="15.75" hidden="false" customHeight="false" outlineLevel="0" collapsed="false">
      <c r="E981" s="367"/>
      <c r="AB981" s="370"/>
    </row>
    <row r="982" customFormat="false" ht="15.75" hidden="false" customHeight="false" outlineLevel="0" collapsed="false">
      <c r="E982" s="367"/>
      <c r="AB982" s="370"/>
    </row>
    <row r="983" customFormat="false" ht="15.75" hidden="false" customHeight="false" outlineLevel="0" collapsed="false">
      <c r="E983" s="367"/>
      <c r="AB983" s="370"/>
    </row>
  </sheetData>
  <autoFilter ref="A2:AM952"/>
  <mergeCells count="7">
    <mergeCell ref="A1:B1"/>
    <mergeCell ref="C1:E1"/>
    <mergeCell ref="K1:P1"/>
    <mergeCell ref="Q1:R1"/>
    <mergeCell ref="S1:V1"/>
    <mergeCell ref="W1:AE1"/>
    <mergeCell ref="AF1:AH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K4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0" topLeftCell="D1" activePane="topRight" state="frozen"/>
      <selection pane="topLeft" activeCell="A1" activeCellId="0" sqref="A1"/>
      <selection pane="topRight" activeCell="E2" activeCellId="0" sqref="E2"/>
    </sheetView>
  </sheetViews>
  <sheetFormatPr defaultRowHeight="15.75" zeroHeight="false" outlineLevelRow="0" outlineLevelCol="0"/>
  <cols>
    <col collapsed="false" customWidth="true" hidden="false" outlineLevel="0" max="167" min="1" style="0" width="8.71"/>
    <col collapsed="false" customWidth="true" hidden="false" outlineLevel="0" max="1025" min="168" style="0" width="14.43"/>
  </cols>
  <sheetData>
    <row r="1" customFormat="false" ht="15.75" hidden="false" customHeight="false" outlineLevel="0" collapsed="false">
      <c r="A1" s="261" t="s">
        <v>2308</v>
      </c>
      <c r="B1" s="261" t="s">
        <v>2309</v>
      </c>
      <c r="C1" s="261" t="s">
        <v>4</v>
      </c>
      <c r="D1" s="364"/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  <c r="AC1" s="364"/>
      <c r="AD1" s="364"/>
      <c r="AE1" s="364"/>
      <c r="AF1" s="364"/>
      <c r="AG1" s="364"/>
      <c r="AH1" s="364"/>
      <c r="AI1" s="364"/>
      <c r="AJ1" s="364"/>
      <c r="AK1" s="364"/>
      <c r="AL1" s="364"/>
      <c r="AM1" s="364"/>
      <c r="AN1" s="364"/>
      <c r="AO1" s="364"/>
      <c r="AP1" s="364"/>
      <c r="AQ1" s="364"/>
      <c r="AR1" s="364"/>
      <c r="AS1" s="364"/>
      <c r="AT1" s="364"/>
      <c r="AU1" s="364"/>
      <c r="AV1" s="364"/>
      <c r="AW1" s="364"/>
      <c r="AX1" s="364"/>
      <c r="AY1" s="364"/>
      <c r="AZ1" s="364"/>
      <c r="BA1" s="364"/>
      <c r="BB1" s="364"/>
      <c r="BC1" s="364"/>
      <c r="BD1" s="364"/>
      <c r="BE1" s="364"/>
      <c r="BF1" s="364"/>
      <c r="BG1" s="364"/>
      <c r="BH1" s="364"/>
      <c r="BI1" s="364"/>
      <c r="BJ1" s="364"/>
      <c r="BK1" s="364"/>
      <c r="BL1" s="364"/>
      <c r="BM1" s="364"/>
      <c r="BN1" s="364"/>
      <c r="BO1" s="364"/>
      <c r="BP1" s="364"/>
      <c r="BQ1" s="364"/>
      <c r="BR1" s="364"/>
      <c r="BS1" s="364"/>
      <c r="BT1" s="364"/>
      <c r="BU1" s="364"/>
      <c r="BV1" s="364"/>
      <c r="BW1" s="364"/>
      <c r="BX1" s="364"/>
      <c r="BY1" s="364"/>
      <c r="BZ1" s="364"/>
      <c r="CA1" s="364"/>
      <c r="CB1" s="364"/>
      <c r="CC1" s="364"/>
      <c r="CD1" s="364"/>
      <c r="CE1" s="364"/>
      <c r="CF1" s="364"/>
      <c r="CG1" s="364"/>
      <c r="CH1" s="364"/>
      <c r="CI1" s="364"/>
      <c r="CJ1" s="364"/>
      <c r="CK1" s="364"/>
      <c r="CL1" s="364"/>
      <c r="CM1" s="364"/>
      <c r="CN1" s="364"/>
      <c r="CO1" s="364"/>
      <c r="CP1" s="364"/>
      <c r="CQ1" s="364"/>
      <c r="CR1" s="364"/>
      <c r="CS1" s="364"/>
      <c r="CT1" s="364"/>
      <c r="CU1" s="364"/>
      <c r="CV1" s="364"/>
      <c r="CW1" s="364"/>
      <c r="CX1" s="364"/>
      <c r="CY1" s="364"/>
      <c r="CZ1" s="364"/>
      <c r="DA1" s="364"/>
      <c r="DB1" s="364"/>
      <c r="DC1" s="364"/>
      <c r="DD1" s="364"/>
      <c r="DE1" s="364"/>
      <c r="DF1" s="364"/>
      <c r="DG1" s="364"/>
      <c r="DH1" s="364"/>
      <c r="DI1" s="364"/>
      <c r="DJ1" s="364"/>
      <c r="DK1" s="364"/>
      <c r="DL1" s="364"/>
      <c r="DM1" s="364"/>
      <c r="DN1" s="364"/>
      <c r="DO1" s="364"/>
      <c r="DP1" s="364"/>
      <c r="DQ1" s="364"/>
      <c r="DR1" s="364"/>
      <c r="DS1" s="364"/>
      <c r="DT1" s="364"/>
      <c r="DU1" s="364"/>
      <c r="DV1" s="364"/>
      <c r="DW1" s="364"/>
      <c r="DX1" s="364"/>
      <c r="DY1" s="364"/>
      <c r="DZ1" s="364"/>
      <c r="EA1" s="364"/>
      <c r="EB1" s="364"/>
      <c r="EC1" s="364"/>
      <c r="ED1" s="364"/>
      <c r="EE1" s="364"/>
      <c r="EF1" s="364"/>
      <c r="EG1" s="364"/>
      <c r="EH1" s="364"/>
      <c r="EI1" s="364"/>
      <c r="EJ1" s="364"/>
      <c r="EK1" s="364"/>
      <c r="EL1" s="364"/>
      <c r="EM1" s="364"/>
      <c r="EN1" s="364"/>
      <c r="EO1" s="364"/>
      <c r="EP1" s="364"/>
      <c r="EQ1" s="364"/>
      <c r="ER1" s="364"/>
      <c r="ES1" s="364"/>
      <c r="ET1" s="364"/>
      <c r="EU1" s="364"/>
      <c r="EV1" s="364"/>
      <c r="EW1" s="364"/>
      <c r="EX1" s="364"/>
      <c r="EY1" s="364"/>
      <c r="EZ1" s="364"/>
      <c r="FA1" s="364"/>
      <c r="FB1" s="364"/>
      <c r="FC1" s="364"/>
      <c r="FD1" s="364"/>
      <c r="FE1" s="364"/>
      <c r="FF1" s="364"/>
      <c r="FG1" s="364"/>
      <c r="FH1" s="364"/>
      <c r="FI1" s="364"/>
      <c r="FJ1" s="364"/>
      <c r="FK1" s="364"/>
    </row>
    <row r="2" customFormat="false" ht="15.75" hidden="false" customHeight="false" outlineLevel="0" collapsed="false">
      <c r="A2" s="364" t="n">
        <v>3</v>
      </c>
      <c r="B2" s="364" t="n">
        <f aca="false">COUNTA(D2:FK2)</f>
        <v>43</v>
      </c>
      <c r="C2" s="364" t="s">
        <v>234</v>
      </c>
      <c r="D2" s="364" t="s">
        <v>2310</v>
      </c>
      <c r="E2" s="364" t="s">
        <v>2311</v>
      </c>
      <c r="F2" s="364" t="s">
        <v>2312</v>
      </c>
      <c r="G2" s="364" t="s">
        <v>2313</v>
      </c>
      <c r="H2" s="364" t="s">
        <v>2314</v>
      </c>
      <c r="I2" s="364" t="s">
        <v>2315</v>
      </c>
      <c r="J2" s="364" t="s">
        <v>2316</v>
      </c>
      <c r="K2" s="364" t="s">
        <v>2317</v>
      </c>
      <c r="L2" s="364" t="s">
        <v>2318</v>
      </c>
      <c r="M2" s="364" t="s">
        <v>2319</v>
      </c>
      <c r="N2" s="364" t="s">
        <v>2320</v>
      </c>
      <c r="O2" s="364" t="s">
        <v>2321</v>
      </c>
      <c r="P2" s="364" t="s">
        <v>2322</v>
      </c>
      <c r="Q2" s="364" t="s">
        <v>2323</v>
      </c>
      <c r="R2" s="364" t="s">
        <v>2324</v>
      </c>
      <c r="S2" s="364" t="s">
        <v>2325</v>
      </c>
      <c r="T2" s="364" t="s">
        <v>2326</v>
      </c>
      <c r="U2" s="364" t="s">
        <v>2327</v>
      </c>
      <c r="V2" s="364" t="s">
        <v>2328</v>
      </c>
      <c r="W2" s="364" t="s">
        <v>2329</v>
      </c>
      <c r="X2" s="364" t="s">
        <v>2330</v>
      </c>
      <c r="Y2" s="364" t="s">
        <v>2331</v>
      </c>
      <c r="Z2" s="261" t="s">
        <v>183</v>
      </c>
      <c r="AA2" s="364" t="s">
        <v>2332</v>
      </c>
      <c r="AB2" s="364" t="s">
        <v>2333</v>
      </c>
      <c r="AC2" s="364" t="s">
        <v>2334</v>
      </c>
      <c r="AD2" s="364" t="s">
        <v>2335</v>
      </c>
      <c r="AE2" s="364" t="s">
        <v>2336</v>
      </c>
      <c r="AF2" s="364" t="s">
        <v>2337</v>
      </c>
      <c r="AG2" s="364" t="s">
        <v>2338</v>
      </c>
      <c r="AH2" s="364" t="s">
        <v>2339</v>
      </c>
      <c r="AI2" s="364" t="s">
        <v>2340</v>
      </c>
      <c r="AJ2" s="364" t="s">
        <v>2341</v>
      </c>
      <c r="AK2" s="364" t="s">
        <v>2342</v>
      </c>
      <c r="AL2" s="364" t="s">
        <v>2343</v>
      </c>
      <c r="AM2" s="364" t="s">
        <v>2344</v>
      </c>
      <c r="AN2" s="364" t="s">
        <v>2345</v>
      </c>
      <c r="AO2" s="364" t="s">
        <v>2346</v>
      </c>
      <c r="AP2" s="364" t="s">
        <v>2347</v>
      </c>
      <c r="AQ2" s="364" t="s">
        <v>2348</v>
      </c>
      <c r="AR2" s="364" t="s">
        <v>2349</v>
      </c>
      <c r="AS2" s="364" t="s">
        <v>2350</v>
      </c>
      <c r="AT2" s="364" t="s">
        <v>2351</v>
      </c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  <c r="BJ2" s="364"/>
      <c r="BK2" s="364"/>
      <c r="BL2" s="364"/>
      <c r="BM2" s="364"/>
      <c r="BN2" s="364"/>
      <c r="BO2" s="364"/>
      <c r="BP2" s="364"/>
      <c r="BQ2" s="364"/>
      <c r="BR2" s="364"/>
      <c r="BS2" s="364"/>
      <c r="BT2" s="364"/>
      <c r="BU2" s="364"/>
      <c r="BV2" s="364"/>
      <c r="BW2" s="364"/>
      <c r="BX2" s="364"/>
      <c r="BY2" s="364"/>
      <c r="BZ2" s="364"/>
      <c r="CA2" s="364"/>
      <c r="CB2" s="364"/>
      <c r="CC2" s="364"/>
      <c r="CD2" s="364"/>
      <c r="CE2" s="364"/>
      <c r="CF2" s="364"/>
      <c r="CG2" s="364"/>
      <c r="CH2" s="364"/>
      <c r="CI2" s="364"/>
      <c r="CJ2" s="364"/>
      <c r="CK2" s="364"/>
      <c r="CL2" s="364"/>
      <c r="CM2" s="364"/>
      <c r="CN2" s="364"/>
      <c r="CO2" s="364"/>
      <c r="CP2" s="364"/>
      <c r="CQ2" s="364"/>
      <c r="CR2" s="364"/>
      <c r="CS2" s="364"/>
      <c r="CT2" s="364"/>
      <c r="CU2" s="364"/>
      <c r="CV2" s="364"/>
      <c r="CW2" s="364"/>
      <c r="CX2" s="364"/>
      <c r="CY2" s="364"/>
      <c r="CZ2" s="364"/>
      <c r="DA2" s="364"/>
      <c r="DB2" s="364"/>
      <c r="DC2" s="364"/>
      <c r="DD2" s="364"/>
      <c r="DE2" s="364"/>
      <c r="DF2" s="364"/>
      <c r="DG2" s="364"/>
      <c r="DH2" s="364"/>
      <c r="DI2" s="364"/>
      <c r="DJ2" s="364"/>
      <c r="DK2" s="364"/>
      <c r="DL2" s="364"/>
      <c r="DM2" s="364"/>
      <c r="DN2" s="364"/>
      <c r="DO2" s="364"/>
      <c r="DP2" s="364"/>
      <c r="DQ2" s="364"/>
      <c r="DR2" s="364"/>
      <c r="DS2" s="364"/>
      <c r="DT2" s="364"/>
      <c r="DU2" s="364"/>
      <c r="DV2" s="364"/>
      <c r="DW2" s="364"/>
      <c r="DX2" s="364"/>
      <c r="DY2" s="364"/>
      <c r="DZ2" s="364"/>
      <c r="EA2" s="364"/>
      <c r="EB2" s="364"/>
      <c r="EC2" s="364"/>
      <c r="ED2" s="364"/>
      <c r="EE2" s="364"/>
      <c r="EF2" s="364"/>
      <c r="EG2" s="364"/>
      <c r="EH2" s="364"/>
      <c r="EI2" s="364"/>
      <c r="EJ2" s="364"/>
      <c r="EK2" s="364"/>
      <c r="EL2" s="364"/>
      <c r="EM2" s="364"/>
      <c r="EN2" s="364"/>
      <c r="EO2" s="364"/>
      <c r="EP2" s="364"/>
      <c r="EQ2" s="364"/>
      <c r="ER2" s="364"/>
      <c r="ES2" s="364"/>
      <c r="ET2" s="364"/>
      <c r="EU2" s="364"/>
      <c r="EV2" s="364"/>
      <c r="EW2" s="364"/>
      <c r="EX2" s="364"/>
      <c r="EY2" s="364"/>
      <c r="EZ2" s="364"/>
      <c r="FA2" s="364"/>
      <c r="FB2" s="364"/>
      <c r="FC2" s="364"/>
      <c r="FD2" s="364"/>
      <c r="FE2" s="364"/>
      <c r="FF2" s="364"/>
      <c r="FG2" s="364"/>
      <c r="FH2" s="364"/>
      <c r="FI2" s="364"/>
      <c r="FJ2" s="364"/>
      <c r="FK2" s="364"/>
    </row>
    <row r="3" customFormat="false" ht="15.75" hidden="false" customHeight="false" outlineLevel="0" collapsed="false">
      <c r="A3" s="364" t="n">
        <v>7</v>
      </c>
      <c r="B3" s="364" t="n">
        <f aca="false">COUNTA(D3:FK3)</f>
        <v>75</v>
      </c>
      <c r="C3" s="364" t="s">
        <v>244</v>
      </c>
      <c r="D3" s="364" t="s">
        <v>2352</v>
      </c>
      <c r="E3" s="364" t="s">
        <v>2353</v>
      </c>
      <c r="F3" s="364" t="s">
        <v>2354</v>
      </c>
      <c r="G3" s="364" t="s">
        <v>2310</v>
      </c>
      <c r="H3" s="364" t="s">
        <v>2355</v>
      </c>
      <c r="I3" s="364" t="s">
        <v>2312</v>
      </c>
      <c r="J3" s="364" t="s">
        <v>2356</v>
      </c>
      <c r="K3" s="364" t="s">
        <v>2357</v>
      </c>
      <c r="L3" s="364" t="s">
        <v>2313</v>
      </c>
      <c r="M3" s="364" t="s">
        <v>138</v>
      </c>
      <c r="N3" s="364" t="s">
        <v>2315</v>
      </c>
      <c r="O3" s="364" t="s">
        <v>2358</v>
      </c>
      <c r="P3" s="364" t="s">
        <v>2316</v>
      </c>
      <c r="Q3" s="364" t="s">
        <v>2359</v>
      </c>
      <c r="R3" s="364" t="s">
        <v>2360</v>
      </c>
      <c r="S3" s="364" t="s">
        <v>2361</v>
      </c>
      <c r="T3" s="364" t="s">
        <v>2362</v>
      </c>
      <c r="U3" s="364" t="s">
        <v>2363</v>
      </c>
      <c r="V3" s="364" t="s">
        <v>2364</v>
      </c>
      <c r="W3" s="364" t="s">
        <v>2317</v>
      </c>
      <c r="X3" s="364" t="s">
        <v>2318</v>
      </c>
      <c r="Y3" s="364" t="s">
        <v>2365</v>
      </c>
      <c r="Z3" s="364" t="s">
        <v>2320</v>
      </c>
      <c r="AA3" s="364" t="s">
        <v>2366</v>
      </c>
      <c r="AB3" s="364" t="s">
        <v>2367</v>
      </c>
      <c r="AC3" s="364" t="s">
        <v>2368</v>
      </c>
      <c r="AD3" s="364" t="s">
        <v>2369</v>
      </c>
      <c r="AE3" s="364" t="s">
        <v>2370</v>
      </c>
      <c r="AF3" s="364" t="s">
        <v>2371</v>
      </c>
      <c r="AG3" s="364" t="s">
        <v>2372</v>
      </c>
      <c r="AH3" s="364" t="s">
        <v>2373</v>
      </c>
      <c r="AI3" s="364" t="s">
        <v>2374</v>
      </c>
      <c r="AJ3" s="364" t="s">
        <v>2375</v>
      </c>
      <c r="AK3" s="364" t="s">
        <v>2376</v>
      </c>
      <c r="AL3" s="364" t="s">
        <v>2377</v>
      </c>
      <c r="AM3" s="364" t="s">
        <v>2322</v>
      </c>
      <c r="AN3" s="364" t="s">
        <v>2324</v>
      </c>
      <c r="AO3" s="364" t="s">
        <v>2327</v>
      </c>
      <c r="AP3" s="364" t="s">
        <v>2378</v>
      </c>
      <c r="AQ3" s="364" t="s">
        <v>2328</v>
      </c>
      <c r="AR3" s="364" t="s">
        <v>2329</v>
      </c>
      <c r="AS3" s="364" t="s">
        <v>2379</v>
      </c>
      <c r="AT3" s="364" t="s">
        <v>2380</v>
      </c>
      <c r="AU3" s="364" t="s">
        <v>2381</v>
      </c>
      <c r="AV3" s="364" t="s">
        <v>2382</v>
      </c>
      <c r="AW3" s="364" t="s">
        <v>2383</v>
      </c>
      <c r="AX3" s="364" t="s">
        <v>2384</v>
      </c>
      <c r="AY3" s="261" t="s">
        <v>183</v>
      </c>
      <c r="AZ3" s="364" t="s">
        <v>2385</v>
      </c>
      <c r="BA3" s="364" t="s">
        <v>2332</v>
      </c>
      <c r="BB3" s="364" t="s">
        <v>2386</v>
      </c>
      <c r="BC3" s="364" t="s">
        <v>2387</v>
      </c>
      <c r="BD3" s="364" t="s">
        <v>2335</v>
      </c>
      <c r="BE3" s="364" t="s">
        <v>2337</v>
      </c>
      <c r="BF3" s="364" t="s">
        <v>2388</v>
      </c>
      <c r="BG3" s="364" t="s">
        <v>2339</v>
      </c>
      <c r="BH3" s="364" t="s">
        <v>2389</v>
      </c>
      <c r="BI3" s="364" t="s">
        <v>2340</v>
      </c>
      <c r="BJ3" s="364" t="s">
        <v>2390</v>
      </c>
      <c r="BK3" s="364" t="s">
        <v>2341</v>
      </c>
      <c r="BL3" s="364" t="s">
        <v>2391</v>
      </c>
      <c r="BM3" s="364" t="s">
        <v>2392</v>
      </c>
      <c r="BN3" s="364" t="s">
        <v>2393</v>
      </c>
      <c r="BO3" s="364" t="s">
        <v>2394</v>
      </c>
      <c r="BP3" s="364" t="s">
        <v>2395</v>
      </c>
      <c r="BQ3" s="364" t="s">
        <v>2344</v>
      </c>
      <c r="BR3" s="364" t="s">
        <v>2345</v>
      </c>
      <c r="BS3" s="364" t="s">
        <v>2396</v>
      </c>
      <c r="BT3" s="364" t="s">
        <v>2347</v>
      </c>
      <c r="BU3" s="364" t="s">
        <v>2397</v>
      </c>
      <c r="BV3" s="364" t="s">
        <v>2398</v>
      </c>
      <c r="BW3" s="364" t="s">
        <v>2349</v>
      </c>
      <c r="BX3" s="364" t="s">
        <v>2399</v>
      </c>
      <c r="BY3" s="364" t="s">
        <v>2400</v>
      </c>
      <c r="BZ3" s="364" t="s">
        <v>2401</v>
      </c>
      <c r="CA3" s="364"/>
      <c r="CB3" s="364"/>
      <c r="CC3" s="364"/>
      <c r="CD3" s="364"/>
      <c r="CE3" s="364"/>
      <c r="CF3" s="364"/>
      <c r="CG3" s="364"/>
      <c r="CH3" s="364"/>
      <c r="CI3" s="364"/>
      <c r="CJ3" s="364"/>
      <c r="CK3" s="364"/>
      <c r="CL3" s="364"/>
      <c r="CM3" s="364"/>
      <c r="CN3" s="364"/>
      <c r="CO3" s="364"/>
      <c r="CP3" s="364"/>
      <c r="CQ3" s="364"/>
      <c r="CR3" s="364"/>
      <c r="CS3" s="364"/>
      <c r="CT3" s="364"/>
      <c r="CU3" s="364"/>
      <c r="CV3" s="364"/>
      <c r="CW3" s="364"/>
      <c r="CX3" s="364"/>
      <c r="CY3" s="364"/>
      <c r="CZ3" s="364"/>
      <c r="DA3" s="364"/>
      <c r="DB3" s="364"/>
      <c r="DC3" s="364"/>
      <c r="DD3" s="364"/>
      <c r="DE3" s="364"/>
      <c r="DF3" s="364"/>
      <c r="DG3" s="364"/>
      <c r="DH3" s="364"/>
      <c r="DI3" s="364"/>
      <c r="DJ3" s="364"/>
      <c r="DK3" s="364"/>
      <c r="DL3" s="364"/>
      <c r="DM3" s="364"/>
      <c r="DN3" s="364"/>
      <c r="DO3" s="364"/>
      <c r="DP3" s="364"/>
      <c r="DQ3" s="364"/>
      <c r="DR3" s="364"/>
      <c r="DS3" s="364"/>
      <c r="DT3" s="364"/>
      <c r="DU3" s="364"/>
      <c r="DV3" s="364"/>
      <c r="DW3" s="364"/>
      <c r="DX3" s="364"/>
      <c r="DY3" s="364"/>
      <c r="DZ3" s="364"/>
      <c r="EA3" s="364"/>
      <c r="EB3" s="364"/>
      <c r="EC3" s="364"/>
      <c r="ED3" s="364"/>
      <c r="EE3" s="364"/>
      <c r="EF3" s="364"/>
      <c r="EG3" s="364"/>
      <c r="EH3" s="364"/>
      <c r="EI3" s="364"/>
      <c r="EJ3" s="364"/>
      <c r="EK3" s="364"/>
      <c r="EL3" s="364"/>
      <c r="EM3" s="364"/>
      <c r="EN3" s="364"/>
      <c r="EO3" s="364"/>
      <c r="EP3" s="364"/>
      <c r="EQ3" s="364"/>
      <c r="ER3" s="364"/>
      <c r="ES3" s="364"/>
      <c r="ET3" s="364"/>
      <c r="EU3" s="364"/>
      <c r="EV3" s="364"/>
      <c r="EW3" s="364"/>
      <c r="EX3" s="364"/>
      <c r="EY3" s="364"/>
      <c r="EZ3" s="364"/>
      <c r="FA3" s="364"/>
      <c r="FB3" s="364"/>
      <c r="FC3" s="364"/>
      <c r="FD3" s="364"/>
      <c r="FE3" s="364"/>
      <c r="FF3" s="364"/>
      <c r="FG3" s="364"/>
      <c r="FH3" s="364"/>
      <c r="FI3" s="364"/>
      <c r="FJ3" s="364"/>
      <c r="FK3" s="364"/>
    </row>
    <row r="4" customFormat="false" ht="15.75" hidden="false" customHeight="false" outlineLevel="0" collapsed="false">
      <c r="A4" s="364" t="n">
        <v>12</v>
      </c>
      <c r="B4" s="364" t="n">
        <f aca="false">COUNTA(D4:FK4)</f>
        <v>68</v>
      </c>
      <c r="C4" s="364" t="s">
        <v>258</v>
      </c>
      <c r="D4" s="364" t="s">
        <v>2402</v>
      </c>
      <c r="E4" s="364" t="s">
        <v>2403</v>
      </c>
      <c r="F4" s="364" t="s">
        <v>2310</v>
      </c>
      <c r="G4" s="364" t="s">
        <v>2404</v>
      </c>
      <c r="H4" s="364" t="s">
        <v>2405</v>
      </c>
      <c r="I4" s="364" t="s">
        <v>2312</v>
      </c>
      <c r="J4" s="364" t="s">
        <v>2356</v>
      </c>
      <c r="K4" s="364" t="s">
        <v>2406</v>
      </c>
      <c r="L4" s="364" t="s">
        <v>2407</v>
      </c>
      <c r="M4" s="364" t="s">
        <v>2408</v>
      </c>
      <c r="N4" s="364" t="s">
        <v>2313</v>
      </c>
      <c r="O4" s="364" t="s">
        <v>138</v>
      </c>
      <c r="P4" s="364" t="s">
        <v>2409</v>
      </c>
      <c r="Q4" s="364" t="s">
        <v>2358</v>
      </c>
      <c r="R4" s="364" t="s">
        <v>2410</v>
      </c>
      <c r="S4" s="364" t="s">
        <v>2316</v>
      </c>
      <c r="T4" s="364" t="s">
        <v>2361</v>
      </c>
      <c r="U4" s="364" t="s">
        <v>2363</v>
      </c>
      <c r="V4" s="364" t="s">
        <v>2364</v>
      </c>
      <c r="W4" s="364" t="s">
        <v>2317</v>
      </c>
      <c r="X4" s="364" t="s">
        <v>2320</v>
      </c>
      <c r="Y4" s="364" t="s">
        <v>2411</v>
      </c>
      <c r="Z4" s="364" t="s">
        <v>2376</v>
      </c>
      <c r="AA4" s="364" t="s">
        <v>2377</v>
      </c>
      <c r="AB4" s="364" t="s">
        <v>2324</v>
      </c>
      <c r="AC4" s="364" t="s">
        <v>2412</v>
      </c>
      <c r="AD4" s="364" t="s">
        <v>2327</v>
      </c>
      <c r="AE4" s="364" t="s">
        <v>2328</v>
      </c>
      <c r="AF4" s="364" t="s">
        <v>2413</v>
      </c>
      <c r="AG4" s="364" t="s">
        <v>2414</v>
      </c>
      <c r="AH4" s="364" t="s">
        <v>2329</v>
      </c>
      <c r="AI4" s="364" t="s">
        <v>2415</v>
      </c>
      <c r="AJ4" s="364" t="s">
        <v>2416</v>
      </c>
      <c r="AK4" s="364" t="s">
        <v>2417</v>
      </c>
      <c r="AL4" s="364" t="s">
        <v>2381</v>
      </c>
      <c r="AM4" s="364" t="s">
        <v>2418</v>
      </c>
      <c r="AN4" s="364" t="s">
        <v>2382</v>
      </c>
      <c r="AO4" s="364" t="s">
        <v>2383</v>
      </c>
      <c r="AP4" s="261" t="s">
        <v>183</v>
      </c>
      <c r="AQ4" s="364" t="s">
        <v>2332</v>
      </c>
      <c r="AR4" s="364" t="s">
        <v>2387</v>
      </c>
      <c r="AS4" s="364" t="s">
        <v>2335</v>
      </c>
      <c r="AT4" s="364" t="s">
        <v>2419</v>
      </c>
      <c r="AU4" s="364" t="s">
        <v>2337</v>
      </c>
      <c r="AV4" s="364" t="s">
        <v>2338</v>
      </c>
      <c r="AW4" s="364" t="s">
        <v>2388</v>
      </c>
      <c r="AX4" s="364" t="s">
        <v>2339</v>
      </c>
      <c r="AY4" s="364" t="s">
        <v>2389</v>
      </c>
      <c r="AZ4" s="364" t="s">
        <v>2420</v>
      </c>
      <c r="BA4" s="364" t="s">
        <v>2340</v>
      </c>
      <c r="BB4" s="364" t="s">
        <v>2421</v>
      </c>
      <c r="BC4" s="364" t="s">
        <v>2341</v>
      </c>
      <c r="BD4" s="364" t="s">
        <v>2391</v>
      </c>
      <c r="BE4" s="364" t="s">
        <v>2422</v>
      </c>
      <c r="BF4" s="364" t="s">
        <v>2393</v>
      </c>
      <c r="BG4" s="364" t="s">
        <v>2423</v>
      </c>
      <c r="BH4" s="364" t="s">
        <v>2344</v>
      </c>
      <c r="BI4" s="364" t="s">
        <v>2347</v>
      </c>
      <c r="BJ4" s="364" t="s">
        <v>2397</v>
      </c>
      <c r="BK4" s="364" t="s">
        <v>2424</v>
      </c>
      <c r="BL4" s="364" t="s">
        <v>2348</v>
      </c>
      <c r="BM4" s="364" t="s">
        <v>2349</v>
      </c>
      <c r="BN4" s="364" t="s">
        <v>2425</v>
      </c>
      <c r="BO4" s="364" t="s">
        <v>2426</v>
      </c>
      <c r="BP4" s="364" t="s">
        <v>2427</v>
      </c>
      <c r="BQ4" s="364" t="s">
        <v>2428</v>
      </c>
      <c r="BR4" s="364" t="s">
        <v>2429</v>
      </c>
      <c r="BS4" s="364" t="s">
        <v>2430</v>
      </c>
      <c r="BT4" s="364"/>
      <c r="BU4" s="364"/>
      <c r="BV4" s="364"/>
      <c r="BW4" s="364"/>
      <c r="BX4" s="364"/>
      <c r="BY4" s="364"/>
      <c r="BZ4" s="364"/>
      <c r="CA4" s="364"/>
      <c r="CB4" s="364"/>
      <c r="CC4" s="364"/>
      <c r="CD4" s="364"/>
      <c r="CE4" s="364"/>
      <c r="CF4" s="364"/>
      <c r="CG4" s="364"/>
      <c r="CH4" s="364"/>
      <c r="CI4" s="364"/>
      <c r="CJ4" s="364"/>
      <c r="CK4" s="364"/>
      <c r="CL4" s="364"/>
      <c r="CM4" s="364"/>
      <c r="CN4" s="364"/>
      <c r="CO4" s="364"/>
      <c r="CP4" s="364"/>
      <c r="CQ4" s="364"/>
      <c r="CR4" s="364"/>
      <c r="CS4" s="364"/>
      <c r="CT4" s="364"/>
      <c r="CU4" s="364"/>
      <c r="CV4" s="364"/>
      <c r="CW4" s="364"/>
      <c r="CX4" s="364"/>
      <c r="CY4" s="364"/>
      <c r="CZ4" s="364"/>
      <c r="DA4" s="364"/>
      <c r="DB4" s="364"/>
      <c r="DC4" s="364"/>
      <c r="DD4" s="364"/>
      <c r="DE4" s="364"/>
      <c r="DF4" s="364"/>
      <c r="DG4" s="364"/>
      <c r="DH4" s="364"/>
      <c r="DI4" s="364"/>
      <c r="DJ4" s="364"/>
      <c r="DK4" s="364"/>
      <c r="DL4" s="364"/>
      <c r="DM4" s="364"/>
      <c r="DN4" s="364"/>
      <c r="DO4" s="364"/>
      <c r="DP4" s="364"/>
      <c r="DQ4" s="364"/>
      <c r="DR4" s="364"/>
      <c r="DS4" s="364"/>
      <c r="DT4" s="364"/>
      <c r="DU4" s="364"/>
      <c r="DV4" s="364"/>
      <c r="DW4" s="364"/>
      <c r="DX4" s="364"/>
      <c r="DY4" s="364"/>
      <c r="DZ4" s="364"/>
      <c r="EA4" s="364"/>
      <c r="EB4" s="364"/>
      <c r="EC4" s="364"/>
      <c r="ED4" s="364"/>
      <c r="EE4" s="364"/>
      <c r="EF4" s="364"/>
      <c r="EG4" s="364"/>
      <c r="EH4" s="364"/>
      <c r="EI4" s="364"/>
      <c r="EJ4" s="364"/>
      <c r="EK4" s="364"/>
      <c r="EL4" s="364"/>
      <c r="EM4" s="364"/>
      <c r="EN4" s="364"/>
      <c r="EO4" s="364"/>
      <c r="EP4" s="364"/>
      <c r="EQ4" s="364"/>
      <c r="ER4" s="364"/>
      <c r="ES4" s="364"/>
      <c r="ET4" s="364"/>
      <c r="EU4" s="364"/>
      <c r="EV4" s="364"/>
      <c r="EW4" s="364"/>
      <c r="EX4" s="364"/>
      <c r="EY4" s="364"/>
      <c r="EZ4" s="364"/>
      <c r="FA4" s="364"/>
      <c r="FB4" s="364"/>
      <c r="FC4" s="364"/>
      <c r="FD4" s="364"/>
      <c r="FE4" s="364"/>
      <c r="FF4" s="364"/>
      <c r="FG4" s="364"/>
      <c r="FH4" s="364"/>
      <c r="FI4" s="364"/>
      <c r="FJ4" s="364"/>
      <c r="FK4" s="364"/>
    </row>
    <row r="5" customFormat="false" ht="15.75" hidden="false" customHeight="false" outlineLevel="0" collapsed="false">
      <c r="A5" s="364" t="n">
        <v>16</v>
      </c>
      <c r="B5" s="364" t="n">
        <f aca="false">COUNTA(D5:FK5)</f>
        <v>41</v>
      </c>
      <c r="C5" s="364" t="s">
        <v>267</v>
      </c>
      <c r="D5" s="364" t="s">
        <v>2431</v>
      </c>
      <c r="E5" s="364" t="s">
        <v>2352</v>
      </c>
      <c r="F5" s="364" t="s">
        <v>2353</v>
      </c>
      <c r="G5" s="364" t="s">
        <v>2354</v>
      </c>
      <c r="H5" s="364" t="s">
        <v>2310</v>
      </c>
      <c r="I5" s="364" t="s">
        <v>2432</v>
      </c>
      <c r="J5" s="364" t="s">
        <v>2433</v>
      </c>
      <c r="K5" s="364" t="s">
        <v>2434</v>
      </c>
      <c r="L5" s="364" t="s">
        <v>2316</v>
      </c>
      <c r="M5" s="364" t="s">
        <v>2435</v>
      </c>
      <c r="N5" s="364" t="s">
        <v>2436</v>
      </c>
      <c r="O5" s="364" t="s">
        <v>2319</v>
      </c>
      <c r="P5" s="364" t="s">
        <v>2320</v>
      </c>
      <c r="Q5" s="364" t="s">
        <v>2323</v>
      </c>
      <c r="R5" s="364" t="s">
        <v>2324</v>
      </c>
      <c r="S5" s="364" t="s">
        <v>2437</v>
      </c>
      <c r="T5" s="364" t="s">
        <v>2328</v>
      </c>
      <c r="U5" s="364" t="s">
        <v>2329</v>
      </c>
      <c r="V5" s="364" t="s">
        <v>2438</v>
      </c>
      <c r="W5" s="364" t="s">
        <v>2331</v>
      </c>
      <c r="X5" s="364" t="s">
        <v>2385</v>
      </c>
      <c r="Y5" s="364" t="s">
        <v>2439</v>
      </c>
      <c r="Z5" s="364" t="s">
        <v>157</v>
      </c>
      <c r="AA5" s="364" t="s">
        <v>2440</v>
      </c>
      <c r="AB5" s="364" t="s">
        <v>2335</v>
      </c>
      <c r="AC5" s="364" t="s">
        <v>2441</v>
      </c>
      <c r="AD5" s="364" t="s">
        <v>2337</v>
      </c>
      <c r="AE5" s="364" t="s">
        <v>2340</v>
      </c>
      <c r="AF5" s="364" t="s">
        <v>2341</v>
      </c>
      <c r="AG5" s="364" t="s">
        <v>2442</v>
      </c>
      <c r="AH5" s="364" t="s">
        <v>2422</v>
      </c>
      <c r="AI5" s="364" t="s">
        <v>2443</v>
      </c>
      <c r="AJ5" s="364" t="s">
        <v>2344</v>
      </c>
      <c r="AK5" s="364" t="s">
        <v>2345</v>
      </c>
      <c r="AL5" s="364" t="s">
        <v>2444</v>
      </c>
      <c r="AM5" s="364" t="s">
        <v>2398</v>
      </c>
      <c r="AN5" s="364" t="s">
        <v>2349</v>
      </c>
      <c r="AO5" s="364" t="s">
        <v>2445</v>
      </c>
      <c r="AP5" s="364" t="s">
        <v>2400</v>
      </c>
      <c r="AQ5" s="364" t="s">
        <v>2446</v>
      </c>
      <c r="AR5" s="364" t="s">
        <v>2350</v>
      </c>
      <c r="AS5" s="364"/>
      <c r="AT5" s="364"/>
      <c r="AU5" s="364"/>
      <c r="AV5" s="364"/>
      <c r="AW5" s="364"/>
      <c r="AX5" s="364"/>
      <c r="AY5" s="364"/>
      <c r="AZ5" s="364"/>
      <c r="BA5" s="364"/>
      <c r="BB5" s="364"/>
      <c r="BC5" s="364"/>
      <c r="BD5" s="364"/>
      <c r="BE5" s="364"/>
      <c r="BF5" s="364"/>
      <c r="BG5" s="364"/>
      <c r="BH5" s="364"/>
      <c r="BI5" s="364"/>
      <c r="BJ5" s="364"/>
      <c r="BK5" s="364"/>
      <c r="BL5" s="364"/>
      <c r="BM5" s="364"/>
      <c r="BN5" s="364"/>
      <c r="BO5" s="364"/>
      <c r="BP5" s="364"/>
      <c r="BQ5" s="364"/>
      <c r="BR5" s="364"/>
      <c r="BS5" s="364"/>
      <c r="BT5" s="364"/>
      <c r="BU5" s="364"/>
      <c r="BV5" s="364"/>
      <c r="BW5" s="364"/>
      <c r="BX5" s="364"/>
      <c r="BY5" s="364"/>
      <c r="BZ5" s="364"/>
      <c r="CA5" s="364"/>
      <c r="CB5" s="364"/>
      <c r="CC5" s="364"/>
      <c r="CD5" s="364"/>
      <c r="CE5" s="364"/>
      <c r="CF5" s="364"/>
      <c r="CG5" s="364"/>
      <c r="CH5" s="364"/>
      <c r="CI5" s="364"/>
      <c r="CJ5" s="364"/>
      <c r="CK5" s="364"/>
      <c r="CL5" s="364"/>
      <c r="CM5" s="364"/>
      <c r="CN5" s="364"/>
      <c r="CO5" s="364"/>
      <c r="CP5" s="364"/>
      <c r="CQ5" s="364"/>
      <c r="CR5" s="364"/>
      <c r="CS5" s="364"/>
      <c r="CT5" s="364"/>
      <c r="CU5" s="364"/>
      <c r="CV5" s="364"/>
      <c r="CW5" s="364"/>
      <c r="CX5" s="364"/>
      <c r="CY5" s="364"/>
      <c r="CZ5" s="364"/>
      <c r="DA5" s="364"/>
      <c r="DB5" s="364"/>
      <c r="DC5" s="364"/>
      <c r="DD5" s="364"/>
      <c r="DE5" s="364"/>
      <c r="DF5" s="364"/>
      <c r="DG5" s="364"/>
      <c r="DH5" s="364"/>
      <c r="DI5" s="364"/>
      <c r="DJ5" s="364"/>
      <c r="DK5" s="364"/>
      <c r="DL5" s="364"/>
      <c r="DM5" s="364"/>
      <c r="DN5" s="364"/>
      <c r="DO5" s="364"/>
      <c r="DP5" s="364"/>
      <c r="DQ5" s="364"/>
      <c r="DR5" s="364"/>
      <c r="DS5" s="364"/>
      <c r="DT5" s="364"/>
      <c r="DU5" s="364"/>
      <c r="DV5" s="364"/>
      <c r="DW5" s="364"/>
      <c r="DX5" s="364"/>
      <c r="DY5" s="364"/>
      <c r="DZ5" s="364"/>
      <c r="EA5" s="364"/>
      <c r="EB5" s="364"/>
      <c r="EC5" s="364"/>
      <c r="ED5" s="364"/>
      <c r="EE5" s="364"/>
      <c r="EF5" s="364"/>
      <c r="EG5" s="364"/>
      <c r="EH5" s="364"/>
      <c r="EI5" s="364"/>
      <c r="EJ5" s="364"/>
      <c r="EK5" s="364"/>
      <c r="EL5" s="364"/>
      <c r="EM5" s="364"/>
      <c r="EN5" s="364"/>
      <c r="EO5" s="364"/>
      <c r="EP5" s="364"/>
      <c r="EQ5" s="364"/>
      <c r="ER5" s="364"/>
      <c r="ES5" s="364"/>
      <c r="ET5" s="364"/>
      <c r="EU5" s="364"/>
      <c r="EV5" s="364"/>
      <c r="EW5" s="364"/>
      <c r="EX5" s="364"/>
      <c r="EY5" s="364"/>
      <c r="EZ5" s="364"/>
      <c r="FA5" s="364"/>
      <c r="FB5" s="364"/>
      <c r="FC5" s="364"/>
      <c r="FD5" s="364"/>
      <c r="FE5" s="364"/>
      <c r="FF5" s="364"/>
      <c r="FG5" s="364"/>
      <c r="FH5" s="364"/>
      <c r="FI5" s="364"/>
      <c r="FJ5" s="364"/>
      <c r="FK5" s="364"/>
    </row>
    <row r="6" customFormat="false" ht="15.75" hidden="false" customHeight="false" outlineLevel="0" collapsed="false">
      <c r="A6" s="364" t="n">
        <v>19</v>
      </c>
      <c r="B6" s="364" t="n">
        <f aca="false">COUNTA(D6:FK6)</f>
        <v>49</v>
      </c>
      <c r="C6" s="364" t="s">
        <v>273</v>
      </c>
      <c r="D6" s="364" t="s">
        <v>2431</v>
      </c>
      <c r="E6" s="364" t="s">
        <v>2352</v>
      </c>
      <c r="F6" s="364" t="s">
        <v>2353</v>
      </c>
      <c r="G6" s="364" t="s">
        <v>2447</v>
      </c>
      <c r="H6" s="364" t="s">
        <v>2310</v>
      </c>
      <c r="I6" s="364" t="s">
        <v>2356</v>
      </c>
      <c r="J6" s="364" t="s">
        <v>2357</v>
      </c>
      <c r="K6" s="364" t="s">
        <v>2432</v>
      </c>
      <c r="L6" s="364" t="s">
        <v>2315</v>
      </c>
      <c r="M6" s="364" t="s">
        <v>2316</v>
      </c>
      <c r="N6" s="364" t="s">
        <v>184</v>
      </c>
      <c r="O6" s="364" t="s">
        <v>2436</v>
      </c>
      <c r="P6" s="364" t="s">
        <v>2448</v>
      </c>
      <c r="Q6" s="364" t="s">
        <v>2320</v>
      </c>
      <c r="R6" s="364" t="s">
        <v>2449</v>
      </c>
      <c r="S6" s="364" t="s">
        <v>2450</v>
      </c>
      <c r="T6" s="364" t="s">
        <v>2451</v>
      </c>
      <c r="U6" s="364" t="s">
        <v>2322</v>
      </c>
      <c r="V6" s="364" t="s">
        <v>2323</v>
      </c>
      <c r="W6" s="364" t="s">
        <v>2324</v>
      </c>
      <c r="X6" s="364" t="s">
        <v>2328</v>
      </c>
      <c r="Y6" s="364" t="s">
        <v>2329</v>
      </c>
      <c r="Z6" s="364" t="s">
        <v>2438</v>
      </c>
      <c r="AA6" s="364" t="s">
        <v>2330</v>
      </c>
      <c r="AB6" s="364" t="s">
        <v>2331</v>
      </c>
      <c r="AC6" s="364" t="s">
        <v>2385</v>
      </c>
      <c r="AD6" s="364" t="s">
        <v>2452</v>
      </c>
      <c r="AE6" s="364" t="s">
        <v>2453</v>
      </c>
      <c r="AF6" s="364" t="s">
        <v>2454</v>
      </c>
      <c r="AG6" s="364" t="s">
        <v>2455</v>
      </c>
      <c r="AH6" s="364" t="s">
        <v>2335</v>
      </c>
      <c r="AI6" s="364" t="s">
        <v>2337</v>
      </c>
      <c r="AJ6" s="364" t="s">
        <v>2339</v>
      </c>
      <c r="AK6" s="364" t="s">
        <v>2340</v>
      </c>
      <c r="AL6" s="364" t="s">
        <v>2341</v>
      </c>
      <c r="AM6" s="364" t="s">
        <v>2443</v>
      </c>
      <c r="AN6" s="364" t="s">
        <v>2393</v>
      </c>
      <c r="AO6" s="364" t="s">
        <v>2343</v>
      </c>
      <c r="AP6" s="364" t="s">
        <v>2344</v>
      </c>
      <c r="AQ6" s="364" t="s">
        <v>2345</v>
      </c>
      <c r="AR6" s="364" t="s">
        <v>2444</v>
      </c>
      <c r="AS6" s="364" t="s">
        <v>2398</v>
      </c>
      <c r="AT6" s="364" t="s">
        <v>2349</v>
      </c>
      <c r="AU6" s="364" t="s">
        <v>2445</v>
      </c>
      <c r="AV6" s="364" t="s">
        <v>2456</v>
      </c>
      <c r="AW6" s="364" t="s">
        <v>2457</v>
      </c>
      <c r="AX6" s="364" t="s">
        <v>2446</v>
      </c>
      <c r="AY6" s="364" t="s">
        <v>2350</v>
      </c>
      <c r="AZ6" s="364" t="s">
        <v>2458</v>
      </c>
      <c r="BA6" s="364"/>
      <c r="BB6" s="364"/>
      <c r="BC6" s="364"/>
      <c r="BD6" s="364"/>
      <c r="BE6" s="364"/>
      <c r="BF6" s="364"/>
      <c r="BG6" s="364"/>
      <c r="BH6" s="364"/>
      <c r="BI6" s="364"/>
      <c r="BJ6" s="364"/>
      <c r="BK6" s="364"/>
      <c r="BL6" s="364"/>
      <c r="BM6" s="364"/>
      <c r="BN6" s="364"/>
      <c r="BO6" s="364"/>
      <c r="BP6" s="364"/>
      <c r="BQ6" s="364"/>
      <c r="BR6" s="364"/>
      <c r="BS6" s="364"/>
      <c r="BT6" s="364"/>
      <c r="BU6" s="364"/>
      <c r="BV6" s="364"/>
      <c r="BW6" s="364"/>
      <c r="BX6" s="364"/>
      <c r="BY6" s="364"/>
      <c r="BZ6" s="364"/>
      <c r="CA6" s="364"/>
      <c r="CB6" s="364"/>
      <c r="CC6" s="364"/>
      <c r="CD6" s="364"/>
      <c r="CE6" s="364"/>
      <c r="CF6" s="364"/>
      <c r="CG6" s="364"/>
      <c r="CH6" s="364"/>
      <c r="CI6" s="364"/>
      <c r="CJ6" s="364"/>
      <c r="CK6" s="364"/>
      <c r="CL6" s="364"/>
      <c r="CM6" s="364"/>
      <c r="CN6" s="364"/>
      <c r="CO6" s="364"/>
      <c r="CP6" s="364"/>
      <c r="CQ6" s="364"/>
      <c r="CR6" s="364"/>
      <c r="CS6" s="364"/>
      <c r="CT6" s="364"/>
      <c r="CU6" s="364"/>
      <c r="CV6" s="364"/>
      <c r="CW6" s="364"/>
      <c r="CX6" s="364"/>
      <c r="CY6" s="364"/>
      <c r="CZ6" s="364"/>
      <c r="DA6" s="364"/>
      <c r="DB6" s="364"/>
      <c r="DC6" s="364"/>
      <c r="DD6" s="364"/>
      <c r="DE6" s="364"/>
      <c r="DF6" s="364"/>
      <c r="DG6" s="364"/>
      <c r="DH6" s="364"/>
      <c r="DI6" s="364"/>
      <c r="DJ6" s="364"/>
      <c r="DK6" s="364"/>
      <c r="DL6" s="364"/>
      <c r="DM6" s="364"/>
      <c r="DN6" s="364"/>
      <c r="DO6" s="364"/>
      <c r="DP6" s="364"/>
      <c r="DQ6" s="364"/>
      <c r="DR6" s="364"/>
      <c r="DS6" s="364"/>
      <c r="DT6" s="364"/>
      <c r="DU6" s="364"/>
      <c r="DV6" s="364"/>
      <c r="DW6" s="364"/>
      <c r="DX6" s="364"/>
      <c r="DY6" s="364"/>
      <c r="DZ6" s="364"/>
      <c r="EA6" s="364"/>
      <c r="EB6" s="364"/>
      <c r="EC6" s="364"/>
      <c r="ED6" s="364"/>
      <c r="EE6" s="364"/>
      <c r="EF6" s="364"/>
      <c r="EG6" s="364"/>
      <c r="EH6" s="364"/>
      <c r="EI6" s="364"/>
      <c r="EJ6" s="364"/>
      <c r="EK6" s="364"/>
      <c r="EL6" s="364"/>
      <c r="EM6" s="364"/>
      <c r="EN6" s="364"/>
      <c r="EO6" s="364"/>
      <c r="EP6" s="364"/>
      <c r="EQ6" s="364"/>
      <c r="ER6" s="364"/>
      <c r="ES6" s="364"/>
      <c r="ET6" s="364"/>
      <c r="EU6" s="364"/>
      <c r="EV6" s="364"/>
      <c r="EW6" s="364"/>
      <c r="EX6" s="364"/>
      <c r="EY6" s="364"/>
      <c r="EZ6" s="364"/>
      <c r="FA6" s="364"/>
      <c r="FB6" s="364"/>
      <c r="FC6" s="364"/>
      <c r="FD6" s="364"/>
      <c r="FE6" s="364"/>
      <c r="FF6" s="364"/>
      <c r="FG6" s="364"/>
      <c r="FH6" s="364"/>
      <c r="FI6" s="364"/>
      <c r="FJ6" s="364"/>
      <c r="FK6" s="364"/>
    </row>
    <row r="7" customFormat="false" ht="15.75" hidden="false" customHeight="false" outlineLevel="0" collapsed="false">
      <c r="A7" s="364" t="n">
        <v>23</v>
      </c>
      <c r="B7" s="364" t="n">
        <f aca="false">COUNTA(D7:FK7)</f>
        <v>33</v>
      </c>
      <c r="C7" s="364" t="s">
        <v>282</v>
      </c>
      <c r="D7" s="364" t="s">
        <v>2352</v>
      </c>
      <c r="E7" s="364" t="s">
        <v>2353</v>
      </c>
      <c r="F7" s="364" t="s">
        <v>2354</v>
      </c>
      <c r="G7" s="364" t="s">
        <v>2310</v>
      </c>
      <c r="H7" s="364" t="s">
        <v>2316</v>
      </c>
      <c r="I7" s="364" t="s">
        <v>2320</v>
      </c>
      <c r="J7" s="364" t="s">
        <v>2375</v>
      </c>
      <c r="K7" s="364" t="s">
        <v>2324</v>
      </c>
      <c r="L7" s="364" t="s">
        <v>2437</v>
      </c>
      <c r="M7" s="364" t="s">
        <v>2378</v>
      </c>
      <c r="N7" s="364" t="s">
        <v>2328</v>
      </c>
      <c r="O7" s="364" t="s">
        <v>2459</v>
      </c>
      <c r="P7" s="364" t="s">
        <v>2329</v>
      </c>
      <c r="Q7" s="261" t="s">
        <v>183</v>
      </c>
      <c r="R7" s="364" t="s">
        <v>2385</v>
      </c>
      <c r="S7" s="364" t="s">
        <v>2460</v>
      </c>
      <c r="T7" s="364" t="s">
        <v>2461</v>
      </c>
      <c r="U7" s="364" t="s">
        <v>2335</v>
      </c>
      <c r="V7" s="364" t="s">
        <v>2441</v>
      </c>
      <c r="W7" s="364" t="s">
        <v>2337</v>
      </c>
      <c r="X7" s="364" t="s">
        <v>2340</v>
      </c>
      <c r="Y7" s="364" t="s">
        <v>2341</v>
      </c>
      <c r="Z7" s="364" t="s">
        <v>2462</v>
      </c>
      <c r="AA7" s="364" t="s">
        <v>2344</v>
      </c>
      <c r="AB7" s="364" t="s">
        <v>2396</v>
      </c>
      <c r="AC7" s="364" t="s">
        <v>2398</v>
      </c>
      <c r="AD7" s="364" t="s">
        <v>2348</v>
      </c>
      <c r="AE7" s="364" t="s">
        <v>2349</v>
      </c>
      <c r="AF7" s="364" t="s">
        <v>2445</v>
      </c>
      <c r="AG7" s="364" t="s">
        <v>2400</v>
      </c>
      <c r="AH7" s="364" t="s">
        <v>2463</v>
      </c>
      <c r="AI7" s="364" t="s">
        <v>2446</v>
      </c>
      <c r="AJ7" s="364" t="s">
        <v>2401</v>
      </c>
      <c r="AK7" s="364"/>
      <c r="AL7" s="364"/>
      <c r="AM7" s="364"/>
      <c r="AN7" s="364"/>
      <c r="AO7" s="364"/>
      <c r="AP7" s="364"/>
      <c r="AQ7" s="364"/>
      <c r="AR7" s="364"/>
      <c r="AS7" s="364"/>
      <c r="AT7" s="364"/>
      <c r="AU7" s="364"/>
      <c r="AV7" s="364"/>
      <c r="AW7" s="364"/>
      <c r="AX7" s="364"/>
      <c r="AY7" s="364"/>
      <c r="AZ7" s="364"/>
      <c r="BA7" s="364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4"/>
      <c r="BT7" s="364"/>
      <c r="BU7" s="364"/>
      <c r="BV7" s="364"/>
      <c r="BW7" s="364"/>
      <c r="BX7" s="364"/>
      <c r="BY7" s="364"/>
      <c r="BZ7" s="364"/>
      <c r="CA7" s="364"/>
      <c r="CB7" s="364"/>
      <c r="CC7" s="364"/>
      <c r="CD7" s="364"/>
      <c r="CE7" s="364"/>
      <c r="CF7" s="364"/>
      <c r="CG7" s="364"/>
      <c r="CH7" s="364"/>
      <c r="CI7" s="364"/>
      <c r="CJ7" s="364"/>
      <c r="CK7" s="364"/>
      <c r="CL7" s="364"/>
      <c r="CM7" s="364"/>
      <c r="CN7" s="364"/>
      <c r="CO7" s="364"/>
      <c r="CP7" s="364"/>
      <c r="CQ7" s="364"/>
      <c r="CR7" s="364"/>
      <c r="CS7" s="364"/>
      <c r="CT7" s="364"/>
      <c r="CU7" s="364"/>
      <c r="CV7" s="364"/>
      <c r="CW7" s="364"/>
      <c r="CX7" s="364"/>
      <c r="CY7" s="364"/>
      <c r="CZ7" s="364"/>
      <c r="DA7" s="364"/>
      <c r="DB7" s="364"/>
      <c r="DC7" s="364"/>
      <c r="DD7" s="364"/>
      <c r="DE7" s="364"/>
      <c r="DF7" s="364"/>
      <c r="DG7" s="364"/>
      <c r="DH7" s="364"/>
      <c r="DI7" s="364"/>
      <c r="DJ7" s="364"/>
      <c r="DK7" s="364"/>
      <c r="DL7" s="364"/>
      <c r="DM7" s="364"/>
      <c r="DN7" s="364"/>
      <c r="DO7" s="364"/>
      <c r="DP7" s="364"/>
      <c r="DQ7" s="364"/>
      <c r="DR7" s="364"/>
      <c r="DS7" s="364"/>
      <c r="DT7" s="364"/>
      <c r="DU7" s="364"/>
      <c r="DV7" s="364"/>
      <c r="DW7" s="364"/>
      <c r="DX7" s="364"/>
      <c r="DY7" s="364"/>
      <c r="DZ7" s="364"/>
      <c r="EA7" s="364"/>
      <c r="EB7" s="364"/>
      <c r="EC7" s="364"/>
      <c r="ED7" s="364"/>
      <c r="EE7" s="364"/>
      <c r="EF7" s="364"/>
      <c r="EG7" s="364"/>
      <c r="EH7" s="364"/>
      <c r="EI7" s="364"/>
      <c r="EJ7" s="364"/>
      <c r="EK7" s="364"/>
      <c r="EL7" s="364"/>
      <c r="EM7" s="364"/>
      <c r="EN7" s="364"/>
      <c r="EO7" s="364"/>
      <c r="EP7" s="364"/>
      <c r="EQ7" s="364"/>
      <c r="ER7" s="364"/>
      <c r="ES7" s="364"/>
      <c r="ET7" s="364"/>
      <c r="EU7" s="364"/>
      <c r="EV7" s="364"/>
      <c r="EW7" s="364"/>
      <c r="EX7" s="364"/>
      <c r="EY7" s="364"/>
      <c r="EZ7" s="364"/>
      <c r="FA7" s="364"/>
      <c r="FB7" s="364"/>
      <c r="FC7" s="364"/>
      <c r="FD7" s="364"/>
      <c r="FE7" s="364"/>
      <c r="FF7" s="364"/>
      <c r="FG7" s="364"/>
      <c r="FH7" s="364"/>
      <c r="FI7" s="364"/>
      <c r="FJ7" s="364"/>
      <c r="FK7" s="364"/>
    </row>
    <row r="8" customFormat="false" ht="15.75" hidden="false" customHeight="false" outlineLevel="0" collapsed="false">
      <c r="A8" s="364" t="n">
        <v>27</v>
      </c>
      <c r="B8" s="364" t="n">
        <f aca="false">COUNTA(D8:FK8)</f>
        <v>61</v>
      </c>
      <c r="C8" s="364" t="s">
        <v>294</v>
      </c>
      <c r="D8" s="364" t="s">
        <v>2447</v>
      </c>
      <c r="E8" s="364" t="s">
        <v>2310</v>
      </c>
      <c r="F8" s="364" t="s">
        <v>2404</v>
      </c>
      <c r="G8" s="364" t="s">
        <v>2405</v>
      </c>
      <c r="H8" s="364" t="s">
        <v>2312</v>
      </c>
      <c r="I8" s="364" t="s">
        <v>2408</v>
      </c>
      <c r="J8" s="364" t="s">
        <v>2464</v>
      </c>
      <c r="K8" s="364" t="s">
        <v>138</v>
      </c>
      <c r="L8" s="364" t="s">
        <v>2465</v>
      </c>
      <c r="M8" s="364" t="s">
        <v>2466</v>
      </c>
      <c r="N8" s="364" t="s">
        <v>2315</v>
      </c>
      <c r="O8" s="364" t="s">
        <v>2409</v>
      </c>
      <c r="P8" s="364" t="s">
        <v>2358</v>
      </c>
      <c r="Q8" s="364" t="s">
        <v>2316</v>
      </c>
      <c r="R8" s="364" t="s">
        <v>2448</v>
      </c>
      <c r="S8" s="364" t="s">
        <v>2320</v>
      </c>
      <c r="T8" s="364" t="s">
        <v>2324</v>
      </c>
      <c r="U8" s="364" t="s">
        <v>2325</v>
      </c>
      <c r="V8" s="364" t="s">
        <v>2327</v>
      </c>
      <c r="W8" s="364" t="s">
        <v>2328</v>
      </c>
      <c r="X8" s="364" t="s">
        <v>2329</v>
      </c>
      <c r="Y8" s="364" t="s">
        <v>2467</v>
      </c>
      <c r="Z8" s="364" t="s">
        <v>2415</v>
      </c>
      <c r="AA8" s="364" t="s">
        <v>2417</v>
      </c>
      <c r="AB8" s="364" t="s">
        <v>2381</v>
      </c>
      <c r="AC8" s="364" t="s">
        <v>2468</v>
      </c>
      <c r="AD8" s="261" t="s">
        <v>183</v>
      </c>
      <c r="AE8" s="364" t="s">
        <v>2460</v>
      </c>
      <c r="AF8" s="364" t="s">
        <v>2455</v>
      </c>
      <c r="AG8" s="364" t="s">
        <v>2461</v>
      </c>
      <c r="AH8" s="364" t="s">
        <v>2335</v>
      </c>
      <c r="AI8" s="364" t="s">
        <v>2337</v>
      </c>
      <c r="AJ8" s="364" t="s">
        <v>2469</v>
      </c>
      <c r="AK8" s="364" t="s">
        <v>2339</v>
      </c>
      <c r="AL8" s="364" t="s">
        <v>2340</v>
      </c>
      <c r="AM8" s="364" t="s">
        <v>2341</v>
      </c>
      <c r="AN8" s="364" t="s">
        <v>2442</v>
      </c>
      <c r="AO8" s="364" t="s">
        <v>2392</v>
      </c>
      <c r="AP8" s="364" t="s">
        <v>2470</v>
      </c>
      <c r="AQ8" s="364" t="s">
        <v>2393</v>
      </c>
      <c r="AR8" s="364" t="s">
        <v>2343</v>
      </c>
      <c r="AS8" s="364" t="s">
        <v>2471</v>
      </c>
      <c r="AT8" s="364" t="s">
        <v>2472</v>
      </c>
      <c r="AU8" s="364" t="s">
        <v>2344</v>
      </c>
      <c r="AV8" s="364" t="s">
        <v>2346</v>
      </c>
      <c r="AW8" s="364" t="s">
        <v>2347</v>
      </c>
      <c r="AX8" s="364" t="s">
        <v>2473</v>
      </c>
      <c r="AY8" s="364" t="s">
        <v>2474</v>
      </c>
      <c r="AZ8" s="364" t="s">
        <v>2398</v>
      </c>
      <c r="BA8" s="364" t="s">
        <v>2348</v>
      </c>
      <c r="BB8" s="364" t="s">
        <v>2349</v>
      </c>
      <c r="BC8" s="364" t="s">
        <v>2445</v>
      </c>
      <c r="BD8" s="364" t="s">
        <v>2456</v>
      </c>
      <c r="BE8" s="364" t="s">
        <v>2475</v>
      </c>
      <c r="BF8" s="364" t="s">
        <v>2476</v>
      </c>
      <c r="BG8" s="364" t="s">
        <v>2463</v>
      </c>
      <c r="BH8" s="364" t="s">
        <v>2446</v>
      </c>
      <c r="BI8" s="364" t="s">
        <v>2350</v>
      </c>
      <c r="BJ8" s="364" t="s">
        <v>2426</v>
      </c>
      <c r="BK8" s="364" t="s">
        <v>2477</v>
      </c>
      <c r="BL8" s="364" t="s">
        <v>2430</v>
      </c>
      <c r="BM8" s="364"/>
      <c r="BN8" s="364"/>
      <c r="BO8" s="364"/>
      <c r="BP8" s="364"/>
      <c r="BQ8" s="364"/>
      <c r="BR8" s="364"/>
      <c r="BS8" s="364"/>
      <c r="BT8" s="364"/>
      <c r="BU8" s="364"/>
      <c r="BV8" s="364"/>
      <c r="BW8" s="364"/>
      <c r="BX8" s="364"/>
      <c r="BY8" s="364"/>
      <c r="BZ8" s="364"/>
      <c r="CA8" s="364"/>
      <c r="CB8" s="364"/>
      <c r="CC8" s="364"/>
      <c r="CD8" s="364"/>
      <c r="CE8" s="364"/>
      <c r="CF8" s="364"/>
      <c r="CG8" s="364"/>
      <c r="CH8" s="364"/>
      <c r="CI8" s="364"/>
      <c r="CJ8" s="364"/>
      <c r="CK8" s="364"/>
      <c r="CL8" s="364"/>
      <c r="CM8" s="364"/>
      <c r="CN8" s="364"/>
      <c r="CO8" s="364"/>
      <c r="CP8" s="364"/>
      <c r="CQ8" s="364"/>
      <c r="CR8" s="364"/>
      <c r="CS8" s="364"/>
      <c r="CT8" s="364"/>
      <c r="CU8" s="364"/>
      <c r="CV8" s="364"/>
      <c r="CW8" s="364"/>
      <c r="CX8" s="364"/>
      <c r="CY8" s="364"/>
      <c r="CZ8" s="364"/>
      <c r="DA8" s="364"/>
      <c r="DB8" s="364"/>
      <c r="DC8" s="364"/>
      <c r="DD8" s="364"/>
      <c r="DE8" s="364"/>
      <c r="DF8" s="364"/>
      <c r="DG8" s="364"/>
      <c r="DH8" s="364"/>
      <c r="DI8" s="364"/>
      <c r="DJ8" s="364"/>
      <c r="DK8" s="364"/>
      <c r="DL8" s="364"/>
      <c r="DM8" s="364"/>
      <c r="DN8" s="364"/>
      <c r="DO8" s="364"/>
      <c r="DP8" s="364"/>
      <c r="DQ8" s="364"/>
      <c r="DR8" s="364"/>
      <c r="DS8" s="364"/>
      <c r="DT8" s="364"/>
      <c r="DU8" s="364"/>
      <c r="DV8" s="364"/>
      <c r="DW8" s="364"/>
      <c r="DX8" s="364"/>
      <c r="DY8" s="364"/>
      <c r="DZ8" s="364"/>
      <c r="EA8" s="364"/>
      <c r="EB8" s="364"/>
      <c r="EC8" s="364"/>
      <c r="ED8" s="364"/>
      <c r="EE8" s="364"/>
      <c r="EF8" s="364"/>
      <c r="EG8" s="364"/>
      <c r="EH8" s="364"/>
      <c r="EI8" s="364"/>
      <c r="EJ8" s="364"/>
      <c r="EK8" s="364"/>
      <c r="EL8" s="364"/>
      <c r="EM8" s="364"/>
      <c r="EN8" s="364"/>
      <c r="EO8" s="364"/>
      <c r="EP8" s="364"/>
      <c r="EQ8" s="364"/>
      <c r="ER8" s="364"/>
      <c r="ES8" s="364"/>
      <c r="ET8" s="364"/>
      <c r="EU8" s="364"/>
      <c r="EV8" s="364"/>
      <c r="EW8" s="364"/>
      <c r="EX8" s="364"/>
      <c r="EY8" s="364"/>
      <c r="EZ8" s="364"/>
      <c r="FA8" s="364"/>
      <c r="FB8" s="364"/>
      <c r="FC8" s="364"/>
      <c r="FD8" s="364"/>
      <c r="FE8" s="364"/>
      <c r="FF8" s="364"/>
      <c r="FG8" s="364"/>
      <c r="FH8" s="364"/>
      <c r="FI8" s="364"/>
      <c r="FJ8" s="364"/>
      <c r="FK8" s="364"/>
    </row>
    <row r="9" customFormat="false" ht="15.75" hidden="false" customHeight="false" outlineLevel="0" collapsed="false">
      <c r="A9" s="364" t="n">
        <v>28</v>
      </c>
      <c r="B9" s="364" t="n">
        <f aca="false">COUNTA(D9:FK9)</f>
        <v>40</v>
      </c>
      <c r="C9" s="364" t="s">
        <v>2478</v>
      </c>
      <c r="D9" s="364" t="s">
        <v>2447</v>
      </c>
      <c r="E9" s="364" t="s">
        <v>2404</v>
      </c>
      <c r="F9" s="364" t="s">
        <v>2405</v>
      </c>
      <c r="G9" s="364" t="s">
        <v>2465</v>
      </c>
      <c r="H9" s="364" t="s">
        <v>2466</v>
      </c>
      <c r="I9" s="364" t="s">
        <v>2409</v>
      </c>
      <c r="J9" s="364" t="s">
        <v>2316</v>
      </c>
      <c r="K9" s="364" t="s">
        <v>2448</v>
      </c>
      <c r="L9" s="364" t="s">
        <v>2320</v>
      </c>
      <c r="M9" s="364" t="s">
        <v>2324</v>
      </c>
      <c r="N9" s="364" t="s">
        <v>2325</v>
      </c>
      <c r="O9" s="364" t="s">
        <v>2328</v>
      </c>
      <c r="P9" s="364" t="s">
        <v>2329</v>
      </c>
      <c r="Q9" s="364" t="s">
        <v>2467</v>
      </c>
      <c r="R9" s="364" t="s">
        <v>2415</v>
      </c>
      <c r="S9" s="364" t="s">
        <v>2417</v>
      </c>
      <c r="T9" s="364" t="s">
        <v>2381</v>
      </c>
      <c r="U9" s="364" t="s">
        <v>2330</v>
      </c>
      <c r="V9" s="364" t="s">
        <v>2468</v>
      </c>
      <c r="W9" s="364" t="s">
        <v>2455</v>
      </c>
      <c r="X9" s="364" t="s">
        <v>2461</v>
      </c>
      <c r="Y9" s="364" t="s">
        <v>2337</v>
      </c>
      <c r="Z9" s="364" t="s">
        <v>2340</v>
      </c>
      <c r="AA9" s="364" t="s">
        <v>2442</v>
      </c>
      <c r="AB9" s="364" t="s">
        <v>2392</v>
      </c>
      <c r="AC9" s="364" t="s">
        <v>2470</v>
      </c>
      <c r="AD9" s="364" t="s">
        <v>2343</v>
      </c>
      <c r="AE9" s="364" t="s">
        <v>2471</v>
      </c>
      <c r="AF9" s="364" t="s">
        <v>2472</v>
      </c>
      <c r="AG9" s="364" t="s">
        <v>2344</v>
      </c>
      <c r="AH9" s="364" t="s">
        <v>2346</v>
      </c>
      <c r="AI9" s="364" t="s">
        <v>2473</v>
      </c>
      <c r="AJ9" s="364" t="s">
        <v>2474</v>
      </c>
      <c r="AK9" s="364" t="s">
        <v>2348</v>
      </c>
      <c r="AL9" s="364" t="s">
        <v>2445</v>
      </c>
      <c r="AM9" s="364" t="s">
        <v>2456</v>
      </c>
      <c r="AN9" s="364" t="s">
        <v>2463</v>
      </c>
      <c r="AO9" s="364" t="s">
        <v>2446</v>
      </c>
      <c r="AP9" s="364" t="s">
        <v>2350</v>
      </c>
      <c r="AQ9" s="364" t="s">
        <v>2430</v>
      </c>
      <c r="AR9" s="364"/>
      <c r="AS9" s="364"/>
      <c r="AT9" s="364"/>
      <c r="AU9" s="364"/>
      <c r="AV9" s="364"/>
      <c r="AW9" s="364"/>
      <c r="AX9" s="364"/>
      <c r="AY9" s="364"/>
      <c r="AZ9" s="364"/>
      <c r="BA9" s="364"/>
      <c r="BB9" s="364"/>
      <c r="BC9" s="364"/>
      <c r="BD9" s="364"/>
      <c r="BE9" s="364"/>
      <c r="BF9" s="364"/>
      <c r="BG9" s="364"/>
      <c r="BH9" s="364"/>
      <c r="BI9" s="364"/>
      <c r="BJ9" s="364"/>
      <c r="BK9" s="364"/>
      <c r="BL9" s="364"/>
      <c r="BM9" s="364"/>
      <c r="BN9" s="364"/>
      <c r="BO9" s="364"/>
      <c r="BP9" s="364"/>
      <c r="BQ9" s="364"/>
      <c r="BR9" s="364"/>
      <c r="BS9" s="364"/>
      <c r="BT9" s="364"/>
      <c r="BU9" s="364"/>
      <c r="BV9" s="364"/>
      <c r="BW9" s="364"/>
      <c r="BX9" s="364"/>
      <c r="BY9" s="364"/>
      <c r="BZ9" s="364"/>
      <c r="CA9" s="364"/>
      <c r="CB9" s="364"/>
      <c r="CC9" s="364"/>
      <c r="CD9" s="364"/>
      <c r="CE9" s="364"/>
      <c r="CF9" s="364"/>
      <c r="CG9" s="364"/>
      <c r="CH9" s="364"/>
      <c r="CI9" s="364"/>
      <c r="CJ9" s="364"/>
      <c r="CK9" s="364"/>
      <c r="CL9" s="364"/>
      <c r="CM9" s="364"/>
      <c r="CN9" s="364"/>
      <c r="CO9" s="364"/>
      <c r="CP9" s="364"/>
      <c r="CQ9" s="364"/>
      <c r="CR9" s="364"/>
      <c r="CS9" s="364"/>
      <c r="CT9" s="364"/>
      <c r="CU9" s="364"/>
      <c r="CV9" s="364"/>
      <c r="CW9" s="364"/>
      <c r="CX9" s="364"/>
      <c r="CY9" s="364"/>
      <c r="CZ9" s="364"/>
      <c r="DA9" s="364"/>
      <c r="DB9" s="364"/>
      <c r="DC9" s="364"/>
      <c r="DD9" s="364"/>
      <c r="DE9" s="364"/>
      <c r="DF9" s="364"/>
      <c r="DG9" s="364"/>
      <c r="DH9" s="364"/>
      <c r="DI9" s="364"/>
      <c r="DJ9" s="364"/>
      <c r="DK9" s="364"/>
      <c r="DL9" s="364"/>
      <c r="DM9" s="364"/>
      <c r="DN9" s="364"/>
      <c r="DO9" s="364"/>
      <c r="DP9" s="364"/>
      <c r="DQ9" s="364"/>
      <c r="DR9" s="364"/>
      <c r="DS9" s="364"/>
      <c r="DT9" s="364"/>
      <c r="DU9" s="364"/>
      <c r="DV9" s="364"/>
      <c r="DW9" s="364"/>
      <c r="DX9" s="364"/>
      <c r="DY9" s="364"/>
      <c r="DZ9" s="364"/>
      <c r="EA9" s="364"/>
      <c r="EB9" s="364"/>
      <c r="EC9" s="364"/>
      <c r="ED9" s="364"/>
      <c r="EE9" s="364"/>
      <c r="EF9" s="364"/>
      <c r="EG9" s="364"/>
      <c r="EH9" s="364"/>
      <c r="EI9" s="364"/>
      <c r="EJ9" s="364"/>
      <c r="EK9" s="364"/>
      <c r="EL9" s="364"/>
      <c r="EM9" s="364"/>
      <c r="EN9" s="364"/>
      <c r="EO9" s="364"/>
      <c r="EP9" s="364"/>
      <c r="EQ9" s="364"/>
      <c r="ER9" s="364"/>
      <c r="ES9" s="364"/>
      <c r="ET9" s="364"/>
      <c r="EU9" s="364"/>
      <c r="EV9" s="364"/>
      <c r="EW9" s="364"/>
      <c r="EX9" s="364"/>
      <c r="EY9" s="364"/>
      <c r="EZ9" s="364"/>
      <c r="FA9" s="364"/>
      <c r="FB9" s="364"/>
      <c r="FC9" s="364"/>
      <c r="FD9" s="364"/>
      <c r="FE9" s="364"/>
      <c r="FF9" s="364"/>
      <c r="FG9" s="364"/>
      <c r="FH9" s="364"/>
      <c r="FI9" s="364"/>
      <c r="FJ9" s="364"/>
      <c r="FK9" s="364"/>
    </row>
    <row r="10" customFormat="false" ht="15.75" hidden="false" customHeight="false" outlineLevel="0" collapsed="false">
      <c r="A10" s="364" t="n">
        <v>30</v>
      </c>
      <c r="B10" s="364" t="n">
        <f aca="false">COUNTA(D10:FK10)</f>
        <v>36</v>
      </c>
      <c r="C10" s="364" t="s">
        <v>301</v>
      </c>
      <c r="D10" s="364" t="s">
        <v>2352</v>
      </c>
      <c r="E10" s="364" t="s">
        <v>2353</v>
      </c>
      <c r="F10" s="364" t="s">
        <v>2447</v>
      </c>
      <c r="G10" s="364" t="s">
        <v>2310</v>
      </c>
      <c r="H10" s="364" t="s">
        <v>2316</v>
      </c>
      <c r="I10" s="364" t="s">
        <v>2479</v>
      </c>
      <c r="J10" s="364" t="s">
        <v>184</v>
      </c>
      <c r="K10" s="364" t="s">
        <v>2318</v>
      </c>
      <c r="L10" s="364" t="s">
        <v>2320</v>
      </c>
      <c r="M10" s="364" t="s">
        <v>2449</v>
      </c>
      <c r="N10" s="364" t="s">
        <v>2375</v>
      </c>
      <c r="O10" s="364" t="s">
        <v>2451</v>
      </c>
      <c r="P10" s="364" t="s">
        <v>2324</v>
      </c>
      <c r="Q10" s="364" t="s">
        <v>2378</v>
      </c>
      <c r="R10" s="364" t="s">
        <v>2328</v>
      </c>
      <c r="S10" s="364" t="s">
        <v>2329</v>
      </c>
      <c r="T10" s="261" t="s">
        <v>183</v>
      </c>
      <c r="U10" s="364" t="s">
        <v>2385</v>
      </c>
      <c r="V10" s="364" t="s">
        <v>2480</v>
      </c>
      <c r="W10" s="364" t="s">
        <v>2460</v>
      </c>
      <c r="X10" s="364" t="s">
        <v>2455</v>
      </c>
      <c r="Y10" s="364" t="s">
        <v>2335</v>
      </c>
      <c r="Z10" s="364" t="s">
        <v>2441</v>
      </c>
      <c r="AA10" s="364" t="s">
        <v>2337</v>
      </c>
      <c r="AB10" s="364" t="s">
        <v>2340</v>
      </c>
      <c r="AC10" s="364" t="s">
        <v>2341</v>
      </c>
      <c r="AD10" s="364" t="s">
        <v>2462</v>
      </c>
      <c r="AE10" s="364" t="s">
        <v>2344</v>
      </c>
      <c r="AF10" s="364" t="s">
        <v>2396</v>
      </c>
      <c r="AG10" s="364" t="s">
        <v>2398</v>
      </c>
      <c r="AH10" s="364" t="s">
        <v>2349</v>
      </c>
      <c r="AI10" s="364" t="s">
        <v>2445</v>
      </c>
      <c r="AJ10" s="364" t="s">
        <v>2456</v>
      </c>
      <c r="AK10" s="364" t="s">
        <v>2400</v>
      </c>
      <c r="AL10" s="364" t="s">
        <v>2463</v>
      </c>
      <c r="AM10" s="364" t="s">
        <v>2446</v>
      </c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64"/>
      <c r="BU10" s="364"/>
      <c r="BV10" s="364"/>
      <c r="BW10" s="364"/>
      <c r="BX10" s="364"/>
      <c r="BY10" s="364"/>
      <c r="BZ10" s="364"/>
      <c r="CA10" s="364"/>
      <c r="CB10" s="364"/>
      <c r="CC10" s="364"/>
      <c r="CD10" s="364"/>
      <c r="CE10" s="364"/>
      <c r="CF10" s="364"/>
      <c r="CG10" s="364"/>
      <c r="CH10" s="364"/>
      <c r="CI10" s="364"/>
      <c r="CJ10" s="364"/>
      <c r="CK10" s="364"/>
      <c r="CL10" s="364"/>
      <c r="CM10" s="364"/>
      <c r="CN10" s="364"/>
      <c r="CO10" s="364"/>
      <c r="CP10" s="364"/>
      <c r="CQ10" s="364"/>
      <c r="CR10" s="364"/>
      <c r="CS10" s="364"/>
      <c r="CT10" s="364"/>
      <c r="CU10" s="364"/>
      <c r="CV10" s="364"/>
      <c r="CW10" s="364"/>
      <c r="CX10" s="364"/>
      <c r="CY10" s="364"/>
      <c r="CZ10" s="364"/>
      <c r="DA10" s="364"/>
      <c r="DB10" s="364"/>
      <c r="DC10" s="364"/>
      <c r="DD10" s="364"/>
      <c r="DE10" s="364"/>
      <c r="DF10" s="364"/>
      <c r="DG10" s="364"/>
      <c r="DH10" s="364"/>
      <c r="DI10" s="364"/>
      <c r="DJ10" s="364"/>
      <c r="DK10" s="364"/>
      <c r="DL10" s="364"/>
      <c r="DM10" s="364"/>
      <c r="DN10" s="364"/>
      <c r="DO10" s="364"/>
      <c r="DP10" s="364"/>
      <c r="DQ10" s="364"/>
      <c r="DR10" s="364"/>
      <c r="DS10" s="364"/>
      <c r="DT10" s="364"/>
      <c r="DU10" s="364"/>
      <c r="DV10" s="364"/>
      <c r="DW10" s="364"/>
      <c r="DX10" s="364"/>
      <c r="DY10" s="364"/>
      <c r="DZ10" s="364"/>
      <c r="EA10" s="364"/>
      <c r="EB10" s="364"/>
      <c r="EC10" s="364"/>
      <c r="ED10" s="364"/>
      <c r="EE10" s="364"/>
      <c r="EF10" s="364"/>
      <c r="EG10" s="364"/>
      <c r="EH10" s="364"/>
      <c r="EI10" s="364"/>
      <c r="EJ10" s="364"/>
      <c r="EK10" s="364"/>
      <c r="EL10" s="364"/>
      <c r="EM10" s="364"/>
      <c r="EN10" s="364"/>
      <c r="EO10" s="364"/>
      <c r="EP10" s="364"/>
      <c r="EQ10" s="364"/>
      <c r="ER10" s="364"/>
      <c r="ES10" s="364"/>
      <c r="ET10" s="364"/>
      <c r="EU10" s="364"/>
      <c r="EV10" s="364"/>
      <c r="EW10" s="364"/>
      <c r="EX10" s="364"/>
      <c r="EY10" s="364"/>
      <c r="EZ10" s="364"/>
      <c r="FA10" s="364"/>
      <c r="FB10" s="364"/>
      <c r="FC10" s="364"/>
      <c r="FD10" s="364"/>
      <c r="FE10" s="364"/>
      <c r="FF10" s="364"/>
      <c r="FG10" s="364"/>
      <c r="FH10" s="364"/>
      <c r="FI10" s="364"/>
      <c r="FJ10" s="364"/>
      <c r="FK10" s="364"/>
    </row>
    <row r="11" customFormat="false" ht="15.75" hidden="false" customHeight="false" outlineLevel="0" collapsed="false">
      <c r="A11" s="364" t="n">
        <v>32</v>
      </c>
      <c r="B11" s="364" t="n">
        <f aca="false">COUNTA(D11:FK11)</f>
        <v>51</v>
      </c>
      <c r="C11" s="364" t="s">
        <v>305</v>
      </c>
      <c r="D11" s="364" t="s">
        <v>2481</v>
      </c>
      <c r="E11" s="364" t="s">
        <v>2482</v>
      </c>
      <c r="F11" s="364" t="s">
        <v>2402</v>
      </c>
      <c r="G11" s="364" t="s">
        <v>2483</v>
      </c>
      <c r="H11" s="364" t="s">
        <v>2310</v>
      </c>
      <c r="I11" s="364" t="s">
        <v>2311</v>
      </c>
      <c r="J11" s="364" t="s">
        <v>2404</v>
      </c>
      <c r="K11" s="364" t="s">
        <v>2312</v>
      </c>
      <c r="L11" s="364" t="s">
        <v>2357</v>
      </c>
      <c r="M11" s="364" t="s">
        <v>2313</v>
      </c>
      <c r="N11" s="364" t="s">
        <v>2466</v>
      </c>
      <c r="O11" s="364" t="s">
        <v>2409</v>
      </c>
      <c r="P11" s="364" t="s">
        <v>2358</v>
      </c>
      <c r="Q11" s="364" t="s">
        <v>2316</v>
      </c>
      <c r="R11" s="364" t="s">
        <v>2363</v>
      </c>
      <c r="S11" s="364" t="s">
        <v>2317</v>
      </c>
      <c r="T11" s="364" t="s">
        <v>2320</v>
      </c>
      <c r="U11" s="364" t="s">
        <v>2367</v>
      </c>
      <c r="V11" s="364" t="s">
        <v>2323</v>
      </c>
      <c r="W11" s="364" t="s">
        <v>2324</v>
      </c>
      <c r="X11" s="364" t="s">
        <v>2484</v>
      </c>
      <c r="Y11" s="364" t="s">
        <v>2327</v>
      </c>
      <c r="Z11" s="364" t="s">
        <v>2328</v>
      </c>
      <c r="AA11" s="364" t="s">
        <v>2329</v>
      </c>
      <c r="AB11" s="364" t="s">
        <v>2485</v>
      </c>
      <c r="AC11" s="364" t="s">
        <v>2438</v>
      </c>
      <c r="AD11" s="364" t="s">
        <v>2381</v>
      </c>
      <c r="AE11" s="364" t="s">
        <v>2331</v>
      </c>
      <c r="AF11" s="364" t="s">
        <v>2486</v>
      </c>
      <c r="AG11" s="364" t="s">
        <v>2452</v>
      </c>
      <c r="AH11" s="364" t="s">
        <v>2454</v>
      </c>
      <c r="AI11" s="364" t="s">
        <v>2487</v>
      </c>
      <c r="AJ11" s="364" t="s">
        <v>2335</v>
      </c>
      <c r="AK11" s="364" t="s">
        <v>2337</v>
      </c>
      <c r="AL11" s="364" t="s">
        <v>2388</v>
      </c>
      <c r="AM11" s="364" t="s">
        <v>2389</v>
      </c>
      <c r="AN11" s="364" t="s">
        <v>2340</v>
      </c>
      <c r="AO11" s="364" t="s">
        <v>2341</v>
      </c>
      <c r="AP11" s="364" t="s">
        <v>2342</v>
      </c>
      <c r="AQ11" s="364" t="s">
        <v>2393</v>
      </c>
      <c r="AR11" s="364" t="s">
        <v>2343</v>
      </c>
      <c r="AS11" s="364" t="s">
        <v>2471</v>
      </c>
      <c r="AT11" s="364" t="s">
        <v>2344</v>
      </c>
      <c r="AU11" s="364" t="s">
        <v>2346</v>
      </c>
      <c r="AV11" s="364" t="s">
        <v>2347</v>
      </c>
      <c r="AW11" s="364" t="s">
        <v>2349</v>
      </c>
      <c r="AX11" s="364" t="s">
        <v>2445</v>
      </c>
      <c r="AY11" s="364" t="s">
        <v>2456</v>
      </c>
      <c r="AZ11" s="364" t="s">
        <v>2488</v>
      </c>
      <c r="BA11" s="364" t="s">
        <v>2350</v>
      </c>
      <c r="BB11" s="364" t="s">
        <v>2489</v>
      </c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4"/>
      <c r="BT11" s="364"/>
      <c r="BU11" s="364"/>
      <c r="BV11" s="364"/>
      <c r="BW11" s="364"/>
      <c r="BX11" s="364"/>
      <c r="BY11" s="364"/>
      <c r="BZ11" s="364"/>
      <c r="CA11" s="364"/>
      <c r="CB11" s="364"/>
      <c r="CC11" s="364"/>
      <c r="CD11" s="364"/>
      <c r="CE11" s="364"/>
      <c r="CF11" s="364"/>
      <c r="CG11" s="364"/>
      <c r="CH11" s="364"/>
      <c r="CI11" s="364"/>
      <c r="CJ11" s="364"/>
      <c r="CK11" s="364"/>
      <c r="CL11" s="364"/>
      <c r="CM11" s="364"/>
      <c r="CN11" s="364"/>
      <c r="CO11" s="364"/>
      <c r="CP11" s="364"/>
      <c r="CQ11" s="364"/>
      <c r="CR11" s="364"/>
      <c r="CS11" s="364"/>
      <c r="CT11" s="364"/>
      <c r="CU11" s="364"/>
      <c r="CV11" s="364"/>
      <c r="CW11" s="364"/>
      <c r="CX11" s="364"/>
      <c r="CY11" s="364"/>
      <c r="CZ11" s="364"/>
      <c r="DA11" s="364"/>
      <c r="DB11" s="364"/>
      <c r="DC11" s="364"/>
      <c r="DD11" s="364"/>
      <c r="DE11" s="364"/>
      <c r="DF11" s="364"/>
      <c r="DG11" s="364"/>
      <c r="DH11" s="364"/>
      <c r="DI11" s="364"/>
      <c r="DJ11" s="364"/>
      <c r="DK11" s="364"/>
      <c r="DL11" s="364"/>
      <c r="DM11" s="364"/>
      <c r="DN11" s="364"/>
      <c r="DO11" s="364"/>
      <c r="DP11" s="364"/>
      <c r="DQ11" s="364"/>
      <c r="DR11" s="364"/>
      <c r="DS11" s="364"/>
      <c r="DT11" s="364"/>
      <c r="DU11" s="364"/>
      <c r="DV11" s="364"/>
      <c r="DW11" s="364"/>
      <c r="DX11" s="364"/>
      <c r="DY11" s="364"/>
      <c r="DZ11" s="364"/>
      <c r="EA11" s="364"/>
      <c r="EB11" s="364"/>
      <c r="EC11" s="364"/>
      <c r="ED11" s="364"/>
      <c r="EE11" s="364"/>
      <c r="EF11" s="364"/>
      <c r="EG11" s="364"/>
      <c r="EH11" s="364"/>
      <c r="EI11" s="364"/>
      <c r="EJ11" s="364"/>
      <c r="EK11" s="364"/>
      <c r="EL11" s="364"/>
      <c r="EM11" s="364"/>
      <c r="EN11" s="364"/>
      <c r="EO11" s="364"/>
      <c r="EP11" s="364"/>
      <c r="EQ11" s="364"/>
      <c r="ER11" s="364"/>
      <c r="ES11" s="364"/>
      <c r="ET11" s="364"/>
      <c r="EU11" s="364"/>
      <c r="EV11" s="364"/>
      <c r="EW11" s="364"/>
      <c r="EX11" s="364"/>
      <c r="EY11" s="364"/>
      <c r="EZ11" s="364"/>
      <c r="FA11" s="364"/>
      <c r="FB11" s="364"/>
      <c r="FC11" s="364"/>
      <c r="FD11" s="364"/>
      <c r="FE11" s="364"/>
      <c r="FF11" s="364"/>
      <c r="FG11" s="364"/>
      <c r="FH11" s="364"/>
      <c r="FI11" s="364"/>
      <c r="FJ11" s="364"/>
      <c r="FK11" s="364"/>
    </row>
    <row r="12" customFormat="false" ht="15.75" hidden="false" customHeight="false" outlineLevel="0" collapsed="false">
      <c r="A12" s="364" t="n">
        <v>34</v>
      </c>
      <c r="B12" s="364" t="n">
        <f aca="false">COUNTA(D12:FK12)</f>
        <v>49</v>
      </c>
      <c r="C12" s="364" t="s">
        <v>310</v>
      </c>
      <c r="D12" s="364" t="s">
        <v>2310</v>
      </c>
      <c r="E12" s="364" t="s">
        <v>2312</v>
      </c>
      <c r="F12" s="364" t="s">
        <v>2356</v>
      </c>
      <c r="G12" s="364" t="s">
        <v>2464</v>
      </c>
      <c r="H12" s="364" t="s">
        <v>138</v>
      </c>
      <c r="I12" s="364" t="s">
        <v>2465</v>
      </c>
      <c r="J12" s="364" t="s">
        <v>2358</v>
      </c>
      <c r="K12" s="364" t="s">
        <v>2316</v>
      </c>
      <c r="L12" s="364" t="s">
        <v>2364</v>
      </c>
      <c r="M12" s="364" t="s">
        <v>2318</v>
      </c>
      <c r="N12" s="364" t="s">
        <v>2436</v>
      </c>
      <c r="O12" s="364" t="s">
        <v>2320</v>
      </c>
      <c r="P12" s="364" t="s">
        <v>2376</v>
      </c>
      <c r="Q12" s="364" t="s">
        <v>2377</v>
      </c>
      <c r="R12" s="364" t="s">
        <v>2324</v>
      </c>
      <c r="S12" s="364" t="s">
        <v>2325</v>
      </c>
      <c r="T12" s="364" t="s">
        <v>2327</v>
      </c>
      <c r="U12" s="364" t="s">
        <v>2328</v>
      </c>
      <c r="V12" s="364" t="s">
        <v>2329</v>
      </c>
      <c r="W12" s="364" t="s">
        <v>2381</v>
      </c>
      <c r="X12" s="364" t="s">
        <v>2330</v>
      </c>
      <c r="Y12" s="364" t="s">
        <v>2382</v>
      </c>
      <c r="Z12" s="364" t="s">
        <v>2383</v>
      </c>
      <c r="AA12" s="261" t="s">
        <v>183</v>
      </c>
      <c r="AB12" s="364" t="s">
        <v>2490</v>
      </c>
      <c r="AC12" s="364" t="s">
        <v>2461</v>
      </c>
      <c r="AD12" s="364" t="s">
        <v>2335</v>
      </c>
      <c r="AE12" s="364" t="s">
        <v>2337</v>
      </c>
      <c r="AF12" s="364" t="s">
        <v>2339</v>
      </c>
      <c r="AG12" s="364" t="s">
        <v>2420</v>
      </c>
      <c r="AH12" s="364" t="s">
        <v>2340</v>
      </c>
      <c r="AI12" s="364" t="s">
        <v>2341</v>
      </c>
      <c r="AJ12" s="364" t="s">
        <v>2391</v>
      </c>
      <c r="AK12" s="364" t="s">
        <v>2470</v>
      </c>
      <c r="AL12" s="364" t="s">
        <v>2422</v>
      </c>
      <c r="AM12" s="364" t="s">
        <v>2393</v>
      </c>
      <c r="AN12" s="364" t="s">
        <v>2344</v>
      </c>
      <c r="AO12" s="364" t="s">
        <v>2347</v>
      </c>
      <c r="AP12" s="364" t="s">
        <v>2397</v>
      </c>
      <c r="AQ12" s="364" t="s">
        <v>2398</v>
      </c>
      <c r="AR12" s="364" t="s">
        <v>2349</v>
      </c>
      <c r="AS12" s="364" t="s">
        <v>2445</v>
      </c>
      <c r="AT12" s="364" t="s">
        <v>2475</v>
      </c>
      <c r="AU12" s="364" t="s">
        <v>2476</v>
      </c>
      <c r="AV12" s="364" t="s">
        <v>2399</v>
      </c>
      <c r="AW12" s="364" t="s">
        <v>2491</v>
      </c>
      <c r="AX12" s="364" t="s">
        <v>2492</v>
      </c>
      <c r="AY12" s="364" t="s">
        <v>2477</v>
      </c>
      <c r="AZ12" s="364" t="s">
        <v>2493</v>
      </c>
      <c r="BA12" s="364"/>
      <c r="BB12" s="364"/>
      <c r="BC12" s="364"/>
      <c r="BD12" s="364"/>
      <c r="BE12" s="364"/>
      <c r="BF12" s="364"/>
      <c r="BG12" s="364"/>
      <c r="BH12" s="364"/>
      <c r="BI12" s="364"/>
      <c r="BJ12" s="364"/>
      <c r="BK12" s="364"/>
      <c r="BL12" s="364"/>
      <c r="BM12" s="364"/>
      <c r="BN12" s="364"/>
      <c r="BO12" s="364"/>
      <c r="BP12" s="364"/>
      <c r="BQ12" s="364"/>
      <c r="BR12" s="364"/>
      <c r="BS12" s="364"/>
      <c r="BT12" s="364"/>
      <c r="BU12" s="364"/>
      <c r="BV12" s="364"/>
      <c r="BW12" s="364"/>
      <c r="BX12" s="364"/>
      <c r="BY12" s="364"/>
      <c r="BZ12" s="364"/>
      <c r="CA12" s="364"/>
      <c r="CB12" s="364"/>
      <c r="CC12" s="364"/>
      <c r="CD12" s="364"/>
      <c r="CE12" s="364"/>
      <c r="CF12" s="364"/>
      <c r="CG12" s="364"/>
      <c r="CH12" s="364"/>
      <c r="CI12" s="364"/>
      <c r="CJ12" s="364"/>
      <c r="CK12" s="364"/>
      <c r="CL12" s="364"/>
      <c r="CM12" s="364"/>
      <c r="CN12" s="364"/>
      <c r="CO12" s="364"/>
      <c r="CP12" s="364"/>
      <c r="CQ12" s="364"/>
      <c r="CR12" s="364"/>
      <c r="CS12" s="364"/>
      <c r="CT12" s="364"/>
      <c r="CU12" s="364"/>
      <c r="CV12" s="364"/>
      <c r="CW12" s="364"/>
      <c r="CX12" s="364"/>
      <c r="CY12" s="364"/>
      <c r="CZ12" s="364"/>
      <c r="DA12" s="364"/>
      <c r="DB12" s="364"/>
      <c r="DC12" s="364"/>
      <c r="DD12" s="364"/>
      <c r="DE12" s="364"/>
      <c r="DF12" s="364"/>
      <c r="DG12" s="364"/>
      <c r="DH12" s="364"/>
      <c r="DI12" s="364"/>
      <c r="DJ12" s="364"/>
      <c r="DK12" s="364"/>
      <c r="DL12" s="364"/>
      <c r="DM12" s="364"/>
      <c r="DN12" s="364"/>
      <c r="DO12" s="364"/>
      <c r="DP12" s="364"/>
      <c r="DQ12" s="364"/>
      <c r="DR12" s="364"/>
      <c r="DS12" s="364"/>
      <c r="DT12" s="364"/>
      <c r="DU12" s="364"/>
      <c r="DV12" s="364"/>
      <c r="DW12" s="364"/>
      <c r="DX12" s="364"/>
      <c r="DY12" s="364"/>
      <c r="DZ12" s="364"/>
      <c r="EA12" s="364"/>
      <c r="EB12" s="364"/>
      <c r="EC12" s="364"/>
      <c r="ED12" s="364"/>
      <c r="EE12" s="364"/>
      <c r="EF12" s="364"/>
      <c r="EG12" s="364"/>
      <c r="EH12" s="364"/>
      <c r="EI12" s="364"/>
      <c r="EJ12" s="364"/>
      <c r="EK12" s="364"/>
      <c r="EL12" s="364"/>
      <c r="EM12" s="364"/>
      <c r="EN12" s="364"/>
      <c r="EO12" s="364"/>
      <c r="EP12" s="364"/>
      <c r="EQ12" s="364"/>
      <c r="ER12" s="364"/>
      <c r="ES12" s="364"/>
      <c r="ET12" s="364"/>
      <c r="EU12" s="364"/>
      <c r="EV12" s="364"/>
      <c r="EW12" s="364"/>
      <c r="EX12" s="364"/>
      <c r="EY12" s="364"/>
      <c r="EZ12" s="364"/>
      <c r="FA12" s="364"/>
      <c r="FB12" s="364"/>
      <c r="FC12" s="364"/>
      <c r="FD12" s="364"/>
      <c r="FE12" s="364"/>
      <c r="FF12" s="364"/>
      <c r="FG12" s="364"/>
      <c r="FH12" s="364"/>
      <c r="FI12" s="364"/>
      <c r="FJ12" s="364"/>
      <c r="FK12" s="364"/>
    </row>
    <row r="13" customFormat="false" ht="15.75" hidden="false" customHeight="false" outlineLevel="0" collapsed="false">
      <c r="A13" s="364" t="n">
        <v>35</v>
      </c>
      <c r="B13" s="364" t="n">
        <f aca="false">COUNTA(D13:FK13)</f>
        <v>29</v>
      </c>
      <c r="C13" s="364" t="s">
        <v>2494</v>
      </c>
      <c r="D13" s="364" t="s">
        <v>2356</v>
      </c>
      <c r="E13" s="364" t="s">
        <v>2464</v>
      </c>
      <c r="F13" s="364" t="s">
        <v>2465</v>
      </c>
      <c r="G13" s="364" t="s">
        <v>2318</v>
      </c>
      <c r="H13" s="364" t="s">
        <v>2436</v>
      </c>
      <c r="I13" s="364" t="s">
        <v>2320</v>
      </c>
      <c r="J13" s="364" t="s">
        <v>2376</v>
      </c>
      <c r="K13" s="364" t="s">
        <v>2377</v>
      </c>
      <c r="L13" s="364" t="s">
        <v>2324</v>
      </c>
      <c r="M13" s="364" t="s">
        <v>2325</v>
      </c>
      <c r="N13" s="364" t="s">
        <v>2328</v>
      </c>
      <c r="O13" s="364" t="s">
        <v>2329</v>
      </c>
      <c r="P13" s="364" t="s">
        <v>2381</v>
      </c>
      <c r="Q13" s="364" t="s">
        <v>2330</v>
      </c>
      <c r="R13" s="364" t="s">
        <v>157</v>
      </c>
      <c r="S13" s="364" t="s">
        <v>2495</v>
      </c>
      <c r="T13" s="364" t="s">
        <v>2461</v>
      </c>
      <c r="U13" s="364" t="s">
        <v>2337</v>
      </c>
      <c r="V13" s="364" t="s">
        <v>2340</v>
      </c>
      <c r="W13" s="364" t="s">
        <v>2470</v>
      </c>
      <c r="X13" s="364" t="s">
        <v>2422</v>
      </c>
      <c r="Y13" s="364" t="s">
        <v>2344</v>
      </c>
      <c r="Z13" s="364" t="s">
        <v>2445</v>
      </c>
      <c r="AA13" s="364" t="s">
        <v>2475</v>
      </c>
      <c r="AB13" s="364" t="s">
        <v>2476</v>
      </c>
      <c r="AC13" s="364" t="s">
        <v>2399</v>
      </c>
      <c r="AD13" s="364" t="s">
        <v>2491</v>
      </c>
      <c r="AE13" s="364" t="s">
        <v>2492</v>
      </c>
      <c r="AF13" s="364" t="s">
        <v>2477</v>
      </c>
      <c r="AG13" s="364"/>
      <c r="AH13" s="364"/>
      <c r="AI13" s="364"/>
      <c r="AJ13" s="364"/>
      <c r="AK13" s="364"/>
      <c r="AL13" s="364"/>
      <c r="AM13" s="364"/>
      <c r="AN13" s="364"/>
      <c r="AO13" s="364"/>
      <c r="AP13" s="364"/>
      <c r="AQ13" s="364"/>
      <c r="AR13" s="364"/>
      <c r="AS13" s="364"/>
      <c r="AT13" s="364"/>
      <c r="AU13" s="364"/>
      <c r="AV13" s="364"/>
      <c r="AW13" s="364"/>
      <c r="AX13" s="364"/>
      <c r="AY13" s="364"/>
      <c r="AZ13" s="364"/>
      <c r="BA13" s="364"/>
      <c r="BB13" s="364"/>
      <c r="BC13" s="364"/>
      <c r="BD13" s="364"/>
      <c r="BE13" s="364"/>
      <c r="BF13" s="364"/>
      <c r="BG13" s="364"/>
      <c r="BH13" s="364"/>
      <c r="BI13" s="364"/>
      <c r="BJ13" s="364"/>
      <c r="BK13" s="364"/>
      <c r="BL13" s="364"/>
      <c r="BM13" s="364"/>
      <c r="BN13" s="364"/>
      <c r="BO13" s="364"/>
      <c r="BP13" s="364"/>
      <c r="BQ13" s="364"/>
      <c r="BR13" s="364"/>
      <c r="BS13" s="364"/>
      <c r="BT13" s="364"/>
      <c r="BU13" s="364"/>
      <c r="BV13" s="364"/>
      <c r="BW13" s="364"/>
      <c r="BX13" s="364"/>
      <c r="BY13" s="364"/>
      <c r="BZ13" s="364"/>
      <c r="CA13" s="364"/>
      <c r="CB13" s="364"/>
      <c r="CC13" s="364"/>
      <c r="CD13" s="364"/>
      <c r="CE13" s="364"/>
      <c r="CF13" s="364"/>
      <c r="CG13" s="364"/>
      <c r="CH13" s="364"/>
      <c r="CI13" s="364"/>
      <c r="CJ13" s="364"/>
      <c r="CK13" s="364"/>
      <c r="CL13" s="364"/>
      <c r="CM13" s="364"/>
      <c r="CN13" s="364"/>
      <c r="CO13" s="364"/>
      <c r="CP13" s="364"/>
      <c r="CQ13" s="364"/>
      <c r="CR13" s="364"/>
      <c r="CS13" s="364"/>
      <c r="CT13" s="364"/>
      <c r="CU13" s="364"/>
      <c r="CV13" s="364"/>
      <c r="CW13" s="364"/>
      <c r="CX13" s="364"/>
      <c r="CY13" s="364"/>
      <c r="CZ13" s="364"/>
      <c r="DA13" s="364"/>
      <c r="DB13" s="364"/>
      <c r="DC13" s="364"/>
      <c r="DD13" s="364"/>
      <c r="DE13" s="364"/>
      <c r="DF13" s="364"/>
      <c r="DG13" s="364"/>
      <c r="DH13" s="364"/>
      <c r="DI13" s="364"/>
      <c r="DJ13" s="364"/>
      <c r="DK13" s="364"/>
      <c r="DL13" s="364"/>
      <c r="DM13" s="364"/>
      <c r="DN13" s="364"/>
      <c r="DO13" s="364"/>
      <c r="DP13" s="364"/>
      <c r="DQ13" s="364"/>
      <c r="DR13" s="364"/>
      <c r="DS13" s="364"/>
      <c r="DT13" s="364"/>
      <c r="DU13" s="364"/>
      <c r="DV13" s="364"/>
      <c r="DW13" s="364"/>
      <c r="DX13" s="364"/>
      <c r="DY13" s="364"/>
      <c r="DZ13" s="364"/>
      <c r="EA13" s="364"/>
      <c r="EB13" s="364"/>
      <c r="EC13" s="364"/>
      <c r="ED13" s="364"/>
      <c r="EE13" s="364"/>
      <c r="EF13" s="364"/>
      <c r="EG13" s="364"/>
      <c r="EH13" s="364"/>
      <c r="EI13" s="364"/>
      <c r="EJ13" s="364"/>
      <c r="EK13" s="364"/>
      <c r="EL13" s="364"/>
      <c r="EM13" s="364"/>
      <c r="EN13" s="364"/>
      <c r="EO13" s="364"/>
      <c r="EP13" s="364"/>
      <c r="EQ13" s="364"/>
      <c r="ER13" s="364"/>
      <c r="ES13" s="364"/>
      <c r="ET13" s="364"/>
      <c r="EU13" s="364"/>
      <c r="EV13" s="364"/>
      <c r="EW13" s="364"/>
      <c r="EX13" s="364"/>
      <c r="EY13" s="364"/>
      <c r="EZ13" s="364"/>
      <c r="FA13" s="364"/>
      <c r="FB13" s="364"/>
      <c r="FC13" s="364"/>
      <c r="FD13" s="364"/>
      <c r="FE13" s="364"/>
      <c r="FF13" s="364"/>
      <c r="FG13" s="364"/>
      <c r="FH13" s="364"/>
      <c r="FI13" s="364"/>
      <c r="FJ13" s="364"/>
      <c r="FK13" s="364"/>
    </row>
    <row r="14" customFormat="false" ht="15.75" hidden="false" customHeight="false" outlineLevel="0" collapsed="false">
      <c r="A14" s="364" t="n">
        <v>38</v>
      </c>
      <c r="B14" s="364" t="n">
        <f aca="false">COUNTA(D14:FK14)</f>
        <v>55</v>
      </c>
      <c r="C14" s="364" t="s">
        <v>320</v>
      </c>
      <c r="D14" s="364" t="s">
        <v>2352</v>
      </c>
      <c r="E14" s="364" t="s">
        <v>2310</v>
      </c>
      <c r="F14" s="364" t="s">
        <v>2312</v>
      </c>
      <c r="G14" s="364" t="s">
        <v>2356</v>
      </c>
      <c r="H14" s="364" t="s">
        <v>2313</v>
      </c>
      <c r="I14" s="364" t="s">
        <v>138</v>
      </c>
      <c r="J14" s="364" t="s">
        <v>2465</v>
      </c>
      <c r="K14" s="364" t="s">
        <v>2496</v>
      </c>
      <c r="L14" s="364" t="s">
        <v>2315</v>
      </c>
      <c r="M14" s="364" t="s">
        <v>2358</v>
      </c>
      <c r="N14" s="364" t="s">
        <v>2316</v>
      </c>
      <c r="O14" s="364" t="s">
        <v>2364</v>
      </c>
      <c r="P14" s="364" t="s">
        <v>2497</v>
      </c>
      <c r="Q14" s="364" t="s">
        <v>2317</v>
      </c>
      <c r="R14" s="364" t="s">
        <v>2320</v>
      </c>
      <c r="S14" s="364" t="s">
        <v>2376</v>
      </c>
      <c r="T14" s="364" t="s">
        <v>2377</v>
      </c>
      <c r="U14" s="364" t="s">
        <v>2322</v>
      </c>
      <c r="V14" s="364" t="s">
        <v>2498</v>
      </c>
      <c r="W14" s="364" t="s">
        <v>2324</v>
      </c>
      <c r="X14" s="364" t="s">
        <v>2412</v>
      </c>
      <c r="Y14" s="364" t="s">
        <v>2327</v>
      </c>
      <c r="Z14" s="364" t="s">
        <v>2328</v>
      </c>
      <c r="AA14" s="364" t="s">
        <v>2329</v>
      </c>
      <c r="AB14" s="364" t="s">
        <v>2381</v>
      </c>
      <c r="AC14" s="364" t="s">
        <v>2330</v>
      </c>
      <c r="AD14" s="261" t="s">
        <v>183</v>
      </c>
      <c r="AE14" s="364" t="s">
        <v>2454</v>
      </c>
      <c r="AF14" s="364" t="s">
        <v>2487</v>
      </c>
      <c r="AG14" s="364" t="s">
        <v>2335</v>
      </c>
      <c r="AH14" s="364" t="s">
        <v>2419</v>
      </c>
      <c r="AI14" s="364" t="s">
        <v>2337</v>
      </c>
      <c r="AJ14" s="364" t="s">
        <v>2338</v>
      </c>
      <c r="AK14" s="364" t="s">
        <v>2388</v>
      </c>
      <c r="AL14" s="364" t="s">
        <v>2339</v>
      </c>
      <c r="AM14" s="364" t="s">
        <v>2389</v>
      </c>
      <c r="AN14" s="364" t="s">
        <v>2420</v>
      </c>
      <c r="AO14" s="364" t="s">
        <v>2340</v>
      </c>
      <c r="AP14" s="364" t="s">
        <v>2499</v>
      </c>
      <c r="AQ14" s="364" t="s">
        <v>2390</v>
      </c>
      <c r="AR14" s="364" t="s">
        <v>2341</v>
      </c>
      <c r="AS14" s="364" t="s">
        <v>2391</v>
      </c>
      <c r="AT14" s="364" t="s">
        <v>2392</v>
      </c>
      <c r="AU14" s="364" t="s">
        <v>2393</v>
      </c>
      <c r="AV14" s="364" t="s">
        <v>2395</v>
      </c>
      <c r="AW14" s="364" t="s">
        <v>2344</v>
      </c>
      <c r="AX14" s="364" t="s">
        <v>2346</v>
      </c>
      <c r="AY14" s="364" t="s">
        <v>2500</v>
      </c>
      <c r="AZ14" s="364" t="s">
        <v>2347</v>
      </c>
      <c r="BA14" s="364" t="s">
        <v>2397</v>
      </c>
      <c r="BB14" s="364" t="s">
        <v>2474</v>
      </c>
      <c r="BC14" s="364" t="s">
        <v>2398</v>
      </c>
      <c r="BD14" s="364" t="s">
        <v>2349</v>
      </c>
      <c r="BE14" s="364" t="s">
        <v>2445</v>
      </c>
      <c r="BF14" s="364" t="s">
        <v>2458</v>
      </c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/>
      <c r="BT14" s="364"/>
      <c r="BU14" s="364"/>
      <c r="BV14" s="364"/>
      <c r="BW14" s="364"/>
      <c r="BX14" s="364"/>
      <c r="BY14" s="364"/>
      <c r="BZ14" s="364"/>
      <c r="CA14" s="364"/>
      <c r="CB14" s="364"/>
      <c r="CC14" s="364"/>
      <c r="CD14" s="364"/>
      <c r="CE14" s="364"/>
      <c r="CF14" s="364"/>
      <c r="CG14" s="364"/>
      <c r="CH14" s="364"/>
      <c r="CI14" s="364"/>
      <c r="CJ14" s="364"/>
      <c r="CK14" s="364"/>
      <c r="CL14" s="364"/>
      <c r="CM14" s="364"/>
      <c r="CN14" s="364"/>
      <c r="CO14" s="364"/>
      <c r="CP14" s="364"/>
      <c r="CQ14" s="364"/>
      <c r="CR14" s="364"/>
      <c r="CS14" s="364"/>
      <c r="CT14" s="364"/>
      <c r="CU14" s="364"/>
      <c r="CV14" s="364"/>
      <c r="CW14" s="364"/>
      <c r="CX14" s="364"/>
      <c r="CY14" s="364"/>
      <c r="CZ14" s="364"/>
      <c r="DA14" s="364"/>
      <c r="DB14" s="364"/>
      <c r="DC14" s="364"/>
      <c r="DD14" s="364"/>
      <c r="DE14" s="364"/>
      <c r="DF14" s="364"/>
      <c r="DG14" s="364"/>
      <c r="DH14" s="364"/>
      <c r="DI14" s="364"/>
      <c r="DJ14" s="364"/>
      <c r="DK14" s="364"/>
      <c r="DL14" s="364"/>
      <c r="DM14" s="364"/>
      <c r="DN14" s="364"/>
      <c r="DO14" s="364"/>
      <c r="DP14" s="364"/>
      <c r="DQ14" s="364"/>
      <c r="DR14" s="364"/>
      <c r="DS14" s="364"/>
      <c r="DT14" s="364"/>
      <c r="DU14" s="364"/>
      <c r="DV14" s="364"/>
      <c r="DW14" s="364"/>
      <c r="DX14" s="364"/>
      <c r="DY14" s="364"/>
      <c r="DZ14" s="364"/>
      <c r="EA14" s="364"/>
      <c r="EB14" s="364"/>
      <c r="EC14" s="364"/>
      <c r="ED14" s="364"/>
      <c r="EE14" s="364"/>
      <c r="EF14" s="364"/>
      <c r="EG14" s="364"/>
      <c r="EH14" s="364"/>
      <c r="EI14" s="364"/>
      <c r="EJ14" s="364"/>
      <c r="EK14" s="364"/>
      <c r="EL14" s="364"/>
      <c r="EM14" s="364"/>
      <c r="EN14" s="364"/>
      <c r="EO14" s="364"/>
      <c r="EP14" s="364"/>
      <c r="EQ14" s="364"/>
      <c r="ER14" s="364"/>
      <c r="ES14" s="364"/>
      <c r="ET14" s="364"/>
      <c r="EU14" s="364"/>
      <c r="EV14" s="364"/>
      <c r="EW14" s="364"/>
      <c r="EX14" s="364"/>
      <c r="EY14" s="364"/>
      <c r="EZ14" s="364"/>
      <c r="FA14" s="364"/>
      <c r="FB14" s="364"/>
      <c r="FC14" s="364"/>
      <c r="FD14" s="364"/>
      <c r="FE14" s="364"/>
      <c r="FF14" s="364"/>
      <c r="FG14" s="364"/>
      <c r="FH14" s="364"/>
      <c r="FI14" s="364"/>
      <c r="FJ14" s="364"/>
      <c r="FK14" s="364"/>
    </row>
    <row r="15" customFormat="false" ht="15.75" hidden="false" customHeight="false" outlineLevel="0" collapsed="false">
      <c r="A15" s="364" t="n">
        <v>39</v>
      </c>
      <c r="B15" s="364" t="n">
        <f aca="false">COUNTA(D15:FK15)</f>
        <v>38</v>
      </c>
      <c r="C15" s="364" t="s">
        <v>2501</v>
      </c>
      <c r="D15" s="364" t="s">
        <v>2352</v>
      </c>
      <c r="E15" s="364" t="s">
        <v>2402</v>
      </c>
      <c r="F15" s="364" t="s">
        <v>2405</v>
      </c>
      <c r="G15" s="364" t="s">
        <v>2356</v>
      </c>
      <c r="H15" s="364" t="s">
        <v>2313</v>
      </c>
      <c r="I15" s="364" t="s">
        <v>2465</v>
      </c>
      <c r="J15" s="364" t="s">
        <v>184</v>
      </c>
      <c r="K15" s="364" t="s">
        <v>2317</v>
      </c>
      <c r="L15" s="364" t="s">
        <v>2320</v>
      </c>
      <c r="M15" s="364" t="s">
        <v>2376</v>
      </c>
      <c r="N15" s="364" t="s">
        <v>2377</v>
      </c>
      <c r="O15" s="364" t="s">
        <v>2502</v>
      </c>
      <c r="P15" s="364" t="s">
        <v>2324</v>
      </c>
      <c r="Q15" s="364" t="s">
        <v>2412</v>
      </c>
      <c r="R15" s="364" t="s">
        <v>2328</v>
      </c>
      <c r="S15" s="364" t="s">
        <v>2329</v>
      </c>
      <c r="T15" s="364" t="s">
        <v>2503</v>
      </c>
      <c r="U15" s="364" t="s">
        <v>2416</v>
      </c>
      <c r="V15" s="364" t="s">
        <v>2504</v>
      </c>
      <c r="W15" s="364" t="s">
        <v>2505</v>
      </c>
      <c r="X15" s="364" t="s">
        <v>2417</v>
      </c>
      <c r="Y15" s="364" t="s">
        <v>2506</v>
      </c>
      <c r="Z15" s="364" t="s">
        <v>2381</v>
      </c>
      <c r="AA15" s="364" t="s">
        <v>2330</v>
      </c>
      <c r="AB15" s="364" t="s">
        <v>2507</v>
      </c>
      <c r="AC15" s="364" t="s">
        <v>2508</v>
      </c>
      <c r="AD15" s="364" t="s">
        <v>2384</v>
      </c>
      <c r="AE15" s="364" t="s">
        <v>2454</v>
      </c>
      <c r="AF15" s="364" t="s">
        <v>2337</v>
      </c>
      <c r="AG15" s="364" t="s">
        <v>2388</v>
      </c>
      <c r="AH15" s="364" t="s">
        <v>2340</v>
      </c>
      <c r="AI15" s="364" t="s">
        <v>2392</v>
      </c>
      <c r="AJ15" s="364" t="s">
        <v>2395</v>
      </c>
      <c r="AK15" s="364" t="s">
        <v>2344</v>
      </c>
      <c r="AL15" s="364" t="s">
        <v>2474</v>
      </c>
      <c r="AM15" s="364" t="s">
        <v>2445</v>
      </c>
      <c r="AN15" s="364" t="s">
        <v>2456</v>
      </c>
      <c r="AO15" s="364" t="s">
        <v>2458</v>
      </c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A15" s="364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/>
      <c r="BQ15" s="364"/>
      <c r="BR15" s="364"/>
      <c r="BS15" s="364"/>
      <c r="BT15" s="364"/>
      <c r="BU15" s="364"/>
      <c r="BV15" s="364"/>
      <c r="BW15" s="364"/>
      <c r="BX15" s="364"/>
      <c r="BY15" s="364"/>
      <c r="BZ15" s="364"/>
      <c r="CA15" s="364"/>
      <c r="CB15" s="364"/>
      <c r="CC15" s="364"/>
      <c r="CD15" s="364"/>
      <c r="CE15" s="364"/>
      <c r="CF15" s="364"/>
      <c r="CG15" s="364"/>
      <c r="CH15" s="364"/>
      <c r="CI15" s="364"/>
      <c r="CJ15" s="364"/>
      <c r="CK15" s="364"/>
      <c r="CL15" s="364"/>
      <c r="CM15" s="364"/>
      <c r="CN15" s="364"/>
      <c r="CO15" s="364"/>
      <c r="CP15" s="364"/>
      <c r="CQ15" s="364"/>
      <c r="CR15" s="364"/>
      <c r="CS15" s="364"/>
      <c r="CT15" s="364"/>
      <c r="CU15" s="364"/>
      <c r="CV15" s="364"/>
      <c r="CW15" s="364"/>
      <c r="CX15" s="364"/>
      <c r="CY15" s="364"/>
      <c r="CZ15" s="364"/>
      <c r="DA15" s="364"/>
      <c r="DB15" s="364"/>
      <c r="DC15" s="364"/>
      <c r="DD15" s="364"/>
      <c r="DE15" s="364"/>
      <c r="DF15" s="364"/>
      <c r="DG15" s="364"/>
      <c r="DH15" s="364"/>
      <c r="DI15" s="364"/>
      <c r="DJ15" s="364"/>
      <c r="DK15" s="364"/>
      <c r="DL15" s="364"/>
      <c r="DM15" s="364"/>
      <c r="DN15" s="364"/>
      <c r="DO15" s="364"/>
      <c r="DP15" s="364"/>
      <c r="DQ15" s="364"/>
      <c r="DR15" s="364"/>
      <c r="DS15" s="364"/>
      <c r="DT15" s="364"/>
      <c r="DU15" s="364"/>
      <c r="DV15" s="364"/>
      <c r="DW15" s="364"/>
      <c r="DX15" s="364"/>
      <c r="DY15" s="364"/>
      <c r="DZ15" s="364"/>
      <c r="EA15" s="364"/>
      <c r="EB15" s="364"/>
      <c r="EC15" s="364"/>
      <c r="ED15" s="364"/>
      <c r="EE15" s="364"/>
      <c r="EF15" s="364"/>
      <c r="EG15" s="364"/>
      <c r="EH15" s="364"/>
      <c r="EI15" s="364"/>
      <c r="EJ15" s="364"/>
      <c r="EK15" s="364"/>
      <c r="EL15" s="364"/>
      <c r="EM15" s="364"/>
      <c r="EN15" s="364"/>
      <c r="EO15" s="364"/>
      <c r="EP15" s="364"/>
      <c r="EQ15" s="364"/>
      <c r="ER15" s="364"/>
      <c r="ES15" s="364"/>
      <c r="ET15" s="364"/>
      <c r="EU15" s="364"/>
      <c r="EV15" s="364"/>
      <c r="EW15" s="364"/>
      <c r="EX15" s="364"/>
      <c r="EY15" s="364"/>
      <c r="EZ15" s="364"/>
      <c r="FA15" s="364"/>
      <c r="FB15" s="364"/>
      <c r="FC15" s="364"/>
      <c r="FD15" s="364"/>
      <c r="FE15" s="364"/>
      <c r="FF15" s="364"/>
      <c r="FG15" s="364"/>
      <c r="FH15" s="364"/>
      <c r="FI15" s="364"/>
      <c r="FJ15" s="364"/>
      <c r="FK15" s="364"/>
    </row>
    <row r="16" customFormat="false" ht="15.75" hidden="false" customHeight="false" outlineLevel="0" collapsed="false">
      <c r="A16" s="364" t="n">
        <v>42</v>
      </c>
      <c r="B16" s="364" t="n">
        <f aca="false">COUNTA(D16:FK16)</f>
        <v>83</v>
      </c>
      <c r="C16" s="364" t="s">
        <v>329</v>
      </c>
      <c r="D16" s="364" t="s">
        <v>2352</v>
      </c>
      <c r="E16" s="364" t="s">
        <v>2402</v>
      </c>
      <c r="F16" s="364" t="s">
        <v>2403</v>
      </c>
      <c r="G16" s="364" t="s">
        <v>2310</v>
      </c>
      <c r="H16" s="364" t="s">
        <v>2405</v>
      </c>
      <c r="I16" s="364" t="s">
        <v>2312</v>
      </c>
      <c r="J16" s="364" t="s">
        <v>2356</v>
      </c>
      <c r="K16" s="364" t="s">
        <v>2408</v>
      </c>
      <c r="L16" s="364" t="s">
        <v>2313</v>
      </c>
      <c r="M16" s="364" t="s">
        <v>2509</v>
      </c>
      <c r="N16" s="364" t="s">
        <v>138</v>
      </c>
      <c r="O16" s="364" t="s">
        <v>2315</v>
      </c>
      <c r="P16" s="364" t="s">
        <v>2358</v>
      </c>
      <c r="Q16" s="364" t="s">
        <v>2316</v>
      </c>
      <c r="R16" s="364" t="s">
        <v>2510</v>
      </c>
      <c r="S16" s="364" t="s">
        <v>2361</v>
      </c>
      <c r="T16" s="364" t="s">
        <v>2363</v>
      </c>
      <c r="U16" s="364" t="s">
        <v>184</v>
      </c>
      <c r="V16" s="364" t="s">
        <v>2364</v>
      </c>
      <c r="W16" s="364" t="s">
        <v>2497</v>
      </c>
      <c r="X16" s="364" t="s">
        <v>2317</v>
      </c>
      <c r="Y16" s="364" t="s">
        <v>2318</v>
      </c>
      <c r="Z16" s="364" t="s">
        <v>2320</v>
      </c>
      <c r="AA16" s="364" t="s">
        <v>2366</v>
      </c>
      <c r="AB16" s="364" t="s">
        <v>2369</v>
      </c>
      <c r="AC16" s="364" t="s">
        <v>2373</v>
      </c>
      <c r="AD16" s="364" t="s">
        <v>2376</v>
      </c>
      <c r="AE16" s="364" t="s">
        <v>2377</v>
      </c>
      <c r="AF16" s="364" t="s">
        <v>2322</v>
      </c>
      <c r="AG16" s="364" t="s">
        <v>2324</v>
      </c>
      <c r="AH16" s="364" t="s">
        <v>2327</v>
      </c>
      <c r="AI16" s="364" t="s">
        <v>2328</v>
      </c>
      <c r="AJ16" s="364" t="s">
        <v>2329</v>
      </c>
      <c r="AK16" s="364" t="s">
        <v>2415</v>
      </c>
      <c r="AL16" s="364" t="s">
        <v>2416</v>
      </c>
      <c r="AM16" s="364" t="s">
        <v>2417</v>
      </c>
      <c r="AN16" s="364" t="s">
        <v>2379</v>
      </c>
      <c r="AO16" s="364" t="s">
        <v>2381</v>
      </c>
      <c r="AP16" s="364" t="s">
        <v>2382</v>
      </c>
      <c r="AQ16" s="364" t="s">
        <v>2383</v>
      </c>
      <c r="AR16" s="261" t="s">
        <v>183</v>
      </c>
      <c r="AS16" s="364" t="s">
        <v>2332</v>
      </c>
      <c r="AT16" s="364" t="s">
        <v>2490</v>
      </c>
      <c r="AU16" s="364" t="s">
        <v>2454</v>
      </c>
      <c r="AV16" s="364" t="s">
        <v>2487</v>
      </c>
      <c r="AW16" s="364" t="s">
        <v>2387</v>
      </c>
      <c r="AX16" s="364" t="s">
        <v>2335</v>
      </c>
      <c r="AY16" s="364" t="s">
        <v>2337</v>
      </c>
      <c r="AZ16" s="364" t="s">
        <v>2338</v>
      </c>
      <c r="BA16" s="364" t="s">
        <v>2388</v>
      </c>
      <c r="BB16" s="364" t="s">
        <v>2339</v>
      </c>
      <c r="BC16" s="364" t="s">
        <v>2389</v>
      </c>
      <c r="BD16" s="364" t="s">
        <v>2340</v>
      </c>
      <c r="BE16" s="364" t="s">
        <v>2390</v>
      </c>
      <c r="BF16" s="364" t="s">
        <v>2341</v>
      </c>
      <c r="BG16" s="364" t="s">
        <v>2391</v>
      </c>
      <c r="BH16" s="364" t="s">
        <v>2442</v>
      </c>
      <c r="BI16" s="364" t="s">
        <v>2392</v>
      </c>
      <c r="BJ16" s="364" t="s">
        <v>2470</v>
      </c>
      <c r="BK16" s="364" t="s">
        <v>2393</v>
      </c>
      <c r="BL16" s="364" t="s">
        <v>2343</v>
      </c>
      <c r="BM16" s="364" t="s">
        <v>2471</v>
      </c>
      <c r="BN16" s="364" t="s">
        <v>2423</v>
      </c>
      <c r="BO16" s="364" t="s">
        <v>2344</v>
      </c>
      <c r="BP16" s="364" t="s">
        <v>2346</v>
      </c>
      <c r="BQ16" s="364" t="s">
        <v>2500</v>
      </c>
      <c r="BR16" s="364" t="s">
        <v>2347</v>
      </c>
      <c r="BS16" s="364" t="s">
        <v>2397</v>
      </c>
      <c r="BT16" s="364" t="s">
        <v>2474</v>
      </c>
      <c r="BU16" s="364" t="s">
        <v>2511</v>
      </c>
      <c r="BV16" s="364" t="s">
        <v>2424</v>
      </c>
      <c r="BW16" s="364" t="s">
        <v>2348</v>
      </c>
      <c r="BX16" s="364" t="s">
        <v>2349</v>
      </c>
      <c r="BY16" s="364" t="s">
        <v>2445</v>
      </c>
      <c r="BZ16" s="364" t="s">
        <v>2456</v>
      </c>
      <c r="CA16" s="364" t="s">
        <v>2475</v>
      </c>
      <c r="CB16" s="364" t="s">
        <v>2476</v>
      </c>
      <c r="CC16" s="364" t="s">
        <v>2399</v>
      </c>
      <c r="CD16" s="364" t="s">
        <v>2463</v>
      </c>
      <c r="CE16" s="364" t="s">
        <v>2350</v>
      </c>
      <c r="CF16" s="364" t="s">
        <v>2426</v>
      </c>
      <c r="CG16" s="364" t="s">
        <v>2428</v>
      </c>
      <c r="CH16" s="364" t="s">
        <v>2429</v>
      </c>
      <c r="CI16" s="364"/>
      <c r="CJ16" s="364"/>
      <c r="CK16" s="364"/>
      <c r="CL16" s="364"/>
      <c r="CM16" s="364"/>
      <c r="CN16" s="364"/>
      <c r="CO16" s="364"/>
      <c r="CP16" s="364"/>
      <c r="CQ16" s="364"/>
      <c r="CR16" s="364"/>
      <c r="CS16" s="364"/>
      <c r="CT16" s="364"/>
      <c r="CU16" s="364"/>
      <c r="CV16" s="364"/>
      <c r="CW16" s="364"/>
      <c r="CX16" s="364"/>
      <c r="CY16" s="364"/>
      <c r="CZ16" s="364"/>
      <c r="DA16" s="364"/>
      <c r="DB16" s="364"/>
      <c r="DC16" s="364"/>
      <c r="DD16" s="364"/>
      <c r="DE16" s="364"/>
      <c r="DF16" s="364"/>
      <c r="DG16" s="364"/>
      <c r="DH16" s="364"/>
      <c r="DI16" s="364"/>
      <c r="DJ16" s="364"/>
      <c r="DK16" s="364"/>
      <c r="DL16" s="364"/>
      <c r="DM16" s="364"/>
      <c r="DN16" s="364"/>
      <c r="DO16" s="364"/>
      <c r="DP16" s="364"/>
      <c r="DQ16" s="364"/>
      <c r="DR16" s="364"/>
      <c r="DS16" s="364"/>
      <c r="DT16" s="364"/>
      <c r="DU16" s="364"/>
      <c r="DV16" s="364"/>
      <c r="DW16" s="364"/>
      <c r="DX16" s="364"/>
      <c r="DY16" s="364"/>
      <c r="DZ16" s="364"/>
      <c r="EA16" s="364"/>
      <c r="EB16" s="364"/>
      <c r="EC16" s="364"/>
      <c r="ED16" s="364"/>
      <c r="EE16" s="364"/>
      <c r="EF16" s="364"/>
      <c r="EG16" s="364"/>
      <c r="EH16" s="364"/>
      <c r="EI16" s="364"/>
      <c r="EJ16" s="364"/>
      <c r="EK16" s="364"/>
      <c r="EL16" s="364"/>
      <c r="EM16" s="364"/>
      <c r="EN16" s="364"/>
      <c r="EO16" s="364"/>
      <c r="EP16" s="364"/>
      <c r="EQ16" s="364"/>
      <c r="ER16" s="364"/>
      <c r="ES16" s="364"/>
      <c r="ET16" s="364"/>
      <c r="EU16" s="364"/>
      <c r="EV16" s="364"/>
      <c r="EW16" s="364"/>
      <c r="EX16" s="364"/>
      <c r="EY16" s="364"/>
      <c r="EZ16" s="364"/>
      <c r="FA16" s="364"/>
      <c r="FB16" s="364"/>
      <c r="FC16" s="364"/>
      <c r="FD16" s="364"/>
      <c r="FE16" s="364"/>
      <c r="FF16" s="364"/>
      <c r="FG16" s="364"/>
      <c r="FH16" s="364"/>
      <c r="FI16" s="364"/>
      <c r="FJ16" s="364"/>
      <c r="FK16" s="364"/>
    </row>
    <row r="17" customFormat="false" ht="15.75" hidden="false" customHeight="false" outlineLevel="0" collapsed="false">
      <c r="A17" s="364" t="n">
        <v>45</v>
      </c>
      <c r="B17" s="364" t="n">
        <f aca="false">COUNTA(D17:FK17)</f>
        <v>87</v>
      </c>
      <c r="C17" s="364" t="s">
        <v>335</v>
      </c>
      <c r="D17" s="364" t="s">
        <v>2402</v>
      </c>
      <c r="E17" s="364" t="s">
        <v>2403</v>
      </c>
      <c r="F17" s="364" t="s">
        <v>2310</v>
      </c>
      <c r="G17" s="364" t="s">
        <v>2405</v>
      </c>
      <c r="H17" s="364" t="s">
        <v>2312</v>
      </c>
      <c r="I17" s="364" t="s">
        <v>2356</v>
      </c>
      <c r="J17" s="364" t="s">
        <v>2408</v>
      </c>
      <c r="K17" s="364" t="s">
        <v>2313</v>
      </c>
      <c r="L17" s="364" t="s">
        <v>2509</v>
      </c>
      <c r="M17" s="364" t="s">
        <v>138</v>
      </c>
      <c r="N17" s="364" t="s">
        <v>2315</v>
      </c>
      <c r="O17" s="364" t="s">
        <v>2358</v>
      </c>
      <c r="P17" s="364" t="s">
        <v>2316</v>
      </c>
      <c r="Q17" s="364" t="s">
        <v>2510</v>
      </c>
      <c r="R17" s="364" t="s">
        <v>2361</v>
      </c>
      <c r="S17" s="364" t="s">
        <v>2363</v>
      </c>
      <c r="T17" s="364" t="s">
        <v>184</v>
      </c>
      <c r="U17" s="364" t="s">
        <v>2364</v>
      </c>
      <c r="V17" s="364" t="s">
        <v>2497</v>
      </c>
      <c r="W17" s="364" t="s">
        <v>2317</v>
      </c>
      <c r="X17" s="364" t="s">
        <v>2318</v>
      </c>
      <c r="Y17" s="364" t="s">
        <v>2320</v>
      </c>
      <c r="Z17" s="364" t="s">
        <v>2366</v>
      </c>
      <c r="AA17" s="364" t="s">
        <v>2369</v>
      </c>
      <c r="AB17" s="364" t="s">
        <v>2373</v>
      </c>
      <c r="AC17" s="364" t="s">
        <v>2376</v>
      </c>
      <c r="AD17" s="364" t="s">
        <v>2377</v>
      </c>
      <c r="AE17" s="364" t="s">
        <v>2322</v>
      </c>
      <c r="AF17" s="364" t="s">
        <v>2324</v>
      </c>
      <c r="AG17" s="364" t="s">
        <v>2327</v>
      </c>
      <c r="AH17" s="364" t="s">
        <v>2328</v>
      </c>
      <c r="AI17" s="364" t="s">
        <v>2512</v>
      </c>
      <c r="AJ17" s="364" t="s">
        <v>2329</v>
      </c>
      <c r="AK17" s="364" t="s">
        <v>2415</v>
      </c>
      <c r="AL17" s="364" t="s">
        <v>2416</v>
      </c>
      <c r="AM17" s="364" t="s">
        <v>2417</v>
      </c>
      <c r="AN17" s="364" t="s">
        <v>2379</v>
      </c>
      <c r="AO17" s="364" t="s">
        <v>2381</v>
      </c>
      <c r="AP17" s="364" t="s">
        <v>2513</v>
      </c>
      <c r="AQ17" s="364" t="s">
        <v>2382</v>
      </c>
      <c r="AR17" s="364" t="s">
        <v>2383</v>
      </c>
      <c r="AS17" s="261" t="s">
        <v>183</v>
      </c>
      <c r="AT17" s="364" t="s">
        <v>2332</v>
      </c>
      <c r="AU17" s="364" t="s">
        <v>2490</v>
      </c>
      <c r="AV17" s="364" t="s">
        <v>2480</v>
      </c>
      <c r="AW17" s="364" t="s">
        <v>2454</v>
      </c>
      <c r="AX17" s="364" t="s">
        <v>2487</v>
      </c>
      <c r="AY17" s="364" t="s">
        <v>2387</v>
      </c>
      <c r="AZ17" s="364" t="s">
        <v>2335</v>
      </c>
      <c r="BA17" s="364" t="s">
        <v>2337</v>
      </c>
      <c r="BB17" s="364" t="s">
        <v>2338</v>
      </c>
      <c r="BC17" s="364" t="s">
        <v>2388</v>
      </c>
      <c r="BD17" s="364" t="s">
        <v>2339</v>
      </c>
      <c r="BE17" s="364" t="s">
        <v>2389</v>
      </c>
      <c r="BF17" s="364" t="s">
        <v>2340</v>
      </c>
      <c r="BG17" s="364" t="s">
        <v>2341</v>
      </c>
      <c r="BH17" s="364" t="s">
        <v>2391</v>
      </c>
      <c r="BI17" s="364" t="s">
        <v>2442</v>
      </c>
      <c r="BJ17" s="364" t="s">
        <v>2392</v>
      </c>
      <c r="BK17" s="364" t="s">
        <v>2470</v>
      </c>
      <c r="BL17" s="364" t="s">
        <v>2393</v>
      </c>
      <c r="BM17" s="364" t="s">
        <v>2343</v>
      </c>
      <c r="BN17" s="364" t="s">
        <v>2471</v>
      </c>
      <c r="BO17" s="364" t="s">
        <v>2423</v>
      </c>
      <c r="BP17" s="364" t="s">
        <v>2514</v>
      </c>
      <c r="BQ17" s="364" t="s">
        <v>2344</v>
      </c>
      <c r="BR17" s="364" t="s">
        <v>2346</v>
      </c>
      <c r="BS17" s="364" t="s">
        <v>2500</v>
      </c>
      <c r="BT17" s="364" t="s">
        <v>2347</v>
      </c>
      <c r="BU17" s="364" t="s">
        <v>2397</v>
      </c>
      <c r="BV17" s="364" t="s">
        <v>2473</v>
      </c>
      <c r="BW17" s="364" t="s">
        <v>2474</v>
      </c>
      <c r="BX17" s="364" t="s">
        <v>2511</v>
      </c>
      <c r="BY17" s="364" t="s">
        <v>2424</v>
      </c>
      <c r="BZ17" s="364" t="s">
        <v>2348</v>
      </c>
      <c r="CA17" s="364" t="s">
        <v>2349</v>
      </c>
      <c r="CB17" s="364" t="s">
        <v>2445</v>
      </c>
      <c r="CC17" s="364" t="s">
        <v>2515</v>
      </c>
      <c r="CD17" s="364" t="s">
        <v>2456</v>
      </c>
      <c r="CE17" s="364" t="s">
        <v>2475</v>
      </c>
      <c r="CF17" s="364" t="s">
        <v>2476</v>
      </c>
      <c r="CG17" s="364" t="s">
        <v>2399</v>
      </c>
      <c r="CH17" s="364" t="s">
        <v>2463</v>
      </c>
      <c r="CI17" s="364" t="s">
        <v>2350</v>
      </c>
      <c r="CJ17" s="364" t="s">
        <v>2426</v>
      </c>
      <c r="CK17" s="364" t="s">
        <v>2428</v>
      </c>
      <c r="CL17" s="364" t="s">
        <v>2429</v>
      </c>
      <c r="CM17" s="364"/>
      <c r="CN17" s="364"/>
      <c r="CO17" s="364"/>
      <c r="CP17" s="364"/>
      <c r="CQ17" s="364"/>
      <c r="CR17" s="364"/>
      <c r="CS17" s="364"/>
      <c r="CT17" s="364"/>
      <c r="CU17" s="364"/>
      <c r="CV17" s="364"/>
      <c r="CW17" s="364"/>
      <c r="CX17" s="364"/>
      <c r="CY17" s="364"/>
      <c r="CZ17" s="364"/>
      <c r="DA17" s="364"/>
      <c r="DB17" s="364"/>
      <c r="DC17" s="364"/>
      <c r="DD17" s="364"/>
      <c r="DE17" s="364"/>
      <c r="DF17" s="364"/>
      <c r="DG17" s="364"/>
      <c r="DH17" s="364"/>
      <c r="DI17" s="364"/>
      <c r="DJ17" s="364"/>
      <c r="DK17" s="364"/>
      <c r="DL17" s="364"/>
      <c r="DM17" s="364"/>
      <c r="DN17" s="364"/>
      <c r="DO17" s="364"/>
      <c r="DP17" s="364"/>
      <c r="DQ17" s="364"/>
      <c r="DR17" s="364"/>
      <c r="DS17" s="364"/>
      <c r="DT17" s="364"/>
      <c r="DU17" s="364"/>
      <c r="DV17" s="364"/>
      <c r="DW17" s="364"/>
      <c r="DX17" s="364"/>
      <c r="DY17" s="364"/>
      <c r="DZ17" s="364"/>
      <c r="EA17" s="364"/>
      <c r="EB17" s="364"/>
      <c r="EC17" s="364"/>
      <c r="ED17" s="364"/>
      <c r="EE17" s="364"/>
      <c r="EF17" s="364"/>
      <c r="EG17" s="364"/>
      <c r="EH17" s="364"/>
      <c r="EI17" s="364"/>
      <c r="EJ17" s="364"/>
      <c r="EK17" s="364"/>
      <c r="EL17" s="364"/>
      <c r="EM17" s="364"/>
      <c r="EN17" s="364"/>
      <c r="EO17" s="364"/>
      <c r="EP17" s="364"/>
      <c r="EQ17" s="364"/>
      <c r="ER17" s="364"/>
      <c r="ES17" s="364"/>
      <c r="ET17" s="364"/>
      <c r="EU17" s="364"/>
      <c r="EV17" s="364"/>
      <c r="EW17" s="364"/>
      <c r="EX17" s="364"/>
      <c r="EY17" s="364"/>
      <c r="EZ17" s="364"/>
      <c r="FA17" s="364"/>
      <c r="FB17" s="364"/>
      <c r="FC17" s="364"/>
      <c r="FD17" s="364"/>
      <c r="FE17" s="364"/>
      <c r="FF17" s="364"/>
      <c r="FG17" s="364"/>
      <c r="FH17" s="364"/>
      <c r="FI17" s="364"/>
      <c r="FJ17" s="364"/>
      <c r="FK17" s="364"/>
    </row>
    <row r="18" customFormat="false" ht="15.75" hidden="false" customHeight="false" outlineLevel="0" collapsed="false">
      <c r="A18" s="364" t="n">
        <v>47</v>
      </c>
      <c r="B18" s="364" t="n">
        <f aca="false">COUNTA(D18:FK18)</f>
        <v>70</v>
      </c>
      <c r="C18" s="364" t="s">
        <v>340</v>
      </c>
      <c r="D18" s="364" t="s">
        <v>2310</v>
      </c>
      <c r="E18" s="364" t="s">
        <v>2405</v>
      </c>
      <c r="F18" s="364" t="s">
        <v>2312</v>
      </c>
      <c r="G18" s="364" t="s">
        <v>2516</v>
      </c>
      <c r="H18" s="364" t="s">
        <v>2356</v>
      </c>
      <c r="I18" s="364" t="s">
        <v>2408</v>
      </c>
      <c r="J18" s="364" t="s">
        <v>2464</v>
      </c>
      <c r="K18" s="364" t="s">
        <v>138</v>
      </c>
      <c r="L18" s="364" t="s">
        <v>2465</v>
      </c>
      <c r="M18" s="364" t="s">
        <v>2517</v>
      </c>
      <c r="N18" s="364" t="s">
        <v>2358</v>
      </c>
      <c r="O18" s="364" t="s">
        <v>2518</v>
      </c>
      <c r="P18" s="364" t="s">
        <v>2316</v>
      </c>
      <c r="Q18" s="364" t="s">
        <v>2519</v>
      </c>
      <c r="R18" s="364" t="s">
        <v>2520</v>
      </c>
      <c r="S18" s="364" t="s">
        <v>2435</v>
      </c>
      <c r="T18" s="364" t="s">
        <v>2364</v>
      </c>
      <c r="U18" s="364" t="s">
        <v>2318</v>
      </c>
      <c r="V18" s="364" t="s">
        <v>2448</v>
      </c>
      <c r="W18" s="364" t="s">
        <v>2320</v>
      </c>
      <c r="X18" s="364" t="s">
        <v>2366</v>
      </c>
      <c r="Y18" s="364" t="s">
        <v>2369</v>
      </c>
      <c r="Z18" s="364" t="s">
        <v>2373</v>
      </c>
      <c r="AA18" s="364" t="s">
        <v>2376</v>
      </c>
      <c r="AB18" s="364" t="s">
        <v>2377</v>
      </c>
      <c r="AC18" s="364" t="s">
        <v>2324</v>
      </c>
      <c r="AD18" s="364" t="s">
        <v>2325</v>
      </c>
      <c r="AE18" s="364" t="s">
        <v>2327</v>
      </c>
      <c r="AF18" s="364" t="s">
        <v>2328</v>
      </c>
      <c r="AG18" s="364" t="s">
        <v>2329</v>
      </c>
      <c r="AH18" s="364" t="s">
        <v>2521</v>
      </c>
      <c r="AI18" s="364" t="s">
        <v>2415</v>
      </c>
      <c r="AJ18" s="364" t="s">
        <v>2416</v>
      </c>
      <c r="AK18" s="364" t="s">
        <v>2417</v>
      </c>
      <c r="AL18" s="364" t="s">
        <v>2379</v>
      </c>
      <c r="AM18" s="364" t="s">
        <v>2381</v>
      </c>
      <c r="AN18" s="364" t="s">
        <v>2330</v>
      </c>
      <c r="AO18" s="364" t="s">
        <v>2468</v>
      </c>
      <c r="AP18" s="364" t="s">
        <v>2382</v>
      </c>
      <c r="AQ18" s="364" t="s">
        <v>2383</v>
      </c>
      <c r="AR18" s="261" t="s">
        <v>183</v>
      </c>
      <c r="AS18" s="364" t="s">
        <v>2387</v>
      </c>
      <c r="AT18" s="364" t="s">
        <v>157</v>
      </c>
      <c r="AU18" s="364" t="s">
        <v>2495</v>
      </c>
      <c r="AV18" s="364" t="s">
        <v>2440</v>
      </c>
      <c r="AW18" s="364" t="s">
        <v>2335</v>
      </c>
      <c r="AX18" s="364" t="s">
        <v>2337</v>
      </c>
      <c r="AY18" s="364" t="s">
        <v>2469</v>
      </c>
      <c r="AZ18" s="364" t="s">
        <v>2339</v>
      </c>
      <c r="BA18" s="364" t="s">
        <v>2420</v>
      </c>
      <c r="BB18" s="364" t="s">
        <v>2340</v>
      </c>
      <c r="BC18" s="364" t="s">
        <v>2341</v>
      </c>
      <c r="BD18" s="364" t="s">
        <v>2391</v>
      </c>
      <c r="BE18" s="364" t="s">
        <v>2442</v>
      </c>
      <c r="BF18" s="364" t="s">
        <v>2470</v>
      </c>
      <c r="BG18" s="364" t="s">
        <v>2422</v>
      </c>
      <c r="BH18" s="364" t="s">
        <v>2393</v>
      </c>
      <c r="BI18" s="364" t="s">
        <v>2344</v>
      </c>
      <c r="BJ18" s="364" t="s">
        <v>2345</v>
      </c>
      <c r="BK18" s="364" t="s">
        <v>2347</v>
      </c>
      <c r="BL18" s="364" t="s">
        <v>2397</v>
      </c>
      <c r="BM18" s="364" t="s">
        <v>2349</v>
      </c>
      <c r="BN18" s="364" t="s">
        <v>2475</v>
      </c>
      <c r="BO18" s="364" t="s">
        <v>2476</v>
      </c>
      <c r="BP18" s="364" t="s">
        <v>2399</v>
      </c>
      <c r="BQ18" s="364" t="s">
        <v>2522</v>
      </c>
      <c r="BR18" s="364" t="s">
        <v>2426</v>
      </c>
      <c r="BS18" s="364" t="s">
        <v>2428</v>
      </c>
      <c r="BT18" s="364" t="s">
        <v>2493</v>
      </c>
      <c r="BU18" s="364" t="s">
        <v>2430</v>
      </c>
      <c r="BV18" s="364"/>
      <c r="BW18" s="364"/>
      <c r="BX18" s="364"/>
      <c r="BY18" s="364"/>
      <c r="BZ18" s="364"/>
      <c r="CA18" s="364"/>
      <c r="CB18" s="364"/>
      <c r="CC18" s="364"/>
      <c r="CD18" s="364"/>
      <c r="CE18" s="364"/>
      <c r="CF18" s="364"/>
      <c r="CG18" s="364"/>
      <c r="CH18" s="364"/>
      <c r="CI18" s="364"/>
      <c r="CJ18" s="364"/>
      <c r="CK18" s="364"/>
      <c r="CL18" s="364"/>
      <c r="CM18" s="364"/>
      <c r="CN18" s="364"/>
      <c r="CO18" s="364"/>
      <c r="CP18" s="364"/>
      <c r="CQ18" s="364"/>
      <c r="CR18" s="364"/>
      <c r="CS18" s="364"/>
      <c r="CT18" s="364"/>
      <c r="CU18" s="364"/>
      <c r="CV18" s="364"/>
      <c r="CW18" s="364"/>
      <c r="CX18" s="364"/>
      <c r="CY18" s="364"/>
      <c r="CZ18" s="364"/>
      <c r="DA18" s="364"/>
      <c r="DB18" s="364"/>
      <c r="DC18" s="364"/>
      <c r="DD18" s="364"/>
      <c r="DE18" s="364"/>
      <c r="DF18" s="364"/>
      <c r="DG18" s="364"/>
      <c r="DH18" s="364"/>
      <c r="DI18" s="364"/>
      <c r="DJ18" s="364"/>
      <c r="DK18" s="364"/>
      <c r="DL18" s="364"/>
      <c r="DM18" s="364"/>
      <c r="DN18" s="364"/>
      <c r="DO18" s="364"/>
      <c r="DP18" s="364"/>
      <c r="DQ18" s="364"/>
      <c r="DR18" s="364"/>
      <c r="DS18" s="364"/>
      <c r="DT18" s="364"/>
      <c r="DU18" s="364"/>
      <c r="DV18" s="364"/>
      <c r="DW18" s="364"/>
      <c r="DX18" s="364"/>
      <c r="DY18" s="364"/>
      <c r="DZ18" s="364"/>
      <c r="EA18" s="364"/>
      <c r="EB18" s="364"/>
      <c r="EC18" s="364"/>
      <c r="ED18" s="364"/>
      <c r="EE18" s="364"/>
      <c r="EF18" s="364"/>
      <c r="EG18" s="364"/>
      <c r="EH18" s="364"/>
      <c r="EI18" s="364"/>
      <c r="EJ18" s="364"/>
      <c r="EK18" s="364"/>
      <c r="EL18" s="364"/>
      <c r="EM18" s="364"/>
      <c r="EN18" s="364"/>
      <c r="EO18" s="364"/>
      <c r="EP18" s="364"/>
      <c r="EQ18" s="364"/>
      <c r="ER18" s="364"/>
      <c r="ES18" s="364"/>
      <c r="ET18" s="364"/>
      <c r="EU18" s="364"/>
      <c r="EV18" s="364"/>
      <c r="EW18" s="364"/>
      <c r="EX18" s="364"/>
      <c r="EY18" s="364"/>
      <c r="EZ18" s="364"/>
      <c r="FA18" s="364"/>
      <c r="FB18" s="364"/>
      <c r="FC18" s="364"/>
      <c r="FD18" s="364"/>
      <c r="FE18" s="364"/>
      <c r="FF18" s="364"/>
      <c r="FG18" s="364"/>
      <c r="FH18" s="364"/>
      <c r="FI18" s="364"/>
      <c r="FJ18" s="364"/>
      <c r="FK18" s="364"/>
    </row>
    <row r="19" customFormat="false" ht="15.75" hidden="false" customHeight="false" outlineLevel="0" collapsed="false">
      <c r="A19" s="364" t="n">
        <v>50</v>
      </c>
      <c r="B19" s="364" t="n">
        <f aca="false">COUNTA(D19:FK19)</f>
        <v>37</v>
      </c>
      <c r="C19" s="364" t="s">
        <v>347</v>
      </c>
      <c r="D19" s="364" t="s">
        <v>2310</v>
      </c>
      <c r="E19" s="364" t="s">
        <v>2312</v>
      </c>
      <c r="F19" s="364" t="s">
        <v>2465</v>
      </c>
      <c r="G19" s="364" t="s">
        <v>2409</v>
      </c>
      <c r="H19" s="364" t="s">
        <v>2358</v>
      </c>
      <c r="I19" s="364" t="s">
        <v>2316</v>
      </c>
      <c r="J19" s="364" t="s">
        <v>2435</v>
      </c>
      <c r="K19" s="364" t="s">
        <v>2365</v>
      </c>
      <c r="L19" s="364" t="s">
        <v>2319</v>
      </c>
      <c r="M19" s="364" t="s">
        <v>2320</v>
      </c>
      <c r="N19" s="364" t="s">
        <v>2366</v>
      </c>
      <c r="O19" s="364" t="s">
        <v>2370</v>
      </c>
      <c r="P19" s="364" t="s">
        <v>2372</v>
      </c>
      <c r="Q19" s="364" t="s">
        <v>2373</v>
      </c>
      <c r="R19" s="364" t="s">
        <v>2523</v>
      </c>
      <c r="S19" s="364" t="s">
        <v>2324</v>
      </c>
      <c r="T19" s="364" t="s">
        <v>2327</v>
      </c>
      <c r="U19" s="364" t="s">
        <v>2378</v>
      </c>
      <c r="V19" s="364" t="s">
        <v>2328</v>
      </c>
      <c r="W19" s="364" t="s">
        <v>2329</v>
      </c>
      <c r="X19" s="364" t="s">
        <v>2379</v>
      </c>
      <c r="Y19" s="364" t="s">
        <v>2381</v>
      </c>
      <c r="Z19" s="364" t="s">
        <v>2385</v>
      </c>
      <c r="AA19" s="364" t="s">
        <v>2386</v>
      </c>
      <c r="AB19" s="364" t="s">
        <v>2452</v>
      </c>
      <c r="AC19" s="364" t="s">
        <v>2495</v>
      </c>
      <c r="AD19" s="364" t="s">
        <v>2461</v>
      </c>
      <c r="AE19" s="364" t="s">
        <v>2335</v>
      </c>
      <c r="AF19" s="364" t="s">
        <v>2337</v>
      </c>
      <c r="AG19" s="364" t="s">
        <v>2340</v>
      </c>
      <c r="AH19" s="364" t="s">
        <v>2341</v>
      </c>
      <c r="AI19" s="364" t="s">
        <v>2393</v>
      </c>
      <c r="AJ19" s="364" t="s">
        <v>2344</v>
      </c>
      <c r="AK19" s="364" t="s">
        <v>2345</v>
      </c>
      <c r="AL19" s="364" t="s">
        <v>2398</v>
      </c>
      <c r="AM19" s="364" t="s">
        <v>2349</v>
      </c>
      <c r="AN19" s="364" t="s">
        <v>2430</v>
      </c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/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4"/>
      <c r="BT19" s="364"/>
      <c r="BU19" s="364"/>
      <c r="BV19" s="364"/>
      <c r="BW19" s="364"/>
      <c r="BX19" s="364"/>
      <c r="BY19" s="364"/>
      <c r="BZ19" s="364"/>
      <c r="CA19" s="364"/>
      <c r="CB19" s="364"/>
      <c r="CC19" s="364"/>
      <c r="CD19" s="364"/>
      <c r="CE19" s="364"/>
      <c r="CF19" s="364"/>
      <c r="CG19" s="364"/>
      <c r="CH19" s="364"/>
      <c r="CI19" s="364"/>
      <c r="CJ19" s="364"/>
      <c r="CK19" s="364"/>
      <c r="CL19" s="364"/>
      <c r="CM19" s="364"/>
      <c r="CN19" s="364"/>
      <c r="CO19" s="364"/>
      <c r="CP19" s="364"/>
      <c r="CQ19" s="364"/>
      <c r="CR19" s="364"/>
      <c r="CS19" s="364"/>
      <c r="CT19" s="364"/>
      <c r="CU19" s="364"/>
      <c r="CV19" s="364"/>
      <c r="CW19" s="364"/>
      <c r="CX19" s="364"/>
      <c r="CY19" s="364"/>
      <c r="CZ19" s="364"/>
      <c r="DA19" s="364"/>
      <c r="DB19" s="364"/>
      <c r="DC19" s="364"/>
      <c r="DD19" s="364"/>
      <c r="DE19" s="364"/>
      <c r="DF19" s="364"/>
      <c r="DG19" s="364"/>
      <c r="DH19" s="364"/>
      <c r="DI19" s="364"/>
      <c r="DJ19" s="364"/>
      <c r="DK19" s="364"/>
      <c r="DL19" s="364"/>
      <c r="DM19" s="364"/>
      <c r="DN19" s="364"/>
      <c r="DO19" s="364"/>
      <c r="DP19" s="364"/>
      <c r="DQ19" s="364"/>
      <c r="DR19" s="364"/>
      <c r="DS19" s="364"/>
      <c r="DT19" s="364"/>
      <c r="DU19" s="364"/>
      <c r="DV19" s="364"/>
      <c r="DW19" s="364"/>
      <c r="DX19" s="364"/>
      <c r="DY19" s="364"/>
      <c r="DZ19" s="364"/>
      <c r="EA19" s="364"/>
      <c r="EB19" s="364"/>
      <c r="EC19" s="364"/>
      <c r="ED19" s="364"/>
      <c r="EE19" s="364"/>
      <c r="EF19" s="364"/>
      <c r="EG19" s="364"/>
      <c r="EH19" s="364"/>
      <c r="EI19" s="364"/>
      <c r="EJ19" s="364"/>
      <c r="EK19" s="364"/>
      <c r="EL19" s="364"/>
      <c r="EM19" s="364"/>
      <c r="EN19" s="364"/>
      <c r="EO19" s="364"/>
      <c r="EP19" s="364"/>
      <c r="EQ19" s="364"/>
      <c r="ER19" s="364"/>
      <c r="ES19" s="364"/>
      <c r="ET19" s="364"/>
      <c r="EU19" s="364"/>
      <c r="EV19" s="364"/>
      <c r="EW19" s="364"/>
      <c r="EX19" s="364"/>
      <c r="EY19" s="364"/>
      <c r="EZ19" s="364"/>
      <c r="FA19" s="364"/>
      <c r="FB19" s="364"/>
      <c r="FC19" s="364"/>
      <c r="FD19" s="364"/>
      <c r="FE19" s="364"/>
      <c r="FF19" s="364"/>
      <c r="FG19" s="364"/>
      <c r="FH19" s="364"/>
      <c r="FI19" s="364"/>
      <c r="FJ19" s="364"/>
      <c r="FK19" s="364"/>
    </row>
    <row r="20" customFormat="false" ht="15.75" hidden="false" customHeight="false" outlineLevel="0" collapsed="false">
      <c r="A20" s="364" t="n">
        <v>51</v>
      </c>
      <c r="B20" s="364" t="n">
        <f aca="false">COUNTA(D20:FK20)</f>
        <v>22</v>
      </c>
      <c r="C20" s="364" t="s">
        <v>2524</v>
      </c>
      <c r="D20" s="364" t="s">
        <v>2402</v>
      </c>
      <c r="E20" s="364" t="s">
        <v>2405</v>
      </c>
      <c r="F20" s="364" t="s">
        <v>2465</v>
      </c>
      <c r="G20" s="364" t="s">
        <v>2409</v>
      </c>
      <c r="H20" s="364" t="s">
        <v>2517</v>
      </c>
      <c r="I20" s="364" t="s">
        <v>2435</v>
      </c>
      <c r="J20" s="364" t="s">
        <v>2320</v>
      </c>
      <c r="K20" s="364" t="s">
        <v>2523</v>
      </c>
      <c r="L20" s="364" t="s">
        <v>2502</v>
      </c>
      <c r="M20" s="364" t="s">
        <v>2324</v>
      </c>
      <c r="N20" s="364" t="s">
        <v>2328</v>
      </c>
      <c r="O20" s="364" t="s">
        <v>2329</v>
      </c>
      <c r="P20" s="364" t="s">
        <v>2415</v>
      </c>
      <c r="Q20" s="364" t="s">
        <v>2525</v>
      </c>
      <c r="R20" s="364" t="s">
        <v>2417</v>
      </c>
      <c r="S20" s="364" t="s">
        <v>2381</v>
      </c>
      <c r="T20" s="364" t="s">
        <v>2452</v>
      </c>
      <c r="U20" s="364" t="s">
        <v>2495</v>
      </c>
      <c r="V20" s="364" t="s">
        <v>2337</v>
      </c>
      <c r="W20" s="364" t="s">
        <v>2340</v>
      </c>
      <c r="X20" s="364" t="s">
        <v>2344</v>
      </c>
      <c r="Y20" s="364" t="s">
        <v>2430</v>
      </c>
      <c r="Z20" s="364"/>
      <c r="AA20" s="364"/>
      <c r="AB20" s="364"/>
      <c r="AC20" s="364"/>
      <c r="AD20" s="364"/>
      <c r="AE20" s="364"/>
      <c r="AF20" s="364"/>
      <c r="AG20" s="364"/>
      <c r="AH20" s="364"/>
      <c r="AI20" s="364"/>
      <c r="AJ20" s="364"/>
      <c r="AK20" s="364"/>
      <c r="AL20" s="364"/>
      <c r="AM20" s="364"/>
      <c r="AN20" s="364"/>
      <c r="AO20" s="364"/>
      <c r="AP20" s="364"/>
      <c r="AQ20" s="364"/>
      <c r="AR20" s="364"/>
      <c r="AS20" s="364"/>
      <c r="AT20" s="364"/>
      <c r="AU20" s="364"/>
      <c r="AV20" s="364"/>
      <c r="AW20" s="364"/>
      <c r="AX20" s="364"/>
      <c r="AY20" s="364"/>
      <c r="AZ20" s="364"/>
      <c r="BA20" s="364"/>
      <c r="BB20" s="364"/>
      <c r="BC20" s="364"/>
      <c r="BD20" s="364"/>
      <c r="BE20" s="364"/>
      <c r="BF20" s="364"/>
      <c r="BG20" s="364"/>
      <c r="BH20" s="364"/>
      <c r="BI20" s="364"/>
      <c r="BJ20" s="364"/>
      <c r="BK20" s="364"/>
      <c r="BL20" s="364"/>
      <c r="BM20" s="364"/>
      <c r="BN20" s="364"/>
      <c r="BO20" s="364"/>
      <c r="BP20" s="364"/>
      <c r="BQ20" s="364"/>
      <c r="BR20" s="364"/>
      <c r="BS20" s="364"/>
      <c r="BT20" s="364"/>
      <c r="BU20" s="364"/>
      <c r="BV20" s="364"/>
      <c r="BW20" s="364"/>
      <c r="BX20" s="364"/>
      <c r="BY20" s="364"/>
      <c r="BZ20" s="364"/>
      <c r="CA20" s="364"/>
      <c r="CB20" s="364"/>
      <c r="CC20" s="364"/>
      <c r="CD20" s="364"/>
      <c r="CE20" s="364"/>
      <c r="CF20" s="364"/>
      <c r="CG20" s="364"/>
      <c r="CH20" s="364"/>
      <c r="CI20" s="364"/>
      <c r="CJ20" s="364"/>
      <c r="CK20" s="364"/>
      <c r="CL20" s="364"/>
      <c r="CM20" s="364"/>
      <c r="CN20" s="364"/>
      <c r="CO20" s="364"/>
      <c r="CP20" s="364"/>
      <c r="CQ20" s="364"/>
      <c r="CR20" s="364"/>
      <c r="CS20" s="364"/>
      <c r="CT20" s="364"/>
      <c r="CU20" s="364"/>
      <c r="CV20" s="364"/>
      <c r="CW20" s="364"/>
      <c r="CX20" s="364"/>
      <c r="CY20" s="364"/>
      <c r="CZ20" s="364"/>
      <c r="DA20" s="364"/>
      <c r="DB20" s="364"/>
      <c r="DC20" s="364"/>
      <c r="DD20" s="364"/>
      <c r="DE20" s="364"/>
      <c r="DF20" s="364"/>
      <c r="DG20" s="364"/>
      <c r="DH20" s="364"/>
      <c r="DI20" s="364"/>
      <c r="DJ20" s="364"/>
      <c r="DK20" s="364"/>
      <c r="DL20" s="364"/>
      <c r="DM20" s="364"/>
      <c r="DN20" s="364"/>
      <c r="DO20" s="364"/>
      <c r="DP20" s="364"/>
      <c r="DQ20" s="364"/>
      <c r="DR20" s="364"/>
      <c r="DS20" s="364"/>
      <c r="DT20" s="364"/>
      <c r="DU20" s="364"/>
      <c r="DV20" s="364"/>
      <c r="DW20" s="364"/>
      <c r="DX20" s="364"/>
      <c r="DY20" s="364"/>
      <c r="DZ20" s="364"/>
      <c r="EA20" s="364"/>
      <c r="EB20" s="364"/>
      <c r="EC20" s="364"/>
      <c r="ED20" s="364"/>
      <c r="EE20" s="364"/>
      <c r="EF20" s="364"/>
      <c r="EG20" s="364"/>
      <c r="EH20" s="364"/>
      <c r="EI20" s="364"/>
      <c r="EJ20" s="364"/>
      <c r="EK20" s="364"/>
      <c r="EL20" s="364"/>
      <c r="EM20" s="364"/>
      <c r="EN20" s="364"/>
      <c r="EO20" s="364"/>
      <c r="EP20" s="364"/>
      <c r="EQ20" s="364"/>
      <c r="ER20" s="364"/>
      <c r="ES20" s="364"/>
      <c r="ET20" s="364"/>
      <c r="EU20" s="364"/>
      <c r="EV20" s="364"/>
      <c r="EW20" s="364"/>
      <c r="EX20" s="364"/>
      <c r="EY20" s="364"/>
      <c r="EZ20" s="364"/>
      <c r="FA20" s="364"/>
      <c r="FB20" s="364"/>
      <c r="FC20" s="364"/>
      <c r="FD20" s="364"/>
      <c r="FE20" s="364"/>
      <c r="FF20" s="364"/>
      <c r="FG20" s="364"/>
      <c r="FH20" s="364"/>
      <c r="FI20" s="364"/>
      <c r="FJ20" s="364"/>
      <c r="FK20" s="364"/>
    </row>
    <row r="21" customFormat="false" ht="15.75" hidden="false" customHeight="false" outlineLevel="0" collapsed="false">
      <c r="A21" s="364" t="n">
        <v>53</v>
      </c>
      <c r="B21" s="364" t="n">
        <f aca="false">COUNTA(D21:FK21)</f>
        <v>67</v>
      </c>
      <c r="C21" s="364" t="s">
        <v>355</v>
      </c>
      <c r="D21" s="364" t="s">
        <v>2310</v>
      </c>
      <c r="E21" s="364" t="s">
        <v>2405</v>
      </c>
      <c r="F21" s="364" t="s">
        <v>2312</v>
      </c>
      <c r="G21" s="364" t="s">
        <v>2516</v>
      </c>
      <c r="H21" s="364" t="s">
        <v>2356</v>
      </c>
      <c r="I21" s="364" t="s">
        <v>2408</v>
      </c>
      <c r="J21" s="364" t="s">
        <v>2464</v>
      </c>
      <c r="K21" s="364" t="s">
        <v>138</v>
      </c>
      <c r="L21" s="364" t="s">
        <v>2465</v>
      </c>
      <c r="M21" s="364" t="s">
        <v>2517</v>
      </c>
      <c r="N21" s="364" t="s">
        <v>2358</v>
      </c>
      <c r="O21" s="364" t="s">
        <v>2316</v>
      </c>
      <c r="P21" s="364" t="s">
        <v>2519</v>
      </c>
      <c r="Q21" s="364" t="s">
        <v>2520</v>
      </c>
      <c r="R21" s="364" t="s">
        <v>2435</v>
      </c>
      <c r="S21" s="364" t="s">
        <v>2364</v>
      </c>
      <c r="T21" s="364" t="s">
        <v>2318</v>
      </c>
      <c r="U21" s="364" t="s">
        <v>2448</v>
      </c>
      <c r="V21" s="364" t="s">
        <v>2320</v>
      </c>
      <c r="W21" s="364" t="s">
        <v>2366</v>
      </c>
      <c r="X21" s="364" t="s">
        <v>2369</v>
      </c>
      <c r="Y21" s="364" t="s">
        <v>2373</v>
      </c>
      <c r="Z21" s="364" t="s">
        <v>2376</v>
      </c>
      <c r="AA21" s="364" t="s">
        <v>2377</v>
      </c>
      <c r="AB21" s="364" t="s">
        <v>2324</v>
      </c>
      <c r="AC21" s="364" t="s">
        <v>2325</v>
      </c>
      <c r="AD21" s="364" t="s">
        <v>2412</v>
      </c>
      <c r="AE21" s="364" t="s">
        <v>2327</v>
      </c>
      <c r="AF21" s="364" t="s">
        <v>2328</v>
      </c>
      <c r="AG21" s="364" t="s">
        <v>2329</v>
      </c>
      <c r="AH21" s="364" t="s">
        <v>2521</v>
      </c>
      <c r="AI21" s="364" t="s">
        <v>2415</v>
      </c>
      <c r="AJ21" s="364" t="s">
        <v>2416</v>
      </c>
      <c r="AK21" s="364" t="s">
        <v>2417</v>
      </c>
      <c r="AL21" s="364" t="s">
        <v>2379</v>
      </c>
      <c r="AM21" s="364" t="s">
        <v>2330</v>
      </c>
      <c r="AN21" s="364" t="s">
        <v>2468</v>
      </c>
      <c r="AO21" s="364" t="s">
        <v>2382</v>
      </c>
      <c r="AP21" s="364" t="s">
        <v>2383</v>
      </c>
      <c r="AQ21" s="261" t="s">
        <v>183</v>
      </c>
      <c r="AR21" s="364" t="s">
        <v>2526</v>
      </c>
      <c r="AS21" s="364" t="s">
        <v>2387</v>
      </c>
      <c r="AT21" s="364" t="s">
        <v>157</v>
      </c>
      <c r="AU21" s="364" t="s">
        <v>2440</v>
      </c>
      <c r="AV21" s="364" t="s">
        <v>2335</v>
      </c>
      <c r="AW21" s="364" t="s">
        <v>2337</v>
      </c>
      <c r="AX21" s="364" t="s">
        <v>2469</v>
      </c>
      <c r="AY21" s="364" t="s">
        <v>2420</v>
      </c>
      <c r="AZ21" s="364" t="s">
        <v>2340</v>
      </c>
      <c r="BA21" s="364" t="s">
        <v>2341</v>
      </c>
      <c r="BB21" s="364" t="s">
        <v>2391</v>
      </c>
      <c r="BC21" s="364" t="s">
        <v>2442</v>
      </c>
      <c r="BD21" s="364" t="s">
        <v>2470</v>
      </c>
      <c r="BE21" s="364" t="s">
        <v>2393</v>
      </c>
      <c r="BF21" s="364" t="s">
        <v>2344</v>
      </c>
      <c r="BG21" s="364" t="s">
        <v>2345</v>
      </c>
      <c r="BH21" s="364" t="s">
        <v>2347</v>
      </c>
      <c r="BI21" s="364" t="s">
        <v>2397</v>
      </c>
      <c r="BJ21" s="364" t="s">
        <v>2349</v>
      </c>
      <c r="BK21" s="364" t="s">
        <v>2475</v>
      </c>
      <c r="BL21" s="364" t="s">
        <v>2476</v>
      </c>
      <c r="BM21" s="364" t="s">
        <v>2399</v>
      </c>
      <c r="BN21" s="364" t="s">
        <v>2522</v>
      </c>
      <c r="BO21" s="364" t="s">
        <v>2426</v>
      </c>
      <c r="BP21" s="364" t="s">
        <v>2428</v>
      </c>
      <c r="BQ21" s="364" t="s">
        <v>2477</v>
      </c>
      <c r="BR21" s="364" t="s">
        <v>2493</v>
      </c>
      <c r="BS21" s="364"/>
      <c r="BT21" s="364"/>
      <c r="BU21" s="364"/>
      <c r="BV21" s="364"/>
      <c r="BW21" s="364"/>
      <c r="BX21" s="364"/>
      <c r="BY21" s="364"/>
      <c r="BZ21" s="364"/>
      <c r="CA21" s="364"/>
      <c r="CB21" s="364"/>
      <c r="CC21" s="364"/>
      <c r="CD21" s="364"/>
      <c r="CE21" s="364"/>
      <c r="CF21" s="364"/>
      <c r="CG21" s="364"/>
      <c r="CH21" s="364"/>
      <c r="CI21" s="364"/>
      <c r="CJ21" s="364"/>
      <c r="CK21" s="364"/>
      <c r="CL21" s="364"/>
      <c r="CM21" s="364"/>
      <c r="CN21" s="364"/>
      <c r="CO21" s="364"/>
      <c r="CP21" s="364"/>
      <c r="CQ21" s="364"/>
      <c r="CR21" s="364"/>
      <c r="CS21" s="364"/>
      <c r="CT21" s="364"/>
      <c r="CU21" s="364"/>
      <c r="CV21" s="364"/>
      <c r="CW21" s="364"/>
      <c r="CX21" s="364"/>
      <c r="CY21" s="364"/>
      <c r="CZ21" s="364"/>
      <c r="DA21" s="364"/>
      <c r="DB21" s="364"/>
      <c r="DC21" s="364"/>
      <c r="DD21" s="364"/>
      <c r="DE21" s="364"/>
      <c r="DF21" s="364"/>
      <c r="DG21" s="364"/>
      <c r="DH21" s="364"/>
      <c r="DI21" s="364"/>
      <c r="DJ21" s="364"/>
      <c r="DK21" s="364"/>
      <c r="DL21" s="364"/>
      <c r="DM21" s="364"/>
      <c r="DN21" s="364"/>
      <c r="DO21" s="364"/>
      <c r="DP21" s="364"/>
      <c r="DQ21" s="364"/>
      <c r="DR21" s="364"/>
      <c r="DS21" s="364"/>
      <c r="DT21" s="364"/>
      <c r="DU21" s="364"/>
      <c r="DV21" s="364"/>
      <c r="DW21" s="364"/>
      <c r="DX21" s="364"/>
      <c r="DY21" s="364"/>
      <c r="DZ21" s="364"/>
      <c r="EA21" s="364"/>
      <c r="EB21" s="364"/>
      <c r="EC21" s="364"/>
      <c r="ED21" s="364"/>
      <c r="EE21" s="364"/>
      <c r="EF21" s="364"/>
      <c r="EG21" s="364"/>
      <c r="EH21" s="364"/>
      <c r="EI21" s="364"/>
      <c r="EJ21" s="364"/>
      <c r="EK21" s="364"/>
      <c r="EL21" s="364"/>
      <c r="EM21" s="364"/>
      <c r="EN21" s="364"/>
      <c r="EO21" s="364"/>
      <c r="EP21" s="364"/>
      <c r="EQ21" s="364"/>
      <c r="ER21" s="364"/>
      <c r="ES21" s="364"/>
      <c r="ET21" s="364"/>
      <c r="EU21" s="364"/>
      <c r="EV21" s="364"/>
      <c r="EW21" s="364"/>
      <c r="EX21" s="364"/>
      <c r="EY21" s="364"/>
      <c r="EZ21" s="364"/>
      <c r="FA21" s="364"/>
      <c r="FB21" s="364"/>
      <c r="FC21" s="364"/>
      <c r="FD21" s="364"/>
      <c r="FE21" s="364"/>
      <c r="FF21" s="364"/>
      <c r="FG21" s="364"/>
      <c r="FH21" s="364"/>
      <c r="FI21" s="364"/>
      <c r="FJ21" s="364"/>
      <c r="FK21" s="364"/>
    </row>
    <row r="22" customFormat="false" ht="15.75" hidden="false" customHeight="false" outlineLevel="0" collapsed="false">
      <c r="A22" s="364" t="n">
        <v>55</v>
      </c>
      <c r="B22" s="364" t="n">
        <f aca="false">COUNTA(D22:FK22)</f>
        <v>41</v>
      </c>
      <c r="C22" s="364" t="s">
        <v>359</v>
      </c>
      <c r="D22" s="364" t="s">
        <v>2527</v>
      </c>
      <c r="E22" s="364" t="s">
        <v>2431</v>
      </c>
      <c r="F22" s="364" t="s">
        <v>2352</v>
      </c>
      <c r="G22" s="364" t="s">
        <v>2353</v>
      </c>
      <c r="H22" s="364" t="s">
        <v>2354</v>
      </c>
      <c r="I22" s="364" t="s">
        <v>2528</v>
      </c>
      <c r="J22" s="364" t="s">
        <v>2310</v>
      </c>
      <c r="K22" s="364" t="s">
        <v>2404</v>
      </c>
      <c r="L22" s="364" t="s">
        <v>2316</v>
      </c>
      <c r="M22" s="364" t="s">
        <v>2320</v>
      </c>
      <c r="N22" s="364" t="s">
        <v>2375</v>
      </c>
      <c r="O22" s="364" t="s">
        <v>2323</v>
      </c>
      <c r="P22" s="364" t="s">
        <v>2324</v>
      </c>
      <c r="Q22" s="364" t="s">
        <v>2378</v>
      </c>
      <c r="R22" s="364" t="s">
        <v>2328</v>
      </c>
      <c r="S22" s="364" t="s">
        <v>2329</v>
      </c>
      <c r="T22" s="364" t="s">
        <v>2507</v>
      </c>
      <c r="U22" s="364" t="s">
        <v>2331</v>
      </c>
      <c r="V22" s="364" t="s">
        <v>2385</v>
      </c>
      <c r="W22" s="364" t="s">
        <v>2452</v>
      </c>
      <c r="X22" s="364" t="s">
        <v>2460</v>
      </c>
      <c r="Y22" s="364" t="s">
        <v>2529</v>
      </c>
      <c r="Z22" s="364" t="s">
        <v>2335</v>
      </c>
      <c r="AA22" s="364" t="s">
        <v>2441</v>
      </c>
      <c r="AB22" s="364" t="s">
        <v>2337</v>
      </c>
      <c r="AC22" s="364" t="s">
        <v>2340</v>
      </c>
      <c r="AD22" s="364" t="s">
        <v>2341</v>
      </c>
      <c r="AE22" s="364" t="s">
        <v>2442</v>
      </c>
      <c r="AF22" s="364" t="s">
        <v>2343</v>
      </c>
      <c r="AG22" s="364" t="s">
        <v>2344</v>
      </c>
      <c r="AH22" s="364" t="s">
        <v>2396</v>
      </c>
      <c r="AI22" s="364" t="s">
        <v>2474</v>
      </c>
      <c r="AJ22" s="364" t="s">
        <v>2398</v>
      </c>
      <c r="AK22" s="364" t="s">
        <v>2349</v>
      </c>
      <c r="AL22" s="364" t="s">
        <v>2445</v>
      </c>
      <c r="AM22" s="364" t="s">
        <v>2400</v>
      </c>
      <c r="AN22" s="364" t="s">
        <v>2463</v>
      </c>
      <c r="AO22" s="364" t="s">
        <v>2446</v>
      </c>
      <c r="AP22" s="364" t="s">
        <v>2350</v>
      </c>
      <c r="AQ22" s="364" t="s">
        <v>2401</v>
      </c>
      <c r="AR22" s="364" t="s">
        <v>2430</v>
      </c>
      <c r="AS22" s="364"/>
      <c r="AT22" s="364"/>
      <c r="AU22" s="364"/>
      <c r="AV22" s="364"/>
      <c r="AW22" s="364"/>
      <c r="AX22" s="364"/>
      <c r="AY22" s="364"/>
      <c r="AZ22" s="364"/>
      <c r="BA22" s="364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4"/>
      <c r="BT22" s="364"/>
      <c r="BU22" s="364"/>
      <c r="BV22" s="364"/>
      <c r="BW22" s="364"/>
      <c r="BX22" s="364"/>
      <c r="BY22" s="364"/>
      <c r="BZ22" s="364"/>
      <c r="CA22" s="364"/>
      <c r="CB22" s="364"/>
      <c r="CC22" s="364"/>
      <c r="CD22" s="364"/>
      <c r="CE22" s="364"/>
      <c r="CF22" s="364"/>
      <c r="CG22" s="364"/>
      <c r="CH22" s="364"/>
      <c r="CI22" s="364"/>
      <c r="CJ22" s="364"/>
      <c r="CK22" s="364"/>
      <c r="CL22" s="364"/>
      <c r="CM22" s="364"/>
      <c r="CN22" s="364"/>
      <c r="CO22" s="364"/>
      <c r="CP22" s="364"/>
      <c r="CQ22" s="364"/>
      <c r="CR22" s="364"/>
      <c r="CS22" s="364"/>
      <c r="CT22" s="364"/>
      <c r="CU22" s="364"/>
      <c r="CV22" s="364"/>
      <c r="CW22" s="364"/>
      <c r="CX22" s="364"/>
      <c r="CY22" s="364"/>
      <c r="CZ22" s="364"/>
      <c r="DA22" s="364"/>
      <c r="DB22" s="364"/>
      <c r="DC22" s="364"/>
      <c r="DD22" s="364"/>
      <c r="DE22" s="364"/>
      <c r="DF22" s="364"/>
      <c r="DG22" s="364"/>
      <c r="DH22" s="364"/>
      <c r="DI22" s="364"/>
      <c r="DJ22" s="364"/>
      <c r="DK22" s="364"/>
      <c r="DL22" s="364"/>
      <c r="DM22" s="364"/>
      <c r="DN22" s="364"/>
      <c r="DO22" s="364"/>
      <c r="DP22" s="364"/>
      <c r="DQ22" s="364"/>
      <c r="DR22" s="364"/>
      <c r="DS22" s="364"/>
      <c r="DT22" s="364"/>
      <c r="DU22" s="364"/>
      <c r="DV22" s="364"/>
      <c r="DW22" s="364"/>
      <c r="DX22" s="364"/>
      <c r="DY22" s="364"/>
      <c r="DZ22" s="364"/>
      <c r="EA22" s="364"/>
      <c r="EB22" s="364"/>
      <c r="EC22" s="364"/>
      <c r="ED22" s="364"/>
      <c r="EE22" s="364"/>
      <c r="EF22" s="364"/>
      <c r="EG22" s="364"/>
      <c r="EH22" s="364"/>
      <c r="EI22" s="364"/>
      <c r="EJ22" s="364"/>
      <c r="EK22" s="364"/>
      <c r="EL22" s="364"/>
      <c r="EM22" s="364"/>
      <c r="EN22" s="364"/>
      <c r="EO22" s="364"/>
      <c r="EP22" s="364"/>
      <c r="EQ22" s="364"/>
      <c r="ER22" s="364"/>
      <c r="ES22" s="364"/>
      <c r="ET22" s="364"/>
      <c r="EU22" s="364"/>
      <c r="EV22" s="364"/>
      <c r="EW22" s="364"/>
      <c r="EX22" s="364"/>
      <c r="EY22" s="364"/>
      <c r="EZ22" s="364"/>
      <c r="FA22" s="364"/>
      <c r="FB22" s="364"/>
      <c r="FC22" s="364"/>
      <c r="FD22" s="364"/>
      <c r="FE22" s="364"/>
      <c r="FF22" s="364"/>
      <c r="FG22" s="364"/>
      <c r="FH22" s="364"/>
      <c r="FI22" s="364"/>
      <c r="FJ22" s="364"/>
      <c r="FK22" s="364"/>
    </row>
    <row r="23" customFormat="false" ht="15.75" hidden="false" customHeight="false" outlineLevel="0" collapsed="false">
      <c r="A23" s="364" t="n">
        <v>58</v>
      </c>
      <c r="B23" s="364" t="n">
        <f aca="false">COUNTA(D23:FK23)</f>
        <v>30</v>
      </c>
      <c r="C23" s="364" t="s">
        <v>365</v>
      </c>
      <c r="D23" s="364" t="s">
        <v>2527</v>
      </c>
      <c r="E23" s="364" t="s">
        <v>2481</v>
      </c>
      <c r="F23" s="364" t="s">
        <v>2310</v>
      </c>
      <c r="G23" s="364" t="s">
        <v>2312</v>
      </c>
      <c r="H23" s="364" t="s">
        <v>2314</v>
      </c>
      <c r="I23" s="364" t="s">
        <v>2315</v>
      </c>
      <c r="J23" s="364" t="s">
        <v>2517</v>
      </c>
      <c r="K23" s="364" t="s">
        <v>2316</v>
      </c>
      <c r="L23" s="364" t="s">
        <v>2520</v>
      </c>
      <c r="M23" s="364" t="s">
        <v>2319</v>
      </c>
      <c r="N23" s="364" t="s">
        <v>2320</v>
      </c>
      <c r="O23" s="364" t="s">
        <v>2323</v>
      </c>
      <c r="P23" s="364" t="s">
        <v>2324</v>
      </c>
      <c r="Q23" s="364" t="s">
        <v>2325</v>
      </c>
      <c r="R23" s="364" t="s">
        <v>2328</v>
      </c>
      <c r="S23" s="364" t="s">
        <v>2329</v>
      </c>
      <c r="T23" s="364" t="s">
        <v>2438</v>
      </c>
      <c r="U23" s="364" t="s">
        <v>2331</v>
      </c>
      <c r="V23" s="364" t="s">
        <v>2333</v>
      </c>
      <c r="W23" s="364" t="s">
        <v>2334</v>
      </c>
      <c r="X23" s="364" t="s">
        <v>2335</v>
      </c>
      <c r="Y23" s="364" t="s">
        <v>2337</v>
      </c>
      <c r="Z23" s="364" t="s">
        <v>2340</v>
      </c>
      <c r="AA23" s="364" t="s">
        <v>2341</v>
      </c>
      <c r="AB23" s="364" t="s">
        <v>2342</v>
      </c>
      <c r="AC23" s="364" t="s">
        <v>2343</v>
      </c>
      <c r="AD23" s="364" t="s">
        <v>2344</v>
      </c>
      <c r="AE23" s="364" t="s">
        <v>2345</v>
      </c>
      <c r="AF23" s="364" t="s">
        <v>2349</v>
      </c>
      <c r="AG23" s="364" t="s">
        <v>2350</v>
      </c>
      <c r="AH23" s="364"/>
      <c r="AI23" s="364"/>
      <c r="AJ23" s="364"/>
      <c r="AK23" s="364"/>
      <c r="AL23" s="364"/>
      <c r="AM23" s="364"/>
      <c r="AN23" s="364"/>
      <c r="AO23" s="364"/>
      <c r="AP23" s="364"/>
      <c r="AQ23" s="364"/>
      <c r="AR23" s="364"/>
      <c r="AS23" s="364"/>
      <c r="AT23" s="364"/>
      <c r="AU23" s="364"/>
      <c r="AV23" s="364"/>
      <c r="AW23" s="364"/>
      <c r="AX23" s="364"/>
      <c r="AY23" s="364"/>
      <c r="AZ23" s="364"/>
      <c r="BA23" s="364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4"/>
      <c r="BT23" s="364"/>
      <c r="BU23" s="364"/>
      <c r="BV23" s="364"/>
      <c r="BW23" s="364"/>
      <c r="BX23" s="364"/>
      <c r="BY23" s="364"/>
      <c r="BZ23" s="364"/>
      <c r="CA23" s="364"/>
      <c r="CB23" s="364"/>
      <c r="CC23" s="364"/>
      <c r="CD23" s="364"/>
      <c r="CE23" s="364"/>
      <c r="CF23" s="364"/>
      <c r="CG23" s="364"/>
      <c r="CH23" s="364"/>
      <c r="CI23" s="364"/>
      <c r="CJ23" s="364"/>
      <c r="CK23" s="364"/>
      <c r="CL23" s="364"/>
      <c r="CM23" s="364"/>
      <c r="CN23" s="364"/>
      <c r="CO23" s="364"/>
      <c r="CP23" s="364"/>
      <c r="CQ23" s="364"/>
      <c r="CR23" s="364"/>
      <c r="CS23" s="364"/>
      <c r="CT23" s="364"/>
      <c r="CU23" s="364"/>
      <c r="CV23" s="364"/>
      <c r="CW23" s="364"/>
      <c r="CX23" s="364"/>
      <c r="CY23" s="364"/>
      <c r="CZ23" s="364"/>
      <c r="DA23" s="364"/>
      <c r="DB23" s="364"/>
      <c r="DC23" s="364"/>
      <c r="DD23" s="364"/>
      <c r="DE23" s="364"/>
      <c r="DF23" s="364"/>
      <c r="DG23" s="364"/>
      <c r="DH23" s="364"/>
      <c r="DI23" s="364"/>
      <c r="DJ23" s="364"/>
      <c r="DK23" s="364"/>
      <c r="DL23" s="364"/>
      <c r="DM23" s="364"/>
      <c r="DN23" s="364"/>
      <c r="DO23" s="364"/>
      <c r="DP23" s="364"/>
      <c r="DQ23" s="364"/>
      <c r="DR23" s="364"/>
      <c r="DS23" s="364"/>
      <c r="DT23" s="364"/>
      <c r="DU23" s="364"/>
      <c r="DV23" s="364"/>
      <c r="DW23" s="364"/>
      <c r="DX23" s="364"/>
      <c r="DY23" s="364"/>
      <c r="DZ23" s="364"/>
      <c r="EA23" s="364"/>
      <c r="EB23" s="364"/>
      <c r="EC23" s="364"/>
      <c r="ED23" s="364"/>
      <c r="EE23" s="364"/>
      <c r="EF23" s="364"/>
      <c r="EG23" s="364"/>
      <c r="EH23" s="364"/>
      <c r="EI23" s="364"/>
      <c r="EJ23" s="364"/>
      <c r="EK23" s="364"/>
      <c r="EL23" s="364"/>
      <c r="EM23" s="364"/>
      <c r="EN23" s="364"/>
      <c r="EO23" s="364"/>
      <c r="EP23" s="364"/>
      <c r="EQ23" s="364"/>
      <c r="ER23" s="364"/>
      <c r="ES23" s="364"/>
      <c r="ET23" s="364"/>
      <c r="EU23" s="364"/>
      <c r="EV23" s="364"/>
      <c r="EW23" s="364"/>
      <c r="EX23" s="364"/>
      <c r="EY23" s="364"/>
      <c r="EZ23" s="364"/>
      <c r="FA23" s="364"/>
      <c r="FB23" s="364"/>
      <c r="FC23" s="364"/>
      <c r="FD23" s="364"/>
      <c r="FE23" s="364"/>
      <c r="FF23" s="364"/>
      <c r="FG23" s="364"/>
      <c r="FH23" s="364"/>
      <c r="FI23" s="364"/>
      <c r="FJ23" s="364"/>
      <c r="FK23" s="364"/>
    </row>
    <row r="24" customFormat="false" ht="15.75" hidden="false" customHeight="false" outlineLevel="0" collapsed="false">
      <c r="A24" s="364" t="n">
        <v>60</v>
      </c>
      <c r="B24" s="364" t="n">
        <f aca="false">COUNTA(D24:FK24)</f>
        <v>42</v>
      </c>
      <c r="C24" s="364" t="s">
        <v>369</v>
      </c>
      <c r="D24" s="364" t="s">
        <v>2527</v>
      </c>
      <c r="E24" s="364" t="s">
        <v>2352</v>
      </c>
      <c r="F24" s="364" t="s">
        <v>2310</v>
      </c>
      <c r="G24" s="364" t="s">
        <v>2312</v>
      </c>
      <c r="H24" s="364" t="s">
        <v>2356</v>
      </c>
      <c r="I24" s="364" t="s">
        <v>2432</v>
      </c>
      <c r="J24" s="364" t="s">
        <v>2314</v>
      </c>
      <c r="K24" s="364" t="s">
        <v>138</v>
      </c>
      <c r="L24" s="364" t="s">
        <v>2530</v>
      </c>
      <c r="M24" s="364" t="s">
        <v>2315</v>
      </c>
      <c r="N24" s="364" t="s">
        <v>2358</v>
      </c>
      <c r="O24" s="364" t="s">
        <v>2316</v>
      </c>
      <c r="P24" s="364" t="s">
        <v>2319</v>
      </c>
      <c r="Q24" s="364" t="s">
        <v>2320</v>
      </c>
      <c r="R24" s="364" t="s">
        <v>2449</v>
      </c>
      <c r="S24" s="364" t="s">
        <v>2322</v>
      </c>
      <c r="T24" s="364" t="s">
        <v>2323</v>
      </c>
      <c r="U24" s="364" t="s">
        <v>2324</v>
      </c>
      <c r="V24" s="364" t="s">
        <v>2325</v>
      </c>
      <c r="W24" s="364" t="s">
        <v>2328</v>
      </c>
      <c r="X24" s="364" t="s">
        <v>2329</v>
      </c>
      <c r="Y24" s="364" t="s">
        <v>2330</v>
      </c>
      <c r="Z24" s="364" t="s">
        <v>2507</v>
      </c>
      <c r="AA24" s="364" t="s">
        <v>2331</v>
      </c>
      <c r="AB24" s="364" t="s">
        <v>2335</v>
      </c>
      <c r="AC24" s="364" t="s">
        <v>2337</v>
      </c>
      <c r="AD24" s="364" t="s">
        <v>2339</v>
      </c>
      <c r="AE24" s="364" t="s">
        <v>2340</v>
      </c>
      <c r="AF24" s="364" t="s">
        <v>2390</v>
      </c>
      <c r="AG24" s="364" t="s">
        <v>2341</v>
      </c>
      <c r="AH24" s="364" t="s">
        <v>2342</v>
      </c>
      <c r="AI24" s="364" t="s">
        <v>2393</v>
      </c>
      <c r="AJ24" s="364" t="s">
        <v>2395</v>
      </c>
      <c r="AK24" s="364" t="s">
        <v>2343</v>
      </c>
      <c r="AL24" s="364" t="s">
        <v>2344</v>
      </c>
      <c r="AM24" s="364" t="s">
        <v>2345</v>
      </c>
      <c r="AN24" s="364" t="s">
        <v>2444</v>
      </c>
      <c r="AO24" s="364" t="s">
        <v>2349</v>
      </c>
      <c r="AP24" s="364" t="s">
        <v>2445</v>
      </c>
      <c r="AQ24" s="364" t="s">
        <v>2456</v>
      </c>
      <c r="AR24" s="364" t="s">
        <v>2350</v>
      </c>
      <c r="AS24" s="364" t="s">
        <v>2458</v>
      </c>
      <c r="AT24" s="364"/>
      <c r="AU24" s="364"/>
      <c r="AV24" s="364"/>
      <c r="AW24" s="364"/>
      <c r="AX24" s="364"/>
      <c r="AY24" s="364"/>
      <c r="AZ24" s="364"/>
      <c r="BA24" s="364"/>
      <c r="BB24" s="364"/>
      <c r="BC24" s="364"/>
      <c r="BD24" s="364"/>
      <c r="BE24" s="364"/>
      <c r="BF24" s="364"/>
      <c r="BG24" s="364"/>
      <c r="BH24" s="364"/>
      <c r="BI24" s="364"/>
      <c r="BJ24" s="364"/>
      <c r="BK24" s="364"/>
      <c r="BL24" s="364"/>
      <c r="BM24" s="364"/>
      <c r="BN24" s="364"/>
      <c r="BO24" s="364"/>
      <c r="BP24" s="364"/>
      <c r="BQ24" s="364"/>
      <c r="BR24" s="364"/>
      <c r="BS24" s="364"/>
      <c r="BT24" s="364"/>
      <c r="BU24" s="364"/>
      <c r="BV24" s="364"/>
      <c r="BW24" s="364"/>
      <c r="BX24" s="364"/>
      <c r="BY24" s="364"/>
      <c r="BZ24" s="364"/>
      <c r="CA24" s="364"/>
      <c r="CB24" s="364"/>
      <c r="CC24" s="364"/>
      <c r="CD24" s="364"/>
      <c r="CE24" s="364"/>
      <c r="CF24" s="364"/>
      <c r="CG24" s="364"/>
      <c r="CH24" s="364"/>
      <c r="CI24" s="364"/>
      <c r="CJ24" s="364"/>
      <c r="CK24" s="364"/>
      <c r="CL24" s="364"/>
      <c r="CM24" s="364"/>
      <c r="CN24" s="364"/>
      <c r="CO24" s="364"/>
      <c r="CP24" s="364"/>
      <c r="CQ24" s="364"/>
      <c r="CR24" s="364"/>
      <c r="CS24" s="364"/>
      <c r="CT24" s="364"/>
      <c r="CU24" s="364"/>
      <c r="CV24" s="364"/>
      <c r="CW24" s="364"/>
      <c r="CX24" s="364"/>
      <c r="CY24" s="364"/>
      <c r="CZ24" s="364"/>
      <c r="DA24" s="364"/>
      <c r="DB24" s="364"/>
      <c r="DC24" s="364"/>
      <c r="DD24" s="364"/>
      <c r="DE24" s="364"/>
      <c r="DF24" s="364"/>
      <c r="DG24" s="364"/>
      <c r="DH24" s="364"/>
      <c r="DI24" s="364"/>
      <c r="DJ24" s="364"/>
      <c r="DK24" s="364"/>
      <c r="DL24" s="364"/>
      <c r="DM24" s="364"/>
      <c r="DN24" s="364"/>
      <c r="DO24" s="364"/>
      <c r="DP24" s="364"/>
      <c r="DQ24" s="364"/>
      <c r="DR24" s="364"/>
      <c r="DS24" s="364"/>
      <c r="DT24" s="364"/>
      <c r="DU24" s="364"/>
      <c r="DV24" s="364"/>
      <c r="DW24" s="364"/>
      <c r="DX24" s="364"/>
      <c r="DY24" s="364"/>
      <c r="DZ24" s="364"/>
      <c r="EA24" s="364"/>
      <c r="EB24" s="364"/>
      <c r="EC24" s="364"/>
      <c r="ED24" s="364"/>
      <c r="EE24" s="364"/>
      <c r="EF24" s="364"/>
      <c r="EG24" s="364"/>
      <c r="EH24" s="364"/>
      <c r="EI24" s="364"/>
      <c r="EJ24" s="364"/>
      <c r="EK24" s="364"/>
      <c r="EL24" s="364"/>
      <c r="EM24" s="364"/>
      <c r="EN24" s="364"/>
      <c r="EO24" s="364"/>
      <c r="EP24" s="364"/>
      <c r="EQ24" s="364"/>
      <c r="ER24" s="364"/>
      <c r="ES24" s="364"/>
      <c r="ET24" s="364"/>
      <c r="EU24" s="364"/>
      <c r="EV24" s="364"/>
      <c r="EW24" s="364"/>
      <c r="EX24" s="364"/>
      <c r="EY24" s="364"/>
      <c r="EZ24" s="364"/>
      <c r="FA24" s="364"/>
      <c r="FB24" s="364"/>
      <c r="FC24" s="364"/>
      <c r="FD24" s="364"/>
      <c r="FE24" s="364"/>
      <c r="FF24" s="364"/>
      <c r="FG24" s="364"/>
      <c r="FH24" s="364"/>
      <c r="FI24" s="364"/>
      <c r="FJ24" s="364"/>
      <c r="FK24" s="364"/>
    </row>
    <row r="25" customFormat="false" ht="15.75" hidden="false" customHeight="false" outlineLevel="0" collapsed="false">
      <c r="A25" s="364" t="n">
        <v>62</v>
      </c>
      <c r="B25" s="364" t="n">
        <f aca="false">COUNTA(D25:FK25)</f>
        <v>42</v>
      </c>
      <c r="C25" s="364" t="s">
        <v>373</v>
      </c>
      <c r="D25" s="364" t="s">
        <v>2431</v>
      </c>
      <c r="E25" s="364" t="s">
        <v>2352</v>
      </c>
      <c r="F25" s="364" t="s">
        <v>2353</v>
      </c>
      <c r="G25" s="364" t="s">
        <v>2310</v>
      </c>
      <c r="H25" s="364" t="s">
        <v>2432</v>
      </c>
      <c r="I25" s="364" t="s">
        <v>2433</v>
      </c>
      <c r="J25" s="364" t="s">
        <v>2434</v>
      </c>
      <c r="K25" s="364" t="s">
        <v>2316</v>
      </c>
      <c r="L25" s="364" t="s">
        <v>2319</v>
      </c>
      <c r="M25" s="364" t="s">
        <v>2320</v>
      </c>
      <c r="N25" s="364" t="s">
        <v>2323</v>
      </c>
      <c r="O25" s="364" t="s">
        <v>2324</v>
      </c>
      <c r="P25" s="364" t="s">
        <v>2437</v>
      </c>
      <c r="Q25" s="364" t="s">
        <v>2328</v>
      </c>
      <c r="R25" s="364" t="s">
        <v>2329</v>
      </c>
      <c r="S25" s="364" t="s">
        <v>2438</v>
      </c>
      <c r="T25" s="364" t="s">
        <v>2507</v>
      </c>
      <c r="U25" s="364" t="s">
        <v>2331</v>
      </c>
      <c r="V25" s="364" t="s">
        <v>2385</v>
      </c>
      <c r="W25" s="364" t="s">
        <v>2529</v>
      </c>
      <c r="X25" s="364" t="s">
        <v>2439</v>
      </c>
      <c r="Y25" s="364" t="s">
        <v>157</v>
      </c>
      <c r="Z25" s="364" t="s">
        <v>2440</v>
      </c>
      <c r="AA25" s="364" t="s">
        <v>2335</v>
      </c>
      <c r="AB25" s="364" t="s">
        <v>2441</v>
      </c>
      <c r="AC25" s="364" t="s">
        <v>2337</v>
      </c>
      <c r="AD25" s="364" t="s">
        <v>2340</v>
      </c>
      <c r="AE25" s="364" t="s">
        <v>2341</v>
      </c>
      <c r="AF25" s="364" t="s">
        <v>2422</v>
      </c>
      <c r="AG25" s="364" t="s">
        <v>2443</v>
      </c>
      <c r="AH25" s="364" t="s">
        <v>2343</v>
      </c>
      <c r="AI25" s="364" t="s">
        <v>2344</v>
      </c>
      <c r="AJ25" s="364" t="s">
        <v>2345</v>
      </c>
      <c r="AK25" s="364" t="s">
        <v>2444</v>
      </c>
      <c r="AL25" s="364" t="s">
        <v>2398</v>
      </c>
      <c r="AM25" s="364" t="s">
        <v>2348</v>
      </c>
      <c r="AN25" s="364" t="s">
        <v>2349</v>
      </c>
      <c r="AO25" s="364" t="s">
        <v>2445</v>
      </c>
      <c r="AP25" s="364" t="s">
        <v>2400</v>
      </c>
      <c r="AQ25" s="364" t="s">
        <v>2446</v>
      </c>
      <c r="AR25" s="364" t="s">
        <v>2350</v>
      </c>
      <c r="AS25" s="364" t="s">
        <v>2430</v>
      </c>
      <c r="AT25" s="364"/>
      <c r="AU25" s="364"/>
      <c r="AV25" s="364"/>
      <c r="AW25" s="364"/>
      <c r="AX25" s="364"/>
      <c r="AY25" s="364"/>
      <c r="AZ25" s="364"/>
      <c r="BA25" s="364"/>
      <c r="BB25" s="364"/>
      <c r="BC25" s="364"/>
      <c r="BD25" s="364"/>
      <c r="BE25" s="364"/>
      <c r="BF25" s="364"/>
      <c r="BG25" s="364"/>
      <c r="BH25" s="364"/>
      <c r="BI25" s="364"/>
      <c r="BJ25" s="364"/>
      <c r="BK25" s="364"/>
      <c r="BL25" s="364"/>
      <c r="BM25" s="364"/>
      <c r="BN25" s="364"/>
      <c r="BO25" s="364"/>
      <c r="BP25" s="364"/>
      <c r="BQ25" s="364"/>
      <c r="BR25" s="364"/>
      <c r="BS25" s="364"/>
      <c r="BT25" s="364"/>
      <c r="BU25" s="364"/>
      <c r="BV25" s="364"/>
      <c r="BW25" s="364"/>
      <c r="BX25" s="364"/>
      <c r="BY25" s="364"/>
      <c r="BZ25" s="364"/>
      <c r="CA25" s="364"/>
      <c r="CB25" s="364"/>
      <c r="CC25" s="364"/>
      <c r="CD25" s="364"/>
      <c r="CE25" s="364"/>
      <c r="CF25" s="364"/>
      <c r="CG25" s="364"/>
      <c r="CH25" s="364"/>
      <c r="CI25" s="364"/>
      <c r="CJ25" s="364"/>
      <c r="CK25" s="364"/>
      <c r="CL25" s="364"/>
      <c r="CM25" s="364"/>
      <c r="CN25" s="364"/>
      <c r="CO25" s="364"/>
      <c r="CP25" s="364"/>
      <c r="CQ25" s="364"/>
      <c r="CR25" s="364"/>
      <c r="CS25" s="364"/>
      <c r="CT25" s="364"/>
      <c r="CU25" s="364"/>
      <c r="CV25" s="364"/>
      <c r="CW25" s="364"/>
      <c r="CX25" s="364"/>
      <c r="CY25" s="364"/>
      <c r="CZ25" s="364"/>
      <c r="DA25" s="364"/>
      <c r="DB25" s="364"/>
      <c r="DC25" s="364"/>
      <c r="DD25" s="364"/>
      <c r="DE25" s="364"/>
      <c r="DF25" s="364"/>
      <c r="DG25" s="364"/>
      <c r="DH25" s="364"/>
      <c r="DI25" s="364"/>
      <c r="DJ25" s="364"/>
      <c r="DK25" s="364"/>
      <c r="DL25" s="364"/>
      <c r="DM25" s="364"/>
      <c r="DN25" s="364"/>
      <c r="DO25" s="364"/>
      <c r="DP25" s="364"/>
      <c r="DQ25" s="364"/>
      <c r="DR25" s="364"/>
      <c r="DS25" s="364"/>
      <c r="DT25" s="364"/>
      <c r="DU25" s="364"/>
      <c r="DV25" s="364"/>
      <c r="DW25" s="364"/>
      <c r="DX25" s="364"/>
      <c r="DY25" s="364"/>
      <c r="DZ25" s="364"/>
      <c r="EA25" s="364"/>
      <c r="EB25" s="364"/>
      <c r="EC25" s="364"/>
      <c r="ED25" s="364"/>
      <c r="EE25" s="364"/>
      <c r="EF25" s="364"/>
      <c r="EG25" s="364"/>
      <c r="EH25" s="364"/>
      <c r="EI25" s="364"/>
      <c r="EJ25" s="364"/>
      <c r="EK25" s="364"/>
      <c r="EL25" s="364"/>
      <c r="EM25" s="364"/>
      <c r="EN25" s="364"/>
      <c r="EO25" s="364"/>
      <c r="EP25" s="364"/>
      <c r="EQ25" s="364"/>
      <c r="ER25" s="364"/>
      <c r="ES25" s="364"/>
      <c r="ET25" s="364"/>
      <c r="EU25" s="364"/>
      <c r="EV25" s="364"/>
      <c r="EW25" s="364"/>
      <c r="EX25" s="364"/>
      <c r="EY25" s="364"/>
      <c r="EZ25" s="364"/>
      <c r="FA25" s="364"/>
      <c r="FB25" s="364"/>
      <c r="FC25" s="364"/>
      <c r="FD25" s="364"/>
      <c r="FE25" s="364"/>
      <c r="FF25" s="364"/>
      <c r="FG25" s="364"/>
      <c r="FH25" s="364"/>
      <c r="FI25" s="364"/>
      <c r="FJ25" s="364"/>
      <c r="FK25" s="364"/>
    </row>
    <row r="26" customFormat="false" ht="15.75" hidden="false" customHeight="false" outlineLevel="0" collapsed="false">
      <c r="A26" s="364" t="n">
        <v>65</v>
      </c>
      <c r="B26" s="364" t="n">
        <f aca="false">COUNTA(D26:FK26)</f>
        <v>40</v>
      </c>
      <c r="C26" s="364" t="s">
        <v>380</v>
      </c>
      <c r="D26" s="364" t="s">
        <v>2352</v>
      </c>
      <c r="E26" s="364" t="s">
        <v>2528</v>
      </c>
      <c r="F26" s="364" t="s">
        <v>2310</v>
      </c>
      <c r="G26" s="364" t="s">
        <v>2312</v>
      </c>
      <c r="H26" s="364" t="s">
        <v>2313</v>
      </c>
      <c r="I26" s="364" t="s">
        <v>2315</v>
      </c>
      <c r="J26" s="364" t="s">
        <v>2358</v>
      </c>
      <c r="K26" s="364" t="s">
        <v>2316</v>
      </c>
      <c r="L26" s="364" t="s">
        <v>2497</v>
      </c>
      <c r="M26" s="364" t="s">
        <v>2317</v>
      </c>
      <c r="N26" s="364" t="s">
        <v>2318</v>
      </c>
      <c r="O26" s="364" t="s">
        <v>2320</v>
      </c>
      <c r="P26" s="364" t="s">
        <v>2498</v>
      </c>
      <c r="Q26" s="364" t="s">
        <v>2324</v>
      </c>
      <c r="R26" s="364" t="s">
        <v>2328</v>
      </c>
      <c r="S26" s="364" t="s">
        <v>2329</v>
      </c>
      <c r="T26" s="364" t="s">
        <v>2486</v>
      </c>
      <c r="U26" s="261" t="s">
        <v>183</v>
      </c>
      <c r="V26" s="364" t="s">
        <v>2531</v>
      </c>
      <c r="W26" s="364" t="s">
        <v>2335</v>
      </c>
      <c r="X26" s="364" t="s">
        <v>2337</v>
      </c>
      <c r="Y26" s="364" t="s">
        <v>2388</v>
      </c>
      <c r="Z26" s="364" t="s">
        <v>2339</v>
      </c>
      <c r="AA26" s="364" t="s">
        <v>2389</v>
      </c>
      <c r="AB26" s="364" t="s">
        <v>2340</v>
      </c>
      <c r="AC26" s="364" t="s">
        <v>2499</v>
      </c>
      <c r="AD26" s="364" t="s">
        <v>2390</v>
      </c>
      <c r="AE26" s="364" t="s">
        <v>2341</v>
      </c>
      <c r="AF26" s="364" t="s">
        <v>2392</v>
      </c>
      <c r="AG26" s="364" t="s">
        <v>2395</v>
      </c>
      <c r="AH26" s="364" t="s">
        <v>2343</v>
      </c>
      <c r="AI26" s="364" t="s">
        <v>2471</v>
      </c>
      <c r="AJ26" s="364" t="s">
        <v>2344</v>
      </c>
      <c r="AK26" s="364" t="s">
        <v>2346</v>
      </c>
      <c r="AL26" s="364" t="s">
        <v>2500</v>
      </c>
      <c r="AM26" s="364" t="s">
        <v>2473</v>
      </c>
      <c r="AN26" s="364" t="s">
        <v>2349</v>
      </c>
      <c r="AO26" s="364" t="s">
        <v>2445</v>
      </c>
      <c r="AP26" s="364" t="s">
        <v>2522</v>
      </c>
      <c r="AQ26" s="364" t="s">
        <v>2463</v>
      </c>
      <c r="AR26" s="364"/>
      <c r="AS26" s="364"/>
      <c r="AT26" s="364"/>
      <c r="AU26" s="364"/>
      <c r="AV26" s="364"/>
      <c r="AW26" s="364"/>
      <c r="AX26" s="364"/>
      <c r="AY26" s="364"/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4"/>
      <c r="BT26" s="364"/>
      <c r="BU26" s="364"/>
      <c r="BV26" s="364"/>
      <c r="BW26" s="364"/>
      <c r="BX26" s="364"/>
      <c r="BY26" s="364"/>
      <c r="BZ26" s="364"/>
      <c r="CA26" s="364"/>
      <c r="CB26" s="364"/>
      <c r="CC26" s="364"/>
      <c r="CD26" s="364"/>
      <c r="CE26" s="364"/>
      <c r="CF26" s="364"/>
      <c r="CG26" s="364"/>
      <c r="CH26" s="364"/>
      <c r="CI26" s="364"/>
      <c r="CJ26" s="364"/>
      <c r="CK26" s="364"/>
      <c r="CL26" s="364"/>
      <c r="CM26" s="364"/>
      <c r="CN26" s="364"/>
      <c r="CO26" s="364"/>
      <c r="CP26" s="364"/>
      <c r="CQ26" s="364"/>
      <c r="CR26" s="364"/>
      <c r="CS26" s="364"/>
      <c r="CT26" s="364"/>
      <c r="CU26" s="364"/>
      <c r="CV26" s="364"/>
      <c r="CW26" s="364"/>
      <c r="CX26" s="364"/>
      <c r="CY26" s="364"/>
      <c r="CZ26" s="364"/>
      <c r="DA26" s="364"/>
      <c r="DB26" s="364"/>
      <c r="DC26" s="364"/>
      <c r="DD26" s="364"/>
      <c r="DE26" s="364"/>
      <c r="DF26" s="364"/>
      <c r="DG26" s="364"/>
      <c r="DH26" s="364"/>
      <c r="DI26" s="364"/>
      <c r="DJ26" s="364"/>
      <c r="DK26" s="364"/>
      <c r="DL26" s="364"/>
      <c r="DM26" s="364"/>
      <c r="DN26" s="364"/>
      <c r="DO26" s="364"/>
      <c r="DP26" s="364"/>
      <c r="DQ26" s="364"/>
      <c r="DR26" s="364"/>
      <c r="DS26" s="364"/>
      <c r="DT26" s="364"/>
      <c r="DU26" s="364"/>
      <c r="DV26" s="364"/>
      <c r="DW26" s="364"/>
      <c r="DX26" s="364"/>
      <c r="DY26" s="364"/>
      <c r="DZ26" s="364"/>
      <c r="EA26" s="364"/>
      <c r="EB26" s="364"/>
      <c r="EC26" s="364"/>
      <c r="ED26" s="364"/>
      <c r="EE26" s="364"/>
      <c r="EF26" s="364"/>
      <c r="EG26" s="364"/>
      <c r="EH26" s="364"/>
      <c r="EI26" s="364"/>
      <c r="EJ26" s="364"/>
      <c r="EK26" s="364"/>
      <c r="EL26" s="364"/>
      <c r="EM26" s="364"/>
      <c r="EN26" s="364"/>
      <c r="EO26" s="364"/>
      <c r="EP26" s="364"/>
      <c r="EQ26" s="364"/>
      <c r="ER26" s="364"/>
      <c r="ES26" s="364"/>
      <c r="ET26" s="364"/>
      <c r="EU26" s="364"/>
      <c r="EV26" s="364"/>
      <c r="EW26" s="364"/>
      <c r="EX26" s="364"/>
      <c r="EY26" s="364"/>
      <c r="EZ26" s="364"/>
      <c r="FA26" s="364"/>
      <c r="FB26" s="364"/>
      <c r="FC26" s="364"/>
      <c r="FD26" s="364"/>
      <c r="FE26" s="364"/>
      <c r="FF26" s="364"/>
      <c r="FG26" s="364"/>
      <c r="FH26" s="364"/>
      <c r="FI26" s="364"/>
      <c r="FJ26" s="364"/>
      <c r="FK26" s="364"/>
    </row>
    <row r="27" customFormat="false" ht="15.75" hidden="false" customHeight="false" outlineLevel="0" collapsed="false">
      <c r="A27" s="364" t="n">
        <v>66</v>
      </c>
      <c r="B27" s="364" t="n">
        <f aca="false">COUNTA(D27:FK27)</f>
        <v>31</v>
      </c>
      <c r="C27" s="364" t="s">
        <v>2532</v>
      </c>
      <c r="D27" s="364" t="s">
        <v>2352</v>
      </c>
      <c r="E27" s="364" t="s">
        <v>2528</v>
      </c>
      <c r="F27" s="364" t="s">
        <v>2313</v>
      </c>
      <c r="G27" s="364" t="s">
        <v>2358</v>
      </c>
      <c r="H27" s="364" t="s">
        <v>2497</v>
      </c>
      <c r="I27" s="364" t="s">
        <v>2317</v>
      </c>
      <c r="J27" s="364" t="s">
        <v>2318</v>
      </c>
      <c r="K27" s="364" t="s">
        <v>2320</v>
      </c>
      <c r="L27" s="364" t="s">
        <v>2411</v>
      </c>
      <c r="M27" s="364" t="s">
        <v>2324</v>
      </c>
      <c r="N27" s="364" t="s">
        <v>2328</v>
      </c>
      <c r="O27" s="364" t="s">
        <v>2329</v>
      </c>
      <c r="P27" s="364" t="s">
        <v>2506</v>
      </c>
      <c r="Q27" s="364" t="s">
        <v>2384</v>
      </c>
      <c r="R27" s="364" t="s">
        <v>2486</v>
      </c>
      <c r="S27" s="261" t="s">
        <v>183</v>
      </c>
      <c r="T27" s="364" t="s">
        <v>2531</v>
      </c>
      <c r="U27" s="364" t="s">
        <v>2337</v>
      </c>
      <c r="V27" s="364" t="s">
        <v>2388</v>
      </c>
      <c r="W27" s="364" t="s">
        <v>2389</v>
      </c>
      <c r="X27" s="364" t="s">
        <v>2340</v>
      </c>
      <c r="Y27" s="364" t="s">
        <v>2499</v>
      </c>
      <c r="Z27" s="364" t="s">
        <v>2392</v>
      </c>
      <c r="AA27" s="364" t="s">
        <v>2343</v>
      </c>
      <c r="AB27" s="364" t="s">
        <v>2471</v>
      </c>
      <c r="AC27" s="364" t="s">
        <v>2344</v>
      </c>
      <c r="AD27" s="364" t="s">
        <v>2346</v>
      </c>
      <c r="AE27" s="364" t="s">
        <v>2500</v>
      </c>
      <c r="AF27" s="364" t="s">
        <v>2473</v>
      </c>
      <c r="AG27" s="364" t="s">
        <v>2445</v>
      </c>
      <c r="AH27" s="364" t="s">
        <v>2522</v>
      </c>
      <c r="AI27" s="364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4"/>
      <c r="BT27" s="364"/>
      <c r="BU27" s="364"/>
      <c r="BV27" s="364"/>
      <c r="BW27" s="364"/>
      <c r="BX27" s="364"/>
      <c r="BY27" s="364"/>
      <c r="BZ27" s="364"/>
      <c r="CA27" s="364"/>
      <c r="CB27" s="364"/>
      <c r="CC27" s="364"/>
      <c r="CD27" s="364"/>
      <c r="CE27" s="364"/>
      <c r="CF27" s="364"/>
      <c r="CG27" s="364"/>
      <c r="CH27" s="364"/>
      <c r="CI27" s="364"/>
      <c r="CJ27" s="364"/>
      <c r="CK27" s="364"/>
      <c r="CL27" s="364"/>
      <c r="CM27" s="364"/>
      <c r="CN27" s="364"/>
      <c r="CO27" s="364"/>
      <c r="CP27" s="364"/>
      <c r="CQ27" s="364"/>
      <c r="CR27" s="364"/>
      <c r="CS27" s="364"/>
      <c r="CT27" s="364"/>
      <c r="CU27" s="364"/>
      <c r="CV27" s="364"/>
      <c r="CW27" s="364"/>
      <c r="CX27" s="364"/>
      <c r="CY27" s="364"/>
      <c r="CZ27" s="364"/>
      <c r="DA27" s="364"/>
      <c r="DB27" s="364"/>
      <c r="DC27" s="364"/>
      <c r="DD27" s="364"/>
      <c r="DE27" s="364"/>
      <c r="DF27" s="364"/>
      <c r="DG27" s="364"/>
      <c r="DH27" s="364"/>
      <c r="DI27" s="364"/>
      <c r="DJ27" s="364"/>
      <c r="DK27" s="364"/>
      <c r="DL27" s="364"/>
      <c r="DM27" s="364"/>
      <c r="DN27" s="364"/>
      <c r="DO27" s="364"/>
      <c r="DP27" s="364"/>
      <c r="DQ27" s="364"/>
      <c r="DR27" s="364"/>
      <c r="DS27" s="364"/>
      <c r="DT27" s="364"/>
      <c r="DU27" s="364"/>
      <c r="DV27" s="364"/>
      <c r="DW27" s="364"/>
      <c r="DX27" s="364"/>
      <c r="DY27" s="364"/>
      <c r="DZ27" s="364"/>
      <c r="EA27" s="364"/>
      <c r="EB27" s="364"/>
      <c r="EC27" s="364"/>
      <c r="ED27" s="364"/>
      <c r="EE27" s="364"/>
      <c r="EF27" s="364"/>
      <c r="EG27" s="364"/>
      <c r="EH27" s="364"/>
      <c r="EI27" s="364"/>
      <c r="EJ27" s="364"/>
      <c r="EK27" s="364"/>
      <c r="EL27" s="364"/>
      <c r="EM27" s="364"/>
      <c r="EN27" s="364"/>
      <c r="EO27" s="364"/>
      <c r="EP27" s="364"/>
      <c r="EQ27" s="364"/>
      <c r="ER27" s="364"/>
      <c r="ES27" s="364"/>
      <c r="ET27" s="364"/>
      <c r="EU27" s="364"/>
      <c r="EV27" s="364"/>
      <c r="EW27" s="364"/>
      <c r="EX27" s="364"/>
      <c r="EY27" s="364"/>
      <c r="EZ27" s="364"/>
      <c r="FA27" s="364"/>
      <c r="FB27" s="364"/>
      <c r="FC27" s="364"/>
      <c r="FD27" s="364"/>
      <c r="FE27" s="364"/>
      <c r="FF27" s="364"/>
      <c r="FG27" s="364"/>
      <c r="FH27" s="364"/>
      <c r="FI27" s="364"/>
      <c r="FJ27" s="364"/>
      <c r="FK27" s="364"/>
    </row>
    <row r="28" customFormat="false" ht="15.75" hidden="false" customHeight="false" outlineLevel="0" collapsed="false">
      <c r="A28" s="364" t="n">
        <v>69</v>
      </c>
      <c r="B28" s="364" t="n">
        <f aca="false">COUNTA(D28:FK28)</f>
        <v>59</v>
      </c>
      <c r="C28" s="364" t="s">
        <v>390</v>
      </c>
      <c r="D28" s="364" t="s">
        <v>2352</v>
      </c>
      <c r="E28" s="364" t="s">
        <v>2447</v>
      </c>
      <c r="F28" s="364" t="s">
        <v>2310</v>
      </c>
      <c r="G28" s="364" t="s">
        <v>2404</v>
      </c>
      <c r="H28" s="364" t="s">
        <v>2312</v>
      </c>
      <c r="I28" s="364" t="s">
        <v>2408</v>
      </c>
      <c r="J28" s="364" t="s">
        <v>2465</v>
      </c>
      <c r="K28" s="364" t="s">
        <v>2315</v>
      </c>
      <c r="L28" s="364" t="s">
        <v>2409</v>
      </c>
      <c r="M28" s="364" t="s">
        <v>2358</v>
      </c>
      <c r="N28" s="364" t="s">
        <v>2316</v>
      </c>
      <c r="O28" s="364" t="s">
        <v>2435</v>
      </c>
      <c r="P28" s="364" t="s">
        <v>2318</v>
      </c>
      <c r="Q28" s="364" t="s">
        <v>2320</v>
      </c>
      <c r="R28" s="364" t="s">
        <v>2533</v>
      </c>
      <c r="S28" s="364" t="s">
        <v>2534</v>
      </c>
      <c r="T28" s="364" t="s">
        <v>2535</v>
      </c>
      <c r="U28" s="364" t="s">
        <v>2523</v>
      </c>
      <c r="V28" s="364" t="s">
        <v>2498</v>
      </c>
      <c r="W28" s="364" t="s">
        <v>2324</v>
      </c>
      <c r="X28" s="364" t="s">
        <v>2484</v>
      </c>
      <c r="Y28" s="364" t="s">
        <v>2327</v>
      </c>
      <c r="Z28" s="364" t="s">
        <v>2328</v>
      </c>
      <c r="AA28" s="364" t="s">
        <v>2329</v>
      </c>
      <c r="AB28" s="364" t="s">
        <v>2521</v>
      </c>
      <c r="AC28" s="364" t="s">
        <v>2417</v>
      </c>
      <c r="AD28" s="364" t="s">
        <v>2381</v>
      </c>
      <c r="AE28" s="364" t="s">
        <v>2330</v>
      </c>
      <c r="AF28" s="364" t="s">
        <v>2468</v>
      </c>
      <c r="AG28" s="261" t="s">
        <v>183</v>
      </c>
      <c r="AH28" s="364" t="s">
        <v>2531</v>
      </c>
      <c r="AI28" s="364" t="s">
        <v>2452</v>
      </c>
      <c r="AJ28" s="364" t="s">
        <v>2490</v>
      </c>
      <c r="AK28" s="364" t="s">
        <v>2526</v>
      </c>
      <c r="AL28" s="364" t="s">
        <v>2536</v>
      </c>
      <c r="AM28" s="364" t="s">
        <v>2335</v>
      </c>
      <c r="AN28" s="364" t="s">
        <v>2337</v>
      </c>
      <c r="AO28" s="364" t="s">
        <v>2469</v>
      </c>
      <c r="AP28" s="364" t="s">
        <v>2340</v>
      </c>
      <c r="AQ28" s="364" t="s">
        <v>2390</v>
      </c>
      <c r="AR28" s="364" t="s">
        <v>2341</v>
      </c>
      <c r="AS28" s="364" t="s">
        <v>2342</v>
      </c>
      <c r="AT28" s="364" t="s">
        <v>2442</v>
      </c>
      <c r="AU28" s="364" t="s">
        <v>2392</v>
      </c>
      <c r="AV28" s="364" t="s">
        <v>2470</v>
      </c>
      <c r="AW28" s="364" t="s">
        <v>2393</v>
      </c>
      <c r="AX28" s="364" t="s">
        <v>2395</v>
      </c>
      <c r="AY28" s="364" t="s">
        <v>2344</v>
      </c>
      <c r="AZ28" s="364" t="s">
        <v>2398</v>
      </c>
      <c r="BA28" s="364" t="s">
        <v>2349</v>
      </c>
      <c r="BB28" s="364" t="s">
        <v>2445</v>
      </c>
      <c r="BC28" s="364" t="s">
        <v>2456</v>
      </c>
      <c r="BD28" s="364" t="s">
        <v>2475</v>
      </c>
      <c r="BE28" s="364" t="s">
        <v>2476</v>
      </c>
      <c r="BF28" s="364" t="s">
        <v>2463</v>
      </c>
      <c r="BG28" s="364" t="s">
        <v>2446</v>
      </c>
      <c r="BH28" s="364" t="s">
        <v>2426</v>
      </c>
      <c r="BI28" s="364" t="s">
        <v>2428</v>
      </c>
      <c r="BJ28" s="364" t="s">
        <v>2493</v>
      </c>
      <c r="BK28" s="364"/>
      <c r="BL28" s="364"/>
      <c r="BM28" s="364"/>
      <c r="BN28" s="364"/>
      <c r="BO28" s="364"/>
      <c r="BP28" s="364"/>
      <c r="BQ28" s="364"/>
      <c r="BR28" s="364"/>
      <c r="BS28" s="364"/>
      <c r="BT28" s="364"/>
      <c r="BU28" s="364"/>
      <c r="BV28" s="364"/>
      <c r="BW28" s="364"/>
      <c r="BX28" s="364"/>
      <c r="BY28" s="364"/>
      <c r="BZ28" s="364"/>
      <c r="CA28" s="364"/>
      <c r="CB28" s="364"/>
      <c r="CC28" s="364"/>
      <c r="CD28" s="364"/>
      <c r="CE28" s="364"/>
      <c r="CF28" s="364"/>
      <c r="CG28" s="364"/>
      <c r="CH28" s="364"/>
      <c r="CI28" s="364"/>
      <c r="CJ28" s="364"/>
      <c r="CK28" s="364"/>
      <c r="CL28" s="364"/>
      <c r="CM28" s="364"/>
      <c r="CN28" s="364"/>
      <c r="CO28" s="364"/>
      <c r="CP28" s="364"/>
      <c r="CQ28" s="364"/>
      <c r="CR28" s="364"/>
      <c r="CS28" s="364"/>
      <c r="CT28" s="364"/>
      <c r="CU28" s="364"/>
      <c r="CV28" s="364"/>
      <c r="CW28" s="364"/>
      <c r="CX28" s="364"/>
      <c r="CY28" s="364"/>
      <c r="CZ28" s="364"/>
      <c r="DA28" s="364"/>
      <c r="DB28" s="364"/>
      <c r="DC28" s="364"/>
      <c r="DD28" s="364"/>
      <c r="DE28" s="364"/>
      <c r="DF28" s="364"/>
      <c r="DG28" s="364"/>
      <c r="DH28" s="364"/>
      <c r="DI28" s="364"/>
      <c r="DJ28" s="364"/>
      <c r="DK28" s="364"/>
      <c r="DL28" s="364"/>
      <c r="DM28" s="364"/>
      <c r="DN28" s="364"/>
      <c r="DO28" s="364"/>
      <c r="DP28" s="364"/>
      <c r="DQ28" s="364"/>
      <c r="DR28" s="364"/>
      <c r="DS28" s="364"/>
      <c r="DT28" s="364"/>
      <c r="DU28" s="364"/>
      <c r="DV28" s="364"/>
      <c r="DW28" s="364"/>
      <c r="DX28" s="364"/>
      <c r="DY28" s="364"/>
      <c r="DZ28" s="364"/>
      <c r="EA28" s="364"/>
      <c r="EB28" s="364"/>
      <c r="EC28" s="364"/>
      <c r="ED28" s="364"/>
      <c r="EE28" s="364"/>
      <c r="EF28" s="364"/>
      <c r="EG28" s="364"/>
      <c r="EH28" s="364"/>
      <c r="EI28" s="364"/>
      <c r="EJ28" s="364"/>
      <c r="EK28" s="364"/>
      <c r="EL28" s="364"/>
      <c r="EM28" s="364"/>
      <c r="EN28" s="364"/>
      <c r="EO28" s="364"/>
      <c r="EP28" s="364"/>
      <c r="EQ28" s="364"/>
      <c r="ER28" s="364"/>
      <c r="ES28" s="364"/>
      <c r="ET28" s="364"/>
      <c r="EU28" s="364"/>
      <c r="EV28" s="364"/>
      <c r="EW28" s="364"/>
      <c r="EX28" s="364"/>
      <c r="EY28" s="364"/>
      <c r="EZ28" s="364"/>
      <c r="FA28" s="364"/>
      <c r="FB28" s="364"/>
      <c r="FC28" s="364"/>
      <c r="FD28" s="364"/>
      <c r="FE28" s="364"/>
      <c r="FF28" s="364"/>
      <c r="FG28" s="364"/>
      <c r="FH28" s="364"/>
      <c r="FI28" s="364"/>
      <c r="FJ28" s="364"/>
      <c r="FK28" s="364"/>
    </row>
    <row r="29" customFormat="false" ht="15.75" hidden="false" customHeight="false" outlineLevel="0" collapsed="false">
      <c r="A29" s="364" t="n">
        <v>70</v>
      </c>
      <c r="B29" s="364" t="n">
        <f aca="false">COUNTA(D29:FK29)</f>
        <v>44</v>
      </c>
      <c r="C29" s="364" t="s">
        <v>2537</v>
      </c>
      <c r="D29" s="364" t="s">
        <v>2352</v>
      </c>
      <c r="E29" s="364" t="s">
        <v>2447</v>
      </c>
      <c r="F29" s="364" t="s">
        <v>2404</v>
      </c>
      <c r="G29" s="364" t="s">
        <v>2465</v>
      </c>
      <c r="H29" s="364" t="s">
        <v>2409</v>
      </c>
      <c r="I29" s="364" t="s">
        <v>2435</v>
      </c>
      <c r="J29" s="364" t="s">
        <v>2318</v>
      </c>
      <c r="K29" s="364" t="s">
        <v>2320</v>
      </c>
      <c r="L29" s="364" t="s">
        <v>2533</v>
      </c>
      <c r="M29" s="364" t="s">
        <v>2534</v>
      </c>
      <c r="N29" s="364" t="s">
        <v>2535</v>
      </c>
      <c r="O29" s="364" t="s">
        <v>2523</v>
      </c>
      <c r="P29" s="364" t="s">
        <v>2498</v>
      </c>
      <c r="Q29" s="364" t="s">
        <v>2324</v>
      </c>
      <c r="R29" s="364" t="s">
        <v>2484</v>
      </c>
      <c r="S29" s="364" t="s">
        <v>2328</v>
      </c>
      <c r="T29" s="364" t="s">
        <v>2329</v>
      </c>
      <c r="U29" s="364" t="s">
        <v>2521</v>
      </c>
      <c r="V29" s="364" t="s">
        <v>2417</v>
      </c>
      <c r="W29" s="364" t="s">
        <v>2381</v>
      </c>
      <c r="X29" s="364" t="s">
        <v>2330</v>
      </c>
      <c r="Y29" s="364" t="s">
        <v>2468</v>
      </c>
      <c r="Z29" s="364" t="s">
        <v>2531</v>
      </c>
      <c r="AA29" s="364" t="s">
        <v>2452</v>
      </c>
      <c r="AB29" s="364" t="s">
        <v>2526</v>
      </c>
      <c r="AC29" s="364" t="s">
        <v>2536</v>
      </c>
      <c r="AD29" s="364" t="s">
        <v>2337</v>
      </c>
      <c r="AE29" s="364" t="s">
        <v>2340</v>
      </c>
      <c r="AF29" s="364" t="s">
        <v>2390</v>
      </c>
      <c r="AG29" s="364" t="s">
        <v>2342</v>
      </c>
      <c r="AH29" s="364" t="s">
        <v>2442</v>
      </c>
      <c r="AI29" s="364" t="s">
        <v>2392</v>
      </c>
      <c r="AJ29" s="364" t="s">
        <v>2470</v>
      </c>
      <c r="AK29" s="364" t="s">
        <v>2395</v>
      </c>
      <c r="AL29" s="364" t="s">
        <v>2472</v>
      </c>
      <c r="AM29" s="364" t="s">
        <v>2344</v>
      </c>
      <c r="AN29" s="364" t="s">
        <v>2398</v>
      </c>
      <c r="AO29" s="364" t="s">
        <v>2445</v>
      </c>
      <c r="AP29" s="364" t="s">
        <v>2456</v>
      </c>
      <c r="AQ29" s="364" t="s">
        <v>2475</v>
      </c>
      <c r="AR29" s="364" t="s">
        <v>2476</v>
      </c>
      <c r="AS29" s="364" t="s">
        <v>2463</v>
      </c>
      <c r="AT29" s="364" t="s">
        <v>2446</v>
      </c>
      <c r="AU29" s="364" t="s">
        <v>2428</v>
      </c>
      <c r="AV29" s="364"/>
      <c r="AW29" s="364"/>
      <c r="AX29" s="364"/>
      <c r="AY29" s="364"/>
      <c r="AZ29" s="364"/>
      <c r="BA29" s="364"/>
      <c r="BB29" s="364"/>
      <c r="BC29" s="364"/>
      <c r="BD29" s="364"/>
      <c r="BE29" s="364"/>
      <c r="BF29" s="364"/>
      <c r="BG29" s="364"/>
      <c r="BH29" s="364"/>
      <c r="BI29" s="364"/>
      <c r="BJ29" s="364"/>
      <c r="BK29" s="364"/>
      <c r="BL29" s="364"/>
      <c r="BM29" s="364"/>
      <c r="BN29" s="364"/>
      <c r="BO29" s="364"/>
      <c r="BP29" s="364"/>
      <c r="BQ29" s="364"/>
      <c r="BR29" s="364"/>
      <c r="BS29" s="364"/>
      <c r="BT29" s="364"/>
      <c r="BU29" s="364"/>
      <c r="BV29" s="364"/>
      <c r="BW29" s="364"/>
      <c r="BX29" s="364"/>
      <c r="BY29" s="364"/>
      <c r="BZ29" s="364"/>
      <c r="CA29" s="364"/>
      <c r="CB29" s="364"/>
      <c r="CC29" s="364"/>
      <c r="CD29" s="364"/>
      <c r="CE29" s="364"/>
      <c r="CF29" s="364"/>
      <c r="CG29" s="364"/>
      <c r="CH29" s="364"/>
      <c r="CI29" s="364"/>
      <c r="CJ29" s="364"/>
      <c r="CK29" s="364"/>
      <c r="CL29" s="364"/>
      <c r="CM29" s="364"/>
      <c r="CN29" s="364"/>
      <c r="CO29" s="364"/>
      <c r="CP29" s="364"/>
      <c r="CQ29" s="364"/>
      <c r="CR29" s="364"/>
      <c r="CS29" s="364"/>
      <c r="CT29" s="364"/>
      <c r="CU29" s="364"/>
      <c r="CV29" s="364"/>
      <c r="CW29" s="364"/>
      <c r="CX29" s="364"/>
      <c r="CY29" s="364"/>
      <c r="CZ29" s="364"/>
      <c r="DA29" s="364"/>
      <c r="DB29" s="364"/>
      <c r="DC29" s="364"/>
      <c r="DD29" s="364"/>
      <c r="DE29" s="364"/>
      <c r="DF29" s="364"/>
      <c r="DG29" s="364"/>
      <c r="DH29" s="364"/>
      <c r="DI29" s="364"/>
      <c r="DJ29" s="364"/>
      <c r="DK29" s="364"/>
      <c r="DL29" s="364"/>
      <c r="DM29" s="364"/>
      <c r="DN29" s="364"/>
      <c r="DO29" s="364"/>
      <c r="DP29" s="364"/>
      <c r="DQ29" s="364"/>
      <c r="DR29" s="364"/>
      <c r="DS29" s="364"/>
      <c r="DT29" s="364"/>
      <c r="DU29" s="364"/>
      <c r="DV29" s="364"/>
      <c r="DW29" s="364"/>
      <c r="DX29" s="364"/>
      <c r="DY29" s="364"/>
      <c r="DZ29" s="364"/>
      <c r="EA29" s="364"/>
      <c r="EB29" s="364"/>
      <c r="EC29" s="364"/>
      <c r="ED29" s="364"/>
      <c r="EE29" s="364"/>
      <c r="EF29" s="364"/>
      <c r="EG29" s="364"/>
      <c r="EH29" s="364"/>
      <c r="EI29" s="364"/>
      <c r="EJ29" s="364"/>
      <c r="EK29" s="364"/>
      <c r="EL29" s="364"/>
      <c r="EM29" s="364"/>
      <c r="EN29" s="364"/>
      <c r="EO29" s="364"/>
      <c r="EP29" s="364"/>
      <c r="EQ29" s="364"/>
      <c r="ER29" s="364"/>
      <c r="ES29" s="364"/>
      <c r="ET29" s="364"/>
      <c r="EU29" s="364"/>
      <c r="EV29" s="364"/>
      <c r="EW29" s="364"/>
      <c r="EX29" s="364"/>
      <c r="EY29" s="364"/>
      <c r="EZ29" s="364"/>
      <c r="FA29" s="364"/>
      <c r="FB29" s="364"/>
      <c r="FC29" s="364"/>
      <c r="FD29" s="364"/>
      <c r="FE29" s="364"/>
      <c r="FF29" s="364"/>
      <c r="FG29" s="364"/>
      <c r="FH29" s="364"/>
      <c r="FI29" s="364"/>
      <c r="FJ29" s="364"/>
      <c r="FK29" s="364"/>
    </row>
    <row r="30" customFormat="false" ht="15.75" hidden="false" customHeight="false" outlineLevel="0" collapsed="false">
      <c r="A30" s="364" t="n">
        <v>72</v>
      </c>
      <c r="B30" s="364" t="n">
        <f aca="false">COUNTA(D30:FK30)</f>
        <v>62</v>
      </c>
      <c r="C30" s="364" t="s">
        <v>397</v>
      </c>
      <c r="D30" s="364" t="s">
        <v>2352</v>
      </c>
      <c r="E30" s="364" t="s">
        <v>2538</v>
      </c>
      <c r="F30" s="364" t="s">
        <v>2402</v>
      </c>
      <c r="G30" s="364" t="s">
        <v>2310</v>
      </c>
      <c r="H30" s="364" t="s">
        <v>2405</v>
      </c>
      <c r="I30" s="364" t="s">
        <v>2312</v>
      </c>
      <c r="J30" s="364" t="s">
        <v>2356</v>
      </c>
      <c r="K30" s="364" t="s">
        <v>2406</v>
      </c>
      <c r="L30" s="364" t="s">
        <v>2408</v>
      </c>
      <c r="M30" s="364" t="s">
        <v>2434</v>
      </c>
      <c r="N30" s="364" t="s">
        <v>138</v>
      </c>
      <c r="O30" s="364" t="s">
        <v>2358</v>
      </c>
      <c r="P30" s="364" t="s">
        <v>2410</v>
      </c>
      <c r="Q30" s="364" t="s">
        <v>2316</v>
      </c>
      <c r="R30" s="364" t="s">
        <v>2364</v>
      </c>
      <c r="S30" s="364" t="s">
        <v>2320</v>
      </c>
      <c r="T30" s="364" t="s">
        <v>2376</v>
      </c>
      <c r="U30" s="364" t="s">
        <v>2377</v>
      </c>
      <c r="V30" s="364" t="s">
        <v>2322</v>
      </c>
      <c r="W30" s="364" t="s">
        <v>2498</v>
      </c>
      <c r="X30" s="364" t="s">
        <v>2324</v>
      </c>
      <c r="Y30" s="364" t="s">
        <v>2327</v>
      </c>
      <c r="Z30" s="364" t="s">
        <v>2328</v>
      </c>
      <c r="AA30" s="364" t="s">
        <v>2414</v>
      </c>
      <c r="AB30" s="364" t="s">
        <v>2329</v>
      </c>
      <c r="AC30" s="364" t="s">
        <v>2415</v>
      </c>
      <c r="AD30" s="364" t="s">
        <v>2416</v>
      </c>
      <c r="AE30" s="364" t="s">
        <v>2417</v>
      </c>
      <c r="AF30" s="364" t="s">
        <v>2381</v>
      </c>
      <c r="AG30" s="364" t="s">
        <v>2418</v>
      </c>
      <c r="AH30" s="364" t="s">
        <v>2539</v>
      </c>
      <c r="AI30" s="364" t="s">
        <v>2540</v>
      </c>
      <c r="AJ30" s="364" t="s">
        <v>2382</v>
      </c>
      <c r="AK30" s="364" t="s">
        <v>2383</v>
      </c>
      <c r="AL30" s="261" t="s">
        <v>183</v>
      </c>
      <c r="AM30" s="364" t="s">
        <v>2490</v>
      </c>
      <c r="AN30" s="364" t="s">
        <v>2387</v>
      </c>
      <c r="AO30" s="364" t="s">
        <v>157</v>
      </c>
      <c r="AP30" s="364" t="s">
        <v>2495</v>
      </c>
      <c r="AQ30" s="364" t="s">
        <v>2335</v>
      </c>
      <c r="AR30" s="364" t="s">
        <v>2337</v>
      </c>
      <c r="AS30" s="364" t="s">
        <v>2338</v>
      </c>
      <c r="AT30" s="364" t="s">
        <v>2339</v>
      </c>
      <c r="AU30" s="364" t="s">
        <v>2340</v>
      </c>
      <c r="AV30" s="364" t="s">
        <v>2421</v>
      </c>
      <c r="AW30" s="364" t="s">
        <v>2390</v>
      </c>
      <c r="AX30" s="364" t="s">
        <v>2341</v>
      </c>
      <c r="AY30" s="364" t="s">
        <v>2391</v>
      </c>
      <c r="AZ30" s="364" t="s">
        <v>2392</v>
      </c>
      <c r="BA30" s="364" t="s">
        <v>2422</v>
      </c>
      <c r="BB30" s="364" t="s">
        <v>2393</v>
      </c>
      <c r="BC30" s="364" t="s">
        <v>2344</v>
      </c>
      <c r="BD30" s="364" t="s">
        <v>2347</v>
      </c>
      <c r="BE30" s="364" t="s">
        <v>2397</v>
      </c>
      <c r="BF30" s="364" t="s">
        <v>2424</v>
      </c>
      <c r="BG30" s="364" t="s">
        <v>2398</v>
      </c>
      <c r="BH30" s="364" t="s">
        <v>2349</v>
      </c>
      <c r="BI30" s="364" t="s">
        <v>2425</v>
      </c>
      <c r="BJ30" s="364" t="s">
        <v>2426</v>
      </c>
      <c r="BK30" s="364" t="s">
        <v>2428</v>
      </c>
      <c r="BL30" s="364" t="s">
        <v>2429</v>
      </c>
      <c r="BM30" s="364" t="s">
        <v>2430</v>
      </c>
      <c r="BN30" s="364"/>
      <c r="BO30" s="364"/>
      <c r="BP30" s="364"/>
      <c r="BQ30" s="364"/>
      <c r="BR30" s="364"/>
      <c r="BS30" s="364"/>
      <c r="BT30" s="364"/>
      <c r="BU30" s="364"/>
      <c r="BV30" s="364"/>
      <c r="BW30" s="364"/>
      <c r="BX30" s="364"/>
      <c r="BY30" s="364"/>
      <c r="BZ30" s="364"/>
      <c r="CA30" s="364"/>
      <c r="CB30" s="364"/>
      <c r="CC30" s="364"/>
      <c r="CD30" s="364"/>
      <c r="CE30" s="364"/>
      <c r="CF30" s="364"/>
      <c r="CG30" s="364"/>
      <c r="CH30" s="364"/>
      <c r="CI30" s="364"/>
      <c r="CJ30" s="364"/>
      <c r="CK30" s="364"/>
      <c r="CL30" s="364"/>
      <c r="CM30" s="364"/>
      <c r="CN30" s="364"/>
      <c r="CO30" s="364"/>
      <c r="CP30" s="364"/>
      <c r="CQ30" s="364"/>
      <c r="CR30" s="364"/>
      <c r="CS30" s="364"/>
      <c r="CT30" s="364"/>
      <c r="CU30" s="364"/>
      <c r="CV30" s="364"/>
      <c r="CW30" s="364"/>
      <c r="CX30" s="364"/>
      <c r="CY30" s="364"/>
      <c r="CZ30" s="364"/>
      <c r="DA30" s="364"/>
      <c r="DB30" s="364"/>
      <c r="DC30" s="364"/>
      <c r="DD30" s="364"/>
      <c r="DE30" s="364"/>
      <c r="DF30" s="364"/>
      <c r="DG30" s="364"/>
      <c r="DH30" s="364"/>
      <c r="DI30" s="364"/>
      <c r="DJ30" s="364"/>
      <c r="DK30" s="364"/>
      <c r="DL30" s="364"/>
      <c r="DM30" s="364"/>
      <c r="DN30" s="364"/>
      <c r="DO30" s="364"/>
      <c r="DP30" s="364"/>
      <c r="DQ30" s="364"/>
      <c r="DR30" s="364"/>
      <c r="DS30" s="364"/>
      <c r="DT30" s="364"/>
      <c r="DU30" s="364"/>
      <c r="DV30" s="364"/>
      <c r="DW30" s="364"/>
      <c r="DX30" s="364"/>
      <c r="DY30" s="364"/>
      <c r="DZ30" s="364"/>
      <c r="EA30" s="364"/>
      <c r="EB30" s="364"/>
      <c r="EC30" s="364"/>
      <c r="ED30" s="364"/>
      <c r="EE30" s="364"/>
      <c r="EF30" s="364"/>
      <c r="EG30" s="364"/>
      <c r="EH30" s="364"/>
      <c r="EI30" s="364"/>
      <c r="EJ30" s="364"/>
      <c r="EK30" s="364"/>
      <c r="EL30" s="364"/>
      <c r="EM30" s="364"/>
      <c r="EN30" s="364"/>
      <c r="EO30" s="364"/>
      <c r="EP30" s="364"/>
      <c r="EQ30" s="364"/>
      <c r="ER30" s="364"/>
      <c r="ES30" s="364"/>
      <c r="ET30" s="364"/>
      <c r="EU30" s="364"/>
      <c r="EV30" s="364"/>
      <c r="EW30" s="364"/>
      <c r="EX30" s="364"/>
      <c r="EY30" s="364"/>
      <c r="EZ30" s="364"/>
      <c r="FA30" s="364"/>
      <c r="FB30" s="364"/>
      <c r="FC30" s="364"/>
      <c r="FD30" s="364"/>
      <c r="FE30" s="364"/>
      <c r="FF30" s="364"/>
      <c r="FG30" s="364"/>
      <c r="FH30" s="364"/>
      <c r="FI30" s="364"/>
      <c r="FJ30" s="364"/>
      <c r="FK30" s="364"/>
    </row>
    <row r="31" customFormat="false" ht="15.75" hidden="false" customHeight="false" outlineLevel="0" collapsed="false">
      <c r="A31" s="364" t="n">
        <v>74</v>
      </c>
      <c r="B31" s="364" t="n">
        <f aca="false">COUNTA(D31:FK31)</f>
        <v>73</v>
      </c>
      <c r="C31" s="364" t="s">
        <v>401</v>
      </c>
      <c r="D31" s="364" t="s">
        <v>2431</v>
      </c>
      <c r="E31" s="364" t="s">
        <v>2352</v>
      </c>
      <c r="F31" s="364" t="s">
        <v>2447</v>
      </c>
      <c r="G31" s="364" t="s">
        <v>2310</v>
      </c>
      <c r="H31" s="364" t="s">
        <v>2312</v>
      </c>
      <c r="I31" s="364" t="s">
        <v>2356</v>
      </c>
      <c r="J31" s="364" t="s">
        <v>2313</v>
      </c>
      <c r="K31" s="364" t="s">
        <v>2541</v>
      </c>
      <c r="L31" s="364" t="s">
        <v>138</v>
      </c>
      <c r="M31" s="364" t="s">
        <v>2465</v>
      </c>
      <c r="N31" s="364" t="s">
        <v>2542</v>
      </c>
      <c r="O31" s="364" t="s">
        <v>2358</v>
      </c>
      <c r="P31" s="364" t="s">
        <v>2316</v>
      </c>
      <c r="Q31" s="364" t="s">
        <v>2543</v>
      </c>
      <c r="R31" s="364" t="s">
        <v>2364</v>
      </c>
      <c r="S31" s="364" t="s">
        <v>2317</v>
      </c>
      <c r="T31" s="364" t="s">
        <v>2448</v>
      </c>
      <c r="U31" s="364" t="s">
        <v>2320</v>
      </c>
      <c r="V31" s="364" t="s">
        <v>2544</v>
      </c>
      <c r="W31" s="364" t="s">
        <v>2369</v>
      </c>
      <c r="X31" s="364" t="s">
        <v>2376</v>
      </c>
      <c r="Y31" s="364" t="s">
        <v>2377</v>
      </c>
      <c r="Z31" s="364" t="s">
        <v>2498</v>
      </c>
      <c r="AA31" s="364" t="s">
        <v>2324</v>
      </c>
      <c r="AB31" s="364" t="s">
        <v>2484</v>
      </c>
      <c r="AC31" s="364" t="s">
        <v>2327</v>
      </c>
      <c r="AD31" s="364" t="s">
        <v>2328</v>
      </c>
      <c r="AE31" s="364" t="s">
        <v>2329</v>
      </c>
      <c r="AF31" s="364" t="s">
        <v>2416</v>
      </c>
      <c r="AG31" s="364" t="s">
        <v>2381</v>
      </c>
      <c r="AH31" s="364" t="s">
        <v>2545</v>
      </c>
      <c r="AI31" s="364" t="s">
        <v>2539</v>
      </c>
      <c r="AJ31" s="364" t="s">
        <v>2540</v>
      </c>
      <c r="AK31" s="364" t="s">
        <v>2382</v>
      </c>
      <c r="AL31" s="364" t="s">
        <v>2383</v>
      </c>
      <c r="AM31" s="261" t="s">
        <v>183</v>
      </c>
      <c r="AN31" s="364" t="s">
        <v>2332</v>
      </c>
      <c r="AO31" s="364" t="s">
        <v>2386</v>
      </c>
      <c r="AP31" s="364" t="s">
        <v>2452</v>
      </c>
      <c r="AQ31" s="364" t="s">
        <v>2490</v>
      </c>
      <c r="AR31" s="364" t="s">
        <v>2454</v>
      </c>
      <c r="AS31" s="364" t="s">
        <v>2387</v>
      </c>
      <c r="AT31" s="364" t="s">
        <v>2455</v>
      </c>
      <c r="AU31" s="364" t="s">
        <v>2335</v>
      </c>
      <c r="AV31" s="364" t="s">
        <v>2337</v>
      </c>
      <c r="AW31" s="364" t="s">
        <v>2469</v>
      </c>
      <c r="AX31" s="364" t="s">
        <v>2338</v>
      </c>
      <c r="AY31" s="364" t="s">
        <v>2388</v>
      </c>
      <c r="AZ31" s="364" t="s">
        <v>2339</v>
      </c>
      <c r="BA31" s="364" t="s">
        <v>2389</v>
      </c>
      <c r="BB31" s="364" t="s">
        <v>2340</v>
      </c>
      <c r="BC31" s="364" t="s">
        <v>2390</v>
      </c>
      <c r="BD31" s="364" t="s">
        <v>2341</v>
      </c>
      <c r="BE31" s="364" t="s">
        <v>2342</v>
      </c>
      <c r="BF31" s="364" t="s">
        <v>2391</v>
      </c>
      <c r="BG31" s="364" t="s">
        <v>2393</v>
      </c>
      <c r="BH31" s="364" t="s">
        <v>2423</v>
      </c>
      <c r="BI31" s="364" t="s">
        <v>2344</v>
      </c>
      <c r="BJ31" s="364" t="s">
        <v>2346</v>
      </c>
      <c r="BK31" s="364" t="s">
        <v>2500</v>
      </c>
      <c r="BL31" s="364" t="s">
        <v>2347</v>
      </c>
      <c r="BM31" s="364" t="s">
        <v>2397</v>
      </c>
      <c r="BN31" s="364" t="s">
        <v>2398</v>
      </c>
      <c r="BO31" s="364" t="s">
        <v>2349</v>
      </c>
      <c r="BP31" s="364" t="s">
        <v>2445</v>
      </c>
      <c r="BQ31" s="364" t="s">
        <v>2515</v>
      </c>
      <c r="BR31" s="364" t="s">
        <v>2456</v>
      </c>
      <c r="BS31" s="364" t="s">
        <v>2475</v>
      </c>
      <c r="BT31" s="364" t="s">
        <v>2476</v>
      </c>
      <c r="BU31" s="364" t="s">
        <v>2399</v>
      </c>
      <c r="BV31" s="364" t="s">
        <v>2463</v>
      </c>
      <c r="BW31" s="364" t="s">
        <v>2446</v>
      </c>
      <c r="BX31" s="364" t="s">
        <v>2546</v>
      </c>
      <c r="BY31" s="364"/>
      <c r="BZ31" s="364"/>
      <c r="CA31" s="364"/>
      <c r="CB31" s="364"/>
      <c r="CC31" s="364"/>
      <c r="CD31" s="364"/>
      <c r="CE31" s="364"/>
      <c r="CF31" s="364"/>
      <c r="CG31" s="364"/>
      <c r="CH31" s="364"/>
      <c r="CI31" s="364"/>
      <c r="CJ31" s="364"/>
      <c r="CK31" s="364"/>
      <c r="CL31" s="364"/>
      <c r="CM31" s="364"/>
      <c r="CN31" s="364"/>
      <c r="CO31" s="364"/>
      <c r="CP31" s="364"/>
      <c r="CQ31" s="364"/>
      <c r="CR31" s="364"/>
      <c r="CS31" s="364"/>
      <c r="CT31" s="364"/>
      <c r="CU31" s="364"/>
      <c r="CV31" s="364"/>
      <c r="CW31" s="364"/>
      <c r="CX31" s="364"/>
      <c r="CY31" s="364"/>
      <c r="CZ31" s="364"/>
      <c r="DA31" s="364"/>
      <c r="DB31" s="364"/>
      <c r="DC31" s="364"/>
      <c r="DD31" s="364"/>
      <c r="DE31" s="364"/>
      <c r="DF31" s="364"/>
      <c r="DG31" s="364"/>
      <c r="DH31" s="364"/>
      <c r="DI31" s="364"/>
      <c r="DJ31" s="364"/>
      <c r="DK31" s="364"/>
      <c r="DL31" s="364"/>
      <c r="DM31" s="364"/>
      <c r="DN31" s="364"/>
      <c r="DO31" s="364"/>
      <c r="DP31" s="364"/>
      <c r="DQ31" s="364"/>
      <c r="DR31" s="364"/>
      <c r="DS31" s="364"/>
      <c r="DT31" s="364"/>
      <c r="DU31" s="364"/>
      <c r="DV31" s="364"/>
      <c r="DW31" s="364"/>
      <c r="DX31" s="364"/>
      <c r="DY31" s="364"/>
      <c r="DZ31" s="364"/>
      <c r="EA31" s="364"/>
      <c r="EB31" s="364"/>
      <c r="EC31" s="364"/>
      <c r="ED31" s="364"/>
      <c r="EE31" s="364"/>
      <c r="EF31" s="364"/>
      <c r="EG31" s="364"/>
      <c r="EH31" s="364"/>
      <c r="EI31" s="364"/>
      <c r="EJ31" s="364"/>
      <c r="EK31" s="364"/>
      <c r="EL31" s="364"/>
      <c r="EM31" s="364"/>
      <c r="EN31" s="364"/>
      <c r="EO31" s="364"/>
      <c r="EP31" s="364"/>
      <c r="EQ31" s="364"/>
      <c r="ER31" s="364"/>
      <c r="ES31" s="364"/>
      <c r="ET31" s="364"/>
      <c r="EU31" s="364"/>
      <c r="EV31" s="364"/>
      <c r="EW31" s="364"/>
      <c r="EX31" s="364"/>
      <c r="EY31" s="364"/>
      <c r="EZ31" s="364"/>
      <c r="FA31" s="364"/>
      <c r="FB31" s="364"/>
      <c r="FC31" s="364"/>
      <c r="FD31" s="364"/>
      <c r="FE31" s="364"/>
      <c r="FF31" s="364"/>
      <c r="FG31" s="364"/>
      <c r="FH31" s="364"/>
      <c r="FI31" s="364"/>
      <c r="FJ31" s="364"/>
      <c r="FK31" s="364"/>
    </row>
    <row r="32" customFormat="false" ht="15.75" hidden="false" customHeight="false" outlineLevel="0" collapsed="false">
      <c r="A32" s="364" t="n">
        <v>76</v>
      </c>
      <c r="B32" s="364" t="n">
        <f aca="false">COUNTA(D32:FK32)</f>
        <v>49</v>
      </c>
      <c r="C32" s="364" t="s">
        <v>405</v>
      </c>
      <c r="D32" s="364" t="s">
        <v>2352</v>
      </c>
      <c r="E32" s="364" t="s">
        <v>2310</v>
      </c>
      <c r="F32" s="364" t="s">
        <v>2404</v>
      </c>
      <c r="G32" s="364" t="s">
        <v>2312</v>
      </c>
      <c r="H32" s="364" t="s">
        <v>2313</v>
      </c>
      <c r="I32" s="364" t="s">
        <v>2465</v>
      </c>
      <c r="J32" s="364" t="s">
        <v>2466</v>
      </c>
      <c r="K32" s="364" t="s">
        <v>2358</v>
      </c>
      <c r="L32" s="364" t="s">
        <v>2316</v>
      </c>
      <c r="M32" s="364" t="s">
        <v>2359</v>
      </c>
      <c r="N32" s="364" t="s">
        <v>2361</v>
      </c>
      <c r="O32" s="364" t="s">
        <v>2362</v>
      </c>
      <c r="P32" s="364" t="s">
        <v>2365</v>
      </c>
      <c r="Q32" s="364" t="s">
        <v>2547</v>
      </c>
      <c r="R32" s="364" t="s">
        <v>2320</v>
      </c>
      <c r="S32" s="364" t="s">
        <v>2366</v>
      </c>
      <c r="T32" s="364" t="s">
        <v>2367</v>
      </c>
      <c r="U32" s="364" t="s">
        <v>2372</v>
      </c>
      <c r="V32" s="364" t="s">
        <v>2373</v>
      </c>
      <c r="W32" s="364" t="s">
        <v>2548</v>
      </c>
      <c r="X32" s="364" t="s">
        <v>2374</v>
      </c>
      <c r="Y32" s="364" t="s">
        <v>2324</v>
      </c>
      <c r="Z32" s="364" t="s">
        <v>2327</v>
      </c>
      <c r="AA32" s="364" t="s">
        <v>2378</v>
      </c>
      <c r="AB32" s="364" t="s">
        <v>2328</v>
      </c>
      <c r="AC32" s="364" t="s">
        <v>2329</v>
      </c>
      <c r="AD32" s="364" t="s">
        <v>2379</v>
      </c>
      <c r="AE32" s="364" t="s">
        <v>2506</v>
      </c>
      <c r="AF32" s="364" t="s">
        <v>2381</v>
      </c>
      <c r="AG32" s="261" t="s">
        <v>183</v>
      </c>
      <c r="AH32" s="364" t="s">
        <v>2332</v>
      </c>
      <c r="AI32" s="364" t="s">
        <v>2386</v>
      </c>
      <c r="AJ32" s="364" t="s">
        <v>2335</v>
      </c>
      <c r="AK32" s="364" t="s">
        <v>2337</v>
      </c>
      <c r="AL32" s="364" t="s">
        <v>2469</v>
      </c>
      <c r="AM32" s="364" t="s">
        <v>2338</v>
      </c>
      <c r="AN32" s="364" t="s">
        <v>2339</v>
      </c>
      <c r="AO32" s="364" t="s">
        <v>2340</v>
      </c>
      <c r="AP32" s="364" t="s">
        <v>2341</v>
      </c>
      <c r="AQ32" s="364" t="s">
        <v>2393</v>
      </c>
      <c r="AR32" s="364" t="s">
        <v>2472</v>
      </c>
      <c r="AS32" s="364" t="s">
        <v>2344</v>
      </c>
      <c r="AT32" s="364" t="s">
        <v>2345</v>
      </c>
      <c r="AU32" s="364" t="s">
        <v>2347</v>
      </c>
      <c r="AV32" s="364" t="s">
        <v>2398</v>
      </c>
      <c r="AW32" s="364" t="s">
        <v>2349</v>
      </c>
      <c r="AX32" s="364" t="s">
        <v>2445</v>
      </c>
      <c r="AY32" s="364" t="s">
        <v>2488</v>
      </c>
      <c r="AZ32" s="364" t="s">
        <v>2477</v>
      </c>
      <c r="BA32" s="364"/>
      <c r="BB32" s="364"/>
      <c r="BC32" s="364"/>
      <c r="BD32" s="364"/>
      <c r="BE32" s="364"/>
      <c r="BF32" s="364"/>
      <c r="BG32" s="364"/>
      <c r="BH32" s="364"/>
      <c r="BI32" s="364"/>
      <c r="BJ32" s="364"/>
      <c r="BK32" s="364"/>
      <c r="BL32" s="364"/>
      <c r="BM32" s="364"/>
      <c r="BN32" s="364"/>
      <c r="BO32" s="364"/>
      <c r="BP32" s="364"/>
      <c r="BQ32" s="364"/>
      <c r="BR32" s="364"/>
      <c r="BS32" s="364"/>
      <c r="BT32" s="364"/>
      <c r="BU32" s="364"/>
      <c r="BV32" s="364"/>
      <c r="BW32" s="364"/>
      <c r="BX32" s="364"/>
      <c r="BY32" s="364"/>
      <c r="BZ32" s="364"/>
      <c r="CA32" s="364"/>
      <c r="CB32" s="364"/>
      <c r="CC32" s="364"/>
      <c r="CD32" s="364"/>
      <c r="CE32" s="364"/>
      <c r="CF32" s="364"/>
      <c r="CG32" s="364"/>
      <c r="CH32" s="364"/>
      <c r="CI32" s="364"/>
      <c r="CJ32" s="364"/>
      <c r="CK32" s="364"/>
      <c r="CL32" s="364"/>
      <c r="CM32" s="364"/>
      <c r="CN32" s="364"/>
      <c r="CO32" s="364"/>
      <c r="CP32" s="364"/>
      <c r="CQ32" s="364"/>
      <c r="CR32" s="364"/>
      <c r="CS32" s="364"/>
      <c r="CT32" s="364"/>
      <c r="CU32" s="364"/>
      <c r="CV32" s="364"/>
      <c r="CW32" s="364"/>
      <c r="CX32" s="364"/>
      <c r="CY32" s="364"/>
      <c r="CZ32" s="364"/>
      <c r="DA32" s="364"/>
      <c r="DB32" s="364"/>
      <c r="DC32" s="364"/>
      <c r="DD32" s="364"/>
      <c r="DE32" s="364"/>
      <c r="DF32" s="364"/>
      <c r="DG32" s="364"/>
      <c r="DH32" s="364"/>
      <c r="DI32" s="364"/>
      <c r="DJ32" s="364"/>
      <c r="DK32" s="364"/>
      <c r="DL32" s="364"/>
      <c r="DM32" s="364"/>
      <c r="DN32" s="364"/>
      <c r="DO32" s="364"/>
      <c r="DP32" s="364"/>
      <c r="DQ32" s="364"/>
      <c r="DR32" s="364"/>
      <c r="DS32" s="364"/>
      <c r="DT32" s="364"/>
      <c r="DU32" s="364"/>
      <c r="DV32" s="364"/>
      <c r="DW32" s="364"/>
      <c r="DX32" s="364"/>
      <c r="DY32" s="364"/>
      <c r="DZ32" s="364"/>
      <c r="EA32" s="364"/>
      <c r="EB32" s="364"/>
      <c r="EC32" s="364"/>
      <c r="ED32" s="364"/>
      <c r="EE32" s="364"/>
      <c r="EF32" s="364"/>
      <c r="EG32" s="364"/>
      <c r="EH32" s="364"/>
      <c r="EI32" s="364"/>
      <c r="EJ32" s="364"/>
      <c r="EK32" s="364"/>
      <c r="EL32" s="364"/>
      <c r="EM32" s="364"/>
      <c r="EN32" s="364"/>
      <c r="EO32" s="364"/>
      <c r="EP32" s="364"/>
      <c r="EQ32" s="364"/>
      <c r="ER32" s="364"/>
      <c r="ES32" s="364"/>
      <c r="ET32" s="364"/>
      <c r="EU32" s="364"/>
      <c r="EV32" s="364"/>
      <c r="EW32" s="364"/>
      <c r="EX32" s="364"/>
      <c r="EY32" s="364"/>
      <c r="EZ32" s="364"/>
      <c r="FA32" s="364"/>
      <c r="FB32" s="364"/>
      <c r="FC32" s="364"/>
      <c r="FD32" s="364"/>
      <c r="FE32" s="364"/>
      <c r="FF32" s="364"/>
      <c r="FG32" s="364"/>
      <c r="FH32" s="364"/>
      <c r="FI32" s="364"/>
      <c r="FJ32" s="364"/>
      <c r="FK32" s="364"/>
    </row>
    <row r="33" customFormat="false" ht="15.75" hidden="false" customHeight="false" outlineLevel="0" collapsed="false">
      <c r="A33" s="364" t="n">
        <v>79</v>
      </c>
      <c r="B33" s="364" t="n">
        <f aca="false">COUNTA(D33:FK33)</f>
        <v>59</v>
      </c>
      <c r="C33" s="364" t="s">
        <v>411</v>
      </c>
      <c r="D33" s="364" t="s">
        <v>2310</v>
      </c>
      <c r="E33" s="364" t="s">
        <v>2405</v>
      </c>
      <c r="F33" s="364" t="s">
        <v>2312</v>
      </c>
      <c r="G33" s="364" t="s">
        <v>2356</v>
      </c>
      <c r="H33" s="364" t="s">
        <v>2408</v>
      </c>
      <c r="I33" s="364" t="s">
        <v>2313</v>
      </c>
      <c r="J33" s="364" t="s">
        <v>2549</v>
      </c>
      <c r="K33" s="364" t="s">
        <v>138</v>
      </c>
      <c r="L33" s="364" t="s">
        <v>2358</v>
      </c>
      <c r="M33" s="364" t="s">
        <v>2410</v>
      </c>
      <c r="N33" s="364" t="s">
        <v>2316</v>
      </c>
      <c r="O33" s="364" t="s">
        <v>2519</v>
      </c>
      <c r="P33" s="364" t="s">
        <v>2543</v>
      </c>
      <c r="Q33" s="364" t="s">
        <v>2364</v>
      </c>
      <c r="R33" s="364" t="s">
        <v>2317</v>
      </c>
      <c r="S33" s="364" t="s">
        <v>2448</v>
      </c>
      <c r="T33" s="364" t="s">
        <v>2320</v>
      </c>
      <c r="U33" s="364" t="s">
        <v>2376</v>
      </c>
      <c r="V33" s="364" t="s">
        <v>2377</v>
      </c>
      <c r="W33" s="364" t="s">
        <v>2324</v>
      </c>
      <c r="X33" s="364" t="s">
        <v>2327</v>
      </c>
      <c r="Y33" s="364" t="s">
        <v>2328</v>
      </c>
      <c r="Z33" s="364" t="s">
        <v>2414</v>
      </c>
      <c r="AA33" s="364" t="s">
        <v>2329</v>
      </c>
      <c r="AB33" s="364" t="s">
        <v>2415</v>
      </c>
      <c r="AC33" s="364" t="s">
        <v>2416</v>
      </c>
      <c r="AD33" s="364" t="s">
        <v>2417</v>
      </c>
      <c r="AE33" s="364" t="s">
        <v>2540</v>
      </c>
      <c r="AF33" s="364" t="s">
        <v>2382</v>
      </c>
      <c r="AG33" s="364" t="s">
        <v>2383</v>
      </c>
      <c r="AH33" s="261" t="s">
        <v>183</v>
      </c>
      <c r="AI33" s="364" t="s">
        <v>2452</v>
      </c>
      <c r="AJ33" s="364" t="s">
        <v>2454</v>
      </c>
      <c r="AK33" s="364" t="s">
        <v>2387</v>
      </c>
      <c r="AL33" s="364" t="s">
        <v>157</v>
      </c>
      <c r="AM33" s="364" t="s">
        <v>2440</v>
      </c>
      <c r="AN33" s="364" t="s">
        <v>2335</v>
      </c>
      <c r="AO33" s="364" t="s">
        <v>2337</v>
      </c>
      <c r="AP33" s="364" t="s">
        <v>2338</v>
      </c>
      <c r="AQ33" s="364" t="s">
        <v>2388</v>
      </c>
      <c r="AR33" s="364" t="s">
        <v>2339</v>
      </c>
      <c r="AS33" s="364" t="s">
        <v>2389</v>
      </c>
      <c r="AT33" s="364" t="s">
        <v>2340</v>
      </c>
      <c r="AU33" s="364" t="s">
        <v>2421</v>
      </c>
      <c r="AV33" s="364" t="s">
        <v>2341</v>
      </c>
      <c r="AW33" s="364" t="s">
        <v>2391</v>
      </c>
      <c r="AX33" s="364" t="s">
        <v>2393</v>
      </c>
      <c r="AY33" s="364" t="s">
        <v>2344</v>
      </c>
      <c r="AZ33" s="364" t="s">
        <v>2347</v>
      </c>
      <c r="BA33" s="364" t="s">
        <v>2397</v>
      </c>
      <c r="BB33" s="364" t="s">
        <v>2424</v>
      </c>
      <c r="BC33" s="364" t="s">
        <v>2349</v>
      </c>
      <c r="BD33" s="364" t="s">
        <v>2445</v>
      </c>
      <c r="BE33" s="364" t="s">
        <v>2456</v>
      </c>
      <c r="BF33" s="364" t="s">
        <v>2546</v>
      </c>
      <c r="BG33" s="364" t="s">
        <v>2425</v>
      </c>
      <c r="BH33" s="364" t="s">
        <v>2426</v>
      </c>
      <c r="BI33" s="364" t="s">
        <v>2428</v>
      </c>
      <c r="BJ33" s="364" t="s">
        <v>2429</v>
      </c>
      <c r="BK33" s="364"/>
      <c r="BL33" s="364"/>
      <c r="BM33" s="364"/>
      <c r="BN33" s="364"/>
      <c r="BO33" s="364"/>
      <c r="BP33" s="364"/>
      <c r="BQ33" s="364"/>
      <c r="BR33" s="364"/>
      <c r="BS33" s="364"/>
      <c r="BT33" s="364"/>
      <c r="BU33" s="364"/>
      <c r="BV33" s="364"/>
      <c r="BW33" s="364"/>
      <c r="BX33" s="364"/>
      <c r="BY33" s="364"/>
      <c r="BZ33" s="364"/>
      <c r="CA33" s="364"/>
      <c r="CB33" s="364"/>
      <c r="CC33" s="364"/>
      <c r="CD33" s="364"/>
      <c r="CE33" s="364"/>
      <c r="CF33" s="364"/>
      <c r="CG33" s="364"/>
      <c r="CH33" s="364"/>
      <c r="CI33" s="364"/>
      <c r="CJ33" s="364"/>
      <c r="CK33" s="364"/>
      <c r="CL33" s="364"/>
      <c r="CM33" s="364"/>
      <c r="CN33" s="364"/>
      <c r="CO33" s="364"/>
      <c r="CP33" s="364"/>
      <c r="CQ33" s="364"/>
      <c r="CR33" s="364"/>
      <c r="CS33" s="364"/>
      <c r="CT33" s="364"/>
      <c r="CU33" s="364"/>
      <c r="CV33" s="364"/>
      <c r="CW33" s="364"/>
      <c r="CX33" s="364"/>
      <c r="CY33" s="364"/>
      <c r="CZ33" s="364"/>
      <c r="DA33" s="364"/>
      <c r="DB33" s="364"/>
      <c r="DC33" s="364"/>
      <c r="DD33" s="364"/>
      <c r="DE33" s="364"/>
      <c r="DF33" s="364"/>
      <c r="DG33" s="364"/>
      <c r="DH33" s="364"/>
      <c r="DI33" s="364"/>
      <c r="DJ33" s="364"/>
      <c r="DK33" s="364"/>
      <c r="DL33" s="364"/>
      <c r="DM33" s="364"/>
      <c r="DN33" s="364"/>
      <c r="DO33" s="364"/>
      <c r="DP33" s="364"/>
      <c r="DQ33" s="364"/>
      <c r="DR33" s="364"/>
      <c r="DS33" s="364"/>
      <c r="DT33" s="364"/>
      <c r="DU33" s="364"/>
      <c r="DV33" s="364"/>
      <c r="DW33" s="364"/>
      <c r="DX33" s="364"/>
      <c r="DY33" s="364"/>
      <c r="DZ33" s="364"/>
      <c r="EA33" s="364"/>
      <c r="EB33" s="364"/>
      <c r="EC33" s="364"/>
      <c r="ED33" s="364"/>
      <c r="EE33" s="364"/>
      <c r="EF33" s="364"/>
      <c r="EG33" s="364"/>
      <c r="EH33" s="364"/>
      <c r="EI33" s="364"/>
      <c r="EJ33" s="364"/>
      <c r="EK33" s="364"/>
      <c r="EL33" s="364"/>
      <c r="EM33" s="364"/>
      <c r="EN33" s="364"/>
      <c r="EO33" s="364"/>
      <c r="EP33" s="364"/>
      <c r="EQ33" s="364"/>
      <c r="ER33" s="364"/>
      <c r="ES33" s="364"/>
      <c r="ET33" s="364"/>
      <c r="EU33" s="364"/>
      <c r="EV33" s="364"/>
      <c r="EW33" s="364"/>
      <c r="EX33" s="364"/>
      <c r="EY33" s="364"/>
      <c r="EZ33" s="364"/>
      <c r="FA33" s="364"/>
      <c r="FB33" s="364"/>
      <c r="FC33" s="364"/>
      <c r="FD33" s="364"/>
      <c r="FE33" s="364"/>
      <c r="FF33" s="364"/>
      <c r="FG33" s="364"/>
      <c r="FH33" s="364"/>
      <c r="FI33" s="364"/>
      <c r="FJ33" s="364"/>
      <c r="FK33" s="364"/>
    </row>
    <row r="34" customFormat="false" ht="15.75" hidden="false" customHeight="false" outlineLevel="0" collapsed="false">
      <c r="A34" s="364" t="n">
        <v>82</v>
      </c>
      <c r="B34" s="364" t="n">
        <f aca="false">COUNTA(D34:FK34)</f>
        <v>50</v>
      </c>
      <c r="C34" s="364" t="s">
        <v>417</v>
      </c>
      <c r="D34" s="364" t="s">
        <v>2310</v>
      </c>
      <c r="E34" s="364" t="s">
        <v>2312</v>
      </c>
      <c r="F34" s="364" t="s">
        <v>2464</v>
      </c>
      <c r="G34" s="364" t="s">
        <v>2434</v>
      </c>
      <c r="H34" s="364" t="s">
        <v>138</v>
      </c>
      <c r="I34" s="364" t="s">
        <v>2517</v>
      </c>
      <c r="J34" s="364" t="s">
        <v>2358</v>
      </c>
      <c r="K34" s="364" t="s">
        <v>2316</v>
      </c>
      <c r="L34" s="364" t="s">
        <v>2520</v>
      </c>
      <c r="M34" s="364" t="s">
        <v>2435</v>
      </c>
      <c r="N34" s="364" t="s">
        <v>2364</v>
      </c>
      <c r="O34" s="364" t="s">
        <v>2319</v>
      </c>
      <c r="P34" s="364" t="s">
        <v>2320</v>
      </c>
      <c r="Q34" s="364" t="s">
        <v>2369</v>
      </c>
      <c r="R34" s="364" t="s">
        <v>2376</v>
      </c>
      <c r="S34" s="364" t="s">
        <v>2377</v>
      </c>
      <c r="T34" s="364" t="s">
        <v>2523</v>
      </c>
      <c r="U34" s="364" t="s">
        <v>2550</v>
      </c>
      <c r="V34" s="364" t="s">
        <v>2324</v>
      </c>
      <c r="W34" s="364" t="s">
        <v>2325</v>
      </c>
      <c r="X34" s="364" t="s">
        <v>2327</v>
      </c>
      <c r="Y34" s="364" t="s">
        <v>2328</v>
      </c>
      <c r="Z34" s="364" t="s">
        <v>2329</v>
      </c>
      <c r="AA34" s="364" t="s">
        <v>2416</v>
      </c>
      <c r="AB34" s="364" t="s">
        <v>2381</v>
      </c>
      <c r="AC34" s="364" t="s">
        <v>2330</v>
      </c>
      <c r="AD34" s="364" t="s">
        <v>2382</v>
      </c>
      <c r="AE34" s="364" t="s">
        <v>2383</v>
      </c>
      <c r="AF34" s="364" t="s">
        <v>2439</v>
      </c>
      <c r="AG34" s="364" t="s">
        <v>157</v>
      </c>
      <c r="AH34" s="364" t="s">
        <v>2551</v>
      </c>
      <c r="AI34" s="364" t="s">
        <v>2495</v>
      </c>
      <c r="AJ34" s="364" t="s">
        <v>2440</v>
      </c>
      <c r="AK34" s="364" t="s">
        <v>2335</v>
      </c>
      <c r="AL34" s="364" t="s">
        <v>2337</v>
      </c>
      <c r="AM34" s="364" t="s">
        <v>2340</v>
      </c>
      <c r="AN34" s="364" t="s">
        <v>2341</v>
      </c>
      <c r="AO34" s="364" t="s">
        <v>2391</v>
      </c>
      <c r="AP34" s="364" t="s">
        <v>2442</v>
      </c>
      <c r="AQ34" s="364" t="s">
        <v>2470</v>
      </c>
      <c r="AR34" s="364" t="s">
        <v>2422</v>
      </c>
      <c r="AS34" s="364" t="s">
        <v>2393</v>
      </c>
      <c r="AT34" s="364" t="s">
        <v>2344</v>
      </c>
      <c r="AU34" s="364" t="s">
        <v>2397</v>
      </c>
      <c r="AV34" s="364" t="s">
        <v>2349</v>
      </c>
      <c r="AW34" s="364" t="s">
        <v>2445</v>
      </c>
      <c r="AX34" s="364" t="s">
        <v>2399</v>
      </c>
      <c r="AY34" s="364" t="s">
        <v>2522</v>
      </c>
      <c r="AZ34" s="364" t="s">
        <v>2493</v>
      </c>
      <c r="BA34" s="364" t="s">
        <v>2430</v>
      </c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4"/>
      <c r="BT34" s="364"/>
      <c r="BU34" s="364"/>
      <c r="BV34" s="364"/>
      <c r="BW34" s="364"/>
      <c r="BX34" s="364"/>
      <c r="BY34" s="364"/>
      <c r="BZ34" s="364"/>
      <c r="CA34" s="364"/>
      <c r="CB34" s="364"/>
      <c r="CC34" s="364"/>
      <c r="CD34" s="364"/>
      <c r="CE34" s="364"/>
      <c r="CF34" s="364"/>
      <c r="CG34" s="364"/>
      <c r="CH34" s="364"/>
      <c r="CI34" s="364"/>
      <c r="CJ34" s="364"/>
      <c r="CK34" s="364"/>
      <c r="CL34" s="364"/>
      <c r="CM34" s="364"/>
      <c r="CN34" s="364"/>
      <c r="CO34" s="364"/>
      <c r="CP34" s="364"/>
      <c r="CQ34" s="364"/>
      <c r="CR34" s="364"/>
      <c r="CS34" s="364"/>
      <c r="CT34" s="364"/>
      <c r="CU34" s="364"/>
      <c r="CV34" s="364"/>
      <c r="CW34" s="364"/>
      <c r="CX34" s="364"/>
      <c r="CY34" s="364"/>
      <c r="CZ34" s="364"/>
      <c r="DA34" s="364"/>
      <c r="DB34" s="364"/>
      <c r="DC34" s="364"/>
      <c r="DD34" s="364"/>
      <c r="DE34" s="364"/>
      <c r="DF34" s="364"/>
      <c r="DG34" s="364"/>
      <c r="DH34" s="364"/>
      <c r="DI34" s="364"/>
      <c r="DJ34" s="364"/>
      <c r="DK34" s="364"/>
      <c r="DL34" s="364"/>
      <c r="DM34" s="364"/>
      <c r="DN34" s="364"/>
      <c r="DO34" s="364"/>
      <c r="DP34" s="364"/>
      <c r="DQ34" s="364"/>
      <c r="DR34" s="364"/>
      <c r="DS34" s="364"/>
      <c r="DT34" s="364"/>
      <c r="DU34" s="364"/>
      <c r="DV34" s="364"/>
      <c r="DW34" s="364"/>
      <c r="DX34" s="364"/>
      <c r="DY34" s="364"/>
      <c r="DZ34" s="364"/>
      <c r="EA34" s="364"/>
      <c r="EB34" s="364"/>
      <c r="EC34" s="364"/>
      <c r="ED34" s="364"/>
      <c r="EE34" s="364"/>
      <c r="EF34" s="364"/>
      <c r="EG34" s="364"/>
      <c r="EH34" s="364"/>
      <c r="EI34" s="364"/>
      <c r="EJ34" s="364"/>
      <c r="EK34" s="364"/>
      <c r="EL34" s="364"/>
      <c r="EM34" s="364"/>
      <c r="EN34" s="364"/>
      <c r="EO34" s="364"/>
      <c r="EP34" s="364"/>
      <c r="EQ34" s="364"/>
      <c r="ER34" s="364"/>
      <c r="ES34" s="364"/>
      <c r="ET34" s="364"/>
      <c r="EU34" s="364"/>
      <c r="EV34" s="364"/>
      <c r="EW34" s="364"/>
      <c r="EX34" s="364"/>
      <c r="EY34" s="364"/>
      <c r="EZ34" s="364"/>
      <c r="FA34" s="364"/>
      <c r="FB34" s="364"/>
      <c r="FC34" s="364"/>
      <c r="FD34" s="364"/>
      <c r="FE34" s="364"/>
      <c r="FF34" s="364"/>
      <c r="FG34" s="364"/>
      <c r="FH34" s="364"/>
      <c r="FI34" s="364"/>
      <c r="FJ34" s="364"/>
      <c r="FK34" s="364"/>
    </row>
    <row r="35" customFormat="false" ht="15.75" hidden="false" customHeight="false" outlineLevel="0" collapsed="false">
      <c r="A35" s="364" t="n">
        <v>86</v>
      </c>
      <c r="B35" s="364" t="n">
        <f aca="false">COUNTA(D35:FK35)</f>
        <v>60</v>
      </c>
      <c r="C35" s="364" t="s">
        <v>425</v>
      </c>
      <c r="D35" s="364" t="s">
        <v>2310</v>
      </c>
      <c r="E35" s="364" t="s">
        <v>2312</v>
      </c>
      <c r="F35" s="364" t="s">
        <v>2356</v>
      </c>
      <c r="G35" s="364" t="s">
        <v>2313</v>
      </c>
      <c r="H35" s="364" t="s">
        <v>2552</v>
      </c>
      <c r="I35" s="364" t="s">
        <v>138</v>
      </c>
      <c r="J35" s="364" t="s">
        <v>2542</v>
      </c>
      <c r="K35" s="364" t="s">
        <v>2358</v>
      </c>
      <c r="L35" s="364" t="s">
        <v>2316</v>
      </c>
      <c r="M35" s="364" t="s">
        <v>2543</v>
      </c>
      <c r="N35" s="364" t="s">
        <v>2364</v>
      </c>
      <c r="O35" s="364" t="s">
        <v>2317</v>
      </c>
      <c r="P35" s="364" t="s">
        <v>2320</v>
      </c>
      <c r="Q35" s="364" t="s">
        <v>2366</v>
      </c>
      <c r="R35" s="364" t="s">
        <v>2369</v>
      </c>
      <c r="S35" s="364" t="s">
        <v>2373</v>
      </c>
      <c r="T35" s="364" t="s">
        <v>2376</v>
      </c>
      <c r="U35" s="364" t="s">
        <v>2377</v>
      </c>
      <c r="V35" s="364" t="s">
        <v>2324</v>
      </c>
      <c r="W35" s="364" t="s">
        <v>2327</v>
      </c>
      <c r="X35" s="364" t="s">
        <v>2328</v>
      </c>
      <c r="Y35" s="364" t="s">
        <v>2329</v>
      </c>
      <c r="Z35" s="364" t="s">
        <v>2416</v>
      </c>
      <c r="AA35" s="364" t="s">
        <v>2379</v>
      </c>
      <c r="AB35" s="364" t="s">
        <v>2545</v>
      </c>
      <c r="AC35" s="364" t="s">
        <v>2330</v>
      </c>
      <c r="AD35" s="364" t="s">
        <v>2539</v>
      </c>
      <c r="AE35" s="364" t="s">
        <v>2540</v>
      </c>
      <c r="AF35" s="364" t="s">
        <v>2382</v>
      </c>
      <c r="AG35" s="364" t="s">
        <v>2383</v>
      </c>
      <c r="AH35" s="261" t="s">
        <v>183</v>
      </c>
      <c r="AI35" s="364" t="s">
        <v>2452</v>
      </c>
      <c r="AJ35" s="364" t="s">
        <v>2454</v>
      </c>
      <c r="AK35" s="364" t="s">
        <v>2387</v>
      </c>
      <c r="AL35" s="364" t="s">
        <v>2335</v>
      </c>
      <c r="AM35" s="364" t="s">
        <v>2337</v>
      </c>
      <c r="AN35" s="364" t="s">
        <v>2469</v>
      </c>
      <c r="AO35" s="364" t="s">
        <v>2553</v>
      </c>
      <c r="AP35" s="364" t="s">
        <v>2338</v>
      </c>
      <c r="AQ35" s="364" t="s">
        <v>2388</v>
      </c>
      <c r="AR35" s="364" t="s">
        <v>2339</v>
      </c>
      <c r="AS35" s="364" t="s">
        <v>2389</v>
      </c>
      <c r="AT35" s="364" t="s">
        <v>2340</v>
      </c>
      <c r="AU35" s="364" t="s">
        <v>2341</v>
      </c>
      <c r="AV35" s="364" t="s">
        <v>2391</v>
      </c>
      <c r="AW35" s="364" t="s">
        <v>2393</v>
      </c>
      <c r="AX35" s="364" t="s">
        <v>2423</v>
      </c>
      <c r="AY35" s="364" t="s">
        <v>2344</v>
      </c>
      <c r="AZ35" s="364" t="s">
        <v>2346</v>
      </c>
      <c r="BA35" s="364" t="s">
        <v>2500</v>
      </c>
      <c r="BB35" s="364" t="s">
        <v>2347</v>
      </c>
      <c r="BC35" s="364" t="s">
        <v>2397</v>
      </c>
      <c r="BD35" s="364" t="s">
        <v>2511</v>
      </c>
      <c r="BE35" s="364" t="s">
        <v>2349</v>
      </c>
      <c r="BF35" s="364" t="s">
        <v>2445</v>
      </c>
      <c r="BG35" s="364" t="s">
        <v>2456</v>
      </c>
      <c r="BH35" s="364" t="s">
        <v>2399</v>
      </c>
      <c r="BI35" s="364" t="s">
        <v>2546</v>
      </c>
      <c r="BJ35" s="364" t="s">
        <v>2554</v>
      </c>
      <c r="BK35" s="364" t="s">
        <v>2555</v>
      </c>
      <c r="BL35" s="364"/>
      <c r="BM35" s="364"/>
      <c r="BN35" s="364"/>
      <c r="BO35" s="364"/>
      <c r="BP35" s="364"/>
      <c r="BQ35" s="364"/>
      <c r="BR35" s="364"/>
      <c r="BS35" s="364"/>
      <c r="BT35" s="364"/>
      <c r="BU35" s="364"/>
      <c r="BV35" s="364"/>
      <c r="BW35" s="364"/>
      <c r="BX35" s="364"/>
      <c r="BY35" s="364"/>
      <c r="BZ35" s="364"/>
      <c r="CA35" s="364"/>
      <c r="CB35" s="364"/>
      <c r="CC35" s="364"/>
      <c r="CD35" s="364"/>
      <c r="CE35" s="364"/>
      <c r="CF35" s="364"/>
      <c r="CG35" s="364"/>
      <c r="CH35" s="364"/>
      <c r="CI35" s="364"/>
      <c r="CJ35" s="364"/>
      <c r="CK35" s="364"/>
      <c r="CL35" s="364"/>
      <c r="CM35" s="364"/>
      <c r="CN35" s="364"/>
      <c r="CO35" s="364"/>
      <c r="CP35" s="364"/>
      <c r="CQ35" s="364"/>
      <c r="CR35" s="364"/>
      <c r="CS35" s="364"/>
      <c r="CT35" s="364"/>
      <c r="CU35" s="364"/>
      <c r="CV35" s="364"/>
      <c r="CW35" s="364"/>
      <c r="CX35" s="364"/>
      <c r="CY35" s="364"/>
      <c r="CZ35" s="364"/>
      <c r="DA35" s="364"/>
      <c r="DB35" s="364"/>
      <c r="DC35" s="364"/>
      <c r="DD35" s="364"/>
      <c r="DE35" s="364"/>
      <c r="DF35" s="364"/>
      <c r="DG35" s="364"/>
      <c r="DH35" s="364"/>
      <c r="DI35" s="364"/>
      <c r="DJ35" s="364"/>
      <c r="DK35" s="364"/>
      <c r="DL35" s="364"/>
      <c r="DM35" s="364"/>
      <c r="DN35" s="364"/>
      <c r="DO35" s="364"/>
      <c r="DP35" s="364"/>
      <c r="DQ35" s="364"/>
      <c r="DR35" s="364"/>
      <c r="DS35" s="364"/>
      <c r="DT35" s="364"/>
      <c r="DU35" s="364"/>
      <c r="DV35" s="364"/>
      <c r="DW35" s="364"/>
      <c r="DX35" s="364"/>
      <c r="DY35" s="364"/>
      <c r="DZ35" s="364"/>
      <c r="EA35" s="364"/>
      <c r="EB35" s="364"/>
      <c r="EC35" s="364"/>
      <c r="ED35" s="364"/>
      <c r="EE35" s="364"/>
      <c r="EF35" s="364"/>
      <c r="EG35" s="364"/>
      <c r="EH35" s="364"/>
      <c r="EI35" s="364"/>
      <c r="EJ35" s="364"/>
      <c r="EK35" s="364"/>
      <c r="EL35" s="364"/>
      <c r="EM35" s="364"/>
      <c r="EN35" s="364"/>
      <c r="EO35" s="364"/>
      <c r="EP35" s="364"/>
      <c r="EQ35" s="364"/>
      <c r="ER35" s="364"/>
      <c r="ES35" s="364"/>
      <c r="ET35" s="364"/>
      <c r="EU35" s="364"/>
      <c r="EV35" s="364"/>
      <c r="EW35" s="364"/>
      <c r="EX35" s="364"/>
      <c r="EY35" s="364"/>
      <c r="EZ35" s="364"/>
      <c r="FA35" s="364"/>
      <c r="FB35" s="364"/>
      <c r="FC35" s="364"/>
      <c r="FD35" s="364"/>
      <c r="FE35" s="364"/>
      <c r="FF35" s="364"/>
      <c r="FG35" s="364"/>
      <c r="FH35" s="364"/>
      <c r="FI35" s="364"/>
      <c r="FJ35" s="364"/>
      <c r="FK35" s="364"/>
    </row>
    <row r="36" customFormat="false" ht="15.75" hidden="false" customHeight="false" outlineLevel="0" collapsed="false">
      <c r="A36" s="364" t="n">
        <v>89</v>
      </c>
      <c r="B36" s="364" t="n">
        <f aca="false">COUNTA(D36:FK36)</f>
        <v>37</v>
      </c>
      <c r="C36" s="364" t="s">
        <v>431</v>
      </c>
      <c r="D36" s="364" t="s">
        <v>2481</v>
      </c>
      <c r="E36" s="364" t="s">
        <v>2310</v>
      </c>
      <c r="F36" s="364" t="s">
        <v>2311</v>
      </c>
      <c r="G36" s="364" t="s">
        <v>2312</v>
      </c>
      <c r="H36" s="364" t="s">
        <v>2432</v>
      </c>
      <c r="I36" s="364" t="s">
        <v>2314</v>
      </c>
      <c r="J36" s="364" t="s">
        <v>2315</v>
      </c>
      <c r="K36" s="364" t="s">
        <v>2316</v>
      </c>
      <c r="L36" s="364" t="s">
        <v>2319</v>
      </c>
      <c r="M36" s="364" t="s">
        <v>2320</v>
      </c>
      <c r="N36" s="364" t="s">
        <v>2323</v>
      </c>
      <c r="O36" s="364" t="s">
        <v>2324</v>
      </c>
      <c r="P36" s="364" t="s">
        <v>2325</v>
      </c>
      <c r="Q36" s="364" t="s">
        <v>2328</v>
      </c>
      <c r="R36" s="364" t="s">
        <v>2329</v>
      </c>
      <c r="S36" s="364" t="s">
        <v>2438</v>
      </c>
      <c r="T36" s="364" t="s">
        <v>2330</v>
      </c>
      <c r="U36" s="364" t="s">
        <v>2556</v>
      </c>
      <c r="V36" s="364" t="s">
        <v>2557</v>
      </c>
      <c r="W36" s="364" t="s">
        <v>2558</v>
      </c>
      <c r="X36" s="364" t="s">
        <v>2331</v>
      </c>
      <c r="Y36" s="364" t="s">
        <v>2454</v>
      </c>
      <c r="Z36" s="364" t="s">
        <v>2335</v>
      </c>
      <c r="AA36" s="364" t="s">
        <v>2336</v>
      </c>
      <c r="AB36" s="364" t="s">
        <v>2337</v>
      </c>
      <c r="AC36" s="364" t="s">
        <v>2340</v>
      </c>
      <c r="AD36" s="364" t="s">
        <v>2341</v>
      </c>
      <c r="AE36" s="364" t="s">
        <v>2342</v>
      </c>
      <c r="AF36" s="364" t="s">
        <v>2343</v>
      </c>
      <c r="AG36" s="364" t="s">
        <v>2344</v>
      </c>
      <c r="AH36" s="364" t="s">
        <v>2345</v>
      </c>
      <c r="AI36" s="364" t="s">
        <v>2473</v>
      </c>
      <c r="AJ36" s="364" t="s">
        <v>2349</v>
      </c>
      <c r="AK36" s="364" t="s">
        <v>2445</v>
      </c>
      <c r="AL36" s="364" t="s">
        <v>2350</v>
      </c>
      <c r="AM36" s="364" t="s">
        <v>2351</v>
      </c>
      <c r="AN36" s="364" t="s">
        <v>2489</v>
      </c>
      <c r="AO36" s="364"/>
      <c r="AP36" s="364"/>
      <c r="AQ36" s="364"/>
      <c r="AR36" s="364"/>
      <c r="AS36" s="364"/>
      <c r="AT36" s="364"/>
      <c r="AU36" s="364"/>
      <c r="AV36" s="364"/>
      <c r="AW36" s="364"/>
      <c r="AX36" s="364"/>
      <c r="AY36" s="364"/>
      <c r="AZ36" s="364"/>
      <c r="BA36" s="364"/>
      <c r="BB36" s="364"/>
      <c r="BC36" s="364"/>
      <c r="BD36" s="364"/>
      <c r="BE36" s="364"/>
      <c r="BF36" s="364"/>
      <c r="BG36" s="364"/>
      <c r="BH36" s="364"/>
      <c r="BI36" s="364"/>
      <c r="BJ36" s="364"/>
      <c r="BK36" s="364"/>
      <c r="BL36" s="364"/>
      <c r="BM36" s="364"/>
      <c r="BN36" s="364"/>
      <c r="BO36" s="364"/>
      <c r="BP36" s="364"/>
      <c r="BQ36" s="364"/>
      <c r="BR36" s="364"/>
      <c r="BS36" s="364"/>
      <c r="BT36" s="364"/>
      <c r="BU36" s="364"/>
      <c r="BV36" s="364"/>
      <c r="BW36" s="364"/>
      <c r="BX36" s="364"/>
      <c r="BY36" s="364"/>
      <c r="BZ36" s="364"/>
      <c r="CA36" s="364"/>
      <c r="CB36" s="364"/>
      <c r="CC36" s="364"/>
      <c r="CD36" s="364"/>
      <c r="CE36" s="364"/>
      <c r="CF36" s="364"/>
      <c r="CG36" s="364"/>
      <c r="CH36" s="364"/>
      <c r="CI36" s="364"/>
      <c r="CJ36" s="364"/>
      <c r="CK36" s="364"/>
      <c r="CL36" s="364"/>
      <c r="CM36" s="364"/>
      <c r="CN36" s="364"/>
      <c r="CO36" s="364"/>
      <c r="CP36" s="364"/>
      <c r="CQ36" s="364"/>
      <c r="CR36" s="364"/>
      <c r="CS36" s="364"/>
      <c r="CT36" s="364"/>
      <c r="CU36" s="364"/>
      <c r="CV36" s="364"/>
      <c r="CW36" s="364"/>
      <c r="CX36" s="364"/>
      <c r="CY36" s="364"/>
      <c r="CZ36" s="364"/>
      <c r="DA36" s="364"/>
      <c r="DB36" s="364"/>
      <c r="DC36" s="364"/>
      <c r="DD36" s="364"/>
      <c r="DE36" s="364"/>
      <c r="DF36" s="364"/>
      <c r="DG36" s="364"/>
      <c r="DH36" s="364"/>
      <c r="DI36" s="364"/>
      <c r="DJ36" s="364"/>
      <c r="DK36" s="364"/>
      <c r="DL36" s="364"/>
      <c r="DM36" s="364"/>
      <c r="DN36" s="364"/>
      <c r="DO36" s="364"/>
      <c r="DP36" s="364"/>
      <c r="DQ36" s="364"/>
      <c r="DR36" s="364"/>
      <c r="DS36" s="364"/>
      <c r="DT36" s="364"/>
      <c r="DU36" s="364"/>
      <c r="DV36" s="364"/>
      <c r="DW36" s="364"/>
      <c r="DX36" s="364"/>
      <c r="DY36" s="364"/>
      <c r="DZ36" s="364"/>
      <c r="EA36" s="364"/>
      <c r="EB36" s="364"/>
      <c r="EC36" s="364"/>
      <c r="ED36" s="364"/>
      <c r="EE36" s="364"/>
      <c r="EF36" s="364"/>
      <c r="EG36" s="364"/>
      <c r="EH36" s="364"/>
      <c r="EI36" s="364"/>
      <c r="EJ36" s="364"/>
      <c r="EK36" s="364"/>
      <c r="EL36" s="364"/>
      <c r="EM36" s="364"/>
      <c r="EN36" s="364"/>
      <c r="EO36" s="364"/>
      <c r="EP36" s="364"/>
      <c r="EQ36" s="364"/>
      <c r="ER36" s="364"/>
      <c r="ES36" s="364"/>
      <c r="ET36" s="364"/>
      <c r="EU36" s="364"/>
      <c r="EV36" s="364"/>
      <c r="EW36" s="364"/>
      <c r="EX36" s="364"/>
      <c r="EY36" s="364"/>
      <c r="EZ36" s="364"/>
      <c r="FA36" s="364"/>
      <c r="FB36" s="364"/>
      <c r="FC36" s="364"/>
      <c r="FD36" s="364"/>
      <c r="FE36" s="364"/>
      <c r="FF36" s="364"/>
      <c r="FG36" s="364"/>
      <c r="FH36" s="364"/>
      <c r="FI36" s="364"/>
      <c r="FJ36" s="364"/>
      <c r="FK36" s="364"/>
    </row>
    <row r="37" customFormat="false" ht="15.75" hidden="false" customHeight="false" outlineLevel="0" collapsed="false">
      <c r="A37" s="364" t="n">
        <v>91</v>
      </c>
      <c r="B37" s="364" t="n">
        <f aca="false">COUNTA(D37:FK37)</f>
        <v>45</v>
      </c>
      <c r="C37" s="364" t="s">
        <v>435</v>
      </c>
      <c r="D37" s="364" t="s">
        <v>2481</v>
      </c>
      <c r="E37" s="364" t="s">
        <v>2482</v>
      </c>
      <c r="F37" s="364" t="s">
        <v>2310</v>
      </c>
      <c r="G37" s="364" t="s">
        <v>2311</v>
      </c>
      <c r="H37" s="364" t="s">
        <v>2405</v>
      </c>
      <c r="I37" s="364" t="s">
        <v>2406</v>
      </c>
      <c r="J37" s="364" t="s">
        <v>2408</v>
      </c>
      <c r="K37" s="364" t="s">
        <v>2559</v>
      </c>
      <c r="L37" s="364" t="s">
        <v>2315</v>
      </c>
      <c r="M37" s="364" t="s">
        <v>2517</v>
      </c>
      <c r="N37" s="364" t="s">
        <v>2410</v>
      </c>
      <c r="O37" s="364" t="s">
        <v>2316</v>
      </c>
      <c r="P37" s="364" t="s">
        <v>2320</v>
      </c>
      <c r="Q37" s="364" t="s">
        <v>2323</v>
      </c>
      <c r="R37" s="364" t="s">
        <v>2324</v>
      </c>
      <c r="S37" s="364" t="s">
        <v>2560</v>
      </c>
      <c r="T37" s="364" t="s">
        <v>2328</v>
      </c>
      <c r="U37" s="364" t="s">
        <v>2414</v>
      </c>
      <c r="V37" s="364" t="s">
        <v>2329</v>
      </c>
      <c r="W37" s="364" t="s">
        <v>2415</v>
      </c>
      <c r="X37" s="364" t="s">
        <v>2417</v>
      </c>
      <c r="Y37" s="364" t="s">
        <v>2438</v>
      </c>
      <c r="Z37" s="364" t="s">
        <v>2330</v>
      </c>
      <c r="AA37" s="364" t="s">
        <v>2331</v>
      </c>
      <c r="AB37" s="364" t="s">
        <v>2452</v>
      </c>
      <c r="AC37" s="364" t="s">
        <v>2454</v>
      </c>
      <c r="AD37" s="364" t="s">
        <v>2487</v>
      </c>
      <c r="AE37" s="364" t="s">
        <v>2335</v>
      </c>
      <c r="AF37" s="364" t="s">
        <v>2337</v>
      </c>
      <c r="AG37" s="364" t="s">
        <v>2340</v>
      </c>
      <c r="AH37" s="364" t="s">
        <v>2421</v>
      </c>
      <c r="AI37" s="364" t="s">
        <v>2341</v>
      </c>
      <c r="AJ37" s="364" t="s">
        <v>2393</v>
      </c>
      <c r="AK37" s="364" t="s">
        <v>2343</v>
      </c>
      <c r="AL37" s="364" t="s">
        <v>2471</v>
      </c>
      <c r="AM37" s="364" t="s">
        <v>2344</v>
      </c>
      <c r="AN37" s="364" t="s">
        <v>2424</v>
      </c>
      <c r="AO37" s="364" t="s">
        <v>2349</v>
      </c>
      <c r="AP37" s="364" t="s">
        <v>2445</v>
      </c>
      <c r="AQ37" s="364" t="s">
        <v>2350</v>
      </c>
      <c r="AR37" s="364" t="s">
        <v>2425</v>
      </c>
      <c r="AS37" s="364" t="s">
        <v>2426</v>
      </c>
      <c r="AT37" s="364" t="s">
        <v>2428</v>
      </c>
      <c r="AU37" s="364" t="s">
        <v>2429</v>
      </c>
      <c r="AV37" s="364" t="s">
        <v>2489</v>
      </c>
      <c r="AW37" s="364"/>
      <c r="AX37" s="364"/>
      <c r="AY37" s="364"/>
      <c r="AZ37" s="364"/>
      <c r="BA37" s="364"/>
      <c r="BB37" s="364"/>
      <c r="BC37" s="364"/>
      <c r="BD37" s="364"/>
      <c r="BE37" s="364"/>
      <c r="BF37" s="364"/>
      <c r="BG37" s="364"/>
      <c r="BH37" s="364"/>
      <c r="BI37" s="364"/>
      <c r="BJ37" s="364"/>
      <c r="BK37" s="364"/>
      <c r="BL37" s="364"/>
      <c r="BM37" s="364"/>
      <c r="BN37" s="364"/>
      <c r="BO37" s="364"/>
      <c r="BP37" s="364"/>
      <c r="BQ37" s="364"/>
      <c r="BR37" s="364"/>
      <c r="BS37" s="364"/>
      <c r="BT37" s="364"/>
      <c r="BU37" s="364"/>
      <c r="BV37" s="364"/>
      <c r="BW37" s="364"/>
      <c r="BX37" s="364"/>
      <c r="BY37" s="364"/>
      <c r="BZ37" s="364"/>
      <c r="CA37" s="364"/>
      <c r="CB37" s="364"/>
      <c r="CC37" s="364"/>
      <c r="CD37" s="364"/>
      <c r="CE37" s="364"/>
      <c r="CF37" s="364"/>
      <c r="CG37" s="364"/>
      <c r="CH37" s="364"/>
      <c r="CI37" s="364"/>
      <c r="CJ37" s="364"/>
      <c r="CK37" s="364"/>
      <c r="CL37" s="364"/>
      <c r="CM37" s="364"/>
      <c r="CN37" s="364"/>
      <c r="CO37" s="364"/>
      <c r="CP37" s="364"/>
      <c r="CQ37" s="364"/>
      <c r="CR37" s="364"/>
      <c r="CS37" s="364"/>
      <c r="CT37" s="364"/>
      <c r="CU37" s="364"/>
      <c r="CV37" s="364"/>
      <c r="CW37" s="364"/>
      <c r="CX37" s="364"/>
      <c r="CY37" s="364"/>
      <c r="CZ37" s="364"/>
      <c r="DA37" s="364"/>
      <c r="DB37" s="364"/>
      <c r="DC37" s="364"/>
      <c r="DD37" s="364"/>
      <c r="DE37" s="364"/>
      <c r="DF37" s="364"/>
      <c r="DG37" s="364"/>
      <c r="DH37" s="364"/>
      <c r="DI37" s="364"/>
      <c r="DJ37" s="364"/>
      <c r="DK37" s="364"/>
      <c r="DL37" s="364"/>
      <c r="DM37" s="364"/>
      <c r="DN37" s="364"/>
      <c r="DO37" s="364"/>
      <c r="DP37" s="364"/>
      <c r="DQ37" s="364"/>
      <c r="DR37" s="364"/>
      <c r="DS37" s="364"/>
      <c r="DT37" s="364"/>
      <c r="DU37" s="364"/>
      <c r="DV37" s="364"/>
      <c r="DW37" s="364"/>
      <c r="DX37" s="364"/>
      <c r="DY37" s="364"/>
      <c r="DZ37" s="364"/>
      <c r="EA37" s="364"/>
      <c r="EB37" s="364"/>
      <c r="EC37" s="364"/>
      <c r="ED37" s="364"/>
      <c r="EE37" s="364"/>
      <c r="EF37" s="364"/>
      <c r="EG37" s="364"/>
      <c r="EH37" s="364"/>
      <c r="EI37" s="364"/>
      <c r="EJ37" s="364"/>
      <c r="EK37" s="364"/>
      <c r="EL37" s="364"/>
      <c r="EM37" s="364"/>
      <c r="EN37" s="364"/>
      <c r="EO37" s="364"/>
      <c r="EP37" s="364"/>
      <c r="EQ37" s="364"/>
      <c r="ER37" s="364"/>
      <c r="ES37" s="364"/>
      <c r="ET37" s="364"/>
      <c r="EU37" s="364"/>
      <c r="EV37" s="364"/>
      <c r="EW37" s="364"/>
      <c r="EX37" s="364"/>
      <c r="EY37" s="364"/>
      <c r="EZ37" s="364"/>
      <c r="FA37" s="364"/>
      <c r="FB37" s="364"/>
      <c r="FC37" s="364"/>
      <c r="FD37" s="364"/>
      <c r="FE37" s="364"/>
      <c r="FF37" s="364"/>
      <c r="FG37" s="364"/>
      <c r="FH37" s="364"/>
      <c r="FI37" s="364"/>
      <c r="FJ37" s="364"/>
      <c r="FK37" s="364"/>
    </row>
    <row r="38" customFormat="false" ht="15.75" hidden="false" customHeight="false" outlineLevel="0" collapsed="false">
      <c r="A38" s="364" t="n">
        <v>96</v>
      </c>
      <c r="B38" s="364" t="n">
        <f aca="false">COUNTA(D38:FK38)</f>
        <v>56</v>
      </c>
      <c r="C38" s="364" t="s">
        <v>447</v>
      </c>
      <c r="D38" s="364" t="s">
        <v>2561</v>
      </c>
      <c r="E38" s="364" t="s">
        <v>2310</v>
      </c>
      <c r="F38" s="364" t="s">
        <v>2312</v>
      </c>
      <c r="G38" s="364" t="s">
        <v>2356</v>
      </c>
      <c r="H38" s="364" t="s">
        <v>2313</v>
      </c>
      <c r="I38" s="364" t="s">
        <v>138</v>
      </c>
      <c r="J38" s="364" t="s">
        <v>2358</v>
      </c>
      <c r="K38" s="364" t="s">
        <v>2316</v>
      </c>
      <c r="L38" s="364" t="s">
        <v>2364</v>
      </c>
      <c r="M38" s="364" t="s">
        <v>2497</v>
      </c>
      <c r="N38" s="364" t="s">
        <v>2317</v>
      </c>
      <c r="O38" s="364" t="s">
        <v>2562</v>
      </c>
      <c r="P38" s="364" t="s">
        <v>2320</v>
      </c>
      <c r="Q38" s="364" t="s">
        <v>2366</v>
      </c>
      <c r="R38" s="364" t="s">
        <v>2369</v>
      </c>
      <c r="S38" s="364" t="s">
        <v>2373</v>
      </c>
      <c r="T38" s="364" t="s">
        <v>2376</v>
      </c>
      <c r="U38" s="364" t="s">
        <v>2377</v>
      </c>
      <c r="V38" s="364" t="s">
        <v>2322</v>
      </c>
      <c r="W38" s="364" t="s">
        <v>2324</v>
      </c>
      <c r="X38" s="364" t="s">
        <v>2412</v>
      </c>
      <c r="Y38" s="364" t="s">
        <v>2327</v>
      </c>
      <c r="Z38" s="364" t="s">
        <v>2563</v>
      </c>
      <c r="AA38" s="364" t="s">
        <v>2328</v>
      </c>
      <c r="AB38" s="364" t="s">
        <v>2329</v>
      </c>
      <c r="AC38" s="364" t="s">
        <v>2379</v>
      </c>
      <c r="AD38" s="364" t="s">
        <v>2506</v>
      </c>
      <c r="AE38" s="364" t="s">
        <v>2382</v>
      </c>
      <c r="AF38" s="364" t="s">
        <v>2383</v>
      </c>
      <c r="AG38" s="261" t="s">
        <v>183</v>
      </c>
      <c r="AH38" s="364" t="s">
        <v>2387</v>
      </c>
      <c r="AI38" s="364" t="s">
        <v>2335</v>
      </c>
      <c r="AJ38" s="364" t="s">
        <v>2337</v>
      </c>
      <c r="AK38" s="364" t="s">
        <v>2564</v>
      </c>
      <c r="AL38" s="364" t="s">
        <v>2338</v>
      </c>
      <c r="AM38" s="364" t="s">
        <v>2388</v>
      </c>
      <c r="AN38" s="364" t="s">
        <v>2339</v>
      </c>
      <c r="AO38" s="364" t="s">
        <v>2565</v>
      </c>
      <c r="AP38" s="364" t="s">
        <v>2389</v>
      </c>
      <c r="AQ38" s="364" t="s">
        <v>2420</v>
      </c>
      <c r="AR38" s="364" t="s">
        <v>2340</v>
      </c>
      <c r="AS38" s="364" t="s">
        <v>2341</v>
      </c>
      <c r="AT38" s="364" t="s">
        <v>2391</v>
      </c>
      <c r="AU38" s="364" t="s">
        <v>2566</v>
      </c>
      <c r="AV38" s="364" t="s">
        <v>2423</v>
      </c>
      <c r="AW38" s="364" t="s">
        <v>2344</v>
      </c>
      <c r="AX38" s="364" t="s">
        <v>2567</v>
      </c>
      <c r="AY38" s="364" t="s">
        <v>2346</v>
      </c>
      <c r="AZ38" s="364" t="s">
        <v>2500</v>
      </c>
      <c r="BA38" s="364" t="s">
        <v>2347</v>
      </c>
      <c r="BB38" s="364" t="s">
        <v>2397</v>
      </c>
      <c r="BC38" s="364" t="s">
        <v>2473</v>
      </c>
      <c r="BD38" s="364" t="s">
        <v>2511</v>
      </c>
      <c r="BE38" s="364" t="s">
        <v>2348</v>
      </c>
      <c r="BF38" s="364" t="s">
        <v>2349</v>
      </c>
      <c r="BG38" s="364" t="s">
        <v>2399</v>
      </c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4"/>
      <c r="BT38" s="364"/>
      <c r="BU38" s="364"/>
      <c r="BV38" s="364"/>
      <c r="BW38" s="364"/>
      <c r="BX38" s="364"/>
      <c r="BY38" s="364"/>
      <c r="BZ38" s="364"/>
      <c r="CA38" s="364"/>
      <c r="CB38" s="364"/>
      <c r="CC38" s="364"/>
      <c r="CD38" s="364"/>
      <c r="CE38" s="364"/>
      <c r="CF38" s="364"/>
      <c r="CG38" s="364"/>
      <c r="CH38" s="364"/>
      <c r="CI38" s="364"/>
      <c r="CJ38" s="364"/>
      <c r="CK38" s="364"/>
      <c r="CL38" s="364"/>
      <c r="CM38" s="364"/>
      <c r="CN38" s="364"/>
      <c r="CO38" s="364"/>
      <c r="CP38" s="364"/>
      <c r="CQ38" s="364"/>
      <c r="CR38" s="364"/>
      <c r="CS38" s="364"/>
      <c r="CT38" s="364"/>
      <c r="CU38" s="364"/>
      <c r="CV38" s="364"/>
      <c r="CW38" s="364"/>
      <c r="CX38" s="364"/>
      <c r="CY38" s="364"/>
      <c r="CZ38" s="364"/>
      <c r="DA38" s="364"/>
      <c r="DB38" s="364"/>
      <c r="DC38" s="364"/>
      <c r="DD38" s="364"/>
      <c r="DE38" s="364"/>
      <c r="DF38" s="364"/>
      <c r="DG38" s="364"/>
      <c r="DH38" s="364"/>
      <c r="DI38" s="364"/>
      <c r="DJ38" s="364"/>
      <c r="DK38" s="364"/>
      <c r="DL38" s="364"/>
      <c r="DM38" s="364"/>
      <c r="DN38" s="364"/>
      <c r="DO38" s="364"/>
      <c r="DP38" s="364"/>
      <c r="DQ38" s="364"/>
      <c r="DR38" s="364"/>
      <c r="DS38" s="364"/>
      <c r="DT38" s="364"/>
      <c r="DU38" s="364"/>
      <c r="DV38" s="364"/>
      <c r="DW38" s="364"/>
      <c r="DX38" s="364"/>
      <c r="DY38" s="364"/>
      <c r="DZ38" s="364"/>
      <c r="EA38" s="364"/>
      <c r="EB38" s="364"/>
      <c r="EC38" s="364"/>
      <c r="ED38" s="364"/>
      <c r="EE38" s="364"/>
      <c r="EF38" s="364"/>
      <c r="EG38" s="364"/>
      <c r="EH38" s="364"/>
      <c r="EI38" s="364"/>
      <c r="EJ38" s="364"/>
      <c r="EK38" s="364"/>
      <c r="EL38" s="364"/>
      <c r="EM38" s="364"/>
      <c r="EN38" s="364"/>
      <c r="EO38" s="364"/>
      <c r="EP38" s="364"/>
      <c r="EQ38" s="364"/>
      <c r="ER38" s="364"/>
      <c r="ES38" s="364"/>
      <c r="ET38" s="364"/>
      <c r="EU38" s="364"/>
      <c r="EV38" s="364"/>
      <c r="EW38" s="364"/>
      <c r="EX38" s="364"/>
      <c r="EY38" s="364"/>
      <c r="EZ38" s="364"/>
      <c r="FA38" s="364"/>
      <c r="FB38" s="364"/>
      <c r="FC38" s="364"/>
      <c r="FD38" s="364"/>
      <c r="FE38" s="364"/>
      <c r="FF38" s="364"/>
      <c r="FG38" s="364"/>
      <c r="FH38" s="364"/>
      <c r="FI38" s="364"/>
      <c r="FJ38" s="364"/>
      <c r="FK38" s="364"/>
    </row>
    <row r="39" customFormat="false" ht="15.75" hidden="false" customHeight="false" outlineLevel="0" collapsed="false">
      <c r="A39" s="364" t="n">
        <v>97</v>
      </c>
      <c r="B39" s="364" t="n">
        <f aca="false">COUNTA(D39:FK39)</f>
        <v>44</v>
      </c>
      <c r="C39" s="364" t="s">
        <v>2568</v>
      </c>
      <c r="D39" s="364" t="s">
        <v>2356</v>
      </c>
      <c r="E39" s="364" t="s">
        <v>2357</v>
      </c>
      <c r="F39" s="364" t="s">
        <v>2313</v>
      </c>
      <c r="G39" s="364" t="s">
        <v>2464</v>
      </c>
      <c r="H39" s="364" t="s">
        <v>2569</v>
      </c>
      <c r="I39" s="364" t="s">
        <v>2316</v>
      </c>
      <c r="J39" s="364" t="s">
        <v>2497</v>
      </c>
      <c r="K39" s="364" t="s">
        <v>2317</v>
      </c>
      <c r="L39" s="364" t="s">
        <v>2318</v>
      </c>
      <c r="M39" s="364" t="s">
        <v>2436</v>
      </c>
      <c r="N39" s="364" t="s">
        <v>2562</v>
      </c>
      <c r="O39" s="364" t="s">
        <v>2320</v>
      </c>
      <c r="P39" s="364" t="s">
        <v>2366</v>
      </c>
      <c r="Q39" s="364" t="s">
        <v>2369</v>
      </c>
      <c r="R39" s="364" t="s">
        <v>2373</v>
      </c>
      <c r="S39" s="364" t="s">
        <v>2376</v>
      </c>
      <c r="T39" s="364" t="s">
        <v>2377</v>
      </c>
      <c r="U39" s="364" t="s">
        <v>2324</v>
      </c>
      <c r="V39" s="364" t="s">
        <v>2412</v>
      </c>
      <c r="W39" s="364" t="s">
        <v>2563</v>
      </c>
      <c r="X39" s="364" t="s">
        <v>2328</v>
      </c>
      <c r="Y39" s="364" t="s">
        <v>2329</v>
      </c>
      <c r="Z39" s="364" t="s">
        <v>2506</v>
      </c>
      <c r="AA39" s="364" t="s">
        <v>2337</v>
      </c>
      <c r="AB39" s="364" t="s">
        <v>2564</v>
      </c>
      <c r="AC39" s="364" t="s">
        <v>2388</v>
      </c>
      <c r="AD39" s="364" t="s">
        <v>2565</v>
      </c>
      <c r="AE39" s="364" t="s">
        <v>2389</v>
      </c>
      <c r="AF39" s="364" t="s">
        <v>2340</v>
      </c>
      <c r="AG39" s="364" t="s">
        <v>2566</v>
      </c>
      <c r="AH39" s="364" t="s">
        <v>2470</v>
      </c>
      <c r="AI39" s="364" t="s">
        <v>2423</v>
      </c>
      <c r="AJ39" s="364" t="s">
        <v>2344</v>
      </c>
      <c r="AK39" s="364" t="s">
        <v>2570</v>
      </c>
      <c r="AL39" s="364" t="s">
        <v>2567</v>
      </c>
      <c r="AM39" s="364" t="s">
        <v>2346</v>
      </c>
      <c r="AN39" s="364" t="s">
        <v>2500</v>
      </c>
      <c r="AO39" s="364" t="s">
        <v>2511</v>
      </c>
      <c r="AP39" s="364" t="s">
        <v>2348</v>
      </c>
      <c r="AQ39" s="364" t="s">
        <v>2475</v>
      </c>
      <c r="AR39" s="364" t="s">
        <v>2476</v>
      </c>
      <c r="AS39" s="364" t="s">
        <v>2399</v>
      </c>
      <c r="AT39" s="364" t="s">
        <v>2492</v>
      </c>
      <c r="AU39" s="364" t="s">
        <v>2477</v>
      </c>
      <c r="AV39" s="364"/>
      <c r="AW39" s="364"/>
      <c r="AX39" s="364"/>
      <c r="AY39" s="364"/>
      <c r="AZ39" s="364"/>
      <c r="BA39" s="364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4"/>
      <c r="BT39" s="364"/>
      <c r="BU39" s="364"/>
      <c r="BV39" s="364"/>
      <c r="BW39" s="364"/>
      <c r="BX39" s="364"/>
      <c r="BY39" s="364"/>
      <c r="BZ39" s="364"/>
      <c r="CA39" s="364"/>
      <c r="CB39" s="364"/>
      <c r="CC39" s="364"/>
      <c r="CD39" s="364"/>
      <c r="CE39" s="364"/>
      <c r="CF39" s="364"/>
      <c r="CG39" s="364"/>
      <c r="CH39" s="364"/>
      <c r="CI39" s="364"/>
      <c r="CJ39" s="364"/>
      <c r="CK39" s="364"/>
      <c r="CL39" s="364"/>
      <c r="CM39" s="364"/>
      <c r="CN39" s="364"/>
      <c r="CO39" s="364"/>
      <c r="CP39" s="364"/>
      <c r="CQ39" s="364"/>
      <c r="CR39" s="364"/>
      <c r="CS39" s="364"/>
      <c r="CT39" s="364"/>
      <c r="CU39" s="364"/>
      <c r="CV39" s="364"/>
      <c r="CW39" s="364"/>
      <c r="CX39" s="364"/>
      <c r="CY39" s="364"/>
      <c r="CZ39" s="364"/>
      <c r="DA39" s="364"/>
      <c r="DB39" s="364"/>
      <c r="DC39" s="364"/>
      <c r="DD39" s="364"/>
      <c r="DE39" s="364"/>
      <c r="DF39" s="364"/>
      <c r="DG39" s="364"/>
      <c r="DH39" s="364"/>
      <c r="DI39" s="364"/>
      <c r="DJ39" s="364"/>
      <c r="DK39" s="364"/>
      <c r="DL39" s="364"/>
      <c r="DM39" s="364"/>
      <c r="DN39" s="364"/>
      <c r="DO39" s="364"/>
      <c r="DP39" s="364"/>
      <c r="DQ39" s="364"/>
      <c r="DR39" s="364"/>
      <c r="DS39" s="364"/>
      <c r="DT39" s="364"/>
      <c r="DU39" s="364"/>
      <c r="DV39" s="364"/>
      <c r="DW39" s="364"/>
      <c r="DX39" s="364"/>
      <c r="DY39" s="364"/>
      <c r="DZ39" s="364"/>
      <c r="EA39" s="364"/>
      <c r="EB39" s="364"/>
      <c r="EC39" s="364"/>
      <c r="ED39" s="364"/>
      <c r="EE39" s="364"/>
      <c r="EF39" s="364"/>
      <c r="EG39" s="364"/>
      <c r="EH39" s="364"/>
      <c r="EI39" s="364"/>
      <c r="EJ39" s="364"/>
      <c r="EK39" s="364"/>
      <c r="EL39" s="364"/>
      <c r="EM39" s="364"/>
      <c r="EN39" s="364"/>
      <c r="EO39" s="364"/>
      <c r="EP39" s="364"/>
      <c r="EQ39" s="364"/>
      <c r="ER39" s="364"/>
      <c r="ES39" s="364"/>
      <c r="ET39" s="364"/>
      <c r="EU39" s="364"/>
      <c r="EV39" s="364"/>
      <c r="EW39" s="364"/>
      <c r="EX39" s="364"/>
      <c r="EY39" s="364"/>
      <c r="EZ39" s="364"/>
      <c r="FA39" s="364"/>
      <c r="FB39" s="364"/>
      <c r="FC39" s="364"/>
      <c r="FD39" s="364"/>
      <c r="FE39" s="364"/>
      <c r="FF39" s="364"/>
      <c r="FG39" s="364"/>
      <c r="FH39" s="364"/>
      <c r="FI39" s="364"/>
      <c r="FJ39" s="364"/>
      <c r="FK39" s="364"/>
    </row>
    <row r="40" customFormat="false" ht="15.75" hidden="false" customHeight="false" outlineLevel="0" collapsed="false">
      <c r="A40" s="364" t="n">
        <v>99</v>
      </c>
      <c r="B40" s="364" t="n">
        <f aca="false">COUNTA(D40:FK40)</f>
        <v>43</v>
      </c>
      <c r="C40" s="364" t="s">
        <v>454</v>
      </c>
      <c r="D40" s="364" t="s">
        <v>2310</v>
      </c>
      <c r="E40" s="364" t="s">
        <v>2312</v>
      </c>
      <c r="F40" s="364" t="s">
        <v>2516</v>
      </c>
      <c r="G40" s="364" t="s">
        <v>2316</v>
      </c>
      <c r="H40" s="364" t="s">
        <v>184</v>
      </c>
      <c r="I40" s="364" t="s">
        <v>2318</v>
      </c>
      <c r="J40" s="364" t="s">
        <v>2365</v>
      </c>
      <c r="K40" s="364" t="s">
        <v>2320</v>
      </c>
      <c r="L40" s="364" t="s">
        <v>2366</v>
      </c>
      <c r="M40" s="364" t="s">
        <v>2370</v>
      </c>
      <c r="N40" s="364" t="s">
        <v>2372</v>
      </c>
      <c r="O40" s="364" t="s">
        <v>2373</v>
      </c>
      <c r="P40" s="364" t="s">
        <v>2548</v>
      </c>
      <c r="Q40" s="364" t="s">
        <v>2374</v>
      </c>
      <c r="R40" s="364" t="s">
        <v>2451</v>
      </c>
      <c r="S40" s="364" t="s">
        <v>2324</v>
      </c>
      <c r="T40" s="364" t="s">
        <v>2327</v>
      </c>
      <c r="U40" s="364" t="s">
        <v>2378</v>
      </c>
      <c r="V40" s="364" t="s">
        <v>2328</v>
      </c>
      <c r="W40" s="364" t="s">
        <v>2329</v>
      </c>
      <c r="X40" s="364" t="s">
        <v>2379</v>
      </c>
      <c r="Y40" s="364" t="s">
        <v>2380</v>
      </c>
      <c r="Z40" s="364" t="s">
        <v>2381</v>
      </c>
      <c r="AA40" s="364" t="s">
        <v>2539</v>
      </c>
      <c r="AB40" s="364" t="s">
        <v>2513</v>
      </c>
      <c r="AC40" s="364" t="s">
        <v>2386</v>
      </c>
      <c r="AD40" s="364" t="s">
        <v>2454</v>
      </c>
      <c r="AE40" s="364" t="s">
        <v>2461</v>
      </c>
      <c r="AF40" s="364" t="s">
        <v>2335</v>
      </c>
      <c r="AG40" s="364" t="s">
        <v>2337</v>
      </c>
      <c r="AH40" s="364" t="s">
        <v>2340</v>
      </c>
      <c r="AI40" s="364" t="s">
        <v>2341</v>
      </c>
      <c r="AJ40" s="364" t="s">
        <v>2393</v>
      </c>
      <c r="AK40" s="364" t="s">
        <v>2514</v>
      </c>
      <c r="AL40" s="364" t="s">
        <v>2344</v>
      </c>
      <c r="AM40" s="364" t="s">
        <v>2345</v>
      </c>
      <c r="AN40" s="364" t="s">
        <v>2571</v>
      </c>
      <c r="AO40" s="364" t="s">
        <v>2347</v>
      </c>
      <c r="AP40" s="364" t="s">
        <v>2398</v>
      </c>
      <c r="AQ40" s="364" t="s">
        <v>2348</v>
      </c>
      <c r="AR40" s="364" t="s">
        <v>2349</v>
      </c>
      <c r="AS40" s="364" t="s">
        <v>2456</v>
      </c>
      <c r="AT40" s="364" t="s">
        <v>2477</v>
      </c>
      <c r="AU40" s="364"/>
      <c r="AV40" s="364"/>
      <c r="AW40" s="364"/>
      <c r="AX40" s="364"/>
      <c r="AY40" s="364"/>
      <c r="AZ40" s="364"/>
      <c r="BA40" s="364"/>
      <c r="BB40" s="364"/>
      <c r="BC40" s="364"/>
      <c r="BD40" s="364"/>
      <c r="BE40" s="364"/>
      <c r="BF40" s="364"/>
      <c r="BG40" s="364"/>
      <c r="BH40" s="364"/>
      <c r="BI40" s="364"/>
      <c r="BJ40" s="364"/>
      <c r="BK40" s="364"/>
      <c r="BL40" s="364"/>
      <c r="BM40" s="364"/>
      <c r="BN40" s="364"/>
      <c r="BO40" s="364"/>
      <c r="BP40" s="364"/>
      <c r="BQ40" s="364"/>
      <c r="BR40" s="364"/>
      <c r="BS40" s="364"/>
      <c r="BT40" s="364"/>
      <c r="BU40" s="364"/>
      <c r="BV40" s="364"/>
      <c r="BW40" s="364"/>
      <c r="BX40" s="364"/>
      <c r="BY40" s="364"/>
      <c r="BZ40" s="364"/>
      <c r="CA40" s="364"/>
      <c r="CB40" s="364"/>
      <c r="CC40" s="364"/>
      <c r="CD40" s="364"/>
      <c r="CE40" s="364"/>
      <c r="CF40" s="364"/>
      <c r="CG40" s="364"/>
      <c r="CH40" s="364"/>
      <c r="CI40" s="364"/>
      <c r="CJ40" s="364"/>
      <c r="CK40" s="364"/>
      <c r="CL40" s="364"/>
      <c r="CM40" s="364"/>
      <c r="CN40" s="364"/>
      <c r="CO40" s="364"/>
      <c r="CP40" s="364"/>
      <c r="CQ40" s="364"/>
      <c r="CR40" s="364"/>
      <c r="CS40" s="364"/>
      <c r="CT40" s="364"/>
      <c r="CU40" s="364"/>
      <c r="CV40" s="364"/>
      <c r="CW40" s="364"/>
      <c r="CX40" s="364"/>
      <c r="CY40" s="364"/>
      <c r="CZ40" s="364"/>
      <c r="DA40" s="364"/>
      <c r="DB40" s="364"/>
      <c r="DC40" s="364"/>
      <c r="DD40" s="364"/>
      <c r="DE40" s="364"/>
      <c r="DF40" s="364"/>
      <c r="DG40" s="364"/>
      <c r="DH40" s="364"/>
      <c r="DI40" s="364"/>
      <c r="DJ40" s="364"/>
      <c r="DK40" s="364"/>
      <c r="DL40" s="364"/>
      <c r="DM40" s="364"/>
      <c r="DN40" s="364"/>
      <c r="DO40" s="364"/>
      <c r="DP40" s="364"/>
      <c r="DQ40" s="364"/>
      <c r="DR40" s="364"/>
      <c r="DS40" s="364"/>
      <c r="DT40" s="364"/>
      <c r="DU40" s="364"/>
      <c r="DV40" s="364"/>
      <c r="DW40" s="364"/>
      <c r="DX40" s="364"/>
      <c r="DY40" s="364"/>
      <c r="DZ40" s="364"/>
      <c r="EA40" s="364"/>
      <c r="EB40" s="364"/>
      <c r="EC40" s="364"/>
      <c r="ED40" s="364"/>
      <c r="EE40" s="364"/>
      <c r="EF40" s="364"/>
      <c r="EG40" s="364"/>
      <c r="EH40" s="364"/>
      <c r="EI40" s="364"/>
      <c r="EJ40" s="364"/>
      <c r="EK40" s="364"/>
      <c r="EL40" s="364"/>
      <c r="EM40" s="364"/>
      <c r="EN40" s="364"/>
      <c r="EO40" s="364"/>
      <c r="EP40" s="364"/>
      <c r="EQ40" s="364"/>
      <c r="ER40" s="364"/>
      <c r="ES40" s="364"/>
      <c r="ET40" s="364"/>
      <c r="EU40" s="364"/>
      <c r="EV40" s="364"/>
      <c r="EW40" s="364"/>
      <c r="EX40" s="364"/>
      <c r="EY40" s="364"/>
      <c r="EZ40" s="364"/>
      <c r="FA40" s="364"/>
      <c r="FB40" s="364"/>
      <c r="FC40" s="364"/>
      <c r="FD40" s="364"/>
      <c r="FE40" s="364"/>
      <c r="FF40" s="364"/>
      <c r="FG40" s="364"/>
      <c r="FH40" s="364"/>
      <c r="FI40" s="364"/>
      <c r="FJ40" s="364"/>
      <c r="FK40" s="364"/>
    </row>
    <row r="41" customFormat="false" ht="15.75" hidden="false" customHeight="false" outlineLevel="0" collapsed="false">
      <c r="A41" s="364" t="n">
        <v>101</v>
      </c>
      <c r="B41" s="364" t="n">
        <f aca="false">COUNTA(D41:FK41)</f>
        <v>68</v>
      </c>
      <c r="C41" s="364" t="s">
        <v>458</v>
      </c>
      <c r="D41" s="364" t="s">
        <v>2352</v>
      </c>
      <c r="E41" s="364" t="s">
        <v>2402</v>
      </c>
      <c r="F41" s="364" t="s">
        <v>2403</v>
      </c>
      <c r="G41" s="364" t="s">
        <v>2310</v>
      </c>
      <c r="H41" s="364" t="s">
        <v>2405</v>
      </c>
      <c r="I41" s="364" t="s">
        <v>2312</v>
      </c>
      <c r="J41" s="364" t="s">
        <v>2356</v>
      </c>
      <c r="K41" s="364" t="s">
        <v>2406</v>
      </c>
      <c r="L41" s="364" t="s">
        <v>2408</v>
      </c>
      <c r="M41" s="364" t="s">
        <v>2313</v>
      </c>
      <c r="N41" s="364" t="s">
        <v>2434</v>
      </c>
      <c r="O41" s="364" t="s">
        <v>138</v>
      </c>
      <c r="P41" s="364" t="s">
        <v>2358</v>
      </c>
      <c r="Q41" s="364" t="s">
        <v>2410</v>
      </c>
      <c r="R41" s="364" t="s">
        <v>2316</v>
      </c>
      <c r="S41" s="364" t="s">
        <v>2520</v>
      </c>
      <c r="T41" s="364" t="s">
        <v>2435</v>
      </c>
      <c r="U41" s="364" t="s">
        <v>2364</v>
      </c>
      <c r="V41" s="364" t="s">
        <v>2317</v>
      </c>
      <c r="W41" s="364" t="s">
        <v>2318</v>
      </c>
      <c r="X41" s="364" t="s">
        <v>2320</v>
      </c>
      <c r="Y41" s="364" t="s">
        <v>2366</v>
      </c>
      <c r="Z41" s="364" t="s">
        <v>2373</v>
      </c>
      <c r="AA41" s="364" t="s">
        <v>2376</v>
      </c>
      <c r="AB41" s="364" t="s">
        <v>2377</v>
      </c>
      <c r="AC41" s="364" t="s">
        <v>2523</v>
      </c>
      <c r="AD41" s="364" t="s">
        <v>2322</v>
      </c>
      <c r="AE41" s="364" t="s">
        <v>2324</v>
      </c>
      <c r="AF41" s="364" t="s">
        <v>2325</v>
      </c>
      <c r="AG41" s="364" t="s">
        <v>2327</v>
      </c>
      <c r="AH41" s="364" t="s">
        <v>2328</v>
      </c>
      <c r="AI41" s="364" t="s">
        <v>2329</v>
      </c>
      <c r="AJ41" s="364" t="s">
        <v>2415</v>
      </c>
      <c r="AK41" s="364" t="s">
        <v>2416</v>
      </c>
      <c r="AL41" s="364" t="s">
        <v>2417</v>
      </c>
      <c r="AM41" s="364" t="s">
        <v>2379</v>
      </c>
      <c r="AN41" s="364" t="s">
        <v>2381</v>
      </c>
      <c r="AO41" s="364" t="s">
        <v>2382</v>
      </c>
      <c r="AP41" s="364" t="s">
        <v>2383</v>
      </c>
      <c r="AQ41" s="261" t="s">
        <v>183</v>
      </c>
      <c r="AR41" s="364" t="s">
        <v>2490</v>
      </c>
      <c r="AS41" s="364" t="s">
        <v>157</v>
      </c>
      <c r="AT41" s="364" t="s">
        <v>2495</v>
      </c>
      <c r="AU41" s="364" t="s">
        <v>2440</v>
      </c>
      <c r="AV41" s="364" t="s">
        <v>2335</v>
      </c>
      <c r="AW41" s="364" t="s">
        <v>2337</v>
      </c>
      <c r="AX41" s="364" t="s">
        <v>2339</v>
      </c>
      <c r="AY41" s="364" t="s">
        <v>2340</v>
      </c>
      <c r="AZ41" s="364" t="s">
        <v>2421</v>
      </c>
      <c r="BA41" s="364" t="s">
        <v>2341</v>
      </c>
      <c r="BB41" s="364" t="s">
        <v>2391</v>
      </c>
      <c r="BC41" s="364" t="s">
        <v>2442</v>
      </c>
      <c r="BD41" s="364" t="s">
        <v>2422</v>
      </c>
      <c r="BE41" s="364" t="s">
        <v>2393</v>
      </c>
      <c r="BF41" s="364" t="s">
        <v>2344</v>
      </c>
      <c r="BG41" s="364" t="s">
        <v>2347</v>
      </c>
      <c r="BH41" s="364" t="s">
        <v>2397</v>
      </c>
      <c r="BI41" s="364" t="s">
        <v>2424</v>
      </c>
      <c r="BJ41" s="364" t="s">
        <v>2398</v>
      </c>
      <c r="BK41" s="364" t="s">
        <v>2348</v>
      </c>
      <c r="BL41" s="364" t="s">
        <v>2349</v>
      </c>
      <c r="BM41" s="364" t="s">
        <v>2522</v>
      </c>
      <c r="BN41" s="364" t="s">
        <v>2426</v>
      </c>
      <c r="BO41" s="364" t="s">
        <v>2428</v>
      </c>
      <c r="BP41" s="364" t="s">
        <v>2429</v>
      </c>
      <c r="BQ41" s="364" t="s">
        <v>2572</v>
      </c>
      <c r="BR41" s="364" t="s">
        <v>2493</v>
      </c>
      <c r="BS41" s="364" t="s">
        <v>2430</v>
      </c>
      <c r="BT41" s="364"/>
      <c r="BU41" s="364"/>
      <c r="BV41" s="364"/>
      <c r="BW41" s="364"/>
      <c r="BX41" s="364"/>
      <c r="BY41" s="364"/>
      <c r="BZ41" s="364"/>
      <c r="CA41" s="364"/>
      <c r="CB41" s="364"/>
      <c r="CC41" s="364"/>
      <c r="CD41" s="364"/>
      <c r="CE41" s="364"/>
      <c r="CF41" s="364"/>
      <c r="CG41" s="364"/>
      <c r="CH41" s="364"/>
      <c r="CI41" s="364"/>
      <c r="CJ41" s="364"/>
      <c r="CK41" s="364"/>
      <c r="CL41" s="364"/>
      <c r="CM41" s="364"/>
      <c r="CN41" s="364"/>
      <c r="CO41" s="364"/>
      <c r="CP41" s="364"/>
      <c r="CQ41" s="364"/>
      <c r="CR41" s="364"/>
      <c r="CS41" s="364"/>
      <c r="CT41" s="364"/>
      <c r="CU41" s="364"/>
      <c r="CV41" s="364"/>
      <c r="CW41" s="364"/>
      <c r="CX41" s="364"/>
      <c r="CY41" s="364"/>
      <c r="CZ41" s="364"/>
      <c r="DA41" s="364"/>
      <c r="DB41" s="364"/>
      <c r="DC41" s="364"/>
      <c r="DD41" s="364"/>
      <c r="DE41" s="364"/>
      <c r="DF41" s="364"/>
      <c r="DG41" s="364"/>
      <c r="DH41" s="364"/>
      <c r="DI41" s="364"/>
      <c r="DJ41" s="364"/>
      <c r="DK41" s="364"/>
      <c r="DL41" s="364"/>
      <c r="DM41" s="364"/>
      <c r="DN41" s="364"/>
      <c r="DO41" s="364"/>
      <c r="DP41" s="364"/>
      <c r="DQ41" s="364"/>
      <c r="DR41" s="364"/>
      <c r="DS41" s="364"/>
      <c r="DT41" s="364"/>
      <c r="DU41" s="364"/>
      <c r="DV41" s="364"/>
      <c r="DW41" s="364"/>
      <c r="DX41" s="364"/>
      <c r="DY41" s="364"/>
      <c r="DZ41" s="364"/>
      <c r="EA41" s="364"/>
      <c r="EB41" s="364"/>
      <c r="EC41" s="364"/>
      <c r="ED41" s="364"/>
      <c r="EE41" s="364"/>
      <c r="EF41" s="364"/>
      <c r="EG41" s="364"/>
      <c r="EH41" s="364"/>
      <c r="EI41" s="364"/>
      <c r="EJ41" s="364"/>
      <c r="EK41" s="364"/>
      <c r="EL41" s="364"/>
      <c r="EM41" s="364"/>
      <c r="EN41" s="364"/>
      <c r="EO41" s="364"/>
      <c r="EP41" s="364"/>
      <c r="EQ41" s="364"/>
      <c r="ER41" s="364"/>
      <c r="ES41" s="364"/>
      <c r="ET41" s="364"/>
      <c r="EU41" s="364"/>
      <c r="EV41" s="364"/>
      <c r="EW41" s="364"/>
      <c r="EX41" s="364"/>
      <c r="EY41" s="364"/>
      <c r="EZ41" s="364"/>
      <c r="FA41" s="364"/>
      <c r="FB41" s="364"/>
      <c r="FC41" s="364"/>
      <c r="FD41" s="364"/>
      <c r="FE41" s="364"/>
      <c r="FF41" s="364"/>
      <c r="FG41" s="364"/>
      <c r="FH41" s="364"/>
      <c r="FI41" s="364"/>
      <c r="FJ41" s="364"/>
      <c r="FK41" s="364"/>
    </row>
    <row r="42" customFormat="false" ht="15.75" hidden="false" customHeight="false" outlineLevel="0" collapsed="false">
      <c r="A42" s="364" t="n">
        <v>104</v>
      </c>
      <c r="B42" s="364" t="n">
        <f aca="false">COUNTA(D42:FK42)</f>
        <v>34</v>
      </c>
      <c r="C42" s="364" t="s">
        <v>465</v>
      </c>
      <c r="D42" s="364" t="s">
        <v>2310</v>
      </c>
      <c r="E42" s="364" t="s">
        <v>2464</v>
      </c>
      <c r="F42" s="364" t="s">
        <v>2569</v>
      </c>
      <c r="G42" s="364" t="s">
        <v>2316</v>
      </c>
      <c r="H42" s="364" t="s">
        <v>2436</v>
      </c>
      <c r="I42" s="364" t="s">
        <v>2562</v>
      </c>
      <c r="J42" s="364" t="s">
        <v>2320</v>
      </c>
      <c r="K42" s="364" t="s">
        <v>2411</v>
      </c>
      <c r="L42" s="364" t="s">
        <v>2324</v>
      </c>
      <c r="M42" s="364" t="s">
        <v>2412</v>
      </c>
      <c r="N42" s="364" t="s">
        <v>2328</v>
      </c>
      <c r="O42" s="364" t="s">
        <v>2329</v>
      </c>
      <c r="P42" s="364" t="s">
        <v>2573</v>
      </c>
      <c r="Q42" s="364" t="s">
        <v>2574</v>
      </c>
      <c r="R42" s="364" t="s">
        <v>2335</v>
      </c>
      <c r="S42" s="364" t="s">
        <v>2337</v>
      </c>
      <c r="T42" s="364" t="s">
        <v>2420</v>
      </c>
      <c r="U42" s="364" t="s">
        <v>2340</v>
      </c>
      <c r="V42" s="364" t="s">
        <v>2341</v>
      </c>
      <c r="W42" s="364" t="s">
        <v>2470</v>
      </c>
      <c r="X42" s="364" t="s">
        <v>2422</v>
      </c>
      <c r="Y42" s="364" t="s">
        <v>2344</v>
      </c>
      <c r="Z42" s="364" t="s">
        <v>2575</v>
      </c>
      <c r="AA42" s="364" t="s">
        <v>2570</v>
      </c>
      <c r="AB42" s="364" t="s">
        <v>2398</v>
      </c>
      <c r="AC42" s="364" t="s">
        <v>2348</v>
      </c>
      <c r="AD42" s="364" t="s">
        <v>2349</v>
      </c>
      <c r="AE42" s="364" t="s">
        <v>2475</v>
      </c>
      <c r="AF42" s="364" t="s">
        <v>2476</v>
      </c>
      <c r="AG42" s="364" t="s">
        <v>2491</v>
      </c>
      <c r="AH42" s="364" t="s">
        <v>2522</v>
      </c>
      <c r="AI42" s="364" t="s">
        <v>2492</v>
      </c>
      <c r="AJ42" s="364" t="s">
        <v>2477</v>
      </c>
      <c r="AK42" s="364" t="s">
        <v>2493</v>
      </c>
      <c r="AL42" s="364"/>
      <c r="AM42" s="364"/>
      <c r="AN42" s="364"/>
      <c r="AO42" s="364"/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/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  <c r="BM42" s="364"/>
      <c r="BN42" s="364"/>
      <c r="BO42" s="364"/>
      <c r="BP42" s="364"/>
      <c r="BQ42" s="364"/>
      <c r="BR42" s="364"/>
      <c r="BS42" s="364"/>
      <c r="BT42" s="364"/>
      <c r="BU42" s="364"/>
      <c r="BV42" s="364"/>
      <c r="BW42" s="364"/>
      <c r="BX42" s="364"/>
      <c r="BY42" s="364"/>
      <c r="BZ42" s="364"/>
      <c r="CA42" s="364"/>
      <c r="CB42" s="364"/>
      <c r="CC42" s="364"/>
      <c r="CD42" s="364"/>
      <c r="CE42" s="364"/>
      <c r="CF42" s="364"/>
      <c r="CG42" s="364"/>
      <c r="CH42" s="364"/>
      <c r="CI42" s="364"/>
      <c r="CJ42" s="364"/>
      <c r="CK42" s="364"/>
      <c r="CL42" s="364"/>
      <c r="CM42" s="364"/>
      <c r="CN42" s="364"/>
      <c r="CO42" s="364"/>
      <c r="CP42" s="364"/>
      <c r="CQ42" s="364"/>
      <c r="CR42" s="364"/>
      <c r="CS42" s="364"/>
      <c r="CT42" s="364"/>
      <c r="CU42" s="364"/>
      <c r="CV42" s="364"/>
      <c r="CW42" s="364"/>
      <c r="CX42" s="364"/>
      <c r="CY42" s="364"/>
      <c r="CZ42" s="364"/>
      <c r="DA42" s="364"/>
      <c r="DB42" s="364"/>
      <c r="DC42" s="364"/>
      <c r="DD42" s="364"/>
      <c r="DE42" s="364"/>
      <c r="DF42" s="364"/>
      <c r="DG42" s="364"/>
      <c r="DH42" s="364"/>
      <c r="DI42" s="364"/>
      <c r="DJ42" s="364"/>
      <c r="DK42" s="364"/>
      <c r="DL42" s="364"/>
      <c r="DM42" s="364"/>
      <c r="DN42" s="364"/>
      <c r="DO42" s="364"/>
      <c r="DP42" s="364"/>
      <c r="DQ42" s="364"/>
      <c r="DR42" s="364"/>
      <c r="DS42" s="364"/>
      <c r="DT42" s="364"/>
      <c r="DU42" s="364"/>
      <c r="DV42" s="364"/>
      <c r="DW42" s="364"/>
      <c r="DX42" s="364"/>
      <c r="DY42" s="364"/>
      <c r="DZ42" s="364"/>
      <c r="EA42" s="364"/>
      <c r="EB42" s="364"/>
      <c r="EC42" s="364"/>
      <c r="ED42" s="364"/>
      <c r="EE42" s="364"/>
      <c r="EF42" s="364"/>
      <c r="EG42" s="364"/>
      <c r="EH42" s="364"/>
      <c r="EI42" s="364"/>
      <c r="EJ42" s="364"/>
      <c r="EK42" s="364"/>
      <c r="EL42" s="364"/>
      <c r="EM42" s="364"/>
      <c r="EN42" s="364"/>
      <c r="EO42" s="364"/>
      <c r="EP42" s="364"/>
      <c r="EQ42" s="364"/>
      <c r="ER42" s="364"/>
      <c r="ES42" s="364"/>
      <c r="ET42" s="364"/>
      <c r="EU42" s="364"/>
      <c r="EV42" s="364"/>
      <c r="EW42" s="364"/>
      <c r="EX42" s="364"/>
      <c r="EY42" s="364"/>
      <c r="EZ42" s="364"/>
      <c r="FA42" s="364"/>
      <c r="FB42" s="364"/>
      <c r="FC42" s="364"/>
      <c r="FD42" s="364"/>
      <c r="FE42" s="364"/>
      <c r="FF42" s="364"/>
      <c r="FG42" s="364"/>
      <c r="FH42" s="364"/>
      <c r="FI42" s="364"/>
      <c r="FJ42" s="364"/>
      <c r="FK42" s="364"/>
    </row>
    <row r="43" customFormat="false" ht="15.75" hidden="false" customHeight="false" outlineLevel="0" collapsed="false">
      <c r="A43" s="364" t="n">
        <v>105</v>
      </c>
      <c r="B43" s="364" t="n">
        <f aca="false">COUNTA(D43:FK43)</f>
        <v>54</v>
      </c>
      <c r="C43" s="364" t="s">
        <v>2576</v>
      </c>
      <c r="D43" s="364" t="s">
        <v>2431</v>
      </c>
      <c r="E43" s="364" t="s">
        <v>2352</v>
      </c>
      <c r="F43" s="364" t="s">
        <v>2353</v>
      </c>
      <c r="G43" s="364" t="s">
        <v>2354</v>
      </c>
      <c r="H43" s="364" t="s">
        <v>2310</v>
      </c>
      <c r="I43" s="364" t="s">
        <v>2312</v>
      </c>
      <c r="J43" s="364" t="s">
        <v>2577</v>
      </c>
      <c r="K43" s="364" t="s">
        <v>2357</v>
      </c>
      <c r="L43" s="364" t="s">
        <v>2465</v>
      </c>
      <c r="M43" s="364" t="s">
        <v>2315</v>
      </c>
      <c r="N43" s="364" t="s">
        <v>2316</v>
      </c>
      <c r="O43" s="364" t="s">
        <v>2320</v>
      </c>
      <c r="P43" s="364" t="s">
        <v>2449</v>
      </c>
      <c r="Q43" s="364" t="s">
        <v>2534</v>
      </c>
      <c r="R43" s="364" t="s">
        <v>2544</v>
      </c>
      <c r="S43" s="364" t="s">
        <v>2578</v>
      </c>
      <c r="T43" s="364" t="s">
        <v>2375</v>
      </c>
      <c r="U43" s="364" t="s">
        <v>2451</v>
      </c>
      <c r="V43" s="364" t="s">
        <v>2322</v>
      </c>
      <c r="W43" s="364" t="s">
        <v>2437</v>
      </c>
      <c r="X43" s="364" t="s">
        <v>2327</v>
      </c>
      <c r="Y43" s="364" t="s">
        <v>2378</v>
      </c>
      <c r="Z43" s="364" t="s">
        <v>2328</v>
      </c>
      <c r="AA43" s="364" t="s">
        <v>2381</v>
      </c>
      <c r="AB43" s="364" t="s">
        <v>2330</v>
      </c>
      <c r="AC43" s="364" t="s">
        <v>2468</v>
      </c>
      <c r="AD43" s="364" t="s">
        <v>2556</v>
      </c>
      <c r="AE43" s="261" t="s">
        <v>183</v>
      </c>
      <c r="AF43" s="364" t="s">
        <v>2531</v>
      </c>
      <c r="AG43" s="364" t="s">
        <v>2385</v>
      </c>
      <c r="AH43" s="364" t="s">
        <v>2480</v>
      </c>
      <c r="AI43" s="364" t="s">
        <v>2460</v>
      </c>
      <c r="AJ43" s="364" t="s">
        <v>2454</v>
      </c>
      <c r="AK43" s="364" t="s">
        <v>2461</v>
      </c>
      <c r="AL43" s="364" t="s">
        <v>2335</v>
      </c>
      <c r="AM43" s="364" t="s">
        <v>2441</v>
      </c>
      <c r="AN43" s="364" t="s">
        <v>2337</v>
      </c>
      <c r="AO43" s="364" t="s">
        <v>2469</v>
      </c>
      <c r="AP43" s="364" t="s">
        <v>2553</v>
      </c>
      <c r="AQ43" s="364" t="s">
        <v>2340</v>
      </c>
      <c r="AR43" s="364" t="s">
        <v>2341</v>
      </c>
      <c r="AS43" s="364" t="s">
        <v>2393</v>
      </c>
      <c r="AT43" s="364" t="s">
        <v>2462</v>
      </c>
      <c r="AU43" s="364" t="s">
        <v>2395</v>
      </c>
      <c r="AV43" s="364" t="s">
        <v>2344</v>
      </c>
      <c r="AW43" s="364" t="s">
        <v>2396</v>
      </c>
      <c r="AX43" s="364" t="s">
        <v>2398</v>
      </c>
      <c r="AY43" s="364" t="s">
        <v>2349</v>
      </c>
      <c r="AZ43" s="364" t="s">
        <v>2445</v>
      </c>
      <c r="BA43" s="364" t="s">
        <v>2456</v>
      </c>
      <c r="BB43" s="364" t="s">
        <v>2400</v>
      </c>
      <c r="BC43" s="364" t="s">
        <v>2463</v>
      </c>
      <c r="BD43" s="364" t="s">
        <v>2446</v>
      </c>
      <c r="BE43" s="364" t="s">
        <v>2572</v>
      </c>
      <c r="BF43" s="364"/>
      <c r="BG43" s="364"/>
      <c r="BH43" s="364"/>
      <c r="BI43" s="364"/>
      <c r="BJ43" s="364"/>
      <c r="BK43" s="364"/>
      <c r="BL43" s="364"/>
      <c r="BM43" s="364"/>
      <c r="BN43" s="364"/>
      <c r="BO43" s="364"/>
      <c r="BP43" s="364"/>
      <c r="BQ43" s="364"/>
      <c r="BR43" s="364"/>
      <c r="BS43" s="364"/>
      <c r="BT43" s="364"/>
      <c r="BU43" s="364"/>
      <c r="BV43" s="364"/>
      <c r="BW43" s="364"/>
      <c r="BX43" s="364"/>
      <c r="BY43" s="364"/>
      <c r="BZ43" s="364"/>
      <c r="CA43" s="364"/>
      <c r="CB43" s="364"/>
      <c r="CC43" s="364"/>
      <c r="CD43" s="364"/>
      <c r="CE43" s="364"/>
      <c r="CF43" s="364"/>
      <c r="CG43" s="364"/>
      <c r="CH43" s="364"/>
      <c r="CI43" s="364"/>
      <c r="CJ43" s="364"/>
      <c r="CK43" s="364"/>
      <c r="CL43" s="364"/>
      <c r="CM43" s="364"/>
      <c r="CN43" s="364"/>
      <c r="CO43" s="364"/>
      <c r="CP43" s="364"/>
      <c r="CQ43" s="364"/>
      <c r="CR43" s="364"/>
      <c r="CS43" s="364"/>
      <c r="CT43" s="364"/>
      <c r="CU43" s="364"/>
      <c r="CV43" s="364"/>
      <c r="CW43" s="364"/>
      <c r="CX43" s="364"/>
      <c r="CY43" s="364"/>
      <c r="CZ43" s="364"/>
      <c r="DA43" s="364"/>
      <c r="DB43" s="364"/>
      <c r="DC43" s="364"/>
      <c r="DD43" s="364"/>
      <c r="DE43" s="364"/>
      <c r="DF43" s="364"/>
      <c r="DG43" s="364"/>
      <c r="DH43" s="364"/>
      <c r="DI43" s="364"/>
      <c r="DJ43" s="364"/>
      <c r="DK43" s="364"/>
      <c r="DL43" s="364"/>
      <c r="DM43" s="364"/>
      <c r="DN43" s="364"/>
      <c r="DO43" s="364"/>
      <c r="DP43" s="364"/>
      <c r="DQ43" s="364"/>
      <c r="DR43" s="364"/>
      <c r="DS43" s="364"/>
      <c r="DT43" s="364"/>
      <c r="DU43" s="364"/>
      <c r="DV43" s="364"/>
      <c r="DW43" s="364"/>
      <c r="DX43" s="364"/>
      <c r="DY43" s="364"/>
      <c r="DZ43" s="364"/>
      <c r="EA43" s="364"/>
      <c r="EB43" s="364"/>
      <c r="EC43" s="364"/>
      <c r="ED43" s="364"/>
      <c r="EE43" s="364"/>
      <c r="EF43" s="364"/>
      <c r="EG43" s="364"/>
      <c r="EH43" s="364"/>
      <c r="EI43" s="364"/>
      <c r="EJ43" s="364"/>
      <c r="EK43" s="364"/>
      <c r="EL43" s="364"/>
      <c r="EM43" s="364"/>
      <c r="EN43" s="364"/>
      <c r="EO43" s="364"/>
      <c r="EP43" s="364"/>
      <c r="EQ43" s="364"/>
      <c r="ER43" s="364"/>
      <c r="ES43" s="364"/>
      <c r="ET43" s="364"/>
      <c r="EU43" s="364"/>
      <c r="EV43" s="364"/>
      <c r="EW43" s="364"/>
      <c r="EX43" s="364"/>
      <c r="EY43" s="364"/>
      <c r="EZ43" s="364"/>
      <c r="FA43" s="364"/>
      <c r="FB43" s="364"/>
      <c r="FC43" s="364"/>
      <c r="FD43" s="364"/>
      <c r="FE43" s="364"/>
      <c r="FF43" s="364"/>
      <c r="FG43" s="364"/>
      <c r="FH43" s="364"/>
      <c r="FI43" s="364"/>
      <c r="FJ43" s="364"/>
      <c r="FK43" s="364"/>
    </row>
    <row r="44" customFormat="false" ht="15.75" hidden="false" customHeight="false" outlineLevel="0" collapsed="false">
      <c r="A44" s="364" t="n">
        <v>107</v>
      </c>
      <c r="B44" s="364" t="n">
        <f aca="false">COUNTA(D44:FK44)</f>
        <v>38</v>
      </c>
      <c r="C44" s="364" t="s">
        <v>471</v>
      </c>
      <c r="D44" s="364" t="s">
        <v>2352</v>
      </c>
      <c r="E44" s="364" t="s">
        <v>2353</v>
      </c>
      <c r="F44" s="364" t="s">
        <v>2310</v>
      </c>
      <c r="G44" s="364" t="s">
        <v>2312</v>
      </c>
      <c r="H44" s="364" t="s">
        <v>2316</v>
      </c>
      <c r="I44" s="364" t="s">
        <v>2579</v>
      </c>
      <c r="J44" s="364" t="s">
        <v>2479</v>
      </c>
      <c r="K44" s="364" t="s">
        <v>2318</v>
      </c>
      <c r="L44" s="364" t="s">
        <v>2448</v>
      </c>
      <c r="M44" s="364" t="s">
        <v>2320</v>
      </c>
      <c r="N44" s="364" t="s">
        <v>2375</v>
      </c>
      <c r="O44" s="364" t="s">
        <v>2451</v>
      </c>
      <c r="P44" s="364" t="s">
        <v>2324</v>
      </c>
      <c r="Q44" s="364" t="s">
        <v>2328</v>
      </c>
      <c r="R44" s="364" t="s">
        <v>2329</v>
      </c>
      <c r="S44" s="364" t="s">
        <v>2580</v>
      </c>
      <c r="T44" s="364" t="s">
        <v>2330</v>
      </c>
      <c r="U44" s="261" t="s">
        <v>183</v>
      </c>
      <c r="V44" s="364" t="s">
        <v>2452</v>
      </c>
      <c r="W44" s="364" t="s">
        <v>2480</v>
      </c>
      <c r="X44" s="364" t="s">
        <v>2460</v>
      </c>
      <c r="Y44" s="364" t="s">
        <v>2455</v>
      </c>
      <c r="Z44" s="364" t="s">
        <v>2461</v>
      </c>
      <c r="AA44" s="364" t="s">
        <v>2335</v>
      </c>
      <c r="AB44" s="364" t="s">
        <v>2337</v>
      </c>
      <c r="AC44" s="364" t="s">
        <v>2340</v>
      </c>
      <c r="AD44" s="364" t="s">
        <v>2341</v>
      </c>
      <c r="AE44" s="364" t="s">
        <v>2393</v>
      </c>
      <c r="AF44" s="364" t="s">
        <v>2462</v>
      </c>
      <c r="AG44" s="364" t="s">
        <v>2344</v>
      </c>
      <c r="AH44" s="364" t="s">
        <v>2396</v>
      </c>
      <c r="AI44" s="364" t="s">
        <v>2346</v>
      </c>
      <c r="AJ44" s="364" t="s">
        <v>2398</v>
      </c>
      <c r="AK44" s="364" t="s">
        <v>2349</v>
      </c>
      <c r="AL44" s="364" t="s">
        <v>2445</v>
      </c>
      <c r="AM44" s="364" t="s">
        <v>2515</v>
      </c>
      <c r="AN44" s="364" t="s">
        <v>2522</v>
      </c>
      <c r="AO44" s="364" t="s">
        <v>2463</v>
      </c>
      <c r="AP44" s="364"/>
      <c r="AQ44" s="364"/>
      <c r="AR44" s="364"/>
      <c r="AS44" s="364"/>
      <c r="AT44" s="364"/>
      <c r="AU44" s="364"/>
      <c r="AV44" s="364"/>
      <c r="AW44" s="364"/>
      <c r="AX44" s="364"/>
      <c r="AY44" s="364"/>
      <c r="AZ44" s="364"/>
      <c r="BA44" s="364"/>
      <c r="BB44" s="364"/>
      <c r="BC44" s="364"/>
      <c r="BD44" s="364"/>
      <c r="BE44" s="364"/>
      <c r="BF44" s="364"/>
      <c r="BG44" s="364"/>
      <c r="BH44" s="364"/>
      <c r="BI44" s="364"/>
      <c r="BJ44" s="364"/>
      <c r="BK44" s="364"/>
      <c r="BL44" s="364"/>
      <c r="BM44" s="364"/>
      <c r="BN44" s="364"/>
      <c r="BO44" s="364"/>
      <c r="BP44" s="364"/>
      <c r="BQ44" s="364"/>
      <c r="BR44" s="364"/>
      <c r="BS44" s="364"/>
      <c r="BT44" s="364"/>
      <c r="BU44" s="364"/>
      <c r="BV44" s="364"/>
      <c r="BW44" s="364"/>
      <c r="BX44" s="364"/>
      <c r="BY44" s="364"/>
      <c r="BZ44" s="364"/>
      <c r="CA44" s="364"/>
      <c r="CB44" s="364"/>
      <c r="CC44" s="364"/>
      <c r="CD44" s="364"/>
      <c r="CE44" s="364"/>
      <c r="CF44" s="364"/>
      <c r="CG44" s="364"/>
      <c r="CH44" s="364"/>
      <c r="CI44" s="364"/>
      <c r="CJ44" s="364"/>
      <c r="CK44" s="364"/>
      <c r="CL44" s="364"/>
      <c r="CM44" s="364"/>
      <c r="CN44" s="364"/>
      <c r="CO44" s="364"/>
      <c r="CP44" s="364"/>
      <c r="CQ44" s="364"/>
      <c r="CR44" s="364"/>
      <c r="CS44" s="364"/>
      <c r="CT44" s="364"/>
      <c r="CU44" s="364"/>
      <c r="CV44" s="364"/>
      <c r="CW44" s="364"/>
      <c r="CX44" s="364"/>
      <c r="CY44" s="364"/>
      <c r="CZ44" s="364"/>
      <c r="DA44" s="364"/>
      <c r="DB44" s="364"/>
      <c r="DC44" s="364"/>
      <c r="DD44" s="364"/>
      <c r="DE44" s="364"/>
      <c r="DF44" s="364"/>
      <c r="DG44" s="364"/>
      <c r="DH44" s="364"/>
      <c r="DI44" s="364"/>
      <c r="DJ44" s="364"/>
      <c r="DK44" s="364"/>
      <c r="DL44" s="364"/>
      <c r="DM44" s="364"/>
      <c r="DN44" s="364"/>
      <c r="DO44" s="364"/>
      <c r="DP44" s="364"/>
      <c r="DQ44" s="364"/>
      <c r="DR44" s="364"/>
      <c r="DS44" s="364"/>
      <c r="DT44" s="364"/>
      <c r="DU44" s="364"/>
      <c r="DV44" s="364"/>
      <c r="DW44" s="364"/>
      <c r="DX44" s="364"/>
      <c r="DY44" s="364"/>
      <c r="DZ44" s="364"/>
      <c r="EA44" s="364"/>
      <c r="EB44" s="364"/>
      <c r="EC44" s="364"/>
      <c r="ED44" s="364"/>
      <c r="EE44" s="364"/>
      <c r="EF44" s="364"/>
      <c r="EG44" s="364"/>
      <c r="EH44" s="364"/>
      <c r="EI44" s="364"/>
      <c r="EJ44" s="364"/>
      <c r="EK44" s="364"/>
      <c r="EL44" s="364"/>
      <c r="EM44" s="364"/>
      <c r="EN44" s="364"/>
      <c r="EO44" s="364"/>
      <c r="EP44" s="364"/>
      <c r="EQ44" s="364"/>
      <c r="ER44" s="364"/>
      <c r="ES44" s="364"/>
      <c r="ET44" s="364"/>
      <c r="EU44" s="364"/>
      <c r="EV44" s="364"/>
      <c r="EW44" s="364"/>
      <c r="EX44" s="364"/>
      <c r="EY44" s="364"/>
      <c r="EZ44" s="364"/>
      <c r="FA44" s="364"/>
      <c r="FB44" s="364"/>
      <c r="FC44" s="364"/>
      <c r="FD44" s="364"/>
      <c r="FE44" s="364"/>
      <c r="FF44" s="364"/>
      <c r="FG44" s="364"/>
      <c r="FH44" s="364"/>
      <c r="FI44" s="364"/>
      <c r="FJ44" s="364"/>
      <c r="FK44" s="364"/>
    </row>
    <row r="45" customFormat="false" ht="15.75" hidden="false" customHeight="false" outlineLevel="0" collapsed="false">
      <c r="A45" s="364" t="n">
        <v>109</v>
      </c>
      <c r="B45" s="364" t="n">
        <f aca="false">COUNTA(D45:FK45)</f>
        <v>41</v>
      </c>
      <c r="C45" s="364" t="s">
        <v>475</v>
      </c>
      <c r="D45" s="364" t="s">
        <v>2538</v>
      </c>
      <c r="E45" s="364" t="s">
        <v>2402</v>
      </c>
      <c r="F45" s="364" t="s">
        <v>2581</v>
      </c>
      <c r="G45" s="364" t="s">
        <v>2403</v>
      </c>
      <c r="H45" s="364" t="s">
        <v>2310</v>
      </c>
      <c r="I45" s="364" t="s">
        <v>2405</v>
      </c>
      <c r="J45" s="364" t="s">
        <v>2312</v>
      </c>
      <c r="K45" s="364" t="s">
        <v>2406</v>
      </c>
      <c r="L45" s="364" t="s">
        <v>2408</v>
      </c>
      <c r="M45" s="364" t="s">
        <v>2410</v>
      </c>
      <c r="N45" s="364" t="s">
        <v>2316</v>
      </c>
      <c r="O45" s="364" t="s">
        <v>184</v>
      </c>
      <c r="P45" s="364" t="s">
        <v>2318</v>
      </c>
      <c r="Q45" s="364" t="s">
        <v>2320</v>
      </c>
      <c r="R45" s="364" t="s">
        <v>2502</v>
      </c>
      <c r="S45" s="364" t="s">
        <v>2324</v>
      </c>
      <c r="T45" s="364" t="s">
        <v>2327</v>
      </c>
      <c r="U45" s="364" t="s">
        <v>2328</v>
      </c>
      <c r="V45" s="364" t="s">
        <v>2329</v>
      </c>
      <c r="W45" s="364" t="s">
        <v>2415</v>
      </c>
      <c r="X45" s="364" t="s">
        <v>2525</v>
      </c>
      <c r="Y45" s="364" t="s">
        <v>2417</v>
      </c>
      <c r="Z45" s="364" t="s">
        <v>2381</v>
      </c>
      <c r="AA45" s="364" t="s">
        <v>2418</v>
      </c>
      <c r="AB45" s="364" t="s">
        <v>2490</v>
      </c>
      <c r="AC45" s="364" t="s">
        <v>2335</v>
      </c>
      <c r="AD45" s="364" t="s">
        <v>2337</v>
      </c>
      <c r="AE45" s="364" t="s">
        <v>2340</v>
      </c>
      <c r="AF45" s="364" t="s">
        <v>2341</v>
      </c>
      <c r="AG45" s="364" t="s">
        <v>2422</v>
      </c>
      <c r="AH45" s="364" t="s">
        <v>2393</v>
      </c>
      <c r="AI45" s="364" t="s">
        <v>2514</v>
      </c>
      <c r="AJ45" s="364" t="s">
        <v>2344</v>
      </c>
      <c r="AK45" s="364" t="s">
        <v>2347</v>
      </c>
      <c r="AL45" s="364" t="s">
        <v>2424</v>
      </c>
      <c r="AM45" s="364" t="s">
        <v>2349</v>
      </c>
      <c r="AN45" s="364" t="s">
        <v>2445</v>
      </c>
      <c r="AO45" s="364" t="s">
        <v>2425</v>
      </c>
      <c r="AP45" s="364" t="s">
        <v>2426</v>
      </c>
      <c r="AQ45" s="364" t="s">
        <v>2428</v>
      </c>
      <c r="AR45" s="364" t="s">
        <v>2429</v>
      </c>
      <c r="AS45" s="364"/>
      <c r="AT45" s="364"/>
      <c r="AU45" s="364"/>
      <c r="AV45" s="364"/>
      <c r="AW45" s="364"/>
      <c r="AX45" s="364"/>
      <c r="AY45" s="364"/>
      <c r="AZ45" s="364"/>
      <c r="BA45" s="364"/>
      <c r="BB45" s="364"/>
      <c r="BC45" s="364"/>
      <c r="BD45" s="364"/>
      <c r="BE45" s="364"/>
      <c r="BF45" s="364"/>
      <c r="BG45" s="364"/>
      <c r="BH45" s="364"/>
      <c r="BI45" s="364"/>
      <c r="BJ45" s="364"/>
      <c r="BK45" s="364"/>
      <c r="BL45" s="364"/>
      <c r="BM45" s="364"/>
      <c r="BN45" s="364"/>
      <c r="BO45" s="364"/>
      <c r="BP45" s="364"/>
      <c r="BQ45" s="364"/>
      <c r="BR45" s="364"/>
      <c r="BS45" s="364"/>
      <c r="BT45" s="364"/>
      <c r="BU45" s="364"/>
      <c r="BV45" s="364"/>
      <c r="BW45" s="364"/>
      <c r="BX45" s="364"/>
      <c r="BY45" s="364"/>
      <c r="BZ45" s="364"/>
      <c r="CA45" s="364"/>
      <c r="CB45" s="364"/>
      <c r="CC45" s="364"/>
      <c r="CD45" s="364"/>
      <c r="CE45" s="364"/>
      <c r="CF45" s="364"/>
      <c r="CG45" s="364"/>
      <c r="CH45" s="364"/>
      <c r="CI45" s="364"/>
      <c r="CJ45" s="364"/>
      <c r="CK45" s="364"/>
      <c r="CL45" s="364"/>
      <c r="CM45" s="364"/>
      <c r="CN45" s="364"/>
      <c r="CO45" s="364"/>
      <c r="CP45" s="364"/>
      <c r="CQ45" s="364"/>
      <c r="CR45" s="364"/>
      <c r="CS45" s="364"/>
      <c r="CT45" s="364"/>
      <c r="CU45" s="364"/>
      <c r="CV45" s="364"/>
      <c r="CW45" s="364"/>
      <c r="CX45" s="364"/>
      <c r="CY45" s="364"/>
      <c r="CZ45" s="364"/>
      <c r="DA45" s="364"/>
      <c r="DB45" s="364"/>
      <c r="DC45" s="364"/>
      <c r="DD45" s="364"/>
      <c r="DE45" s="364"/>
      <c r="DF45" s="364"/>
      <c r="DG45" s="364"/>
      <c r="DH45" s="364"/>
      <c r="DI45" s="364"/>
      <c r="DJ45" s="364"/>
      <c r="DK45" s="364"/>
      <c r="DL45" s="364"/>
      <c r="DM45" s="364"/>
      <c r="DN45" s="364"/>
      <c r="DO45" s="364"/>
      <c r="DP45" s="364"/>
      <c r="DQ45" s="364"/>
      <c r="DR45" s="364"/>
      <c r="DS45" s="364"/>
      <c r="DT45" s="364"/>
      <c r="DU45" s="364"/>
      <c r="DV45" s="364"/>
      <c r="DW45" s="364"/>
      <c r="DX45" s="364"/>
      <c r="DY45" s="364"/>
      <c r="DZ45" s="364"/>
      <c r="EA45" s="364"/>
      <c r="EB45" s="364"/>
      <c r="EC45" s="364"/>
      <c r="ED45" s="364"/>
      <c r="EE45" s="364"/>
      <c r="EF45" s="364"/>
      <c r="EG45" s="364"/>
      <c r="EH45" s="364"/>
      <c r="EI45" s="364"/>
      <c r="EJ45" s="364"/>
      <c r="EK45" s="364"/>
      <c r="EL45" s="364"/>
      <c r="EM45" s="364"/>
      <c r="EN45" s="364"/>
      <c r="EO45" s="364"/>
      <c r="EP45" s="364"/>
      <c r="EQ45" s="364"/>
      <c r="ER45" s="364"/>
      <c r="ES45" s="364"/>
      <c r="ET45" s="364"/>
      <c r="EU45" s="364"/>
      <c r="EV45" s="364"/>
      <c r="EW45" s="364"/>
      <c r="EX45" s="364"/>
      <c r="EY45" s="364"/>
      <c r="EZ45" s="364"/>
      <c r="FA45" s="364"/>
      <c r="FB45" s="364"/>
      <c r="FC45" s="364"/>
      <c r="FD45" s="364"/>
      <c r="FE45" s="364"/>
      <c r="FF45" s="364"/>
      <c r="FG45" s="364"/>
      <c r="FH45" s="364"/>
      <c r="FI45" s="364"/>
      <c r="FJ45" s="364"/>
      <c r="FK45" s="364"/>
    </row>
    <row r="46" customFormat="false" ht="15.75" hidden="false" customHeight="false" outlineLevel="0" collapsed="false">
      <c r="A46" s="364" t="n">
        <v>112</v>
      </c>
      <c r="B46" s="364" t="n">
        <f aca="false">COUNTA(D46:FK46)</f>
        <v>50</v>
      </c>
      <c r="C46" s="364" t="s">
        <v>482</v>
      </c>
      <c r="D46" s="364" t="s">
        <v>2483</v>
      </c>
      <c r="E46" s="364" t="s">
        <v>2310</v>
      </c>
      <c r="F46" s="364" t="s">
        <v>2312</v>
      </c>
      <c r="G46" s="364" t="s">
        <v>2356</v>
      </c>
      <c r="H46" s="364" t="s">
        <v>2409</v>
      </c>
      <c r="I46" s="364" t="s">
        <v>2358</v>
      </c>
      <c r="J46" s="364" t="s">
        <v>2364</v>
      </c>
      <c r="K46" s="364" t="s">
        <v>2562</v>
      </c>
      <c r="L46" s="364" t="s">
        <v>2320</v>
      </c>
      <c r="M46" s="364" t="s">
        <v>2366</v>
      </c>
      <c r="N46" s="364" t="s">
        <v>2369</v>
      </c>
      <c r="O46" s="364" t="s">
        <v>2373</v>
      </c>
      <c r="P46" s="364" t="s">
        <v>2376</v>
      </c>
      <c r="Q46" s="364" t="s">
        <v>2377</v>
      </c>
      <c r="R46" s="364" t="s">
        <v>2323</v>
      </c>
      <c r="S46" s="364" t="s">
        <v>2324</v>
      </c>
      <c r="T46" s="364" t="s">
        <v>2484</v>
      </c>
      <c r="U46" s="364" t="s">
        <v>2328</v>
      </c>
      <c r="V46" s="364" t="s">
        <v>2329</v>
      </c>
      <c r="W46" s="364" t="s">
        <v>2416</v>
      </c>
      <c r="X46" s="364" t="s">
        <v>2379</v>
      </c>
      <c r="Y46" s="364" t="s">
        <v>2438</v>
      </c>
      <c r="Z46" s="364" t="s">
        <v>2331</v>
      </c>
      <c r="AA46" s="364" t="s">
        <v>2486</v>
      </c>
      <c r="AB46" s="261" t="s">
        <v>183</v>
      </c>
      <c r="AC46" s="364" t="s">
        <v>2452</v>
      </c>
      <c r="AD46" s="364" t="s">
        <v>2454</v>
      </c>
      <c r="AE46" s="364" t="s">
        <v>2582</v>
      </c>
      <c r="AF46" s="364" t="s">
        <v>2387</v>
      </c>
      <c r="AG46" s="364" t="s">
        <v>2335</v>
      </c>
      <c r="AH46" s="364" t="s">
        <v>2337</v>
      </c>
      <c r="AI46" s="364" t="s">
        <v>2388</v>
      </c>
      <c r="AJ46" s="364" t="s">
        <v>2339</v>
      </c>
      <c r="AK46" s="364" t="s">
        <v>2389</v>
      </c>
      <c r="AL46" s="364" t="s">
        <v>2340</v>
      </c>
      <c r="AM46" s="364" t="s">
        <v>2341</v>
      </c>
      <c r="AN46" s="364" t="s">
        <v>2566</v>
      </c>
      <c r="AO46" s="364" t="s">
        <v>2442</v>
      </c>
      <c r="AP46" s="364" t="s">
        <v>2470</v>
      </c>
      <c r="AQ46" s="364" t="s">
        <v>2583</v>
      </c>
      <c r="AR46" s="364" t="s">
        <v>2343</v>
      </c>
      <c r="AS46" s="364" t="s">
        <v>2471</v>
      </c>
      <c r="AT46" s="364" t="s">
        <v>2344</v>
      </c>
      <c r="AU46" s="364" t="s">
        <v>2347</v>
      </c>
      <c r="AV46" s="364" t="s">
        <v>2445</v>
      </c>
      <c r="AW46" s="364" t="s">
        <v>2475</v>
      </c>
      <c r="AX46" s="364" t="s">
        <v>2476</v>
      </c>
      <c r="AY46" s="364" t="s">
        <v>2399</v>
      </c>
      <c r="AZ46" s="364" t="s">
        <v>2350</v>
      </c>
      <c r="BA46" s="364" t="s">
        <v>2493</v>
      </c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/>
      <c r="BM46" s="364"/>
      <c r="BN46" s="364"/>
      <c r="BO46" s="364"/>
      <c r="BP46" s="364"/>
      <c r="BQ46" s="364"/>
      <c r="BR46" s="364"/>
      <c r="BS46" s="364"/>
      <c r="BT46" s="364"/>
      <c r="BU46" s="364"/>
      <c r="BV46" s="364"/>
      <c r="BW46" s="364"/>
      <c r="BX46" s="364"/>
      <c r="BY46" s="364"/>
      <c r="BZ46" s="364"/>
      <c r="CA46" s="364"/>
      <c r="CB46" s="364"/>
      <c r="CC46" s="364"/>
      <c r="CD46" s="364"/>
      <c r="CE46" s="364"/>
      <c r="CF46" s="364"/>
      <c r="CG46" s="364"/>
      <c r="CH46" s="364"/>
      <c r="CI46" s="364"/>
      <c r="CJ46" s="364"/>
      <c r="CK46" s="364"/>
      <c r="CL46" s="364"/>
      <c r="CM46" s="364"/>
      <c r="CN46" s="364"/>
      <c r="CO46" s="364"/>
      <c r="CP46" s="364"/>
      <c r="CQ46" s="364"/>
      <c r="CR46" s="364"/>
      <c r="CS46" s="364"/>
      <c r="CT46" s="364"/>
      <c r="CU46" s="364"/>
      <c r="CV46" s="364"/>
      <c r="CW46" s="364"/>
      <c r="CX46" s="364"/>
      <c r="CY46" s="364"/>
      <c r="CZ46" s="364"/>
      <c r="DA46" s="364"/>
      <c r="DB46" s="364"/>
      <c r="DC46" s="364"/>
      <c r="DD46" s="364"/>
      <c r="DE46" s="364"/>
      <c r="DF46" s="364"/>
      <c r="DG46" s="364"/>
      <c r="DH46" s="364"/>
      <c r="DI46" s="364"/>
      <c r="DJ46" s="364"/>
      <c r="DK46" s="364"/>
      <c r="DL46" s="364"/>
      <c r="DM46" s="364"/>
      <c r="DN46" s="364"/>
      <c r="DO46" s="364"/>
      <c r="DP46" s="364"/>
      <c r="DQ46" s="364"/>
      <c r="DR46" s="364"/>
      <c r="DS46" s="364"/>
      <c r="DT46" s="364"/>
      <c r="DU46" s="364"/>
      <c r="DV46" s="364"/>
      <c r="DW46" s="364"/>
      <c r="DX46" s="364"/>
      <c r="DY46" s="364"/>
      <c r="DZ46" s="364"/>
      <c r="EA46" s="364"/>
      <c r="EB46" s="364"/>
      <c r="EC46" s="364"/>
      <c r="ED46" s="364"/>
      <c r="EE46" s="364"/>
      <c r="EF46" s="364"/>
      <c r="EG46" s="364"/>
      <c r="EH46" s="364"/>
      <c r="EI46" s="364"/>
      <c r="EJ46" s="364"/>
      <c r="EK46" s="364"/>
      <c r="EL46" s="364"/>
      <c r="EM46" s="364"/>
      <c r="EN46" s="364"/>
      <c r="EO46" s="364"/>
      <c r="EP46" s="364"/>
      <c r="EQ46" s="364"/>
      <c r="ER46" s="364"/>
      <c r="ES46" s="364"/>
      <c r="ET46" s="364"/>
      <c r="EU46" s="364"/>
      <c r="EV46" s="364"/>
      <c r="EW46" s="364"/>
      <c r="EX46" s="364"/>
      <c r="EY46" s="364"/>
      <c r="EZ46" s="364"/>
      <c r="FA46" s="364"/>
      <c r="FB46" s="364"/>
      <c r="FC46" s="364"/>
      <c r="FD46" s="364"/>
      <c r="FE46" s="364"/>
      <c r="FF46" s="364"/>
      <c r="FG46" s="364"/>
      <c r="FH46" s="364"/>
      <c r="FI46" s="364"/>
      <c r="FJ46" s="364"/>
      <c r="FK46" s="364"/>
    </row>
    <row r="47" customFormat="false" ht="15.75" hidden="false" customHeight="false" outlineLevel="0" collapsed="false">
      <c r="A47" s="364" t="n">
        <v>113</v>
      </c>
      <c r="B47" s="364" t="n">
        <f aca="false">COUNTA(D47:FK47)</f>
        <v>40</v>
      </c>
      <c r="C47" s="364" t="s">
        <v>2584</v>
      </c>
      <c r="D47" s="364" t="s">
        <v>2482</v>
      </c>
      <c r="E47" s="364" t="s">
        <v>2483</v>
      </c>
      <c r="F47" s="364" t="s">
        <v>2404</v>
      </c>
      <c r="G47" s="364" t="s">
        <v>2356</v>
      </c>
      <c r="H47" s="364" t="s">
        <v>2357</v>
      </c>
      <c r="I47" s="364" t="s">
        <v>2466</v>
      </c>
      <c r="J47" s="364" t="s">
        <v>2409</v>
      </c>
      <c r="K47" s="364" t="s">
        <v>2562</v>
      </c>
      <c r="L47" s="364" t="s">
        <v>2320</v>
      </c>
      <c r="M47" s="364" t="s">
        <v>2366</v>
      </c>
      <c r="N47" s="364" t="s">
        <v>2369</v>
      </c>
      <c r="O47" s="364" t="s">
        <v>2373</v>
      </c>
      <c r="P47" s="364" t="s">
        <v>2376</v>
      </c>
      <c r="Q47" s="364" t="s">
        <v>2377</v>
      </c>
      <c r="R47" s="364" t="s">
        <v>2323</v>
      </c>
      <c r="S47" s="364" t="s">
        <v>2324</v>
      </c>
      <c r="T47" s="364" t="s">
        <v>2484</v>
      </c>
      <c r="U47" s="364" t="s">
        <v>2328</v>
      </c>
      <c r="V47" s="364" t="s">
        <v>2329</v>
      </c>
      <c r="W47" s="364" t="s">
        <v>2416</v>
      </c>
      <c r="X47" s="364" t="s">
        <v>2438</v>
      </c>
      <c r="Y47" s="364" t="s">
        <v>2330</v>
      </c>
      <c r="Z47" s="364" t="s">
        <v>2452</v>
      </c>
      <c r="AA47" s="364" t="s">
        <v>2529</v>
      </c>
      <c r="AB47" s="364" t="s">
        <v>2454</v>
      </c>
      <c r="AC47" s="364" t="s">
        <v>2582</v>
      </c>
      <c r="AD47" s="364" t="s">
        <v>2337</v>
      </c>
      <c r="AE47" s="364" t="s">
        <v>2388</v>
      </c>
      <c r="AF47" s="364" t="s">
        <v>2389</v>
      </c>
      <c r="AG47" s="364" t="s">
        <v>2340</v>
      </c>
      <c r="AH47" s="364" t="s">
        <v>2442</v>
      </c>
      <c r="AI47" s="364" t="s">
        <v>2470</v>
      </c>
      <c r="AJ47" s="364" t="s">
        <v>2343</v>
      </c>
      <c r="AK47" s="364" t="s">
        <v>2471</v>
      </c>
      <c r="AL47" s="364" t="s">
        <v>2472</v>
      </c>
      <c r="AM47" s="364" t="s">
        <v>2344</v>
      </c>
      <c r="AN47" s="364" t="s">
        <v>2500</v>
      </c>
      <c r="AO47" s="364" t="s">
        <v>2445</v>
      </c>
      <c r="AP47" s="364" t="s">
        <v>2399</v>
      </c>
      <c r="AQ47" s="364" t="s">
        <v>2350</v>
      </c>
      <c r="AR47" s="364"/>
      <c r="AS47" s="364"/>
      <c r="AT47" s="364"/>
      <c r="AU47" s="364"/>
      <c r="AV47" s="364"/>
      <c r="AW47" s="364"/>
      <c r="AX47" s="364"/>
      <c r="AY47" s="364"/>
      <c r="AZ47" s="364"/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L47" s="364"/>
      <c r="BM47" s="364"/>
      <c r="BN47" s="364"/>
      <c r="BO47" s="364"/>
      <c r="BP47" s="364"/>
      <c r="BQ47" s="364"/>
      <c r="BR47" s="364"/>
      <c r="BS47" s="364"/>
      <c r="BT47" s="364"/>
      <c r="BU47" s="364"/>
      <c r="BV47" s="364"/>
      <c r="BW47" s="364"/>
      <c r="BX47" s="364"/>
      <c r="BY47" s="364"/>
      <c r="BZ47" s="364"/>
      <c r="CA47" s="364"/>
      <c r="CB47" s="364"/>
      <c r="CC47" s="364"/>
      <c r="CD47" s="364"/>
      <c r="CE47" s="364"/>
      <c r="CF47" s="364"/>
      <c r="CG47" s="364"/>
      <c r="CH47" s="364"/>
      <c r="CI47" s="364"/>
      <c r="CJ47" s="364"/>
      <c r="CK47" s="364"/>
      <c r="CL47" s="364"/>
      <c r="CM47" s="364"/>
      <c r="CN47" s="364"/>
      <c r="CO47" s="364"/>
      <c r="CP47" s="364"/>
      <c r="CQ47" s="364"/>
      <c r="CR47" s="364"/>
      <c r="CS47" s="364"/>
      <c r="CT47" s="364"/>
      <c r="CU47" s="364"/>
      <c r="CV47" s="364"/>
      <c r="CW47" s="364"/>
      <c r="CX47" s="364"/>
      <c r="CY47" s="364"/>
      <c r="CZ47" s="364"/>
      <c r="DA47" s="364"/>
      <c r="DB47" s="364"/>
      <c r="DC47" s="364"/>
      <c r="DD47" s="364"/>
      <c r="DE47" s="364"/>
      <c r="DF47" s="364"/>
      <c r="DG47" s="364"/>
      <c r="DH47" s="364"/>
      <c r="DI47" s="364"/>
      <c r="DJ47" s="364"/>
      <c r="DK47" s="364"/>
      <c r="DL47" s="364"/>
      <c r="DM47" s="364"/>
      <c r="DN47" s="364"/>
      <c r="DO47" s="364"/>
      <c r="DP47" s="364"/>
      <c r="DQ47" s="364"/>
      <c r="DR47" s="364"/>
      <c r="DS47" s="364"/>
      <c r="DT47" s="364"/>
      <c r="DU47" s="364"/>
      <c r="DV47" s="364"/>
      <c r="DW47" s="364"/>
      <c r="DX47" s="364"/>
      <c r="DY47" s="364"/>
      <c r="DZ47" s="364"/>
      <c r="EA47" s="364"/>
      <c r="EB47" s="364"/>
      <c r="EC47" s="364"/>
      <c r="ED47" s="364"/>
      <c r="EE47" s="364"/>
      <c r="EF47" s="364"/>
      <c r="EG47" s="364"/>
      <c r="EH47" s="364"/>
      <c r="EI47" s="364"/>
      <c r="EJ47" s="364"/>
      <c r="EK47" s="364"/>
      <c r="EL47" s="364"/>
      <c r="EM47" s="364"/>
      <c r="EN47" s="364"/>
      <c r="EO47" s="364"/>
      <c r="EP47" s="364"/>
      <c r="EQ47" s="364"/>
      <c r="ER47" s="364"/>
      <c r="ES47" s="364"/>
      <c r="ET47" s="364"/>
      <c r="EU47" s="364"/>
      <c r="EV47" s="364"/>
      <c r="EW47" s="364"/>
      <c r="EX47" s="364"/>
      <c r="EY47" s="364"/>
      <c r="EZ47" s="364"/>
      <c r="FA47" s="364"/>
      <c r="FB47" s="364"/>
      <c r="FC47" s="364"/>
      <c r="FD47" s="364"/>
      <c r="FE47" s="364"/>
      <c r="FF47" s="364"/>
      <c r="FG47" s="364"/>
      <c r="FH47" s="364"/>
      <c r="FI47" s="364"/>
      <c r="FJ47" s="364"/>
      <c r="FK47" s="364"/>
    </row>
    <row r="48" customFormat="false" ht="15.75" hidden="false" customHeight="false" outlineLevel="0" collapsed="false">
      <c r="A48" s="364" t="n">
        <v>115</v>
      </c>
      <c r="B48" s="364" t="n">
        <f aca="false">COUNTA(D48:FK48)</f>
        <v>42</v>
      </c>
      <c r="C48" s="364" t="s">
        <v>489</v>
      </c>
      <c r="D48" s="364" t="s">
        <v>2581</v>
      </c>
      <c r="E48" s="364" t="s">
        <v>2403</v>
      </c>
      <c r="F48" s="364" t="s">
        <v>2310</v>
      </c>
      <c r="G48" s="364" t="s">
        <v>2405</v>
      </c>
      <c r="H48" s="364" t="s">
        <v>2406</v>
      </c>
      <c r="I48" s="364" t="s">
        <v>2408</v>
      </c>
      <c r="J48" s="364" t="s">
        <v>2585</v>
      </c>
      <c r="K48" s="364" t="s">
        <v>2410</v>
      </c>
      <c r="L48" s="364" t="s">
        <v>2316</v>
      </c>
      <c r="M48" s="364" t="s">
        <v>2562</v>
      </c>
      <c r="N48" s="364" t="s">
        <v>2320</v>
      </c>
      <c r="O48" s="364" t="s">
        <v>2502</v>
      </c>
      <c r="P48" s="364" t="s">
        <v>2324</v>
      </c>
      <c r="Q48" s="364" t="s">
        <v>2328</v>
      </c>
      <c r="R48" s="364" t="s">
        <v>2414</v>
      </c>
      <c r="S48" s="364" t="s">
        <v>2329</v>
      </c>
      <c r="T48" s="364" t="s">
        <v>2415</v>
      </c>
      <c r="U48" s="364" t="s">
        <v>2504</v>
      </c>
      <c r="V48" s="364" t="s">
        <v>2505</v>
      </c>
      <c r="W48" s="364" t="s">
        <v>2417</v>
      </c>
      <c r="X48" s="364" t="s">
        <v>2418</v>
      </c>
      <c r="Y48" s="364" t="s">
        <v>2452</v>
      </c>
      <c r="Z48" s="364" t="s">
        <v>2454</v>
      </c>
      <c r="AA48" s="364" t="s">
        <v>2335</v>
      </c>
      <c r="AB48" s="364" t="s">
        <v>2419</v>
      </c>
      <c r="AC48" s="364" t="s">
        <v>2586</v>
      </c>
      <c r="AD48" s="364" t="s">
        <v>2337</v>
      </c>
      <c r="AE48" s="364" t="s">
        <v>2564</v>
      </c>
      <c r="AF48" s="364" t="s">
        <v>2340</v>
      </c>
      <c r="AG48" s="364" t="s">
        <v>2341</v>
      </c>
      <c r="AH48" s="364" t="s">
        <v>2566</v>
      </c>
      <c r="AI48" s="364" t="s">
        <v>2422</v>
      </c>
      <c r="AJ48" s="364" t="s">
        <v>2514</v>
      </c>
      <c r="AK48" s="364" t="s">
        <v>2344</v>
      </c>
      <c r="AL48" s="364" t="s">
        <v>2587</v>
      </c>
      <c r="AM48" s="364" t="s">
        <v>2424</v>
      </c>
      <c r="AN48" s="364" t="s">
        <v>2398</v>
      </c>
      <c r="AO48" s="364" t="s">
        <v>2349</v>
      </c>
      <c r="AP48" s="364" t="s">
        <v>2522</v>
      </c>
      <c r="AQ48" s="364" t="s">
        <v>2426</v>
      </c>
      <c r="AR48" s="364" t="s">
        <v>2428</v>
      </c>
      <c r="AS48" s="364" t="s">
        <v>2429</v>
      </c>
      <c r="AT48" s="364"/>
      <c r="AU48" s="364"/>
      <c r="AV48" s="364"/>
      <c r="AW48" s="364"/>
      <c r="AX48" s="364"/>
      <c r="AY48" s="364"/>
      <c r="AZ48" s="364"/>
      <c r="BA48" s="364"/>
      <c r="BB48" s="364"/>
      <c r="BC48" s="364"/>
      <c r="BD48" s="364"/>
      <c r="BE48" s="364"/>
      <c r="BF48" s="364"/>
      <c r="BG48" s="364"/>
      <c r="BH48" s="364"/>
      <c r="BI48" s="364"/>
      <c r="BJ48" s="364"/>
      <c r="BK48" s="364"/>
      <c r="BL48" s="364"/>
      <c r="BM48" s="364"/>
      <c r="BN48" s="364"/>
      <c r="BO48" s="364"/>
      <c r="BP48" s="364"/>
      <c r="BQ48" s="364"/>
      <c r="BR48" s="364"/>
      <c r="BS48" s="364"/>
      <c r="BT48" s="364"/>
      <c r="BU48" s="364"/>
      <c r="BV48" s="364"/>
      <c r="BW48" s="364"/>
      <c r="BX48" s="364"/>
      <c r="BY48" s="364"/>
      <c r="BZ48" s="364"/>
      <c r="CA48" s="364"/>
      <c r="CB48" s="364"/>
      <c r="CC48" s="364"/>
      <c r="CD48" s="364"/>
      <c r="CE48" s="364"/>
      <c r="CF48" s="364"/>
      <c r="CG48" s="364"/>
      <c r="CH48" s="364"/>
      <c r="CI48" s="364"/>
      <c r="CJ48" s="364"/>
      <c r="CK48" s="364"/>
      <c r="CL48" s="364"/>
      <c r="CM48" s="364"/>
      <c r="CN48" s="364"/>
      <c r="CO48" s="364"/>
      <c r="CP48" s="364"/>
      <c r="CQ48" s="364"/>
      <c r="CR48" s="364"/>
      <c r="CS48" s="364"/>
      <c r="CT48" s="364"/>
      <c r="CU48" s="364"/>
      <c r="CV48" s="364"/>
      <c r="CW48" s="364"/>
      <c r="CX48" s="364"/>
      <c r="CY48" s="364"/>
      <c r="CZ48" s="364"/>
      <c r="DA48" s="364"/>
      <c r="DB48" s="364"/>
      <c r="DC48" s="364"/>
      <c r="DD48" s="364"/>
      <c r="DE48" s="364"/>
      <c r="DF48" s="364"/>
      <c r="DG48" s="364"/>
      <c r="DH48" s="364"/>
      <c r="DI48" s="364"/>
      <c r="DJ48" s="364"/>
      <c r="DK48" s="364"/>
      <c r="DL48" s="364"/>
      <c r="DM48" s="364"/>
      <c r="DN48" s="364"/>
      <c r="DO48" s="364"/>
      <c r="DP48" s="364"/>
      <c r="DQ48" s="364"/>
      <c r="DR48" s="364"/>
      <c r="DS48" s="364"/>
      <c r="DT48" s="364"/>
      <c r="DU48" s="364"/>
      <c r="DV48" s="364"/>
      <c r="DW48" s="364"/>
      <c r="DX48" s="364"/>
      <c r="DY48" s="364"/>
      <c r="DZ48" s="364"/>
      <c r="EA48" s="364"/>
      <c r="EB48" s="364"/>
      <c r="EC48" s="364"/>
      <c r="ED48" s="364"/>
      <c r="EE48" s="364"/>
      <c r="EF48" s="364"/>
      <c r="EG48" s="364"/>
      <c r="EH48" s="364"/>
      <c r="EI48" s="364"/>
      <c r="EJ48" s="364"/>
      <c r="EK48" s="364"/>
      <c r="EL48" s="364"/>
      <c r="EM48" s="364"/>
      <c r="EN48" s="364"/>
      <c r="EO48" s="364"/>
      <c r="EP48" s="364"/>
      <c r="EQ48" s="364"/>
      <c r="ER48" s="364"/>
      <c r="ES48" s="364"/>
      <c r="ET48" s="364"/>
      <c r="EU48" s="364"/>
      <c r="EV48" s="364"/>
      <c r="EW48" s="364"/>
      <c r="EX48" s="364"/>
      <c r="EY48" s="364"/>
      <c r="EZ48" s="364"/>
      <c r="FA48" s="364"/>
      <c r="FB48" s="364"/>
      <c r="FC48" s="364"/>
      <c r="FD48" s="364"/>
      <c r="FE48" s="364"/>
      <c r="FF48" s="364"/>
      <c r="FG48" s="364"/>
      <c r="FH48" s="364"/>
      <c r="FI48" s="364"/>
      <c r="FJ48" s="364"/>
      <c r="FK48" s="364"/>
    </row>
    <row r="49" customFormat="false" ht="15.75" hidden="false" customHeight="false" outlineLevel="0" collapsed="false">
      <c r="A49" s="364" t="n">
        <v>118</v>
      </c>
      <c r="B49" s="364" t="n">
        <f aca="false">COUNTA(D49:FK49)</f>
        <v>64</v>
      </c>
      <c r="C49" s="364" t="s">
        <v>495</v>
      </c>
      <c r="D49" s="364" t="s">
        <v>2528</v>
      </c>
      <c r="E49" s="364" t="s">
        <v>2310</v>
      </c>
      <c r="F49" s="364" t="s">
        <v>2312</v>
      </c>
      <c r="G49" s="364" t="s">
        <v>2356</v>
      </c>
      <c r="H49" s="364" t="s">
        <v>138</v>
      </c>
      <c r="I49" s="364" t="s">
        <v>2409</v>
      </c>
      <c r="J49" s="364" t="s">
        <v>2517</v>
      </c>
      <c r="K49" s="364" t="s">
        <v>2316</v>
      </c>
      <c r="L49" s="364" t="s">
        <v>2520</v>
      </c>
      <c r="M49" s="364" t="s">
        <v>2435</v>
      </c>
      <c r="N49" s="364" t="s">
        <v>2364</v>
      </c>
      <c r="O49" s="364" t="s">
        <v>2319</v>
      </c>
      <c r="P49" s="364" t="s">
        <v>2562</v>
      </c>
      <c r="Q49" s="364" t="s">
        <v>2320</v>
      </c>
      <c r="R49" s="364" t="s">
        <v>2369</v>
      </c>
      <c r="S49" s="364" t="s">
        <v>2376</v>
      </c>
      <c r="T49" s="364" t="s">
        <v>2377</v>
      </c>
      <c r="U49" s="364" t="s">
        <v>2523</v>
      </c>
      <c r="V49" s="364" t="s">
        <v>2323</v>
      </c>
      <c r="W49" s="364" t="s">
        <v>2324</v>
      </c>
      <c r="X49" s="364" t="s">
        <v>2327</v>
      </c>
      <c r="Y49" s="364" t="s">
        <v>2560</v>
      </c>
      <c r="Z49" s="364" t="s">
        <v>2328</v>
      </c>
      <c r="AA49" s="364" t="s">
        <v>2329</v>
      </c>
      <c r="AB49" s="364" t="s">
        <v>2416</v>
      </c>
      <c r="AC49" s="364" t="s">
        <v>2417</v>
      </c>
      <c r="AD49" s="364" t="s">
        <v>2438</v>
      </c>
      <c r="AE49" s="364" t="s">
        <v>2330</v>
      </c>
      <c r="AF49" s="364" t="s">
        <v>2588</v>
      </c>
      <c r="AG49" s="364" t="s">
        <v>2331</v>
      </c>
      <c r="AH49" s="364" t="s">
        <v>2382</v>
      </c>
      <c r="AI49" s="364" t="s">
        <v>2383</v>
      </c>
      <c r="AJ49" s="364" t="s">
        <v>2589</v>
      </c>
      <c r="AK49" s="364" t="s">
        <v>2385</v>
      </c>
      <c r="AL49" s="364" t="s">
        <v>2452</v>
      </c>
      <c r="AM49" s="364" t="s">
        <v>2454</v>
      </c>
      <c r="AN49" s="364" t="s">
        <v>2387</v>
      </c>
      <c r="AO49" s="364" t="s">
        <v>157</v>
      </c>
      <c r="AP49" s="364" t="s">
        <v>2440</v>
      </c>
      <c r="AQ49" s="364" t="s">
        <v>2335</v>
      </c>
      <c r="AR49" s="364" t="s">
        <v>2337</v>
      </c>
      <c r="AS49" s="364" t="s">
        <v>2339</v>
      </c>
      <c r="AT49" s="364" t="s">
        <v>2340</v>
      </c>
      <c r="AU49" s="364" t="s">
        <v>2341</v>
      </c>
      <c r="AV49" s="364" t="s">
        <v>2391</v>
      </c>
      <c r="AW49" s="364" t="s">
        <v>2566</v>
      </c>
      <c r="AX49" s="364" t="s">
        <v>2442</v>
      </c>
      <c r="AY49" s="364" t="s">
        <v>2392</v>
      </c>
      <c r="AZ49" s="364" t="s">
        <v>2590</v>
      </c>
      <c r="BA49" s="364" t="s">
        <v>2393</v>
      </c>
      <c r="BB49" s="364" t="s">
        <v>2343</v>
      </c>
      <c r="BC49" s="364" t="s">
        <v>2471</v>
      </c>
      <c r="BD49" s="364" t="s">
        <v>2344</v>
      </c>
      <c r="BE49" s="364" t="s">
        <v>2347</v>
      </c>
      <c r="BF49" s="364" t="s">
        <v>2397</v>
      </c>
      <c r="BG49" s="364" t="s">
        <v>2473</v>
      </c>
      <c r="BH49" s="364" t="s">
        <v>2349</v>
      </c>
      <c r="BI49" s="364" t="s">
        <v>2445</v>
      </c>
      <c r="BJ49" s="364" t="s">
        <v>2475</v>
      </c>
      <c r="BK49" s="364" t="s">
        <v>2476</v>
      </c>
      <c r="BL49" s="364" t="s">
        <v>2399</v>
      </c>
      <c r="BM49" s="364" t="s">
        <v>2463</v>
      </c>
      <c r="BN49" s="364" t="s">
        <v>2350</v>
      </c>
      <c r="BO49" s="364" t="s">
        <v>2493</v>
      </c>
      <c r="BP49" s="364"/>
      <c r="BQ49" s="364"/>
      <c r="BR49" s="364"/>
      <c r="BS49" s="364"/>
      <c r="BT49" s="364"/>
      <c r="BU49" s="364"/>
      <c r="BV49" s="364"/>
      <c r="BW49" s="364"/>
      <c r="BX49" s="364"/>
      <c r="BY49" s="364"/>
      <c r="BZ49" s="364"/>
      <c r="CA49" s="364"/>
      <c r="CB49" s="364"/>
      <c r="CC49" s="364"/>
      <c r="CD49" s="364"/>
      <c r="CE49" s="364"/>
      <c r="CF49" s="364"/>
      <c r="CG49" s="364"/>
      <c r="CH49" s="364"/>
      <c r="CI49" s="364"/>
      <c r="CJ49" s="364"/>
      <c r="CK49" s="364"/>
      <c r="CL49" s="364"/>
      <c r="CM49" s="364"/>
      <c r="CN49" s="364"/>
      <c r="CO49" s="364"/>
      <c r="CP49" s="364"/>
      <c r="CQ49" s="364"/>
      <c r="CR49" s="364"/>
      <c r="CS49" s="364"/>
      <c r="CT49" s="364"/>
      <c r="CU49" s="364"/>
      <c r="CV49" s="364"/>
      <c r="CW49" s="364"/>
      <c r="CX49" s="364"/>
      <c r="CY49" s="364"/>
      <c r="CZ49" s="364"/>
      <c r="DA49" s="364"/>
      <c r="DB49" s="364"/>
      <c r="DC49" s="364"/>
      <c r="DD49" s="364"/>
      <c r="DE49" s="364"/>
      <c r="DF49" s="364"/>
      <c r="DG49" s="364"/>
      <c r="DH49" s="364"/>
      <c r="DI49" s="364"/>
      <c r="DJ49" s="364"/>
      <c r="DK49" s="364"/>
      <c r="DL49" s="364"/>
      <c r="DM49" s="364"/>
      <c r="DN49" s="364"/>
      <c r="DO49" s="364"/>
      <c r="DP49" s="364"/>
      <c r="DQ49" s="364"/>
      <c r="DR49" s="364"/>
      <c r="DS49" s="364"/>
      <c r="DT49" s="364"/>
      <c r="DU49" s="364"/>
      <c r="DV49" s="364"/>
      <c r="DW49" s="364"/>
      <c r="DX49" s="364"/>
      <c r="DY49" s="364"/>
      <c r="DZ49" s="364"/>
      <c r="EA49" s="364"/>
      <c r="EB49" s="364"/>
      <c r="EC49" s="364"/>
      <c r="ED49" s="364"/>
      <c r="EE49" s="364"/>
      <c r="EF49" s="364"/>
      <c r="EG49" s="364"/>
      <c r="EH49" s="364"/>
      <c r="EI49" s="364"/>
      <c r="EJ49" s="364"/>
      <c r="EK49" s="364"/>
      <c r="EL49" s="364"/>
      <c r="EM49" s="364"/>
      <c r="EN49" s="364"/>
      <c r="EO49" s="364"/>
      <c r="EP49" s="364"/>
      <c r="EQ49" s="364"/>
      <c r="ER49" s="364"/>
      <c r="ES49" s="364"/>
      <c r="ET49" s="364"/>
      <c r="EU49" s="364"/>
      <c r="EV49" s="364"/>
      <c r="EW49" s="364"/>
      <c r="EX49" s="364"/>
      <c r="EY49" s="364"/>
      <c r="EZ49" s="364"/>
      <c r="FA49" s="364"/>
      <c r="FB49" s="364"/>
      <c r="FC49" s="364"/>
      <c r="FD49" s="364"/>
      <c r="FE49" s="364"/>
      <c r="FF49" s="364"/>
      <c r="FG49" s="364"/>
      <c r="FH49" s="364"/>
      <c r="FI49" s="364"/>
      <c r="FJ49" s="364"/>
      <c r="FK49" s="364"/>
    </row>
    <row r="50" customFormat="false" ht="15.75" hidden="false" customHeight="false" outlineLevel="0" collapsed="false">
      <c r="A50" s="364" t="n">
        <v>120</v>
      </c>
      <c r="B50" s="364" t="n">
        <f aca="false">COUNTA(D50:FK50)</f>
        <v>47</v>
      </c>
      <c r="C50" s="364" t="s">
        <v>500</v>
      </c>
      <c r="D50" s="364" t="s">
        <v>2561</v>
      </c>
      <c r="E50" s="364" t="s">
        <v>2310</v>
      </c>
      <c r="F50" s="364" t="s">
        <v>2311</v>
      </c>
      <c r="G50" s="364" t="s">
        <v>2312</v>
      </c>
      <c r="H50" s="364" t="s">
        <v>2357</v>
      </c>
      <c r="I50" s="364" t="s">
        <v>2313</v>
      </c>
      <c r="J50" s="364" t="s">
        <v>2358</v>
      </c>
      <c r="K50" s="364" t="s">
        <v>2316</v>
      </c>
      <c r="L50" s="364" t="s">
        <v>2359</v>
      </c>
      <c r="M50" s="364" t="s">
        <v>2361</v>
      </c>
      <c r="N50" s="364" t="s">
        <v>2363</v>
      </c>
      <c r="O50" s="364" t="s">
        <v>2497</v>
      </c>
      <c r="P50" s="364" t="s">
        <v>2317</v>
      </c>
      <c r="Q50" s="364" t="s">
        <v>2562</v>
      </c>
      <c r="R50" s="364" t="s">
        <v>2320</v>
      </c>
      <c r="S50" s="364" t="s">
        <v>2411</v>
      </c>
      <c r="T50" s="364" t="s">
        <v>2412</v>
      </c>
      <c r="U50" s="364" t="s">
        <v>2327</v>
      </c>
      <c r="V50" s="364" t="s">
        <v>2563</v>
      </c>
      <c r="W50" s="364" t="s">
        <v>2328</v>
      </c>
      <c r="X50" s="364" t="s">
        <v>2506</v>
      </c>
      <c r="Y50" s="364" t="s">
        <v>2381</v>
      </c>
      <c r="Z50" s="261" t="s">
        <v>183</v>
      </c>
      <c r="AA50" s="364" t="s">
        <v>2452</v>
      </c>
      <c r="AB50" s="364" t="s">
        <v>2335</v>
      </c>
      <c r="AC50" s="364" t="s">
        <v>2337</v>
      </c>
      <c r="AD50" s="364" t="s">
        <v>2564</v>
      </c>
      <c r="AE50" s="364" t="s">
        <v>2338</v>
      </c>
      <c r="AF50" s="364" t="s">
        <v>2388</v>
      </c>
      <c r="AG50" s="364" t="s">
        <v>2339</v>
      </c>
      <c r="AH50" s="364" t="s">
        <v>2565</v>
      </c>
      <c r="AI50" s="364" t="s">
        <v>2389</v>
      </c>
      <c r="AJ50" s="364" t="s">
        <v>2420</v>
      </c>
      <c r="AK50" s="364" t="s">
        <v>2340</v>
      </c>
      <c r="AL50" s="364" t="s">
        <v>2499</v>
      </c>
      <c r="AM50" s="364" t="s">
        <v>2341</v>
      </c>
      <c r="AN50" s="364" t="s">
        <v>2566</v>
      </c>
      <c r="AO50" s="364" t="s">
        <v>2393</v>
      </c>
      <c r="AP50" s="364" t="s">
        <v>2591</v>
      </c>
      <c r="AQ50" s="364" t="s">
        <v>2423</v>
      </c>
      <c r="AR50" s="364" t="s">
        <v>2344</v>
      </c>
      <c r="AS50" s="364" t="s">
        <v>2346</v>
      </c>
      <c r="AT50" s="364" t="s">
        <v>2500</v>
      </c>
      <c r="AU50" s="364" t="s">
        <v>2347</v>
      </c>
      <c r="AV50" s="364" t="s">
        <v>2348</v>
      </c>
      <c r="AW50" s="364" t="s">
        <v>2349</v>
      </c>
      <c r="AX50" s="364" t="s">
        <v>2400</v>
      </c>
      <c r="AY50" s="364"/>
      <c r="AZ50" s="364"/>
      <c r="BA50" s="364"/>
      <c r="BB50" s="364"/>
      <c r="BC50" s="364"/>
      <c r="BD50" s="364"/>
      <c r="BE50" s="364"/>
      <c r="BF50" s="364"/>
      <c r="BG50" s="364"/>
      <c r="BH50" s="364"/>
      <c r="BI50" s="364"/>
      <c r="BJ50" s="364"/>
      <c r="BK50" s="364"/>
      <c r="BL50" s="364"/>
      <c r="BM50" s="364"/>
      <c r="BN50" s="364"/>
      <c r="BO50" s="364"/>
      <c r="BP50" s="364"/>
      <c r="BQ50" s="364"/>
      <c r="BR50" s="364"/>
      <c r="BS50" s="364"/>
      <c r="BT50" s="364"/>
      <c r="BU50" s="364"/>
      <c r="BV50" s="364"/>
      <c r="BW50" s="364"/>
      <c r="BX50" s="364"/>
      <c r="BY50" s="364"/>
      <c r="BZ50" s="364"/>
      <c r="CA50" s="364"/>
      <c r="CB50" s="364"/>
      <c r="CC50" s="364"/>
      <c r="CD50" s="364"/>
      <c r="CE50" s="364"/>
      <c r="CF50" s="364"/>
      <c r="CG50" s="364"/>
      <c r="CH50" s="364"/>
      <c r="CI50" s="364"/>
      <c r="CJ50" s="364"/>
      <c r="CK50" s="364"/>
      <c r="CL50" s="364"/>
      <c r="CM50" s="364"/>
      <c r="CN50" s="364"/>
      <c r="CO50" s="364"/>
      <c r="CP50" s="364"/>
      <c r="CQ50" s="364"/>
      <c r="CR50" s="364"/>
      <c r="CS50" s="364"/>
      <c r="CT50" s="364"/>
      <c r="CU50" s="364"/>
      <c r="CV50" s="364"/>
      <c r="CW50" s="364"/>
      <c r="CX50" s="364"/>
      <c r="CY50" s="364"/>
      <c r="CZ50" s="364"/>
      <c r="DA50" s="364"/>
      <c r="DB50" s="364"/>
      <c r="DC50" s="364"/>
      <c r="DD50" s="364"/>
      <c r="DE50" s="364"/>
      <c r="DF50" s="364"/>
      <c r="DG50" s="364"/>
      <c r="DH50" s="364"/>
      <c r="DI50" s="364"/>
      <c r="DJ50" s="364"/>
      <c r="DK50" s="364"/>
      <c r="DL50" s="364"/>
      <c r="DM50" s="364"/>
      <c r="DN50" s="364"/>
      <c r="DO50" s="364"/>
      <c r="DP50" s="364"/>
      <c r="DQ50" s="364"/>
      <c r="DR50" s="364"/>
      <c r="DS50" s="364"/>
      <c r="DT50" s="364"/>
      <c r="DU50" s="364"/>
      <c r="DV50" s="364"/>
      <c r="DW50" s="364"/>
      <c r="DX50" s="364"/>
      <c r="DY50" s="364"/>
      <c r="DZ50" s="364"/>
      <c r="EA50" s="364"/>
      <c r="EB50" s="364"/>
      <c r="EC50" s="364"/>
      <c r="ED50" s="364"/>
      <c r="EE50" s="364"/>
      <c r="EF50" s="364"/>
      <c r="EG50" s="364"/>
      <c r="EH50" s="364"/>
      <c r="EI50" s="364"/>
      <c r="EJ50" s="364"/>
      <c r="EK50" s="364"/>
      <c r="EL50" s="364"/>
      <c r="EM50" s="364"/>
      <c r="EN50" s="364"/>
      <c r="EO50" s="364"/>
      <c r="EP50" s="364"/>
      <c r="EQ50" s="364"/>
      <c r="ER50" s="364"/>
      <c r="ES50" s="364"/>
      <c r="ET50" s="364"/>
      <c r="EU50" s="364"/>
      <c r="EV50" s="364"/>
      <c r="EW50" s="364"/>
      <c r="EX50" s="364"/>
      <c r="EY50" s="364"/>
      <c r="EZ50" s="364"/>
      <c r="FA50" s="364"/>
      <c r="FB50" s="364"/>
      <c r="FC50" s="364"/>
      <c r="FD50" s="364"/>
      <c r="FE50" s="364"/>
      <c r="FF50" s="364"/>
      <c r="FG50" s="364"/>
      <c r="FH50" s="364"/>
      <c r="FI50" s="364"/>
      <c r="FJ50" s="364"/>
      <c r="FK50" s="364"/>
    </row>
    <row r="51" customFormat="false" ht="15.75" hidden="false" customHeight="false" outlineLevel="0" collapsed="false">
      <c r="A51" s="364" t="n">
        <v>122</v>
      </c>
      <c r="B51" s="364" t="n">
        <f aca="false">COUNTA(D51:FK51)</f>
        <v>50</v>
      </c>
      <c r="C51" s="364" t="s">
        <v>504</v>
      </c>
      <c r="D51" s="364" t="s">
        <v>2310</v>
      </c>
      <c r="E51" s="364" t="s">
        <v>2312</v>
      </c>
      <c r="F51" s="364" t="s">
        <v>2356</v>
      </c>
      <c r="G51" s="364" t="s">
        <v>2434</v>
      </c>
      <c r="H51" s="364" t="s">
        <v>138</v>
      </c>
      <c r="I51" s="364" t="s">
        <v>2517</v>
      </c>
      <c r="J51" s="364" t="s">
        <v>2316</v>
      </c>
      <c r="K51" s="364" t="s">
        <v>2520</v>
      </c>
      <c r="L51" s="364" t="s">
        <v>2435</v>
      </c>
      <c r="M51" s="364" t="s">
        <v>2364</v>
      </c>
      <c r="N51" s="364" t="s">
        <v>2320</v>
      </c>
      <c r="O51" s="364" t="s">
        <v>2369</v>
      </c>
      <c r="P51" s="364" t="s">
        <v>2376</v>
      </c>
      <c r="Q51" s="364" t="s">
        <v>2377</v>
      </c>
      <c r="R51" s="364" t="s">
        <v>2523</v>
      </c>
      <c r="S51" s="364" t="s">
        <v>2550</v>
      </c>
      <c r="T51" s="364" t="s">
        <v>2324</v>
      </c>
      <c r="U51" s="364" t="s">
        <v>2325</v>
      </c>
      <c r="V51" s="364" t="s">
        <v>2327</v>
      </c>
      <c r="W51" s="364" t="s">
        <v>2328</v>
      </c>
      <c r="X51" s="364" t="s">
        <v>2329</v>
      </c>
      <c r="Y51" s="364" t="s">
        <v>2416</v>
      </c>
      <c r="Z51" s="364" t="s">
        <v>2539</v>
      </c>
      <c r="AA51" s="364" t="s">
        <v>2540</v>
      </c>
      <c r="AB51" s="364" t="s">
        <v>2382</v>
      </c>
      <c r="AC51" s="364" t="s">
        <v>2383</v>
      </c>
      <c r="AD51" s="364" t="s">
        <v>2582</v>
      </c>
      <c r="AE51" s="364" t="s">
        <v>2387</v>
      </c>
      <c r="AF51" s="364" t="s">
        <v>2439</v>
      </c>
      <c r="AG51" s="364" t="s">
        <v>157</v>
      </c>
      <c r="AH51" s="364" t="s">
        <v>2495</v>
      </c>
      <c r="AI51" s="364" t="s">
        <v>2440</v>
      </c>
      <c r="AJ51" s="364" t="s">
        <v>2335</v>
      </c>
      <c r="AK51" s="364" t="s">
        <v>2337</v>
      </c>
      <c r="AL51" s="364" t="s">
        <v>2340</v>
      </c>
      <c r="AM51" s="364" t="s">
        <v>2341</v>
      </c>
      <c r="AN51" s="364" t="s">
        <v>2391</v>
      </c>
      <c r="AO51" s="364" t="s">
        <v>2442</v>
      </c>
      <c r="AP51" s="364" t="s">
        <v>2422</v>
      </c>
      <c r="AQ51" s="364" t="s">
        <v>2393</v>
      </c>
      <c r="AR51" s="364" t="s">
        <v>2344</v>
      </c>
      <c r="AS51" s="364" t="s">
        <v>2397</v>
      </c>
      <c r="AT51" s="364" t="s">
        <v>2592</v>
      </c>
      <c r="AU51" s="364" t="s">
        <v>2349</v>
      </c>
      <c r="AV51" s="364" t="s">
        <v>2445</v>
      </c>
      <c r="AW51" s="364" t="s">
        <v>2399</v>
      </c>
      <c r="AX51" s="364" t="s">
        <v>2522</v>
      </c>
      <c r="AY51" s="364" t="s">
        <v>2555</v>
      </c>
      <c r="AZ51" s="364" t="s">
        <v>2493</v>
      </c>
      <c r="BA51" s="364" t="s">
        <v>2430</v>
      </c>
      <c r="BB51" s="364"/>
      <c r="BC51" s="364"/>
      <c r="BD51" s="364"/>
      <c r="BE51" s="364"/>
      <c r="BF51" s="364"/>
      <c r="BG51" s="364"/>
      <c r="BH51" s="364"/>
      <c r="BI51" s="364"/>
      <c r="BJ51" s="364"/>
      <c r="BK51" s="364"/>
      <c r="BL51" s="364"/>
      <c r="BM51" s="364"/>
      <c r="BN51" s="364"/>
      <c r="BO51" s="364"/>
      <c r="BP51" s="364"/>
      <c r="BQ51" s="364"/>
      <c r="BR51" s="364"/>
      <c r="BS51" s="364"/>
      <c r="BT51" s="364"/>
      <c r="BU51" s="364"/>
      <c r="BV51" s="364"/>
      <c r="BW51" s="364"/>
      <c r="BX51" s="364"/>
      <c r="BY51" s="364"/>
      <c r="BZ51" s="364"/>
      <c r="CA51" s="364"/>
      <c r="CB51" s="364"/>
      <c r="CC51" s="364"/>
      <c r="CD51" s="364"/>
      <c r="CE51" s="364"/>
      <c r="CF51" s="364"/>
      <c r="CG51" s="364"/>
      <c r="CH51" s="364"/>
      <c r="CI51" s="364"/>
      <c r="CJ51" s="364"/>
      <c r="CK51" s="364"/>
      <c r="CL51" s="364"/>
      <c r="CM51" s="364"/>
      <c r="CN51" s="364"/>
      <c r="CO51" s="364"/>
      <c r="CP51" s="364"/>
      <c r="CQ51" s="364"/>
      <c r="CR51" s="364"/>
      <c r="CS51" s="364"/>
      <c r="CT51" s="364"/>
      <c r="CU51" s="364"/>
      <c r="CV51" s="364"/>
      <c r="CW51" s="364"/>
      <c r="CX51" s="364"/>
      <c r="CY51" s="364"/>
      <c r="CZ51" s="364"/>
      <c r="DA51" s="364"/>
      <c r="DB51" s="364"/>
      <c r="DC51" s="364"/>
      <c r="DD51" s="364"/>
      <c r="DE51" s="364"/>
      <c r="DF51" s="364"/>
      <c r="DG51" s="364"/>
      <c r="DH51" s="364"/>
      <c r="DI51" s="364"/>
      <c r="DJ51" s="364"/>
      <c r="DK51" s="364"/>
      <c r="DL51" s="364"/>
      <c r="DM51" s="364"/>
      <c r="DN51" s="364"/>
      <c r="DO51" s="364"/>
      <c r="DP51" s="364"/>
      <c r="DQ51" s="364"/>
      <c r="DR51" s="364"/>
      <c r="DS51" s="364"/>
      <c r="DT51" s="364"/>
      <c r="DU51" s="364"/>
      <c r="DV51" s="364"/>
      <c r="DW51" s="364"/>
      <c r="DX51" s="364"/>
      <c r="DY51" s="364"/>
      <c r="DZ51" s="364"/>
      <c r="EA51" s="364"/>
      <c r="EB51" s="364"/>
      <c r="EC51" s="364"/>
      <c r="ED51" s="364"/>
      <c r="EE51" s="364"/>
      <c r="EF51" s="364"/>
      <c r="EG51" s="364"/>
      <c r="EH51" s="364"/>
      <c r="EI51" s="364"/>
      <c r="EJ51" s="364"/>
      <c r="EK51" s="364"/>
      <c r="EL51" s="364"/>
      <c r="EM51" s="364"/>
      <c r="EN51" s="364"/>
      <c r="EO51" s="364"/>
      <c r="EP51" s="364"/>
      <c r="EQ51" s="364"/>
      <c r="ER51" s="364"/>
      <c r="ES51" s="364"/>
      <c r="ET51" s="364"/>
      <c r="EU51" s="364"/>
      <c r="EV51" s="364"/>
      <c r="EW51" s="364"/>
      <c r="EX51" s="364"/>
      <c r="EY51" s="364"/>
      <c r="EZ51" s="364"/>
      <c r="FA51" s="364"/>
      <c r="FB51" s="364"/>
      <c r="FC51" s="364"/>
      <c r="FD51" s="364"/>
      <c r="FE51" s="364"/>
      <c r="FF51" s="364"/>
      <c r="FG51" s="364"/>
      <c r="FH51" s="364"/>
      <c r="FI51" s="364"/>
      <c r="FJ51" s="364"/>
      <c r="FK51" s="364"/>
    </row>
    <row r="52" customFormat="false" ht="15.75" hidden="false" customHeight="false" outlineLevel="0" collapsed="false">
      <c r="A52" s="364" t="n">
        <v>124</v>
      </c>
      <c r="B52" s="364" t="n">
        <f aca="false">COUNTA(D52:FK52)</f>
        <v>48</v>
      </c>
      <c r="C52" s="364" t="s">
        <v>508</v>
      </c>
      <c r="D52" s="364" t="s">
        <v>2561</v>
      </c>
      <c r="E52" s="364" t="s">
        <v>2310</v>
      </c>
      <c r="F52" s="364" t="s">
        <v>2405</v>
      </c>
      <c r="G52" s="364" t="s">
        <v>2312</v>
      </c>
      <c r="H52" s="364" t="s">
        <v>2356</v>
      </c>
      <c r="I52" s="364" t="s">
        <v>2406</v>
      </c>
      <c r="J52" s="364" t="s">
        <v>2407</v>
      </c>
      <c r="K52" s="364" t="s">
        <v>2408</v>
      </c>
      <c r="L52" s="364" t="s">
        <v>2593</v>
      </c>
      <c r="M52" s="364" t="s">
        <v>2315</v>
      </c>
      <c r="N52" s="364" t="s">
        <v>2358</v>
      </c>
      <c r="O52" s="364" t="s">
        <v>2410</v>
      </c>
      <c r="P52" s="364" t="s">
        <v>2316</v>
      </c>
      <c r="Q52" s="364" t="s">
        <v>2320</v>
      </c>
      <c r="R52" s="364" t="s">
        <v>2449</v>
      </c>
      <c r="S52" s="364" t="s">
        <v>2322</v>
      </c>
      <c r="T52" s="364" t="s">
        <v>2324</v>
      </c>
      <c r="U52" s="364" t="s">
        <v>2328</v>
      </c>
      <c r="V52" s="364" t="s">
        <v>2329</v>
      </c>
      <c r="W52" s="364" t="s">
        <v>2415</v>
      </c>
      <c r="X52" s="364" t="s">
        <v>2417</v>
      </c>
      <c r="Y52" s="364" t="s">
        <v>2330</v>
      </c>
      <c r="Z52" s="364" t="s">
        <v>2418</v>
      </c>
      <c r="AA52" s="364" t="s">
        <v>2384</v>
      </c>
      <c r="AB52" s="364" t="s">
        <v>2594</v>
      </c>
      <c r="AC52" s="261" t="s">
        <v>183</v>
      </c>
      <c r="AD52" s="364" t="s">
        <v>2335</v>
      </c>
      <c r="AE52" s="364" t="s">
        <v>2337</v>
      </c>
      <c r="AF52" s="364" t="s">
        <v>2388</v>
      </c>
      <c r="AG52" s="364" t="s">
        <v>2339</v>
      </c>
      <c r="AH52" s="364" t="s">
        <v>2389</v>
      </c>
      <c r="AI52" s="364" t="s">
        <v>2340</v>
      </c>
      <c r="AJ52" s="364" t="s">
        <v>2421</v>
      </c>
      <c r="AK52" s="364" t="s">
        <v>2341</v>
      </c>
      <c r="AL52" s="364" t="s">
        <v>2591</v>
      </c>
      <c r="AM52" s="364" t="s">
        <v>2344</v>
      </c>
      <c r="AN52" s="364" t="s">
        <v>2571</v>
      </c>
      <c r="AO52" s="364" t="s">
        <v>2346</v>
      </c>
      <c r="AP52" s="364" t="s">
        <v>2347</v>
      </c>
      <c r="AQ52" s="364" t="s">
        <v>2511</v>
      </c>
      <c r="AR52" s="364" t="s">
        <v>2424</v>
      </c>
      <c r="AS52" s="364" t="s">
        <v>2349</v>
      </c>
      <c r="AT52" s="364" t="s">
        <v>2445</v>
      </c>
      <c r="AU52" s="364" t="s">
        <v>2595</v>
      </c>
      <c r="AV52" s="364" t="s">
        <v>2426</v>
      </c>
      <c r="AW52" s="364" t="s">
        <v>2428</v>
      </c>
      <c r="AX52" s="364" t="s">
        <v>2429</v>
      </c>
      <c r="AY52" s="364" t="s">
        <v>2458</v>
      </c>
      <c r="AZ52" s="364"/>
      <c r="BA52" s="364"/>
      <c r="BB52" s="364"/>
      <c r="BC52" s="364"/>
      <c r="BD52" s="364"/>
      <c r="BE52" s="364"/>
      <c r="BF52" s="364"/>
      <c r="BG52" s="364"/>
      <c r="BH52" s="364"/>
      <c r="BI52" s="364"/>
      <c r="BJ52" s="364"/>
      <c r="BK52" s="364"/>
      <c r="BL52" s="364"/>
      <c r="BM52" s="364"/>
      <c r="BN52" s="364"/>
      <c r="BO52" s="364"/>
      <c r="BP52" s="364"/>
      <c r="BQ52" s="364"/>
      <c r="BR52" s="364"/>
      <c r="BS52" s="364"/>
      <c r="BT52" s="364"/>
      <c r="BU52" s="364"/>
      <c r="BV52" s="364"/>
      <c r="BW52" s="364"/>
      <c r="BX52" s="364"/>
      <c r="BY52" s="364"/>
      <c r="BZ52" s="364"/>
      <c r="CA52" s="364"/>
      <c r="CB52" s="364"/>
      <c r="CC52" s="364"/>
      <c r="CD52" s="364"/>
      <c r="CE52" s="364"/>
      <c r="CF52" s="364"/>
      <c r="CG52" s="364"/>
      <c r="CH52" s="364"/>
      <c r="CI52" s="364"/>
      <c r="CJ52" s="364"/>
      <c r="CK52" s="364"/>
      <c r="CL52" s="364"/>
      <c r="CM52" s="364"/>
      <c r="CN52" s="364"/>
      <c r="CO52" s="364"/>
      <c r="CP52" s="364"/>
      <c r="CQ52" s="364"/>
      <c r="CR52" s="364"/>
      <c r="CS52" s="364"/>
      <c r="CT52" s="364"/>
      <c r="CU52" s="364"/>
      <c r="CV52" s="364"/>
      <c r="CW52" s="364"/>
      <c r="CX52" s="364"/>
      <c r="CY52" s="364"/>
      <c r="CZ52" s="364"/>
      <c r="DA52" s="364"/>
      <c r="DB52" s="364"/>
      <c r="DC52" s="364"/>
      <c r="DD52" s="364"/>
      <c r="DE52" s="364"/>
      <c r="DF52" s="364"/>
      <c r="DG52" s="364"/>
      <c r="DH52" s="364"/>
      <c r="DI52" s="364"/>
      <c r="DJ52" s="364"/>
      <c r="DK52" s="364"/>
      <c r="DL52" s="364"/>
      <c r="DM52" s="364"/>
      <c r="DN52" s="364"/>
      <c r="DO52" s="364"/>
      <c r="DP52" s="364"/>
      <c r="DQ52" s="364"/>
      <c r="DR52" s="364"/>
      <c r="DS52" s="364"/>
      <c r="DT52" s="364"/>
      <c r="DU52" s="364"/>
      <c r="DV52" s="364"/>
      <c r="DW52" s="364"/>
      <c r="DX52" s="364"/>
      <c r="DY52" s="364"/>
      <c r="DZ52" s="364"/>
      <c r="EA52" s="364"/>
      <c r="EB52" s="364"/>
      <c r="EC52" s="364"/>
      <c r="ED52" s="364"/>
      <c r="EE52" s="364"/>
      <c r="EF52" s="364"/>
      <c r="EG52" s="364"/>
      <c r="EH52" s="364"/>
      <c r="EI52" s="364"/>
      <c r="EJ52" s="364"/>
      <c r="EK52" s="364"/>
      <c r="EL52" s="364"/>
      <c r="EM52" s="364"/>
      <c r="EN52" s="364"/>
      <c r="EO52" s="364"/>
      <c r="EP52" s="364"/>
      <c r="EQ52" s="364"/>
      <c r="ER52" s="364"/>
      <c r="ES52" s="364"/>
      <c r="ET52" s="364"/>
      <c r="EU52" s="364"/>
      <c r="EV52" s="364"/>
      <c r="EW52" s="364"/>
      <c r="EX52" s="364"/>
      <c r="EY52" s="364"/>
      <c r="EZ52" s="364"/>
      <c r="FA52" s="364"/>
      <c r="FB52" s="364"/>
      <c r="FC52" s="364"/>
      <c r="FD52" s="364"/>
      <c r="FE52" s="364"/>
      <c r="FF52" s="364"/>
      <c r="FG52" s="364"/>
      <c r="FH52" s="364"/>
      <c r="FI52" s="364"/>
      <c r="FJ52" s="364"/>
      <c r="FK52" s="364"/>
    </row>
    <row r="53" customFormat="false" ht="15.75" hidden="false" customHeight="false" outlineLevel="0" collapsed="false">
      <c r="A53" s="364" t="n">
        <v>126</v>
      </c>
      <c r="B53" s="364" t="n">
        <f aca="false">COUNTA(D53:FK53)</f>
        <v>34</v>
      </c>
      <c r="C53" s="364" t="s">
        <v>512</v>
      </c>
      <c r="D53" s="364" t="s">
        <v>2310</v>
      </c>
      <c r="E53" s="364" t="s">
        <v>2464</v>
      </c>
      <c r="F53" s="364" t="s">
        <v>2569</v>
      </c>
      <c r="G53" s="364" t="s">
        <v>2562</v>
      </c>
      <c r="H53" s="364" t="s">
        <v>2320</v>
      </c>
      <c r="I53" s="364" t="s">
        <v>2523</v>
      </c>
      <c r="J53" s="364" t="s">
        <v>2324</v>
      </c>
      <c r="K53" s="364" t="s">
        <v>2412</v>
      </c>
      <c r="L53" s="364" t="s">
        <v>2327</v>
      </c>
      <c r="M53" s="364" t="s">
        <v>2328</v>
      </c>
      <c r="N53" s="364" t="s">
        <v>2329</v>
      </c>
      <c r="O53" s="364" t="s">
        <v>2596</v>
      </c>
      <c r="P53" s="364" t="s">
        <v>2335</v>
      </c>
      <c r="Q53" s="364" t="s">
        <v>2337</v>
      </c>
      <c r="R53" s="364" t="s">
        <v>2420</v>
      </c>
      <c r="S53" s="364" t="s">
        <v>2340</v>
      </c>
      <c r="T53" s="364" t="s">
        <v>2341</v>
      </c>
      <c r="U53" s="364" t="s">
        <v>2566</v>
      </c>
      <c r="V53" s="364" t="s">
        <v>2470</v>
      </c>
      <c r="W53" s="364" t="s">
        <v>2422</v>
      </c>
      <c r="X53" s="364" t="s">
        <v>2393</v>
      </c>
      <c r="Y53" s="364" t="s">
        <v>2344</v>
      </c>
      <c r="Z53" s="364" t="s">
        <v>2575</v>
      </c>
      <c r="AA53" s="364" t="s">
        <v>2570</v>
      </c>
      <c r="AB53" s="364" t="s">
        <v>2473</v>
      </c>
      <c r="AC53" s="364" t="s">
        <v>2398</v>
      </c>
      <c r="AD53" s="364" t="s">
        <v>2348</v>
      </c>
      <c r="AE53" s="364" t="s">
        <v>2349</v>
      </c>
      <c r="AF53" s="364" t="s">
        <v>2445</v>
      </c>
      <c r="AG53" s="364" t="s">
        <v>2475</v>
      </c>
      <c r="AH53" s="364" t="s">
        <v>2476</v>
      </c>
      <c r="AI53" s="364" t="s">
        <v>2492</v>
      </c>
      <c r="AJ53" s="364" t="s">
        <v>2477</v>
      </c>
      <c r="AK53" s="364" t="s">
        <v>2493</v>
      </c>
      <c r="AL53" s="364"/>
      <c r="AM53" s="364"/>
      <c r="AN53" s="364"/>
      <c r="AO53" s="364"/>
      <c r="AP53" s="364"/>
      <c r="AQ53" s="364"/>
      <c r="AR53" s="364"/>
      <c r="AS53" s="364"/>
      <c r="AT53" s="364"/>
      <c r="AU53" s="364"/>
      <c r="AV53" s="364"/>
      <c r="AW53" s="364"/>
      <c r="AX53" s="364"/>
      <c r="AY53" s="364"/>
      <c r="AZ53" s="364"/>
      <c r="BA53" s="364"/>
      <c r="BB53" s="364"/>
      <c r="BC53" s="364"/>
      <c r="BD53" s="364"/>
      <c r="BE53" s="364"/>
      <c r="BF53" s="364"/>
      <c r="BG53" s="364"/>
      <c r="BH53" s="364"/>
      <c r="BI53" s="364"/>
      <c r="BJ53" s="364"/>
      <c r="BK53" s="364"/>
      <c r="BL53" s="364"/>
      <c r="BM53" s="364"/>
      <c r="BN53" s="364"/>
      <c r="BO53" s="364"/>
      <c r="BP53" s="364"/>
      <c r="BQ53" s="364"/>
      <c r="BR53" s="364"/>
      <c r="BS53" s="364"/>
      <c r="BT53" s="364"/>
      <c r="BU53" s="364"/>
      <c r="BV53" s="364"/>
      <c r="BW53" s="364"/>
      <c r="BX53" s="364"/>
      <c r="BY53" s="364"/>
      <c r="BZ53" s="364"/>
      <c r="CA53" s="364"/>
      <c r="CB53" s="364"/>
      <c r="CC53" s="364"/>
      <c r="CD53" s="364"/>
      <c r="CE53" s="364"/>
      <c r="CF53" s="364"/>
      <c r="CG53" s="364"/>
      <c r="CH53" s="364"/>
      <c r="CI53" s="364"/>
      <c r="CJ53" s="364"/>
      <c r="CK53" s="364"/>
      <c r="CL53" s="364"/>
      <c r="CM53" s="364"/>
      <c r="CN53" s="364"/>
      <c r="CO53" s="364"/>
      <c r="CP53" s="364"/>
      <c r="CQ53" s="364"/>
      <c r="CR53" s="364"/>
      <c r="CS53" s="364"/>
      <c r="CT53" s="364"/>
      <c r="CU53" s="364"/>
      <c r="CV53" s="364"/>
      <c r="CW53" s="364"/>
      <c r="CX53" s="364"/>
      <c r="CY53" s="364"/>
      <c r="CZ53" s="364"/>
      <c r="DA53" s="364"/>
      <c r="DB53" s="364"/>
      <c r="DC53" s="364"/>
      <c r="DD53" s="364"/>
      <c r="DE53" s="364"/>
      <c r="DF53" s="364"/>
      <c r="DG53" s="364"/>
      <c r="DH53" s="364"/>
      <c r="DI53" s="364"/>
      <c r="DJ53" s="364"/>
      <c r="DK53" s="364"/>
      <c r="DL53" s="364"/>
      <c r="DM53" s="364"/>
      <c r="DN53" s="364"/>
      <c r="DO53" s="364"/>
      <c r="DP53" s="364"/>
      <c r="DQ53" s="364"/>
      <c r="DR53" s="364"/>
      <c r="DS53" s="364"/>
      <c r="DT53" s="364"/>
      <c r="DU53" s="364"/>
      <c r="DV53" s="364"/>
      <c r="DW53" s="364"/>
      <c r="DX53" s="364"/>
      <c r="DY53" s="364"/>
      <c r="DZ53" s="364"/>
      <c r="EA53" s="364"/>
      <c r="EB53" s="364"/>
      <c r="EC53" s="364"/>
      <c r="ED53" s="364"/>
      <c r="EE53" s="364"/>
      <c r="EF53" s="364"/>
      <c r="EG53" s="364"/>
      <c r="EH53" s="364"/>
      <c r="EI53" s="364"/>
      <c r="EJ53" s="364"/>
      <c r="EK53" s="364"/>
      <c r="EL53" s="364"/>
      <c r="EM53" s="364"/>
      <c r="EN53" s="364"/>
      <c r="EO53" s="364"/>
      <c r="EP53" s="364"/>
      <c r="EQ53" s="364"/>
      <c r="ER53" s="364"/>
      <c r="ES53" s="364"/>
      <c r="ET53" s="364"/>
      <c r="EU53" s="364"/>
      <c r="EV53" s="364"/>
      <c r="EW53" s="364"/>
      <c r="EX53" s="364"/>
      <c r="EY53" s="364"/>
      <c r="EZ53" s="364"/>
      <c r="FA53" s="364"/>
      <c r="FB53" s="364"/>
      <c r="FC53" s="364"/>
      <c r="FD53" s="364"/>
      <c r="FE53" s="364"/>
      <c r="FF53" s="364"/>
      <c r="FG53" s="364"/>
      <c r="FH53" s="364"/>
      <c r="FI53" s="364"/>
      <c r="FJ53" s="364"/>
      <c r="FK53" s="364"/>
    </row>
    <row r="54" customFormat="false" ht="15.75" hidden="false" customHeight="false" outlineLevel="0" collapsed="false">
      <c r="A54" s="364" t="n">
        <v>128</v>
      </c>
      <c r="B54" s="364" t="n">
        <f aca="false">COUNTA(D54:FK54)</f>
        <v>41</v>
      </c>
      <c r="C54" s="364" t="s">
        <v>516</v>
      </c>
      <c r="D54" s="364" t="s">
        <v>2561</v>
      </c>
      <c r="E54" s="364" t="s">
        <v>2597</v>
      </c>
      <c r="F54" s="364" t="s">
        <v>2310</v>
      </c>
      <c r="G54" s="364" t="s">
        <v>2314</v>
      </c>
      <c r="H54" s="364" t="s">
        <v>2434</v>
      </c>
      <c r="I54" s="364" t="s">
        <v>2316</v>
      </c>
      <c r="J54" s="364" t="s">
        <v>2435</v>
      </c>
      <c r="K54" s="364" t="s">
        <v>2598</v>
      </c>
      <c r="L54" s="364" t="s">
        <v>2319</v>
      </c>
      <c r="M54" s="364" t="s">
        <v>2562</v>
      </c>
      <c r="N54" s="364" t="s">
        <v>2320</v>
      </c>
      <c r="O54" s="364" t="s">
        <v>2323</v>
      </c>
      <c r="P54" s="364" t="s">
        <v>2324</v>
      </c>
      <c r="Q54" s="364" t="s">
        <v>2325</v>
      </c>
      <c r="R54" s="364" t="s">
        <v>2327</v>
      </c>
      <c r="S54" s="364" t="s">
        <v>2328</v>
      </c>
      <c r="T54" s="364" t="s">
        <v>2329</v>
      </c>
      <c r="U54" s="364" t="s">
        <v>2438</v>
      </c>
      <c r="V54" s="364" t="s">
        <v>2557</v>
      </c>
      <c r="W54" s="364" t="s">
        <v>2539</v>
      </c>
      <c r="X54" s="364" t="s">
        <v>2331</v>
      </c>
      <c r="Y54" s="364" t="s">
        <v>157</v>
      </c>
      <c r="Z54" s="364" t="s">
        <v>2495</v>
      </c>
      <c r="AA54" s="364" t="s">
        <v>2440</v>
      </c>
      <c r="AB54" s="364" t="s">
        <v>2335</v>
      </c>
      <c r="AC54" s="364" t="s">
        <v>2337</v>
      </c>
      <c r="AD54" s="364" t="s">
        <v>2420</v>
      </c>
      <c r="AE54" s="364" t="s">
        <v>2340</v>
      </c>
      <c r="AF54" s="364" t="s">
        <v>2341</v>
      </c>
      <c r="AG54" s="364" t="s">
        <v>2342</v>
      </c>
      <c r="AH54" s="364" t="s">
        <v>2566</v>
      </c>
      <c r="AI54" s="364" t="s">
        <v>2343</v>
      </c>
      <c r="AJ54" s="364" t="s">
        <v>2344</v>
      </c>
      <c r="AK54" s="364" t="s">
        <v>2345</v>
      </c>
      <c r="AL54" s="364" t="s">
        <v>2571</v>
      </c>
      <c r="AM54" s="364" t="s">
        <v>2346</v>
      </c>
      <c r="AN54" s="364" t="s">
        <v>2347</v>
      </c>
      <c r="AO54" s="364" t="s">
        <v>2349</v>
      </c>
      <c r="AP54" s="364" t="s">
        <v>2445</v>
      </c>
      <c r="AQ54" s="364" t="s">
        <v>2599</v>
      </c>
      <c r="AR54" s="364" t="s">
        <v>2430</v>
      </c>
      <c r="AS54" s="364"/>
      <c r="AT54" s="364"/>
      <c r="AU54" s="364"/>
      <c r="AV54" s="364"/>
      <c r="AW54" s="364"/>
      <c r="AX54" s="364"/>
      <c r="AY54" s="364"/>
      <c r="AZ54" s="364"/>
      <c r="BA54" s="364"/>
      <c r="BB54" s="364"/>
      <c r="BC54" s="364"/>
      <c r="BD54" s="364"/>
      <c r="BE54" s="364"/>
      <c r="BF54" s="364"/>
      <c r="BG54" s="364"/>
      <c r="BH54" s="364"/>
      <c r="BI54" s="364"/>
      <c r="BJ54" s="364"/>
      <c r="BK54" s="364"/>
      <c r="BL54" s="364"/>
      <c r="BM54" s="364"/>
      <c r="BN54" s="364"/>
      <c r="BO54" s="364"/>
      <c r="BP54" s="364"/>
      <c r="BQ54" s="364"/>
      <c r="BR54" s="364"/>
      <c r="BS54" s="364"/>
      <c r="BT54" s="364"/>
      <c r="BU54" s="364"/>
      <c r="BV54" s="364"/>
      <c r="BW54" s="364"/>
      <c r="BX54" s="364"/>
      <c r="BY54" s="364"/>
      <c r="BZ54" s="364"/>
      <c r="CA54" s="364"/>
      <c r="CB54" s="364"/>
      <c r="CC54" s="364"/>
      <c r="CD54" s="364"/>
      <c r="CE54" s="364"/>
      <c r="CF54" s="364"/>
      <c r="CG54" s="364"/>
      <c r="CH54" s="364"/>
      <c r="CI54" s="364"/>
      <c r="CJ54" s="364"/>
      <c r="CK54" s="364"/>
      <c r="CL54" s="364"/>
      <c r="CM54" s="364"/>
      <c r="CN54" s="364"/>
      <c r="CO54" s="364"/>
      <c r="CP54" s="364"/>
      <c r="CQ54" s="364"/>
      <c r="CR54" s="364"/>
      <c r="CS54" s="364"/>
      <c r="CT54" s="364"/>
      <c r="CU54" s="364"/>
      <c r="CV54" s="364"/>
      <c r="CW54" s="364"/>
      <c r="CX54" s="364"/>
      <c r="CY54" s="364"/>
      <c r="CZ54" s="364"/>
      <c r="DA54" s="364"/>
      <c r="DB54" s="364"/>
      <c r="DC54" s="364"/>
      <c r="DD54" s="364"/>
      <c r="DE54" s="364"/>
      <c r="DF54" s="364"/>
      <c r="DG54" s="364"/>
      <c r="DH54" s="364"/>
      <c r="DI54" s="364"/>
      <c r="DJ54" s="364"/>
      <c r="DK54" s="364"/>
      <c r="DL54" s="364"/>
      <c r="DM54" s="364"/>
      <c r="DN54" s="364"/>
      <c r="DO54" s="364"/>
      <c r="DP54" s="364"/>
      <c r="DQ54" s="364"/>
      <c r="DR54" s="364"/>
      <c r="DS54" s="364"/>
      <c r="DT54" s="364"/>
      <c r="DU54" s="364"/>
      <c r="DV54" s="364"/>
      <c r="DW54" s="364"/>
      <c r="DX54" s="364"/>
      <c r="DY54" s="364"/>
      <c r="DZ54" s="364"/>
      <c r="EA54" s="364"/>
      <c r="EB54" s="364"/>
      <c r="EC54" s="364"/>
      <c r="ED54" s="364"/>
      <c r="EE54" s="364"/>
      <c r="EF54" s="364"/>
      <c r="EG54" s="364"/>
      <c r="EH54" s="364"/>
      <c r="EI54" s="364"/>
      <c r="EJ54" s="364"/>
      <c r="EK54" s="364"/>
      <c r="EL54" s="364"/>
      <c r="EM54" s="364"/>
      <c r="EN54" s="364"/>
      <c r="EO54" s="364"/>
      <c r="EP54" s="364"/>
      <c r="EQ54" s="364"/>
      <c r="ER54" s="364"/>
      <c r="ES54" s="364"/>
      <c r="ET54" s="364"/>
      <c r="EU54" s="364"/>
      <c r="EV54" s="364"/>
      <c r="EW54" s="364"/>
      <c r="EX54" s="364"/>
      <c r="EY54" s="364"/>
      <c r="EZ54" s="364"/>
      <c r="FA54" s="364"/>
      <c r="FB54" s="364"/>
      <c r="FC54" s="364"/>
      <c r="FD54" s="364"/>
      <c r="FE54" s="364"/>
      <c r="FF54" s="364"/>
      <c r="FG54" s="364"/>
      <c r="FH54" s="364"/>
      <c r="FI54" s="364"/>
      <c r="FJ54" s="364"/>
      <c r="FK54" s="364"/>
    </row>
    <row r="55" customFormat="false" ht="15.75" hidden="false" customHeight="false" outlineLevel="0" collapsed="false">
      <c r="A55" s="364" t="n">
        <v>129</v>
      </c>
      <c r="B55" s="364" t="n">
        <f aca="false">COUNTA(D55:FK55)</f>
        <v>41</v>
      </c>
      <c r="C55" s="364" t="s">
        <v>2600</v>
      </c>
      <c r="D55" s="364" t="s">
        <v>2597</v>
      </c>
      <c r="E55" s="364" t="s">
        <v>2356</v>
      </c>
      <c r="F55" s="364" t="s">
        <v>2357</v>
      </c>
      <c r="G55" s="364" t="s">
        <v>2313</v>
      </c>
      <c r="H55" s="364" t="s">
        <v>2434</v>
      </c>
      <c r="I55" s="364" t="s">
        <v>2601</v>
      </c>
      <c r="J55" s="364" t="s">
        <v>2602</v>
      </c>
      <c r="K55" s="364" t="s">
        <v>2361</v>
      </c>
      <c r="L55" s="364" t="s">
        <v>2363</v>
      </c>
      <c r="M55" s="364" t="s">
        <v>2435</v>
      </c>
      <c r="N55" s="364" t="s">
        <v>2317</v>
      </c>
      <c r="O55" s="364" t="s">
        <v>2598</v>
      </c>
      <c r="P55" s="364" t="s">
        <v>2319</v>
      </c>
      <c r="Q55" s="364" t="s">
        <v>2562</v>
      </c>
      <c r="R55" s="364" t="s">
        <v>2320</v>
      </c>
      <c r="S55" s="364" t="s">
        <v>2373</v>
      </c>
      <c r="T55" s="364" t="s">
        <v>2323</v>
      </c>
      <c r="U55" s="364" t="s">
        <v>2324</v>
      </c>
      <c r="V55" s="364" t="s">
        <v>2325</v>
      </c>
      <c r="W55" s="364" t="s">
        <v>2328</v>
      </c>
      <c r="X55" s="364" t="s">
        <v>2329</v>
      </c>
      <c r="Y55" s="364" t="s">
        <v>2438</v>
      </c>
      <c r="Z55" s="364" t="s">
        <v>2506</v>
      </c>
      <c r="AA55" s="364" t="s">
        <v>2381</v>
      </c>
      <c r="AB55" s="364" t="s">
        <v>2330</v>
      </c>
      <c r="AC55" s="364" t="s">
        <v>2557</v>
      </c>
      <c r="AD55" s="364" t="s">
        <v>2539</v>
      </c>
      <c r="AE55" s="364" t="s">
        <v>2332</v>
      </c>
      <c r="AF55" s="364" t="s">
        <v>157</v>
      </c>
      <c r="AG55" s="364" t="s">
        <v>2495</v>
      </c>
      <c r="AH55" s="364" t="s">
        <v>2337</v>
      </c>
      <c r="AI55" s="364" t="s">
        <v>2340</v>
      </c>
      <c r="AJ55" s="364" t="s">
        <v>2342</v>
      </c>
      <c r="AK55" s="364" t="s">
        <v>2343</v>
      </c>
      <c r="AL55" s="364" t="s">
        <v>2344</v>
      </c>
      <c r="AM55" s="364" t="s">
        <v>2345</v>
      </c>
      <c r="AN55" s="364" t="s">
        <v>2346</v>
      </c>
      <c r="AO55" s="364" t="s">
        <v>2511</v>
      </c>
      <c r="AP55" s="364" t="s">
        <v>2445</v>
      </c>
      <c r="AQ55" s="364" t="s">
        <v>2599</v>
      </c>
      <c r="AR55" s="364" t="s">
        <v>2430</v>
      </c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L55" s="364"/>
      <c r="BM55" s="364"/>
      <c r="BN55" s="364"/>
      <c r="BO55" s="364"/>
      <c r="BP55" s="364"/>
      <c r="BQ55" s="364"/>
      <c r="BR55" s="364"/>
      <c r="BS55" s="364"/>
      <c r="BT55" s="364"/>
      <c r="BU55" s="364"/>
      <c r="BV55" s="364"/>
      <c r="BW55" s="364"/>
      <c r="BX55" s="364"/>
      <c r="BY55" s="364"/>
      <c r="BZ55" s="364"/>
      <c r="CA55" s="364"/>
      <c r="CB55" s="364"/>
      <c r="CC55" s="364"/>
      <c r="CD55" s="364"/>
      <c r="CE55" s="364"/>
      <c r="CF55" s="364"/>
      <c r="CG55" s="364"/>
      <c r="CH55" s="364"/>
      <c r="CI55" s="364"/>
      <c r="CJ55" s="364"/>
      <c r="CK55" s="364"/>
      <c r="CL55" s="364"/>
      <c r="CM55" s="364"/>
      <c r="CN55" s="364"/>
      <c r="CO55" s="364"/>
      <c r="CP55" s="364"/>
      <c r="CQ55" s="364"/>
      <c r="CR55" s="364"/>
      <c r="CS55" s="364"/>
      <c r="CT55" s="364"/>
      <c r="CU55" s="364"/>
      <c r="CV55" s="364"/>
      <c r="CW55" s="364"/>
      <c r="CX55" s="364"/>
      <c r="CY55" s="364"/>
      <c r="CZ55" s="364"/>
      <c r="DA55" s="364"/>
      <c r="DB55" s="364"/>
      <c r="DC55" s="364"/>
      <c r="DD55" s="364"/>
      <c r="DE55" s="364"/>
      <c r="DF55" s="364"/>
      <c r="DG55" s="364"/>
      <c r="DH55" s="364"/>
      <c r="DI55" s="364"/>
      <c r="DJ55" s="364"/>
      <c r="DK55" s="364"/>
      <c r="DL55" s="364"/>
      <c r="DM55" s="364"/>
      <c r="DN55" s="364"/>
      <c r="DO55" s="364"/>
      <c r="DP55" s="364"/>
      <c r="DQ55" s="364"/>
      <c r="DR55" s="364"/>
      <c r="DS55" s="364"/>
      <c r="DT55" s="364"/>
      <c r="DU55" s="364"/>
      <c r="DV55" s="364"/>
      <c r="DW55" s="364"/>
      <c r="DX55" s="364"/>
      <c r="DY55" s="364"/>
      <c r="DZ55" s="364"/>
      <c r="EA55" s="364"/>
      <c r="EB55" s="364"/>
      <c r="EC55" s="364"/>
      <c r="ED55" s="364"/>
      <c r="EE55" s="364"/>
      <c r="EF55" s="364"/>
      <c r="EG55" s="364"/>
      <c r="EH55" s="364"/>
      <c r="EI55" s="364"/>
      <c r="EJ55" s="364"/>
      <c r="EK55" s="364"/>
      <c r="EL55" s="364"/>
      <c r="EM55" s="364"/>
      <c r="EN55" s="364"/>
      <c r="EO55" s="364"/>
      <c r="EP55" s="364"/>
      <c r="EQ55" s="364"/>
      <c r="ER55" s="364"/>
      <c r="ES55" s="364"/>
      <c r="ET55" s="364"/>
      <c r="EU55" s="364"/>
      <c r="EV55" s="364"/>
      <c r="EW55" s="364"/>
      <c r="EX55" s="364"/>
      <c r="EY55" s="364"/>
      <c r="EZ55" s="364"/>
      <c r="FA55" s="364"/>
      <c r="FB55" s="364"/>
      <c r="FC55" s="364"/>
      <c r="FD55" s="364"/>
      <c r="FE55" s="364"/>
      <c r="FF55" s="364"/>
      <c r="FG55" s="364"/>
      <c r="FH55" s="364"/>
      <c r="FI55" s="364"/>
      <c r="FJ55" s="364"/>
      <c r="FK55" s="364"/>
    </row>
    <row r="56" customFormat="false" ht="15.75" hidden="false" customHeight="false" outlineLevel="0" collapsed="false">
      <c r="A56" s="364" t="n">
        <v>131</v>
      </c>
      <c r="B56" s="364" t="n">
        <f aca="false">COUNTA(D56:FK56)</f>
        <v>67</v>
      </c>
      <c r="C56" s="364" t="s">
        <v>523</v>
      </c>
      <c r="D56" s="364" t="s">
        <v>2352</v>
      </c>
      <c r="E56" s="364" t="s">
        <v>2310</v>
      </c>
      <c r="F56" s="364" t="s">
        <v>2405</v>
      </c>
      <c r="G56" s="364" t="s">
        <v>2312</v>
      </c>
      <c r="H56" s="364" t="s">
        <v>2603</v>
      </c>
      <c r="I56" s="364" t="s">
        <v>2604</v>
      </c>
      <c r="J56" s="364" t="s">
        <v>2605</v>
      </c>
      <c r="K56" s="364" t="s">
        <v>2356</v>
      </c>
      <c r="L56" s="364" t="s">
        <v>2357</v>
      </c>
      <c r="M56" s="364" t="s">
        <v>2408</v>
      </c>
      <c r="N56" s="364" t="s">
        <v>2313</v>
      </c>
      <c r="O56" s="364" t="s">
        <v>138</v>
      </c>
      <c r="P56" s="364" t="s">
        <v>2358</v>
      </c>
      <c r="Q56" s="364" t="s">
        <v>2316</v>
      </c>
      <c r="R56" s="364" t="s">
        <v>2364</v>
      </c>
      <c r="S56" s="364" t="s">
        <v>2497</v>
      </c>
      <c r="T56" s="364" t="s">
        <v>2317</v>
      </c>
      <c r="U56" s="364" t="s">
        <v>2318</v>
      </c>
      <c r="V56" s="364" t="s">
        <v>2448</v>
      </c>
      <c r="W56" s="364" t="s">
        <v>2320</v>
      </c>
      <c r="X56" s="364" t="s">
        <v>2449</v>
      </c>
      <c r="Y56" s="364" t="s">
        <v>2366</v>
      </c>
      <c r="Z56" s="364" t="s">
        <v>2369</v>
      </c>
      <c r="AA56" s="364" t="s">
        <v>2373</v>
      </c>
      <c r="AB56" s="364" t="s">
        <v>2376</v>
      </c>
      <c r="AC56" s="364" t="s">
        <v>2377</v>
      </c>
      <c r="AD56" s="364" t="s">
        <v>2322</v>
      </c>
      <c r="AE56" s="364" t="s">
        <v>2324</v>
      </c>
      <c r="AF56" s="364" t="s">
        <v>2327</v>
      </c>
      <c r="AG56" s="364" t="s">
        <v>2328</v>
      </c>
      <c r="AH56" s="364" t="s">
        <v>2329</v>
      </c>
      <c r="AI56" s="364" t="s">
        <v>2415</v>
      </c>
      <c r="AJ56" s="364" t="s">
        <v>2417</v>
      </c>
      <c r="AK56" s="364" t="s">
        <v>2379</v>
      </c>
      <c r="AL56" s="364" t="s">
        <v>2506</v>
      </c>
      <c r="AM56" s="364" t="s">
        <v>2381</v>
      </c>
      <c r="AN56" s="364" t="s">
        <v>2330</v>
      </c>
      <c r="AO56" s="364" t="s">
        <v>2539</v>
      </c>
      <c r="AP56" s="364" t="s">
        <v>2382</v>
      </c>
      <c r="AQ56" s="364" t="s">
        <v>2383</v>
      </c>
      <c r="AR56" s="261" t="s">
        <v>183</v>
      </c>
      <c r="AS56" s="364" t="s">
        <v>2332</v>
      </c>
      <c r="AT56" s="364" t="s">
        <v>2387</v>
      </c>
      <c r="AU56" s="364" t="s">
        <v>2335</v>
      </c>
      <c r="AV56" s="364" t="s">
        <v>2337</v>
      </c>
      <c r="AW56" s="364" t="s">
        <v>2469</v>
      </c>
      <c r="AX56" s="364" t="s">
        <v>2338</v>
      </c>
      <c r="AY56" s="364" t="s">
        <v>2388</v>
      </c>
      <c r="AZ56" s="364" t="s">
        <v>2339</v>
      </c>
      <c r="BA56" s="364" t="s">
        <v>2389</v>
      </c>
      <c r="BB56" s="364" t="s">
        <v>2340</v>
      </c>
      <c r="BC56" s="364" t="s">
        <v>2341</v>
      </c>
      <c r="BD56" s="364" t="s">
        <v>2391</v>
      </c>
      <c r="BE56" s="364" t="s">
        <v>2393</v>
      </c>
      <c r="BF56" s="364" t="s">
        <v>2423</v>
      </c>
      <c r="BG56" s="364" t="s">
        <v>2344</v>
      </c>
      <c r="BH56" s="364" t="s">
        <v>2346</v>
      </c>
      <c r="BI56" s="364" t="s">
        <v>2500</v>
      </c>
      <c r="BJ56" s="364" t="s">
        <v>2347</v>
      </c>
      <c r="BK56" s="364" t="s">
        <v>2397</v>
      </c>
      <c r="BL56" s="364" t="s">
        <v>2349</v>
      </c>
      <c r="BM56" s="364" t="s">
        <v>2445</v>
      </c>
      <c r="BN56" s="364" t="s">
        <v>2515</v>
      </c>
      <c r="BO56" s="364" t="s">
        <v>2456</v>
      </c>
      <c r="BP56" s="364" t="s">
        <v>2399</v>
      </c>
      <c r="BQ56" s="364" t="s">
        <v>2463</v>
      </c>
      <c r="BR56" s="364" t="s">
        <v>2426</v>
      </c>
      <c r="BS56" s="364"/>
      <c r="BT56" s="364"/>
      <c r="BU56" s="364"/>
      <c r="BV56" s="364"/>
      <c r="BW56" s="364"/>
      <c r="BX56" s="364"/>
      <c r="BY56" s="364"/>
      <c r="BZ56" s="364"/>
      <c r="CA56" s="364"/>
      <c r="CB56" s="364"/>
      <c r="CC56" s="364"/>
      <c r="CD56" s="364"/>
      <c r="CE56" s="364"/>
      <c r="CF56" s="364"/>
      <c r="CG56" s="364"/>
      <c r="CH56" s="364"/>
      <c r="CI56" s="364"/>
      <c r="CJ56" s="364"/>
      <c r="CK56" s="364"/>
      <c r="CL56" s="364"/>
      <c r="CM56" s="364"/>
      <c r="CN56" s="364"/>
      <c r="CO56" s="364"/>
      <c r="CP56" s="364"/>
      <c r="CQ56" s="364"/>
      <c r="CR56" s="364"/>
      <c r="CS56" s="364"/>
      <c r="CT56" s="364"/>
      <c r="CU56" s="364"/>
      <c r="CV56" s="364"/>
      <c r="CW56" s="364"/>
      <c r="CX56" s="364"/>
      <c r="CY56" s="364"/>
      <c r="CZ56" s="364"/>
      <c r="DA56" s="364"/>
      <c r="DB56" s="364"/>
      <c r="DC56" s="364"/>
      <c r="DD56" s="364"/>
      <c r="DE56" s="364"/>
      <c r="DF56" s="364"/>
      <c r="DG56" s="364"/>
      <c r="DH56" s="364"/>
      <c r="DI56" s="364"/>
      <c r="DJ56" s="364"/>
      <c r="DK56" s="364"/>
      <c r="DL56" s="364"/>
      <c r="DM56" s="364"/>
      <c r="DN56" s="364"/>
      <c r="DO56" s="364"/>
      <c r="DP56" s="364"/>
      <c r="DQ56" s="364"/>
      <c r="DR56" s="364"/>
      <c r="DS56" s="364"/>
      <c r="DT56" s="364"/>
      <c r="DU56" s="364"/>
      <c r="DV56" s="364"/>
      <c r="DW56" s="364"/>
      <c r="DX56" s="364"/>
      <c r="DY56" s="364"/>
      <c r="DZ56" s="364"/>
      <c r="EA56" s="364"/>
      <c r="EB56" s="364"/>
      <c r="EC56" s="364"/>
      <c r="ED56" s="364"/>
      <c r="EE56" s="364"/>
      <c r="EF56" s="364"/>
      <c r="EG56" s="364"/>
      <c r="EH56" s="364"/>
      <c r="EI56" s="364"/>
      <c r="EJ56" s="364"/>
      <c r="EK56" s="364"/>
      <c r="EL56" s="364"/>
      <c r="EM56" s="364"/>
      <c r="EN56" s="364"/>
      <c r="EO56" s="364"/>
      <c r="EP56" s="364"/>
      <c r="EQ56" s="364"/>
      <c r="ER56" s="364"/>
      <c r="ES56" s="364"/>
      <c r="ET56" s="364"/>
      <c r="EU56" s="364"/>
      <c r="EV56" s="364"/>
      <c r="EW56" s="364"/>
      <c r="EX56" s="364"/>
      <c r="EY56" s="364"/>
      <c r="EZ56" s="364"/>
      <c r="FA56" s="364"/>
      <c r="FB56" s="364"/>
      <c r="FC56" s="364"/>
      <c r="FD56" s="364"/>
      <c r="FE56" s="364"/>
      <c r="FF56" s="364"/>
      <c r="FG56" s="364"/>
      <c r="FH56" s="364"/>
      <c r="FI56" s="364"/>
      <c r="FJ56" s="364"/>
      <c r="FK56" s="364"/>
    </row>
    <row r="57" customFormat="false" ht="15.75" hidden="false" customHeight="false" outlineLevel="0" collapsed="false">
      <c r="A57" s="364" t="n">
        <v>132</v>
      </c>
      <c r="B57" s="364" t="n">
        <f aca="false">COUNTA(D57:FK57)</f>
        <v>54</v>
      </c>
      <c r="C57" s="364" t="s">
        <v>2606</v>
      </c>
      <c r="D57" s="364" t="s">
        <v>2352</v>
      </c>
      <c r="E57" s="364" t="s">
        <v>2405</v>
      </c>
      <c r="F57" s="364" t="s">
        <v>2603</v>
      </c>
      <c r="G57" s="364" t="s">
        <v>2604</v>
      </c>
      <c r="H57" s="364" t="s">
        <v>2605</v>
      </c>
      <c r="I57" s="364" t="s">
        <v>2356</v>
      </c>
      <c r="J57" s="364" t="s">
        <v>2357</v>
      </c>
      <c r="K57" s="364" t="s">
        <v>2313</v>
      </c>
      <c r="L57" s="364" t="s">
        <v>2409</v>
      </c>
      <c r="M57" s="364" t="s">
        <v>2435</v>
      </c>
      <c r="N57" s="364" t="s">
        <v>2497</v>
      </c>
      <c r="O57" s="364" t="s">
        <v>2317</v>
      </c>
      <c r="P57" s="364" t="s">
        <v>2318</v>
      </c>
      <c r="Q57" s="364" t="s">
        <v>2448</v>
      </c>
      <c r="R57" s="364" t="s">
        <v>2320</v>
      </c>
      <c r="S57" s="364" t="s">
        <v>2449</v>
      </c>
      <c r="T57" s="364" t="s">
        <v>2366</v>
      </c>
      <c r="U57" s="364" t="s">
        <v>2369</v>
      </c>
      <c r="V57" s="364" t="s">
        <v>2372</v>
      </c>
      <c r="W57" s="364" t="s">
        <v>2373</v>
      </c>
      <c r="X57" s="364" t="s">
        <v>2548</v>
      </c>
      <c r="Y57" s="364" t="s">
        <v>2374</v>
      </c>
      <c r="Z57" s="364" t="s">
        <v>2376</v>
      </c>
      <c r="AA57" s="364" t="s">
        <v>2377</v>
      </c>
      <c r="AB57" s="364" t="s">
        <v>2324</v>
      </c>
      <c r="AC57" s="364" t="s">
        <v>2378</v>
      </c>
      <c r="AD57" s="364" t="s">
        <v>2560</v>
      </c>
      <c r="AE57" s="364" t="s">
        <v>2328</v>
      </c>
      <c r="AF57" s="364" t="s">
        <v>2329</v>
      </c>
      <c r="AG57" s="364" t="s">
        <v>2415</v>
      </c>
      <c r="AH57" s="364" t="s">
        <v>2417</v>
      </c>
      <c r="AI57" s="364" t="s">
        <v>2506</v>
      </c>
      <c r="AJ57" s="364" t="s">
        <v>2381</v>
      </c>
      <c r="AK57" s="364" t="s">
        <v>2330</v>
      </c>
      <c r="AL57" s="364" t="s">
        <v>2539</v>
      </c>
      <c r="AM57" s="364" t="s">
        <v>2332</v>
      </c>
      <c r="AN57" s="364" t="s">
        <v>2337</v>
      </c>
      <c r="AO57" s="364" t="s">
        <v>2469</v>
      </c>
      <c r="AP57" s="364" t="s">
        <v>2388</v>
      </c>
      <c r="AQ57" s="364" t="s">
        <v>2389</v>
      </c>
      <c r="AR57" s="364" t="s">
        <v>2340</v>
      </c>
      <c r="AS57" s="364" t="s">
        <v>2442</v>
      </c>
      <c r="AT57" s="364" t="s">
        <v>2607</v>
      </c>
      <c r="AU57" s="364" t="s">
        <v>2423</v>
      </c>
      <c r="AV57" s="364" t="s">
        <v>2344</v>
      </c>
      <c r="AW57" s="364" t="s">
        <v>2346</v>
      </c>
      <c r="AX57" s="364" t="s">
        <v>2500</v>
      </c>
      <c r="AY57" s="364" t="s">
        <v>2445</v>
      </c>
      <c r="AZ57" s="364" t="s">
        <v>2515</v>
      </c>
      <c r="BA57" s="364" t="s">
        <v>2456</v>
      </c>
      <c r="BB57" s="364" t="s">
        <v>2475</v>
      </c>
      <c r="BC57" s="364" t="s">
        <v>2476</v>
      </c>
      <c r="BD57" s="364" t="s">
        <v>2399</v>
      </c>
      <c r="BE57" s="364" t="s">
        <v>2463</v>
      </c>
      <c r="BF57" s="364"/>
      <c r="BG57" s="364"/>
      <c r="BH57" s="364"/>
      <c r="BI57" s="364"/>
      <c r="BJ57" s="364"/>
      <c r="BK57" s="364"/>
      <c r="BL57" s="364"/>
      <c r="BM57" s="364"/>
      <c r="BN57" s="364"/>
      <c r="BO57" s="364"/>
      <c r="BP57" s="364"/>
      <c r="BQ57" s="364"/>
      <c r="BR57" s="364"/>
      <c r="BS57" s="364"/>
      <c r="BT57" s="364"/>
      <c r="BU57" s="364"/>
      <c r="BV57" s="364"/>
      <c r="BW57" s="364"/>
      <c r="BX57" s="364"/>
      <c r="BY57" s="364"/>
      <c r="BZ57" s="364"/>
      <c r="CA57" s="364"/>
      <c r="CB57" s="364"/>
      <c r="CC57" s="364"/>
      <c r="CD57" s="364"/>
      <c r="CE57" s="364"/>
      <c r="CF57" s="364"/>
      <c r="CG57" s="364"/>
      <c r="CH57" s="364"/>
      <c r="CI57" s="364"/>
      <c r="CJ57" s="364"/>
      <c r="CK57" s="364"/>
      <c r="CL57" s="364"/>
      <c r="CM57" s="364"/>
      <c r="CN57" s="364"/>
      <c r="CO57" s="364"/>
      <c r="CP57" s="364"/>
      <c r="CQ57" s="364"/>
      <c r="CR57" s="364"/>
      <c r="CS57" s="364"/>
      <c r="CT57" s="364"/>
      <c r="CU57" s="364"/>
      <c r="CV57" s="364"/>
      <c r="CW57" s="364"/>
      <c r="CX57" s="364"/>
      <c r="CY57" s="364"/>
      <c r="CZ57" s="364"/>
      <c r="DA57" s="364"/>
      <c r="DB57" s="364"/>
      <c r="DC57" s="364"/>
      <c r="DD57" s="364"/>
      <c r="DE57" s="364"/>
      <c r="DF57" s="364"/>
      <c r="DG57" s="364"/>
      <c r="DH57" s="364"/>
      <c r="DI57" s="364"/>
      <c r="DJ57" s="364"/>
      <c r="DK57" s="364"/>
      <c r="DL57" s="364"/>
      <c r="DM57" s="364"/>
      <c r="DN57" s="364"/>
      <c r="DO57" s="364"/>
      <c r="DP57" s="364"/>
      <c r="DQ57" s="364"/>
      <c r="DR57" s="364"/>
      <c r="DS57" s="364"/>
      <c r="DT57" s="364"/>
      <c r="DU57" s="364"/>
      <c r="DV57" s="364"/>
      <c r="DW57" s="364"/>
      <c r="DX57" s="364"/>
      <c r="DY57" s="364"/>
      <c r="DZ57" s="364"/>
      <c r="EA57" s="364"/>
      <c r="EB57" s="364"/>
      <c r="EC57" s="364"/>
      <c r="ED57" s="364"/>
      <c r="EE57" s="364"/>
      <c r="EF57" s="364"/>
      <c r="EG57" s="364"/>
      <c r="EH57" s="364"/>
      <c r="EI57" s="364"/>
      <c r="EJ57" s="364"/>
      <c r="EK57" s="364"/>
      <c r="EL57" s="364"/>
      <c r="EM57" s="364"/>
      <c r="EN57" s="364"/>
      <c r="EO57" s="364"/>
      <c r="EP57" s="364"/>
      <c r="EQ57" s="364"/>
      <c r="ER57" s="364"/>
      <c r="ES57" s="364"/>
      <c r="ET57" s="364"/>
      <c r="EU57" s="364"/>
      <c r="EV57" s="364"/>
      <c r="EW57" s="364"/>
      <c r="EX57" s="364"/>
      <c r="EY57" s="364"/>
      <c r="EZ57" s="364"/>
      <c r="FA57" s="364"/>
      <c r="FB57" s="364"/>
      <c r="FC57" s="364"/>
      <c r="FD57" s="364"/>
      <c r="FE57" s="364"/>
      <c r="FF57" s="364"/>
      <c r="FG57" s="364"/>
      <c r="FH57" s="364"/>
      <c r="FI57" s="364"/>
      <c r="FJ57" s="364"/>
      <c r="FK57" s="364"/>
    </row>
    <row r="58" customFormat="false" ht="15.75" hidden="false" customHeight="false" outlineLevel="0" collapsed="false">
      <c r="A58" s="364" t="n">
        <v>133</v>
      </c>
      <c r="B58" s="364" t="n">
        <f aca="false">COUNTA(D58:FK58)</f>
        <v>57</v>
      </c>
      <c r="C58" s="364" t="s">
        <v>530</v>
      </c>
      <c r="D58" s="364" t="s">
        <v>2310</v>
      </c>
      <c r="E58" s="364" t="s">
        <v>2608</v>
      </c>
      <c r="F58" s="364" t="s">
        <v>2312</v>
      </c>
      <c r="G58" s="364" t="s">
        <v>2516</v>
      </c>
      <c r="H58" s="364" t="s">
        <v>2356</v>
      </c>
      <c r="I58" s="364" t="s">
        <v>2313</v>
      </c>
      <c r="J58" s="364" t="s">
        <v>2552</v>
      </c>
      <c r="K58" s="364" t="s">
        <v>2541</v>
      </c>
      <c r="L58" s="364" t="s">
        <v>138</v>
      </c>
      <c r="M58" s="364" t="s">
        <v>2465</v>
      </c>
      <c r="N58" s="364" t="s">
        <v>2316</v>
      </c>
      <c r="O58" s="364" t="s">
        <v>2510</v>
      </c>
      <c r="P58" s="364" t="s">
        <v>2364</v>
      </c>
      <c r="Q58" s="364" t="s">
        <v>2317</v>
      </c>
      <c r="R58" s="364" t="s">
        <v>2320</v>
      </c>
      <c r="S58" s="364" t="s">
        <v>2534</v>
      </c>
      <c r="T58" s="364" t="s">
        <v>2376</v>
      </c>
      <c r="U58" s="364" t="s">
        <v>2377</v>
      </c>
      <c r="V58" s="364" t="s">
        <v>2327</v>
      </c>
      <c r="W58" s="364" t="s">
        <v>2328</v>
      </c>
      <c r="X58" s="364" t="s">
        <v>2609</v>
      </c>
      <c r="Y58" s="364" t="s">
        <v>2580</v>
      </c>
      <c r="Z58" s="364" t="s">
        <v>2330</v>
      </c>
      <c r="AA58" s="364" t="s">
        <v>2539</v>
      </c>
      <c r="AB58" s="364" t="s">
        <v>2540</v>
      </c>
      <c r="AC58" s="364" t="s">
        <v>2610</v>
      </c>
      <c r="AD58" s="364" t="s">
        <v>2382</v>
      </c>
      <c r="AE58" s="364" t="s">
        <v>2383</v>
      </c>
      <c r="AF58" s="261" t="s">
        <v>183</v>
      </c>
      <c r="AG58" s="364" t="s">
        <v>2454</v>
      </c>
      <c r="AH58" s="364" t="s">
        <v>2387</v>
      </c>
      <c r="AI58" s="364" t="s">
        <v>2455</v>
      </c>
      <c r="AJ58" s="364" t="s">
        <v>2335</v>
      </c>
      <c r="AK58" s="364" t="s">
        <v>2419</v>
      </c>
      <c r="AL58" s="364" t="s">
        <v>2337</v>
      </c>
      <c r="AM58" s="364" t="s">
        <v>2469</v>
      </c>
      <c r="AN58" s="364" t="s">
        <v>2553</v>
      </c>
      <c r="AO58" s="364" t="s">
        <v>2338</v>
      </c>
      <c r="AP58" s="364" t="s">
        <v>2388</v>
      </c>
      <c r="AQ58" s="364" t="s">
        <v>2339</v>
      </c>
      <c r="AR58" s="364" t="s">
        <v>2389</v>
      </c>
      <c r="AS58" s="364" t="s">
        <v>2611</v>
      </c>
      <c r="AT58" s="364" t="s">
        <v>2340</v>
      </c>
      <c r="AU58" s="364" t="s">
        <v>2341</v>
      </c>
      <c r="AV58" s="364" t="s">
        <v>2391</v>
      </c>
      <c r="AW58" s="364" t="s">
        <v>2393</v>
      </c>
      <c r="AX58" s="364" t="s">
        <v>2344</v>
      </c>
      <c r="AY58" s="364" t="s">
        <v>2346</v>
      </c>
      <c r="AZ58" s="364" t="s">
        <v>2500</v>
      </c>
      <c r="BA58" s="364" t="s">
        <v>2347</v>
      </c>
      <c r="BB58" s="364" t="s">
        <v>2397</v>
      </c>
      <c r="BC58" s="364" t="s">
        <v>2473</v>
      </c>
      <c r="BD58" s="364" t="s">
        <v>2511</v>
      </c>
      <c r="BE58" s="364" t="s">
        <v>2398</v>
      </c>
      <c r="BF58" s="364" t="s">
        <v>2349</v>
      </c>
      <c r="BG58" s="364" t="s">
        <v>2445</v>
      </c>
      <c r="BH58" s="364" t="s">
        <v>2546</v>
      </c>
      <c r="BI58" s="364"/>
      <c r="BJ58" s="364"/>
      <c r="BK58" s="364"/>
      <c r="BL58" s="364"/>
      <c r="BM58" s="364"/>
      <c r="BN58" s="364"/>
      <c r="BO58" s="364"/>
      <c r="BP58" s="364"/>
      <c r="BQ58" s="364"/>
      <c r="BR58" s="364"/>
      <c r="BS58" s="364"/>
      <c r="BT58" s="364"/>
      <c r="BU58" s="364"/>
      <c r="BV58" s="364"/>
      <c r="BW58" s="364"/>
      <c r="BX58" s="364"/>
      <c r="BY58" s="364"/>
      <c r="BZ58" s="364"/>
      <c r="CA58" s="364"/>
      <c r="CB58" s="364"/>
      <c r="CC58" s="364"/>
      <c r="CD58" s="364"/>
      <c r="CE58" s="364"/>
      <c r="CF58" s="364"/>
      <c r="CG58" s="364"/>
      <c r="CH58" s="364"/>
      <c r="CI58" s="364"/>
      <c r="CJ58" s="364"/>
      <c r="CK58" s="364"/>
      <c r="CL58" s="364"/>
      <c r="CM58" s="364"/>
      <c r="CN58" s="364"/>
      <c r="CO58" s="364"/>
      <c r="CP58" s="364"/>
      <c r="CQ58" s="364"/>
      <c r="CR58" s="364"/>
      <c r="CS58" s="364"/>
      <c r="CT58" s="364"/>
      <c r="CU58" s="364"/>
      <c r="CV58" s="364"/>
      <c r="CW58" s="364"/>
      <c r="CX58" s="364"/>
      <c r="CY58" s="364"/>
      <c r="CZ58" s="364"/>
      <c r="DA58" s="364"/>
      <c r="DB58" s="364"/>
      <c r="DC58" s="364"/>
      <c r="DD58" s="364"/>
      <c r="DE58" s="364"/>
      <c r="DF58" s="364"/>
      <c r="DG58" s="364"/>
      <c r="DH58" s="364"/>
      <c r="DI58" s="364"/>
      <c r="DJ58" s="364"/>
      <c r="DK58" s="364"/>
      <c r="DL58" s="364"/>
      <c r="DM58" s="364"/>
      <c r="DN58" s="364"/>
      <c r="DO58" s="364"/>
      <c r="DP58" s="364"/>
      <c r="DQ58" s="364"/>
      <c r="DR58" s="364"/>
      <c r="DS58" s="364"/>
      <c r="DT58" s="364"/>
      <c r="DU58" s="364"/>
      <c r="DV58" s="364"/>
      <c r="DW58" s="364"/>
      <c r="DX58" s="364"/>
      <c r="DY58" s="364"/>
      <c r="DZ58" s="364"/>
      <c r="EA58" s="364"/>
      <c r="EB58" s="364"/>
      <c r="EC58" s="364"/>
      <c r="ED58" s="364"/>
      <c r="EE58" s="364"/>
      <c r="EF58" s="364"/>
      <c r="EG58" s="364"/>
      <c r="EH58" s="364"/>
      <c r="EI58" s="364"/>
      <c r="EJ58" s="364"/>
      <c r="EK58" s="364"/>
      <c r="EL58" s="364"/>
      <c r="EM58" s="364"/>
      <c r="EN58" s="364"/>
      <c r="EO58" s="364"/>
      <c r="EP58" s="364"/>
      <c r="EQ58" s="364"/>
      <c r="ER58" s="364"/>
      <c r="ES58" s="364"/>
      <c r="ET58" s="364"/>
      <c r="EU58" s="364"/>
      <c r="EV58" s="364"/>
      <c r="EW58" s="364"/>
      <c r="EX58" s="364"/>
      <c r="EY58" s="364"/>
      <c r="EZ58" s="364"/>
      <c r="FA58" s="364"/>
      <c r="FB58" s="364"/>
      <c r="FC58" s="364"/>
      <c r="FD58" s="364"/>
      <c r="FE58" s="364"/>
      <c r="FF58" s="364"/>
      <c r="FG58" s="364"/>
      <c r="FH58" s="364"/>
      <c r="FI58" s="364"/>
      <c r="FJ58" s="364"/>
      <c r="FK58" s="364"/>
    </row>
    <row r="59" customFormat="false" ht="15.75" hidden="false" customHeight="false" outlineLevel="0" collapsed="false">
      <c r="A59" s="364" t="n">
        <v>134</v>
      </c>
      <c r="B59" s="364" t="n">
        <f aca="false">COUNTA(D59:FK59)</f>
        <v>54</v>
      </c>
      <c r="C59" s="364" t="s">
        <v>533</v>
      </c>
      <c r="D59" s="364" t="s">
        <v>2310</v>
      </c>
      <c r="E59" s="364" t="s">
        <v>2312</v>
      </c>
      <c r="F59" s="364" t="s">
        <v>2356</v>
      </c>
      <c r="G59" s="364" t="s">
        <v>2313</v>
      </c>
      <c r="H59" s="364" t="s">
        <v>2552</v>
      </c>
      <c r="I59" s="364" t="s">
        <v>2541</v>
      </c>
      <c r="J59" s="364" t="s">
        <v>2612</v>
      </c>
      <c r="K59" s="364" t="s">
        <v>138</v>
      </c>
      <c r="L59" s="364" t="s">
        <v>2465</v>
      </c>
      <c r="M59" s="364" t="s">
        <v>2316</v>
      </c>
      <c r="N59" s="364" t="s">
        <v>2520</v>
      </c>
      <c r="O59" s="364" t="s">
        <v>2364</v>
      </c>
      <c r="P59" s="364" t="s">
        <v>2317</v>
      </c>
      <c r="Q59" s="364" t="s">
        <v>2320</v>
      </c>
      <c r="R59" s="364" t="s">
        <v>2534</v>
      </c>
      <c r="S59" s="364" t="s">
        <v>2369</v>
      </c>
      <c r="T59" s="364" t="s">
        <v>2376</v>
      </c>
      <c r="U59" s="364" t="s">
        <v>2377</v>
      </c>
      <c r="V59" s="364" t="s">
        <v>2327</v>
      </c>
      <c r="W59" s="364" t="s">
        <v>2328</v>
      </c>
      <c r="X59" s="364" t="s">
        <v>2609</v>
      </c>
      <c r="Y59" s="364" t="s">
        <v>2416</v>
      </c>
      <c r="Z59" s="364" t="s">
        <v>2539</v>
      </c>
      <c r="AA59" s="364" t="s">
        <v>2540</v>
      </c>
      <c r="AB59" s="364" t="s">
        <v>2610</v>
      </c>
      <c r="AC59" s="364" t="s">
        <v>2382</v>
      </c>
      <c r="AD59" s="364" t="s">
        <v>2383</v>
      </c>
      <c r="AE59" s="261" t="s">
        <v>183</v>
      </c>
      <c r="AF59" s="364" t="s">
        <v>2387</v>
      </c>
      <c r="AG59" s="364" t="s">
        <v>2455</v>
      </c>
      <c r="AH59" s="364" t="s">
        <v>2335</v>
      </c>
      <c r="AI59" s="364" t="s">
        <v>2419</v>
      </c>
      <c r="AJ59" s="364" t="s">
        <v>2337</v>
      </c>
      <c r="AK59" s="364" t="s">
        <v>2469</v>
      </c>
      <c r="AL59" s="364" t="s">
        <v>2553</v>
      </c>
      <c r="AM59" s="364" t="s">
        <v>2338</v>
      </c>
      <c r="AN59" s="364" t="s">
        <v>2388</v>
      </c>
      <c r="AO59" s="364" t="s">
        <v>2339</v>
      </c>
      <c r="AP59" s="364" t="s">
        <v>2389</v>
      </c>
      <c r="AQ59" s="364" t="s">
        <v>2340</v>
      </c>
      <c r="AR59" s="364" t="s">
        <v>2341</v>
      </c>
      <c r="AS59" s="364" t="s">
        <v>2391</v>
      </c>
      <c r="AT59" s="364" t="s">
        <v>2393</v>
      </c>
      <c r="AU59" s="364" t="s">
        <v>2613</v>
      </c>
      <c r="AV59" s="364" t="s">
        <v>2344</v>
      </c>
      <c r="AW59" s="364" t="s">
        <v>2500</v>
      </c>
      <c r="AX59" s="364" t="s">
        <v>2347</v>
      </c>
      <c r="AY59" s="364" t="s">
        <v>2397</v>
      </c>
      <c r="AZ59" s="364" t="s">
        <v>2398</v>
      </c>
      <c r="BA59" s="364" t="s">
        <v>2349</v>
      </c>
      <c r="BB59" s="364" t="s">
        <v>2445</v>
      </c>
      <c r="BC59" s="364" t="s">
        <v>2456</v>
      </c>
      <c r="BD59" s="364" t="s">
        <v>2399</v>
      </c>
      <c r="BE59" s="364" t="s">
        <v>2546</v>
      </c>
      <c r="BF59" s="364"/>
      <c r="BG59" s="364"/>
      <c r="BH59" s="364"/>
      <c r="BI59" s="364"/>
      <c r="BJ59" s="364"/>
      <c r="BK59" s="364"/>
      <c r="BL59" s="364"/>
      <c r="BM59" s="364"/>
      <c r="BN59" s="364"/>
      <c r="BO59" s="364"/>
      <c r="BP59" s="364"/>
      <c r="BQ59" s="364"/>
      <c r="BR59" s="364"/>
      <c r="BS59" s="364"/>
      <c r="BT59" s="364"/>
      <c r="BU59" s="364"/>
      <c r="BV59" s="364"/>
      <c r="BW59" s="364"/>
      <c r="BX59" s="364"/>
      <c r="BY59" s="364"/>
      <c r="BZ59" s="364"/>
      <c r="CA59" s="364"/>
      <c r="CB59" s="364"/>
      <c r="CC59" s="364"/>
      <c r="CD59" s="364"/>
      <c r="CE59" s="364"/>
      <c r="CF59" s="364"/>
      <c r="CG59" s="364"/>
      <c r="CH59" s="364"/>
      <c r="CI59" s="364"/>
      <c r="CJ59" s="364"/>
      <c r="CK59" s="364"/>
      <c r="CL59" s="364"/>
      <c r="CM59" s="364"/>
      <c r="CN59" s="364"/>
      <c r="CO59" s="364"/>
      <c r="CP59" s="364"/>
      <c r="CQ59" s="364"/>
      <c r="CR59" s="364"/>
      <c r="CS59" s="364"/>
      <c r="CT59" s="364"/>
      <c r="CU59" s="364"/>
      <c r="CV59" s="364"/>
      <c r="CW59" s="364"/>
      <c r="CX59" s="364"/>
      <c r="CY59" s="364"/>
      <c r="CZ59" s="364"/>
      <c r="DA59" s="364"/>
      <c r="DB59" s="364"/>
      <c r="DC59" s="364"/>
      <c r="DD59" s="364"/>
      <c r="DE59" s="364"/>
      <c r="DF59" s="364"/>
      <c r="DG59" s="364"/>
      <c r="DH59" s="364"/>
      <c r="DI59" s="364"/>
      <c r="DJ59" s="364"/>
      <c r="DK59" s="364"/>
      <c r="DL59" s="364"/>
      <c r="DM59" s="364"/>
      <c r="DN59" s="364"/>
      <c r="DO59" s="364"/>
      <c r="DP59" s="364"/>
      <c r="DQ59" s="364"/>
      <c r="DR59" s="364"/>
      <c r="DS59" s="364"/>
      <c r="DT59" s="364"/>
      <c r="DU59" s="364"/>
      <c r="DV59" s="364"/>
      <c r="DW59" s="364"/>
      <c r="DX59" s="364"/>
      <c r="DY59" s="364"/>
      <c r="DZ59" s="364"/>
      <c r="EA59" s="364"/>
      <c r="EB59" s="364"/>
      <c r="EC59" s="364"/>
      <c r="ED59" s="364"/>
      <c r="EE59" s="364"/>
      <c r="EF59" s="364"/>
      <c r="EG59" s="364"/>
      <c r="EH59" s="364"/>
      <c r="EI59" s="364"/>
      <c r="EJ59" s="364"/>
      <c r="EK59" s="364"/>
      <c r="EL59" s="364"/>
      <c r="EM59" s="364"/>
      <c r="EN59" s="364"/>
      <c r="EO59" s="364"/>
      <c r="EP59" s="364"/>
      <c r="EQ59" s="364"/>
      <c r="ER59" s="364"/>
      <c r="ES59" s="364"/>
      <c r="ET59" s="364"/>
      <c r="EU59" s="364"/>
      <c r="EV59" s="364"/>
      <c r="EW59" s="364"/>
      <c r="EX59" s="364"/>
      <c r="EY59" s="364"/>
      <c r="EZ59" s="364"/>
      <c r="FA59" s="364"/>
      <c r="FB59" s="364"/>
      <c r="FC59" s="364"/>
      <c r="FD59" s="364"/>
      <c r="FE59" s="364"/>
      <c r="FF59" s="364"/>
      <c r="FG59" s="364"/>
      <c r="FH59" s="364"/>
      <c r="FI59" s="364"/>
      <c r="FJ59" s="364"/>
      <c r="FK59" s="364"/>
    </row>
    <row r="60" customFormat="false" ht="15.75" hidden="false" customHeight="false" outlineLevel="0" collapsed="false">
      <c r="A60" s="364" t="n">
        <v>135</v>
      </c>
      <c r="B60" s="364" t="n">
        <f aca="false">COUNTA(D60:FK60)</f>
        <v>76</v>
      </c>
      <c r="C60" s="364" t="s">
        <v>535</v>
      </c>
      <c r="D60" s="364" t="s">
        <v>2402</v>
      </c>
      <c r="E60" s="364" t="s">
        <v>2483</v>
      </c>
      <c r="F60" s="364" t="s">
        <v>2310</v>
      </c>
      <c r="G60" s="364" t="s">
        <v>2311</v>
      </c>
      <c r="H60" s="364" t="s">
        <v>2405</v>
      </c>
      <c r="I60" s="364" t="s">
        <v>2312</v>
      </c>
      <c r="J60" s="364" t="s">
        <v>2356</v>
      </c>
      <c r="K60" s="364" t="s">
        <v>2357</v>
      </c>
      <c r="L60" s="364" t="s">
        <v>2408</v>
      </c>
      <c r="M60" s="364" t="s">
        <v>2313</v>
      </c>
      <c r="N60" s="364" t="s">
        <v>2509</v>
      </c>
      <c r="O60" s="364" t="s">
        <v>138</v>
      </c>
      <c r="P60" s="364" t="s">
        <v>2315</v>
      </c>
      <c r="Q60" s="364" t="s">
        <v>2358</v>
      </c>
      <c r="R60" s="364" t="s">
        <v>2316</v>
      </c>
      <c r="S60" s="364" t="s">
        <v>2363</v>
      </c>
      <c r="T60" s="364" t="s">
        <v>2435</v>
      </c>
      <c r="U60" s="364" t="s">
        <v>2364</v>
      </c>
      <c r="V60" s="364" t="s">
        <v>2317</v>
      </c>
      <c r="W60" s="364" t="s">
        <v>2320</v>
      </c>
      <c r="X60" s="364" t="s">
        <v>2366</v>
      </c>
      <c r="Y60" s="364" t="s">
        <v>2369</v>
      </c>
      <c r="Z60" s="364" t="s">
        <v>2373</v>
      </c>
      <c r="AA60" s="364" t="s">
        <v>2377</v>
      </c>
      <c r="AB60" s="364" t="s">
        <v>2324</v>
      </c>
      <c r="AC60" s="364" t="s">
        <v>2614</v>
      </c>
      <c r="AD60" s="364" t="s">
        <v>2327</v>
      </c>
      <c r="AE60" s="364" t="s">
        <v>2328</v>
      </c>
      <c r="AF60" s="364" t="s">
        <v>2329</v>
      </c>
      <c r="AG60" s="364" t="s">
        <v>2415</v>
      </c>
      <c r="AH60" s="364" t="s">
        <v>2416</v>
      </c>
      <c r="AI60" s="364" t="s">
        <v>2417</v>
      </c>
      <c r="AJ60" s="364" t="s">
        <v>2379</v>
      </c>
      <c r="AK60" s="364" t="s">
        <v>2381</v>
      </c>
      <c r="AL60" s="364" t="s">
        <v>2330</v>
      </c>
      <c r="AM60" s="364" t="s">
        <v>2588</v>
      </c>
      <c r="AN60" s="364" t="s">
        <v>2382</v>
      </c>
      <c r="AO60" s="364" t="s">
        <v>2383</v>
      </c>
      <c r="AP60" s="364" t="s">
        <v>2615</v>
      </c>
      <c r="AQ60" s="261" t="s">
        <v>183</v>
      </c>
      <c r="AR60" s="364" t="s">
        <v>2387</v>
      </c>
      <c r="AS60" s="364" t="s">
        <v>2616</v>
      </c>
      <c r="AT60" s="364" t="s">
        <v>2335</v>
      </c>
      <c r="AU60" s="364" t="s">
        <v>2337</v>
      </c>
      <c r="AV60" s="364" t="s">
        <v>2469</v>
      </c>
      <c r="AW60" s="364" t="s">
        <v>2338</v>
      </c>
      <c r="AX60" s="364" t="s">
        <v>2388</v>
      </c>
      <c r="AY60" s="364" t="s">
        <v>2339</v>
      </c>
      <c r="AZ60" s="364" t="s">
        <v>2389</v>
      </c>
      <c r="BA60" s="364" t="s">
        <v>2420</v>
      </c>
      <c r="BB60" s="364" t="s">
        <v>2340</v>
      </c>
      <c r="BC60" s="364" t="s">
        <v>2341</v>
      </c>
      <c r="BD60" s="364" t="s">
        <v>2391</v>
      </c>
      <c r="BE60" s="364" t="s">
        <v>2442</v>
      </c>
      <c r="BF60" s="364" t="s">
        <v>2470</v>
      </c>
      <c r="BG60" s="364" t="s">
        <v>2393</v>
      </c>
      <c r="BH60" s="364" t="s">
        <v>2591</v>
      </c>
      <c r="BI60" s="364" t="s">
        <v>2617</v>
      </c>
      <c r="BJ60" s="364" t="s">
        <v>2344</v>
      </c>
      <c r="BK60" s="364" t="s">
        <v>2345</v>
      </c>
      <c r="BL60" s="364" t="s">
        <v>2571</v>
      </c>
      <c r="BM60" s="364" t="s">
        <v>2346</v>
      </c>
      <c r="BN60" s="364" t="s">
        <v>2347</v>
      </c>
      <c r="BO60" s="364" t="s">
        <v>2397</v>
      </c>
      <c r="BP60" s="364" t="s">
        <v>2424</v>
      </c>
      <c r="BQ60" s="364" t="s">
        <v>2349</v>
      </c>
      <c r="BR60" s="364" t="s">
        <v>2445</v>
      </c>
      <c r="BS60" s="364" t="s">
        <v>2515</v>
      </c>
      <c r="BT60" s="364" t="s">
        <v>2475</v>
      </c>
      <c r="BU60" s="364" t="s">
        <v>2476</v>
      </c>
      <c r="BV60" s="364" t="s">
        <v>2399</v>
      </c>
      <c r="BW60" s="364" t="s">
        <v>2426</v>
      </c>
      <c r="BX60" s="364" t="s">
        <v>2428</v>
      </c>
      <c r="BY60" s="364" t="s">
        <v>2429</v>
      </c>
      <c r="BZ60" s="364" t="s">
        <v>2489</v>
      </c>
      <c r="CA60" s="364" t="s">
        <v>2430</v>
      </c>
      <c r="CB60" s="364"/>
      <c r="CC60" s="364"/>
      <c r="CD60" s="364"/>
      <c r="CE60" s="364"/>
      <c r="CF60" s="364"/>
      <c r="CG60" s="364"/>
      <c r="CH60" s="364"/>
      <c r="CI60" s="364"/>
      <c r="CJ60" s="364"/>
      <c r="CK60" s="364"/>
      <c r="CL60" s="364"/>
      <c r="CM60" s="364"/>
      <c r="CN60" s="364"/>
      <c r="CO60" s="364"/>
      <c r="CP60" s="364"/>
      <c r="CQ60" s="364"/>
      <c r="CR60" s="364"/>
      <c r="CS60" s="364"/>
      <c r="CT60" s="364"/>
      <c r="CU60" s="364"/>
      <c r="CV60" s="364"/>
      <c r="CW60" s="364"/>
      <c r="CX60" s="364"/>
      <c r="CY60" s="364"/>
      <c r="CZ60" s="364"/>
      <c r="DA60" s="364"/>
      <c r="DB60" s="364"/>
      <c r="DC60" s="364"/>
      <c r="DD60" s="364"/>
      <c r="DE60" s="364"/>
      <c r="DF60" s="364"/>
      <c r="DG60" s="364"/>
      <c r="DH60" s="364"/>
      <c r="DI60" s="364"/>
      <c r="DJ60" s="364"/>
      <c r="DK60" s="364"/>
      <c r="DL60" s="364"/>
      <c r="DM60" s="364"/>
      <c r="DN60" s="364"/>
      <c r="DO60" s="364"/>
      <c r="DP60" s="364"/>
      <c r="DQ60" s="364"/>
      <c r="DR60" s="364"/>
      <c r="DS60" s="364"/>
      <c r="DT60" s="364"/>
      <c r="DU60" s="364"/>
      <c r="DV60" s="364"/>
      <c r="DW60" s="364"/>
      <c r="DX60" s="364"/>
      <c r="DY60" s="364"/>
      <c r="DZ60" s="364"/>
      <c r="EA60" s="364"/>
      <c r="EB60" s="364"/>
      <c r="EC60" s="364"/>
      <c r="ED60" s="364"/>
      <c r="EE60" s="364"/>
      <c r="EF60" s="364"/>
      <c r="EG60" s="364"/>
      <c r="EH60" s="364"/>
      <c r="EI60" s="364"/>
      <c r="EJ60" s="364"/>
      <c r="EK60" s="364"/>
      <c r="EL60" s="364"/>
      <c r="EM60" s="364"/>
      <c r="EN60" s="364"/>
      <c r="EO60" s="364"/>
      <c r="EP60" s="364"/>
      <c r="EQ60" s="364"/>
      <c r="ER60" s="364"/>
      <c r="ES60" s="364"/>
      <c r="ET60" s="364"/>
      <c r="EU60" s="364"/>
      <c r="EV60" s="364"/>
      <c r="EW60" s="364"/>
      <c r="EX60" s="364"/>
      <c r="EY60" s="364"/>
      <c r="EZ60" s="364"/>
      <c r="FA60" s="364"/>
      <c r="FB60" s="364"/>
      <c r="FC60" s="364"/>
      <c r="FD60" s="364"/>
      <c r="FE60" s="364"/>
      <c r="FF60" s="364"/>
      <c r="FG60" s="364"/>
      <c r="FH60" s="364"/>
      <c r="FI60" s="364"/>
      <c r="FJ60" s="364"/>
      <c r="FK60" s="364"/>
    </row>
    <row r="61" customFormat="false" ht="15.75" hidden="false" customHeight="false" outlineLevel="0" collapsed="false">
      <c r="A61" s="364" t="n">
        <v>137</v>
      </c>
      <c r="B61" s="364" t="n">
        <f aca="false">COUNTA(D61:FK61)</f>
        <v>36</v>
      </c>
      <c r="C61" s="364" t="s">
        <v>539</v>
      </c>
      <c r="D61" s="364" t="s">
        <v>2447</v>
      </c>
      <c r="E61" s="364" t="s">
        <v>2483</v>
      </c>
      <c r="F61" s="364" t="s">
        <v>2310</v>
      </c>
      <c r="G61" s="364" t="s">
        <v>2618</v>
      </c>
      <c r="H61" s="364" t="s">
        <v>2409</v>
      </c>
      <c r="I61" s="364" t="s">
        <v>2579</v>
      </c>
      <c r="J61" s="364" t="s">
        <v>2562</v>
      </c>
      <c r="K61" s="364" t="s">
        <v>2320</v>
      </c>
      <c r="L61" s="364" t="s">
        <v>2366</v>
      </c>
      <c r="M61" s="364" t="s">
        <v>2373</v>
      </c>
      <c r="N61" s="364" t="s">
        <v>2324</v>
      </c>
      <c r="O61" s="364" t="s">
        <v>2412</v>
      </c>
      <c r="P61" s="364" t="s">
        <v>2328</v>
      </c>
      <c r="Q61" s="364" t="s">
        <v>2329</v>
      </c>
      <c r="R61" s="364" t="s">
        <v>2379</v>
      </c>
      <c r="S61" s="364" t="s">
        <v>2438</v>
      </c>
      <c r="T61" s="364" t="s">
        <v>2452</v>
      </c>
      <c r="U61" s="364" t="s">
        <v>2335</v>
      </c>
      <c r="V61" s="364" t="s">
        <v>2337</v>
      </c>
      <c r="W61" s="364" t="s">
        <v>2420</v>
      </c>
      <c r="X61" s="364" t="s">
        <v>2340</v>
      </c>
      <c r="Y61" s="364" t="s">
        <v>2341</v>
      </c>
      <c r="Z61" s="364" t="s">
        <v>2566</v>
      </c>
      <c r="AA61" s="364" t="s">
        <v>2442</v>
      </c>
      <c r="AB61" s="364" t="s">
        <v>2470</v>
      </c>
      <c r="AC61" s="364" t="s">
        <v>2583</v>
      </c>
      <c r="AD61" s="364" t="s">
        <v>2343</v>
      </c>
      <c r="AE61" s="364" t="s">
        <v>2619</v>
      </c>
      <c r="AF61" s="364" t="s">
        <v>2344</v>
      </c>
      <c r="AG61" s="364" t="s">
        <v>2348</v>
      </c>
      <c r="AH61" s="364" t="s">
        <v>2445</v>
      </c>
      <c r="AI61" s="364" t="s">
        <v>2475</v>
      </c>
      <c r="AJ61" s="364" t="s">
        <v>2476</v>
      </c>
      <c r="AK61" s="364" t="s">
        <v>2463</v>
      </c>
      <c r="AL61" s="364" t="s">
        <v>2350</v>
      </c>
      <c r="AM61" s="364" t="s">
        <v>2493</v>
      </c>
      <c r="AN61" s="364"/>
      <c r="AO61" s="364"/>
      <c r="AP61" s="364"/>
      <c r="AQ61" s="364"/>
      <c r="AR61" s="364"/>
      <c r="AS61" s="364"/>
      <c r="AT61" s="364"/>
      <c r="AU61" s="364"/>
      <c r="AV61" s="364"/>
      <c r="AW61" s="364"/>
      <c r="AX61" s="364"/>
      <c r="AY61" s="364"/>
      <c r="AZ61" s="364"/>
      <c r="BA61" s="364"/>
      <c r="BB61" s="364"/>
      <c r="BC61" s="364"/>
      <c r="BD61" s="364"/>
      <c r="BE61" s="364"/>
      <c r="BF61" s="364"/>
      <c r="BG61" s="364"/>
      <c r="BH61" s="364"/>
      <c r="BI61" s="364"/>
      <c r="BJ61" s="364"/>
      <c r="BK61" s="364"/>
      <c r="BL61" s="364"/>
      <c r="BM61" s="364"/>
      <c r="BN61" s="364"/>
      <c r="BO61" s="364"/>
      <c r="BP61" s="364"/>
      <c r="BQ61" s="364"/>
      <c r="BR61" s="364"/>
      <c r="BS61" s="364"/>
      <c r="BT61" s="364"/>
      <c r="BU61" s="364"/>
      <c r="BV61" s="364"/>
      <c r="BW61" s="364"/>
      <c r="BX61" s="364"/>
      <c r="BY61" s="364"/>
      <c r="BZ61" s="364"/>
      <c r="CA61" s="364"/>
      <c r="CB61" s="364"/>
      <c r="CC61" s="364"/>
      <c r="CD61" s="364"/>
      <c r="CE61" s="364"/>
      <c r="CF61" s="364"/>
      <c r="CG61" s="364"/>
      <c r="CH61" s="364"/>
      <c r="CI61" s="364"/>
      <c r="CJ61" s="364"/>
      <c r="CK61" s="364"/>
      <c r="CL61" s="364"/>
      <c r="CM61" s="364"/>
      <c r="CN61" s="364"/>
      <c r="CO61" s="364"/>
      <c r="CP61" s="364"/>
      <c r="CQ61" s="364"/>
      <c r="CR61" s="364"/>
      <c r="CS61" s="364"/>
      <c r="CT61" s="364"/>
      <c r="CU61" s="364"/>
      <c r="CV61" s="364"/>
      <c r="CW61" s="364"/>
      <c r="CX61" s="364"/>
      <c r="CY61" s="364"/>
      <c r="CZ61" s="364"/>
      <c r="DA61" s="364"/>
      <c r="DB61" s="364"/>
      <c r="DC61" s="364"/>
      <c r="DD61" s="364"/>
      <c r="DE61" s="364"/>
      <c r="DF61" s="364"/>
      <c r="DG61" s="364"/>
      <c r="DH61" s="364"/>
      <c r="DI61" s="364"/>
      <c r="DJ61" s="364"/>
      <c r="DK61" s="364"/>
      <c r="DL61" s="364"/>
      <c r="DM61" s="364"/>
      <c r="DN61" s="364"/>
      <c r="DO61" s="364"/>
      <c r="DP61" s="364"/>
      <c r="DQ61" s="364"/>
      <c r="DR61" s="364"/>
      <c r="DS61" s="364"/>
      <c r="DT61" s="364"/>
      <c r="DU61" s="364"/>
      <c r="DV61" s="364"/>
      <c r="DW61" s="364"/>
      <c r="DX61" s="364"/>
      <c r="DY61" s="364"/>
      <c r="DZ61" s="364"/>
      <c r="EA61" s="364"/>
      <c r="EB61" s="364"/>
      <c r="EC61" s="364"/>
      <c r="ED61" s="364"/>
      <c r="EE61" s="364"/>
      <c r="EF61" s="364"/>
      <c r="EG61" s="364"/>
      <c r="EH61" s="364"/>
      <c r="EI61" s="364"/>
      <c r="EJ61" s="364"/>
      <c r="EK61" s="364"/>
      <c r="EL61" s="364"/>
      <c r="EM61" s="364"/>
      <c r="EN61" s="364"/>
      <c r="EO61" s="364"/>
      <c r="EP61" s="364"/>
      <c r="EQ61" s="364"/>
      <c r="ER61" s="364"/>
      <c r="ES61" s="364"/>
      <c r="ET61" s="364"/>
      <c r="EU61" s="364"/>
      <c r="EV61" s="364"/>
      <c r="EW61" s="364"/>
      <c r="EX61" s="364"/>
      <c r="EY61" s="364"/>
      <c r="EZ61" s="364"/>
      <c r="FA61" s="364"/>
      <c r="FB61" s="364"/>
      <c r="FC61" s="364"/>
      <c r="FD61" s="364"/>
      <c r="FE61" s="364"/>
      <c r="FF61" s="364"/>
      <c r="FG61" s="364"/>
      <c r="FH61" s="364"/>
      <c r="FI61" s="364"/>
      <c r="FJ61" s="364"/>
      <c r="FK61" s="364"/>
    </row>
    <row r="62" customFormat="false" ht="15.75" hidden="false" customHeight="false" outlineLevel="0" collapsed="false">
      <c r="A62" s="364" t="n">
        <v>139</v>
      </c>
      <c r="B62" s="364" t="n">
        <f aca="false">COUNTA(D62:FK62)</f>
        <v>83</v>
      </c>
      <c r="C62" s="364" t="s">
        <v>543</v>
      </c>
      <c r="D62" s="364" t="s">
        <v>2561</v>
      </c>
      <c r="E62" s="364" t="s">
        <v>2402</v>
      </c>
      <c r="F62" s="364" t="s">
        <v>2403</v>
      </c>
      <c r="G62" s="364" t="s">
        <v>2310</v>
      </c>
      <c r="H62" s="364" t="s">
        <v>2405</v>
      </c>
      <c r="I62" s="364" t="s">
        <v>2312</v>
      </c>
      <c r="J62" s="364" t="s">
        <v>2356</v>
      </c>
      <c r="K62" s="364" t="s">
        <v>2357</v>
      </c>
      <c r="L62" s="364" t="s">
        <v>2408</v>
      </c>
      <c r="M62" s="364" t="s">
        <v>2313</v>
      </c>
      <c r="N62" s="364" t="s">
        <v>2509</v>
      </c>
      <c r="O62" s="364" t="s">
        <v>138</v>
      </c>
      <c r="P62" s="364" t="s">
        <v>2315</v>
      </c>
      <c r="Q62" s="364" t="s">
        <v>2358</v>
      </c>
      <c r="R62" s="364" t="s">
        <v>2316</v>
      </c>
      <c r="S62" s="364" t="s">
        <v>2361</v>
      </c>
      <c r="T62" s="364" t="s">
        <v>2363</v>
      </c>
      <c r="U62" s="364" t="s">
        <v>184</v>
      </c>
      <c r="V62" s="364" t="s">
        <v>2364</v>
      </c>
      <c r="W62" s="364" t="s">
        <v>2497</v>
      </c>
      <c r="X62" s="364" t="s">
        <v>2317</v>
      </c>
      <c r="Y62" s="364" t="s">
        <v>2448</v>
      </c>
      <c r="Z62" s="364" t="s">
        <v>2320</v>
      </c>
      <c r="AA62" s="364" t="s">
        <v>2366</v>
      </c>
      <c r="AB62" s="364" t="s">
        <v>2369</v>
      </c>
      <c r="AC62" s="364" t="s">
        <v>2373</v>
      </c>
      <c r="AD62" s="364" t="s">
        <v>2376</v>
      </c>
      <c r="AE62" s="364" t="s">
        <v>2377</v>
      </c>
      <c r="AF62" s="364" t="s">
        <v>2451</v>
      </c>
      <c r="AG62" s="364" t="s">
        <v>2322</v>
      </c>
      <c r="AH62" s="364" t="s">
        <v>2324</v>
      </c>
      <c r="AI62" s="364" t="s">
        <v>2614</v>
      </c>
      <c r="AJ62" s="364" t="s">
        <v>2327</v>
      </c>
      <c r="AK62" s="364" t="s">
        <v>2328</v>
      </c>
      <c r="AL62" s="364" t="s">
        <v>2512</v>
      </c>
      <c r="AM62" s="364" t="s">
        <v>2329</v>
      </c>
      <c r="AN62" s="364" t="s">
        <v>2415</v>
      </c>
      <c r="AO62" s="364" t="s">
        <v>2416</v>
      </c>
      <c r="AP62" s="364" t="s">
        <v>2417</v>
      </c>
      <c r="AQ62" s="364" t="s">
        <v>2379</v>
      </c>
      <c r="AR62" s="364" t="s">
        <v>2381</v>
      </c>
      <c r="AS62" s="364" t="s">
        <v>2513</v>
      </c>
      <c r="AT62" s="364" t="s">
        <v>2382</v>
      </c>
      <c r="AU62" s="364" t="s">
        <v>2383</v>
      </c>
      <c r="AV62" s="261" t="s">
        <v>183</v>
      </c>
      <c r="AW62" s="364" t="s">
        <v>2332</v>
      </c>
      <c r="AX62" s="364" t="s">
        <v>2452</v>
      </c>
      <c r="AY62" s="364" t="s">
        <v>2490</v>
      </c>
      <c r="AZ62" s="364" t="s">
        <v>2454</v>
      </c>
      <c r="BA62" s="364" t="s">
        <v>2387</v>
      </c>
      <c r="BB62" s="364" t="s">
        <v>2335</v>
      </c>
      <c r="BC62" s="364" t="s">
        <v>2337</v>
      </c>
      <c r="BD62" s="364" t="s">
        <v>2564</v>
      </c>
      <c r="BE62" s="364" t="s">
        <v>2338</v>
      </c>
      <c r="BF62" s="364" t="s">
        <v>2388</v>
      </c>
      <c r="BG62" s="364" t="s">
        <v>2339</v>
      </c>
      <c r="BH62" s="364" t="s">
        <v>2389</v>
      </c>
      <c r="BI62" s="364" t="s">
        <v>2420</v>
      </c>
      <c r="BJ62" s="364" t="s">
        <v>2340</v>
      </c>
      <c r="BK62" s="364" t="s">
        <v>2341</v>
      </c>
      <c r="BL62" s="364" t="s">
        <v>2391</v>
      </c>
      <c r="BM62" s="364" t="s">
        <v>2392</v>
      </c>
      <c r="BN62" s="364" t="s">
        <v>2470</v>
      </c>
      <c r="BO62" s="364" t="s">
        <v>2393</v>
      </c>
      <c r="BP62" s="364" t="s">
        <v>2423</v>
      </c>
      <c r="BQ62" s="364" t="s">
        <v>2514</v>
      </c>
      <c r="BR62" s="364" t="s">
        <v>2344</v>
      </c>
      <c r="BS62" s="364" t="s">
        <v>2571</v>
      </c>
      <c r="BT62" s="364" t="s">
        <v>2346</v>
      </c>
      <c r="BU62" s="364" t="s">
        <v>2500</v>
      </c>
      <c r="BV62" s="364" t="s">
        <v>2347</v>
      </c>
      <c r="BW62" s="364" t="s">
        <v>2397</v>
      </c>
      <c r="BX62" s="364" t="s">
        <v>2511</v>
      </c>
      <c r="BY62" s="364" t="s">
        <v>2424</v>
      </c>
      <c r="BZ62" s="364" t="s">
        <v>2349</v>
      </c>
      <c r="CA62" s="364" t="s">
        <v>2445</v>
      </c>
      <c r="CB62" s="364" t="s">
        <v>2475</v>
      </c>
      <c r="CC62" s="364" t="s">
        <v>2476</v>
      </c>
      <c r="CD62" s="364" t="s">
        <v>2399</v>
      </c>
      <c r="CE62" s="364" t="s">
        <v>2463</v>
      </c>
      <c r="CF62" s="364" t="s">
        <v>2426</v>
      </c>
      <c r="CG62" s="364" t="s">
        <v>2429</v>
      </c>
      <c r="CH62" s="364" t="s">
        <v>2493</v>
      </c>
      <c r="CI62" s="364"/>
      <c r="CJ62" s="364"/>
      <c r="CK62" s="364"/>
      <c r="CL62" s="364"/>
      <c r="CM62" s="364"/>
      <c r="CN62" s="364"/>
      <c r="CO62" s="364"/>
      <c r="CP62" s="364"/>
      <c r="CQ62" s="364"/>
      <c r="CR62" s="364"/>
      <c r="CS62" s="364"/>
      <c r="CT62" s="364"/>
      <c r="CU62" s="364"/>
      <c r="CV62" s="364"/>
      <c r="CW62" s="364"/>
      <c r="CX62" s="364"/>
      <c r="CY62" s="364"/>
      <c r="CZ62" s="364"/>
      <c r="DA62" s="364"/>
      <c r="DB62" s="364"/>
      <c r="DC62" s="364"/>
      <c r="DD62" s="364"/>
      <c r="DE62" s="364"/>
      <c r="DF62" s="364"/>
      <c r="DG62" s="364"/>
      <c r="DH62" s="364"/>
      <c r="DI62" s="364"/>
      <c r="DJ62" s="364"/>
      <c r="DK62" s="364"/>
      <c r="DL62" s="364"/>
      <c r="DM62" s="364"/>
      <c r="DN62" s="364"/>
      <c r="DO62" s="364"/>
      <c r="DP62" s="364"/>
      <c r="DQ62" s="364"/>
      <c r="DR62" s="364"/>
      <c r="DS62" s="364"/>
      <c r="DT62" s="364"/>
      <c r="DU62" s="364"/>
      <c r="DV62" s="364"/>
      <c r="DW62" s="364"/>
      <c r="DX62" s="364"/>
      <c r="DY62" s="364"/>
      <c r="DZ62" s="364"/>
      <c r="EA62" s="364"/>
      <c r="EB62" s="364"/>
      <c r="EC62" s="364"/>
      <c r="ED62" s="364"/>
      <c r="EE62" s="364"/>
      <c r="EF62" s="364"/>
      <c r="EG62" s="364"/>
      <c r="EH62" s="364"/>
      <c r="EI62" s="364"/>
      <c r="EJ62" s="364"/>
      <c r="EK62" s="364"/>
      <c r="EL62" s="364"/>
      <c r="EM62" s="364"/>
      <c r="EN62" s="364"/>
      <c r="EO62" s="364"/>
      <c r="EP62" s="364"/>
      <c r="EQ62" s="364"/>
      <c r="ER62" s="364"/>
      <c r="ES62" s="364"/>
      <c r="ET62" s="364"/>
      <c r="EU62" s="364"/>
      <c r="EV62" s="364"/>
      <c r="EW62" s="364"/>
      <c r="EX62" s="364"/>
      <c r="EY62" s="364"/>
      <c r="EZ62" s="364"/>
      <c r="FA62" s="364"/>
      <c r="FB62" s="364"/>
      <c r="FC62" s="364"/>
      <c r="FD62" s="364"/>
      <c r="FE62" s="364"/>
      <c r="FF62" s="364"/>
      <c r="FG62" s="364"/>
      <c r="FH62" s="364"/>
      <c r="FI62" s="364"/>
      <c r="FJ62" s="364"/>
      <c r="FK62" s="364"/>
    </row>
    <row r="63" customFormat="false" ht="15.75" hidden="false" customHeight="false" outlineLevel="0" collapsed="false">
      <c r="A63" s="364" t="n">
        <v>140</v>
      </c>
      <c r="B63" s="364" t="n">
        <f aca="false">COUNTA(D63:FK63)</f>
        <v>74</v>
      </c>
      <c r="C63" s="364" t="s">
        <v>546</v>
      </c>
      <c r="D63" s="364" t="s">
        <v>2310</v>
      </c>
      <c r="E63" s="364" t="s">
        <v>2405</v>
      </c>
      <c r="F63" s="364" t="s">
        <v>2312</v>
      </c>
      <c r="G63" s="364" t="s">
        <v>2356</v>
      </c>
      <c r="H63" s="364" t="s">
        <v>2408</v>
      </c>
      <c r="I63" s="364" t="s">
        <v>2313</v>
      </c>
      <c r="J63" s="364" t="s">
        <v>2464</v>
      </c>
      <c r="K63" s="364" t="s">
        <v>138</v>
      </c>
      <c r="L63" s="364" t="s">
        <v>2465</v>
      </c>
      <c r="M63" s="364" t="s">
        <v>2517</v>
      </c>
      <c r="N63" s="364" t="s">
        <v>2316</v>
      </c>
      <c r="O63" s="364" t="s">
        <v>2519</v>
      </c>
      <c r="P63" s="364" t="s">
        <v>2520</v>
      </c>
      <c r="Q63" s="364" t="s">
        <v>2435</v>
      </c>
      <c r="R63" s="364" t="s">
        <v>2364</v>
      </c>
      <c r="S63" s="364" t="s">
        <v>2317</v>
      </c>
      <c r="T63" s="364" t="s">
        <v>2318</v>
      </c>
      <c r="U63" s="364" t="s">
        <v>2598</v>
      </c>
      <c r="V63" s="364" t="s">
        <v>2448</v>
      </c>
      <c r="W63" s="364" t="s">
        <v>2320</v>
      </c>
      <c r="X63" s="364" t="s">
        <v>2366</v>
      </c>
      <c r="Y63" s="364" t="s">
        <v>2369</v>
      </c>
      <c r="Z63" s="364" t="s">
        <v>2373</v>
      </c>
      <c r="AA63" s="364" t="s">
        <v>2377</v>
      </c>
      <c r="AB63" s="364" t="s">
        <v>2324</v>
      </c>
      <c r="AC63" s="364" t="s">
        <v>2325</v>
      </c>
      <c r="AD63" s="364" t="s">
        <v>2327</v>
      </c>
      <c r="AE63" s="364" t="s">
        <v>2328</v>
      </c>
      <c r="AF63" s="364" t="s">
        <v>2329</v>
      </c>
      <c r="AG63" s="364" t="s">
        <v>2521</v>
      </c>
      <c r="AH63" s="364" t="s">
        <v>2415</v>
      </c>
      <c r="AI63" s="364" t="s">
        <v>2416</v>
      </c>
      <c r="AJ63" s="364" t="s">
        <v>2417</v>
      </c>
      <c r="AK63" s="364" t="s">
        <v>2379</v>
      </c>
      <c r="AL63" s="364" t="s">
        <v>2381</v>
      </c>
      <c r="AM63" s="364" t="s">
        <v>2468</v>
      </c>
      <c r="AN63" s="364" t="s">
        <v>2382</v>
      </c>
      <c r="AO63" s="364" t="s">
        <v>2383</v>
      </c>
      <c r="AP63" s="364" t="s">
        <v>2486</v>
      </c>
      <c r="AQ63" s="261" t="s">
        <v>183</v>
      </c>
      <c r="AR63" s="364" t="s">
        <v>2582</v>
      </c>
      <c r="AS63" s="364" t="s">
        <v>2387</v>
      </c>
      <c r="AT63" s="364" t="s">
        <v>2620</v>
      </c>
      <c r="AU63" s="364" t="s">
        <v>157</v>
      </c>
      <c r="AV63" s="364" t="s">
        <v>2440</v>
      </c>
      <c r="AW63" s="364" t="s">
        <v>2335</v>
      </c>
      <c r="AX63" s="364" t="s">
        <v>2337</v>
      </c>
      <c r="AY63" s="364" t="s">
        <v>2469</v>
      </c>
      <c r="AZ63" s="364" t="s">
        <v>2338</v>
      </c>
      <c r="BA63" s="364" t="s">
        <v>2388</v>
      </c>
      <c r="BB63" s="364" t="s">
        <v>2339</v>
      </c>
      <c r="BC63" s="364" t="s">
        <v>2389</v>
      </c>
      <c r="BD63" s="364" t="s">
        <v>2420</v>
      </c>
      <c r="BE63" s="364" t="s">
        <v>2340</v>
      </c>
      <c r="BF63" s="364" t="s">
        <v>2341</v>
      </c>
      <c r="BG63" s="364" t="s">
        <v>2391</v>
      </c>
      <c r="BH63" s="364" t="s">
        <v>2442</v>
      </c>
      <c r="BI63" s="364" t="s">
        <v>2470</v>
      </c>
      <c r="BJ63" s="364" t="s">
        <v>2393</v>
      </c>
      <c r="BK63" s="364" t="s">
        <v>2344</v>
      </c>
      <c r="BL63" s="364" t="s">
        <v>2345</v>
      </c>
      <c r="BM63" s="364" t="s">
        <v>2346</v>
      </c>
      <c r="BN63" s="364" t="s">
        <v>2347</v>
      </c>
      <c r="BO63" s="364" t="s">
        <v>2397</v>
      </c>
      <c r="BP63" s="364" t="s">
        <v>2349</v>
      </c>
      <c r="BQ63" s="364" t="s">
        <v>2475</v>
      </c>
      <c r="BR63" s="364" t="s">
        <v>2476</v>
      </c>
      <c r="BS63" s="364" t="s">
        <v>2399</v>
      </c>
      <c r="BT63" s="364" t="s">
        <v>2522</v>
      </c>
      <c r="BU63" s="364" t="s">
        <v>2426</v>
      </c>
      <c r="BV63" s="364" t="s">
        <v>2428</v>
      </c>
      <c r="BW63" s="364" t="s">
        <v>2477</v>
      </c>
      <c r="BX63" s="364" t="s">
        <v>2493</v>
      </c>
      <c r="BY63" s="364" t="s">
        <v>2430</v>
      </c>
      <c r="BZ63" s="364"/>
      <c r="CA63" s="364"/>
      <c r="CB63" s="364"/>
      <c r="CC63" s="364"/>
      <c r="CD63" s="364"/>
      <c r="CE63" s="364"/>
      <c r="CF63" s="364"/>
      <c r="CG63" s="364"/>
      <c r="CH63" s="364"/>
      <c r="CI63" s="364"/>
      <c r="CJ63" s="364"/>
      <c r="CK63" s="364"/>
      <c r="CL63" s="364"/>
      <c r="CM63" s="364"/>
      <c r="CN63" s="364"/>
      <c r="CO63" s="364"/>
      <c r="CP63" s="364"/>
      <c r="CQ63" s="364"/>
      <c r="CR63" s="364"/>
      <c r="CS63" s="364"/>
      <c r="CT63" s="364"/>
      <c r="CU63" s="364"/>
      <c r="CV63" s="364"/>
      <c r="CW63" s="364"/>
      <c r="CX63" s="364"/>
      <c r="CY63" s="364"/>
      <c r="CZ63" s="364"/>
      <c r="DA63" s="364"/>
      <c r="DB63" s="364"/>
      <c r="DC63" s="364"/>
      <c r="DD63" s="364"/>
      <c r="DE63" s="364"/>
      <c r="DF63" s="364"/>
      <c r="DG63" s="364"/>
      <c r="DH63" s="364"/>
      <c r="DI63" s="364"/>
      <c r="DJ63" s="364"/>
      <c r="DK63" s="364"/>
      <c r="DL63" s="364"/>
      <c r="DM63" s="364"/>
      <c r="DN63" s="364"/>
      <c r="DO63" s="364"/>
      <c r="DP63" s="364"/>
      <c r="DQ63" s="364"/>
      <c r="DR63" s="364"/>
      <c r="DS63" s="364"/>
      <c r="DT63" s="364"/>
      <c r="DU63" s="364"/>
      <c r="DV63" s="364"/>
      <c r="DW63" s="364"/>
      <c r="DX63" s="364"/>
      <c r="DY63" s="364"/>
      <c r="DZ63" s="364"/>
      <c r="EA63" s="364"/>
      <c r="EB63" s="364"/>
      <c r="EC63" s="364"/>
      <c r="ED63" s="364"/>
      <c r="EE63" s="364"/>
      <c r="EF63" s="364"/>
      <c r="EG63" s="364"/>
      <c r="EH63" s="364"/>
      <c r="EI63" s="364"/>
      <c r="EJ63" s="364"/>
      <c r="EK63" s="364"/>
      <c r="EL63" s="364"/>
      <c r="EM63" s="364"/>
      <c r="EN63" s="364"/>
      <c r="EO63" s="364"/>
      <c r="EP63" s="364"/>
      <c r="EQ63" s="364"/>
      <c r="ER63" s="364"/>
      <c r="ES63" s="364"/>
      <c r="ET63" s="364"/>
      <c r="EU63" s="364"/>
      <c r="EV63" s="364"/>
      <c r="EW63" s="364"/>
      <c r="EX63" s="364"/>
      <c r="EY63" s="364"/>
      <c r="EZ63" s="364"/>
      <c r="FA63" s="364"/>
      <c r="FB63" s="364"/>
      <c r="FC63" s="364"/>
      <c r="FD63" s="364"/>
      <c r="FE63" s="364"/>
      <c r="FF63" s="364"/>
      <c r="FG63" s="364"/>
      <c r="FH63" s="364"/>
      <c r="FI63" s="364"/>
      <c r="FJ63" s="364"/>
      <c r="FK63" s="364"/>
    </row>
    <row r="64" customFormat="false" ht="15.75" hidden="false" customHeight="false" outlineLevel="0" collapsed="false">
      <c r="A64" s="364" t="n">
        <v>141</v>
      </c>
      <c r="B64" s="364" t="n">
        <f aca="false">COUNTA(D64:FK64)</f>
        <v>40</v>
      </c>
      <c r="C64" s="364" t="s">
        <v>548</v>
      </c>
      <c r="D64" s="364" t="s">
        <v>2527</v>
      </c>
      <c r="E64" s="364" t="s">
        <v>2561</v>
      </c>
      <c r="F64" s="364" t="s">
        <v>2310</v>
      </c>
      <c r="G64" s="364" t="s">
        <v>2311</v>
      </c>
      <c r="H64" s="364" t="s">
        <v>2312</v>
      </c>
      <c r="I64" s="364" t="s">
        <v>2314</v>
      </c>
      <c r="J64" s="364" t="s">
        <v>2434</v>
      </c>
      <c r="K64" s="364" t="s">
        <v>2559</v>
      </c>
      <c r="L64" s="364" t="s">
        <v>2315</v>
      </c>
      <c r="M64" s="364" t="s">
        <v>2316</v>
      </c>
      <c r="N64" s="364" t="s">
        <v>2448</v>
      </c>
      <c r="O64" s="364" t="s">
        <v>2319</v>
      </c>
      <c r="P64" s="364" t="s">
        <v>2320</v>
      </c>
      <c r="Q64" s="364" t="s">
        <v>2323</v>
      </c>
      <c r="R64" s="364" t="s">
        <v>2324</v>
      </c>
      <c r="S64" s="364" t="s">
        <v>2325</v>
      </c>
      <c r="T64" s="364" t="s">
        <v>2327</v>
      </c>
      <c r="U64" s="364" t="s">
        <v>2328</v>
      </c>
      <c r="V64" s="364" t="s">
        <v>2329</v>
      </c>
      <c r="W64" s="364" t="s">
        <v>2438</v>
      </c>
      <c r="X64" s="364" t="s">
        <v>2330</v>
      </c>
      <c r="Y64" s="364" t="s">
        <v>2557</v>
      </c>
      <c r="Z64" s="364" t="s">
        <v>2331</v>
      </c>
      <c r="AA64" s="364" t="s">
        <v>2616</v>
      </c>
      <c r="AB64" s="364" t="s">
        <v>2335</v>
      </c>
      <c r="AC64" s="364" t="s">
        <v>2337</v>
      </c>
      <c r="AD64" s="364" t="s">
        <v>2339</v>
      </c>
      <c r="AE64" s="364" t="s">
        <v>2340</v>
      </c>
      <c r="AF64" s="364" t="s">
        <v>2341</v>
      </c>
      <c r="AG64" s="364" t="s">
        <v>2342</v>
      </c>
      <c r="AH64" s="364" t="s">
        <v>2470</v>
      </c>
      <c r="AI64" s="364" t="s">
        <v>2393</v>
      </c>
      <c r="AJ64" s="364" t="s">
        <v>2591</v>
      </c>
      <c r="AK64" s="364" t="s">
        <v>2343</v>
      </c>
      <c r="AL64" s="364" t="s">
        <v>2344</v>
      </c>
      <c r="AM64" s="364" t="s">
        <v>2345</v>
      </c>
      <c r="AN64" s="364" t="s">
        <v>2349</v>
      </c>
      <c r="AO64" s="364" t="s">
        <v>2445</v>
      </c>
      <c r="AP64" s="364" t="s">
        <v>2351</v>
      </c>
      <c r="AQ64" s="364" t="s">
        <v>2555</v>
      </c>
      <c r="AR64" s="364"/>
      <c r="AS64" s="364"/>
      <c r="AT64" s="364"/>
      <c r="AU64" s="364"/>
      <c r="AV64" s="364"/>
      <c r="AW64" s="364"/>
      <c r="AX64" s="364"/>
      <c r="AY64" s="364"/>
      <c r="AZ64" s="364"/>
      <c r="BA64" s="364"/>
      <c r="BB64" s="364"/>
      <c r="BC64" s="364"/>
      <c r="BD64" s="364"/>
      <c r="BE64" s="364"/>
      <c r="BF64" s="364"/>
      <c r="BG64" s="364"/>
      <c r="BH64" s="364"/>
      <c r="BI64" s="364"/>
      <c r="BJ64" s="364"/>
      <c r="BK64" s="364"/>
      <c r="BL64" s="364"/>
      <c r="BM64" s="364"/>
      <c r="BN64" s="364"/>
      <c r="BO64" s="364"/>
      <c r="BP64" s="364"/>
      <c r="BQ64" s="364"/>
      <c r="BR64" s="364"/>
      <c r="BS64" s="364"/>
      <c r="BT64" s="364"/>
      <c r="BU64" s="364"/>
      <c r="BV64" s="364"/>
      <c r="BW64" s="364"/>
      <c r="BX64" s="364"/>
      <c r="BY64" s="364"/>
      <c r="BZ64" s="364"/>
      <c r="CA64" s="364"/>
      <c r="CB64" s="364"/>
      <c r="CC64" s="364"/>
      <c r="CD64" s="364"/>
      <c r="CE64" s="364"/>
      <c r="CF64" s="364"/>
      <c r="CG64" s="364"/>
      <c r="CH64" s="364"/>
      <c r="CI64" s="364"/>
      <c r="CJ64" s="364"/>
      <c r="CK64" s="364"/>
      <c r="CL64" s="364"/>
      <c r="CM64" s="364"/>
      <c r="CN64" s="364"/>
      <c r="CO64" s="364"/>
      <c r="CP64" s="364"/>
      <c r="CQ64" s="364"/>
      <c r="CR64" s="364"/>
      <c r="CS64" s="364"/>
      <c r="CT64" s="364"/>
      <c r="CU64" s="364"/>
      <c r="CV64" s="364"/>
      <c r="CW64" s="364"/>
      <c r="CX64" s="364"/>
      <c r="CY64" s="364"/>
      <c r="CZ64" s="364"/>
      <c r="DA64" s="364"/>
      <c r="DB64" s="364"/>
      <c r="DC64" s="364"/>
      <c r="DD64" s="364"/>
      <c r="DE64" s="364"/>
      <c r="DF64" s="364"/>
      <c r="DG64" s="364"/>
      <c r="DH64" s="364"/>
      <c r="DI64" s="364"/>
      <c r="DJ64" s="364"/>
      <c r="DK64" s="364"/>
      <c r="DL64" s="364"/>
      <c r="DM64" s="364"/>
      <c r="DN64" s="364"/>
      <c r="DO64" s="364"/>
      <c r="DP64" s="364"/>
      <c r="DQ64" s="364"/>
      <c r="DR64" s="364"/>
      <c r="DS64" s="364"/>
      <c r="DT64" s="364"/>
      <c r="DU64" s="364"/>
      <c r="DV64" s="364"/>
      <c r="DW64" s="364"/>
      <c r="DX64" s="364"/>
      <c r="DY64" s="364"/>
      <c r="DZ64" s="364"/>
      <c r="EA64" s="364"/>
      <c r="EB64" s="364"/>
      <c r="EC64" s="364"/>
      <c r="ED64" s="364"/>
      <c r="EE64" s="364"/>
      <c r="EF64" s="364"/>
      <c r="EG64" s="364"/>
      <c r="EH64" s="364"/>
      <c r="EI64" s="364"/>
      <c r="EJ64" s="364"/>
      <c r="EK64" s="364"/>
      <c r="EL64" s="364"/>
      <c r="EM64" s="364"/>
      <c r="EN64" s="364"/>
      <c r="EO64" s="364"/>
      <c r="EP64" s="364"/>
      <c r="EQ64" s="364"/>
      <c r="ER64" s="364"/>
      <c r="ES64" s="364"/>
      <c r="ET64" s="364"/>
      <c r="EU64" s="364"/>
      <c r="EV64" s="364"/>
      <c r="EW64" s="364"/>
      <c r="EX64" s="364"/>
      <c r="EY64" s="364"/>
      <c r="EZ64" s="364"/>
      <c r="FA64" s="364"/>
      <c r="FB64" s="364"/>
      <c r="FC64" s="364"/>
      <c r="FD64" s="364"/>
      <c r="FE64" s="364"/>
      <c r="FF64" s="364"/>
      <c r="FG64" s="364"/>
      <c r="FH64" s="364"/>
      <c r="FI64" s="364"/>
      <c r="FJ64" s="364"/>
      <c r="FK64" s="364"/>
    </row>
    <row r="65" customFormat="false" ht="15.75" hidden="false" customHeight="false" outlineLevel="0" collapsed="false">
      <c r="A65" s="364" t="n">
        <v>142</v>
      </c>
      <c r="B65" s="364" t="n">
        <f aca="false">COUNTA(D65:FK65)</f>
        <v>82</v>
      </c>
      <c r="C65" s="364" t="s">
        <v>550</v>
      </c>
      <c r="D65" s="364" t="s">
        <v>2352</v>
      </c>
      <c r="E65" s="364" t="s">
        <v>2402</v>
      </c>
      <c r="F65" s="364" t="s">
        <v>2403</v>
      </c>
      <c r="G65" s="364" t="s">
        <v>2310</v>
      </c>
      <c r="H65" s="364" t="s">
        <v>2404</v>
      </c>
      <c r="I65" s="364" t="s">
        <v>2405</v>
      </c>
      <c r="J65" s="364" t="s">
        <v>2312</v>
      </c>
      <c r="K65" s="364" t="s">
        <v>2356</v>
      </c>
      <c r="L65" s="364" t="s">
        <v>2408</v>
      </c>
      <c r="M65" s="364" t="s">
        <v>2313</v>
      </c>
      <c r="N65" s="364" t="s">
        <v>2509</v>
      </c>
      <c r="O65" s="364" t="s">
        <v>2549</v>
      </c>
      <c r="P65" s="364" t="s">
        <v>2612</v>
      </c>
      <c r="Q65" s="364" t="s">
        <v>138</v>
      </c>
      <c r="R65" s="364" t="s">
        <v>2465</v>
      </c>
      <c r="S65" s="364" t="s">
        <v>2466</v>
      </c>
      <c r="T65" s="364" t="s">
        <v>2496</v>
      </c>
      <c r="U65" s="364" t="s">
        <v>2315</v>
      </c>
      <c r="V65" s="364" t="s">
        <v>2358</v>
      </c>
      <c r="W65" s="364" t="s">
        <v>2621</v>
      </c>
      <c r="X65" s="364" t="s">
        <v>2316</v>
      </c>
      <c r="Y65" s="364" t="s">
        <v>2579</v>
      </c>
      <c r="Z65" s="364" t="s">
        <v>2520</v>
      </c>
      <c r="AA65" s="364" t="s">
        <v>2364</v>
      </c>
      <c r="AB65" s="364" t="s">
        <v>2317</v>
      </c>
      <c r="AC65" s="364" t="s">
        <v>2448</v>
      </c>
      <c r="AD65" s="364" t="s">
        <v>2320</v>
      </c>
      <c r="AE65" s="364" t="s">
        <v>2533</v>
      </c>
      <c r="AF65" s="364" t="s">
        <v>2366</v>
      </c>
      <c r="AG65" s="364" t="s">
        <v>2369</v>
      </c>
      <c r="AH65" s="364" t="s">
        <v>2373</v>
      </c>
      <c r="AI65" s="364" t="s">
        <v>2376</v>
      </c>
      <c r="AJ65" s="364" t="s">
        <v>2377</v>
      </c>
      <c r="AK65" s="364" t="s">
        <v>2322</v>
      </c>
      <c r="AL65" s="364" t="s">
        <v>2324</v>
      </c>
      <c r="AM65" s="364" t="s">
        <v>2614</v>
      </c>
      <c r="AN65" s="364" t="s">
        <v>2327</v>
      </c>
      <c r="AO65" s="364" t="s">
        <v>2328</v>
      </c>
      <c r="AP65" s="364" t="s">
        <v>2329</v>
      </c>
      <c r="AQ65" s="364" t="s">
        <v>2415</v>
      </c>
      <c r="AR65" s="364" t="s">
        <v>2416</v>
      </c>
      <c r="AS65" s="364" t="s">
        <v>2417</v>
      </c>
      <c r="AT65" s="364" t="s">
        <v>2379</v>
      </c>
      <c r="AU65" s="364" t="s">
        <v>2381</v>
      </c>
      <c r="AV65" s="364" t="s">
        <v>2539</v>
      </c>
      <c r="AW65" s="364" t="s">
        <v>2382</v>
      </c>
      <c r="AX65" s="364" t="s">
        <v>2383</v>
      </c>
      <c r="AY65" s="261" t="s">
        <v>183</v>
      </c>
      <c r="AZ65" s="364" t="s">
        <v>2332</v>
      </c>
      <c r="BA65" s="364" t="s">
        <v>2387</v>
      </c>
      <c r="BB65" s="364" t="s">
        <v>2335</v>
      </c>
      <c r="BC65" s="364" t="s">
        <v>2337</v>
      </c>
      <c r="BD65" s="364" t="s">
        <v>2469</v>
      </c>
      <c r="BE65" s="364" t="s">
        <v>2338</v>
      </c>
      <c r="BF65" s="364" t="s">
        <v>2388</v>
      </c>
      <c r="BG65" s="364" t="s">
        <v>2339</v>
      </c>
      <c r="BH65" s="364" t="s">
        <v>2389</v>
      </c>
      <c r="BI65" s="364" t="s">
        <v>2340</v>
      </c>
      <c r="BJ65" s="364" t="s">
        <v>2341</v>
      </c>
      <c r="BK65" s="364" t="s">
        <v>2391</v>
      </c>
      <c r="BL65" s="364" t="s">
        <v>2442</v>
      </c>
      <c r="BM65" s="364" t="s">
        <v>2392</v>
      </c>
      <c r="BN65" s="364" t="s">
        <v>2470</v>
      </c>
      <c r="BO65" s="364" t="s">
        <v>2393</v>
      </c>
      <c r="BP65" s="364" t="s">
        <v>2344</v>
      </c>
      <c r="BQ65" s="364" t="s">
        <v>2345</v>
      </c>
      <c r="BR65" s="364" t="s">
        <v>2571</v>
      </c>
      <c r="BS65" s="364" t="s">
        <v>2347</v>
      </c>
      <c r="BT65" s="364" t="s">
        <v>2397</v>
      </c>
      <c r="BU65" s="364" t="s">
        <v>2473</v>
      </c>
      <c r="BV65" s="364" t="s">
        <v>2424</v>
      </c>
      <c r="BW65" s="364" t="s">
        <v>2349</v>
      </c>
      <c r="BX65" s="364" t="s">
        <v>2445</v>
      </c>
      <c r="BY65" s="364" t="s">
        <v>2475</v>
      </c>
      <c r="BZ65" s="364" t="s">
        <v>2476</v>
      </c>
      <c r="CA65" s="364" t="s">
        <v>2399</v>
      </c>
      <c r="CB65" s="364" t="s">
        <v>2463</v>
      </c>
      <c r="CC65" s="364" t="s">
        <v>2426</v>
      </c>
      <c r="CD65" s="364" t="s">
        <v>2428</v>
      </c>
      <c r="CE65" s="364" t="s">
        <v>2429</v>
      </c>
      <c r="CF65" s="364" t="s">
        <v>2572</v>
      </c>
      <c r="CG65" s="364" t="s">
        <v>2493</v>
      </c>
      <c r="CH65" s="364"/>
      <c r="CI65" s="364"/>
      <c r="CJ65" s="364"/>
      <c r="CK65" s="364"/>
      <c r="CL65" s="364"/>
      <c r="CM65" s="364"/>
      <c r="CN65" s="364"/>
      <c r="CO65" s="364"/>
      <c r="CP65" s="364"/>
      <c r="CQ65" s="364"/>
      <c r="CR65" s="364"/>
      <c r="CS65" s="364"/>
      <c r="CT65" s="364"/>
      <c r="CU65" s="364"/>
      <c r="CV65" s="364"/>
      <c r="CW65" s="364"/>
      <c r="CX65" s="364"/>
      <c r="CY65" s="364"/>
      <c r="CZ65" s="364"/>
      <c r="DA65" s="364"/>
      <c r="DB65" s="364"/>
      <c r="DC65" s="364"/>
      <c r="DD65" s="364"/>
      <c r="DE65" s="364"/>
      <c r="DF65" s="364"/>
      <c r="DG65" s="364"/>
      <c r="DH65" s="364"/>
      <c r="DI65" s="364"/>
      <c r="DJ65" s="364"/>
      <c r="DK65" s="364"/>
      <c r="DL65" s="364"/>
      <c r="DM65" s="364"/>
      <c r="DN65" s="364"/>
      <c r="DO65" s="364"/>
      <c r="DP65" s="364"/>
      <c r="DQ65" s="364"/>
      <c r="DR65" s="364"/>
      <c r="DS65" s="364"/>
      <c r="DT65" s="364"/>
      <c r="DU65" s="364"/>
      <c r="DV65" s="364"/>
      <c r="DW65" s="364"/>
      <c r="DX65" s="364"/>
      <c r="DY65" s="364"/>
      <c r="DZ65" s="364"/>
      <c r="EA65" s="364"/>
      <c r="EB65" s="364"/>
      <c r="EC65" s="364"/>
      <c r="ED65" s="364"/>
      <c r="EE65" s="364"/>
      <c r="EF65" s="364"/>
      <c r="EG65" s="364"/>
      <c r="EH65" s="364"/>
      <c r="EI65" s="364"/>
      <c r="EJ65" s="364"/>
      <c r="EK65" s="364"/>
      <c r="EL65" s="364"/>
      <c r="EM65" s="364"/>
      <c r="EN65" s="364"/>
      <c r="EO65" s="364"/>
      <c r="EP65" s="364"/>
      <c r="EQ65" s="364"/>
      <c r="ER65" s="364"/>
      <c r="ES65" s="364"/>
      <c r="ET65" s="364"/>
      <c r="EU65" s="364"/>
      <c r="EV65" s="364"/>
      <c r="EW65" s="364"/>
      <c r="EX65" s="364"/>
      <c r="EY65" s="364"/>
      <c r="EZ65" s="364"/>
      <c r="FA65" s="364"/>
      <c r="FB65" s="364"/>
      <c r="FC65" s="364"/>
      <c r="FD65" s="364"/>
      <c r="FE65" s="364"/>
      <c r="FF65" s="364"/>
      <c r="FG65" s="364"/>
      <c r="FH65" s="364"/>
      <c r="FI65" s="364"/>
      <c r="FJ65" s="364"/>
      <c r="FK65" s="364"/>
    </row>
    <row r="66" customFormat="false" ht="15.75" hidden="false" customHeight="false" outlineLevel="0" collapsed="false">
      <c r="A66" s="364" t="n">
        <v>145</v>
      </c>
      <c r="B66" s="364" t="n">
        <f aca="false">COUNTA(D66:FK66)</f>
        <v>36</v>
      </c>
      <c r="C66" s="364" t="s">
        <v>557</v>
      </c>
      <c r="D66" s="364" t="s">
        <v>2310</v>
      </c>
      <c r="E66" s="364" t="s">
        <v>2405</v>
      </c>
      <c r="F66" s="364" t="s">
        <v>2516</v>
      </c>
      <c r="G66" s="364" t="s">
        <v>2406</v>
      </c>
      <c r="H66" s="364" t="s">
        <v>2407</v>
      </c>
      <c r="I66" s="364" t="s">
        <v>2408</v>
      </c>
      <c r="J66" s="364" t="s">
        <v>2410</v>
      </c>
      <c r="K66" s="364" t="s">
        <v>2316</v>
      </c>
      <c r="L66" s="364" t="s">
        <v>2359</v>
      </c>
      <c r="M66" s="364" t="s">
        <v>2361</v>
      </c>
      <c r="N66" s="364" t="s">
        <v>2320</v>
      </c>
      <c r="O66" s="364" t="s">
        <v>2411</v>
      </c>
      <c r="P66" s="364" t="s">
        <v>2324</v>
      </c>
      <c r="Q66" s="364" t="s">
        <v>2327</v>
      </c>
      <c r="R66" s="364" t="s">
        <v>2328</v>
      </c>
      <c r="S66" s="364" t="s">
        <v>2414</v>
      </c>
      <c r="T66" s="364" t="s">
        <v>2329</v>
      </c>
      <c r="U66" s="364" t="s">
        <v>2415</v>
      </c>
      <c r="V66" s="364" t="s">
        <v>2417</v>
      </c>
      <c r="W66" s="364" t="s">
        <v>2332</v>
      </c>
      <c r="X66" s="364" t="s">
        <v>2335</v>
      </c>
      <c r="Y66" s="364" t="s">
        <v>2337</v>
      </c>
      <c r="Z66" s="364" t="s">
        <v>2340</v>
      </c>
      <c r="AA66" s="364" t="s">
        <v>2421</v>
      </c>
      <c r="AB66" s="364" t="s">
        <v>2341</v>
      </c>
      <c r="AC66" s="364" t="s">
        <v>2422</v>
      </c>
      <c r="AD66" s="364" t="s">
        <v>2393</v>
      </c>
      <c r="AE66" s="364" t="s">
        <v>2344</v>
      </c>
      <c r="AF66" s="364" t="s">
        <v>2424</v>
      </c>
      <c r="AG66" s="364" t="s">
        <v>2398</v>
      </c>
      <c r="AH66" s="364" t="s">
        <v>2349</v>
      </c>
      <c r="AI66" s="364" t="s">
        <v>2400</v>
      </c>
      <c r="AJ66" s="364" t="s">
        <v>2425</v>
      </c>
      <c r="AK66" s="364" t="s">
        <v>2426</v>
      </c>
      <c r="AL66" s="364" t="s">
        <v>2428</v>
      </c>
      <c r="AM66" s="364" t="s">
        <v>2429</v>
      </c>
      <c r="AN66" s="364"/>
      <c r="AO66" s="364"/>
      <c r="AP66" s="364"/>
      <c r="AQ66" s="364"/>
      <c r="AR66" s="364"/>
      <c r="AS66" s="364"/>
      <c r="AT66" s="364"/>
      <c r="AU66" s="364"/>
      <c r="AV66" s="364"/>
      <c r="AW66" s="364"/>
      <c r="AX66" s="364"/>
      <c r="AY66" s="364"/>
      <c r="AZ66" s="364"/>
      <c r="BA66" s="364"/>
      <c r="BB66" s="364"/>
      <c r="BC66" s="364"/>
      <c r="BD66" s="364"/>
      <c r="BE66" s="364"/>
      <c r="BF66" s="364"/>
      <c r="BG66" s="364"/>
      <c r="BH66" s="364"/>
      <c r="BI66" s="364"/>
      <c r="BJ66" s="364"/>
      <c r="BK66" s="364"/>
      <c r="BL66" s="364"/>
      <c r="BM66" s="364"/>
      <c r="BN66" s="364"/>
      <c r="BO66" s="364"/>
      <c r="BP66" s="364"/>
      <c r="BQ66" s="364"/>
      <c r="BR66" s="364"/>
      <c r="BS66" s="364"/>
      <c r="BT66" s="364"/>
      <c r="BU66" s="364"/>
      <c r="BV66" s="364"/>
      <c r="BW66" s="364"/>
      <c r="BX66" s="364"/>
      <c r="BY66" s="364"/>
      <c r="BZ66" s="364"/>
      <c r="CA66" s="364"/>
      <c r="CB66" s="364"/>
      <c r="CC66" s="364"/>
      <c r="CD66" s="364"/>
      <c r="CE66" s="364"/>
      <c r="CF66" s="364"/>
      <c r="CG66" s="364"/>
      <c r="CH66" s="364"/>
      <c r="CI66" s="364"/>
      <c r="CJ66" s="364"/>
      <c r="CK66" s="364"/>
      <c r="CL66" s="364"/>
      <c r="CM66" s="364"/>
      <c r="CN66" s="364"/>
      <c r="CO66" s="364"/>
      <c r="CP66" s="364"/>
      <c r="CQ66" s="364"/>
      <c r="CR66" s="364"/>
      <c r="CS66" s="364"/>
      <c r="CT66" s="364"/>
      <c r="CU66" s="364"/>
      <c r="CV66" s="364"/>
      <c r="CW66" s="364"/>
      <c r="CX66" s="364"/>
      <c r="CY66" s="364"/>
      <c r="CZ66" s="364"/>
      <c r="DA66" s="364"/>
      <c r="DB66" s="364"/>
      <c r="DC66" s="364"/>
      <c r="DD66" s="364"/>
      <c r="DE66" s="364"/>
      <c r="DF66" s="364"/>
      <c r="DG66" s="364"/>
      <c r="DH66" s="364"/>
      <c r="DI66" s="364"/>
      <c r="DJ66" s="364"/>
      <c r="DK66" s="364"/>
      <c r="DL66" s="364"/>
      <c r="DM66" s="364"/>
      <c r="DN66" s="364"/>
      <c r="DO66" s="364"/>
      <c r="DP66" s="364"/>
      <c r="DQ66" s="364"/>
      <c r="DR66" s="364"/>
      <c r="DS66" s="364"/>
      <c r="DT66" s="364"/>
      <c r="DU66" s="364"/>
      <c r="DV66" s="364"/>
      <c r="DW66" s="364"/>
      <c r="DX66" s="364"/>
      <c r="DY66" s="364"/>
      <c r="DZ66" s="364"/>
      <c r="EA66" s="364"/>
      <c r="EB66" s="364"/>
      <c r="EC66" s="364"/>
      <c r="ED66" s="364"/>
      <c r="EE66" s="364"/>
      <c r="EF66" s="364"/>
      <c r="EG66" s="364"/>
      <c r="EH66" s="364"/>
      <c r="EI66" s="364"/>
      <c r="EJ66" s="364"/>
      <c r="EK66" s="364"/>
      <c r="EL66" s="364"/>
      <c r="EM66" s="364"/>
      <c r="EN66" s="364"/>
      <c r="EO66" s="364"/>
      <c r="EP66" s="364"/>
      <c r="EQ66" s="364"/>
      <c r="ER66" s="364"/>
      <c r="ES66" s="364"/>
      <c r="ET66" s="364"/>
      <c r="EU66" s="364"/>
      <c r="EV66" s="364"/>
      <c r="EW66" s="364"/>
      <c r="EX66" s="364"/>
      <c r="EY66" s="364"/>
      <c r="EZ66" s="364"/>
      <c r="FA66" s="364"/>
      <c r="FB66" s="364"/>
      <c r="FC66" s="364"/>
      <c r="FD66" s="364"/>
      <c r="FE66" s="364"/>
      <c r="FF66" s="364"/>
      <c r="FG66" s="364"/>
      <c r="FH66" s="364"/>
      <c r="FI66" s="364"/>
      <c r="FJ66" s="364"/>
      <c r="FK66" s="364"/>
    </row>
    <row r="67" customFormat="false" ht="15.75" hidden="false" customHeight="false" outlineLevel="0" collapsed="false">
      <c r="A67" s="364" t="n">
        <v>147</v>
      </c>
      <c r="B67" s="364" t="n">
        <f aca="false">COUNTA(D67:FK67)</f>
        <v>39</v>
      </c>
      <c r="C67" s="364" t="s">
        <v>561</v>
      </c>
      <c r="D67" s="364" t="s">
        <v>2402</v>
      </c>
      <c r="E67" s="364" t="s">
        <v>2310</v>
      </c>
      <c r="F67" s="364" t="s">
        <v>2405</v>
      </c>
      <c r="G67" s="364" t="s">
        <v>2516</v>
      </c>
      <c r="H67" s="364" t="s">
        <v>2408</v>
      </c>
      <c r="I67" s="364" t="s">
        <v>2410</v>
      </c>
      <c r="J67" s="364" t="s">
        <v>2316</v>
      </c>
      <c r="K67" s="364" t="s">
        <v>184</v>
      </c>
      <c r="L67" s="364" t="s">
        <v>2320</v>
      </c>
      <c r="M67" s="364" t="s">
        <v>2451</v>
      </c>
      <c r="N67" s="364" t="s">
        <v>2322</v>
      </c>
      <c r="O67" s="364" t="s">
        <v>2324</v>
      </c>
      <c r="P67" s="364" t="s">
        <v>2328</v>
      </c>
      <c r="Q67" s="364" t="s">
        <v>2512</v>
      </c>
      <c r="R67" s="364" t="s">
        <v>2329</v>
      </c>
      <c r="S67" s="364" t="s">
        <v>2415</v>
      </c>
      <c r="T67" s="364" t="s">
        <v>2417</v>
      </c>
      <c r="U67" s="364" t="s">
        <v>2330</v>
      </c>
      <c r="V67" s="364" t="s">
        <v>2513</v>
      </c>
      <c r="W67" s="261" t="s">
        <v>183</v>
      </c>
      <c r="X67" s="364" t="s">
        <v>2480</v>
      </c>
      <c r="Y67" s="364" t="s">
        <v>2454</v>
      </c>
      <c r="Z67" s="364" t="s">
        <v>2335</v>
      </c>
      <c r="AA67" s="364" t="s">
        <v>2337</v>
      </c>
      <c r="AB67" s="364" t="s">
        <v>2340</v>
      </c>
      <c r="AC67" s="364" t="s">
        <v>2421</v>
      </c>
      <c r="AD67" s="364" t="s">
        <v>2341</v>
      </c>
      <c r="AE67" s="364" t="s">
        <v>2422</v>
      </c>
      <c r="AF67" s="364" t="s">
        <v>2393</v>
      </c>
      <c r="AG67" s="364" t="s">
        <v>2514</v>
      </c>
      <c r="AH67" s="364" t="s">
        <v>2344</v>
      </c>
      <c r="AI67" s="364" t="s">
        <v>2424</v>
      </c>
      <c r="AJ67" s="364" t="s">
        <v>2398</v>
      </c>
      <c r="AK67" s="364" t="s">
        <v>2349</v>
      </c>
      <c r="AL67" s="364" t="s">
        <v>2456</v>
      </c>
      <c r="AM67" s="364" t="s">
        <v>2425</v>
      </c>
      <c r="AN67" s="364" t="s">
        <v>2426</v>
      </c>
      <c r="AO67" s="364" t="s">
        <v>2428</v>
      </c>
      <c r="AP67" s="364" t="s">
        <v>2429</v>
      </c>
      <c r="AQ67" s="364"/>
      <c r="AR67" s="364"/>
      <c r="AS67" s="364"/>
      <c r="AT67" s="364"/>
      <c r="AU67" s="364"/>
      <c r="AV67" s="364"/>
      <c r="AW67" s="364"/>
      <c r="AX67" s="364"/>
      <c r="AY67" s="364"/>
      <c r="AZ67" s="364"/>
      <c r="BA67" s="364"/>
      <c r="BB67" s="364"/>
      <c r="BC67" s="364"/>
      <c r="BD67" s="364"/>
      <c r="BE67" s="364"/>
      <c r="BF67" s="364"/>
      <c r="BG67" s="364"/>
      <c r="BH67" s="364"/>
      <c r="BI67" s="364"/>
      <c r="BJ67" s="364"/>
      <c r="BK67" s="364"/>
      <c r="BL67" s="364"/>
      <c r="BM67" s="364"/>
      <c r="BN67" s="364"/>
      <c r="BO67" s="364"/>
      <c r="BP67" s="364"/>
      <c r="BQ67" s="364"/>
      <c r="BR67" s="364"/>
      <c r="BS67" s="364"/>
      <c r="BT67" s="364"/>
      <c r="BU67" s="364"/>
      <c r="BV67" s="364"/>
      <c r="BW67" s="364"/>
      <c r="BX67" s="364"/>
      <c r="BY67" s="364"/>
      <c r="BZ67" s="364"/>
      <c r="CA67" s="364"/>
      <c r="CB67" s="364"/>
      <c r="CC67" s="364"/>
      <c r="CD67" s="364"/>
      <c r="CE67" s="364"/>
      <c r="CF67" s="364"/>
      <c r="CG67" s="364"/>
      <c r="CH67" s="364"/>
      <c r="CI67" s="364"/>
      <c r="CJ67" s="364"/>
      <c r="CK67" s="364"/>
      <c r="CL67" s="364"/>
      <c r="CM67" s="364"/>
      <c r="CN67" s="364"/>
      <c r="CO67" s="364"/>
      <c r="CP67" s="364"/>
      <c r="CQ67" s="364"/>
      <c r="CR67" s="364"/>
      <c r="CS67" s="364"/>
      <c r="CT67" s="364"/>
      <c r="CU67" s="364"/>
      <c r="CV67" s="364"/>
      <c r="CW67" s="364"/>
      <c r="CX67" s="364"/>
      <c r="CY67" s="364"/>
      <c r="CZ67" s="364"/>
      <c r="DA67" s="364"/>
      <c r="DB67" s="364"/>
      <c r="DC67" s="364"/>
      <c r="DD67" s="364"/>
      <c r="DE67" s="364"/>
      <c r="DF67" s="364"/>
      <c r="DG67" s="364"/>
      <c r="DH67" s="364"/>
      <c r="DI67" s="364"/>
      <c r="DJ67" s="364"/>
      <c r="DK67" s="364"/>
      <c r="DL67" s="364"/>
      <c r="DM67" s="364"/>
      <c r="DN67" s="364"/>
      <c r="DO67" s="364"/>
      <c r="DP67" s="364"/>
      <c r="DQ67" s="364"/>
      <c r="DR67" s="364"/>
      <c r="DS67" s="364"/>
      <c r="DT67" s="364"/>
      <c r="DU67" s="364"/>
      <c r="DV67" s="364"/>
      <c r="DW67" s="364"/>
      <c r="DX67" s="364"/>
      <c r="DY67" s="364"/>
      <c r="DZ67" s="364"/>
      <c r="EA67" s="364"/>
      <c r="EB67" s="364"/>
      <c r="EC67" s="364"/>
      <c r="ED67" s="364"/>
      <c r="EE67" s="364"/>
      <c r="EF67" s="364"/>
      <c r="EG67" s="364"/>
      <c r="EH67" s="364"/>
      <c r="EI67" s="364"/>
      <c r="EJ67" s="364"/>
      <c r="EK67" s="364"/>
      <c r="EL67" s="364"/>
      <c r="EM67" s="364"/>
      <c r="EN67" s="364"/>
      <c r="EO67" s="364"/>
      <c r="EP67" s="364"/>
      <c r="EQ67" s="364"/>
      <c r="ER67" s="364"/>
      <c r="ES67" s="364"/>
      <c r="ET67" s="364"/>
      <c r="EU67" s="364"/>
      <c r="EV67" s="364"/>
      <c r="EW67" s="364"/>
      <c r="EX67" s="364"/>
      <c r="EY67" s="364"/>
      <c r="EZ67" s="364"/>
      <c r="FA67" s="364"/>
      <c r="FB67" s="364"/>
      <c r="FC67" s="364"/>
      <c r="FD67" s="364"/>
      <c r="FE67" s="364"/>
      <c r="FF67" s="364"/>
      <c r="FG67" s="364"/>
      <c r="FH67" s="364"/>
      <c r="FI67" s="364"/>
      <c r="FJ67" s="364"/>
      <c r="FK67" s="364"/>
    </row>
    <row r="68" customFormat="false" ht="15.75" hidden="false" customHeight="false" outlineLevel="0" collapsed="false">
      <c r="A68" s="364" t="n">
        <v>149</v>
      </c>
      <c r="B68" s="364" t="n">
        <f aca="false">COUNTA(D68:FK68)</f>
        <v>45</v>
      </c>
      <c r="C68" s="364" t="s">
        <v>565</v>
      </c>
      <c r="D68" s="364" t="s">
        <v>2403</v>
      </c>
      <c r="E68" s="364" t="s">
        <v>2310</v>
      </c>
      <c r="F68" s="364" t="s">
        <v>2405</v>
      </c>
      <c r="G68" s="364" t="s">
        <v>2406</v>
      </c>
      <c r="H68" s="364" t="s">
        <v>2408</v>
      </c>
      <c r="I68" s="364" t="s">
        <v>2517</v>
      </c>
      <c r="J68" s="364" t="s">
        <v>2410</v>
      </c>
      <c r="K68" s="364" t="s">
        <v>2316</v>
      </c>
      <c r="L68" s="364" t="s">
        <v>2435</v>
      </c>
      <c r="M68" s="364" t="s">
        <v>2320</v>
      </c>
      <c r="N68" s="364" t="s">
        <v>2411</v>
      </c>
      <c r="O68" s="364" t="s">
        <v>2324</v>
      </c>
      <c r="P68" s="364" t="s">
        <v>2325</v>
      </c>
      <c r="Q68" s="364" t="s">
        <v>2412</v>
      </c>
      <c r="R68" s="364" t="s">
        <v>2328</v>
      </c>
      <c r="S68" s="364" t="s">
        <v>2414</v>
      </c>
      <c r="T68" s="364" t="s">
        <v>2329</v>
      </c>
      <c r="U68" s="364" t="s">
        <v>2415</v>
      </c>
      <c r="V68" s="364" t="s">
        <v>2417</v>
      </c>
      <c r="W68" s="364" t="s">
        <v>157</v>
      </c>
      <c r="X68" s="364" t="s">
        <v>2495</v>
      </c>
      <c r="Y68" s="364" t="s">
        <v>2440</v>
      </c>
      <c r="Z68" s="364" t="s">
        <v>2335</v>
      </c>
      <c r="AA68" s="364" t="s">
        <v>2419</v>
      </c>
      <c r="AB68" s="364" t="s">
        <v>2337</v>
      </c>
      <c r="AC68" s="364" t="s">
        <v>2420</v>
      </c>
      <c r="AD68" s="364" t="s">
        <v>2340</v>
      </c>
      <c r="AE68" s="364" t="s">
        <v>2421</v>
      </c>
      <c r="AF68" s="364" t="s">
        <v>2341</v>
      </c>
      <c r="AG68" s="364" t="s">
        <v>2422</v>
      </c>
      <c r="AH68" s="364" t="s">
        <v>2393</v>
      </c>
      <c r="AI68" s="364" t="s">
        <v>2344</v>
      </c>
      <c r="AJ68" s="364" t="s">
        <v>2424</v>
      </c>
      <c r="AK68" s="364" t="s">
        <v>2398</v>
      </c>
      <c r="AL68" s="364" t="s">
        <v>2348</v>
      </c>
      <c r="AM68" s="364" t="s">
        <v>2349</v>
      </c>
      <c r="AN68" s="364" t="s">
        <v>2475</v>
      </c>
      <c r="AO68" s="364" t="s">
        <v>2476</v>
      </c>
      <c r="AP68" s="364" t="s">
        <v>2522</v>
      </c>
      <c r="AQ68" s="364" t="s">
        <v>2400</v>
      </c>
      <c r="AR68" s="364" t="s">
        <v>2425</v>
      </c>
      <c r="AS68" s="364" t="s">
        <v>2426</v>
      </c>
      <c r="AT68" s="364" t="s">
        <v>2428</v>
      </c>
      <c r="AU68" s="364" t="s">
        <v>2429</v>
      </c>
      <c r="AV68" s="364" t="s">
        <v>2493</v>
      </c>
      <c r="AW68" s="364"/>
      <c r="AX68" s="364"/>
      <c r="AY68" s="364"/>
      <c r="AZ68" s="364"/>
      <c r="BA68" s="364"/>
      <c r="BB68" s="364"/>
      <c r="BC68" s="364"/>
      <c r="BD68" s="364"/>
      <c r="BE68" s="364"/>
      <c r="BF68" s="364"/>
      <c r="BG68" s="364"/>
      <c r="BH68" s="364"/>
      <c r="BI68" s="364"/>
      <c r="BJ68" s="364"/>
      <c r="BK68" s="364"/>
      <c r="BL68" s="364"/>
      <c r="BM68" s="364"/>
      <c r="BN68" s="364"/>
      <c r="BO68" s="364"/>
      <c r="BP68" s="364"/>
      <c r="BQ68" s="364"/>
      <c r="BR68" s="364"/>
      <c r="BS68" s="364"/>
      <c r="BT68" s="364"/>
      <c r="BU68" s="364"/>
      <c r="BV68" s="364"/>
      <c r="BW68" s="364"/>
      <c r="BX68" s="364"/>
      <c r="BY68" s="364"/>
      <c r="BZ68" s="364"/>
      <c r="CA68" s="364"/>
      <c r="CB68" s="364"/>
      <c r="CC68" s="364"/>
      <c r="CD68" s="364"/>
      <c r="CE68" s="364"/>
      <c r="CF68" s="364"/>
      <c r="CG68" s="364"/>
      <c r="CH68" s="364"/>
      <c r="CI68" s="364"/>
      <c r="CJ68" s="364"/>
      <c r="CK68" s="364"/>
      <c r="CL68" s="364"/>
      <c r="CM68" s="364"/>
      <c r="CN68" s="364"/>
      <c r="CO68" s="364"/>
      <c r="CP68" s="364"/>
      <c r="CQ68" s="364"/>
      <c r="CR68" s="364"/>
      <c r="CS68" s="364"/>
      <c r="CT68" s="364"/>
      <c r="CU68" s="364"/>
      <c r="CV68" s="364"/>
      <c r="CW68" s="364"/>
      <c r="CX68" s="364"/>
      <c r="CY68" s="364"/>
      <c r="CZ68" s="364"/>
      <c r="DA68" s="364"/>
      <c r="DB68" s="364"/>
      <c r="DC68" s="364"/>
      <c r="DD68" s="364"/>
      <c r="DE68" s="364"/>
      <c r="DF68" s="364"/>
      <c r="DG68" s="364"/>
      <c r="DH68" s="364"/>
      <c r="DI68" s="364"/>
      <c r="DJ68" s="364"/>
      <c r="DK68" s="364"/>
      <c r="DL68" s="364"/>
      <c r="DM68" s="364"/>
      <c r="DN68" s="364"/>
      <c r="DO68" s="364"/>
      <c r="DP68" s="364"/>
      <c r="DQ68" s="364"/>
      <c r="DR68" s="364"/>
      <c r="DS68" s="364"/>
      <c r="DT68" s="364"/>
      <c r="DU68" s="364"/>
      <c r="DV68" s="364"/>
      <c r="DW68" s="364"/>
      <c r="DX68" s="364"/>
      <c r="DY68" s="364"/>
      <c r="DZ68" s="364"/>
      <c r="EA68" s="364"/>
      <c r="EB68" s="364"/>
      <c r="EC68" s="364"/>
      <c r="ED68" s="364"/>
      <c r="EE68" s="364"/>
      <c r="EF68" s="364"/>
      <c r="EG68" s="364"/>
      <c r="EH68" s="364"/>
      <c r="EI68" s="364"/>
      <c r="EJ68" s="364"/>
      <c r="EK68" s="364"/>
      <c r="EL68" s="364"/>
      <c r="EM68" s="364"/>
      <c r="EN68" s="364"/>
      <c r="EO68" s="364"/>
      <c r="EP68" s="364"/>
      <c r="EQ68" s="364"/>
      <c r="ER68" s="364"/>
      <c r="ES68" s="364"/>
      <c r="ET68" s="364"/>
      <c r="EU68" s="364"/>
      <c r="EV68" s="364"/>
      <c r="EW68" s="364"/>
      <c r="EX68" s="364"/>
      <c r="EY68" s="364"/>
      <c r="EZ68" s="364"/>
      <c r="FA68" s="364"/>
      <c r="FB68" s="364"/>
      <c r="FC68" s="364"/>
      <c r="FD68" s="364"/>
      <c r="FE68" s="364"/>
      <c r="FF68" s="364"/>
      <c r="FG68" s="364"/>
      <c r="FH68" s="364"/>
      <c r="FI68" s="364"/>
      <c r="FJ68" s="364"/>
      <c r="FK68" s="364"/>
    </row>
    <row r="69" customFormat="false" ht="15.75" hidden="false" customHeight="false" outlineLevel="0" collapsed="false">
      <c r="A69" s="364" t="n">
        <v>150</v>
      </c>
      <c r="B69" s="364" t="n">
        <f aca="false">COUNTA(D69:FK69)</f>
        <v>61</v>
      </c>
      <c r="C69" s="364" t="s">
        <v>2622</v>
      </c>
      <c r="D69" s="364" t="s">
        <v>2352</v>
      </c>
      <c r="E69" s="364" t="s">
        <v>2310</v>
      </c>
      <c r="F69" s="364" t="s">
        <v>2312</v>
      </c>
      <c r="G69" s="364" t="s">
        <v>2356</v>
      </c>
      <c r="H69" s="364" t="s">
        <v>2464</v>
      </c>
      <c r="I69" s="364" t="s">
        <v>2434</v>
      </c>
      <c r="J69" s="364" t="s">
        <v>138</v>
      </c>
      <c r="K69" s="364" t="s">
        <v>2465</v>
      </c>
      <c r="L69" s="364" t="s">
        <v>2517</v>
      </c>
      <c r="M69" s="364" t="s">
        <v>2316</v>
      </c>
      <c r="N69" s="364" t="s">
        <v>2519</v>
      </c>
      <c r="O69" s="364" t="s">
        <v>2520</v>
      </c>
      <c r="P69" s="364" t="s">
        <v>2435</v>
      </c>
      <c r="Q69" s="364" t="s">
        <v>2364</v>
      </c>
      <c r="R69" s="364" t="s">
        <v>2319</v>
      </c>
      <c r="S69" s="364" t="s">
        <v>2320</v>
      </c>
      <c r="T69" s="364" t="s">
        <v>2533</v>
      </c>
      <c r="U69" s="364" t="s">
        <v>2369</v>
      </c>
      <c r="V69" s="364" t="s">
        <v>2376</v>
      </c>
      <c r="W69" s="364" t="s">
        <v>2377</v>
      </c>
      <c r="X69" s="364" t="s">
        <v>2523</v>
      </c>
      <c r="Y69" s="364" t="s">
        <v>2550</v>
      </c>
      <c r="Z69" s="364" t="s">
        <v>2324</v>
      </c>
      <c r="AA69" s="364" t="s">
        <v>2325</v>
      </c>
      <c r="AB69" s="364" t="s">
        <v>2327</v>
      </c>
      <c r="AC69" s="364" t="s">
        <v>2328</v>
      </c>
      <c r="AD69" s="364" t="s">
        <v>2329</v>
      </c>
      <c r="AE69" s="364" t="s">
        <v>2416</v>
      </c>
      <c r="AF69" s="364" t="s">
        <v>2417</v>
      </c>
      <c r="AG69" s="364" t="s">
        <v>2438</v>
      </c>
      <c r="AH69" s="364" t="s">
        <v>2623</v>
      </c>
      <c r="AI69" s="364" t="s">
        <v>2382</v>
      </c>
      <c r="AJ69" s="364" t="s">
        <v>2383</v>
      </c>
      <c r="AK69" s="261" t="s">
        <v>183</v>
      </c>
      <c r="AL69" s="364" t="s">
        <v>2452</v>
      </c>
      <c r="AM69" s="364" t="s">
        <v>2582</v>
      </c>
      <c r="AN69" s="364" t="s">
        <v>2387</v>
      </c>
      <c r="AO69" s="364" t="s">
        <v>2439</v>
      </c>
      <c r="AP69" s="364" t="s">
        <v>157</v>
      </c>
      <c r="AQ69" s="364" t="s">
        <v>2495</v>
      </c>
      <c r="AR69" s="364" t="s">
        <v>2440</v>
      </c>
      <c r="AS69" s="364" t="s">
        <v>2335</v>
      </c>
      <c r="AT69" s="364" t="s">
        <v>2337</v>
      </c>
      <c r="AU69" s="364" t="s">
        <v>2340</v>
      </c>
      <c r="AV69" s="364" t="s">
        <v>2341</v>
      </c>
      <c r="AW69" s="364" t="s">
        <v>2391</v>
      </c>
      <c r="AX69" s="364" t="s">
        <v>2442</v>
      </c>
      <c r="AY69" s="364" t="s">
        <v>2470</v>
      </c>
      <c r="AZ69" s="364" t="s">
        <v>2422</v>
      </c>
      <c r="BA69" s="364" t="s">
        <v>2393</v>
      </c>
      <c r="BB69" s="364" t="s">
        <v>2344</v>
      </c>
      <c r="BC69" s="364" t="s">
        <v>2345</v>
      </c>
      <c r="BD69" s="364" t="s">
        <v>2397</v>
      </c>
      <c r="BE69" s="364" t="s">
        <v>2349</v>
      </c>
      <c r="BF69" s="364" t="s">
        <v>2445</v>
      </c>
      <c r="BG69" s="364" t="s">
        <v>2475</v>
      </c>
      <c r="BH69" s="364" t="s">
        <v>2476</v>
      </c>
      <c r="BI69" s="364" t="s">
        <v>2399</v>
      </c>
      <c r="BJ69" s="364" t="s">
        <v>2555</v>
      </c>
      <c r="BK69" s="364" t="s">
        <v>2493</v>
      </c>
      <c r="BL69" s="364" t="s">
        <v>2430</v>
      </c>
      <c r="BM69" s="364"/>
      <c r="BN69" s="364"/>
      <c r="BO69" s="364"/>
      <c r="BP69" s="364"/>
      <c r="BQ69" s="364"/>
      <c r="BR69" s="364"/>
      <c r="BS69" s="364"/>
      <c r="BT69" s="364"/>
      <c r="BU69" s="364"/>
      <c r="BV69" s="364"/>
      <c r="BW69" s="364"/>
      <c r="BX69" s="364"/>
      <c r="BY69" s="364"/>
      <c r="BZ69" s="364"/>
      <c r="CA69" s="364"/>
      <c r="CB69" s="364"/>
      <c r="CC69" s="364"/>
      <c r="CD69" s="364"/>
      <c r="CE69" s="364"/>
      <c r="CF69" s="364"/>
      <c r="CG69" s="364"/>
      <c r="CH69" s="364"/>
      <c r="CI69" s="364"/>
      <c r="CJ69" s="364"/>
      <c r="CK69" s="364"/>
      <c r="CL69" s="364"/>
      <c r="CM69" s="364"/>
      <c r="CN69" s="364"/>
      <c r="CO69" s="364"/>
      <c r="CP69" s="364"/>
      <c r="CQ69" s="364"/>
      <c r="CR69" s="364"/>
      <c r="CS69" s="364"/>
      <c r="CT69" s="364"/>
      <c r="CU69" s="364"/>
      <c r="CV69" s="364"/>
      <c r="CW69" s="364"/>
      <c r="CX69" s="364"/>
      <c r="CY69" s="364"/>
      <c r="CZ69" s="364"/>
      <c r="DA69" s="364"/>
      <c r="DB69" s="364"/>
      <c r="DC69" s="364"/>
      <c r="DD69" s="364"/>
      <c r="DE69" s="364"/>
      <c r="DF69" s="364"/>
      <c r="DG69" s="364"/>
      <c r="DH69" s="364"/>
      <c r="DI69" s="364"/>
      <c r="DJ69" s="364"/>
      <c r="DK69" s="364"/>
      <c r="DL69" s="364"/>
      <c r="DM69" s="364"/>
      <c r="DN69" s="364"/>
      <c r="DO69" s="364"/>
      <c r="DP69" s="364"/>
      <c r="DQ69" s="364"/>
      <c r="DR69" s="364"/>
      <c r="DS69" s="364"/>
      <c r="DT69" s="364"/>
      <c r="DU69" s="364"/>
      <c r="DV69" s="364"/>
      <c r="DW69" s="364"/>
      <c r="DX69" s="364"/>
      <c r="DY69" s="364"/>
      <c r="DZ69" s="364"/>
      <c r="EA69" s="364"/>
      <c r="EB69" s="364"/>
      <c r="EC69" s="364"/>
      <c r="ED69" s="364"/>
      <c r="EE69" s="364"/>
      <c r="EF69" s="364"/>
      <c r="EG69" s="364"/>
      <c r="EH69" s="364"/>
      <c r="EI69" s="364"/>
      <c r="EJ69" s="364"/>
      <c r="EK69" s="364"/>
      <c r="EL69" s="364"/>
      <c r="EM69" s="364"/>
      <c r="EN69" s="364"/>
      <c r="EO69" s="364"/>
      <c r="EP69" s="364"/>
      <c r="EQ69" s="364"/>
      <c r="ER69" s="364"/>
      <c r="ES69" s="364"/>
      <c r="ET69" s="364"/>
      <c r="EU69" s="364"/>
      <c r="EV69" s="364"/>
      <c r="EW69" s="364"/>
      <c r="EX69" s="364"/>
      <c r="EY69" s="364"/>
      <c r="EZ69" s="364"/>
      <c r="FA69" s="364"/>
      <c r="FB69" s="364"/>
      <c r="FC69" s="364"/>
      <c r="FD69" s="364"/>
      <c r="FE69" s="364"/>
      <c r="FF69" s="364"/>
      <c r="FG69" s="364"/>
      <c r="FH69" s="364"/>
      <c r="FI69" s="364"/>
      <c r="FJ69" s="364"/>
      <c r="FK69" s="364"/>
    </row>
    <row r="70" customFormat="false" ht="15.75" hidden="false" customHeight="false" outlineLevel="0" collapsed="false">
      <c r="A70" s="364" t="n">
        <v>151</v>
      </c>
      <c r="B70" s="364" t="n">
        <f aca="false">COUNTA(D70:FK70)</f>
        <v>43</v>
      </c>
      <c r="C70" s="364" t="s">
        <v>570</v>
      </c>
      <c r="D70" s="364" t="s">
        <v>2352</v>
      </c>
      <c r="E70" s="364" t="s">
        <v>2354</v>
      </c>
      <c r="F70" s="364" t="s">
        <v>2310</v>
      </c>
      <c r="G70" s="364" t="s">
        <v>2356</v>
      </c>
      <c r="H70" s="364" t="s">
        <v>2357</v>
      </c>
      <c r="I70" s="364" t="s">
        <v>2432</v>
      </c>
      <c r="J70" s="364" t="s">
        <v>2433</v>
      </c>
      <c r="K70" s="364" t="s">
        <v>138</v>
      </c>
      <c r="L70" s="364" t="s">
        <v>2315</v>
      </c>
      <c r="M70" s="364" t="s">
        <v>2316</v>
      </c>
      <c r="N70" s="364" t="s">
        <v>2579</v>
      </c>
      <c r="O70" s="364" t="s">
        <v>2320</v>
      </c>
      <c r="P70" s="364" t="s">
        <v>2449</v>
      </c>
      <c r="Q70" s="364" t="s">
        <v>2534</v>
      </c>
      <c r="R70" s="364" t="s">
        <v>2322</v>
      </c>
      <c r="S70" s="364" t="s">
        <v>2324</v>
      </c>
      <c r="T70" s="364" t="s">
        <v>2327</v>
      </c>
      <c r="U70" s="364" t="s">
        <v>2328</v>
      </c>
      <c r="V70" s="364" t="s">
        <v>2329</v>
      </c>
      <c r="W70" s="364" t="s">
        <v>2330</v>
      </c>
      <c r="X70" s="364" t="s">
        <v>2531</v>
      </c>
      <c r="Y70" s="364" t="s">
        <v>2385</v>
      </c>
      <c r="Z70" s="364" t="s">
        <v>2455</v>
      </c>
      <c r="AA70" s="364" t="s">
        <v>2461</v>
      </c>
      <c r="AB70" s="364" t="s">
        <v>2335</v>
      </c>
      <c r="AC70" s="364" t="s">
        <v>2441</v>
      </c>
      <c r="AD70" s="364" t="s">
        <v>2337</v>
      </c>
      <c r="AE70" s="364" t="s">
        <v>2339</v>
      </c>
      <c r="AF70" s="364" t="s">
        <v>2340</v>
      </c>
      <c r="AG70" s="364" t="s">
        <v>2341</v>
      </c>
      <c r="AH70" s="364" t="s">
        <v>2443</v>
      </c>
      <c r="AI70" s="364" t="s">
        <v>2393</v>
      </c>
      <c r="AJ70" s="364" t="s">
        <v>2395</v>
      </c>
      <c r="AK70" s="364" t="s">
        <v>2344</v>
      </c>
      <c r="AL70" s="364" t="s">
        <v>2396</v>
      </c>
      <c r="AM70" s="364" t="s">
        <v>2444</v>
      </c>
      <c r="AN70" s="364" t="s">
        <v>2398</v>
      </c>
      <c r="AO70" s="364" t="s">
        <v>2349</v>
      </c>
      <c r="AP70" s="364" t="s">
        <v>2445</v>
      </c>
      <c r="AQ70" s="364" t="s">
        <v>2446</v>
      </c>
      <c r="AR70" s="364" t="s">
        <v>2546</v>
      </c>
      <c r="AS70" s="364" t="s">
        <v>2401</v>
      </c>
      <c r="AT70" s="364" t="s">
        <v>2458</v>
      </c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/>
      <c r="BG70" s="364"/>
      <c r="BH70" s="364"/>
      <c r="BI70" s="364"/>
      <c r="BJ70" s="364"/>
      <c r="BK70" s="364"/>
      <c r="BL70" s="364"/>
      <c r="BM70" s="364"/>
      <c r="BN70" s="364"/>
      <c r="BO70" s="364"/>
      <c r="BP70" s="364"/>
      <c r="BQ70" s="364"/>
      <c r="BR70" s="364"/>
      <c r="BS70" s="364"/>
      <c r="BT70" s="364"/>
      <c r="BU70" s="364"/>
      <c r="BV70" s="364"/>
      <c r="BW70" s="364"/>
      <c r="BX70" s="364"/>
      <c r="BY70" s="364"/>
      <c r="BZ70" s="364"/>
      <c r="CA70" s="364"/>
      <c r="CB70" s="364"/>
      <c r="CC70" s="364"/>
      <c r="CD70" s="364"/>
      <c r="CE70" s="364"/>
      <c r="CF70" s="364"/>
      <c r="CG70" s="364"/>
      <c r="CH70" s="364"/>
      <c r="CI70" s="364"/>
      <c r="CJ70" s="364"/>
      <c r="CK70" s="364"/>
      <c r="CL70" s="364"/>
      <c r="CM70" s="364"/>
      <c r="CN70" s="364"/>
      <c r="CO70" s="364"/>
      <c r="CP70" s="364"/>
      <c r="CQ70" s="364"/>
      <c r="CR70" s="364"/>
      <c r="CS70" s="364"/>
      <c r="CT70" s="364"/>
      <c r="CU70" s="364"/>
      <c r="CV70" s="364"/>
      <c r="CW70" s="364"/>
      <c r="CX70" s="364"/>
      <c r="CY70" s="364"/>
      <c r="CZ70" s="364"/>
      <c r="DA70" s="364"/>
      <c r="DB70" s="364"/>
      <c r="DC70" s="364"/>
      <c r="DD70" s="364"/>
      <c r="DE70" s="364"/>
      <c r="DF70" s="364"/>
      <c r="DG70" s="364"/>
      <c r="DH70" s="364"/>
      <c r="DI70" s="364"/>
      <c r="DJ70" s="364"/>
      <c r="DK70" s="364"/>
      <c r="DL70" s="364"/>
      <c r="DM70" s="364"/>
      <c r="DN70" s="364"/>
      <c r="DO70" s="364"/>
      <c r="DP70" s="364"/>
      <c r="DQ70" s="364"/>
      <c r="DR70" s="364"/>
      <c r="DS70" s="364"/>
      <c r="DT70" s="364"/>
      <c r="DU70" s="364"/>
      <c r="DV70" s="364"/>
      <c r="DW70" s="364"/>
      <c r="DX70" s="364"/>
      <c r="DY70" s="364"/>
      <c r="DZ70" s="364"/>
      <c r="EA70" s="364"/>
      <c r="EB70" s="364"/>
      <c r="EC70" s="364"/>
      <c r="ED70" s="364"/>
      <c r="EE70" s="364"/>
      <c r="EF70" s="364"/>
      <c r="EG70" s="364"/>
      <c r="EH70" s="364"/>
      <c r="EI70" s="364"/>
      <c r="EJ70" s="364"/>
      <c r="EK70" s="364"/>
      <c r="EL70" s="364"/>
      <c r="EM70" s="364"/>
      <c r="EN70" s="364"/>
      <c r="EO70" s="364"/>
      <c r="EP70" s="364"/>
      <c r="EQ70" s="364"/>
      <c r="ER70" s="364"/>
      <c r="ES70" s="364"/>
      <c r="ET70" s="364"/>
      <c r="EU70" s="364"/>
      <c r="EV70" s="364"/>
      <c r="EW70" s="364"/>
      <c r="EX70" s="364"/>
      <c r="EY70" s="364"/>
      <c r="EZ70" s="364"/>
      <c r="FA70" s="364"/>
      <c r="FB70" s="364"/>
      <c r="FC70" s="364"/>
      <c r="FD70" s="364"/>
      <c r="FE70" s="364"/>
      <c r="FF70" s="364"/>
      <c r="FG70" s="364"/>
      <c r="FH70" s="364"/>
      <c r="FI70" s="364"/>
      <c r="FJ70" s="364"/>
      <c r="FK70" s="364"/>
    </row>
    <row r="71" customFormat="false" ht="15.75" hidden="false" customHeight="false" outlineLevel="0" collapsed="false">
      <c r="A71" s="364" t="n">
        <v>152</v>
      </c>
      <c r="B71" s="364" t="n">
        <f aca="false">COUNTA(D71:FK71)</f>
        <v>59</v>
      </c>
      <c r="C71" s="364" t="s">
        <v>573</v>
      </c>
      <c r="D71" s="364" t="s">
        <v>2403</v>
      </c>
      <c r="E71" s="364" t="s">
        <v>2310</v>
      </c>
      <c r="F71" s="364" t="s">
        <v>2405</v>
      </c>
      <c r="G71" s="364" t="s">
        <v>2312</v>
      </c>
      <c r="H71" s="364" t="s">
        <v>2356</v>
      </c>
      <c r="I71" s="364" t="s">
        <v>2408</v>
      </c>
      <c r="J71" s="364" t="s">
        <v>138</v>
      </c>
      <c r="K71" s="364" t="s">
        <v>2465</v>
      </c>
      <c r="L71" s="364" t="s">
        <v>2316</v>
      </c>
      <c r="M71" s="364" t="s">
        <v>2519</v>
      </c>
      <c r="N71" s="364" t="s">
        <v>2624</v>
      </c>
      <c r="O71" s="364" t="s">
        <v>2520</v>
      </c>
      <c r="P71" s="364" t="s">
        <v>2435</v>
      </c>
      <c r="Q71" s="364" t="s">
        <v>2364</v>
      </c>
      <c r="R71" s="364" t="s">
        <v>2318</v>
      </c>
      <c r="S71" s="364" t="s">
        <v>2319</v>
      </c>
      <c r="T71" s="364" t="s">
        <v>2320</v>
      </c>
      <c r="U71" s="364" t="s">
        <v>2533</v>
      </c>
      <c r="V71" s="364" t="s">
        <v>2376</v>
      </c>
      <c r="W71" s="364" t="s">
        <v>2377</v>
      </c>
      <c r="X71" s="364" t="s">
        <v>2502</v>
      </c>
      <c r="Y71" s="364" t="s">
        <v>2324</v>
      </c>
      <c r="Z71" s="364" t="s">
        <v>2325</v>
      </c>
      <c r="AA71" s="364" t="s">
        <v>2327</v>
      </c>
      <c r="AB71" s="364" t="s">
        <v>2625</v>
      </c>
      <c r="AC71" s="364" t="s">
        <v>2328</v>
      </c>
      <c r="AD71" s="364" t="s">
        <v>2329</v>
      </c>
      <c r="AE71" s="364" t="s">
        <v>2521</v>
      </c>
      <c r="AF71" s="364" t="s">
        <v>2415</v>
      </c>
      <c r="AG71" s="364" t="s">
        <v>2416</v>
      </c>
      <c r="AH71" s="364" t="s">
        <v>2417</v>
      </c>
      <c r="AI71" s="364" t="s">
        <v>2588</v>
      </c>
      <c r="AJ71" s="364" t="s">
        <v>2382</v>
      </c>
      <c r="AK71" s="364" t="s">
        <v>2383</v>
      </c>
      <c r="AL71" s="261" t="s">
        <v>183</v>
      </c>
      <c r="AM71" s="364" t="s">
        <v>2452</v>
      </c>
      <c r="AN71" s="364" t="s">
        <v>2582</v>
      </c>
      <c r="AO71" s="364" t="s">
        <v>2626</v>
      </c>
      <c r="AP71" s="364" t="s">
        <v>2387</v>
      </c>
      <c r="AQ71" s="364" t="s">
        <v>157</v>
      </c>
      <c r="AR71" s="364" t="s">
        <v>2495</v>
      </c>
      <c r="AS71" s="364" t="s">
        <v>2440</v>
      </c>
      <c r="AT71" s="364" t="s">
        <v>2335</v>
      </c>
      <c r="AU71" s="364" t="s">
        <v>2337</v>
      </c>
      <c r="AV71" s="364" t="s">
        <v>2340</v>
      </c>
      <c r="AW71" s="364" t="s">
        <v>2341</v>
      </c>
      <c r="AX71" s="364" t="s">
        <v>2391</v>
      </c>
      <c r="AY71" s="364" t="s">
        <v>2442</v>
      </c>
      <c r="AZ71" s="364" t="s">
        <v>2422</v>
      </c>
      <c r="BA71" s="364" t="s">
        <v>2393</v>
      </c>
      <c r="BB71" s="364" t="s">
        <v>2344</v>
      </c>
      <c r="BC71" s="364" t="s">
        <v>2397</v>
      </c>
      <c r="BD71" s="364" t="s">
        <v>2349</v>
      </c>
      <c r="BE71" s="364" t="s">
        <v>2445</v>
      </c>
      <c r="BF71" s="364" t="s">
        <v>2515</v>
      </c>
      <c r="BG71" s="364" t="s">
        <v>2555</v>
      </c>
      <c r="BH71" s="364" t="s">
        <v>2426</v>
      </c>
      <c r="BI71" s="364" t="s">
        <v>2428</v>
      </c>
      <c r="BJ71" s="364" t="s">
        <v>2430</v>
      </c>
      <c r="BK71" s="364"/>
      <c r="BL71" s="364"/>
      <c r="BM71" s="364"/>
      <c r="BN71" s="364"/>
      <c r="BO71" s="364"/>
      <c r="BP71" s="364"/>
      <c r="BQ71" s="364"/>
      <c r="BR71" s="364"/>
      <c r="BS71" s="364"/>
      <c r="BT71" s="364"/>
      <c r="BU71" s="364"/>
      <c r="BV71" s="364"/>
      <c r="BW71" s="364"/>
      <c r="BX71" s="364"/>
      <c r="BY71" s="364"/>
      <c r="BZ71" s="364"/>
      <c r="CA71" s="364"/>
      <c r="CB71" s="364"/>
      <c r="CC71" s="364"/>
      <c r="CD71" s="364"/>
      <c r="CE71" s="364"/>
      <c r="CF71" s="364"/>
      <c r="CG71" s="364"/>
      <c r="CH71" s="364"/>
      <c r="CI71" s="364"/>
      <c r="CJ71" s="364"/>
      <c r="CK71" s="364"/>
      <c r="CL71" s="364"/>
      <c r="CM71" s="364"/>
      <c r="CN71" s="364"/>
      <c r="CO71" s="364"/>
      <c r="CP71" s="364"/>
      <c r="CQ71" s="364"/>
      <c r="CR71" s="364"/>
      <c r="CS71" s="364"/>
      <c r="CT71" s="364"/>
      <c r="CU71" s="364"/>
      <c r="CV71" s="364"/>
      <c r="CW71" s="364"/>
      <c r="CX71" s="364"/>
      <c r="CY71" s="364"/>
      <c r="CZ71" s="364"/>
      <c r="DA71" s="364"/>
      <c r="DB71" s="364"/>
      <c r="DC71" s="364"/>
      <c r="DD71" s="364"/>
      <c r="DE71" s="364"/>
      <c r="DF71" s="364"/>
      <c r="DG71" s="364"/>
      <c r="DH71" s="364"/>
      <c r="DI71" s="364"/>
      <c r="DJ71" s="364"/>
      <c r="DK71" s="364"/>
      <c r="DL71" s="364"/>
      <c r="DM71" s="364"/>
      <c r="DN71" s="364"/>
      <c r="DO71" s="364"/>
      <c r="DP71" s="364"/>
      <c r="DQ71" s="364"/>
      <c r="DR71" s="364"/>
      <c r="DS71" s="364"/>
      <c r="DT71" s="364"/>
      <c r="DU71" s="364"/>
      <c r="DV71" s="364"/>
      <c r="DW71" s="364"/>
      <c r="DX71" s="364"/>
      <c r="DY71" s="364"/>
      <c r="DZ71" s="364"/>
      <c r="EA71" s="364"/>
      <c r="EB71" s="364"/>
      <c r="EC71" s="364"/>
      <c r="ED71" s="364"/>
      <c r="EE71" s="364"/>
      <c r="EF71" s="364"/>
      <c r="EG71" s="364"/>
      <c r="EH71" s="364"/>
      <c r="EI71" s="364"/>
      <c r="EJ71" s="364"/>
      <c r="EK71" s="364"/>
      <c r="EL71" s="364"/>
      <c r="EM71" s="364"/>
      <c r="EN71" s="364"/>
      <c r="EO71" s="364"/>
      <c r="EP71" s="364"/>
      <c r="EQ71" s="364"/>
      <c r="ER71" s="364"/>
      <c r="ES71" s="364"/>
      <c r="ET71" s="364"/>
      <c r="EU71" s="364"/>
      <c r="EV71" s="364"/>
      <c r="EW71" s="364"/>
      <c r="EX71" s="364"/>
      <c r="EY71" s="364"/>
      <c r="EZ71" s="364"/>
      <c r="FA71" s="364"/>
      <c r="FB71" s="364"/>
      <c r="FC71" s="364"/>
      <c r="FD71" s="364"/>
      <c r="FE71" s="364"/>
      <c r="FF71" s="364"/>
      <c r="FG71" s="364"/>
      <c r="FH71" s="364"/>
      <c r="FI71" s="364"/>
      <c r="FJ71" s="364"/>
      <c r="FK71" s="364"/>
    </row>
    <row r="72" customFormat="false" ht="15.75" hidden="false" customHeight="false" outlineLevel="0" collapsed="false">
      <c r="A72" s="364" t="n">
        <v>153</v>
      </c>
      <c r="B72" s="364" t="n">
        <f aca="false">COUNTA(D72:FK72)</f>
        <v>58</v>
      </c>
      <c r="C72" s="364" t="s">
        <v>576</v>
      </c>
      <c r="D72" s="364" t="s">
        <v>2310</v>
      </c>
      <c r="E72" s="364" t="s">
        <v>2312</v>
      </c>
      <c r="F72" s="364" t="s">
        <v>2356</v>
      </c>
      <c r="G72" s="364" t="s">
        <v>2464</v>
      </c>
      <c r="H72" s="364" t="s">
        <v>138</v>
      </c>
      <c r="I72" s="364" t="s">
        <v>2465</v>
      </c>
      <c r="J72" s="364" t="s">
        <v>2542</v>
      </c>
      <c r="K72" s="364" t="s">
        <v>2569</v>
      </c>
      <c r="L72" s="364" t="s">
        <v>2316</v>
      </c>
      <c r="M72" s="364" t="s">
        <v>2543</v>
      </c>
      <c r="N72" s="364" t="s">
        <v>2364</v>
      </c>
      <c r="O72" s="364" t="s">
        <v>2436</v>
      </c>
      <c r="P72" s="364" t="s">
        <v>2320</v>
      </c>
      <c r="Q72" s="364" t="s">
        <v>2534</v>
      </c>
      <c r="R72" s="364" t="s">
        <v>2369</v>
      </c>
      <c r="S72" s="364" t="s">
        <v>2376</v>
      </c>
      <c r="T72" s="364" t="s">
        <v>2377</v>
      </c>
      <c r="U72" s="364" t="s">
        <v>2324</v>
      </c>
      <c r="V72" s="364" t="s">
        <v>2614</v>
      </c>
      <c r="W72" s="364" t="s">
        <v>2327</v>
      </c>
      <c r="X72" s="364" t="s">
        <v>2328</v>
      </c>
      <c r="Y72" s="364" t="s">
        <v>2329</v>
      </c>
      <c r="Z72" s="364" t="s">
        <v>2416</v>
      </c>
      <c r="AA72" s="364" t="s">
        <v>2381</v>
      </c>
      <c r="AB72" s="364" t="s">
        <v>2545</v>
      </c>
      <c r="AC72" s="364" t="s">
        <v>2539</v>
      </c>
      <c r="AD72" s="364" t="s">
        <v>2540</v>
      </c>
      <c r="AE72" s="364" t="s">
        <v>2382</v>
      </c>
      <c r="AF72" s="364" t="s">
        <v>2383</v>
      </c>
      <c r="AG72" s="261" t="s">
        <v>183</v>
      </c>
      <c r="AH72" s="364" t="s">
        <v>2387</v>
      </c>
      <c r="AI72" s="364" t="s">
        <v>157</v>
      </c>
      <c r="AJ72" s="364" t="s">
        <v>2440</v>
      </c>
      <c r="AK72" s="364" t="s">
        <v>2461</v>
      </c>
      <c r="AL72" s="364" t="s">
        <v>2335</v>
      </c>
      <c r="AM72" s="364" t="s">
        <v>2337</v>
      </c>
      <c r="AN72" s="364" t="s">
        <v>2338</v>
      </c>
      <c r="AO72" s="364" t="s">
        <v>2339</v>
      </c>
      <c r="AP72" s="364" t="s">
        <v>2611</v>
      </c>
      <c r="AQ72" s="364" t="s">
        <v>2340</v>
      </c>
      <c r="AR72" s="364" t="s">
        <v>2341</v>
      </c>
      <c r="AS72" s="364" t="s">
        <v>2391</v>
      </c>
      <c r="AT72" s="364" t="s">
        <v>2470</v>
      </c>
      <c r="AU72" s="364" t="s">
        <v>2422</v>
      </c>
      <c r="AV72" s="364" t="s">
        <v>2393</v>
      </c>
      <c r="AW72" s="364" t="s">
        <v>2344</v>
      </c>
      <c r="AX72" s="364" t="s">
        <v>2347</v>
      </c>
      <c r="AY72" s="364" t="s">
        <v>2397</v>
      </c>
      <c r="AZ72" s="364" t="s">
        <v>2398</v>
      </c>
      <c r="BA72" s="364" t="s">
        <v>2349</v>
      </c>
      <c r="BB72" s="364" t="s">
        <v>2445</v>
      </c>
      <c r="BC72" s="364" t="s">
        <v>2475</v>
      </c>
      <c r="BD72" s="364" t="s">
        <v>2476</v>
      </c>
      <c r="BE72" s="364" t="s">
        <v>2399</v>
      </c>
      <c r="BF72" s="364" t="s">
        <v>2491</v>
      </c>
      <c r="BG72" s="364" t="s">
        <v>2492</v>
      </c>
      <c r="BH72" s="364" t="s">
        <v>2477</v>
      </c>
      <c r="BI72" s="364" t="s">
        <v>2493</v>
      </c>
      <c r="BJ72" s="364"/>
      <c r="BK72" s="364"/>
      <c r="BL72" s="364"/>
      <c r="BM72" s="364"/>
      <c r="BN72" s="364"/>
      <c r="BO72" s="364"/>
      <c r="BP72" s="364"/>
      <c r="BQ72" s="364"/>
      <c r="BR72" s="364"/>
      <c r="BS72" s="364"/>
      <c r="BT72" s="364"/>
      <c r="BU72" s="364"/>
      <c r="BV72" s="364"/>
      <c r="BW72" s="364"/>
      <c r="BX72" s="364"/>
      <c r="BY72" s="364"/>
      <c r="BZ72" s="364"/>
      <c r="CA72" s="364"/>
      <c r="CB72" s="364"/>
      <c r="CC72" s="364"/>
      <c r="CD72" s="364"/>
      <c r="CE72" s="364"/>
      <c r="CF72" s="364"/>
      <c r="CG72" s="364"/>
      <c r="CH72" s="364"/>
      <c r="CI72" s="364"/>
      <c r="CJ72" s="364"/>
      <c r="CK72" s="364"/>
      <c r="CL72" s="364"/>
      <c r="CM72" s="364"/>
      <c r="CN72" s="364"/>
      <c r="CO72" s="364"/>
      <c r="CP72" s="364"/>
      <c r="CQ72" s="364"/>
      <c r="CR72" s="364"/>
      <c r="CS72" s="364"/>
      <c r="CT72" s="364"/>
      <c r="CU72" s="364"/>
      <c r="CV72" s="364"/>
      <c r="CW72" s="364"/>
      <c r="CX72" s="364"/>
      <c r="CY72" s="364"/>
      <c r="CZ72" s="364"/>
      <c r="DA72" s="364"/>
      <c r="DB72" s="364"/>
      <c r="DC72" s="364"/>
      <c r="DD72" s="364"/>
      <c r="DE72" s="364"/>
      <c r="DF72" s="364"/>
      <c r="DG72" s="364"/>
      <c r="DH72" s="364"/>
      <c r="DI72" s="364"/>
      <c r="DJ72" s="364"/>
      <c r="DK72" s="364"/>
      <c r="DL72" s="364"/>
      <c r="DM72" s="364"/>
      <c r="DN72" s="364"/>
      <c r="DO72" s="364"/>
      <c r="DP72" s="364"/>
      <c r="DQ72" s="364"/>
      <c r="DR72" s="364"/>
      <c r="DS72" s="364"/>
      <c r="DT72" s="364"/>
      <c r="DU72" s="364"/>
      <c r="DV72" s="364"/>
      <c r="DW72" s="364"/>
      <c r="DX72" s="364"/>
      <c r="DY72" s="364"/>
      <c r="DZ72" s="364"/>
      <c r="EA72" s="364"/>
      <c r="EB72" s="364"/>
      <c r="EC72" s="364"/>
      <c r="ED72" s="364"/>
      <c r="EE72" s="364"/>
      <c r="EF72" s="364"/>
      <c r="EG72" s="364"/>
      <c r="EH72" s="364"/>
      <c r="EI72" s="364"/>
      <c r="EJ72" s="364"/>
      <c r="EK72" s="364"/>
      <c r="EL72" s="364"/>
      <c r="EM72" s="364"/>
      <c r="EN72" s="364"/>
      <c r="EO72" s="364"/>
      <c r="EP72" s="364"/>
      <c r="EQ72" s="364"/>
      <c r="ER72" s="364"/>
      <c r="ES72" s="364"/>
      <c r="ET72" s="364"/>
      <c r="EU72" s="364"/>
      <c r="EV72" s="364"/>
      <c r="EW72" s="364"/>
      <c r="EX72" s="364"/>
      <c r="EY72" s="364"/>
      <c r="EZ72" s="364"/>
      <c r="FA72" s="364"/>
      <c r="FB72" s="364"/>
      <c r="FC72" s="364"/>
      <c r="FD72" s="364"/>
      <c r="FE72" s="364"/>
      <c r="FF72" s="364"/>
      <c r="FG72" s="364"/>
      <c r="FH72" s="364"/>
      <c r="FI72" s="364"/>
      <c r="FJ72" s="364"/>
      <c r="FK72" s="364"/>
    </row>
    <row r="73" customFormat="false" ht="15.75" hidden="false" customHeight="false" outlineLevel="0" collapsed="false">
      <c r="A73" s="364" t="n">
        <v>154</v>
      </c>
      <c r="B73" s="364" t="n">
        <f aca="false">COUNTA(D73:FK73)</f>
        <v>57</v>
      </c>
      <c r="C73" s="364" t="s">
        <v>579</v>
      </c>
      <c r="D73" s="364" t="s">
        <v>2483</v>
      </c>
      <c r="E73" s="364" t="s">
        <v>2310</v>
      </c>
      <c r="F73" s="364" t="s">
        <v>2312</v>
      </c>
      <c r="G73" s="364" t="s">
        <v>2356</v>
      </c>
      <c r="H73" s="364" t="s">
        <v>2618</v>
      </c>
      <c r="I73" s="364" t="s">
        <v>138</v>
      </c>
      <c r="J73" s="364" t="s">
        <v>2465</v>
      </c>
      <c r="K73" s="364" t="s">
        <v>2542</v>
      </c>
      <c r="L73" s="364" t="s">
        <v>2316</v>
      </c>
      <c r="M73" s="364" t="s">
        <v>2543</v>
      </c>
      <c r="N73" s="364" t="s">
        <v>2364</v>
      </c>
      <c r="O73" s="364" t="s">
        <v>2365</v>
      </c>
      <c r="P73" s="364" t="s">
        <v>2320</v>
      </c>
      <c r="Q73" s="364" t="s">
        <v>2535</v>
      </c>
      <c r="R73" s="364" t="s">
        <v>2366</v>
      </c>
      <c r="S73" s="364" t="s">
        <v>2369</v>
      </c>
      <c r="T73" s="364" t="s">
        <v>2370</v>
      </c>
      <c r="U73" s="364" t="s">
        <v>2371</v>
      </c>
      <c r="V73" s="364" t="s">
        <v>2372</v>
      </c>
      <c r="W73" s="364" t="s">
        <v>2373</v>
      </c>
      <c r="X73" s="364" t="s">
        <v>2374</v>
      </c>
      <c r="Y73" s="364" t="s">
        <v>2376</v>
      </c>
      <c r="Z73" s="364" t="s">
        <v>2377</v>
      </c>
      <c r="AA73" s="364" t="s">
        <v>2324</v>
      </c>
      <c r="AB73" s="364" t="s">
        <v>2327</v>
      </c>
      <c r="AC73" s="364" t="s">
        <v>2378</v>
      </c>
      <c r="AD73" s="364" t="s">
        <v>2328</v>
      </c>
      <c r="AE73" s="364" t="s">
        <v>2329</v>
      </c>
      <c r="AF73" s="364" t="s">
        <v>2379</v>
      </c>
      <c r="AG73" s="364" t="s">
        <v>2381</v>
      </c>
      <c r="AH73" s="364" t="s">
        <v>2545</v>
      </c>
      <c r="AI73" s="364" t="s">
        <v>2627</v>
      </c>
      <c r="AJ73" s="364" t="s">
        <v>2539</v>
      </c>
      <c r="AK73" s="364" t="s">
        <v>2540</v>
      </c>
      <c r="AL73" s="364" t="s">
        <v>2610</v>
      </c>
      <c r="AM73" s="364" t="s">
        <v>2382</v>
      </c>
      <c r="AN73" s="364" t="s">
        <v>2383</v>
      </c>
      <c r="AO73" s="261" t="s">
        <v>183</v>
      </c>
      <c r="AP73" s="364" t="s">
        <v>2386</v>
      </c>
      <c r="AQ73" s="364" t="s">
        <v>2387</v>
      </c>
      <c r="AR73" s="364" t="s">
        <v>157</v>
      </c>
      <c r="AS73" s="364" t="s">
        <v>2440</v>
      </c>
      <c r="AT73" s="364" t="s">
        <v>2335</v>
      </c>
      <c r="AU73" s="364" t="s">
        <v>2337</v>
      </c>
      <c r="AV73" s="364" t="s">
        <v>2338</v>
      </c>
      <c r="AW73" s="364" t="s">
        <v>2339</v>
      </c>
      <c r="AX73" s="364" t="s">
        <v>2340</v>
      </c>
      <c r="AY73" s="364" t="s">
        <v>2341</v>
      </c>
      <c r="AZ73" s="364" t="s">
        <v>2391</v>
      </c>
      <c r="BA73" s="364" t="s">
        <v>2393</v>
      </c>
      <c r="BB73" s="364" t="s">
        <v>2619</v>
      </c>
      <c r="BC73" s="364" t="s">
        <v>2344</v>
      </c>
      <c r="BD73" s="364" t="s">
        <v>2347</v>
      </c>
      <c r="BE73" s="364" t="s">
        <v>2397</v>
      </c>
      <c r="BF73" s="364" t="s">
        <v>2349</v>
      </c>
      <c r="BG73" s="364" t="s">
        <v>2445</v>
      </c>
      <c r="BH73" s="364" t="s">
        <v>2399</v>
      </c>
      <c r="BI73" s="364"/>
      <c r="BJ73" s="364"/>
      <c r="BK73" s="364"/>
      <c r="BL73" s="364"/>
      <c r="BM73" s="364"/>
      <c r="BN73" s="364"/>
      <c r="BO73" s="364"/>
      <c r="BP73" s="364"/>
      <c r="BQ73" s="364"/>
      <c r="BR73" s="364"/>
      <c r="BS73" s="364"/>
      <c r="BT73" s="364"/>
      <c r="BU73" s="364"/>
      <c r="BV73" s="364"/>
      <c r="BW73" s="364"/>
      <c r="BX73" s="364"/>
      <c r="BY73" s="364"/>
      <c r="BZ73" s="364"/>
      <c r="CA73" s="364"/>
      <c r="CB73" s="364"/>
      <c r="CC73" s="364"/>
      <c r="CD73" s="364"/>
      <c r="CE73" s="364"/>
      <c r="CF73" s="364"/>
      <c r="CG73" s="364"/>
      <c r="CH73" s="364"/>
      <c r="CI73" s="364"/>
      <c r="CJ73" s="364"/>
      <c r="CK73" s="364"/>
      <c r="CL73" s="364"/>
      <c r="CM73" s="364"/>
      <c r="CN73" s="364"/>
      <c r="CO73" s="364"/>
      <c r="CP73" s="364"/>
      <c r="CQ73" s="364"/>
      <c r="CR73" s="364"/>
      <c r="CS73" s="364"/>
      <c r="CT73" s="364"/>
      <c r="CU73" s="364"/>
      <c r="CV73" s="364"/>
      <c r="CW73" s="364"/>
      <c r="CX73" s="364"/>
      <c r="CY73" s="364"/>
      <c r="CZ73" s="364"/>
      <c r="DA73" s="364"/>
      <c r="DB73" s="364"/>
      <c r="DC73" s="364"/>
      <c r="DD73" s="364"/>
      <c r="DE73" s="364"/>
      <c r="DF73" s="364"/>
      <c r="DG73" s="364"/>
      <c r="DH73" s="364"/>
      <c r="DI73" s="364"/>
      <c r="DJ73" s="364"/>
      <c r="DK73" s="364"/>
      <c r="DL73" s="364"/>
      <c r="DM73" s="364"/>
      <c r="DN73" s="364"/>
      <c r="DO73" s="364"/>
      <c r="DP73" s="364"/>
      <c r="DQ73" s="364"/>
      <c r="DR73" s="364"/>
      <c r="DS73" s="364"/>
      <c r="DT73" s="364"/>
      <c r="DU73" s="364"/>
      <c r="DV73" s="364"/>
      <c r="DW73" s="364"/>
      <c r="DX73" s="364"/>
      <c r="DY73" s="364"/>
      <c r="DZ73" s="364"/>
      <c r="EA73" s="364"/>
      <c r="EB73" s="364"/>
      <c r="EC73" s="364"/>
      <c r="ED73" s="364"/>
      <c r="EE73" s="364"/>
      <c r="EF73" s="364"/>
      <c r="EG73" s="364"/>
      <c r="EH73" s="364"/>
      <c r="EI73" s="364"/>
      <c r="EJ73" s="364"/>
      <c r="EK73" s="364"/>
      <c r="EL73" s="364"/>
      <c r="EM73" s="364"/>
      <c r="EN73" s="364"/>
      <c r="EO73" s="364"/>
      <c r="EP73" s="364"/>
      <c r="EQ73" s="364"/>
      <c r="ER73" s="364"/>
      <c r="ES73" s="364"/>
      <c r="ET73" s="364"/>
      <c r="EU73" s="364"/>
      <c r="EV73" s="364"/>
      <c r="EW73" s="364"/>
      <c r="EX73" s="364"/>
      <c r="EY73" s="364"/>
      <c r="EZ73" s="364"/>
      <c r="FA73" s="364"/>
      <c r="FB73" s="364"/>
      <c r="FC73" s="364"/>
      <c r="FD73" s="364"/>
      <c r="FE73" s="364"/>
      <c r="FF73" s="364"/>
      <c r="FG73" s="364"/>
      <c r="FH73" s="364"/>
      <c r="FI73" s="364"/>
      <c r="FJ73" s="364"/>
      <c r="FK73" s="364"/>
    </row>
    <row r="74" customFormat="false" ht="15.75" hidden="false" customHeight="false" outlineLevel="0" collapsed="false">
      <c r="A74" s="364" t="n">
        <v>155</v>
      </c>
      <c r="B74" s="364" t="n">
        <f aca="false">COUNTA(D74:FK74)</f>
        <v>53</v>
      </c>
      <c r="C74" s="364" t="s">
        <v>581</v>
      </c>
      <c r="D74" s="364" t="s">
        <v>2310</v>
      </c>
      <c r="E74" s="364" t="s">
        <v>2311</v>
      </c>
      <c r="F74" s="364" t="s">
        <v>2312</v>
      </c>
      <c r="G74" s="364" t="s">
        <v>2356</v>
      </c>
      <c r="H74" s="364" t="s">
        <v>2357</v>
      </c>
      <c r="I74" s="364" t="s">
        <v>2432</v>
      </c>
      <c r="J74" s="364" t="s">
        <v>2313</v>
      </c>
      <c r="K74" s="364" t="s">
        <v>2541</v>
      </c>
      <c r="L74" s="364" t="s">
        <v>2315</v>
      </c>
      <c r="M74" s="364" t="s">
        <v>2358</v>
      </c>
      <c r="N74" s="364" t="s">
        <v>2316</v>
      </c>
      <c r="O74" s="364" t="s">
        <v>2579</v>
      </c>
      <c r="P74" s="364" t="s">
        <v>2317</v>
      </c>
      <c r="Q74" s="364" t="s">
        <v>2320</v>
      </c>
      <c r="R74" s="364" t="s">
        <v>2449</v>
      </c>
      <c r="S74" s="364" t="s">
        <v>2534</v>
      </c>
      <c r="T74" s="364" t="s">
        <v>2535</v>
      </c>
      <c r="U74" s="364" t="s">
        <v>2376</v>
      </c>
      <c r="V74" s="364" t="s">
        <v>2377</v>
      </c>
      <c r="W74" s="364" t="s">
        <v>2451</v>
      </c>
      <c r="X74" s="364" t="s">
        <v>2322</v>
      </c>
      <c r="Y74" s="364" t="s">
        <v>2324</v>
      </c>
      <c r="Z74" s="364" t="s">
        <v>2327</v>
      </c>
      <c r="AA74" s="364" t="s">
        <v>2328</v>
      </c>
      <c r="AB74" s="364" t="s">
        <v>2329</v>
      </c>
      <c r="AC74" s="364" t="s">
        <v>2330</v>
      </c>
      <c r="AD74" s="364" t="s">
        <v>2461</v>
      </c>
      <c r="AE74" s="364" t="s">
        <v>2335</v>
      </c>
      <c r="AF74" s="364" t="s">
        <v>2337</v>
      </c>
      <c r="AG74" s="364" t="s">
        <v>2553</v>
      </c>
      <c r="AH74" s="364" t="s">
        <v>2338</v>
      </c>
      <c r="AI74" s="364" t="s">
        <v>2388</v>
      </c>
      <c r="AJ74" s="364" t="s">
        <v>2339</v>
      </c>
      <c r="AK74" s="364" t="s">
        <v>2389</v>
      </c>
      <c r="AL74" s="364" t="s">
        <v>2340</v>
      </c>
      <c r="AM74" s="364" t="s">
        <v>2341</v>
      </c>
      <c r="AN74" s="364" t="s">
        <v>2391</v>
      </c>
      <c r="AO74" s="364" t="s">
        <v>2395</v>
      </c>
      <c r="AP74" s="364" t="s">
        <v>2423</v>
      </c>
      <c r="AQ74" s="364" t="s">
        <v>2344</v>
      </c>
      <c r="AR74" s="364" t="s">
        <v>2500</v>
      </c>
      <c r="AS74" s="364" t="s">
        <v>2628</v>
      </c>
      <c r="AT74" s="364" t="s">
        <v>2347</v>
      </c>
      <c r="AU74" s="364" t="s">
        <v>2444</v>
      </c>
      <c r="AV74" s="364" t="s">
        <v>2397</v>
      </c>
      <c r="AW74" s="364" t="s">
        <v>2511</v>
      </c>
      <c r="AX74" s="364" t="s">
        <v>2349</v>
      </c>
      <c r="AY74" s="364" t="s">
        <v>2445</v>
      </c>
      <c r="AZ74" s="364" t="s">
        <v>2515</v>
      </c>
      <c r="BA74" s="364" t="s">
        <v>2456</v>
      </c>
      <c r="BB74" s="364" t="s">
        <v>2595</v>
      </c>
      <c r="BC74" s="364" t="s">
        <v>2554</v>
      </c>
      <c r="BD74" s="364" t="s">
        <v>2458</v>
      </c>
      <c r="BE74" s="364"/>
      <c r="BF74" s="364"/>
      <c r="BG74" s="364"/>
      <c r="BH74" s="364"/>
      <c r="BI74" s="364"/>
      <c r="BJ74" s="364"/>
      <c r="BK74" s="364"/>
      <c r="BL74" s="364"/>
      <c r="BM74" s="364"/>
      <c r="BN74" s="364"/>
      <c r="BO74" s="364"/>
      <c r="BP74" s="364"/>
      <c r="BQ74" s="364"/>
      <c r="BR74" s="364"/>
      <c r="BS74" s="364"/>
      <c r="BT74" s="364"/>
      <c r="BU74" s="364"/>
      <c r="BV74" s="364"/>
      <c r="BW74" s="364"/>
      <c r="BX74" s="364"/>
      <c r="BY74" s="364"/>
      <c r="BZ74" s="364"/>
      <c r="CA74" s="364"/>
      <c r="CB74" s="364"/>
      <c r="CC74" s="364"/>
      <c r="CD74" s="364"/>
      <c r="CE74" s="364"/>
      <c r="CF74" s="364"/>
      <c r="CG74" s="364"/>
      <c r="CH74" s="364"/>
      <c r="CI74" s="364"/>
      <c r="CJ74" s="364"/>
      <c r="CK74" s="364"/>
      <c r="CL74" s="364"/>
      <c r="CM74" s="364"/>
      <c r="CN74" s="364"/>
      <c r="CO74" s="364"/>
      <c r="CP74" s="364"/>
      <c r="CQ74" s="364"/>
      <c r="CR74" s="364"/>
      <c r="CS74" s="364"/>
      <c r="CT74" s="364"/>
      <c r="CU74" s="364"/>
      <c r="CV74" s="364"/>
      <c r="CW74" s="364"/>
      <c r="CX74" s="364"/>
      <c r="CY74" s="364"/>
      <c r="CZ74" s="364"/>
      <c r="DA74" s="364"/>
      <c r="DB74" s="364"/>
      <c r="DC74" s="364"/>
      <c r="DD74" s="364"/>
      <c r="DE74" s="364"/>
      <c r="DF74" s="364"/>
      <c r="DG74" s="364"/>
      <c r="DH74" s="364"/>
      <c r="DI74" s="364"/>
      <c r="DJ74" s="364"/>
      <c r="DK74" s="364"/>
      <c r="DL74" s="364"/>
      <c r="DM74" s="364"/>
      <c r="DN74" s="364"/>
      <c r="DO74" s="364"/>
      <c r="DP74" s="364"/>
      <c r="DQ74" s="364"/>
      <c r="DR74" s="364"/>
      <c r="DS74" s="364"/>
      <c r="DT74" s="364"/>
      <c r="DU74" s="364"/>
      <c r="DV74" s="364"/>
      <c r="DW74" s="364"/>
      <c r="DX74" s="364"/>
      <c r="DY74" s="364"/>
      <c r="DZ74" s="364"/>
      <c r="EA74" s="364"/>
      <c r="EB74" s="364"/>
      <c r="EC74" s="364"/>
      <c r="ED74" s="364"/>
      <c r="EE74" s="364"/>
      <c r="EF74" s="364"/>
      <c r="EG74" s="364"/>
      <c r="EH74" s="364"/>
      <c r="EI74" s="364"/>
      <c r="EJ74" s="364"/>
      <c r="EK74" s="364"/>
      <c r="EL74" s="364"/>
      <c r="EM74" s="364"/>
      <c r="EN74" s="364"/>
      <c r="EO74" s="364"/>
      <c r="EP74" s="364"/>
      <c r="EQ74" s="364"/>
      <c r="ER74" s="364"/>
      <c r="ES74" s="364"/>
      <c r="ET74" s="364"/>
      <c r="EU74" s="364"/>
      <c r="EV74" s="364"/>
      <c r="EW74" s="364"/>
      <c r="EX74" s="364"/>
      <c r="EY74" s="364"/>
      <c r="EZ74" s="364"/>
      <c r="FA74" s="364"/>
      <c r="FB74" s="364"/>
      <c r="FC74" s="364"/>
      <c r="FD74" s="364"/>
      <c r="FE74" s="364"/>
      <c r="FF74" s="364"/>
      <c r="FG74" s="364"/>
      <c r="FH74" s="364"/>
      <c r="FI74" s="364"/>
      <c r="FJ74" s="364"/>
      <c r="FK74" s="364"/>
    </row>
    <row r="75" customFormat="false" ht="15.75" hidden="false" customHeight="false" outlineLevel="0" collapsed="false">
      <c r="A75" s="364" t="n">
        <v>157</v>
      </c>
      <c r="B75" s="364" t="n">
        <f aca="false">COUNTA(D75:FK75)</f>
        <v>53</v>
      </c>
      <c r="C75" s="364" t="s">
        <v>586</v>
      </c>
      <c r="D75" s="364" t="s">
        <v>2310</v>
      </c>
      <c r="E75" s="364" t="s">
        <v>2405</v>
      </c>
      <c r="F75" s="364" t="s">
        <v>2312</v>
      </c>
      <c r="G75" s="364" t="s">
        <v>2313</v>
      </c>
      <c r="H75" s="364" t="s">
        <v>2316</v>
      </c>
      <c r="I75" s="364" t="s">
        <v>2317</v>
      </c>
      <c r="J75" s="364" t="s">
        <v>2448</v>
      </c>
      <c r="K75" s="364" t="s">
        <v>2320</v>
      </c>
      <c r="L75" s="364" t="s">
        <v>2366</v>
      </c>
      <c r="M75" s="364" t="s">
        <v>2373</v>
      </c>
      <c r="N75" s="364" t="s">
        <v>2324</v>
      </c>
      <c r="O75" s="364" t="s">
        <v>2327</v>
      </c>
      <c r="P75" s="364" t="s">
        <v>2328</v>
      </c>
      <c r="Q75" s="364" t="s">
        <v>2512</v>
      </c>
      <c r="R75" s="364" t="s">
        <v>2329</v>
      </c>
      <c r="S75" s="364" t="s">
        <v>2415</v>
      </c>
      <c r="T75" s="364" t="s">
        <v>2417</v>
      </c>
      <c r="U75" s="364" t="s">
        <v>2379</v>
      </c>
      <c r="V75" s="364" t="s">
        <v>2506</v>
      </c>
      <c r="W75" s="364" t="s">
        <v>2381</v>
      </c>
      <c r="X75" s="364" t="s">
        <v>2332</v>
      </c>
      <c r="Y75" s="364" t="s">
        <v>2452</v>
      </c>
      <c r="Z75" s="364" t="s">
        <v>2455</v>
      </c>
      <c r="AA75" s="364" t="s">
        <v>2335</v>
      </c>
      <c r="AB75" s="364" t="s">
        <v>2337</v>
      </c>
      <c r="AC75" s="364" t="s">
        <v>2469</v>
      </c>
      <c r="AD75" s="364" t="s">
        <v>2338</v>
      </c>
      <c r="AE75" s="364" t="s">
        <v>2388</v>
      </c>
      <c r="AF75" s="364" t="s">
        <v>2339</v>
      </c>
      <c r="AG75" s="364" t="s">
        <v>2389</v>
      </c>
      <c r="AH75" s="364" t="s">
        <v>2340</v>
      </c>
      <c r="AI75" s="364" t="s">
        <v>2341</v>
      </c>
      <c r="AJ75" s="364" t="s">
        <v>2470</v>
      </c>
      <c r="AK75" s="364" t="s">
        <v>2393</v>
      </c>
      <c r="AL75" s="364" t="s">
        <v>2514</v>
      </c>
      <c r="AM75" s="364" t="s">
        <v>2344</v>
      </c>
      <c r="AN75" s="364" t="s">
        <v>2345</v>
      </c>
      <c r="AO75" s="364" t="s">
        <v>2571</v>
      </c>
      <c r="AP75" s="364" t="s">
        <v>2346</v>
      </c>
      <c r="AQ75" s="364" t="s">
        <v>2500</v>
      </c>
      <c r="AR75" s="364" t="s">
        <v>2347</v>
      </c>
      <c r="AS75" s="364" t="s">
        <v>2424</v>
      </c>
      <c r="AT75" s="364" t="s">
        <v>2348</v>
      </c>
      <c r="AU75" s="364" t="s">
        <v>2349</v>
      </c>
      <c r="AV75" s="364" t="s">
        <v>2515</v>
      </c>
      <c r="AW75" s="364" t="s">
        <v>2475</v>
      </c>
      <c r="AX75" s="364" t="s">
        <v>2476</v>
      </c>
      <c r="AY75" s="364" t="s">
        <v>2463</v>
      </c>
      <c r="AZ75" s="364" t="s">
        <v>2428</v>
      </c>
      <c r="BA75" s="364" t="s">
        <v>2429</v>
      </c>
      <c r="BB75" s="364" t="s">
        <v>2477</v>
      </c>
      <c r="BC75" s="364" t="s">
        <v>2493</v>
      </c>
      <c r="BD75" s="364" t="s">
        <v>2430</v>
      </c>
      <c r="BE75" s="364"/>
      <c r="BF75" s="364"/>
      <c r="BG75" s="364"/>
      <c r="BH75" s="364"/>
      <c r="BI75" s="364"/>
      <c r="BJ75" s="364"/>
      <c r="BK75" s="364"/>
      <c r="BL75" s="364"/>
      <c r="BM75" s="364"/>
      <c r="BN75" s="364"/>
      <c r="BO75" s="364"/>
      <c r="BP75" s="364"/>
      <c r="BQ75" s="364"/>
      <c r="BR75" s="364"/>
      <c r="BS75" s="364"/>
      <c r="BT75" s="364"/>
      <c r="BU75" s="364"/>
      <c r="BV75" s="364"/>
      <c r="BW75" s="364"/>
      <c r="BX75" s="364"/>
      <c r="BY75" s="364"/>
      <c r="BZ75" s="364"/>
      <c r="CA75" s="364"/>
      <c r="CB75" s="364"/>
      <c r="CC75" s="364"/>
      <c r="CD75" s="364"/>
      <c r="CE75" s="364"/>
      <c r="CF75" s="364"/>
      <c r="CG75" s="364"/>
      <c r="CH75" s="364"/>
      <c r="CI75" s="364"/>
      <c r="CJ75" s="364"/>
      <c r="CK75" s="364"/>
      <c r="CL75" s="364"/>
      <c r="CM75" s="364"/>
      <c r="CN75" s="364"/>
      <c r="CO75" s="364"/>
      <c r="CP75" s="364"/>
      <c r="CQ75" s="364"/>
      <c r="CR75" s="364"/>
      <c r="CS75" s="364"/>
      <c r="CT75" s="364"/>
      <c r="CU75" s="364"/>
      <c r="CV75" s="364"/>
      <c r="CW75" s="364"/>
      <c r="CX75" s="364"/>
      <c r="CY75" s="364"/>
      <c r="CZ75" s="364"/>
      <c r="DA75" s="364"/>
      <c r="DB75" s="364"/>
      <c r="DC75" s="364"/>
      <c r="DD75" s="364"/>
      <c r="DE75" s="364"/>
      <c r="DF75" s="364"/>
      <c r="DG75" s="364"/>
      <c r="DH75" s="364"/>
      <c r="DI75" s="364"/>
      <c r="DJ75" s="364"/>
      <c r="DK75" s="364"/>
      <c r="DL75" s="364"/>
      <c r="DM75" s="364"/>
      <c r="DN75" s="364"/>
      <c r="DO75" s="364"/>
      <c r="DP75" s="364"/>
      <c r="DQ75" s="364"/>
      <c r="DR75" s="364"/>
      <c r="DS75" s="364"/>
      <c r="DT75" s="364"/>
      <c r="DU75" s="364"/>
      <c r="DV75" s="364"/>
      <c r="DW75" s="364"/>
      <c r="DX75" s="364"/>
      <c r="DY75" s="364"/>
      <c r="DZ75" s="364"/>
      <c r="EA75" s="364"/>
      <c r="EB75" s="364"/>
      <c r="EC75" s="364"/>
      <c r="ED75" s="364"/>
      <c r="EE75" s="364"/>
      <c r="EF75" s="364"/>
      <c r="EG75" s="364"/>
      <c r="EH75" s="364"/>
      <c r="EI75" s="364"/>
      <c r="EJ75" s="364"/>
      <c r="EK75" s="364"/>
      <c r="EL75" s="364"/>
      <c r="EM75" s="364"/>
      <c r="EN75" s="364"/>
      <c r="EO75" s="364"/>
      <c r="EP75" s="364"/>
      <c r="EQ75" s="364"/>
      <c r="ER75" s="364"/>
      <c r="ES75" s="364"/>
      <c r="ET75" s="364"/>
      <c r="EU75" s="364"/>
      <c r="EV75" s="364"/>
      <c r="EW75" s="364"/>
      <c r="EX75" s="364"/>
      <c r="EY75" s="364"/>
      <c r="EZ75" s="364"/>
      <c r="FA75" s="364"/>
      <c r="FB75" s="364"/>
      <c r="FC75" s="364"/>
      <c r="FD75" s="364"/>
      <c r="FE75" s="364"/>
      <c r="FF75" s="364"/>
      <c r="FG75" s="364"/>
      <c r="FH75" s="364"/>
      <c r="FI75" s="364"/>
      <c r="FJ75" s="364"/>
      <c r="FK75" s="364"/>
    </row>
    <row r="76" customFormat="false" ht="15.75" hidden="false" customHeight="false" outlineLevel="0" collapsed="false">
      <c r="A76" s="364" t="n">
        <v>159</v>
      </c>
      <c r="B76" s="364" t="n">
        <f aca="false">COUNTA(D76:FK76)</f>
        <v>60</v>
      </c>
      <c r="C76" s="364" t="s">
        <v>590</v>
      </c>
      <c r="D76" s="364" t="s">
        <v>2402</v>
      </c>
      <c r="E76" s="364" t="s">
        <v>2403</v>
      </c>
      <c r="F76" s="364" t="s">
        <v>2310</v>
      </c>
      <c r="G76" s="364" t="s">
        <v>2404</v>
      </c>
      <c r="H76" s="364" t="s">
        <v>2405</v>
      </c>
      <c r="I76" s="364" t="s">
        <v>2312</v>
      </c>
      <c r="J76" s="364" t="s">
        <v>2516</v>
      </c>
      <c r="K76" s="364" t="s">
        <v>2406</v>
      </c>
      <c r="L76" s="364" t="s">
        <v>2357</v>
      </c>
      <c r="M76" s="364" t="s">
        <v>2408</v>
      </c>
      <c r="N76" s="364" t="s">
        <v>2313</v>
      </c>
      <c r="O76" s="364" t="s">
        <v>2466</v>
      </c>
      <c r="P76" s="364" t="s">
        <v>2409</v>
      </c>
      <c r="Q76" s="364" t="s">
        <v>2410</v>
      </c>
      <c r="R76" s="364" t="s">
        <v>2316</v>
      </c>
      <c r="S76" s="364" t="s">
        <v>2359</v>
      </c>
      <c r="T76" s="364" t="s">
        <v>2361</v>
      </c>
      <c r="U76" s="364" t="s">
        <v>2362</v>
      </c>
      <c r="V76" s="364" t="s">
        <v>2363</v>
      </c>
      <c r="W76" s="364" t="s">
        <v>2317</v>
      </c>
      <c r="X76" s="364" t="s">
        <v>2320</v>
      </c>
      <c r="Y76" s="364" t="s">
        <v>2366</v>
      </c>
      <c r="Z76" s="364" t="s">
        <v>2373</v>
      </c>
      <c r="AA76" s="364" t="s">
        <v>2324</v>
      </c>
      <c r="AB76" s="364" t="s">
        <v>2327</v>
      </c>
      <c r="AC76" s="364" t="s">
        <v>2328</v>
      </c>
      <c r="AD76" s="364" t="s">
        <v>2459</v>
      </c>
      <c r="AE76" s="364" t="s">
        <v>2414</v>
      </c>
      <c r="AF76" s="364" t="s">
        <v>2329</v>
      </c>
      <c r="AG76" s="364" t="s">
        <v>2415</v>
      </c>
      <c r="AH76" s="364" t="s">
        <v>2485</v>
      </c>
      <c r="AI76" s="364" t="s">
        <v>2417</v>
      </c>
      <c r="AJ76" s="364" t="s">
        <v>2379</v>
      </c>
      <c r="AK76" s="364" t="s">
        <v>2506</v>
      </c>
      <c r="AL76" s="364" t="s">
        <v>2381</v>
      </c>
      <c r="AM76" s="364" t="s">
        <v>2332</v>
      </c>
      <c r="AN76" s="364" t="s">
        <v>2452</v>
      </c>
      <c r="AO76" s="364" t="s">
        <v>2335</v>
      </c>
      <c r="AP76" s="364" t="s">
        <v>2337</v>
      </c>
      <c r="AQ76" s="364" t="s">
        <v>2339</v>
      </c>
      <c r="AR76" s="364" t="s">
        <v>2340</v>
      </c>
      <c r="AS76" s="364" t="s">
        <v>2421</v>
      </c>
      <c r="AT76" s="364" t="s">
        <v>2341</v>
      </c>
      <c r="AU76" s="364" t="s">
        <v>2393</v>
      </c>
      <c r="AV76" s="364" t="s">
        <v>2344</v>
      </c>
      <c r="AW76" s="364" t="s">
        <v>2500</v>
      </c>
      <c r="AX76" s="364" t="s">
        <v>2347</v>
      </c>
      <c r="AY76" s="364" t="s">
        <v>2424</v>
      </c>
      <c r="AZ76" s="364" t="s">
        <v>2348</v>
      </c>
      <c r="BA76" s="364" t="s">
        <v>2349</v>
      </c>
      <c r="BB76" s="364" t="s">
        <v>2515</v>
      </c>
      <c r="BC76" s="364" t="s">
        <v>2475</v>
      </c>
      <c r="BD76" s="364" t="s">
        <v>2476</v>
      </c>
      <c r="BE76" s="364" t="s">
        <v>2400</v>
      </c>
      <c r="BF76" s="364" t="s">
        <v>2463</v>
      </c>
      <c r="BG76" s="364" t="s">
        <v>2425</v>
      </c>
      <c r="BH76" s="364" t="s">
        <v>2426</v>
      </c>
      <c r="BI76" s="364" t="s">
        <v>2428</v>
      </c>
      <c r="BJ76" s="364" t="s">
        <v>2429</v>
      </c>
      <c r="BK76" s="364" t="s">
        <v>2493</v>
      </c>
      <c r="BL76" s="364"/>
      <c r="BM76" s="364"/>
      <c r="BN76" s="364"/>
      <c r="BO76" s="364"/>
      <c r="BP76" s="364"/>
      <c r="BQ76" s="364"/>
      <c r="BR76" s="364"/>
      <c r="BS76" s="364"/>
      <c r="BT76" s="364"/>
      <c r="BU76" s="364"/>
      <c r="BV76" s="364"/>
      <c r="BW76" s="364"/>
      <c r="BX76" s="364"/>
      <c r="BY76" s="364"/>
      <c r="BZ76" s="364"/>
      <c r="CA76" s="364"/>
      <c r="CB76" s="364"/>
      <c r="CC76" s="364"/>
      <c r="CD76" s="364"/>
      <c r="CE76" s="364"/>
      <c r="CF76" s="364"/>
      <c r="CG76" s="364"/>
      <c r="CH76" s="364"/>
      <c r="CI76" s="364"/>
      <c r="CJ76" s="364"/>
      <c r="CK76" s="364"/>
      <c r="CL76" s="364"/>
      <c r="CM76" s="364"/>
      <c r="CN76" s="364"/>
      <c r="CO76" s="364"/>
      <c r="CP76" s="364"/>
      <c r="CQ76" s="364"/>
      <c r="CR76" s="364"/>
      <c r="CS76" s="364"/>
      <c r="CT76" s="364"/>
      <c r="CU76" s="364"/>
      <c r="CV76" s="364"/>
      <c r="CW76" s="364"/>
      <c r="CX76" s="364"/>
      <c r="CY76" s="364"/>
      <c r="CZ76" s="364"/>
      <c r="DA76" s="364"/>
      <c r="DB76" s="364"/>
      <c r="DC76" s="364"/>
      <c r="DD76" s="364"/>
      <c r="DE76" s="364"/>
      <c r="DF76" s="364"/>
      <c r="DG76" s="364"/>
      <c r="DH76" s="364"/>
      <c r="DI76" s="364"/>
      <c r="DJ76" s="364"/>
      <c r="DK76" s="364"/>
      <c r="DL76" s="364"/>
      <c r="DM76" s="364"/>
      <c r="DN76" s="364"/>
      <c r="DO76" s="364"/>
      <c r="DP76" s="364"/>
      <c r="DQ76" s="364"/>
      <c r="DR76" s="364"/>
      <c r="DS76" s="364"/>
      <c r="DT76" s="364"/>
      <c r="DU76" s="364"/>
      <c r="DV76" s="364"/>
      <c r="DW76" s="364"/>
      <c r="DX76" s="364"/>
      <c r="DY76" s="364"/>
      <c r="DZ76" s="364"/>
      <c r="EA76" s="364"/>
      <c r="EB76" s="364"/>
      <c r="EC76" s="364"/>
      <c r="ED76" s="364"/>
      <c r="EE76" s="364"/>
      <c r="EF76" s="364"/>
      <c r="EG76" s="364"/>
      <c r="EH76" s="364"/>
      <c r="EI76" s="364"/>
      <c r="EJ76" s="364"/>
      <c r="EK76" s="364"/>
      <c r="EL76" s="364"/>
      <c r="EM76" s="364"/>
      <c r="EN76" s="364"/>
      <c r="EO76" s="364"/>
      <c r="EP76" s="364"/>
      <c r="EQ76" s="364"/>
      <c r="ER76" s="364"/>
      <c r="ES76" s="364"/>
      <c r="ET76" s="364"/>
      <c r="EU76" s="364"/>
      <c r="EV76" s="364"/>
      <c r="EW76" s="364"/>
      <c r="EX76" s="364"/>
      <c r="EY76" s="364"/>
      <c r="EZ76" s="364"/>
      <c r="FA76" s="364"/>
      <c r="FB76" s="364"/>
      <c r="FC76" s="364"/>
      <c r="FD76" s="364"/>
      <c r="FE76" s="364"/>
      <c r="FF76" s="364"/>
      <c r="FG76" s="364"/>
      <c r="FH76" s="364"/>
      <c r="FI76" s="364"/>
      <c r="FJ76" s="364"/>
      <c r="FK76" s="364"/>
    </row>
    <row r="77" customFormat="false" ht="15.75" hidden="false" customHeight="false" outlineLevel="0" collapsed="false">
      <c r="A77" s="364" t="n">
        <v>161</v>
      </c>
      <c r="B77" s="364" t="n">
        <f aca="false">COUNTA(D77:FK77)</f>
        <v>58</v>
      </c>
      <c r="C77" s="364" t="s">
        <v>595</v>
      </c>
      <c r="D77" s="364" t="s">
        <v>2561</v>
      </c>
      <c r="E77" s="364" t="s">
        <v>2402</v>
      </c>
      <c r="F77" s="364" t="s">
        <v>2581</v>
      </c>
      <c r="G77" s="364" t="s">
        <v>2403</v>
      </c>
      <c r="H77" s="364" t="s">
        <v>2310</v>
      </c>
      <c r="I77" s="364" t="s">
        <v>2405</v>
      </c>
      <c r="J77" s="364" t="s">
        <v>2312</v>
      </c>
      <c r="K77" s="364" t="s">
        <v>2406</v>
      </c>
      <c r="L77" s="364" t="s">
        <v>2408</v>
      </c>
      <c r="M77" s="364" t="s">
        <v>2313</v>
      </c>
      <c r="N77" s="364" t="s">
        <v>2410</v>
      </c>
      <c r="O77" s="364" t="s">
        <v>2316</v>
      </c>
      <c r="P77" s="364" t="s">
        <v>2359</v>
      </c>
      <c r="Q77" s="364" t="s">
        <v>2361</v>
      </c>
      <c r="R77" s="364" t="s">
        <v>2362</v>
      </c>
      <c r="S77" s="364" t="s">
        <v>2435</v>
      </c>
      <c r="T77" s="364" t="s">
        <v>184</v>
      </c>
      <c r="U77" s="364" t="s">
        <v>2318</v>
      </c>
      <c r="V77" s="364" t="s">
        <v>2320</v>
      </c>
      <c r="W77" s="364" t="s">
        <v>2629</v>
      </c>
      <c r="X77" s="364" t="s">
        <v>2502</v>
      </c>
      <c r="Y77" s="364" t="s">
        <v>2550</v>
      </c>
      <c r="Z77" s="364" t="s">
        <v>2324</v>
      </c>
      <c r="AA77" s="364" t="s">
        <v>2327</v>
      </c>
      <c r="AB77" s="364" t="s">
        <v>2328</v>
      </c>
      <c r="AC77" s="364" t="s">
        <v>2414</v>
      </c>
      <c r="AD77" s="364" t="s">
        <v>2329</v>
      </c>
      <c r="AE77" s="364" t="s">
        <v>2521</v>
      </c>
      <c r="AF77" s="364" t="s">
        <v>2415</v>
      </c>
      <c r="AG77" s="364" t="s">
        <v>2525</v>
      </c>
      <c r="AH77" s="364" t="s">
        <v>2417</v>
      </c>
      <c r="AI77" s="364" t="s">
        <v>2506</v>
      </c>
      <c r="AJ77" s="364" t="s">
        <v>2381</v>
      </c>
      <c r="AK77" s="364" t="s">
        <v>2332</v>
      </c>
      <c r="AL77" s="364" t="s">
        <v>157</v>
      </c>
      <c r="AM77" s="364" t="s">
        <v>2440</v>
      </c>
      <c r="AN77" s="364" t="s">
        <v>2335</v>
      </c>
      <c r="AO77" s="364" t="s">
        <v>2337</v>
      </c>
      <c r="AP77" s="364" t="s">
        <v>2339</v>
      </c>
      <c r="AQ77" s="364" t="s">
        <v>2340</v>
      </c>
      <c r="AR77" s="364" t="s">
        <v>2341</v>
      </c>
      <c r="AS77" s="364" t="s">
        <v>2470</v>
      </c>
      <c r="AT77" s="364" t="s">
        <v>2422</v>
      </c>
      <c r="AU77" s="364" t="s">
        <v>2393</v>
      </c>
      <c r="AV77" s="364" t="s">
        <v>2514</v>
      </c>
      <c r="AW77" s="364" t="s">
        <v>2344</v>
      </c>
      <c r="AX77" s="364" t="s">
        <v>2345</v>
      </c>
      <c r="AY77" s="364" t="s">
        <v>2347</v>
      </c>
      <c r="AZ77" s="364" t="s">
        <v>2424</v>
      </c>
      <c r="BA77" s="364" t="s">
        <v>2349</v>
      </c>
      <c r="BB77" s="364" t="s">
        <v>2475</v>
      </c>
      <c r="BC77" s="364" t="s">
        <v>2476</v>
      </c>
      <c r="BD77" s="364" t="s">
        <v>2425</v>
      </c>
      <c r="BE77" s="364" t="s">
        <v>2426</v>
      </c>
      <c r="BF77" s="364" t="s">
        <v>2428</v>
      </c>
      <c r="BG77" s="364" t="s">
        <v>2429</v>
      </c>
      <c r="BH77" s="364" t="s">
        <v>2493</v>
      </c>
      <c r="BI77" s="364" t="s">
        <v>2430</v>
      </c>
      <c r="BJ77" s="364"/>
      <c r="BK77" s="364"/>
      <c r="BL77" s="364"/>
      <c r="BM77" s="364"/>
      <c r="BN77" s="364"/>
      <c r="BO77" s="364"/>
      <c r="BP77" s="364"/>
      <c r="BQ77" s="364"/>
      <c r="BR77" s="364"/>
      <c r="BS77" s="364"/>
      <c r="BT77" s="364"/>
      <c r="BU77" s="364"/>
      <c r="BV77" s="364"/>
      <c r="BW77" s="364"/>
      <c r="BX77" s="364"/>
      <c r="BY77" s="364"/>
      <c r="BZ77" s="364"/>
      <c r="CA77" s="364"/>
      <c r="CB77" s="364"/>
      <c r="CC77" s="364"/>
      <c r="CD77" s="364"/>
      <c r="CE77" s="364"/>
      <c r="CF77" s="364"/>
      <c r="CG77" s="364"/>
      <c r="CH77" s="364"/>
      <c r="CI77" s="364"/>
      <c r="CJ77" s="364"/>
      <c r="CK77" s="364"/>
      <c r="CL77" s="364"/>
      <c r="CM77" s="364"/>
      <c r="CN77" s="364"/>
      <c r="CO77" s="364"/>
      <c r="CP77" s="364"/>
      <c r="CQ77" s="364"/>
      <c r="CR77" s="364"/>
      <c r="CS77" s="364"/>
      <c r="CT77" s="364"/>
      <c r="CU77" s="364"/>
      <c r="CV77" s="364"/>
      <c r="CW77" s="364"/>
      <c r="CX77" s="364"/>
      <c r="CY77" s="364"/>
      <c r="CZ77" s="364"/>
      <c r="DA77" s="364"/>
      <c r="DB77" s="364"/>
      <c r="DC77" s="364"/>
      <c r="DD77" s="364"/>
      <c r="DE77" s="364"/>
      <c r="DF77" s="364"/>
      <c r="DG77" s="364"/>
      <c r="DH77" s="364"/>
      <c r="DI77" s="364"/>
      <c r="DJ77" s="364"/>
      <c r="DK77" s="364"/>
      <c r="DL77" s="364"/>
      <c r="DM77" s="364"/>
      <c r="DN77" s="364"/>
      <c r="DO77" s="364"/>
      <c r="DP77" s="364"/>
      <c r="DQ77" s="364"/>
      <c r="DR77" s="364"/>
      <c r="DS77" s="364"/>
      <c r="DT77" s="364"/>
      <c r="DU77" s="364"/>
      <c r="DV77" s="364"/>
      <c r="DW77" s="364"/>
      <c r="DX77" s="364"/>
      <c r="DY77" s="364"/>
      <c r="DZ77" s="364"/>
      <c r="EA77" s="364"/>
      <c r="EB77" s="364"/>
      <c r="EC77" s="364"/>
      <c r="ED77" s="364"/>
      <c r="EE77" s="364"/>
      <c r="EF77" s="364"/>
      <c r="EG77" s="364"/>
      <c r="EH77" s="364"/>
      <c r="EI77" s="364"/>
      <c r="EJ77" s="364"/>
      <c r="EK77" s="364"/>
      <c r="EL77" s="364"/>
      <c r="EM77" s="364"/>
      <c r="EN77" s="364"/>
      <c r="EO77" s="364"/>
      <c r="EP77" s="364"/>
      <c r="EQ77" s="364"/>
      <c r="ER77" s="364"/>
      <c r="ES77" s="364"/>
      <c r="ET77" s="364"/>
      <c r="EU77" s="364"/>
      <c r="EV77" s="364"/>
      <c r="EW77" s="364"/>
      <c r="EX77" s="364"/>
      <c r="EY77" s="364"/>
      <c r="EZ77" s="364"/>
      <c r="FA77" s="364"/>
      <c r="FB77" s="364"/>
      <c r="FC77" s="364"/>
      <c r="FD77" s="364"/>
      <c r="FE77" s="364"/>
      <c r="FF77" s="364"/>
      <c r="FG77" s="364"/>
      <c r="FH77" s="364"/>
      <c r="FI77" s="364"/>
      <c r="FJ77" s="364"/>
      <c r="FK77" s="364"/>
    </row>
    <row r="78" customFormat="false" ht="15.75" hidden="false" customHeight="false" outlineLevel="0" collapsed="false">
      <c r="A78" s="364" t="n">
        <v>162</v>
      </c>
      <c r="B78" s="364" t="n">
        <f aca="false">COUNTA(D78:FK78)</f>
        <v>1</v>
      </c>
      <c r="C78" s="364" t="s">
        <v>597</v>
      </c>
      <c r="D78" s="364" t="s">
        <v>2630</v>
      </c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4"/>
      <c r="AM78" s="364"/>
      <c r="AN78" s="364"/>
      <c r="AO78" s="364"/>
      <c r="AP78" s="364"/>
      <c r="AQ78" s="364"/>
      <c r="AR78" s="364"/>
      <c r="AS78" s="364"/>
      <c r="AT78" s="364"/>
      <c r="AU78" s="364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  <c r="BG78" s="364"/>
      <c r="BH78" s="364"/>
      <c r="BI78" s="364"/>
      <c r="BJ78" s="364"/>
      <c r="BK78" s="364"/>
      <c r="BL78" s="364"/>
      <c r="BM78" s="364"/>
      <c r="BN78" s="364"/>
      <c r="BO78" s="364"/>
      <c r="BP78" s="364"/>
      <c r="BQ78" s="364"/>
      <c r="BR78" s="364"/>
      <c r="BS78" s="364"/>
      <c r="BT78" s="364"/>
      <c r="BU78" s="364"/>
      <c r="BV78" s="364"/>
      <c r="BW78" s="364"/>
      <c r="BX78" s="364"/>
      <c r="BY78" s="364"/>
      <c r="BZ78" s="364"/>
      <c r="CA78" s="364"/>
      <c r="CB78" s="364"/>
      <c r="CC78" s="364"/>
      <c r="CD78" s="364"/>
      <c r="CE78" s="364"/>
      <c r="CF78" s="364"/>
      <c r="CG78" s="364"/>
      <c r="CH78" s="364"/>
      <c r="CI78" s="364"/>
      <c r="CJ78" s="364"/>
      <c r="CK78" s="364"/>
      <c r="CL78" s="364"/>
      <c r="CM78" s="364"/>
      <c r="CN78" s="364"/>
      <c r="CO78" s="364"/>
      <c r="CP78" s="364"/>
      <c r="CQ78" s="364"/>
      <c r="CR78" s="364"/>
      <c r="CS78" s="364"/>
      <c r="CT78" s="364"/>
      <c r="CU78" s="364"/>
      <c r="CV78" s="364"/>
      <c r="CW78" s="364"/>
      <c r="CX78" s="364"/>
      <c r="CY78" s="364"/>
      <c r="CZ78" s="364"/>
      <c r="DA78" s="364"/>
      <c r="DB78" s="364"/>
      <c r="DC78" s="364"/>
      <c r="DD78" s="364"/>
      <c r="DE78" s="364"/>
      <c r="DF78" s="364"/>
      <c r="DG78" s="364"/>
      <c r="DH78" s="364"/>
      <c r="DI78" s="364"/>
      <c r="DJ78" s="364"/>
      <c r="DK78" s="364"/>
      <c r="DL78" s="364"/>
      <c r="DM78" s="364"/>
      <c r="DN78" s="364"/>
      <c r="DO78" s="364"/>
      <c r="DP78" s="364"/>
      <c r="DQ78" s="364"/>
      <c r="DR78" s="364"/>
      <c r="DS78" s="364"/>
      <c r="DT78" s="364"/>
      <c r="DU78" s="364"/>
      <c r="DV78" s="364"/>
      <c r="DW78" s="364"/>
      <c r="DX78" s="364"/>
      <c r="DY78" s="364"/>
      <c r="DZ78" s="364"/>
      <c r="EA78" s="364"/>
      <c r="EB78" s="364"/>
      <c r="EC78" s="364"/>
      <c r="ED78" s="364"/>
      <c r="EE78" s="364"/>
      <c r="EF78" s="364"/>
      <c r="EG78" s="364"/>
      <c r="EH78" s="364"/>
      <c r="EI78" s="364"/>
      <c r="EJ78" s="364"/>
      <c r="EK78" s="364"/>
      <c r="EL78" s="364"/>
      <c r="EM78" s="364"/>
      <c r="EN78" s="364"/>
      <c r="EO78" s="364"/>
      <c r="EP78" s="364"/>
      <c r="EQ78" s="364"/>
      <c r="ER78" s="364"/>
      <c r="ES78" s="364"/>
      <c r="ET78" s="364"/>
      <c r="EU78" s="364"/>
      <c r="EV78" s="364"/>
      <c r="EW78" s="364"/>
      <c r="EX78" s="364"/>
      <c r="EY78" s="364"/>
      <c r="EZ78" s="364"/>
      <c r="FA78" s="364"/>
      <c r="FB78" s="364"/>
      <c r="FC78" s="364"/>
      <c r="FD78" s="364"/>
      <c r="FE78" s="364"/>
      <c r="FF78" s="364"/>
      <c r="FG78" s="364"/>
      <c r="FH78" s="364"/>
      <c r="FI78" s="364"/>
      <c r="FJ78" s="364"/>
      <c r="FK78" s="364"/>
    </row>
    <row r="79" customFormat="false" ht="15.75" hidden="false" customHeight="false" outlineLevel="0" collapsed="false">
      <c r="A79" s="364" t="n">
        <v>164</v>
      </c>
      <c r="B79" s="364" t="n">
        <f aca="false">COUNTA(D79:FK79)</f>
        <v>47</v>
      </c>
      <c r="C79" s="364" t="s">
        <v>601</v>
      </c>
      <c r="D79" s="364" t="s">
        <v>2402</v>
      </c>
      <c r="E79" s="364" t="s">
        <v>2581</v>
      </c>
      <c r="F79" s="364" t="s">
        <v>2310</v>
      </c>
      <c r="G79" s="364" t="s">
        <v>2404</v>
      </c>
      <c r="H79" s="364" t="s">
        <v>2405</v>
      </c>
      <c r="I79" s="364" t="s">
        <v>2312</v>
      </c>
      <c r="J79" s="364" t="s">
        <v>2406</v>
      </c>
      <c r="K79" s="364" t="s">
        <v>2408</v>
      </c>
      <c r="L79" s="364" t="s">
        <v>2465</v>
      </c>
      <c r="M79" s="364" t="s">
        <v>2358</v>
      </c>
      <c r="N79" s="364" t="s">
        <v>2410</v>
      </c>
      <c r="O79" s="364" t="s">
        <v>2316</v>
      </c>
      <c r="P79" s="364" t="s">
        <v>2318</v>
      </c>
      <c r="Q79" s="364" t="s">
        <v>2320</v>
      </c>
      <c r="R79" s="364" t="s">
        <v>2324</v>
      </c>
      <c r="S79" s="364" t="s">
        <v>2327</v>
      </c>
      <c r="T79" s="364" t="s">
        <v>2328</v>
      </c>
      <c r="U79" s="364" t="s">
        <v>2414</v>
      </c>
      <c r="V79" s="364" t="s">
        <v>2329</v>
      </c>
      <c r="W79" s="364" t="s">
        <v>2521</v>
      </c>
      <c r="X79" s="364" t="s">
        <v>2415</v>
      </c>
      <c r="Y79" s="364" t="s">
        <v>2417</v>
      </c>
      <c r="Z79" s="364" t="s">
        <v>2381</v>
      </c>
      <c r="AA79" s="364" t="s">
        <v>2468</v>
      </c>
      <c r="AB79" s="364" t="s">
        <v>2615</v>
      </c>
      <c r="AC79" s="261" t="s">
        <v>183</v>
      </c>
      <c r="AD79" s="364" t="s">
        <v>2461</v>
      </c>
      <c r="AE79" s="364" t="s">
        <v>2335</v>
      </c>
      <c r="AF79" s="364" t="s">
        <v>2337</v>
      </c>
      <c r="AG79" s="364" t="s">
        <v>2469</v>
      </c>
      <c r="AH79" s="364" t="s">
        <v>2339</v>
      </c>
      <c r="AI79" s="364" t="s">
        <v>2340</v>
      </c>
      <c r="AJ79" s="364" t="s">
        <v>2421</v>
      </c>
      <c r="AK79" s="364" t="s">
        <v>2341</v>
      </c>
      <c r="AL79" s="364" t="s">
        <v>2442</v>
      </c>
      <c r="AM79" s="364" t="s">
        <v>2422</v>
      </c>
      <c r="AN79" s="364" t="s">
        <v>2393</v>
      </c>
      <c r="AO79" s="364" t="s">
        <v>2344</v>
      </c>
      <c r="AP79" s="364" t="s">
        <v>2347</v>
      </c>
      <c r="AQ79" s="364" t="s">
        <v>2424</v>
      </c>
      <c r="AR79" s="364" t="s">
        <v>2398</v>
      </c>
      <c r="AS79" s="364" t="s">
        <v>2348</v>
      </c>
      <c r="AT79" s="364" t="s">
        <v>2349</v>
      </c>
      <c r="AU79" s="364" t="s">
        <v>2425</v>
      </c>
      <c r="AV79" s="364" t="s">
        <v>2426</v>
      </c>
      <c r="AW79" s="364" t="s">
        <v>2428</v>
      </c>
      <c r="AX79" s="364" t="s">
        <v>2429</v>
      </c>
      <c r="AY79" s="364"/>
      <c r="AZ79" s="364"/>
      <c r="BA79" s="364"/>
      <c r="BB79" s="364"/>
      <c r="BC79" s="364"/>
      <c r="BD79" s="364"/>
      <c r="BE79" s="364"/>
      <c r="BF79" s="364"/>
      <c r="BG79" s="364"/>
      <c r="BH79" s="364"/>
      <c r="BI79" s="364"/>
      <c r="BJ79" s="364"/>
      <c r="BK79" s="364"/>
      <c r="BL79" s="364"/>
      <c r="BM79" s="364"/>
      <c r="BN79" s="364"/>
      <c r="BO79" s="364"/>
      <c r="BP79" s="364"/>
      <c r="BQ79" s="364"/>
      <c r="BR79" s="364"/>
      <c r="BS79" s="364"/>
      <c r="BT79" s="364"/>
      <c r="BU79" s="364"/>
      <c r="BV79" s="364"/>
      <c r="BW79" s="364"/>
      <c r="BX79" s="364"/>
      <c r="BY79" s="364"/>
      <c r="BZ79" s="364"/>
      <c r="CA79" s="364"/>
      <c r="CB79" s="364"/>
      <c r="CC79" s="364"/>
      <c r="CD79" s="364"/>
      <c r="CE79" s="364"/>
      <c r="CF79" s="364"/>
      <c r="CG79" s="364"/>
      <c r="CH79" s="364"/>
      <c r="CI79" s="364"/>
      <c r="CJ79" s="364"/>
      <c r="CK79" s="364"/>
      <c r="CL79" s="364"/>
      <c r="CM79" s="364"/>
      <c r="CN79" s="364"/>
      <c r="CO79" s="364"/>
      <c r="CP79" s="364"/>
      <c r="CQ79" s="364"/>
      <c r="CR79" s="364"/>
      <c r="CS79" s="364"/>
      <c r="CT79" s="364"/>
      <c r="CU79" s="364"/>
      <c r="CV79" s="364"/>
      <c r="CW79" s="364"/>
      <c r="CX79" s="364"/>
      <c r="CY79" s="364"/>
      <c r="CZ79" s="364"/>
      <c r="DA79" s="364"/>
      <c r="DB79" s="364"/>
      <c r="DC79" s="364"/>
      <c r="DD79" s="364"/>
      <c r="DE79" s="364"/>
      <c r="DF79" s="364"/>
      <c r="DG79" s="364"/>
      <c r="DH79" s="364"/>
      <c r="DI79" s="364"/>
      <c r="DJ79" s="364"/>
      <c r="DK79" s="364"/>
      <c r="DL79" s="364"/>
      <c r="DM79" s="364"/>
      <c r="DN79" s="364"/>
      <c r="DO79" s="364"/>
      <c r="DP79" s="364"/>
      <c r="DQ79" s="364"/>
      <c r="DR79" s="364"/>
      <c r="DS79" s="364"/>
      <c r="DT79" s="364"/>
      <c r="DU79" s="364"/>
      <c r="DV79" s="364"/>
      <c r="DW79" s="364"/>
      <c r="DX79" s="364"/>
      <c r="DY79" s="364"/>
      <c r="DZ79" s="364"/>
      <c r="EA79" s="364"/>
      <c r="EB79" s="364"/>
      <c r="EC79" s="364"/>
      <c r="ED79" s="364"/>
      <c r="EE79" s="364"/>
      <c r="EF79" s="364"/>
      <c r="EG79" s="364"/>
      <c r="EH79" s="364"/>
      <c r="EI79" s="364"/>
      <c r="EJ79" s="364"/>
      <c r="EK79" s="364"/>
      <c r="EL79" s="364"/>
      <c r="EM79" s="364"/>
      <c r="EN79" s="364"/>
      <c r="EO79" s="364"/>
      <c r="EP79" s="364"/>
      <c r="EQ79" s="364"/>
      <c r="ER79" s="364"/>
      <c r="ES79" s="364"/>
      <c r="ET79" s="364"/>
      <c r="EU79" s="364"/>
      <c r="EV79" s="364"/>
      <c r="EW79" s="364"/>
      <c r="EX79" s="364"/>
      <c r="EY79" s="364"/>
      <c r="EZ79" s="364"/>
      <c r="FA79" s="364"/>
      <c r="FB79" s="364"/>
      <c r="FC79" s="364"/>
      <c r="FD79" s="364"/>
      <c r="FE79" s="364"/>
      <c r="FF79" s="364"/>
      <c r="FG79" s="364"/>
      <c r="FH79" s="364"/>
      <c r="FI79" s="364"/>
      <c r="FJ79" s="364"/>
      <c r="FK79" s="364"/>
    </row>
    <row r="80" customFormat="false" ht="15.75" hidden="false" customHeight="false" outlineLevel="0" collapsed="false">
      <c r="A80" s="364" t="n">
        <v>165</v>
      </c>
      <c r="B80" s="364" t="n">
        <f aca="false">COUNTA(D80:FK80)</f>
        <v>42</v>
      </c>
      <c r="C80" s="364" t="s">
        <v>603</v>
      </c>
      <c r="D80" s="364" t="s">
        <v>2310</v>
      </c>
      <c r="E80" s="364" t="s">
        <v>2312</v>
      </c>
      <c r="F80" s="364" t="s">
        <v>2464</v>
      </c>
      <c r="G80" s="364" t="s">
        <v>2465</v>
      </c>
      <c r="H80" s="364" t="s">
        <v>2358</v>
      </c>
      <c r="I80" s="364" t="s">
        <v>2569</v>
      </c>
      <c r="J80" s="364" t="s">
        <v>2316</v>
      </c>
      <c r="K80" s="364" t="s">
        <v>2510</v>
      </c>
      <c r="L80" s="364" t="s">
        <v>2318</v>
      </c>
      <c r="M80" s="364" t="s">
        <v>2320</v>
      </c>
      <c r="N80" s="364" t="s">
        <v>2324</v>
      </c>
      <c r="O80" s="364" t="s">
        <v>2327</v>
      </c>
      <c r="P80" s="364" t="s">
        <v>2328</v>
      </c>
      <c r="Q80" s="364" t="s">
        <v>2329</v>
      </c>
      <c r="R80" s="364" t="s">
        <v>2521</v>
      </c>
      <c r="S80" s="364" t="s">
        <v>2381</v>
      </c>
      <c r="T80" s="364" t="s">
        <v>2468</v>
      </c>
      <c r="U80" s="261" t="s">
        <v>183</v>
      </c>
      <c r="V80" s="364" t="s">
        <v>2453</v>
      </c>
      <c r="W80" s="364" t="s">
        <v>2461</v>
      </c>
      <c r="X80" s="364" t="s">
        <v>2335</v>
      </c>
      <c r="Y80" s="364" t="s">
        <v>2337</v>
      </c>
      <c r="Z80" s="364" t="s">
        <v>2469</v>
      </c>
      <c r="AA80" s="364" t="s">
        <v>2339</v>
      </c>
      <c r="AB80" s="364" t="s">
        <v>2340</v>
      </c>
      <c r="AC80" s="364" t="s">
        <v>2341</v>
      </c>
      <c r="AD80" s="364" t="s">
        <v>2442</v>
      </c>
      <c r="AE80" s="364" t="s">
        <v>2470</v>
      </c>
      <c r="AF80" s="364" t="s">
        <v>2422</v>
      </c>
      <c r="AG80" s="364" t="s">
        <v>2393</v>
      </c>
      <c r="AH80" s="364" t="s">
        <v>2344</v>
      </c>
      <c r="AI80" s="364" t="s">
        <v>2347</v>
      </c>
      <c r="AJ80" s="364" t="s">
        <v>2398</v>
      </c>
      <c r="AK80" s="364" t="s">
        <v>2348</v>
      </c>
      <c r="AL80" s="364" t="s">
        <v>2349</v>
      </c>
      <c r="AM80" s="364" t="s">
        <v>2475</v>
      </c>
      <c r="AN80" s="364" t="s">
        <v>2476</v>
      </c>
      <c r="AO80" s="364" t="s">
        <v>2488</v>
      </c>
      <c r="AP80" s="364" t="s">
        <v>2491</v>
      </c>
      <c r="AQ80" s="364" t="s">
        <v>2492</v>
      </c>
      <c r="AR80" s="364" t="s">
        <v>2477</v>
      </c>
      <c r="AS80" s="364" t="s">
        <v>2493</v>
      </c>
      <c r="AT80" s="364"/>
      <c r="AU80" s="364"/>
      <c r="AV80" s="364"/>
      <c r="AW80" s="364"/>
      <c r="AX80" s="364"/>
      <c r="AY80" s="364"/>
      <c r="AZ80" s="364"/>
      <c r="BA80" s="364"/>
      <c r="BB80" s="364"/>
      <c r="BC80" s="364"/>
      <c r="BD80" s="364"/>
      <c r="BE80" s="364"/>
      <c r="BF80" s="364"/>
      <c r="BG80" s="364"/>
      <c r="BH80" s="364"/>
      <c r="BI80" s="364"/>
      <c r="BJ80" s="364"/>
      <c r="BK80" s="364"/>
      <c r="BL80" s="364"/>
      <c r="BM80" s="364"/>
      <c r="BN80" s="364"/>
      <c r="BO80" s="364"/>
      <c r="BP80" s="364"/>
      <c r="BQ80" s="364"/>
      <c r="BR80" s="364"/>
      <c r="BS80" s="364"/>
      <c r="BT80" s="364"/>
      <c r="BU80" s="364"/>
      <c r="BV80" s="364"/>
      <c r="BW80" s="364"/>
      <c r="BX80" s="364"/>
      <c r="BY80" s="364"/>
      <c r="BZ80" s="364"/>
      <c r="CA80" s="364"/>
      <c r="CB80" s="364"/>
      <c r="CC80" s="364"/>
      <c r="CD80" s="364"/>
      <c r="CE80" s="364"/>
      <c r="CF80" s="364"/>
      <c r="CG80" s="364"/>
      <c r="CH80" s="364"/>
      <c r="CI80" s="364"/>
      <c r="CJ80" s="364"/>
      <c r="CK80" s="364"/>
      <c r="CL80" s="364"/>
      <c r="CM80" s="364"/>
      <c r="CN80" s="364"/>
      <c r="CO80" s="364"/>
      <c r="CP80" s="364"/>
      <c r="CQ80" s="364"/>
      <c r="CR80" s="364"/>
      <c r="CS80" s="364"/>
      <c r="CT80" s="364"/>
      <c r="CU80" s="364"/>
      <c r="CV80" s="364"/>
      <c r="CW80" s="364"/>
      <c r="CX80" s="364"/>
      <c r="CY80" s="364"/>
      <c r="CZ80" s="364"/>
      <c r="DA80" s="364"/>
      <c r="DB80" s="364"/>
      <c r="DC80" s="364"/>
      <c r="DD80" s="364"/>
      <c r="DE80" s="364"/>
      <c r="DF80" s="364"/>
      <c r="DG80" s="364"/>
      <c r="DH80" s="364"/>
      <c r="DI80" s="364"/>
      <c r="DJ80" s="364"/>
      <c r="DK80" s="364"/>
      <c r="DL80" s="364"/>
      <c r="DM80" s="364"/>
      <c r="DN80" s="364"/>
      <c r="DO80" s="364"/>
      <c r="DP80" s="364"/>
      <c r="DQ80" s="364"/>
      <c r="DR80" s="364"/>
      <c r="DS80" s="364"/>
      <c r="DT80" s="364"/>
      <c r="DU80" s="364"/>
      <c r="DV80" s="364"/>
      <c r="DW80" s="364"/>
      <c r="DX80" s="364"/>
      <c r="DY80" s="364"/>
      <c r="DZ80" s="364"/>
      <c r="EA80" s="364"/>
      <c r="EB80" s="364"/>
      <c r="EC80" s="364"/>
      <c r="ED80" s="364"/>
      <c r="EE80" s="364"/>
      <c r="EF80" s="364"/>
      <c r="EG80" s="364"/>
      <c r="EH80" s="364"/>
      <c r="EI80" s="364"/>
      <c r="EJ80" s="364"/>
      <c r="EK80" s="364"/>
      <c r="EL80" s="364"/>
      <c r="EM80" s="364"/>
      <c r="EN80" s="364"/>
      <c r="EO80" s="364"/>
      <c r="EP80" s="364"/>
      <c r="EQ80" s="364"/>
      <c r="ER80" s="364"/>
      <c r="ES80" s="364"/>
      <c r="ET80" s="364"/>
      <c r="EU80" s="364"/>
      <c r="EV80" s="364"/>
      <c r="EW80" s="364"/>
      <c r="EX80" s="364"/>
      <c r="EY80" s="364"/>
      <c r="EZ80" s="364"/>
      <c r="FA80" s="364"/>
      <c r="FB80" s="364"/>
      <c r="FC80" s="364"/>
      <c r="FD80" s="364"/>
      <c r="FE80" s="364"/>
      <c r="FF80" s="364"/>
      <c r="FG80" s="364"/>
      <c r="FH80" s="364"/>
      <c r="FI80" s="364"/>
      <c r="FJ80" s="364"/>
      <c r="FK80" s="364"/>
    </row>
    <row r="81" customFormat="false" ht="15.75" hidden="false" customHeight="false" outlineLevel="0" collapsed="false">
      <c r="A81" s="364" t="n">
        <v>166</v>
      </c>
      <c r="B81" s="364" t="n">
        <f aca="false">COUNTA(D81:FK81)</f>
        <v>44</v>
      </c>
      <c r="C81" s="364" t="s">
        <v>605</v>
      </c>
      <c r="D81" s="364" t="s">
        <v>2310</v>
      </c>
      <c r="E81" s="364" t="s">
        <v>2404</v>
      </c>
      <c r="F81" s="364" t="s">
        <v>2312</v>
      </c>
      <c r="G81" s="364" t="s">
        <v>2465</v>
      </c>
      <c r="H81" s="364" t="s">
        <v>2358</v>
      </c>
      <c r="I81" s="364" t="s">
        <v>2316</v>
      </c>
      <c r="J81" s="364" t="s">
        <v>2318</v>
      </c>
      <c r="K81" s="364" t="s">
        <v>2365</v>
      </c>
      <c r="L81" s="364" t="s">
        <v>2320</v>
      </c>
      <c r="M81" s="364" t="s">
        <v>2366</v>
      </c>
      <c r="N81" s="364" t="s">
        <v>2367</v>
      </c>
      <c r="O81" s="364" t="s">
        <v>2370</v>
      </c>
      <c r="P81" s="364" t="s">
        <v>2372</v>
      </c>
      <c r="Q81" s="364" t="s">
        <v>2373</v>
      </c>
      <c r="R81" s="364" t="s">
        <v>2374</v>
      </c>
      <c r="S81" s="364" t="s">
        <v>2324</v>
      </c>
      <c r="T81" s="364" t="s">
        <v>2327</v>
      </c>
      <c r="U81" s="364" t="s">
        <v>2378</v>
      </c>
      <c r="V81" s="364" t="s">
        <v>2328</v>
      </c>
      <c r="W81" s="364" t="s">
        <v>2329</v>
      </c>
      <c r="X81" s="364" t="s">
        <v>2521</v>
      </c>
      <c r="Y81" s="364" t="s">
        <v>2379</v>
      </c>
      <c r="Z81" s="364" t="s">
        <v>2381</v>
      </c>
      <c r="AA81" s="364" t="s">
        <v>2468</v>
      </c>
      <c r="AB81" s="364" t="s">
        <v>2627</v>
      </c>
      <c r="AC81" s="261" t="s">
        <v>183</v>
      </c>
      <c r="AD81" s="364" t="s">
        <v>2386</v>
      </c>
      <c r="AE81" s="364" t="s">
        <v>2461</v>
      </c>
      <c r="AF81" s="364" t="s">
        <v>2335</v>
      </c>
      <c r="AG81" s="364" t="s">
        <v>2337</v>
      </c>
      <c r="AH81" s="364" t="s">
        <v>2469</v>
      </c>
      <c r="AI81" s="364" t="s">
        <v>2339</v>
      </c>
      <c r="AJ81" s="364" t="s">
        <v>2340</v>
      </c>
      <c r="AK81" s="364" t="s">
        <v>2341</v>
      </c>
      <c r="AL81" s="364" t="s">
        <v>2442</v>
      </c>
      <c r="AM81" s="364" t="s">
        <v>2393</v>
      </c>
      <c r="AN81" s="364" t="s">
        <v>2619</v>
      </c>
      <c r="AO81" s="364" t="s">
        <v>2344</v>
      </c>
      <c r="AP81" s="364" t="s">
        <v>2347</v>
      </c>
      <c r="AQ81" s="364" t="s">
        <v>2511</v>
      </c>
      <c r="AR81" s="364" t="s">
        <v>2398</v>
      </c>
      <c r="AS81" s="364" t="s">
        <v>2348</v>
      </c>
      <c r="AT81" s="364" t="s">
        <v>2349</v>
      </c>
      <c r="AU81" s="364" t="s">
        <v>2493</v>
      </c>
      <c r="AV81" s="364"/>
      <c r="AW81" s="364"/>
      <c r="AX81" s="364"/>
      <c r="AY81" s="364"/>
      <c r="AZ81" s="364"/>
      <c r="BA81" s="364"/>
      <c r="BB81" s="364"/>
      <c r="BC81" s="364"/>
      <c r="BD81" s="364"/>
      <c r="BE81" s="364"/>
      <c r="BF81" s="364"/>
      <c r="BG81" s="364"/>
      <c r="BH81" s="364"/>
      <c r="BI81" s="364"/>
      <c r="BJ81" s="364"/>
      <c r="BK81" s="364"/>
      <c r="BL81" s="364"/>
      <c r="BM81" s="364"/>
      <c r="BN81" s="364"/>
      <c r="BO81" s="364"/>
      <c r="BP81" s="364"/>
      <c r="BQ81" s="364"/>
      <c r="BR81" s="364"/>
      <c r="BS81" s="364"/>
      <c r="BT81" s="364"/>
      <c r="BU81" s="364"/>
      <c r="BV81" s="364"/>
      <c r="BW81" s="364"/>
      <c r="BX81" s="364"/>
      <c r="BY81" s="364"/>
      <c r="BZ81" s="364"/>
      <c r="CA81" s="364"/>
      <c r="CB81" s="364"/>
      <c r="CC81" s="364"/>
      <c r="CD81" s="364"/>
      <c r="CE81" s="364"/>
      <c r="CF81" s="364"/>
      <c r="CG81" s="364"/>
      <c r="CH81" s="364"/>
      <c r="CI81" s="364"/>
      <c r="CJ81" s="364"/>
      <c r="CK81" s="364"/>
      <c r="CL81" s="364"/>
      <c r="CM81" s="364"/>
      <c r="CN81" s="364"/>
      <c r="CO81" s="364"/>
      <c r="CP81" s="364"/>
      <c r="CQ81" s="364"/>
      <c r="CR81" s="364"/>
      <c r="CS81" s="364"/>
      <c r="CT81" s="364"/>
      <c r="CU81" s="364"/>
      <c r="CV81" s="364"/>
      <c r="CW81" s="364"/>
      <c r="CX81" s="364"/>
      <c r="CY81" s="364"/>
      <c r="CZ81" s="364"/>
      <c r="DA81" s="364"/>
      <c r="DB81" s="364"/>
      <c r="DC81" s="364"/>
      <c r="DD81" s="364"/>
      <c r="DE81" s="364"/>
      <c r="DF81" s="364"/>
      <c r="DG81" s="364"/>
      <c r="DH81" s="364"/>
      <c r="DI81" s="364"/>
      <c r="DJ81" s="364"/>
      <c r="DK81" s="364"/>
      <c r="DL81" s="364"/>
      <c r="DM81" s="364"/>
      <c r="DN81" s="364"/>
      <c r="DO81" s="364"/>
      <c r="DP81" s="364"/>
      <c r="DQ81" s="364"/>
      <c r="DR81" s="364"/>
      <c r="DS81" s="364"/>
      <c r="DT81" s="364"/>
      <c r="DU81" s="364"/>
      <c r="DV81" s="364"/>
      <c r="DW81" s="364"/>
      <c r="DX81" s="364"/>
      <c r="DY81" s="364"/>
      <c r="DZ81" s="364"/>
      <c r="EA81" s="364"/>
      <c r="EB81" s="364"/>
      <c r="EC81" s="364"/>
      <c r="ED81" s="364"/>
      <c r="EE81" s="364"/>
      <c r="EF81" s="364"/>
      <c r="EG81" s="364"/>
      <c r="EH81" s="364"/>
      <c r="EI81" s="364"/>
      <c r="EJ81" s="364"/>
      <c r="EK81" s="364"/>
      <c r="EL81" s="364"/>
      <c r="EM81" s="364"/>
      <c r="EN81" s="364"/>
      <c r="EO81" s="364"/>
      <c r="EP81" s="364"/>
      <c r="EQ81" s="364"/>
      <c r="ER81" s="364"/>
      <c r="ES81" s="364"/>
      <c r="ET81" s="364"/>
      <c r="EU81" s="364"/>
      <c r="EV81" s="364"/>
      <c r="EW81" s="364"/>
      <c r="EX81" s="364"/>
      <c r="EY81" s="364"/>
      <c r="EZ81" s="364"/>
      <c r="FA81" s="364"/>
      <c r="FB81" s="364"/>
      <c r="FC81" s="364"/>
      <c r="FD81" s="364"/>
      <c r="FE81" s="364"/>
      <c r="FF81" s="364"/>
      <c r="FG81" s="364"/>
      <c r="FH81" s="364"/>
      <c r="FI81" s="364"/>
      <c r="FJ81" s="364"/>
      <c r="FK81" s="364"/>
    </row>
    <row r="82" customFormat="false" ht="15.75" hidden="false" customHeight="false" outlineLevel="0" collapsed="false">
      <c r="A82" s="364" t="n">
        <v>167</v>
      </c>
      <c r="B82" s="364" t="n">
        <f aca="false">COUNTA(D82:FK82)</f>
        <v>40</v>
      </c>
      <c r="C82" s="364" t="s">
        <v>607</v>
      </c>
      <c r="D82" s="364" t="s">
        <v>2352</v>
      </c>
      <c r="E82" s="364" t="s">
        <v>2310</v>
      </c>
      <c r="F82" s="364" t="s">
        <v>2405</v>
      </c>
      <c r="G82" s="364" t="s">
        <v>2464</v>
      </c>
      <c r="H82" s="364" t="s">
        <v>2569</v>
      </c>
      <c r="I82" s="364" t="s">
        <v>2316</v>
      </c>
      <c r="J82" s="364" t="s">
        <v>2435</v>
      </c>
      <c r="K82" s="364" t="s">
        <v>2436</v>
      </c>
      <c r="L82" s="364" t="s">
        <v>2320</v>
      </c>
      <c r="M82" s="364" t="s">
        <v>2523</v>
      </c>
      <c r="N82" s="364" t="s">
        <v>2324</v>
      </c>
      <c r="O82" s="364" t="s">
        <v>2328</v>
      </c>
      <c r="P82" s="364" t="s">
        <v>2329</v>
      </c>
      <c r="Q82" s="364" t="s">
        <v>2415</v>
      </c>
      <c r="R82" s="364" t="s">
        <v>2417</v>
      </c>
      <c r="S82" s="364" t="s">
        <v>2381</v>
      </c>
      <c r="T82" s="364" t="s">
        <v>2468</v>
      </c>
      <c r="U82" s="364" t="s">
        <v>2439</v>
      </c>
      <c r="V82" s="364" t="s">
        <v>157</v>
      </c>
      <c r="W82" s="364" t="s">
        <v>2495</v>
      </c>
      <c r="X82" s="364" t="s">
        <v>2440</v>
      </c>
      <c r="Y82" s="364" t="s">
        <v>2335</v>
      </c>
      <c r="Z82" s="364" t="s">
        <v>2337</v>
      </c>
      <c r="AA82" s="364" t="s">
        <v>2340</v>
      </c>
      <c r="AB82" s="364" t="s">
        <v>2341</v>
      </c>
      <c r="AC82" s="364" t="s">
        <v>2442</v>
      </c>
      <c r="AD82" s="364" t="s">
        <v>2470</v>
      </c>
      <c r="AE82" s="364" t="s">
        <v>2422</v>
      </c>
      <c r="AF82" s="364" t="s">
        <v>2393</v>
      </c>
      <c r="AG82" s="364" t="s">
        <v>2344</v>
      </c>
      <c r="AH82" s="364" t="s">
        <v>2345</v>
      </c>
      <c r="AI82" s="364" t="s">
        <v>2398</v>
      </c>
      <c r="AJ82" s="364" t="s">
        <v>2348</v>
      </c>
      <c r="AK82" s="364" t="s">
        <v>2349</v>
      </c>
      <c r="AL82" s="364" t="s">
        <v>2445</v>
      </c>
      <c r="AM82" s="364" t="s">
        <v>2475</v>
      </c>
      <c r="AN82" s="364" t="s">
        <v>2476</v>
      </c>
      <c r="AO82" s="364" t="s">
        <v>2522</v>
      </c>
      <c r="AP82" s="364" t="s">
        <v>2493</v>
      </c>
      <c r="AQ82" s="364" t="s">
        <v>2430</v>
      </c>
      <c r="AR82" s="364"/>
      <c r="AS82" s="364"/>
      <c r="AT82" s="364"/>
      <c r="AU82" s="364"/>
      <c r="AV82" s="364"/>
      <c r="AW82" s="364"/>
      <c r="AX82" s="364"/>
      <c r="AY82" s="364"/>
      <c r="AZ82" s="364"/>
      <c r="BA82" s="364"/>
      <c r="BB82" s="364"/>
      <c r="BC82" s="364"/>
      <c r="BD82" s="364"/>
      <c r="BE82" s="364"/>
      <c r="BF82" s="364"/>
      <c r="BG82" s="364"/>
      <c r="BH82" s="364"/>
      <c r="BI82" s="364"/>
      <c r="BJ82" s="364"/>
      <c r="BK82" s="364"/>
      <c r="BL82" s="364"/>
      <c r="BM82" s="364"/>
      <c r="BN82" s="364"/>
      <c r="BO82" s="364"/>
      <c r="BP82" s="364"/>
      <c r="BQ82" s="364"/>
      <c r="BR82" s="364"/>
      <c r="BS82" s="364"/>
      <c r="BT82" s="364"/>
      <c r="BU82" s="364"/>
      <c r="BV82" s="364"/>
      <c r="BW82" s="364"/>
      <c r="BX82" s="364"/>
      <c r="BY82" s="364"/>
      <c r="BZ82" s="364"/>
      <c r="CA82" s="364"/>
      <c r="CB82" s="364"/>
      <c r="CC82" s="364"/>
      <c r="CD82" s="364"/>
      <c r="CE82" s="364"/>
      <c r="CF82" s="364"/>
      <c r="CG82" s="364"/>
      <c r="CH82" s="364"/>
      <c r="CI82" s="364"/>
      <c r="CJ82" s="364"/>
      <c r="CK82" s="364"/>
      <c r="CL82" s="364"/>
      <c r="CM82" s="364"/>
      <c r="CN82" s="364"/>
      <c r="CO82" s="364"/>
      <c r="CP82" s="364"/>
      <c r="CQ82" s="364"/>
      <c r="CR82" s="364"/>
      <c r="CS82" s="364"/>
      <c r="CT82" s="364"/>
      <c r="CU82" s="364"/>
      <c r="CV82" s="364"/>
      <c r="CW82" s="364"/>
      <c r="CX82" s="364"/>
      <c r="CY82" s="364"/>
      <c r="CZ82" s="364"/>
      <c r="DA82" s="364"/>
      <c r="DB82" s="364"/>
      <c r="DC82" s="364"/>
      <c r="DD82" s="364"/>
      <c r="DE82" s="364"/>
      <c r="DF82" s="364"/>
      <c r="DG82" s="364"/>
      <c r="DH82" s="364"/>
      <c r="DI82" s="364"/>
      <c r="DJ82" s="364"/>
      <c r="DK82" s="364"/>
      <c r="DL82" s="364"/>
      <c r="DM82" s="364"/>
      <c r="DN82" s="364"/>
      <c r="DO82" s="364"/>
      <c r="DP82" s="364"/>
      <c r="DQ82" s="364"/>
      <c r="DR82" s="364"/>
      <c r="DS82" s="364"/>
      <c r="DT82" s="364"/>
      <c r="DU82" s="364"/>
      <c r="DV82" s="364"/>
      <c r="DW82" s="364"/>
      <c r="DX82" s="364"/>
      <c r="DY82" s="364"/>
      <c r="DZ82" s="364"/>
      <c r="EA82" s="364"/>
      <c r="EB82" s="364"/>
      <c r="EC82" s="364"/>
      <c r="ED82" s="364"/>
      <c r="EE82" s="364"/>
      <c r="EF82" s="364"/>
      <c r="EG82" s="364"/>
      <c r="EH82" s="364"/>
      <c r="EI82" s="364"/>
      <c r="EJ82" s="364"/>
      <c r="EK82" s="364"/>
      <c r="EL82" s="364"/>
      <c r="EM82" s="364"/>
      <c r="EN82" s="364"/>
      <c r="EO82" s="364"/>
      <c r="EP82" s="364"/>
      <c r="EQ82" s="364"/>
      <c r="ER82" s="364"/>
      <c r="ES82" s="364"/>
      <c r="ET82" s="364"/>
      <c r="EU82" s="364"/>
      <c r="EV82" s="364"/>
      <c r="EW82" s="364"/>
      <c r="EX82" s="364"/>
      <c r="EY82" s="364"/>
      <c r="EZ82" s="364"/>
      <c r="FA82" s="364"/>
      <c r="FB82" s="364"/>
      <c r="FC82" s="364"/>
      <c r="FD82" s="364"/>
      <c r="FE82" s="364"/>
      <c r="FF82" s="364"/>
      <c r="FG82" s="364"/>
      <c r="FH82" s="364"/>
      <c r="FI82" s="364"/>
      <c r="FJ82" s="364"/>
      <c r="FK82" s="364"/>
    </row>
    <row r="83" customFormat="false" ht="15.75" hidden="false" customHeight="false" outlineLevel="0" collapsed="false">
      <c r="A83" s="364" t="n">
        <v>169</v>
      </c>
      <c r="B83" s="364" t="n">
        <f aca="false">COUNTA(D83:FK83)</f>
        <v>49</v>
      </c>
      <c r="C83" s="364" t="s">
        <v>611</v>
      </c>
      <c r="D83" s="364" t="s">
        <v>2561</v>
      </c>
      <c r="E83" s="364" t="s">
        <v>2310</v>
      </c>
      <c r="F83" s="364" t="s">
        <v>2311</v>
      </c>
      <c r="G83" s="364" t="s">
        <v>2404</v>
      </c>
      <c r="H83" s="364" t="s">
        <v>2405</v>
      </c>
      <c r="I83" s="364" t="s">
        <v>2312</v>
      </c>
      <c r="J83" s="364" t="s">
        <v>2406</v>
      </c>
      <c r="K83" s="364" t="s">
        <v>2408</v>
      </c>
      <c r="L83" s="364" t="s">
        <v>2559</v>
      </c>
      <c r="M83" s="364" t="s">
        <v>2410</v>
      </c>
      <c r="N83" s="364" t="s">
        <v>2316</v>
      </c>
      <c r="O83" s="364" t="s">
        <v>2497</v>
      </c>
      <c r="P83" s="364" t="s">
        <v>2320</v>
      </c>
      <c r="Q83" s="364" t="s">
        <v>2324</v>
      </c>
      <c r="R83" s="364" t="s">
        <v>2412</v>
      </c>
      <c r="S83" s="364" t="s">
        <v>2327</v>
      </c>
      <c r="T83" s="364" t="s">
        <v>2328</v>
      </c>
      <c r="U83" s="364" t="s">
        <v>2512</v>
      </c>
      <c r="V83" s="364" t="s">
        <v>2414</v>
      </c>
      <c r="W83" s="364" t="s">
        <v>2329</v>
      </c>
      <c r="X83" s="364" t="s">
        <v>2415</v>
      </c>
      <c r="Y83" s="364" t="s">
        <v>2417</v>
      </c>
      <c r="Z83" s="364" t="s">
        <v>2330</v>
      </c>
      <c r="AA83" s="364" t="s">
        <v>2594</v>
      </c>
      <c r="AB83" s="364" t="s">
        <v>2335</v>
      </c>
      <c r="AC83" s="364" t="s">
        <v>2337</v>
      </c>
      <c r="AD83" s="364" t="s">
        <v>2564</v>
      </c>
      <c r="AE83" s="364" t="s">
        <v>2338</v>
      </c>
      <c r="AF83" s="364" t="s">
        <v>2388</v>
      </c>
      <c r="AG83" s="364" t="s">
        <v>2339</v>
      </c>
      <c r="AH83" s="364" t="s">
        <v>2389</v>
      </c>
      <c r="AI83" s="364" t="s">
        <v>2420</v>
      </c>
      <c r="AJ83" s="364" t="s">
        <v>2340</v>
      </c>
      <c r="AK83" s="364" t="s">
        <v>2421</v>
      </c>
      <c r="AL83" s="364" t="s">
        <v>2341</v>
      </c>
      <c r="AM83" s="364" t="s">
        <v>2391</v>
      </c>
      <c r="AN83" s="364" t="s">
        <v>2393</v>
      </c>
      <c r="AO83" s="364" t="s">
        <v>2423</v>
      </c>
      <c r="AP83" s="364" t="s">
        <v>2344</v>
      </c>
      <c r="AQ83" s="364" t="s">
        <v>2587</v>
      </c>
      <c r="AR83" s="364" t="s">
        <v>2500</v>
      </c>
      <c r="AS83" s="364" t="s">
        <v>2397</v>
      </c>
      <c r="AT83" s="364" t="s">
        <v>2424</v>
      </c>
      <c r="AU83" s="364" t="s">
        <v>2349</v>
      </c>
      <c r="AV83" s="364" t="s">
        <v>2445</v>
      </c>
      <c r="AW83" s="364" t="s">
        <v>2425</v>
      </c>
      <c r="AX83" s="364" t="s">
        <v>2426</v>
      </c>
      <c r="AY83" s="364" t="s">
        <v>2428</v>
      </c>
      <c r="AZ83" s="364" t="s">
        <v>2429</v>
      </c>
      <c r="BA83" s="364"/>
      <c r="BB83" s="364"/>
      <c r="BC83" s="364"/>
      <c r="BD83" s="364"/>
      <c r="BE83" s="364"/>
      <c r="BF83" s="364"/>
      <c r="BG83" s="364"/>
      <c r="BH83" s="364"/>
      <c r="BI83" s="364"/>
      <c r="BJ83" s="364"/>
      <c r="BK83" s="364"/>
      <c r="BL83" s="364"/>
      <c r="BM83" s="364"/>
      <c r="BN83" s="364"/>
      <c r="BO83" s="364"/>
      <c r="BP83" s="364"/>
      <c r="BQ83" s="364"/>
      <c r="BR83" s="364"/>
      <c r="BS83" s="364"/>
      <c r="BT83" s="364"/>
      <c r="BU83" s="364"/>
      <c r="BV83" s="364"/>
      <c r="BW83" s="364"/>
      <c r="BX83" s="364"/>
      <c r="BY83" s="364"/>
      <c r="BZ83" s="364"/>
      <c r="CA83" s="364"/>
      <c r="CB83" s="364"/>
      <c r="CC83" s="364"/>
      <c r="CD83" s="364"/>
      <c r="CE83" s="364"/>
      <c r="CF83" s="364"/>
      <c r="CG83" s="364"/>
      <c r="CH83" s="364"/>
      <c r="CI83" s="364"/>
      <c r="CJ83" s="364"/>
      <c r="CK83" s="364"/>
      <c r="CL83" s="364"/>
      <c r="CM83" s="364"/>
      <c r="CN83" s="364"/>
      <c r="CO83" s="364"/>
      <c r="CP83" s="364"/>
      <c r="CQ83" s="364"/>
      <c r="CR83" s="364"/>
      <c r="CS83" s="364"/>
      <c r="CT83" s="364"/>
      <c r="CU83" s="364"/>
      <c r="CV83" s="364"/>
      <c r="CW83" s="364"/>
      <c r="CX83" s="364"/>
      <c r="CY83" s="364"/>
      <c r="CZ83" s="364"/>
      <c r="DA83" s="364"/>
      <c r="DB83" s="364"/>
      <c r="DC83" s="364"/>
      <c r="DD83" s="364"/>
      <c r="DE83" s="364"/>
      <c r="DF83" s="364"/>
      <c r="DG83" s="364"/>
      <c r="DH83" s="364"/>
      <c r="DI83" s="364"/>
      <c r="DJ83" s="364"/>
      <c r="DK83" s="364"/>
      <c r="DL83" s="364"/>
      <c r="DM83" s="364"/>
      <c r="DN83" s="364"/>
      <c r="DO83" s="364"/>
      <c r="DP83" s="364"/>
      <c r="DQ83" s="364"/>
      <c r="DR83" s="364"/>
      <c r="DS83" s="364"/>
      <c r="DT83" s="364"/>
      <c r="DU83" s="364"/>
      <c r="DV83" s="364"/>
      <c r="DW83" s="364"/>
      <c r="DX83" s="364"/>
      <c r="DY83" s="364"/>
      <c r="DZ83" s="364"/>
      <c r="EA83" s="364"/>
      <c r="EB83" s="364"/>
      <c r="EC83" s="364"/>
      <c r="ED83" s="364"/>
      <c r="EE83" s="364"/>
      <c r="EF83" s="364"/>
      <c r="EG83" s="364"/>
      <c r="EH83" s="364"/>
      <c r="EI83" s="364"/>
      <c r="EJ83" s="364"/>
      <c r="EK83" s="364"/>
      <c r="EL83" s="364"/>
      <c r="EM83" s="364"/>
      <c r="EN83" s="364"/>
      <c r="EO83" s="364"/>
      <c r="EP83" s="364"/>
      <c r="EQ83" s="364"/>
      <c r="ER83" s="364"/>
      <c r="ES83" s="364"/>
      <c r="ET83" s="364"/>
      <c r="EU83" s="364"/>
      <c r="EV83" s="364"/>
      <c r="EW83" s="364"/>
      <c r="EX83" s="364"/>
      <c r="EY83" s="364"/>
      <c r="EZ83" s="364"/>
      <c r="FA83" s="364"/>
      <c r="FB83" s="364"/>
      <c r="FC83" s="364"/>
      <c r="FD83" s="364"/>
      <c r="FE83" s="364"/>
      <c r="FF83" s="364"/>
      <c r="FG83" s="364"/>
      <c r="FH83" s="364"/>
      <c r="FI83" s="364"/>
      <c r="FJ83" s="364"/>
      <c r="FK83" s="364"/>
    </row>
    <row r="84" customFormat="false" ht="15.75" hidden="false" customHeight="false" outlineLevel="0" collapsed="false">
      <c r="A84" s="364" t="n">
        <v>171</v>
      </c>
      <c r="B84" s="364" t="n">
        <f aca="false">COUNTA(D84:FK84)</f>
        <v>63</v>
      </c>
      <c r="C84" s="364" t="s">
        <v>615</v>
      </c>
      <c r="D84" s="364" t="s">
        <v>2527</v>
      </c>
      <c r="E84" s="364" t="s">
        <v>2352</v>
      </c>
      <c r="F84" s="364" t="s">
        <v>2561</v>
      </c>
      <c r="G84" s="364" t="s">
        <v>2538</v>
      </c>
      <c r="H84" s="364" t="s">
        <v>2402</v>
      </c>
      <c r="I84" s="364" t="s">
        <v>2310</v>
      </c>
      <c r="J84" s="364" t="s">
        <v>2405</v>
      </c>
      <c r="K84" s="364" t="s">
        <v>2312</v>
      </c>
      <c r="L84" s="364" t="s">
        <v>2356</v>
      </c>
      <c r="M84" s="364" t="s">
        <v>2406</v>
      </c>
      <c r="N84" s="364" t="s">
        <v>2408</v>
      </c>
      <c r="O84" s="364" t="s">
        <v>2315</v>
      </c>
      <c r="P84" s="364" t="s">
        <v>2358</v>
      </c>
      <c r="Q84" s="364" t="s">
        <v>2410</v>
      </c>
      <c r="R84" s="364" t="s">
        <v>2316</v>
      </c>
      <c r="S84" s="364" t="s">
        <v>2497</v>
      </c>
      <c r="T84" s="364" t="s">
        <v>2320</v>
      </c>
      <c r="U84" s="364" t="s">
        <v>2534</v>
      </c>
      <c r="V84" s="364" t="s">
        <v>2322</v>
      </c>
      <c r="W84" s="364" t="s">
        <v>2323</v>
      </c>
      <c r="X84" s="364" t="s">
        <v>2324</v>
      </c>
      <c r="Y84" s="364" t="s">
        <v>2327</v>
      </c>
      <c r="Z84" s="364" t="s">
        <v>2328</v>
      </c>
      <c r="AA84" s="364" t="s">
        <v>2414</v>
      </c>
      <c r="AB84" s="364" t="s">
        <v>2329</v>
      </c>
      <c r="AC84" s="364" t="s">
        <v>2415</v>
      </c>
      <c r="AD84" s="364" t="s">
        <v>2417</v>
      </c>
      <c r="AE84" s="364" t="s">
        <v>2330</v>
      </c>
      <c r="AF84" s="364" t="s">
        <v>2418</v>
      </c>
      <c r="AG84" s="364" t="s">
        <v>2539</v>
      </c>
      <c r="AH84" s="364" t="s">
        <v>2331</v>
      </c>
      <c r="AI84" s="364" t="s">
        <v>2382</v>
      </c>
      <c r="AJ84" s="364" t="s">
        <v>2594</v>
      </c>
      <c r="AK84" s="261" t="s">
        <v>183</v>
      </c>
      <c r="AL84" s="364" t="s">
        <v>2531</v>
      </c>
      <c r="AM84" s="364" t="s">
        <v>2335</v>
      </c>
      <c r="AN84" s="364" t="s">
        <v>2441</v>
      </c>
      <c r="AO84" s="364" t="s">
        <v>2337</v>
      </c>
      <c r="AP84" s="364" t="s">
        <v>2338</v>
      </c>
      <c r="AQ84" s="364" t="s">
        <v>2388</v>
      </c>
      <c r="AR84" s="364" t="s">
        <v>2339</v>
      </c>
      <c r="AS84" s="364" t="s">
        <v>2389</v>
      </c>
      <c r="AT84" s="364" t="s">
        <v>2420</v>
      </c>
      <c r="AU84" s="364" t="s">
        <v>2340</v>
      </c>
      <c r="AV84" s="364" t="s">
        <v>2421</v>
      </c>
      <c r="AW84" s="364" t="s">
        <v>2390</v>
      </c>
      <c r="AX84" s="364" t="s">
        <v>2341</v>
      </c>
      <c r="AY84" s="364" t="s">
        <v>2391</v>
      </c>
      <c r="AZ84" s="364" t="s">
        <v>2393</v>
      </c>
      <c r="BA84" s="364" t="s">
        <v>2395</v>
      </c>
      <c r="BB84" s="364" t="s">
        <v>2423</v>
      </c>
      <c r="BC84" s="364" t="s">
        <v>2344</v>
      </c>
      <c r="BD84" s="364" t="s">
        <v>2500</v>
      </c>
      <c r="BE84" s="364" t="s">
        <v>2397</v>
      </c>
      <c r="BF84" s="364" t="s">
        <v>2511</v>
      </c>
      <c r="BG84" s="364" t="s">
        <v>2424</v>
      </c>
      <c r="BH84" s="364" t="s">
        <v>2349</v>
      </c>
      <c r="BI84" s="364" t="s">
        <v>2445</v>
      </c>
      <c r="BJ84" s="364" t="s">
        <v>2425</v>
      </c>
      <c r="BK84" s="364" t="s">
        <v>2426</v>
      </c>
      <c r="BL84" s="364" t="s">
        <v>2428</v>
      </c>
      <c r="BM84" s="364" t="s">
        <v>2429</v>
      </c>
      <c r="BN84" s="364" t="s">
        <v>2458</v>
      </c>
      <c r="BO84" s="364"/>
      <c r="BP84" s="364"/>
      <c r="BQ84" s="364"/>
      <c r="BR84" s="364"/>
      <c r="BS84" s="364"/>
      <c r="BT84" s="364"/>
      <c r="BU84" s="364"/>
      <c r="BV84" s="364"/>
      <c r="BW84" s="364"/>
      <c r="BX84" s="364"/>
      <c r="BY84" s="364"/>
      <c r="BZ84" s="364"/>
      <c r="CA84" s="364"/>
      <c r="CB84" s="364"/>
      <c r="CC84" s="364"/>
      <c r="CD84" s="364"/>
      <c r="CE84" s="364"/>
      <c r="CF84" s="364"/>
      <c r="CG84" s="364"/>
      <c r="CH84" s="364"/>
      <c r="CI84" s="364"/>
      <c r="CJ84" s="364"/>
      <c r="CK84" s="364"/>
      <c r="CL84" s="364"/>
      <c r="CM84" s="364"/>
      <c r="CN84" s="364"/>
      <c r="CO84" s="364"/>
      <c r="CP84" s="364"/>
      <c r="CQ84" s="364"/>
      <c r="CR84" s="364"/>
      <c r="CS84" s="364"/>
      <c r="CT84" s="364"/>
      <c r="CU84" s="364"/>
      <c r="CV84" s="364"/>
      <c r="CW84" s="364"/>
      <c r="CX84" s="364"/>
      <c r="CY84" s="364"/>
      <c r="CZ84" s="364"/>
      <c r="DA84" s="364"/>
      <c r="DB84" s="364"/>
      <c r="DC84" s="364"/>
      <c r="DD84" s="364"/>
      <c r="DE84" s="364"/>
      <c r="DF84" s="364"/>
      <c r="DG84" s="364"/>
      <c r="DH84" s="364"/>
      <c r="DI84" s="364"/>
      <c r="DJ84" s="364"/>
      <c r="DK84" s="364"/>
      <c r="DL84" s="364"/>
      <c r="DM84" s="364"/>
      <c r="DN84" s="364"/>
      <c r="DO84" s="364"/>
      <c r="DP84" s="364"/>
      <c r="DQ84" s="364"/>
      <c r="DR84" s="364"/>
      <c r="DS84" s="364"/>
      <c r="DT84" s="364"/>
      <c r="DU84" s="364"/>
      <c r="DV84" s="364"/>
      <c r="DW84" s="364"/>
      <c r="DX84" s="364"/>
      <c r="DY84" s="364"/>
      <c r="DZ84" s="364"/>
      <c r="EA84" s="364"/>
      <c r="EB84" s="364"/>
      <c r="EC84" s="364"/>
      <c r="ED84" s="364"/>
      <c r="EE84" s="364"/>
      <c r="EF84" s="364"/>
      <c r="EG84" s="364"/>
      <c r="EH84" s="364"/>
      <c r="EI84" s="364"/>
      <c r="EJ84" s="364"/>
      <c r="EK84" s="364"/>
      <c r="EL84" s="364"/>
      <c r="EM84" s="364"/>
      <c r="EN84" s="364"/>
      <c r="EO84" s="364"/>
      <c r="EP84" s="364"/>
      <c r="EQ84" s="364"/>
      <c r="ER84" s="364"/>
      <c r="ES84" s="364"/>
      <c r="ET84" s="364"/>
      <c r="EU84" s="364"/>
      <c r="EV84" s="364"/>
      <c r="EW84" s="364"/>
      <c r="EX84" s="364"/>
      <c r="EY84" s="364"/>
      <c r="EZ84" s="364"/>
      <c r="FA84" s="364"/>
      <c r="FB84" s="364"/>
      <c r="FC84" s="364"/>
      <c r="FD84" s="364"/>
      <c r="FE84" s="364"/>
      <c r="FF84" s="364"/>
      <c r="FG84" s="364"/>
      <c r="FH84" s="364"/>
      <c r="FI84" s="364"/>
      <c r="FJ84" s="364"/>
      <c r="FK84" s="364"/>
    </row>
    <row r="85" customFormat="false" ht="15.75" hidden="false" customHeight="false" outlineLevel="0" collapsed="false">
      <c r="A85" s="364" t="n">
        <v>172</v>
      </c>
      <c r="B85" s="364" t="n">
        <f aca="false">COUNTA(D85:FK85)</f>
        <v>55</v>
      </c>
      <c r="C85" s="364" t="s">
        <v>617</v>
      </c>
      <c r="D85" s="364" t="s">
        <v>2352</v>
      </c>
      <c r="E85" s="364" t="s">
        <v>2353</v>
      </c>
      <c r="F85" s="364" t="s">
        <v>2561</v>
      </c>
      <c r="G85" s="364" t="s">
        <v>2402</v>
      </c>
      <c r="H85" s="364" t="s">
        <v>2447</v>
      </c>
      <c r="I85" s="364" t="s">
        <v>2310</v>
      </c>
      <c r="J85" s="364" t="s">
        <v>2404</v>
      </c>
      <c r="K85" s="364" t="s">
        <v>2357</v>
      </c>
      <c r="L85" s="364" t="s">
        <v>2313</v>
      </c>
      <c r="M85" s="364" t="s">
        <v>2466</v>
      </c>
      <c r="N85" s="364" t="s">
        <v>2316</v>
      </c>
      <c r="O85" s="364" t="s">
        <v>2359</v>
      </c>
      <c r="P85" s="364" t="s">
        <v>2360</v>
      </c>
      <c r="Q85" s="364" t="s">
        <v>2361</v>
      </c>
      <c r="R85" s="364" t="s">
        <v>2362</v>
      </c>
      <c r="S85" s="364" t="s">
        <v>2497</v>
      </c>
      <c r="T85" s="364" t="s">
        <v>2317</v>
      </c>
      <c r="U85" s="364" t="s">
        <v>2320</v>
      </c>
      <c r="V85" s="364" t="s">
        <v>2366</v>
      </c>
      <c r="W85" s="364" t="s">
        <v>2367</v>
      </c>
      <c r="X85" s="364" t="s">
        <v>2373</v>
      </c>
      <c r="Y85" s="364" t="s">
        <v>2375</v>
      </c>
      <c r="Z85" s="364" t="s">
        <v>2324</v>
      </c>
      <c r="AA85" s="364" t="s">
        <v>2327</v>
      </c>
      <c r="AB85" s="364" t="s">
        <v>2378</v>
      </c>
      <c r="AC85" s="364" t="s">
        <v>2328</v>
      </c>
      <c r="AD85" s="364" t="s">
        <v>2329</v>
      </c>
      <c r="AE85" s="364" t="s">
        <v>2485</v>
      </c>
      <c r="AF85" s="364" t="s">
        <v>2379</v>
      </c>
      <c r="AG85" s="364" t="s">
        <v>2506</v>
      </c>
      <c r="AH85" s="364" t="s">
        <v>2381</v>
      </c>
      <c r="AI85" s="364" t="s">
        <v>2385</v>
      </c>
      <c r="AJ85" s="364" t="s">
        <v>2452</v>
      </c>
      <c r="AK85" s="364" t="s">
        <v>2455</v>
      </c>
      <c r="AL85" s="364" t="s">
        <v>2335</v>
      </c>
      <c r="AM85" s="364" t="s">
        <v>2441</v>
      </c>
      <c r="AN85" s="364" t="s">
        <v>2337</v>
      </c>
      <c r="AO85" s="364" t="s">
        <v>2388</v>
      </c>
      <c r="AP85" s="364" t="s">
        <v>2339</v>
      </c>
      <c r="AQ85" s="364" t="s">
        <v>2389</v>
      </c>
      <c r="AR85" s="364" t="s">
        <v>2340</v>
      </c>
      <c r="AS85" s="364" t="s">
        <v>2341</v>
      </c>
      <c r="AT85" s="364" t="s">
        <v>2462</v>
      </c>
      <c r="AU85" s="364" t="s">
        <v>2394</v>
      </c>
      <c r="AV85" s="364" t="s">
        <v>2423</v>
      </c>
      <c r="AW85" s="364" t="s">
        <v>2344</v>
      </c>
      <c r="AX85" s="364" t="s">
        <v>2396</v>
      </c>
      <c r="AY85" s="364" t="s">
        <v>2500</v>
      </c>
      <c r="AZ85" s="364" t="s">
        <v>2347</v>
      </c>
      <c r="BA85" s="364" t="s">
        <v>2398</v>
      </c>
      <c r="BB85" s="364" t="s">
        <v>2349</v>
      </c>
      <c r="BC85" s="364" t="s">
        <v>2445</v>
      </c>
      <c r="BD85" s="364" t="s">
        <v>2488</v>
      </c>
      <c r="BE85" s="364" t="s">
        <v>2400</v>
      </c>
      <c r="BF85" s="364" t="s">
        <v>2401</v>
      </c>
      <c r="BG85" s="364"/>
      <c r="BH85" s="364"/>
      <c r="BI85" s="364"/>
      <c r="BJ85" s="364"/>
      <c r="BK85" s="364"/>
      <c r="BL85" s="364"/>
      <c r="BM85" s="364"/>
      <c r="BN85" s="364"/>
      <c r="BO85" s="364"/>
      <c r="BP85" s="364"/>
      <c r="BQ85" s="364"/>
      <c r="BR85" s="364"/>
      <c r="BS85" s="364"/>
      <c r="BT85" s="364"/>
      <c r="BU85" s="364"/>
      <c r="BV85" s="364"/>
      <c r="BW85" s="364"/>
      <c r="BX85" s="364"/>
      <c r="BY85" s="364"/>
      <c r="BZ85" s="364"/>
      <c r="CA85" s="364"/>
      <c r="CB85" s="364"/>
      <c r="CC85" s="364"/>
      <c r="CD85" s="364"/>
      <c r="CE85" s="364"/>
      <c r="CF85" s="364"/>
      <c r="CG85" s="364"/>
      <c r="CH85" s="364"/>
      <c r="CI85" s="364"/>
      <c r="CJ85" s="364"/>
      <c r="CK85" s="364"/>
      <c r="CL85" s="364"/>
      <c r="CM85" s="364"/>
      <c r="CN85" s="364"/>
      <c r="CO85" s="364"/>
      <c r="CP85" s="364"/>
      <c r="CQ85" s="364"/>
      <c r="CR85" s="364"/>
      <c r="CS85" s="364"/>
      <c r="CT85" s="364"/>
      <c r="CU85" s="364"/>
      <c r="CV85" s="364"/>
      <c r="CW85" s="364"/>
      <c r="CX85" s="364"/>
      <c r="CY85" s="364"/>
      <c r="CZ85" s="364"/>
      <c r="DA85" s="364"/>
      <c r="DB85" s="364"/>
      <c r="DC85" s="364"/>
      <c r="DD85" s="364"/>
      <c r="DE85" s="364"/>
      <c r="DF85" s="364"/>
      <c r="DG85" s="364"/>
      <c r="DH85" s="364"/>
      <c r="DI85" s="364"/>
      <c r="DJ85" s="364"/>
      <c r="DK85" s="364"/>
      <c r="DL85" s="364"/>
      <c r="DM85" s="364"/>
      <c r="DN85" s="364"/>
      <c r="DO85" s="364"/>
      <c r="DP85" s="364"/>
      <c r="DQ85" s="364"/>
      <c r="DR85" s="364"/>
      <c r="DS85" s="364"/>
      <c r="DT85" s="364"/>
      <c r="DU85" s="364"/>
      <c r="DV85" s="364"/>
      <c r="DW85" s="364"/>
      <c r="DX85" s="364"/>
      <c r="DY85" s="364"/>
      <c r="DZ85" s="364"/>
      <c r="EA85" s="364"/>
      <c r="EB85" s="364"/>
      <c r="EC85" s="364"/>
      <c r="ED85" s="364"/>
      <c r="EE85" s="364"/>
      <c r="EF85" s="364"/>
      <c r="EG85" s="364"/>
      <c r="EH85" s="364"/>
      <c r="EI85" s="364"/>
      <c r="EJ85" s="364"/>
      <c r="EK85" s="364"/>
      <c r="EL85" s="364"/>
      <c r="EM85" s="364"/>
      <c r="EN85" s="364"/>
      <c r="EO85" s="364"/>
      <c r="EP85" s="364"/>
      <c r="EQ85" s="364"/>
      <c r="ER85" s="364"/>
      <c r="ES85" s="364"/>
      <c r="ET85" s="364"/>
      <c r="EU85" s="364"/>
      <c r="EV85" s="364"/>
      <c r="EW85" s="364"/>
      <c r="EX85" s="364"/>
      <c r="EY85" s="364"/>
      <c r="EZ85" s="364"/>
      <c r="FA85" s="364"/>
      <c r="FB85" s="364"/>
      <c r="FC85" s="364"/>
      <c r="FD85" s="364"/>
      <c r="FE85" s="364"/>
      <c r="FF85" s="364"/>
      <c r="FG85" s="364"/>
      <c r="FH85" s="364"/>
      <c r="FI85" s="364"/>
      <c r="FJ85" s="364"/>
      <c r="FK85" s="364"/>
    </row>
    <row r="86" customFormat="false" ht="15.75" hidden="false" customHeight="false" outlineLevel="0" collapsed="false">
      <c r="A86" s="364" t="n">
        <v>174</v>
      </c>
      <c r="B86" s="364" t="n">
        <f aca="false">COUNTA(D86:FK86)</f>
        <v>80</v>
      </c>
      <c r="C86" s="364" t="s">
        <v>623</v>
      </c>
      <c r="D86" s="364" t="s">
        <v>2483</v>
      </c>
      <c r="E86" s="364" t="s">
        <v>2310</v>
      </c>
      <c r="F86" s="364" t="s">
        <v>2405</v>
      </c>
      <c r="G86" s="364" t="s">
        <v>2312</v>
      </c>
      <c r="H86" s="364" t="s">
        <v>2356</v>
      </c>
      <c r="I86" s="364" t="s">
        <v>2408</v>
      </c>
      <c r="J86" s="364" t="s">
        <v>2313</v>
      </c>
      <c r="K86" s="364" t="s">
        <v>2509</v>
      </c>
      <c r="L86" s="364" t="s">
        <v>138</v>
      </c>
      <c r="M86" s="364" t="s">
        <v>2465</v>
      </c>
      <c r="N86" s="364" t="s">
        <v>2466</v>
      </c>
      <c r="O86" s="364" t="s">
        <v>2316</v>
      </c>
      <c r="P86" s="364" t="s">
        <v>2364</v>
      </c>
      <c r="Q86" s="364" t="s">
        <v>2317</v>
      </c>
      <c r="R86" s="364" t="s">
        <v>2320</v>
      </c>
      <c r="S86" s="364" t="s">
        <v>2366</v>
      </c>
      <c r="T86" s="364" t="s">
        <v>2369</v>
      </c>
      <c r="U86" s="364" t="s">
        <v>2373</v>
      </c>
      <c r="V86" s="364" t="s">
        <v>2376</v>
      </c>
      <c r="W86" s="364" t="s">
        <v>2377</v>
      </c>
      <c r="X86" s="364" t="s">
        <v>2324</v>
      </c>
      <c r="Y86" s="364" t="s">
        <v>2484</v>
      </c>
      <c r="Z86" s="364" t="s">
        <v>2327</v>
      </c>
      <c r="AA86" s="364" t="s">
        <v>2563</v>
      </c>
      <c r="AB86" s="364" t="s">
        <v>2328</v>
      </c>
      <c r="AC86" s="364" t="s">
        <v>2631</v>
      </c>
      <c r="AD86" s="364" t="s">
        <v>2329</v>
      </c>
      <c r="AE86" s="364" t="s">
        <v>2521</v>
      </c>
      <c r="AF86" s="364" t="s">
        <v>2415</v>
      </c>
      <c r="AG86" s="364" t="s">
        <v>2416</v>
      </c>
      <c r="AH86" s="364" t="s">
        <v>2417</v>
      </c>
      <c r="AI86" s="364" t="s">
        <v>2379</v>
      </c>
      <c r="AJ86" s="364" t="s">
        <v>2506</v>
      </c>
      <c r="AK86" s="364" t="s">
        <v>2468</v>
      </c>
      <c r="AL86" s="364" t="s">
        <v>2588</v>
      </c>
      <c r="AM86" s="364" t="s">
        <v>2382</v>
      </c>
      <c r="AN86" s="364" t="s">
        <v>2383</v>
      </c>
      <c r="AO86" s="261" t="s">
        <v>183</v>
      </c>
      <c r="AP86" s="364" t="s">
        <v>2332</v>
      </c>
      <c r="AQ86" s="364" t="s">
        <v>2490</v>
      </c>
      <c r="AR86" s="364" t="s">
        <v>2387</v>
      </c>
      <c r="AS86" s="364" t="s">
        <v>157</v>
      </c>
      <c r="AT86" s="364" t="s">
        <v>2440</v>
      </c>
      <c r="AU86" s="364" t="s">
        <v>2455</v>
      </c>
      <c r="AV86" s="364" t="s">
        <v>2335</v>
      </c>
      <c r="AW86" s="364" t="s">
        <v>2337</v>
      </c>
      <c r="AX86" s="364" t="s">
        <v>2469</v>
      </c>
      <c r="AY86" s="364" t="s">
        <v>2338</v>
      </c>
      <c r="AZ86" s="364" t="s">
        <v>2388</v>
      </c>
      <c r="BA86" s="364" t="s">
        <v>2339</v>
      </c>
      <c r="BB86" s="364" t="s">
        <v>2389</v>
      </c>
      <c r="BC86" s="364" t="s">
        <v>2420</v>
      </c>
      <c r="BD86" s="364" t="s">
        <v>2340</v>
      </c>
      <c r="BE86" s="364" t="s">
        <v>2341</v>
      </c>
      <c r="BF86" s="364" t="s">
        <v>2342</v>
      </c>
      <c r="BG86" s="364" t="s">
        <v>2391</v>
      </c>
      <c r="BH86" s="364" t="s">
        <v>2566</v>
      </c>
      <c r="BI86" s="364" t="s">
        <v>2442</v>
      </c>
      <c r="BJ86" s="364" t="s">
        <v>2470</v>
      </c>
      <c r="BK86" s="364" t="s">
        <v>2393</v>
      </c>
      <c r="BL86" s="364" t="s">
        <v>2423</v>
      </c>
      <c r="BM86" s="364" t="s">
        <v>2344</v>
      </c>
      <c r="BN86" s="364" t="s">
        <v>2345</v>
      </c>
      <c r="BO86" s="364" t="s">
        <v>2346</v>
      </c>
      <c r="BP86" s="364" t="s">
        <v>2347</v>
      </c>
      <c r="BQ86" s="364" t="s">
        <v>2397</v>
      </c>
      <c r="BR86" s="364" t="s">
        <v>2511</v>
      </c>
      <c r="BS86" s="364" t="s">
        <v>2424</v>
      </c>
      <c r="BT86" s="364" t="s">
        <v>2348</v>
      </c>
      <c r="BU86" s="364" t="s">
        <v>2349</v>
      </c>
      <c r="BV86" s="364" t="s">
        <v>2475</v>
      </c>
      <c r="BW86" s="364" t="s">
        <v>2476</v>
      </c>
      <c r="BX86" s="364" t="s">
        <v>2399</v>
      </c>
      <c r="BY86" s="364" t="s">
        <v>2426</v>
      </c>
      <c r="BZ86" s="364" t="s">
        <v>2428</v>
      </c>
      <c r="CA86" s="364" t="s">
        <v>2429</v>
      </c>
      <c r="CB86" s="364" t="s">
        <v>2477</v>
      </c>
      <c r="CC86" s="364" t="s">
        <v>2572</v>
      </c>
      <c r="CD86" s="364" t="s">
        <v>2493</v>
      </c>
      <c r="CE86" s="364" t="s">
        <v>2430</v>
      </c>
      <c r="CF86" s="364"/>
      <c r="CG86" s="364"/>
      <c r="CH86" s="364"/>
      <c r="CI86" s="364"/>
      <c r="CJ86" s="364"/>
      <c r="CK86" s="364"/>
      <c r="CL86" s="364"/>
      <c r="CM86" s="364"/>
      <c r="CN86" s="364"/>
      <c r="CO86" s="364"/>
      <c r="CP86" s="364"/>
      <c r="CQ86" s="364"/>
      <c r="CR86" s="364"/>
      <c r="CS86" s="364"/>
      <c r="CT86" s="364"/>
      <c r="CU86" s="364"/>
      <c r="CV86" s="364"/>
      <c r="CW86" s="364"/>
      <c r="CX86" s="364"/>
      <c r="CY86" s="364"/>
      <c r="CZ86" s="364"/>
      <c r="DA86" s="364"/>
      <c r="DB86" s="364"/>
      <c r="DC86" s="364"/>
      <c r="DD86" s="364"/>
      <c r="DE86" s="364"/>
      <c r="DF86" s="364"/>
      <c r="DG86" s="364"/>
      <c r="DH86" s="364"/>
      <c r="DI86" s="364"/>
      <c r="DJ86" s="364"/>
      <c r="DK86" s="364"/>
      <c r="DL86" s="364"/>
      <c r="DM86" s="364"/>
      <c r="DN86" s="364"/>
      <c r="DO86" s="364"/>
      <c r="DP86" s="364"/>
      <c r="DQ86" s="364"/>
      <c r="DR86" s="364"/>
      <c r="DS86" s="364"/>
      <c r="DT86" s="364"/>
      <c r="DU86" s="364"/>
      <c r="DV86" s="364"/>
      <c r="DW86" s="364"/>
      <c r="DX86" s="364"/>
      <c r="DY86" s="364"/>
      <c r="DZ86" s="364"/>
      <c r="EA86" s="364"/>
      <c r="EB86" s="364"/>
      <c r="EC86" s="364"/>
      <c r="ED86" s="364"/>
      <c r="EE86" s="364"/>
      <c r="EF86" s="364"/>
      <c r="EG86" s="364"/>
      <c r="EH86" s="364"/>
      <c r="EI86" s="364"/>
      <c r="EJ86" s="364"/>
      <c r="EK86" s="364"/>
      <c r="EL86" s="364"/>
      <c r="EM86" s="364"/>
      <c r="EN86" s="364"/>
      <c r="EO86" s="364"/>
      <c r="EP86" s="364"/>
      <c r="EQ86" s="364"/>
      <c r="ER86" s="364"/>
      <c r="ES86" s="364"/>
      <c r="ET86" s="364"/>
      <c r="EU86" s="364"/>
      <c r="EV86" s="364"/>
      <c r="EW86" s="364"/>
      <c r="EX86" s="364"/>
      <c r="EY86" s="364"/>
      <c r="EZ86" s="364"/>
      <c r="FA86" s="364"/>
      <c r="FB86" s="364"/>
      <c r="FC86" s="364"/>
      <c r="FD86" s="364"/>
      <c r="FE86" s="364"/>
      <c r="FF86" s="364"/>
      <c r="FG86" s="364"/>
      <c r="FH86" s="364"/>
      <c r="FI86" s="364"/>
      <c r="FJ86" s="364"/>
      <c r="FK86" s="364"/>
    </row>
    <row r="87" customFormat="false" ht="15.75" hidden="false" customHeight="false" outlineLevel="0" collapsed="false">
      <c r="A87" s="364" t="n">
        <v>175</v>
      </c>
      <c r="B87" s="364" t="n">
        <f aca="false">COUNTA(D87:FK87)</f>
        <v>43</v>
      </c>
      <c r="C87" s="364" t="s">
        <v>626</v>
      </c>
      <c r="D87" s="364" t="s">
        <v>2352</v>
      </c>
      <c r="E87" s="364" t="s">
        <v>2353</v>
      </c>
      <c r="F87" s="364" t="s">
        <v>2561</v>
      </c>
      <c r="G87" s="364" t="s">
        <v>2403</v>
      </c>
      <c r="H87" s="364" t="s">
        <v>2310</v>
      </c>
      <c r="I87" s="364" t="s">
        <v>2405</v>
      </c>
      <c r="J87" s="364" t="s">
        <v>2408</v>
      </c>
      <c r="K87" s="364" t="s">
        <v>2316</v>
      </c>
      <c r="L87" s="364" t="s">
        <v>2632</v>
      </c>
      <c r="M87" s="364" t="s">
        <v>2320</v>
      </c>
      <c r="N87" s="364" t="s">
        <v>2375</v>
      </c>
      <c r="O87" s="364" t="s">
        <v>2629</v>
      </c>
      <c r="P87" s="364" t="s">
        <v>2502</v>
      </c>
      <c r="Q87" s="364" t="s">
        <v>2324</v>
      </c>
      <c r="R87" s="364" t="s">
        <v>2437</v>
      </c>
      <c r="S87" s="364" t="s">
        <v>2328</v>
      </c>
      <c r="T87" s="364" t="s">
        <v>2459</v>
      </c>
      <c r="U87" s="364" t="s">
        <v>2329</v>
      </c>
      <c r="V87" s="364" t="s">
        <v>2415</v>
      </c>
      <c r="W87" s="364" t="s">
        <v>2525</v>
      </c>
      <c r="X87" s="364" t="s">
        <v>2417</v>
      </c>
      <c r="Y87" s="261" t="s">
        <v>183</v>
      </c>
      <c r="Z87" s="364" t="s">
        <v>2385</v>
      </c>
      <c r="AA87" s="364" t="s">
        <v>2480</v>
      </c>
      <c r="AB87" s="364" t="s">
        <v>2460</v>
      </c>
      <c r="AC87" s="364" t="s">
        <v>2626</v>
      </c>
      <c r="AD87" s="364" t="s">
        <v>2335</v>
      </c>
      <c r="AE87" s="364" t="s">
        <v>2441</v>
      </c>
      <c r="AF87" s="364" t="s">
        <v>2337</v>
      </c>
      <c r="AG87" s="364" t="s">
        <v>2339</v>
      </c>
      <c r="AH87" s="364" t="s">
        <v>2340</v>
      </c>
      <c r="AI87" s="364" t="s">
        <v>2341</v>
      </c>
      <c r="AJ87" s="364" t="s">
        <v>2422</v>
      </c>
      <c r="AK87" s="364" t="s">
        <v>2462</v>
      </c>
      <c r="AL87" s="364" t="s">
        <v>2394</v>
      </c>
      <c r="AM87" s="364" t="s">
        <v>2344</v>
      </c>
      <c r="AN87" s="364" t="s">
        <v>2396</v>
      </c>
      <c r="AO87" s="364" t="s">
        <v>2398</v>
      </c>
      <c r="AP87" s="364" t="s">
        <v>2349</v>
      </c>
      <c r="AQ87" s="364" t="s">
        <v>2400</v>
      </c>
      <c r="AR87" s="364" t="s">
        <v>2446</v>
      </c>
      <c r="AS87" s="364" t="s">
        <v>2426</v>
      </c>
      <c r="AT87" s="364" t="s">
        <v>2428</v>
      </c>
      <c r="AU87" s="364"/>
      <c r="AV87" s="364"/>
      <c r="AW87" s="364"/>
      <c r="AX87" s="364"/>
      <c r="AY87" s="364"/>
      <c r="AZ87" s="364"/>
      <c r="BA87" s="364"/>
      <c r="BB87" s="364"/>
      <c r="BC87" s="364"/>
      <c r="BD87" s="364"/>
      <c r="BE87" s="364"/>
      <c r="BF87" s="364"/>
      <c r="BG87" s="364"/>
      <c r="BH87" s="364"/>
      <c r="BI87" s="364"/>
      <c r="BJ87" s="364"/>
      <c r="BK87" s="364"/>
      <c r="BL87" s="364"/>
      <c r="BM87" s="364"/>
      <c r="BN87" s="364"/>
      <c r="BO87" s="364"/>
      <c r="BP87" s="364"/>
      <c r="BQ87" s="364"/>
      <c r="BR87" s="364"/>
      <c r="BS87" s="364"/>
      <c r="BT87" s="364"/>
      <c r="BU87" s="364"/>
      <c r="BV87" s="364"/>
      <c r="BW87" s="364"/>
      <c r="BX87" s="364"/>
      <c r="BY87" s="364"/>
      <c r="BZ87" s="364"/>
      <c r="CA87" s="364"/>
      <c r="CB87" s="364"/>
      <c r="CC87" s="364"/>
      <c r="CD87" s="364"/>
      <c r="CE87" s="364"/>
      <c r="CF87" s="364"/>
      <c r="CG87" s="364"/>
      <c r="CH87" s="364"/>
      <c r="CI87" s="364"/>
      <c r="CJ87" s="364"/>
      <c r="CK87" s="364"/>
      <c r="CL87" s="364"/>
      <c r="CM87" s="364"/>
      <c r="CN87" s="364"/>
      <c r="CO87" s="364"/>
      <c r="CP87" s="364"/>
      <c r="CQ87" s="364"/>
      <c r="CR87" s="364"/>
      <c r="CS87" s="364"/>
      <c r="CT87" s="364"/>
      <c r="CU87" s="364"/>
      <c r="CV87" s="364"/>
      <c r="CW87" s="364"/>
      <c r="CX87" s="364"/>
      <c r="CY87" s="364"/>
      <c r="CZ87" s="364"/>
      <c r="DA87" s="364"/>
      <c r="DB87" s="364"/>
      <c r="DC87" s="364"/>
      <c r="DD87" s="364"/>
      <c r="DE87" s="364"/>
      <c r="DF87" s="364"/>
      <c r="DG87" s="364"/>
      <c r="DH87" s="364"/>
      <c r="DI87" s="364"/>
      <c r="DJ87" s="364"/>
      <c r="DK87" s="364"/>
      <c r="DL87" s="364"/>
      <c r="DM87" s="364"/>
      <c r="DN87" s="364"/>
      <c r="DO87" s="364"/>
      <c r="DP87" s="364"/>
      <c r="DQ87" s="364"/>
      <c r="DR87" s="364"/>
      <c r="DS87" s="364"/>
      <c r="DT87" s="364"/>
      <c r="DU87" s="364"/>
      <c r="DV87" s="364"/>
      <c r="DW87" s="364"/>
      <c r="DX87" s="364"/>
      <c r="DY87" s="364"/>
      <c r="DZ87" s="364"/>
      <c r="EA87" s="364"/>
      <c r="EB87" s="364"/>
      <c r="EC87" s="364"/>
      <c r="ED87" s="364"/>
      <c r="EE87" s="364"/>
      <c r="EF87" s="364"/>
      <c r="EG87" s="364"/>
      <c r="EH87" s="364"/>
      <c r="EI87" s="364"/>
      <c r="EJ87" s="364"/>
      <c r="EK87" s="364"/>
      <c r="EL87" s="364"/>
      <c r="EM87" s="364"/>
      <c r="EN87" s="364"/>
      <c r="EO87" s="364"/>
      <c r="EP87" s="364"/>
      <c r="EQ87" s="364"/>
      <c r="ER87" s="364"/>
      <c r="ES87" s="364"/>
      <c r="ET87" s="364"/>
      <c r="EU87" s="364"/>
      <c r="EV87" s="364"/>
      <c r="EW87" s="364"/>
      <c r="EX87" s="364"/>
      <c r="EY87" s="364"/>
      <c r="EZ87" s="364"/>
      <c r="FA87" s="364"/>
      <c r="FB87" s="364"/>
      <c r="FC87" s="364"/>
      <c r="FD87" s="364"/>
      <c r="FE87" s="364"/>
      <c r="FF87" s="364"/>
      <c r="FG87" s="364"/>
      <c r="FH87" s="364"/>
      <c r="FI87" s="364"/>
      <c r="FJ87" s="364"/>
      <c r="FK87" s="364"/>
    </row>
    <row r="88" customFormat="false" ht="15.75" hidden="false" customHeight="false" outlineLevel="0" collapsed="false">
      <c r="A88" s="364" t="n">
        <v>176</v>
      </c>
      <c r="B88" s="364" t="n">
        <f aca="false">COUNTA(D88:FK88)</f>
        <v>41</v>
      </c>
      <c r="C88" s="364" t="s">
        <v>628</v>
      </c>
      <c r="D88" s="364" t="s">
        <v>2352</v>
      </c>
      <c r="E88" s="364" t="s">
        <v>2353</v>
      </c>
      <c r="F88" s="364" t="s">
        <v>2561</v>
      </c>
      <c r="G88" s="364" t="s">
        <v>2310</v>
      </c>
      <c r="H88" s="364" t="s">
        <v>2464</v>
      </c>
      <c r="I88" s="364" t="s">
        <v>2569</v>
      </c>
      <c r="J88" s="364" t="s">
        <v>2316</v>
      </c>
      <c r="K88" s="364" t="s">
        <v>2479</v>
      </c>
      <c r="L88" s="364" t="s">
        <v>2632</v>
      </c>
      <c r="M88" s="364" t="s">
        <v>2320</v>
      </c>
      <c r="N88" s="364" t="s">
        <v>2375</v>
      </c>
      <c r="O88" s="364" t="s">
        <v>2324</v>
      </c>
      <c r="P88" s="364" t="s">
        <v>2378</v>
      </c>
      <c r="Q88" s="364" t="s">
        <v>2328</v>
      </c>
      <c r="R88" s="364" t="s">
        <v>2329</v>
      </c>
      <c r="S88" s="261" t="s">
        <v>183</v>
      </c>
      <c r="T88" s="364" t="s">
        <v>2385</v>
      </c>
      <c r="U88" s="364" t="s">
        <v>2480</v>
      </c>
      <c r="V88" s="364" t="s">
        <v>2460</v>
      </c>
      <c r="W88" s="364" t="s">
        <v>2335</v>
      </c>
      <c r="X88" s="364" t="s">
        <v>2441</v>
      </c>
      <c r="Y88" s="364" t="s">
        <v>2337</v>
      </c>
      <c r="Z88" s="364" t="s">
        <v>2339</v>
      </c>
      <c r="AA88" s="364" t="s">
        <v>2340</v>
      </c>
      <c r="AB88" s="364" t="s">
        <v>2341</v>
      </c>
      <c r="AC88" s="364" t="s">
        <v>2470</v>
      </c>
      <c r="AD88" s="364" t="s">
        <v>2422</v>
      </c>
      <c r="AE88" s="364" t="s">
        <v>2462</v>
      </c>
      <c r="AF88" s="364" t="s">
        <v>2394</v>
      </c>
      <c r="AG88" s="364" t="s">
        <v>2344</v>
      </c>
      <c r="AH88" s="364" t="s">
        <v>2396</v>
      </c>
      <c r="AI88" s="364" t="s">
        <v>2398</v>
      </c>
      <c r="AJ88" s="364" t="s">
        <v>2349</v>
      </c>
      <c r="AK88" s="364" t="s">
        <v>2475</v>
      </c>
      <c r="AL88" s="364" t="s">
        <v>2476</v>
      </c>
      <c r="AM88" s="364" t="s">
        <v>2491</v>
      </c>
      <c r="AN88" s="364" t="s">
        <v>2400</v>
      </c>
      <c r="AO88" s="364" t="s">
        <v>2446</v>
      </c>
      <c r="AP88" s="364" t="s">
        <v>2492</v>
      </c>
      <c r="AQ88" s="364" t="s">
        <v>2477</v>
      </c>
      <c r="AR88" s="364" t="s">
        <v>2493</v>
      </c>
      <c r="AS88" s="364"/>
      <c r="AT88" s="364"/>
      <c r="AU88" s="364"/>
      <c r="AV88" s="364"/>
      <c r="AW88" s="364"/>
      <c r="AX88" s="364"/>
      <c r="AY88" s="364"/>
      <c r="AZ88" s="364"/>
      <c r="BA88" s="364"/>
      <c r="BB88" s="364"/>
      <c r="BC88" s="364"/>
      <c r="BD88" s="364"/>
      <c r="BE88" s="364"/>
      <c r="BF88" s="364"/>
      <c r="BG88" s="364"/>
      <c r="BH88" s="364"/>
      <c r="BI88" s="364"/>
      <c r="BJ88" s="364"/>
      <c r="BK88" s="364"/>
      <c r="BL88" s="364"/>
      <c r="BM88" s="364"/>
      <c r="BN88" s="364"/>
      <c r="BO88" s="364"/>
      <c r="BP88" s="364"/>
      <c r="BQ88" s="364"/>
      <c r="BR88" s="364"/>
      <c r="BS88" s="364"/>
      <c r="BT88" s="364"/>
      <c r="BU88" s="364"/>
      <c r="BV88" s="364"/>
      <c r="BW88" s="364"/>
      <c r="BX88" s="364"/>
      <c r="BY88" s="364"/>
      <c r="BZ88" s="364"/>
      <c r="CA88" s="364"/>
      <c r="CB88" s="364"/>
      <c r="CC88" s="364"/>
      <c r="CD88" s="364"/>
      <c r="CE88" s="364"/>
      <c r="CF88" s="364"/>
      <c r="CG88" s="364"/>
      <c r="CH88" s="364"/>
      <c r="CI88" s="364"/>
      <c r="CJ88" s="364"/>
      <c r="CK88" s="364"/>
      <c r="CL88" s="364"/>
      <c r="CM88" s="364"/>
      <c r="CN88" s="364"/>
      <c r="CO88" s="364"/>
      <c r="CP88" s="364"/>
      <c r="CQ88" s="364"/>
      <c r="CR88" s="364"/>
      <c r="CS88" s="364"/>
      <c r="CT88" s="364"/>
      <c r="CU88" s="364"/>
      <c r="CV88" s="364"/>
      <c r="CW88" s="364"/>
      <c r="CX88" s="364"/>
      <c r="CY88" s="364"/>
      <c r="CZ88" s="364"/>
      <c r="DA88" s="364"/>
      <c r="DB88" s="364"/>
      <c r="DC88" s="364"/>
      <c r="DD88" s="364"/>
      <c r="DE88" s="364"/>
      <c r="DF88" s="364"/>
      <c r="DG88" s="364"/>
      <c r="DH88" s="364"/>
      <c r="DI88" s="364"/>
      <c r="DJ88" s="364"/>
      <c r="DK88" s="364"/>
      <c r="DL88" s="364"/>
      <c r="DM88" s="364"/>
      <c r="DN88" s="364"/>
      <c r="DO88" s="364"/>
      <c r="DP88" s="364"/>
      <c r="DQ88" s="364"/>
      <c r="DR88" s="364"/>
      <c r="DS88" s="364"/>
      <c r="DT88" s="364"/>
      <c r="DU88" s="364"/>
      <c r="DV88" s="364"/>
      <c r="DW88" s="364"/>
      <c r="DX88" s="364"/>
      <c r="DY88" s="364"/>
      <c r="DZ88" s="364"/>
      <c r="EA88" s="364"/>
      <c r="EB88" s="364"/>
      <c r="EC88" s="364"/>
      <c r="ED88" s="364"/>
      <c r="EE88" s="364"/>
      <c r="EF88" s="364"/>
      <c r="EG88" s="364"/>
      <c r="EH88" s="364"/>
      <c r="EI88" s="364"/>
      <c r="EJ88" s="364"/>
      <c r="EK88" s="364"/>
      <c r="EL88" s="364"/>
      <c r="EM88" s="364"/>
      <c r="EN88" s="364"/>
      <c r="EO88" s="364"/>
      <c r="EP88" s="364"/>
      <c r="EQ88" s="364"/>
      <c r="ER88" s="364"/>
      <c r="ES88" s="364"/>
      <c r="ET88" s="364"/>
      <c r="EU88" s="364"/>
      <c r="EV88" s="364"/>
      <c r="EW88" s="364"/>
      <c r="EX88" s="364"/>
      <c r="EY88" s="364"/>
      <c r="EZ88" s="364"/>
      <c r="FA88" s="364"/>
      <c r="FB88" s="364"/>
      <c r="FC88" s="364"/>
      <c r="FD88" s="364"/>
      <c r="FE88" s="364"/>
      <c r="FF88" s="364"/>
      <c r="FG88" s="364"/>
      <c r="FH88" s="364"/>
      <c r="FI88" s="364"/>
      <c r="FJ88" s="364"/>
      <c r="FK88" s="364"/>
    </row>
    <row r="89" customFormat="false" ht="15.75" hidden="false" customHeight="false" outlineLevel="0" collapsed="false">
      <c r="A89" s="364" t="n">
        <v>177</v>
      </c>
      <c r="B89" s="364" t="n">
        <f aca="false">COUNTA(D89:FK89)</f>
        <v>42</v>
      </c>
      <c r="C89" s="364" t="s">
        <v>630</v>
      </c>
      <c r="D89" s="364" t="s">
        <v>2352</v>
      </c>
      <c r="E89" s="364" t="s">
        <v>2353</v>
      </c>
      <c r="F89" s="364" t="s">
        <v>2354</v>
      </c>
      <c r="G89" s="364" t="s">
        <v>2561</v>
      </c>
      <c r="H89" s="364" t="s">
        <v>2310</v>
      </c>
      <c r="I89" s="364" t="s">
        <v>2633</v>
      </c>
      <c r="J89" s="364" t="s">
        <v>2316</v>
      </c>
      <c r="K89" s="364" t="s">
        <v>2365</v>
      </c>
      <c r="L89" s="364" t="s">
        <v>2632</v>
      </c>
      <c r="M89" s="364" t="s">
        <v>2320</v>
      </c>
      <c r="N89" s="364" t="s">
        <v>2366</v>
      </c>
      <c r="O89" s="364" t="s">
        <v>2370</v>
      </c>
      <c r="P89" s="364" t="s">
        <v>2372</v>
      </c>
      <c r="Q89" s="364" t="s">
        <v>2373</v>
      </c>
      <c r="R89" s="364" t="s">
        <v>2375</v>
      </c>
      <c r="S89" s="364" t="s">
        <v>2324</v>
      </c>
      <c r="T89" s="364" t="s">
        <v>2378</v>
      </c>
      <c r="U89" s="364" t="s">
        <v>2328</v>
      </c>
      <c r="V89" s="364" t="s">
        <v>2459</v>
      </c>
      <c r="W89" s="364" t="s">
        <v>2329</v>
      </c>
      <c r="X89" s="364" t="s">
        <v>2379</v>
      </c>
      <c r="Y89" s="261" t="s">
        <v>183</v>
      </c>
      <c r="Z89" s="364" t="s">
        <v>2385</v>
      </c>
      <c r="AA89" s="364" t="s">
        <v>2386</v>
      </c>
      <c r="AB89" s="364" t="s">
        <v>2480</v>
      </c>
      <c r="AC89" s="364" t="s">
        <v>2460</v>
      </c>
      <c r="AD89" s="364" t="s">
        <v>2335</v>
      </c>
      <c r="AE89" s="364" t="s">
        <v>2441</v>
      </c>
      <c r="AF89" s="364" t="s">
        <v>2337</v>
      </c>
      <c r="AG89" s="364" t="s">
        <v>2339</v>
      </c>
      <c r="AH89" s="364" t="s">
        <v>2340</v>
      </c>
      <c r="AI89" s="364" t="s">
        <v>2341</v>
      </c>
      <c r="AJ89" s="364" t="s">
        <v>2462</v>
      </c>
      <c r="AK89" s="364" t="s">
        <v>2394</v>
      </c>
      <c r="AL89" s="364" t="s">
        <v>2344</v>
      </c>
      <c r="AM89" s="364" t="s">
        <v>2345</v>
      </c>
      <c r="AN89" s="364" t="s">
        <v>2396</v>
      </c>
      <c r="AO89" s="364" t="s">
        <v>2398</v>
      </c>
      <c r="AP89" s="364" t="s">
        <v>2349</v>
      </c>
      <c r="AQ89" s="364" t="s">
        <v>2400</v>
      </c>
      <c r="AR89" s="364" t="s">
        <v>2446</v>
      </c>
      <c r="AS89" s="364" t="s">
        <v>2401</v>
      </c>
      <c r="AT89" s="364"/>
      <c r="AU89" s="364"/>
      <c r="AV89" s="364"/>
      <c r="AW89" s="364"/>
      <c r="AX89" s="364"/>
      <c r="AY89" s="364"/>
      <c r="AZ89" s="364"/>
      <c r="BA89" s="364"/>
      <c r="BB89" s="364"/>
      <c r="BC89" s="364"/>
      <c r="BD89" s="364"/>
      <c r="BE89" s="364"/>
      <c r="BF89" s="364"/>
      <c r="BG89" s="364"/>
      <c r="BH89" s="364"/>
      <c r="BI89" s="364"/>
      <c r="BJ89" s="364"/>
      <c r="BK89" s="364"/>
      <c r="BL89" s="364"/>
      <c r="BM89" s="364"/>
      <c r="BN89" s="364"/>
      <c r="BO89" s="364"/>
      <c r="BP89" s="364"/>
      <c r="BQ89" s="364"/>
      <c r="BR89" s="364"/>
      <c r="BS89" s="364"/>
      <c r="BT89" s="364"/>
      <c r="BU89" s="364"/>
      <c r="BV89" s="364"/>
      <c r="BW89" s="364"/>
      <c r="BX89" s="364"/>
      <c r="BY89" s="364"/>
      <c r="BZ89" s="364"/>
      <c r="CA89" s="364"/>
      <c r="CB89" s="364"/>
      <c r="CC89" s="364"/>
      <c r="CD89" s="364"/>
      <c r="CE89" s="364"/>
      <c r="CF89" s="364"/>
      <c r="CG89" s="364"/>
      <c r="CH89" s="364"/>
      <c r="CI89" s="364"/>
      <c r="CJ89" s="364"/>
      <c r="CK89" s="364"/>
      <c r="CL89" s="364"/>
      <c r="CM89" s="364"/>
      <c r="CN89" s="364"/>
      <c r="CO89" s="364"/>
      <c r="CP89" s="364"/>
      <c r="CQ89" s="364"/>
      <c r="CR89" s="364"/>
      <c r="CS89" s="364"/>
      <c r="CT89" s="364"/>
      <c r="CU89" s="364"/>
      <c r="CV89" s="364"/>
      <c r="CW89" s="364"/>
      <c r="CX89" s="364"/>
      <c r="CY89" s="364"/>
      <c r="CZ89" s="364"/>
      <c r="DA89" s="364"/>
      <c r="DB89" s="364"/>
      <c r="DC89" s="364"/>
      <c r="DD89" s="364"/>
      <c r="DE89" s="364"/>
      <c r="DF89" s="364"/>
      <c r="DG89" s="364"/>
      <c r="DH89" s="364"/>
      <c r="DI89" s="364"/>
      <c r="DJ89" s="364"/>
      <c r="DK89" s="364"/>
      <c r="DL89" s="364"/>
      <c r="DM89" s="364"/>
      <c r="DN89" s="364"/>
      <c r="DO89" s="364"/>
      <c r="DP89" s="364"/>
      <c r="DQ89" s="364"/>
      <c r="DR89" s="364"/>
      <c r="DS89" s="364"/>
      <c r="DT89" s="364"/>
      <c r="DU89" s="364"/>
      <c r="DV89" s="364"/>
      <c r="DW89" s="364"/>
      <c r="DX89" s="364"/>
      <c r="DY89" s="364"/>
      <c r="DZ89" s="364"/>
      <c r="EA89" s="364"/>
      <c r="EB89" s="364"/>
      <c r="EC89" s="364"/>
      <c r="ED89" s="364"/>
      <c r="EE89" s="364"/>
      <c r="EF89" s="364"/>
      <c r="EG89" s="364"/>
      <c r="EH89" s="364"/>
      <c r="EI89" s="364"/>
      <c r="EJ89" s="364"/>
      <c r="EK89" s="364"/>
      <c r="EL89" s="364"/>
      <c r="EM89" s="364"/>
      <c r="EN89" s="364"/>
      <c r="EO89" s="364"/>
      <c r="EP89" s="364"/>
      <c r="EQ89" s="364"/>
      <c r="ER89" s="364"/>
      <c r="ES89" s="364"/>
      <c r="ET89" s="364"/>
      <c r="EU89" s="364"/>
      <c r="EV89" s="364"/>
      <c r="EW89" s="364"/>
      <c r="EX89" s="364"/>
      <c r="EY89" s="364"/>
      <c r="EZ89" s="364"/>
      <c r="FA89" s="364"/>
      <c r="FB89" s="364"/>
      <c r="FC89" s="364"/>
      <c r="FD89" s="364"/>
      <c r="FE89" s="364"/>
      <c r="FF89" s="364"/>
      <c r="FG89" s="364"/>
      <c r="FH89" s="364"/>
      <c r="FI89" s="364"/>
      <c r="FJ89" s="364"/>
      <c r="FK89" s="364"/>
    </row>
    <row r="90" customFormat="false" ht="15.75" hidden="false" customHeight="false" outlineLevel="0" collapsed="false">
      <c r="A90" s="364" t="n">
        <v>180</v>
      </c>
      <c r="B90" s="364" t="n">
        <f aca="false">COUNTA(D90:FK90)</f>
        <v>79</v>
      </c>
      <c r="C90" s="364" t="s">
        <v>637</v>
      </c>
      <c r="D90" s="364" t="s">
        <v>2352</v>
      </c>
      <c r="E90" s="364" t="s">
        <v>2353</v>
      </c>
      <c r="F90" s="364" t="s">
        <v>2402</v>
      </c>
      <c r="G90" s="364" t="s">
        <v>2310</v>
      </c>
      <c r="H90" s="364" t="s">
        <v>2311</v>
      </c>
      <c r="I90" s="364" t="s">
        <v>2405</v>
      </c>
      <c r="J90" s="364" t="s">
        <v>2312</v>
      </c>
      <c r="K90" s="364" t="s">
        <v>2356</v>
      </c>
      <c r="L90" s="364" t="s">
        <v>2357</v>
      </c>
      <c r="M90" s="364" t="s">
        <v>2408</v>
      </c>
      <c r="N90" s="364" t="s">
        <v>2313</v>
      </c>
      <c r="O90" s="364" t="s">
        <v>2315</v>
      </c>
      <c r="P90" s="364" t="s">
        <v>2410</v>
      </c>
      <c r="Q90" s="364" t="s">
        <v>2316</v>
      </c>
      <c r="R90" s="364" t="s">
        <v>2601</v>
      </c>
      <c r="S90" s="364" t="s">
        <v>2359</v>
      </c>
      <c r="T90" s="364" t="s">
        <v>2360</v>
      </c>
      <c r="U90" s="364" t="s">
        <v>2361</v>
      </c>
      <c r="V90" s="364" t="s">
        <v>2362</v>
      </c>
      <c r="W90" s="364" t="s">
        <v>2634</v>
      </c>
      <c r="X90" s="364" t="s">
        <v>2363</v>
      </c>
      <c r="Y90" s="364" t="s">
        <v>2364</v>
      </c>
      <c r="Z90" s="364" t="s">
        <v>2317</v>
      </c>
      <c r="AA90" s="364" t="s">
        <v>2547</v>
      </c>
      <c r="AB90" s="364" t="s">
        <v>2320</v>
      </c>
      <c r="AC90" s="364" t="s">
        <v>2366</v>
      </c>
      <c r="AD90" s="364" t="s">
        <v>2369</v>
      </c>
      <c r="AE90" s="364" t="s">
        <v>2373</v>
      </c>
      <c r="AF90" s="364" t="s">
        <v>2375</v>
      </c>
      <c r="AG90" s="364" t="s">
        <v>2376</v>
      </c>
      <c r="AH90" s="364" t="s">
        <v>2377</v>
      </c>
      <c r="AI90" s="364" t="s">
        <v>2322</v>
      </c>
      <c r="AJ90" s="364" t="s">
        <v>2324</v>
      </c>
      <c r="AK90" s="364" t="s">
        <v>2327</v>
      </c>
      <c r="AL90" s="364" t="s">
        <v>2378</v>
      </c>
      <c r="AM90" s="364" t="s">
        <v>2328</v>
      </c>
      <c r="AN90" s="364" t="s">
        <v>2459</v>
      </c>
      <c r="AO90" s="364" t="s">
        <v>2329</v>
      </c>
      <c r="AP90" s="364" t="s">
        <v>2415</v>
      </c>
      <c r="AQ90" s="364" t="s">
        <v>2416</v>
      </c>
      <c r="AR90" s="364" t="s">
        <v>2417</v>
      </c>
      <c r="AS90" s="364" t="s">
        <v>2379</v>
      </c>
      <c r="AT90" s="364" t="s">
        <v>2506</v>
      </c>
      <c r="AU90" s="364" t="s">
        <v>2381</v>
      </c>
      <c r="AV90" s="261" t="s">
        <v>183</v>
      </c>
      <c r="AW90" s="364" t="s">
        <v>2385</v>
      </c>
      <c r="AX90" s="364" t="s">
        <v>2332</v>
      </c>
      <c r="AY90" s="364" t="s">
        <v>2387</v>
      </c>
      <c r="AZ90" s="364" t="s">
        <v>2335</v>
      </c>
      <c r="BA90" s="364" t="s">
        <v>2441</v>
      </c>
      <c r="BB90" s="364" t="s">
        <v>2337</v>
      </c>
      <c r="BC90" s="364" t="s">
        <v>2388</v>
      </c>
      <c r="BD90" s="364" t="s">
        <v>2339</v>
      </c>
      <c r="BE90" s="364" t="s">
        <v>2389</v>
      </c>
      <c r="BF90" s="364" t="s">
        <v>2340</v>
      </c>
      <c r="BG90" s="364" t="s">
        <v>2341</v>
      </c>
      <c r="BH90" s="364" t="s">
        <v>2470</v>
      </c>
      <c r="BI90" s="364" t="s">
        <v>2393</v>
      </c>
      <c r="BJ90" s="364" t="s">
        <v>2394</v>
      </c>
      <c r="BK90" s="364" t="s">
        <v>2591</v>
      </c>
      <c r="BL90" s="364" t="s">
        <v>2344</v>
      </c>
      <c r="BM90" s="364" t="s">
        <v>2396</v>
      </c>
      <c r="BN90" s="364" t="s">
        <v>2500</v>
      </c>
      <c r="BO90" s="364" t="s">
        <v>2347</v>
      </c>
      <c r="BP90" s="364" t="s">
        <v>2511</v>
      </c>
      <c r="BQ90" s="364" t="s">
        <v>2424</v>
      </c>
      <c r="BR90" s="364" t="s">
        <v>2398</v>
      </c>
      <c r="BS90" s="364" t="s">
        <v>2349</v>
      </c>
      <c r="BT90" s="364" t="s">
        <v>2475</v>
      </c>
      <c r="BU90" s="364" t="s">
        <v>2476</v>
      </c>
      <c r="BV90" s="364" t="s">
        <v>2399</v>
      </c>
      <c r="BW90" s="364" t="s">
        <v>2400</v>
      </c>
      <c r="BX90" s="364" t="s">
        <v>2425</v>
      </c>
      <c r="BY90" s="364" t="s">
        <v>2426</v>
      </c>
      <c r="BZ90" s="364" t="s">
        <v>2428</v>
      </c>
      <c r="CA90" s="364" t="s">
        <v>2429</v>
      </c>
      <c r="CB90" s="364" t="s">
        <v>2401</v>
      </c>
      <c r="CC90" s="364" t="s">
        <v>2489</v>
      </c>
      <c r="CD90" s="364" t="s">
        <v>2493</v>
      </c>
      <c r="CE90" s="364"/>
      <c r="CF90" s="364"/>
      <c r="CG90" s="364"/>
      <c r="CH90" s="364"/>
      <c r="CI90" s="364"/>
      <c r="CJ90" s="364"/>
      <c r="CK90" s="364"/>
      <c r="CL90" s="364"/>
      <c r="CM90" s="364"/>
      <c r="CN90" s="364"/>
      <c r="CO90" s="364"/>
      <c r="CP90" s="364"/>
      <c r="CQ90" s="364"/>
      <c r="CR90" s="364"/>
      <c r="CS90" s="364"/>
      <c r="CT90" s="364"/>
      <c r="CU90" s="364"/>
      <c r="CV90" s="364"/>
      <c r="CW90" s="364"/>
      <c r="CX90" s="364"/>
      <c r="CY90" s="364"/>
      <c r="CZ90" s="364"/>
      <c r="DA90" s="364"/>
      <c r="DB90" s="364"/>
      <c r="DC90" s="364"/>
      <c r="DD90" s="364"/>
      <c r="DE90" s="364"/>
      <c r="DF90" s="364"/>
      <c r="DG90" s="364"/>
      <c r="DH90" s="364"/>
      <c r="DI90" s="364"/>
      <c r="DJ90" s="364"/>
      <c r="DK90" s="364"/>
      <c r="DL90" s="364"/>
      <c r="DM90" s="364"/>
      <c r="DN90" s="364"/>
      <c r="DO90" s="364"/>
      <c r="DP90" s="364"/>
      <c r="DQ90" s="364"/>
      <c r="DR90" s="364"/>
      <c r="DS90" s="364"/>
      <c r="DT90" s="364"/>
      <c r="DU90" s="364"/>
      <c r="DV90" s="364"/>
      <c r="DW90" s="364"/>
      <c r="DX90" s="364"/>
      <c r="DY90" s="364"/>
      <c r="DZ90" s="364"/>
      <c r="EA90" s="364"/>
      <c r="EB90" s="364"/>
      <c r="EC90" s="364"/>
      <c r="ED90" s="364"/>
      <c r="EE90" s="364"/>
      <c r="EF90" s="364"/>
      <c r="EG90" s="364"/>
      <c r="EH90" s="364"/>
      <c r="EI90" s="364"/>
      <c r="EJ90" s="364"/>
      <c r="EK90" s="364"/>
      <c r="EL90" s="364"/>
      <c r="EM90" s="364"/>
      <c r="EN90" s="364"/>
      <c r="EO90" s="364"/>
      <c r="EP90" s="364"/>
      <c r="EQ90" s="364"/>
      <c r="ER90" s="364"/>
      <c r="ES90" s="364"/>
      <c r="ET90" s="364"/>
      <c r="EU90" s="364"/>
      <c r="EV90" s="364"/>
      <c r="EW90" s="364"/>
      <c r="EX90" s="364"/>
      <c r="EY90" s="364"/>
      <c r="EZ90" s="364"/>
      <c r="FA90" s="364"/>
      <c r="FB90" s="364"/>
      <c r="FC90" s="364"/>
      <c r="FD90" s="364"/>
      <c r="FE90" s="364"/>
      <c r="FF90" s="364"/>
      <c r="FG90" s="364"/>
      <c r="FH90" s="364"/>
      <c r="FI90" s="364"/>
      <c r="FJ90" s="364"/>
      <c r="FK90" s="364"/>
    </row>
    <row r="91" customFormat="false" ht="15.75" hidden="false" customHeight="false" outlineLevel="0" collapsed="false">
      <c r="A91" s="364" t="n">
        <v>181</v>
      </c>
      <c r="B91" s="364" t="n">
        <f aca="false">COUNTA(D91:FK91)</f>
        <v>82</v>
      </c>
      <c r="C91" s="364" t="s">
        <v>640</v>
      </c>
      <c r="D91" s="364" t="s">
        <v>2352</v>
      </c>
      <c r="E91" s="364" t="s">
        <v>2402</v>
      </c>
      <c r="F91" s="364" t="s">
        <v>2635</v>
      </c>
      <c r="G91" s="364" t="s">
        <v>2403</v>
      </c>
      <c r="H91" s="364" t="s">
        <v>2310</v>
      </c>
      <c r="I91" s="364" t="s">
        <v>2405</v>
      </c>
      <c r="J91" s="364" t="s">
        <v>2312</v>
      </c>
      <c r="K91" s="364" t="s">
        <v>2356</v>
      </c>
      <c r="L91" s="364" t="s">
        <v>2357</v>
      </c>
      <c r="M91" s="364" t="s">
        <v>2408</v>
      </c>
      <c r="N91" s="364" t="s">
        <v>2313</v>
      </c>
      <c r="O91" s="364" t="s">
        <v>2464</v>
      </c>
      <c r="P91" s="364" t="s">
        <v>2434</v>
      </c>
      <c r="Q91" s="364" t="s">
        <v>138</v>
      </c>
      <c r="R91" s="364" t="s">
        <v>2410</v>
      </c>
      <c r="S91" s="364" t="s">
        <v>2316</v>
      </c>
      <c r="T91" s="364" t="s">
        <v>2520</v>
      </c>
      <c r="U91" s="364" t="s">
        <v>2435</v>
      </c>
      <c r="V91" s="364" t="s">
        <v>2364</v>
      </c>
      <c r="W91" s="364" t="s">
        <v>2317</v>
      </c>
      <c r="X91" s="364" t="s">
        <v>2319</v>
      </c>
      <c r="Y91" s="364" t="s">
        <v>2320</v>
      </c>
      <c r="Z91" s="364" t="s">
        <v>2366</v>
      </c>
      <c r="AA91" s="364" t="s">
        <v>2369</v>
      </c>
      <c r="AB91" s="364" t="s">
        <v>2373</v>
      </c>
      <c r="AC91" s="364" t="s">
        <v>2376</v>
      </c>
      <c r="AD91" s="364" t="s">
        <v>2377</v>
      </c>
      <c r="AE91" s="364" t="s">
        <v>2523</v>
      </c>
      <c r="AF91" s="364" t="s">
        <v>2550</v>
      </c>
      <c r="AG91" s="364" t="s">
        <v>2324</v>
      </c>
      <c r="AH91" s="364" t="s">
        <v>2325</v>
      </c>
      <c r="AI91" s="364" t="s">
        <v>2327</v>
      </c>
      <c r="AJ91" s="364" t="s">
        <v>2328</v>
      </c>
      <c r="AK91" s="364" t="s">
        <v>2459</v>
      </c>
      <c r="AL91" s="364" t="s">
        <v>2329</v>
      </c>
      <c r="AM91" s="364" t="s">
        <v>2415</v>
      </c>
      <c r="AN91" s="364" t="s">
        <v>2416</v>
      </c>
      <c r="AO91" s="364" t="s">
        <v>2417</v>
      </c>
      <c r="AP91" s="364" t="s">
        <v>2379</v>
      </c>
      <c r="AQ91" s="364" t="s">
        <v>2381</v>
      </c>
      <c r="AR91" s="364" t="s">
        <v>2539</v>
      </c>
      <c r="AS91" s="364" t="s">
        <v>2540</v>
      </c>
      <c r="AT91" s="364" t="s">
        <v>2382</v>
      </c>
      <c r="AU91" s="364" t="s">
        <v>2383</v>
      </c>
      <c r="AV91" s="261" t="s">
        <v>183</v>
      </c>
      <c r="AW91" s="364" t="s">
        <v>2490</v>
      </c>
      <c r="AX91" s="364" t="s">
        <v>2454</v>
      </c>
      <c r="AY91" s="364" t="s">
        <v>2387</v>
      </c>
      <c r="AZ91" s="364" t="s">
        <v>157</v>
      </c>
      <c r="BA91" s="364" t="s">
        <v>2551</v>
      </c>
      <c r="BB91" s="364" t="s">
        <v>2495</v>
      </c>
      <c r="BC91" s="364" t="s">
        <v>2636</v>
      </c>
      <c r="BD91" s="364" t="s">
        <v>2440</v>
      </c>
      <c r="BE91" s="364" t="s">
        <v>2335</v>
      </c>
      <c r="BF91" s="364" t="s">
        <v>2337</v>
      </c>
      <c r="BG91" s="364" t="s">
        <v>2338</v>
      </c>
      <c r="BH91" s="364" t="s">
        <v>2388</v>
      </c>
      <c r="BI91" s="364" t="s">
        <v>2339</v>
      </c>
      <c r="BJ91" s="364" t="s">
        <v>2389</v>
      </c>
      <c r="BK91" s="364" t="s">
        <v>2340</v>
      </c>
      <c r="BL91" s="364" t="s">
        <v>2341</v>
      </c>
      <c r="BM91" s="364" t="s">
        <v>2391</v>
      </c>
      <c r="BN91" s="364" t="s">
        <v>2566</v>
      </c>
      <c r="BO91" s="364" t="s">
        <v>2442</v>
      </c>
      <c r="BP91" s="364" t="s">
        <v>2470</v>
      </c>
      <c r="BQ91" s="364" t="s">
        <v>2422</v>
      </c>
      <c r="BR91" s="364" t="s">
        <v>2393</v>
      </c>
      <c r="BS91" s="364" t="s">
        <v>2344</v>
      </c>
      <c r="BT91" s="364" t="s">
        <v>2345</v>
      </c>
      <c r="BU91" s="364" t="s">
        <v>2500</v>
      </c>
      <c r="BV91" s="364" t="s">
        <v>2347</v>
      </c>
      <c r="BW91" s="364" t="s">
        <v>2397</v>
      </c>
      <c r="BX91" s="364" t="s">
        <v>2398</v>
      </c>
      <c r="BY91" s="364" t="s">
        <v>2349</v>
      </c>
      <c r="BZ91" s="364" t="s">
        <v>2475</v>
      </c>
      <c r="CA91" s="364" t="s">
        <v>2476</v>
      </c>
      <c r="CB91" s="364" t="s">
        <v>2399</v>
      </c>
      <c r="CC91" s="364" t="s">
        <v>2522</v>
      </c>
      <c r="CD91" s="364" t="s">
        <v>2426</v>
      </c>
      <c r="CE91" s="364" t="s">
        <v>2428</v>
      </c>
      <c r="CF91" s="364" t="s">
        <v>2493</v>
      </c>
      <c r="CG91" s="364" t="s">
        <v>2430</v>
      </c>
      <c r="CH91" s="364"/>
      <c r="CI91" s="364"/>
      <c r="CJ91" s="364"/>
      <c r="CK91" s="364"/>
      <c r="CL91" s="364"/>
      <c r="CM91" s="364"/>
      <c r="CN91" s="364"/>
      <c r="CO91" s="364"/>
      <c r="CP91" s="364"/>
      <c r="CQ91" s="364"/>
      <c r="CR91" s="364"/>
      <c r="CS91" s="364"/>
      <c r="CT91" s="364"/>
      <c r="CU91" s="364"/>
      <c r="CV91" s="364"/>
      <c r="CW91" s="364"/>
      <c r="CX91" s="364"/>
      <c r="CY91" s="364"/>
      <c r="CZ91" s="364"/>
      <c r="DA91" s="364"/>
      <c r="DB91" s="364"/>
      <c r="DC91" s="364"/>
      <c r="DD91" s="364"/>
      <c r="DE91" s="364"/>
      <c r="DF91" s="364"/>
      <c r="DG91" s="364"/>
      <c r="DH91" s="364"/>
      <c r="DI91" s="364"/>
      <c r="DJ91" s="364"/>
      <c r="DK91" s="364"/>
      <c r="DL91" s="364"/>
      <c r="DM91" s="364"/>
      <c r="DN91" s="364"/>
      <c r="DO91" s="364"/>
      <c r="DP91" s="364"/>
      <c r="DQ91" s="364"/>
      <c r="DR91" s="364"/>
      <c r="DS91" s="364"/>
      <c r="DT91" s="364"/>
      <c r="DU91" s="364"/>
      <c r="DV91" s="364"/>
      <c r="DW91" s="364"/>
      <c r="DX91" s="364"/>
      <c r="DY91" s="364"/>
      <c r="DZ91" s="364"/>
      <c r="EA91" s="364"/>
      <c r="EB91" s="364"/>
      <c r="EC91" s="364"/>
      <c r="ED91" s="364"/>
      <c r="EE91" s="364"/>
      <c r="EF91" s="364"/>
      <c r="EG91" s="364"/>
      <c r="EH91" s="364"/>
      <c r="EI91" s="364"/>
      <c r="EJ91" s="364"/>
      <c r="EK91" s="364"/>
      <c r="EL91" s="364"/>
      <c r="EM91" s="364"/>
      <c r="EN91" s="364"/>
      <c r="EO91" s="364"/>
      <c r="EP91" s="364"/>
      <c r="EQ91" s="364"/>
      <c r="ER91" s="364"/>
      <c r="ES91" s="364"/>
      <c r="ET91" s="364"/>
      <c r="EU91" s="364"/>
      <c r="EV91" s="364"/>
      <c r="EW91" s="364"/>
      <c r="EX91" s="364"/>
      <c r="EY91" s="364"/>
      <c r="EZ91" s="364"/>
      <c r="FA91" s="364"/>
      <c r="FB91" s="364"/>
      <c r="FC91" s="364"/>
      <c r="FD91" s="364"/>
      <c r="FE91" s="364"/>
      <c r="FF91" s="364"/>
      <c r="FG91" s="364"/>
      <c r="FH91" s="364"/>
      <c r="FI91" s="364"/>
      <c r="FJ91" s="364"/>
      <c r="FK91" s="364"/>
    </row>
    <row r="92" customFormat="false" ht="15.75" hidden="false" customHeight="false" outlineLevel="0" collapsed="false">
      <c r="A92" s="364" t="n">
        <v>184</v>
      </c>
      <c r="B92" s="364" t="n">
        <f aca="false">COUNTA(D92:FK92)</f>
        <v>164</v>
      </c>
      <c r="C92" s="364" t="s">
        <v>651</v>
      </c>
      <c r="D92" s="364" t="s">
        <v>2431</v>
      </c>
      <c r="E92" s="364" t="s">
        <v>2352</v>
      </c>
      <c r="F92" s="364" t="s">
        <v>2353</v>
      </c>
      <c r="G92" s="364" t="s">
        <v>2561</v>
      </c>
      <c r="H92" s="364" t="s">
        <v>2402</v>
      </c>
      <c r="I92" s="364" t="s">
        <v>2635</v>
      </c>
      <c r="J92" s="364" t="s">
        <v>2403</v>
      </c>
      <c r="K92" s="364" t="s">
        <v>2310</v>
      </c>
      <c r="L92" s="364" t="s">
        <v>2311</v>
      </c>
      <c r="M92" s="364" t="s">
        <v>2405</v>
      </c>
      <c r="N92" s="364" t="s">
        <v>2312</v>
      </c>
      <c r="O92" s="364" t="s">
        <v>2516</v>
      </c>
      <c r="P92" s="364" t="s">
        <v>2356</v>
      </c>
      <c r="Q92" s="364" t="s">
        <v>2406</v>
      </c>
      <c r="R92" s="364" t="s">
        <v>2357</v>
      </c>
      <c r="S92" s="364" t="s">
        <v>2408</v>
      </c>
      <c r="T92" s="364" t="s">
        <v>2432</v>
      </c>
      <c r="U92" s="364" t="s">
        <v>2313</v>
      </c>
      <c r="V92" s="364" t="s">
        <v>2314</v>
      </c>
      <c r="W92" s="364" t="s">
        <v>2464</v>
      </c>
      <c r="X92" s="364" t="s">
        <v>138</v>
      </c>
      <c r="Y92" s="364" t="s">
        <v>2465</v>
      </c>
      <c r="Z92" s="364" t="s">
        <v>2315</v>
      </c>
      <c r="AA92" s="364" t="s">
        <v>2409</v>
      </c>
      <c r="AB92" s="364" t="s">
        <v>2517</v>
      </c>
      <c r="AC92" s="364" t="s">
        <v>2358</v>
      </c>
      <c r="AD92" s="364" t="s">
        <v>2410</v>
      </c>
      <c r="AE92" s="364" t="s">
        <v>2316</v>
      </c>
      <c r="AF92" s="364" t="s">
        <v>2359</v>
      </c>
      <c r="AG92" s="364" t="s">
        <v>2360</v>
      </c>
      <c r="AH92" s="364" t="s">
        <v>2361</v>
      </c>
      <c r="AI92" s="364" t="s">
        <v>2362</v>
      </c>
      <c r="AJ92" s="364" t="s">
        <v>2363</v>
      </c>
      <c r="AK92" s="364" t="s">
        <v>2520</v>
      </c>
      <c r="AL92" s="364" t="s">
        <v>2435</v>
      </c>
      <c r="AM92" s="364" t="s">
        <v>184</v>
      </c>
      <c r="AN92" s="364" t="s">
        <v>2543</v>
      </c>
      <c r="AO92" s="364" t="s">
        <v>2364</v>
      </c>
      <c r="AP92" s="364" t="s">
        <v>2497</v>
      </c>
      <c r="AQ92" s="364" t="s">
        <v>2317</v>
      </c>
      <c r="AR92" s="364" t="s">
        <v>2318</v>
      </c>
      <c r="AS92" s="364" t="s">
        <v>2598</v>
      </c>
      <c r="AT92" s="364" t="s">
        <v>2436</v>
      </c>
      <c r="AU92" s="364" t="s">
        <v>2448</v>
      </c>
      <c r="AV92" s="364" t="s">
        <v>2319</v>
      </c>
      <c r="AW92" s="364" t="s">
        <v>2562</v>
      </c>
      <c r="AX92" s="364" t="s">
        <v>2320</v>
      </c>
      <c r="AY92" s="364" t="s">
        <v>2533</v>
      </c>
      <c r="AZ92" s="364" t="s">
        <v>2449</v>
      </c>
      <c r="BA92" s="364" t="s">
        <v>2535</v>
      </c>
      <c r="BB92" s="364" t="s">
        <v>2366</v>
      </c>
      <c r="BC92" s="364" t="s">
        <v>2369</v>
      </c>
      <c r="BD92" s="364" t="s">
        <v>2372</v>
      </c>
      <c r="BE92" s="364" t="s">
        <v>2373</v>
      </c>
      <c r="BF92" s="364" t="s">
        <v>2411</v>
      </c>
      <c r="BG92" s="364" t="s">
        <v>2375</v>
      </c>
      <c r="BH92" s="364" t="s">
        <v>2376</v>
      </c>
      <c r="BI92" s="364" t="s">
        <v>2377</v>
      </c>
      <c r="BJ92" s="364" t="s">
        <v>2523</v>
      </c>
      <c r="BK92" s="364" t="s">
        <v>2502</v>
      </c>
      <c r="BL92" s="364" t="s">
        <v>2322</v>
      </c>
      <c r="BM92" s="364" t="s">
        <v>2323</v>
      </c>
      <c r="BN92" s="364" t="s">
        <v>2324</v>
      </c>
      <c r="BO92" s="364" t="s">
        <v>2325</v>
      </c>
      <c r="BP92" s="364" t="s">
        <v>2484</v>
      </c>
      <c r="BQ92" s="364" t="s">
        <v>2412</v>
      </c>
      <c r="BR92" s="364" t="s">
        <v>2327</v>
      </c>
      <c r="BS92" s="364" t="s">
        <v>2378</v>
      </c>
      <c r="BT92" s="364" t="s">
        <v>2328</v>
      </c>
      <c r="BU92" s="364" t="s">
        <v>2329</v>
      </c>
      <c r="BV92" s="364" t="s">
        <v>2521</v>
      </c>
      <c r="BW92" s="364" t="s">
        <v>2415</v>
      </c>
      <c r="BX92" s="364" t="s">
        <v>2416</v>
      </c>
      <c r="BY92" s="364" t="s">
        <v>2417</v>
      </c>
      <c r="BZ92" s="364" t="s">
        <v>2379</v>
      </c>
      <c r="CA92" s="364" t="s">
        <v>2438</v>
      </c>
      <c r="CB92" s="364" t="s">
        <v>2506</v>
      </c>
      <c r="CC92" s="364" t="s">
        <v>2381</v>
      </c>
      <c r="CD92" s="364" t="s">
        <v>2330</v>
      </c>
      <c r="CE92" s="364" t="s">
        <v>2468</v>
      </c>
      <c r="CF92" s="364" t="s">
        <v>2507</v>
      </c>
      <c r="CG92" s="364" t="s">
        <v>2418</v>
      </c>
      <c r="CH92" s="364" t="s">
        <v>2539</v>
      </c>
      <c r="CI92" s="364" t="s">
        <v>2540</v>
      </c>
      <c r="CJ92" s="364" t="s">
        <v>2331</v>
      </c>
      <c r="CK92" s="364" t="s">
        <v>2382</v>
      </c>
      <c r="CL92" s="364" t="s">
        <v>2383</v>
      </c>
      <c r="CM92" s="261" t="s">
        <v>183</v>
      </c>
      <c r="CN92" s="364" t="s">
        <v>2589</v>
      </c>
      <c r="CO92" s="364" t="s">
        <v>2385</v>
      </c>
      <c r="CP92" s="364" t="s">
        <v>2332</v>
      </c>
      <c r="CQ92" s="364" t="s">
        <v>2386</v>
      </c>
      <c r="CR92" s="364" t="s">
        <v>2452</v>
      </c>
      <c r="CS92" s="364" t="s">
        <v>2490</v>
      </c>
      <c r="CT92" s="364" t="s">
        <v>2460</v>
      </c>
      <c r="CU92" s="364" t="s">
        <v>2454</v>
      </c>
      <c r="CV92" s="364" t="s">
        <v>2582</v>
      </c>
      <c r="CW92" s="364" t="s">
        <v>2387</v>
      </c>
      <c r="CX92" s="364" t="s">
        <v>157</v>
      </c>
      <c r="CY92" s="364" t="s">
        <v>2495</v>
      </c>
      <c r="CZ92" s="364" t="s">
        <v>2440</v>
      </c>
      <c r="DA92" s="364" t="s">
        <v>2335</v>
      </c>
      <c r="DB92" s="364" t="s">
        <v>2441</v>
      </c>
      <c r="DC92" s="364" t="s">
        <v>2337</v>
      </c>
      <c r="DD92" s="364" t="s">
        <v>2469</v>
      </c>
      <c r="DE92" s="364" t="s">
        <v>2338</v>
      </c>
      <c r="DF92" s="364" t="s">
        <v>2388</v>
      </c>
      <c r="DG92" s="364" t="s">
        <v>2339</v>
      </c>
      <c r="DH92" s="364" t="s">
        <v>2389</v>
      </c>
      <c r="DI92" s="364" t="s">
        <v>2420</v>
      </c>
      <c r="DJ92" s="364" t="s">
        <v>2340</v>
      </c>
      <c r="DK92" s="364" t="s">
        <v>2421</v>
      </c>
      <c r="DL92" s="364" t="s">
        <v>2341</v>
      </c>
      <c r="DM92" s="364" t="s">
        <v>2342</v>
      </c>
      <c r="DN92" s="364" t="s">
        <v>2391</v>
      </c>
      <c r="DO92" s="364" t="s">
        <v>2566</v>
      </c>
      <c r="DP92" s="364" t="s">
        <v>2442</v>
      </c>
      <c r="DQ92" s="364" t="s">
        <v>2392</v>
      </c>
      <c r="DR92" s="364" t="s">
        <v>2470</v>
      </c>
      <c r="DS92" s="364" t="s">
        <v>2422</v>
      </c>
      <c r="DT92" s="364" t="s">
        <v>2443</v>
      </c>
      <c r="DU92" s="364" t="s">
        <v>2393</v>
      </c>
      <c r="DV92" s="364" t="s">
        <v>2462</v>
      </c>
      <c r="DW92" s="364" t="s">
        <v>2394</v>
      </c>
      <c r="DX92" s="364" t="s">
        <v>2343</v>
      </c>
      <c r="DY92" s="364" t="s">
        <v>2471</v>
      </c>
      <c r="DZ92" s="364" t="s">
        <v>2423</v>
      </c>
      <c r="EA92" s="364" t="s">
        <v>2514</v>
      </c>
      <c r="EB92" s="364" t="s">
        <v>2472</v>
      </c>
      <c r="EC92" s="364" t="s">
        <v>2344</v>
      </c>
      <c r="ED92" s="364" t="s">
        <v>2345</v>
      </c>
      <c r="EE92" s="364" t="s">
        <v>2396</v>
      </c>
      <c r="EF92" s="364" t="s">
        <v>2346</v>
      </c>
      <c r="EG92" s="364" t="s">
        <v>2500</v>
      </c>
      <c r="EH92" s="364" t="s">
        <v>2347</v>
      </c>
      <c r="EI92" s="364" t="s">
        <v>2444</v>
      </c>
      <c r="EJ92" s="364" t="s">
        <v>2397</v>
      </c>
      <c r="EK92" s="364" t="s">
        <v>2473</v>
      </c>
      <c r="EL92" s="364" t="s">
        <v>2474</v>
      </c>
      <c r="EM92" s="364" t="s">
        <v>2511</v>
      </c>
      <c r="EN92" s="364" t="s">
        <v>2424</v>
      </c>
      <c r="EO92" s="364" t="s">
        <v>2398</v>
      </c>
      <c r="EP92" s="364" t="s">
        <v>2349</v>
      </c>
      <c r="EQ92" s="364" t="s">
        <v>2445</v>
      </c>
      <c r="ER92" s="364" t="s">
        <v>2456</v>
      </c>
      <c r="ES92" s="364" t="s">
        <v>2475</v>
      </c>
      <c r="ET92" s="364" t="s">
        <v>2476</v>
      </c>
      <c r="EU92" s="364" t="s">
        <v>2399</v>
      </c>
      <c r="EV92" s="364" t="s">
        <v>2630</v>
      </c>
      <c r="EW92" s="364" t="s">
        <v>2522</v>
      </c>
      <c r="EX92" s="364" t="s">
        <v>2400</v>
      </c>
      <c r="EY92" s="364" t="s">
        <v>2463</v>
      </c>
      <c r="EZ92" s="364" t="s">
        <v>2446</v>
      </c>
      <c r="FA92" s="364" t="s">
        <v>2546</v>
      </c>
      <c r="FB92" s="364" t="s">
        <v>2350</v>
      </c>
      <c r="FC92" s="364" t="s">
        <v>2492</v>
      </c>
      <c r="FD92" s="364" t="s">
        <v>2425</v>
      </c>
      <c r="FE92" s="364" t="s">
        <v>2426</v>
      </c>
      <c r="FF92" s="364" t="s">
        <v>2428</v>
      </c>
      <c r="FG92" s="364" t="s">
        <v>2429</v>
      </c>
      <c r="FH92" s="364" t="s">
        <v>2477</v>
      </c>
      <c r="FI92" s="364" t="s">
        <v>2458</v>
      </c>
      <c r="FJ92" s="364" t="s">
        <v>2493</v>
      </c>
      <c r="FK92" s="364" t="s">
        <v>2430</v>
      </c>
    </row>
    <row r="93" customFormat="false" ht="15.75" hidden="false" customHeight="false" outlineLevel="0" collapsed="false">
      <c r="A93" s="364" t="n">
        <v>187</v>
      </c>
      <c r="B93" s="364" t="n">
        <f aca="false">COUNTA(D93:FK93)</f>
        <v>39</v>
      </c>
      <c r="C93" s="364" t="s">
        <v>658</v>
      </c>
      <c r="D93" s="364" t="s">
        <v>2561</v>
      </c>
      <c r="E93" s="364" t="s">
        <v>2312</v>
      </c>
      <c r="F93" s="364" t="s">
        <v>2313</v>
      </c>
      <c r="G93" s="364" t="s">
        <v>2314</v>
      </c>
      <c r="H93" s="364" t="s">
        <v>138</v>
      </c>
      <c r="I93" s="364" t="s">
        <v>2315</v>
      </c>
      <c r="J93" s="364" t="s">
        <v>2316</v>
      </c>
      <c r="K93" s="364" t="s">
        <v>2363</v>
      </c>
      <c r="L93" s="364" t="s">
        <v>2317</v>
      </c>
      <c r="M93" s="364" t="s">
        <v>2318</v>
      </c>
      <c r="N93" s="364" t="s">
        <v>2319</v>
      </c>
      <c r="O93" s="364" t="s">
        <v>2320</v>
      </c>
      <c r="P93" s="364" t="s">
        <v>2321</v>
      </c>
      <c r="Q93" s="364" t="s">
        <v>2322</v>
      </c>
      <c r="R93" s="364" t="s">
        <v>2323</v>
      </c>
      <c r="S93" s="364" t="s">
        <v>2324</v>
      </c>
      <c r="T93" s="364" t="s">
        <v>2325</v>
      </c>
      <c r="U93" s="364" t="s">
        <v>2326</v>
      </c>
      <c r="V93" s="364" t="s">
        <v>2327</v>
      </c>
      <c r="W93" s="364" t="s">
        <v>2328</v>
      </c>
      <c r="X93" s="364" t="s">
        <v>2329</v>
      </c>
      <c r="Y93" s="364" t="s">
        <v>2381</v>
      </c>
      <c r="Z93" s="364" t="s">
        <v>2623</v>
      </c>
      <c r="AA93" s="261" t="s">
        <v>183</v>
      </c>
      <c r="AB93" s="364" t="s">
        <v>2332</v>
      </c>
      <c r="AC93" s="364" t="s">
        <v>2333</v>
      </c>
      <c r="AD93" s="364" t="s">
        <v>2334</v>
      </c>
      <c r="AE93" s="364" t="s">
        <v>2336</v>
      </c>
      <c r="AF93" s="364" t="s">
        <v>2337</v>
      </c>
      <c r="AG93" s="364" t="s">
        <v>2338</v>
      </c>
      <c r="AH93" s="364" t="s">
        <v>2339</v>
      </c>
      <c r="AI93" s="364" t="s">
        <v>2340</v>
      </c>
      <c r="AJ93" s="364" t="s">
        <v>2341</v>
      </c>
      <c r="AK93" s="364" t="s">
        <v>2342</v>
      </c>
      <c r="AL93" s="364" t="s">
        <v>2344</v>
      </c>
      <c r="AM93" s="364" t="s">
        <v>2345</v>
      </c>
      <c r="AN93" s="364" t="s">
        <v>2346</v>
      </c>
      <c r="AO93" s="364" t="s">
        <v>2347</v>
      </c>
      <c r="AP93" s="364" t="s">
        <v>2348</v>
      </c>
      <c r="AQ93" s="364"/>
      <c r="AR93" s="364"/>
      <c r="AS93" s="364"/>
      <c r="AT93" s="364"/>
      <c r="AU93" s="364"/>
      <c r="AV93" s="364"/>
      <c r="AW93" s="364"/>
      <c r="AX93" s="364"/>
      <c r="AY93" s="364"/>
      <c r="AZ93" s="364"/>
      <c r="BA93" s="364"/>
      <c r="BB93" s="364"/>
      <c r="BC93" s="364"/>
      <c r="BD93" s="364"/>
      <c r="BE93" s="364"/>
      <c r="BF93" s="364"/>
      <c r="BG93" s="364"/>
      <c r="BH93" s="364"/>
      <c r="BI93" s="364"/>
      <c r="BJ93" s="364"/>
      <c r="BK93" s="364"/>
      <c r="BL93" s="364"/>
      <c r="BM93" s="364"/>
      <c r="BN93" s="364"/>
      <c r="BO93" s="364"/>
      <c r="BP93" s="364"/>
      <c r="BQ93" s="364"/>
      <c r="BR93" s="364"/>
      <c r="BS93" s="364"/>
      <c r="BT93" s="364"/>
      <c r="BU93" s="364"/>
      <c r="BV93" s="364"/>
      <c r="BW93" s="364"/>
      <c r="BX93" s="364"/>
      <c r="BY93" s="364"/>
      <c r="BZ93" s="364"/>
      <c r="CA93" s="364"/>
      <c r="CB93" s="364"/>
      <c r="CC93" s="364"/>
      <c r="CD93" s="364"/>
      <c r="CE93" s="364"/>
      <c r="CF93" s="364"/>
      <c r="CG93" s="364"/>
      <c r="CH93" s="364"/>
      <c r="CI93" s="364"/>
      <c r="CJ93" s="364"/>
      <c r="CK93" s="364"/>
      <c r="CL93" s="364"/>
      <c r="CM93" s="364"/>
      <c r="CN93" s="364"/>
      <c r="CO93" s="364"/>
      <c r="CP93" s="364"/>
      <c r="CQ93" s="364"/>
      <c r="CR93" s="364"/>
      <c r="CS93" s="364"/>
      <c r="CT93" s="364"/>
      <c r="CU93" s="364"/>
      <c r="CV93" s="364"/>
      <c r="CW93" s="364"/>
      <c r="CX93" s="364"/>
      <c r="CY93" s="364"/>
      <c r="CZ93" s="364"/>
      <c r="DA93" s="364"/>
      <c r="DB93" s="364"/>
      <c r="DC93" s="364"/>
      <c r="DD93" s="364"/>
      <c r="DE93" s="364"/>
      <c r="DF93" s="364"/>
      <c r="DG93" s="364"/>
      <c r="DH93" s="364"/>
      <c r="DI93" s="364"/>
      <c r="DJ93" s="364"/>
      <c r="DK93" s="364"/>
      <c r="DL93" s="364"/>
      <c r="DM93" s="364"/>
      <c r="DN93" s="364"/>
      <c r="DO93" s="364"/>
      <c r="DP93" s="364"/>
      <c r="DQ93" s="364"/>
      <c r="DR93" s="364"/>
      <c r="DS93" s="364"/>
      <c r="DT93" s="364"/>
      <c r="DU93" s="364"/>
      <c r="DV93" s="364"/>
      <c r="DW93" s="364"/>
      <c r="DX93" s="364"/>
      <c r="DY93" s="364"/>
      <c r="DZ93" s="364"/>
      <c r="EA93" s="364"/>
      <c r="EB93" s="364"/>
      <c r="EC93" s="364"/>
      <c r="ED93" s="364"/>
      <c r="EE93" s="364"/>
      <c r="EF93" s="364"/>
      <c r="EG93" s="364"/>
      <c r="EH93" s="364"/>
      <c r="EI93" s="364"/>
      <c r="EJ93" s="364"/>
      <c r="EK93" s="364"/>
      <c r="EL93" s="364"/>
      <c r="EM93" s="364"/>
      <c r="EN93" s="364"/>
      <c r="EO93" s="364"/>
      <c r="EP93" s="364"/>
      <c r="EQ93" s="364"/>
      <c r="ER93" s="364"/>
      <c r="ES93" s="364"/>
      <c r="ET93" s="364"/>
      <c r="EU93" s="364"/>
      <c r="EV93" s="364"/>
      <c r="EW93" s="364"/>
      <c r="EX93" s="364"/>
      <c r="EY93" s="364"/>
      <c r="EZ93" s="364"/>
      <c r="FA93" s="364"/>
      <c r="FB93" s="364"/>
      <c r="FC93" s="364"/>
      <c r="FD93" s="364"/>
      <c r="FE93" s="364"/>
      <c r="FF93" s="364"/>
      <c r="FG93" s="364"/>
      <c r="FH93" s="364"/>
      <c r="FI93" s="364"/>
      <c r="FJ93" s="364"/>
      <c r="FK93" s="364"/>
    </row>
    <row r="94" customFormat="false" ht="15.75" hidden="false" customHeight="false" outlineLevel="0" collapsed="false">
      <c r="A94" s="364" t="n">
        <v>190</v>
      </c>
      <c r="B94" s="364" t="n">
        <f aca="false">COUNTA(D94:FK94)</f>
        <v>61</v>
      </c>
      <c r="C94" s="364" t="s">
        <v>664</v>
      </c>
      <c r="D94" s="364" t="s">
        <v>2352</v>
      </c>
      <c r="E94" s="364" t="s">
        <v>2355</v>
      </c>
      <c r="F94" s="364" t="s">
        <v>2312</v>
      </c>
      <c r="G94" s="364" t="s">
        <v>2356</v>
      </c>
      <c r="H94" s="364" t="s">
        <v>2313</v>
      </c>
      <c r="I94" s="364" t="s">
        <v>2633</v>
      </c>
      <c r="J94" s="364" t="s">
        <v>138</v>
      </c>
      <c r="K94" s="364" t="s">
        <v>2465</v>
      </c>
      <c r="L94" s="364" t="s">
        <v>2315</v>
      </c>
      <c r="M94" s="364" t="s">
        <v>2358</v>
      </c>
      <c r="N94" s="364" t="s">
        <v>2316</v>
      </c>
      <c r="O94" s="364" t="s">
        <v>2364</v>
      </c>
      <c r="P94" s="364" t="s">
        <v>2317</v>
      </c>
      <c r="Q94" s="364" t="s">
        <v>2365</v>
      </c>
      <c r="R94" s="364" t="s">
        <v>2637</v>
      </c>
      <c r="S94" s="364" t="s">
        <v>2320</v>
      </c>
      <c r="T94" s="364" t="s">
        <v>2366</v>
      </c>
      <c r="U94" s="364" t="s">
        <v>2368</v>
      </c>
      <c r="V94" s="364" t="s">
        <v>2369</v>
      </c>
      <c r="W94" s="364" t="s">
        <v>2372</v>
      </c>
      <c r="X94" s="364" t="s">
        <v>2373</v>
      </c>
      <c r="Y94" s="364" t="s">
        <v>2548</v>
      </c>
      <c r="Z94" s="364" t="s">
        <v>2376</v>
      </c>
      <c r="AA94" s="364" t="s">
        <v>2377</v>
      </c>
      <c r="AB94" s="364" t="s">
        <v>2322</v>
      </c>
      <c r="AC94" s="364" t="s">
        <v>2324</v>
      </c>
      <c r="AD94" s="364" t="s">
        <v>2412</v>
      </c>
      <c r="AE94" s="364" t="s">
        <v>2327</v>
      </c>
      <c r="AF94" s="364" t="s">
        <v>2378</v>
      </c>
      <c r="AG94" s="364" t="s">
        <v>2328</v>
      </c>
      <c r="AH94" s="364" t="s">
        <v>2329</v>
      </c>
      <c r="AI94" s="364" t="s">
        <v>2379</v>
      </c>
      <c r="AJ94" s="364" t="s">
        <v>2380</v>
      </c>
      <c r="AK94" s="364" t="s">
        <v>2381</v>
      </c>
      <c r="AL94" s="364" t="s">
        <v>2627</v>
      </c>
      <c r="AM94" s="364" t="s">
        <v>2539</v>
      </c>
      <c r="AN94" s="364" t="s">
        <v>2382</v>
      </c>
      <c r="AO94" s="364" t="s">
        <v>2383</v>
      </c>
      <c r="AP94" s="261" t="s">
        <v>183</v>
      </c>
      <c r="AQ94" s="364" t="s">
        <v>2386</v>
      </c>
      <c r="AR94" s="364" t="s">
        <v>2387</v>
      </c>
      <c r="AS94" s="364" t="s">
        <v>2461</v>
      </c>
      <c r="AT94" s="364" t="s">
        <v>2337</v>
      </c>
      <c r="AU94" s="364" t="s">
        <v>2338</v>
      </c>
      <c r="AV94" s="364" t="s">
        <v>2388</v>
      </c>
      <c r="AW94" s="364" t="s">
        <v>2339</v>
      </c>
      <c r="AX94" s="364" t="s">
        <v>2389</v>
      </c>
      <c r="AY94" s="364" t="s">
        <v>2420</v>
      </c>
      <c r="AZ94" s="364" t="s">
        <v>2340</v>
      </c>
      <c r="BA94" s="364" t="s">
        <v>2341</v>
      </c>
      <c r="BB94" s="364" t="s">
        <v>2391</v>
      </c>
      <c r="BC94" s="364" t="s">
        <v>2392</v>
      </c>
      <c r="BD94" s="364" t="s">
        <v>2344</v>
      </c>
      <c r="BE94" s="364" t="s">
        <v>2345</v>
      </c>
      <c r="BF94" s="364" t="s">
        <v>2346</v>
      </c>
      <c r="BG94" s="364" t="s">
        <v>2347</v>
      </c>
      <c r="BH94" s="364" t="s">
        <v>2398</v>
      </c>
      <c r="BI94" s="364" t="s">
        <v>2348</v>
      </c>
      <c r="BJ94" s="364" t="s">
        <v>2456</v>
      </c>
      <c r="BK94" s="364" t="s">
        <v>2399</v>
      </c>
      <c r="BL94" s="364" t="s">
        <v>2477</v>
      </c>
      <c r="BM94" s="364"/>
      <c r="BN94" s="364"/>
      <c r="BO94" s="364"/>
      <c r="BP94" s="364"/>
      <c r="BQ94" s="364"/>
      <c r="BR94" s="364"/>
      <c r="BS94" s="364"/>
      <c r="BT94" s="364"/>
      <c r="BU94" s="364"/>
      <c r="BV94" s="364"/>
      <c r="BW94" s="364"/>
      <c r="BX94" s="364"/>
      <c r="BY94" s="364"/>
      <c r="BZ94" s="364"/>
      <c r="CA94" s="364"/>
      <c r="CB94" s="364"/>
      <c r="CC94" s="364"/>
      <c r="CD94" s="364"/>
      <c r="CE94" s="364"/>
      <c r="CF94" s="364"/>
      <c r="CG94" s="364"/>
      <c r="CH94" s="364"/>
      <c r="CI94" s="364"/>
      <c r="CJ94" s="364"/>
      <c r="CK94" s="364"/>
      <c r="CL94" s="364"/>
      <c r="CM94" s="364"/>
      <c r="CN94" s="364"/>
      <c r="CO94" s="364"/>
      <c r="CP94" s="364"/>
      <c r="CQ94" s="364"/>
      <c r="CR94" s="364"/>
      <c r="CS94" s="364"/>
      <c r="CT94" s="364"/>
      <c r="CU94" s="364"/>
      <c r="CV94" s="364"/>
      <c r="CW94" s="364"/>
      <c r="CX94" s="364"/>
      <c r="CY94" s="364"/>
      <c r="CZ94" s="364"/>
      <c r="DA94" s="364"/>
      <c r="DB94" s="364"/>
      <c r="DC94" s="364"/>
      <c r="DD94" s="364"/>
      <c r="DE94" s="364"/>
      <c r="DF94" s="364"/>
      <c r="DG94" s="364"/>
      <c r="DH94" s="364"/>
      <c r="DI94" s="364"/>
      <c r="DJ94" s="364"/>
      <c r="DK94" s="364"/>
      <c r="DL94" s="364"/>
      <c r="DM94" s="364"/>
      <c r="DN94" s="364"/>
      <c r="DO94" s="364"/>
      <c r="DP94" s="364"/>
      <c r="DQ94" s="364"/>
      <c r="DR94" s="364"/>
      <c r="DS94" s="364"/>
      <c r="DT94" s="364"/>
      <c r="DU94" s="364"/>
      <c r="DV94" s="364"/>
      <c r="DW94" s="364"/>
      <c r="DX94" s="364"/>
      <c r="DY94" s="364"/>
      <c r="DZ94" s="364"/>
      <c r="EA94" s="364"/>
      <c r="EB94" s="364"/>
      <c r="EC94" s="364"/>
      <c r="ED94" s="364"/>
      <c r="EE94" s="364"/>
      <c r="EF94" s="364"/>
      <c r="EG94" s="364"/>
      <c r="EH94" s="364"/>
      <c r="EI94" s="364"/>
      <c r="EJ94" s="364"/>
      <c r="EK94" s="364"/>
      <c r="EL94" s="364"/>
      <c r="EM94" s="364"/>
      <c r="EN94" s="364"/>
      <c r="EO94" s="364"/>
      <c r="EP94" s="364"/>
      <c r="EQ94" s="364"/>
      <c r="ER94" s="364"/>
      <c r="ES94" s="364"/>
      <c r="ET94" s="364"/>
      <c r="EU94" s="364"/>
      <c r="EV94" s="364"/>
      <c r="EW94" s="364"/>
      <c r="EX94" s="364"/>
      <c r="EY94" s="364"/>
      <c r="EZ94" s="364"/>
      <c r="FA94" s="364"/>
      <c r="FB94" s="364"/>
      <c r="FC94" s="364"/>
      <c r="FD94" s="364"/>
      <c r="FE94" s="364"/>
      <c r="FF94" s="364"/>
      <c r="FG94" s="364"/>
      <c r="FH94" s="364"/>
      <c r="FI94" s="364"/>
      <c r="FJ94" s="364"/>
      <c r="FK94" s="364"/>
    </row>
    <row r="95" customFormat="false" ht="15.75" hidden="false" customHeight="false" outlineLevel="0" collapsed="false">
      <c r="A95" s="364" t="n">
        <v>193</v>
      </c>
      <c r="B95" s="364" t="n">
        <f aca="false">COUNTA(D95:FK95)</f>
        <v>67</v>
      </c>
      <c r="C95" s="364" t="s">
        <v>670</v>
      </c>
      <c r="D95" s="364" t="s">
        <v>2352</v>
      </c>
      <c r="E95" s="364" t="s">
        <v>2561</v>
      </c>
      <c r="F95" s="364" t="s">
        <v>2402</v>
      </c>
      <c r="G95" s="364" t="s">
        <v>2403</v>
      </c>
      <c r="H95" s="364" t="s">
        <v>2404</v>
      </c>
      <c r="I95" s="364" t="s">
        <v>2405</v>
      </c>
      <c r="J95" s="364" t="s">
        <v>2312</v>
      </c>
      <c r="K95" s="364" t="s">
        <v>2356</v>
      </c>
      <c r="L95" s="364" t="s">
        <v>2313</v>
      </c>
      <c r="M95" s="364" t="s">
        <v>2509</v>
      </c>
      <c r="N95" s="364" t="s">
        <v>138</v>
      </c>
      <c r="O95" s="364" t="s">
        <v>2466</v>
      </c>
      <c r="P95" s="364" t="s">
        <v>2315</v>
      </c>
      <c r="Q95" s="364" t="s">
        <v>2358</v>
      </c>
      <c r="R95" s="364" t="s">
        <v>2410</v>
      </c>
      <c r="S95" s="364" t="s">
        <v>2316</v>
      </c>
      <c r="T95" s="364" t="s">
        <v>2360</v>
      </c>
      <c r="U95" s="364" t="s">
        <v>2361</v>
      </c>
      <c r="V95" s="364" t="s">
        <v>2363</v>
      </c>
      <c r="W95" s="364" t="s">
        <v>2364</v>
      </c>
      <c r="X95" s="364" t="s">
        <v>2317</v>
      </c>
      <c r="Y95" s="364" t="s">
        <v>2320</v>
      </c>
      <c r="Z95" s="364" t="s">
        <v>2376</v>
      </c>
      <c r="AA95" s="364" t="s">
        <v>2377</v>
      </c>
      <c r="AB95" s="364" t="s">
        <v>2322</v>
      </c>
      <c r="AC95" s="364" t="s">
        <v>2324</v>
      </c>
      <c r="AD95" s="364" t="s">
        <v>2327</v>
      </c>
      <c r="AE95" s="364" t="s">
        <v>2328</v>
      </c>
      <c r="AF95" s="364" t="s">
        <v>2413</v>
      </c>
      <c r="AG95" s="364" t="s">
        <v>2414</v>
      </c>
      <c r="AH95" s="364" t="s">
        <v>2329</v>
      </c>
      <c r="AI95" s="364" t="s">
        <v>2415</v>
      </c>
      <c r="AJ95" s="364" t="s">
        <v>2485</v>
      </c>
      <c r="AK95" s="364" t="s">
        <v>2416</v>
      </c>
      <c r="AL95" s="364" t="s">
        <v>2417</v>
      </c>
      <c r="AM95" s="364" t="s">
        <v>2381</v>
      </c>
      <c r="AN95" s="364" t="s">
        <v>2418</v>
      </c>
      <c r="AO95" s="364" t="s">
        <v>2539</v>
      </c>
      <c r="AP95" s="364" t="s">
        <v>2382</v>
      </c>
      <c r="AQ95" s="364" t="s">
        <v>2383</v>
      </c>
      <c r="AR95" s="261" t="s">
        <v>183</v>
      </c>
      <c r="AS95" s="364" t="s">
        <v>2332</v>
      </c>
      <c r="AT95" s="364" t="s">
        <v>2387</v>
      </c>
      <c r="AU95" s="364" t="s">
        <v>2335</v>
      </c>
      <c r="AV95" s="364" t="s">
        <v>2337</v>
      </c>
      <c r="AW95" s="364" t="s">
        <v>2338</v>
      </c>
      <c r="AX95" s="364" t="s">
        <v>2388</v>
      </c>
      <c r="AY95" s="364" t="s">
        <v>2339</v>
      </c>
      <c r="AZ95" s="364" t="s">
        <v>2389</v>
      </c>
      <c r="BA95" s="364" t="s">
        <v>2340</v>
      </c>
      <c r="BB95" s="364" t="s">
        <v>2421</v>
      </c>
      <c r="BC95" s="364" t="s">
        <v>2390</v>
      </c>
      <c r="BD95" s="364" t="s">
        <v>2341</v>
      </c>
      <c r="BE95" s="364" t="s">
        <v>2391</v>
      </c>
      <c r="BF95" s="364" t="s">
        <v>2392</v>
      </c>
      <c r="BG95" s="364" t="s">
        <v>2395</v>
      </c>
      <c r="BH95" s="364" t="s">
        <v>2344</v>
      </c>
      <c r="BI95" s="364" t="s">
        <v>2347</v>
      </c>
      <c r="BJ95" s="364" t="s">
        <v>2511</v>
      </c>
      <c r="BK95" s="364" t="s">
        <v>2424</v>
      </c>
      <c r="BL95" s="364" t="s">
        <v>2515</v>
      </c>
      <c r="BM95" s="364" t="s">
        <v>2463</v>
      </c>
      <c r="BN95" s="364" t="s">
        <v>2425</v>
      </c>
      <c r="BO95" s="364" t="s">
        <v>2426</v>
      </c>
      <c r="BP95" s="364" t="s">
        <v>2427</v>
      </c>
      <c r="BQ95" s="364" t="s">
        <v>2428</v>
      </c>
      <c r="BR95" s="364" t="s">
        <v>2429</v>
      </c>
      <c r="BS95" s="364"/>
      <c r="BT95" s="364"/>
      <c r="BU95" s="364"/>
      <c r="BV95" s="364"/>
      <c r="BW95" s="364"/>
      <c r="BX95" s="364"/>
      <c r="BY95" s="364"/>
      <c r="BZ95" s="364"/>
      <c r="CA95" s="364"/>
      <c r="CB95" s="364"/>
      <c r="CC95" s="364"/>
      <c r="CD95" s="364"/>
      <c r="CE95" s="364"/>
      <c r="CF95" s="364"/>
      <c r="CG95" s="364"/>
      <c r="CH95" s="364"/>
      <c r="CI95" s="364"/>
      <c r="CJ95" s="364"/>
      <c r="CK95" s="364"/>
      <c r="CL95" s="364"/>
      <c r="CM95" s="364"/>
      <c r="CN95" s="364"/>
      <c r="CO95" s="364"/>
      <c r="CP95" s="364"/>
      <c r="CQ95" s="364"/>
      <c r="CR95" s="364"/>
      <c r="CS95" s="364"/>
      <c r="CT95" s="364"/>
      <c r="CU95" s="364"/>
      <c r="CV95" s="364"/>
      <c r="CW95" s="364"/>
      <c r="CX95" s="364"/>
      <c r="CY95" s="364"/>
      <c r="CZ95" s="364"/>
      <c r="DA95" s="364"/>
      <c r="DB95" s="364"/>
      <c r="DC95" s="364"/>
      <c r="DD95" s="364"/>
      <c r="DE95" s="364"/>
      <c r="DF95" s="364"/>
      <c r="DG95" s="364"/>
      <c r="DH95" s="364"/>
      <c r="DI95" s="364"/>
      <c r="DJ95" s="364"/>
      <c r="DK95" s="364"/>
      <c r="DL95" s="364"/>
      <c r="DM95" s="364"/>
      <c r="DN95" s="364"/>
      <c r="DO95" s="364"/>
      <c r="DP95" s="364"/>
      <c r="DQ95" s="364"/>
      <c r="DR95" s="364"/>
      <c r="DS95" s="364"/>
      <c r="DT95" s="364"/>
      <c r="DU95" s="364"/>
      <c r="DV95" s="364"/>
      <c r="DW95" s="364"/>
      <c r="DX95" s="364"/>
      <c r="DY95" s="364"/>
      <c r="DZ95" s="364"/>
      <c r="EA95" s="364"/>
      <c r="EB95" s="364"/>
      <c r="EC95" s="364"/>
      <c r="ED95" s="364"/>
      <c r="EE95" s="364"/>
      <c r="EF95" s="364"/>
      <c r="EG95" s="364"/>
      <c r="EH95" s="364"/>
      <c r="EI95" s="364"/>
      <c r="EJ95" s="364"/>
      <c r="EK95" s="364"/>
      <c r="EL95" s="364"/>
      <c r="EM95" s="364"/>
      <c r="EN95" s="364"/>
      <c r="EO95" s="364"/>
      <c r="EP95" s="364"/>
      <c r="EQ95" s="364"/>
      <c r="ER95" s="364"/>
      <c r="ES95" s="364"/>
      <c r="ET95" s="364"/>
      <c r="EU95" s="364"/>
      <c r="EV95" s="364"/>
      <c r="EW95" s="364"/>
      <c r="EX95" s="364"/>
      <c r="EY95" s="364"/>
      <c r="EZ95" s="364"/>
      <c r="FA95" s="364"/>
      <c r="FB95" s="364"/>
      <c r="FC95" s="364"/>
      <c r="FD95" s="364"/>
      <c r="FE95" s="364"/>
      <c r="FF95" s="364"/>
      <c r="FG95" s="364"/>
      <c r="FH95" s="364"/>
      <c r="FI95" s="364"/>
      <c r="FJ95" s="364"/>
      <c r="FK95" s="364"/>
    </row>
    <row r="96" customFormat="false" ht="15.75" hidden="false" customHeight="false" outlineLevel="0" collapsed="false">
      <c r="A96" s="364" t="n">
        <v>195</v>
      </c>
      <c r="B96" s="364" t="n">
        <f aca="false">COUNTA(D96:FK96)</f>
        <v>59</v>
      </c>
      <c r="C96" s="364" t="s">
        <v>674</v>
      </c>
      <c r="D96" s="364" t="s">
        <v>2402</v>
      </c>
      <c r="E96" s="364" t="s">
        <v>2405</v>
      </c>
      <c r="F96" s="364" t="s">
        <v>2312</v>
      </c>
      <c r="G96" s="364" t="s">
        <v>2356</v>
      </c>
      <c r="H96" s="364" t="s">
        <v>2357</v>
      </c>
      <c r="I96" s="364" t="s">
        <v>2464</v>
      </c>
      <c r="J96" s="364" t="s">
        <v>2465</v>
      </c>
      <c r="K96" s="364" t="s">
        <v>2315</v>
      </c>
      <c r="L96" s="364" t="s">
        <v>2358</v>
      </c>
      <c r="M96" s="364" t="s">
        <v>2316</v>
      </c>
      <c r="N96" s="364" t="s">
        <v>2364</v>
      </c>
      <c r="O96" s="364" t="s">
        <v>2318</v>
      </c>
      <c r="P96" s="364" t="s">
        <v>2320</v>
      </c>
      <c r="Q96" s="364" t="s">
        <v>2369</v>
      </c>
      <c r="R96" s="364" t="s">
        <v>2373</v>
      </c>
      <c r="S96" s="364" t="s">
        <v>2376</v>
      </c>
      <c r="T96" s="364" t="s">
        <v>2377</v>
      </c>
      <c r="U96" s="364" t="s">
        <v>2322</v>
      </c>
      <c r="V96" s="364" t="s">
        <v>2498</v>
      </c>
      <c r="W96" s="364" t="s">
        <v>2324</v>
      </c>
      <c r="X96" s="364" t="s">
        <v>2325</v>
      </c>
      <c r="Y96" s="364" t="s">
        <v>2327</v>
      </c>
      <c r="Z96" s="364" t="s">
        <v>2328</v>
      </c>
      <c r="AA96" s="364" t="s">
        <v>2329</v>
      </c>
      <c r="AB96" s="364" t="s">
        <v>2521</v>
      </c>
      <c r="AC96" s="364" t="s">
        <v>2415</v>
      </c>
      <c r="AD96" s="364" t="s">
        <v>2416</v>
      </c>
      <c r="AE96" s="364" t="s">
        <v>2381</v>
      </c>
      <c r="AF96" s="364" t="s">
        <v>2330</v>
      </c>
      <c r="AG96" s="364" t="s">
        <v>2468</v>
      </c>
      <c r="AH96" s="261" t="s">
        <v>183</v>
      </c>
      <c r="AI96" s="364" t="s">
        <v>2387</v>
      </c>
      <c r="AJ96" s="364" t="s">
        <v>2461</v>
      </c>
      <c r="AK96" s="364" t="s">
        <v>2337</v>
      </c>
      <c r="AL96" s="364" t="s">
        <v>2469</v>
      </c>
      <c r="AM96" s="364" t="s">
        <v>2339</v>
      </c>
      <c r="AN96" s="364" t="s">
        <v>2420</v>
      </c>
      <c r="AO96" s="364" t="s">
        <v>2340</v>
      </c>
      <c r="AP96" s="364" t="s">
        <v>2390</v>
      </c>
      <c r="AQ96" s="364" t="s">
        <v>2341</v>
      </c>
      <c r="AR96" s="364" t="s">
        <v>2442</v>
      </c>
      <c r="AS96" s="364" t="s">
        <v>2392</v>
      </c>
      <c r="AT96" s="364" t="s">
        <v>2470</v>
      </c>
      <c r="AU96" s="364" t="s">
        <v>2591</v>
      </c>
      <c r="AV96" s="364" t="s">
        <v>2344</v>
      </c>
      <c r="AW96" s="364" t="s">
        <v>2345</v>
      </c>
      <c r="AX96" s="364" t="s">
        <v>2347</v>
      </c>
      <c r="AY96" s="364" t="s">
        <v>2473</v>
      </c>
      <c r="AZ96" s="364" t="s">
        <v>2474</v>
      </c>
      <c r="BA96" s="364" t="s">
        <v>2424</v>
      </c>
      <c r="BB96" s="364" t="s">
        <v>2398</v>
      </c>
      <c r="BC96" s="364" t="s">
        <v>2445</v>
      </c>
      <c r="BD96" s="364" t="s">
        <v>2475</v>
      </c>
      <c r="BE96" s="364" t="s">
        <v>2476</v>
      </c>
      <c r="BF96" s="364" t="s">
        <v>2399</v>
      </c>
      <c r="BG96" s="364" t="s">
        <v>2463</v>
      </c>
      <c r="BH96" s="364" t="s">
        <v>2446</v>
      </c>
      <c r="BI96" s="364" t="s">
        <v>2428</v>
      </c>
      <c r="BJ96" s="364" t="s">
        <v>2429</v>
      </c>
      <c r="BK96" s="364"/>
      <c r="BL96" s="364"/>
      <c r="BM96" s="364"/>
      <c r="BN96" s="364"/>
      <c r="BO96" s="364"/>
      <c r="BP96" s="364"/>
      <c r="BQ96" s="364"/>
      <c r="BR96" s="364"/>
      <c r="BS96" s="364"/>
      <c r="BT96" s="364"/>
      <c r="BU96" s="364"/>
      <c r="BV96" s="364"/>
      <c r="BW96" s="364"/>
      <c r="BX96" s="364"/>
      <c r="BY96" s="364"/>
      <c r="BZ96" s="364"/>
      <c r="CA96" s="364"/>
      <c r="CB96" s="364"/>
      <c r="CC96" s="364"/>
      <c r="CD96" s="364"/>
      <c r="CE96" s="364"/>
      <c r="CF96" s="364"/>
      <c r="CG96" s="364"/>
      <c r="CH96" s="364"/>
      <c r="CI96" s="364"/>
      <c r="CJ96" s="364"/>
      <c r="CK96" s="364"/>
      <c r="CL96" s="364"/>
      <c r="CM96" s="364"/>
      <c r="CN96" s="364"/>
      <c r="CO96" s="364"/>
      <c r="CP96" s="364"/>
      <c r="CQ96" s="364"/>
      <c r="CR96" s="364"/>
      <c r="CS96" s="364"/>
      <c r="CT96" s="364"/>
      <c r="CU96" s="364"/>
      <c r="CV96" s="364"/>
      <c r="CW96" s="364"/>
      <c r="CX96" s="364"/>
      <c r="CY96" s="364"/>
      <c r="CZ96" s="364"/>
      <c r="DA96" s="364"/>
      <c r="DB96" s="364"/>
      <c r="DC96" s="364"/>
      <c r="DD96" s="364"/>
      <c r="DE96" s="364"/>
      <c r="DF96" s="364"/>
      <c r="DG96" s="364"/>
      <c r="DH96" s="364"/>
      <c r="DI96" s="364"/>
      <c r="DJ96" s="364"/>
      <c r="DK96" s="364"/>
      <c r="DL96" s="364"/>
      <c r="DM96" s="364"/>
      <c r="DN96" s="364"/>
      <c r="DO96" s="364"/>
      <c r="DP96" s="364"/>
      <c r="DQ96" s="364"/>
      <c r="DR96" s="364"/>
      <c r="DS96" s="364"/>
      <c r="DT96" s="364"/>
      <c r="DU96" s="364"/>
      <c r="DV96" s="364"/>
      <c r="DW96" s="364"/>
      <c r="DX96" s="364"/>
      <c r="DY96" s="364"/>
      <c r="DZ96" s="364"/>
      <c r="EA96" s="364"/>
      <c r="EB96" s="364"/>
      <c r="EC96" s="364"/>
      <c r="ED96" s="364"/>
      <c r="EE96" s="364"/>
      <c r="EF96" s="364"/>
      <c r="EG96" s="364"/>
      <c r="EH96" s="364"/>
      <c r="EI96" s="364"/>
      <c r="EJ96" s="364"/>
      <c r="EK96" s="364"/>
      <c r="EL96" s="364"/>
      <c r="EM96" s="364"/>
      <c r="EN96" s="364"/>
      <c r="EO96" s="364"/>
      <c r="EP96" s="364"/>
      <c r="EQ96" s="364"/>
      <c r="ER96" s="364"/>
      <c r="ES96" s="364"/>
      <c r="ET96" s="364"/>
      <c r="EU96" s="364"/>
      <c r="EV96" s="364"/>
      <c r="EW96" s="364"/>
      <c r="EX96" s="364"/>
      <c r="EY96" s="364"/>
      <c r="EZ96" s="364"/>
      <c r="FA96" s="364"/>
      <c r="FB96" s="364"/>
      <c r="FC96" s="364"/>
      <c r="FD96" s="364"/>
      <c r="FE96" s="364"/>
      <c r="FF96" s="364"/>
      <c r="FG96" s="364"/>
      <c r="FH96" s="364"/>
      <c r="FI96" s="364"/>
      <c r="FJ96" s="364"/>
      <c r="FK96" s="364"/>
    </row>
    <row r="97" customFormat="false" ht="15.75" hidden="false" customHeight="false" outlineLevel="0" collapsed="false">
      <c r="A97" s="364" t="n">
        <v>197</v>
      </c>
      <c r="B97" s="364" t="n">
        <f aca="false">COUNTA(D97:FK97)</f>
        <v>37</v>
      </c>
      <c r="C97" s="364" t="s">
        <v>678</v>
      </c>
      <c r="D97" s="364" t="s">
        <v>2352</v>
      </c>
      <c r="E97" s="364" t="s">
        <v>2353</v>
      </c>
      <c r="F97" s="364" t="s">
        <v>2354</v>
      </c>
      <c r="G97" s="364" t="s">
        <v>2434</v>
      </c>
      <c r="H97" s="364" t="s">
        <v>2316</v>
      </c>
      <c r="I97" s="364" t="s">
        <v>2435</v>
      </c>
      <c r="J97" s="364" t="s">
        <v>2318</v>
      </c>
      <c r="K97" s="364" t="s">
        <v>2632</v>
      </c>
      <c r="L97" s="364" t="s">
        <v>2320</v>
      </c>
      <c r="M97" s="364" t="s">
        <v>2375</v>
      </c>
      <c r="N97" s="364" t="s">
        <v>2324</v>
      </c>
      <c r="O97" s="364" t="s">
        <v>2378</v>
      </c>
      <c r="P97" s="364" t="s">
        <v>2328</v>
      </c>
      <c r="Q97" s="364" t="s">
        <v>2329</v>
      </c>
      <c r="R97" s="364" t="s">
        <v>2521</v>
      </c>
      <c r="S97" s="364" t="s">
        <v>2638</v>
      </c>
      <c r="T97" s="261" t="s">
        <v>183</v>
      </c>
      <c r="U97" s="364" t="s">
        <v>2385</v>
      </c>
      <c r="V97" s="364" t="s">
        <v>2480</v>
      </c>
      <c r="W97" s="364" t="s">
        <v>2460</v>
      </c>
      <c r="X97" s="364" t="s">
        <v>157</v>
      </c>
      <c r="Y97" s="364" t="s">
        <v>2337</v>
      </c>
      <c r="Z97" s="364" t="s">
        <v>2340</v>
      </c>
      <c r="AA97" s="364" t="s">
        <v>2341</v>
      </c>
      <c r="AB97" s="364" t="s">
        <v>2442</v>
      </c>
      <c r="AC97" s="364" t="s">
        <v>2443</v>
      </c>
      <c r="AD97" s="364" t="s">
        <v>2462</v>
      </c>
      <c r="AE97" s="364" t="s">
        <v>2344</v>
      </c>
      <c r="AF97" s="364" t="s">
        <v>2396</v>
      </c>
      <c r="AG97" s="364" t="s">
        <v>2398</v>
      </c>
      <c r="AH97" s="364" t="s">
        <v>2592</v>
      </c>
      <c r="AI97" s="364" t="s">
        <v>2348</v>
      </c>
      <c r="AJ97" s="364" t="s">
        <v>2349</v>
      </c>
      <c r="AK97" s="364" t="s">
        <v>2445</v>
      </c>
      <c r="AL97" s="364" t="s">
        <v>2400</v>
      </c>
      <c r="AM97" s="364" t="s">
        <v>2463</v>
      </c>
      <c r="AN97" s="364" t="s">
        <v>2430</v>
      </c>
      <c r="AO97" s="364"/>
      <c r="AP97" s="364"/>
      <c r="AQ97" s="364"/>
      <c r="AR97" s="364"/>
      <c r="AS97" s="364"/>
      <c r="AT97" s="364"/>
      <c r="AU97" s="364"/>
      <c r="AV97" s="364"/>
      <c r="AW97" s="364"/>
      <c r="AX97" s="364"/>
      <c r="AY97" s="364"/>
      <c r="AZ97" s="364"/>
      <c r="BA97" s="364"/>
      <c r="BB97" s="364"/>
      <c r="BC97" s="364"/>
      <c r="BD97" s="364"/>
      <c r="BE97" s="364"/>
      <c r="BF97" s="364"/>
      <c r="BG97" s="364"/>
      <c r="BH97" s="364"/>
      <c r="BI97" s="364"/>
      <c r="BJ97" s="364"/>
      <c r="BK97" s="364"/>
      <c r="BL97" s="364"/>
      <c r="BM97" s="364"/>
      <c r="BN97" s="364"/>
      <c r="BO97" s="364"/>
      <c r="BP97" s="364"/>
      <c r="BQ97" s="364"/>
      <c r="BR97" s="364"/>
      <c r="BS97" s="364"/>
      <c r="BT97" s="364"/>
      <c r="BU97" s="364"/>
      <c r="BV97" s="364"/>
      <c r="BW97" s="364"/>
      <c r="BX97" s="364"/>
      <c r="BY97" s="364"/>
      <c r="BZ97" s="364"/>
      <c r="CA97" s="364"/>
      <c r="CB97" s="364"/>
      <c r="CC97" s="364"/>
      <c r="CD97" s="364"/>
      <c r="CE97" s="364"/>
      <c r="CF97" s="364"/>
      <c r="CG97" s="364"/>
      <c r="CH97" s="364"/>
      <c r="CI97" s="364"/>
      <c r="CJ97" s="364"/>
      <c r="CK97" s="364"/>
      <c r="CL97" s="364"/>
      <c r="CM97" s="364"/>
      <c r="CN97" s="364"/>
      <c r="CO97" s="364"/>
      <c r="CP97" s="364"/>
      <c r="CQ97" s="364"/>
      <c r="CR97" s="364"/>
      <c r="CS97" s="364"/>
      <c r="CT97" s="364"/>
      <c r="CU97" s="364"/>
      <c r="CV97" s="364"/>
      <c r="CW97" s="364"/>
      <c r="CX97" s="364"/>
      <c r="CY97" s="364"/>
      <c r="CZ97" s="364"/>
      <c r="DA97" s="364"/>
      <c r="DB97" s="364"/>
      <c r="DC97" s="364"/>
      <c r="DD97" s="364"/>
      <c r="DE97" s="364"/>
      <c r="DF97" s="364"/>
      <c r="DG97" s="364"/>
      <c r="DH97" s="364"/>
      <c r="DI97" s="364"/>
      <c r="DJ97" s="364"/>
      <c r="DK97" s="364"/>
      <c r="DL97" s="364"/>
      <c r="DM97" s="364"/>
      <c r="DN97" s="364"/>
      <c r="DO97" s="364"/>
      <c r="DP97" s="364"/>
      <c r="DQ97" s="364"/>
      <c r="DR97" s="364"/>
      <c r="DS97" s="364"/>
      <c r="DT97" s="364"/>
      <c r="DU97" s="364"/>
      <c r="DV97" s="364"/>
      <c r="DW97" s="364"/>
      <c r="DX97" s="364"/>
      <c r="DY97" s="364"/>
      <c r="DZ97" s="364"/>
      <c r="EA97" s="364"/>
      <c r="EB97" s="364"/>
      <c r="EC97" s="364"/>
      <c r="ED97" s="364"/>
      <c r="EE97" s="364"/>
      <c r="EF97" s="364"/>
      <c r="EG97" s="364"/>
      <c r="EH97" s="364"/>
      <c r="EI97" s="364"/>
      <c r="EJ97" s="364"/>
      <c r="EK97" s="364"/>
      <c r="EL97" s="364"/>
      <c r="EM97" s="364"/>
      <c r="EN97" s="364"/>
      <c r="EO97" s="364"/>
      <c r="EP97" s="364"/>
      <c r="EQ97" s="364"/>
      <c r="ER97" s="364"/>
      <c r="ES97" s="364"/>
      <c r="ET97" s="364"/>
      <c r="EU97" s="364"/>
      <c r="EV97" s="364"/>
      <c r="EW97" s="364"/>
      <c r="EX97" s="364"/>
      <c r="EY97" s="364"/>
      <c r="EZ97" s="364"/>
      <c r="FA97" s="364"/>
      <c r="FB97" s="364"/>
      <c r="FC97" s="364"/>
      <c r="FD97" s="364"/>
      <c r="FE97" s="364"/>
      <c r="FF97" s="364"/>
      <c r="FG97" s="364"/>
      <c r="FH97" s="364"/>
      <c r="FI97" s="364"/>
      <c r="FJ97" s="364"/>
      <c r="FK97" s="364"/>
    </row>
    <row r="98" customFormat="false" ht="15.75" hidden="false" customHeight="false" outlineLevel="0" collapsed="false">
      <c r="A98" s="364" t="n">
        <v>199</v>
      </c>
      <c r="B98" s="364" t="n">
        <f aca="false">COUNTA(D98:FK98)</f>
        <v>43</v>
      </c>
      <c r="C98" s="364" t="s">
        <v>682</v>
      </c>
      <c r="D98" s="364" t="s">
        <v>2431</v>
      </c>
      <c r="E98" s="364" t="s">
        <v>2352</v>
      </c>
      <c r="F98" s="364" t="s">
        <v>2353</v>
      </c>
      <c r="G98" s="364" t="s">
        <v>2354</v>
      </c>
      <c r="H98" s="364" t="s">
        <v>2356</v>
      </c>
      <c r="I98" s="364" t="s">
        <v>2432</v>
      </c>
      <c r="J98" s="364" t="s">
        <v>2433</v>
      </c>
      <c r="K98" s="364" t="s">
        <v>2612</v>
      </c>
      <c r="L98" s="364" t="s">
        <v>2358</v>
      </c>
      <c r="M98" s="364" t="s">
        <v>2316</v>
      </c>
      <c r="N98" s="364" t="s">
        <v>2520</v>
      </c>
      <c r="O98" s="364" t="s">
        <v>2364</v>
      </c>
      <c r="P98" s="364" t="s">
        <v>2320</v>
      </c>
      <c r="Q98" s="364" t="s">
        <v>2376</v>
      </c>
      <c r="R98" s="364" t="s">
        <v>2377</v>
      </c>
      <c r="S98" s="364" t="s">
        <v>2323</v>
      </c>
      <c r="T98" s="364" t="s">
        <v>2324</v>
      </c>
      <c r="U98" s="364" t="s">
        <v>2327</v>
      </c>
      <c r="V98" s="364" t="s">
        <v>2328</v>
      </c>
      <c r="W98" s="364" t="s">
        <v>2329</v>
      </c>
      <c r="X98" s="364" t="s">
        <v>2416</v>
      </c>
      <c r="Y98" s="364" t="s">
        <v>2438</v>
      </c>
      <c r="Z98" s="364" t="s">
        <v>2330</v>
      </c>
      <c r="AA98" s="364" t="s">
        <v>2610</v>
      </c>
      <c r="AB98" s="364" t="s">
        <v>2383</v>
      </c>
      <c r="AC98" s="364" t="s">
        <v>2385</v>
      </c>
      <c r="AD98" s="364" t="s">
        <v>2387</v>
      </c>
      <c r="AE98" s="364" t="s">
        <v>2337</v>
      </c>
      <c r="AF98" s="364" t="s">
        <v>2339</v>
      </c>
      <c r="AG98" s="364" t="s">
        <v>2420</v>
      </c>
      <c r="AH98" s="364" t="s">
        <v>2340</v>
      </c>
      <c r="AI98" s="364" t="s">
        <v>2341</v>
      </c>
      <c r="AJ98" s="364" t="s">
        <v>2443</v>
      </c>
      <c r="AK98" s="364" t="s">
        <v>2344</v>
      </c>
      <c r="AL98" s="364" t="s">
        <v>2345</v>
      </c>
      <c r="AM98" s="364" t="s">
        <v>2347</v>
      </c>
      <c r="AN98" s="364" t="s">
        <v>2444</v>
      </c>
      <c r="AO98" s="364" t="s">
        <v>2398</v>
      </c>
      <c r="AP98" s="364" t="s">
        <v>2348</v>
      </c>
      <c r="AQ98" s="364" t="s">
        <v>2445</v>
      </c>
      <c r="AR98" s="364" t="s">
        <v>2399</v>
      </c>
      <c r="AS98" s="364" t="s">
        <v>2463</v>
      </c>
      <c r="AT98" s="364" t="s">
        <v>2446</v>
      </c>
      <c r="AU98" s="364"/>
      <c r="AV98" s="364"/>
      <c r="AW98" s="364"/>
      <c r="AX98" s="364"/>
      <c r="AY98" s="364"/>
      <c r="AZ98" s="364"/>
      <c r="BA98" s="364"/>
      <c r="BB98" s="364"/>
      <c r="BC98" s="364"/>
      <c r="BD98" s="364"/>
      <c r="BE98" s="364"/>
      <c r="BF98" s="364"/>
      <c r="BG98" s="364"/>
      <c r="BH98" s="364"/>
      <c r="BI98" s="364"/>
      <c r="BJ98" s="364"/>
      <c r="BK98" s="364"/>
      <c r="BL98" s="364"/>
      <c r="BM98" s="364"/>
      <c r="BN98" s="364"/>
      <c r="BO98" s="364"/>
      <c r="BP98" s="364"/>
      <c r="BQ98" s="364"/>
      <c r="BR98" s="364"/>
      <c r="BS98" s="364"/>
      <c r="BT98" s="364"/>
      <c r="BU98" s="364"/>
      <c r="BV98" s="364"/>
      <c r="BW98" s="364"/>
      <c r="BX98" s="364"/>
      <c r="BY98" s="364"/>
      <c r="BZ98" s="364"/>
      <c r="CA98" s="364"/>
      <c r="CB98" s="364"/>
      <c r="CC98" s="364"/>
      <c r="CD98" s="364"/>
      <c r="CE98" s="364"/>
      <c r="CF98" s="364"/>
      <c r="CG98" s="364"/>
      <c r="CH98" s="364"/>
      <c r="CI98" s="364"/>
      <c r="CJ98" s="364"/>
      <c r="CK98" s="364"/>
      <c r="CL98" s="364"/>
      <c r="CM98" s="364"/>
      <c r="CN98" s="364"/>
      <c r="CO98" s="364"/>
      <c r="CP98" s="364"/>
      <c r="CQ98" s="364"/>
      <c r="CR98" s="364"/>
      <c r="CS98" s="364"/>
      <c r="CT98" s="364"/>
      <c r="CU98" s="364"/>
      <c r="CV98" s="364"/>
      <c r="CW98" s="364"/>
      <c r="CX98" s="364"/>
      <c r="CY98" s="364"/>
      <c r="CZ98" s="364"/>
      <c r="DA98" s="364"/>
      <c r="DB98" s="364"/>
      <c r="DC98" s="364"/>
      <c r="DD98" s="364"/>
      <c r="DE98" s="364"/>
      <c r="DF98" s="364"/>
      <c r="DG98" s="364"/>
      <c r="DH98" s="364"/>
      <c r="DI98" s="364"/>
      <c r="DJ98" s="364"/>
      <c r="DK98" s="364"/>
      <c r="DL98" s="364"/>
      <c r="DM98" s="364"/>
      <c r="DN98" s="364"/>
      <c r="DO98" s="364"/>
      <c r="DP98" s="364"/>
      <c r="DQ98" s="364"/>
      <c r="DR98" s="364"/>
      <c r="DS98" s="364"/>
      <c r="DT98" s="364"/>
      <c r="DU98" s="364"/>
      <c r="DV98" s="364"/>
      <c r="DW98" s="364"/>
      <c r="DX98" s="364"/>
      <c r="DY98" s="364"/>
      <c r="DZ98" s="364"/>
      <c r="EA98" s="364"/>
      <c r="EB98" s="364"/>
      <c r="EC98" s="364"/>
      <c r="ED98" s="364"/>
      <c r="EE98" s="364"/>
      <c r="EF98" s="364"/>
      <c r="EG98" s="364"/>
      <c r="EH98" s="364"/>
      <c r="EI98" s="364"/>
      <c r="EJ98" s="364"/>
      <c r="EK98" s="364"/>
      <c r="EL98" s="364"/>
      <c r="EM98" s="364"/>
      <c r="EN98" s="364"/>
      <c r="EO98" s="364"/>
      <c r="EP98" s="364"/>
      <c r="EQ98" s="364"/>
      <c r="ER98" s="364"/>
      <c r="ES98" s="364"/>
      <c r="ET98" s="364"/>
      <c r="EU98" s="364"/>
      <c r="EV98" s="364"/>
      <c r="EW98" s="364"/>
      <c r="EX98" s="364"/>
      <c r="EY98" s="364"/>
      <c r="EZ98" s="364"/>
      <c r="FA98" s="364"/>
      <c r="FB98" s="364"/>
      <c r="FC98" s="364"/>
      <c r="FD98" s="364"/>
      <c r="FE98" s="364"/>
      <c r="FF98" s="364"/>
      <c r="FG98" s="364"/>
      <c r="FH98" s="364"/>
      <c r="FI98" s="364"/>
      <c r="FJ98" s="364"/>
      <c r="FK98" s="364"/>
    </row>
    <row r="99" customFormat="false" ht="15.75" hidden="false" customHeight="false" outlineLevel="0" collapsed="false">
      <c r="A99" s="364" t="n">
        <v>201</v>
      </c>
      <c r="B99" s="364" t="n">
        <f aca="false">COUNTA(D99:FK99)</f>
        <v>40</v>
      </c>
      <c r="C99" s="364" t="s">
        <v>686</v>
      </c>
      <c r="D99" s="364" t="s">
        <v>2527</v>
      </c>
      <c r="E99" s="364" t="s">
        <v>2312</v>
      </c>
      <c r="F99" s="364" t="s">
        <v>2516</v>
      </c>
      <c r="G99" s="364" t="s">
        <v>2432</v>
      </c>
      <c r="H99" s="364" t="s">
        <v>2559</v>
      </c>
      <c r="I99" s="364" t="s">
        <v>2530</v>
      </c>
      <c r="J99" s="364" t="s">
        <v>2358</v>
      </c>
      <c r="K99" s="364" t="s">
        <v>2316</v>
      </c>
      <c r="L99" s="364" t="s">
        <v>2436</v>
      </c>
      <c r="M99" s="364" t="s">
        <v>2320</v>
      </c>
      <c r="N99" s="364" t="s">
        <v>2450</v>
      </c>
      <c r="O99" s="364" t="s">
        <v>2523</v>
      </c>
      <c r="P99" s="364" t="s">
        <v>2498</v>
      </c>
      <c r="Q99" s="364" t="s">
        <v>2323</v>
      </c>
      <c r="R99" s="364" t="s">
        <v>2324</v>
      </c>
      <c r="S99" s="364" t="s">
        <v>2328</v>
      </c>
      <c r="T99" s="364" t="s">
        <v>2329</v>
      </c>
      <c r="U99" s="364" t="s">
        <v>2438</v>
      </c>
      <c r="V99" s="364" t="s">
        <v>2507</v>
      </c>
      <c r="W99" s="364" t="s">
        <v>2589</v>
      </c>
      <c r="X99" s="364" t="s">
        <v>2453</v>
      </c>
      <c r="Y99" s="364" t="s">
        <v>2454</v>
      </c>
      <c r="Z99" s="364" t="s">
        <v>2487</v>
      </c>
      <c r="AA99" s="364" t="s">
        <v>157</v>
      </c>
      <c r="AB99" s="364" t="s">
        <v>2337</v>
      </c>
      <c r="AC99" s="364" t="s">
        <v>2340</v>
      </c>
      <c r="AD99" s="364" t="s">
        <v>2341</v>
      </c>
      <c r="AE99" s="364" t="s">
        <v>2639</v>
      </c>
      <c r="AF99" s="364" t="s">
        <v>2422</v>
      </c>
      <c r="AG99" s="364" t="s">
        <v>2343</v>
      </c>
      <c r="AH99" s="364" t="s">
        <v>2514</v>
      </c>
      <c r="AI99" s="364" t="s">
        <v>2344</v>
      </c>
      <c r="AJ99" s="364" t="s">
        <v>2345</v>
      </c>
      <c r="AK99" s="364" t="s">
        <v>2346</v>
      </c>
      <c r="AL99" s="364" t="s">
        <v>2444</v>
      </c>
      <c r="AM99" s="364" t="s">
        <v>2473</v>
      </c>
      <c r="AN99" s="364" t="s">
        <v>2445</v>
      </c>
      <c r="AO99" s="364" t="s">
        <v>2456</v>
      </c>
      <c r="AP99" s="364" t="s">
        <v>2350</v>
      </c>
      <c r="AQ99" s="364" t="s">
        <v>2458</v>
      </c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/>
      <c r="BD99" s="364"/>
      <c r="BE99" s="364"/>
      <c r="BF99" s="364"/>
      <c r="BG99" s="364"/>
      <c r="BH99" s="364"/>
      <c r="BI99" s="364"/>
      <c r="BJ99" s="364"/>
      <c r="BK99" s="364"/>
      <c r="BL99" s="364"/>
      <c r="BM99" s="364"/>
      <c r="BN99" s="364"/>
      <c r="BO99" s="364"/>
      <c r="BP99" s="364"/>
      <c r="BQ99" s="364"/>
      <c r="BR99" s="364"/>
      <c r="BS99" s="364"/>
      <c r="BT99" s="364"/>
      <c r="BU99" s="364"/>
      <c r="BV99" s="364"/>
      <c r="BW99" s="364"/>
      <c r="BX99" s="364"/>
      <c r="BY99" s="364"/>
      <c r="BZ99" s="364"/>
      <c r="CA99" s="364"/>
      <c r="CB99" s="364"/>
      <c r="CC99" s="364"/>
      <c r="CD99" s="364"/>
      <c r="CE99" s="364"/>
      <c r="CF99" s="364"/>
      <c r="CG99" s="364"/>
      <c r="CH99" s="364"/>
      <c r="CI99" s="364"/>
      <c r="CJ99" s="364"/>
      <c r="CK99" s="364"/>
      <c r="CL99" s="364"/>
      <c r="CM99" s="364"/>
      <c r="CN99" s="364"/>
      <c r="CO99" s="364"/>
      <c r="CP99" s="364"/>
      <c r="CQ99" s="364"/>
      <c r="CR99" s="364"/>
      <c r="CS99" s="364"/>
      <c r="CT99" s="364"/>
      <c r="CU99" s="364"/>
      <c r="CV99" s="364"/>
      <c r="CW99" s="364"/>
      <c r="CX99" s="364"/>
      <c r="CY99" s="364"/>
      <c r="CZ99" s="364"/>
      <c r="DA99" s="364"/>
      <c r="DB99" s="364"/>
      <c r="DC99" s="364"/>
      <c r="DD99" s="364"/>
      <c r="DE99" s="364"/>
      <c r="DF99" s="364"/>
      <c r="DG99" s="364"/>
      <c r="DH99" s="364"/>
      <c r="DI99" s="364"/>
      <c r="DJ99" s="364"/>
      <c r="DK99" s="364"/>
      <c r="DL99" s="364"/>
      <c r="DM99" s="364"/>
      <c r="DN99" s="364"/>
      <c r="DO99" s="364"/>
      <c r="DP99" s="364"/>
      <c r="DQ99" s="364"/>
      <c r="DR99" s="364"/>
      <c r="DS99" s="364"/>
      <c r="DT99" s="364"/>
      <c r="DU99" s="364"/>
      <c r="DV99" s="364"/>
      <c r="DW99" s="364"/>
      <c r="DX99" s="364"/>
      <c r="DY99" s="364"/>
      <c r="DZ99" s="364"/>
      <c r="EA99" s="364"/>
      <c r="EB99" s="364"/>
      <c r="EC99" s="364"/>
      <c r="ED99" s="364"/>
      <c r="EE99" s="364"/>
      <c r="EF99" s="364"/>
      <c r="EG99" s="364"/>
      <c r="EH99" s="364"/>
      <c r="EI99" s="364"/>
      <c r="EJ99" s="364"/>
      <c r="EK99" s="364"/>
      <c r="EL99" s="364"/>
      <c r="EM99" s="364"/>
      <c r="EN99" s="364"/>
      <c r="EO99" s="364"/>
      <c r="EP99" s="364"/>
      <c r="EQ99" s="364"/>
      <c r="ER99" s="364"/>
      <c r="ES99" s="364"/>
      <c r="ET99" s="364"/>
      <c r="EU99" s="364"/>
      <c r="EV99" s="364"/>
      <c r="EW99" s="364"/>
      <c r="EX99" s="364"/>
      <c r="EY99" s="364"/>
      <c r="EZ99" s="364"/>
      <c r="FA99" s="364"/>
      <c r="FB99" s="364"/>
      <c r="FC99" s="364"/>
      <c r="FD99" s="364"/>
      <c r="FE99" s="364"/>
      <c r="FF99" s="364"/>
      <c r="FG99" s="364"/>
      <c r="FH99" s="364"/>
      <c r="FI99" s="364"/>
      <c r="FJ99" s="364"/>
      <c r="FK99" s="364"/>
    </row>
    <row r="100" customFormat="false" ht="15.75" hidden="false" customHeight="false" outlineLevel="0" collapsed="false">
      <c r="A100" s="364" t="n">
        <v>202</v>
      </c>
      <c r="B100" s="364" t="n">
        <f aca="false">COUNTA(D100:FK100)</f>
        <v>40</v>
      </c>
      <c r="C100" s="364" t="s">
        <v>688</v>
      </c>
      <c r="D100" s="364" t="s">
        <v>2527</v>
      </c>
      <c r="E100" s="364" t="s">
        <v>2431</v>
      </c>
      <c r="F100" s="364" t="s">
        <v>2352</v>
      </c>
      <c r="G100" s="364" t="s">
        <v>2353</v>
      </c>
      <c r="H100" s="364" t="s">
        <v>2354</v>
      </c>
      <c r="I100" s="364" t="s">
        <v>2528</v>
      </c>
      <c r="J100" s="364" t="s">
        <v>2404</v>
      </c>
      <c r="K100" s="364" t="s">
        <v>2530</v>
      </c>
      <c r="L100" s="364" t="s">
        <v>2409</v>
      </c>
      <c r="M100" s="364" t="s">
        <v>2316</v>
      </c>
      <c r="N100" s="364" t="s">
        <v>2320</v>
      </c>
      <c r="O100" s="364" t="s">
        <v>2375</v>
      </c>
      <c r="P100" s="364" t="s">
        <v>2323</v>
      </c>
      <c r="Q100" s="364" t="s">
        <v>2324</v>
      </c>
      <c r="R100" s="364" t="s">
        <v>2378</v>
      </c>
      <c r="S100" s="364" t="s">
        <v>2328</v>
      </c>
      <c r="T100" s="364" t="s">
        <v>2329</v>
      </c>
      <c r="U100" s="364" t="s">
        <v>2507</v>
      </c>
      <c r="V100" s="364" t="s">
        <v>2385</v>
      </c>
      <c r="W100" s="364" t="s">
        <v>2452</v>
      </c>
      <c r="X100" s="364" t="s">
        <v>2460</v>
      </c>
      <c r="Y100" s="364" t="s">
        <v>2529</v>
      </c>
      <c r="Z100" s="364" t="s">
        <v>2337</v>
      </c>
      <c r="AA100" s="364" t="s">
        <v>2340</v>
      </c>
      <c r="AB100" s="364" t="s">
        <v>2341</v>
      </c>
      <c r="AC100" s="364" t="s">
        <v>2442</v>
      </c>
      <c r="AD100" s="364" t="s">
        <v>2462</v>
      </c>
      <c r="AE100" s="364" t="s">
        <v>2343</v>
      </c>
      <c r="AF100" s="364" t="s">
        <v>2344</v>
      </c>
      <c r="AG100" s="364" t="s">
        <v>2396</v>
      </c>
      <c r="AH100" s="364" t="s">
        <v>2474</v>
      </c>
      <c r="AI100" s="364" t="s">
        <v>2398</v>
      </c>
      <c r="AJ100" s="364" t="s">
        <v>2445</v>
      </c>
      <c r="AK100" s="364" t="s">
        <v>2400</v>
      </c>
      <c r="AL100" s="364" t="s">
        <v>2463</v>
      </c>
      <c r="AM100" s="364" t="s">
        <v>2446</v>
      </c>
      <c r="AN100" s="364" t="s">
        <v>2350</v>
      </c>
      <c r="AO100" s="364" t="s">
        <v>2401</v>
      </c>
      <c r="AP100" s="364" t="s">
        <v>2458</v>
      </c>
      <c r="AQ100" s="364" t="s">
        <v>2430</v>
      </c>
      <c r="AR100" s="364"/>
      <c r="AS100" s="364"/>
      <c r="AT100" s="364"/>
      <c r="AU100" s="364"/>
      <c r="AV100" s="364"/>
      <c r="AW100" s="364"/>
      <c r="AX100" s="364"/>
      <c r="AY100" s="364"/>
      <c r="AZ100" s="364"/>
      <c r="BA100" s="364"/>
      <c r="BB100" s="364"/>
      <c r="BC100" s="364"/>
      <c r="BD100" s="364"/>
      <c r="BE100" s="364"/>
      <c r="BF100" s="364"/>
      <c r="BG100" s="364"/>
      <c r="BH100" s="364"/>
      <c r="BI100" s="364"/>
      <c r="BJ100" s="364"/>
      <c r="BK100" s="364"/>
      <c r="BL100" s="364"/>
      <c r="BM100" s="364"/>
      <c r="BN100" s="364"/>
      <c r="BO100" s="364"/>
      <c r="BP100" s="364"/>
      <c r="BQ100" s="364"/>
      <c r="BR100" s="364"/>
      <c r="BS100" s="364"/>
      <c r="BT100" s="364"/>
      <c r="BU100" s="364"/>
      <c r="BV100" s="364"/>
      <c r="BW100" s="364"/>
      <c r="BX100" s="364"/>
      <c r="BY100" s="364"/>
      <c r="BZ100" s="364"/>
      <c r="CA100" s="364"/>
      <c r="CB100" s="364"/>
      <c r="CC100" s="364"/>
      <c r="CD100" s="364"/>
      <c r="CE100" s="364"/>
      <c r="CF100" s="364"/>
      <c r="CG100" s="364"/>
      <c r="CH100" s="364"/>
      <c r="CI100" s="364"/>
      <c r="CJ100" s="364"/>
      <c r="CK100" s="364"/>
      <c r="CL100" s="364"/>
      <c r="CM100" s="364"/>
      <c r="CN100" s="364"/>
      <c r="CO100" s="364"/>
      <c r="CP100" s="364"/>
      <c r="CQ100" s="364"/>
      <c r="CR100" s="364"/>
      <c r="CS100" s="364"/>
      <c r="CT100" s="364"/>
      <c r="CU100" s="364"/>
      <c r="CV100" s="364"/>
      <c r="CW100" s="364"/>
      <c r="CX100" s="364"/>
      <c r="CY100" s="364"/>
      <c r="CZ100" s="364"/>
      <c r="DA100" s="364"/>
      <c r="DB100" s="364"/>
      <c r="DC100" s="364"/>
      <c r="DD100" s="364"/>
      <c r="DE100" s="364"/>
      <c r="DF100" s="364"/>
      <c r="DG100" s="364"/>
      <c r="DH100" s="364"/>
      <c r="DI100" s="364"/>
      <c r="DJ100" s="364"/>
      <c r="DK100" s="364"/>
      <c r="DL100" s="364"/>
      <c r="DM100" s="364"/>
      <c r="DN100" s="364"/>
      <c r="DO100" s="364"/>
      <c r="DP100" s="364"/>
      <c r="DQ100" s="364"/>
      <c r="DR100" s="364"/>
      <c r="DS100" s="364"/>
      <c r="DT100" s="364"/>
      <c r="DU100" s="364"/>
      <c r="DV100" s="364"/>
      <c r="DW100" s="364"/>
      <c r="DX100" s="364"/>
      <c r="DY100" s="364"/>
      <c r="DZ100" s="364"/>
      <c r="EA100" s="364"/>
      <c r="EB100" s="364"/>
      <c r="EC100" s="364"/>
      <c r="ED100" s="364"/>
      <c r="EE100" s="364"/>
      <c r="EF100" s="364"/>
      <c r="EG100" s="364"/>
      <c r="EH100" s="364"/>
      <c r="EI100" s="364"/>
      <c r="EJ100" s="364"/>
      <c r="EK100" s="364"/>
      <c r="EL100" s="364"/>
      <c r="EM100" s="364"/>
      <c r="EN100" s="364"/>
      <c r="EO100" s="364"/>
      <c r="EP100" s="364"/>
      <c r="EQ100" s="364"/>
      <c r="ER100" s="364"/>
      <c r="ES100" s="364"/>
      <c r="ET100" s="364"/>
      <c r="EU100" s="364"/>
      <c r="EV100" s="364"/>
      <c r="EW100" s="364"/>
      <c r="EX100" s="364"/>
      <c r="EY100" s="364"/>
      <c r="EZ100" s="364"/>
      <c r="FA100" s="364"/>
      <c r="FB100" s="364"/>
      <c r="FC100" s="364"/>
      <c r="FD100" s="364"/>
      <c r="FE100" s="364"/>
      <c r="FF100" s="364"/>
      <c r="FG100" s="364"/>
      <c r="FH100" s="364"/>
      <c r="FI100" s="364"/>
      <c r="FJ100" s="364"/>
      <c r="FK100" s="364"/>
    </row>
    <row r="101" customFormat="false" ht="15.75" hidden="false" customHeight="false" outlineLevel="0" collapsed="false">
      <c r="A101" s="364" t="n">
        <v>204</v>
      </c>
      <c r="B101" s="364" t="n">
        <f aca="false">COUNTA(D101:FK101)</f>
        <v>38</v>
      </c>
      <c r="C101" s="364" t="s">
        <v>692</v>
      </c>
      <c r="D101" s="364" t="s">
        <v>2402</v>
      </c>
      <c r="E101" s="364" t="s">
        <v>2405</v>
      </c>
      <c r="F101" s="364" t="s">
        <v>2516</v>
      </c>
      <c r="G101" s="364" t="s">
        <v>2406</v>
      </c>
      <c r="H101" s="364" t="s">
        <v>2407</v>
      </c>
      <c r="I101" s="364" t="s">
        <v>2408</v>
      </c>
      <c r="J101" s="364" t="s">
        <v>2464</v>
      </c>
      <c r="K101" s="364" t="s">
        <v>2517</v>
      </c>
      <c r="L101" s="364" t="s">
        <v>2569</v>
      </c>
      <c r="M101" s="364" t="s">
        <v>2410</v>
      </c>
      <c r="N101" s="364" t="s">
        <v>2316</v>
      </c>
      <c r="O101" s="364" t="s">
        <v>2320</v>
      </c>
      <c r="P101" s="364" t="s">
        <v>2324</v>
      </c>
      <c r="Q101" s="364" t="s">
        <v>2328</v>
      </c>
      <c r="R101" s="364" t="s">
        <v>2414</v>
      </c>
      <c r="S101" s="364" t="s">
        <v>2329</v>
      </c>
      <c r="T101" s="364" t="s">
        <v>2415</v>
      </c>
      <c r="U101" s="364" t="s">
        <v>2417</v>
      </c>
      <c r="V101" s="364" t="s">
        <v>2337</v>
      </c>
      <c r="W101" s="364" t="s">
        <v>2340</v>
      </c>
      <c r="X101" s="364" t="s">
        <v>2421</v>
      </c>
      <c r="Y101" s="364" t="s">
        <v>2341</v>
      </c>
      <c r="Z101" s="364" t="s">
        <v>2470</v>
      </c>
      <c r="AA101" s="364" t="s">
        <v>2422</v>
      </c>
      <c r="AB101" s="364" t="s">
        <v>2344</v>
      </c>
      <c r="AC101" s="364" t="s">
        <v>2570</v>
      </c>
      <c r="AD101" s="364" t="s">
        <v>2473</v>
      </c>
      <c r="AE101" s="364" t="s">
        <v>2424</v>
      </c>
      <c r="AF101" s="364" t="s">
        <v>2349</v>
      </c>
      <c r="AG101" s="364" t="s">
        <v>2475</v>
      </c>
      <c r="AH101" s="364" t="s">
        <v>2476</v>
      </c>
      <c r="AI101" s="364" t="s">
        <v>2492</v>
      </c>
      <c r="AJ101" s="364" t="s">
        <v>2425</v>
      </c>
      <c r="AK101" s="364" t="s">
        <v>2426</v>
      </c>
      <c r="AL101" s="364" t="s">
        <v>2428</v>
      </c>
      <c r="AM101" s="364" t="s">
        <v>2429</v>
      </c>
      <c r="AN101" s="364" t="s">
        <v>2477</v>
      </c>
      <c r="AO101" s="364" t="s">
        <v>2493</v>
      </c>
      <c r="AP101" s="364"/>
      <c r="AQ101" s="364"/>
      <c r="AR101" s="364"/>
      <c r="AS101" s="364"/>
      <c r="AT101" s="364"/>
      <c r="AU101" s="364"/>
      <c r="AV101" s="364"/>
      <c r="AW101" s="364"/>
      <c r="AX101" s="364"/>
      <c r="AY101" s="364"/>
      <c r="AZ101" s="364"/>
      <c r="BA101" s="364"/>
      <c r="BB101" s="364"/>
      <c r="BC101" s="364"/>
      <c r="BD101" s="364"/>
      <c r="BE101" s="364"/>
      <c r="BF101" s="364"/>
      <c r="BG101" s="364"/>
      <c r="BH101" s="364"/>
      <c r="BI101" s="364"/>
      <c r="BJ101" s="364"/>
      <c r="BK101" s="364"/>
      <c r="BL101" s="364"/>
      <c r="BM101" s="364"/>
      <c r="BN101" s="364"/>
      <c r="BO101" s="364"/>
      <c r="BP101" s="364"/>
      <c r="BQ101" s="364"/>
      <c r="BR101" s="364"/>
      <c r="BS101" s="364"/>
      <c r="BT101" s="364"/>
      <c r="BU101" s="364"/>
      <c r="BV101" s="364"/>
      <c r="BW101" s="364"/>
      <c r="BX101" s="364"/>
      <c r="BY101" s="364"/>
      <c r="BZ101" s="364"/>
      <c r="CA101" s="364"/>
      <c r="CB101" s="364"/>
      <c r="CC101" s="364"/>
      <c r="CD101" s="364"/>
      <c r="CE101" s="364"/>
      <c r="CF101" s="364"/>
      <c r="CG101" s="364"/>
      <c r="CH101" s="364"/>
      <c r="CI101" s="364"/>
      <c r="CJ101" s="364"/>
      <c r="CK101" s="364"/>
      <c r="CL101" s="364"/>
      <c r="CM101" s="364"/>
      <c r="CN101" s="364"/>
      <c r="CO101" s="364"/>
      <c r="CP101" s="364"/>
      <c r="CQ101" s="364"/>
      <c r="CR101" s="364"/>
      <c r="CS101" s="364"/>
      <c r="CT101" s="364"/>
      <c r="CU101" s="364"/>
      <c r="CV101" s="364"/>
      <c r="CW101" s="364"/>
      <c r="CX101" s="364"/>
      <c r="CY101" s="364"/>
      <c r="CZ101" s="364"/>
      <c r="DA101" s="364"/>
      <c r="DB101" s="364"/>
      <c r="DC101" s="364"/>
      <c r="DD101" s="364"/>
      <c r="DE101" s="364"/>
      <c r="DF101" s="364"/>
      <c r="DG101" s="364"/>
      <c r="DH101" s="364"/>
      <c r="DI101" s="364"/>
      <c r="DJ101" s="364"/>
      <c r="DK101" s="364"/>
      <c r="DL101" s="364"/>
      <c r="DM101" s="364"/>
      <c r="DN101" s="364"/>
      <c r="DO101" s="364"/>
      <c r="DP101" s="364"/>
      <c r="DQ101" s="364"/>
      <c r="DR101" s="364"/>
      <c r="DS101" s="364"/>
      <c r="DT101" s="364"/>
      <c r="DU101" s="364"/>
      <c r="DV101" s="364"/>
      <c r="DW101" s="364"/>
      <c r="DX101" s="364"/>
      <c r="DY101" s="364"/>
      <c r="DZ101" s="364"/>
      <c r="EA101" s="364"/>
      <c r="EB101" s="364"/>
      <c r="EC101" s="364"/>
      <c r="ED101" s="364"/>
      <c r="EE101" s="364"/>
      <c r="EF101" s="364"/>
      <c r="EG101" s="364"/>
      <c r="EH101" s="364"/>
      <c r="EI101" s="364"/>
      <c r="EJ101" s="364"/>
      <c r="EK101" s="364"/>
      <c r="EL101" s="364"/>
      <c r="EM101" s="364"/>
      <c r="EN101" s="364"/>
      <c r="EO101" s="364"/>
      <c r="EP101" s="364"/>
      <c r="EQ101" s="364"/>
      <c r="ER101" s="364"/>
      <c r="ES101" s="364"/>
      <c r="ET101" s="364"/>
      <c r="EU101" s="364"/>
      <c r="EV101" s="364"/>
      <c r="EW101" s="364"/>
      <c r="EX101" s="364"/>
      <c r="EY101" s="364"/>
      <c r="EZ101" s="364"/>
      <c r="FA101" s="364"/>
      <c r="FB101" s="364"/>
      <c r="FC101" s="364"/>
      <c r="FD101" s="364"/>
      <c r="FE101" s="364"/>
      <c r="FF101" s="364"/>
      <c r="FG101" s="364"/>
      <c r="FH101" s="364"/>
      <c r="FI101" s="364"/>
      <c r="FJ101" s="364"/>
      <c r="FK101" s="364"/>
    </row>
    <row r="102" customFormat="false" ht="15.75" hidden="false" customHeight="false" outlineLevel="0" collapsed="false">
      <c r="A102" s="364" t="n">
        <v>209</v>
      </c>
      <c r="B102" s="364" t="n">
        <f aca="false">COUNTA(D102:FK102)</f>
        <v>62</v>
      </c>
      <c r="C102" s="364" t="s">
        <v>700</v>
      </c>
      <c r="D102" s="364" t="s">
        <v>2352</v>
      </c>
      <c r="E102" s="364" t="s">
        <v>2353</v>
      </c>
      <c r="F102" s="364" t="s">
        <v>2561</v>
      </c>
      <c r="G102" s="364" t="s">
        <v>2312</v>
      </c>
      <c r="H102" s="364" t="s">
        <v>2356</v>
      </c>
      <c r="I102" s="364" t="s">
        <v>138</v>
      </c>
      <c r="J102" s="364" t="s">
        <v>2465</v>
      </c>
      <c r="K102" s="364" t="s">
        <v>2517</v>
      </c>
      <c r="L102" s="364" t="s">
        <v>2316</v>
      </c>
      <c r="M102" s="364" t="s">
        <v>2520</v>
      </c>
      <c r="N102" s="364" t="s">
        <v>2435</v>
      </c>
      <c r="O102" s="364" t="s">
        <v>2318</v>
      </c>
      <c r="P102" s="364" t="s">
        <v>2448</v>
      </c>
      <c r="Q102" s="364" t="s">
        <v>2632</v>
      </c>
      <c r="R102" s="364" t="s">
        <v>2320</v>
      </c>
      <c r="S102" s="364" t="s">
        <v>2640</v>
      </c>
      <c r="T102" s="364" t="s">
        <v>2366</v>
      </c>
      <c r="U102" s="364" t="s">
        <v>2373</v>
      </c>
      <c r="V102" s="364" t="s">
        <v>2375</v>
      </c>
      <c r="W102" s="364" t="s">
        <v>2377</v>
      </c>
      <c r="X102" s="364" t="s">
        <v>2550</v>
      </c>
      <c r="Y102" s="364" t="s">
        <v>2324</v>
      </c>
      <c r="Z102" s="364" t="s">
        <v>2325</v>
      </c>
      <c r="AA102" s="364" t="s">
        <v>2327</v>
      </c>
      <c r="AB102" s="364" t="s">
        <v>2378</v>
      </c>
      <c r="AC102" s="364" t="s">
        <v>2328</v>
      </c>
      <c r="AD102" s="364" t="s">
        <v>2329</v>
      </c>
      <c r="AE102" s="364" t="s">
        <v>2521</v>
      </c>
      <c r="AF102" s="364" t="s">
        <v>2379</v>
      </c>
      <c r="AG102" s="364" t="s">
        <v>2468</v>
      </c>
      <c r="AH102" s="364" t="s">
        <v>2623</v>
      </c>
      <c r="AI102" s="364" t="s">
        <v>2382</v>
      </c>
      <c r="AJ102" s="364" t="s">
        <v>2383</v>
      </c>
      <c r="AK102" s="261" t="s">
        <v>183</v>
      </c>
      <c r="AL102" s="364" t="s">
        <v>2385</v>
      </c>
      <c r="AM102" s="364" t="s">
        <v>2480</v>
      </c>
      <c r="AN102" s="364" t="s">
        <v>2620</v>
      </c>
      <c r="AO102" s="364" t="s">
        <v>157</v>
      </c>
      <c r="AP102" s="364" t="s">
        <v>2495</v>
      </c>
      <c r="AQ102" s="364" t="s">
        <v>2337</v>
      </c>
      <c r="AR102" s="364" t="s">
        <v>2469</v>
      </c>
      <c r="AS102" s="364" t="s">
        <v>2339</v>
      </c>
      <c r="AT102" s="364" t="s">
        <v>2420</v>
      </c>
      <c r="AU102" s="364" t="s">
        <v>2340</v>
      </c>
      <c r="AV102" s="364" t="s">
        <v>2341</v>
      </c>
      <c r="AW102" s="364" t="s">
        <v>2391</v>
      </c>
      <c r="AX102" s="364" t="s">
        <v>2442</v>
      </c>
      <c r="AY102" s="364" t="s">
        <v>2470</v>
      </c>
      <c r="AZ102" s="364" t="s">
        <v>2422</v>
      </c>
      <c r="BA102" s="364" t="s">
        <v>2443</v>
      </c>
      <c r="BB102" s="364" t="s">
        <v>2462</v>
      </c>
      <c r="BC102" s="364" t="s">
        <v>2514</v>
      </c>
      <c r="BD102" s="364" t="s">
        <v>2344</v>
      </c>
      <c r="BE102" s="364" t="s">
        <v>2345</v>
      </c>
      <c r="BF102" s="364" t="s">
        <v>2396</v>
      </c>
      <c r="BG102" s="364" t="s">
        <v>2641</v>
      </c>
      <c r="BH102" s="364" t="s">
        <v>2398</v>
      </c>
      <c r="BI102" s="364" t="s">
        <v>2400</v>
      </c>
      <c r="BJ102" s="364" t="s">
        <v>2428</v>
      </c>
      <c r="BK102" s="364" t="s">
        <v>2572</v>
      </c>
      <c r="BL102" s="364" t="s">
        <v>2493</v>
      </c>
      <c r="BM102" s="364" t="s">
        <v>2430</v>
      </c>
      <c r="BN102" s="364"/>
      <c r="BO102" s="364"/>
      <c r="BP102" s="364"/>
      <c r="BQ102" s="364"/>
      <c r="BR102" s="364"/>
      <c r="BS102" s="364"/>
      <c r="BT102" s="364"/>
      <c r="BU102" s="364"/>
      <c r="BV102" s="364"/>
      <c r="BW102" s="364"/>
      <c r="BX102" s="364"/>
      <c r="BY102" s="364"/>
      <c r="BZ102" s="364"/>
      <c r="CA102" s="364"/>
      <c r="CB102" s="364"/>
      <c r="CC102" s="364"/>
      <c r="CD102" s="364"/>
      <c r="CE102" s="364"/>
      <c r="CF102" s="364"/>
      <c r="CG102" s="364"/>
      <c r="CH102" s="364"/>
      <c r="CI102" s="364"/>
      <c r="CJ102" s="364"/>
      <c r="CK102" s="364"/>
      <c r="CL102" s="364"/>
      <c r="CM102" s="364"/>
      <c r="CN102" s="364"/>
      <c r="CO102" s="364"/>
      <c r="CP102" s="364"/>
      <c r="CQ102" s="364"/>
      <c r="CR102" s="364"/>
      <c r="CS102" s="364"/>
      <c r="CT102" s="364"/>
      <c r="CU102" s="364"/>
      <c r="CV102" s="364"/>
      <c r="CW102" s="364"/>
      <c r="CX102" s="364"/>
      <c r="CY102" s="364"/>
      <c r="CZ102" s="364"/>
      <c r="DA102" s="364"/>
      <c r="DB102" s="364"/>
      <c r="DC102" s="364"/>
      <c r="DD102" s="364"/>
      <c r="DE102" s="364"/>
      <c r="DF102" s="364"/>
      <c r="DG102" s="364"/>
      <c r="DH102" s="364"/>
      <c r="DI102" s="364"/>
      <c r="DJ102" s="364"/>
      <c r="DK102" s="364"/>
      <c r="DL102" s="364"/>
      <c r="DM102" s="364"/>
      <c r="DN102" s="364"/>
      <c r="DO102" s="364"/>
      <c r="DP102" s="364"/>
      <c r="DQ102" s="364"/>
      <c r="DR102" s="364"/>
      <c r="DS102" s="364"/>
      <c r="DT102" s="364"/>
      <c r="DU102" s="364"/>
      <c r="DV102" s="364"/>
      <c r="DW102" s="364"/>
      <c r="DX102" s="364"/>
      <c r="DY102" s="364"/>
      <c r="DZ102" s="364"/>
      <c r="EA102" s="364"/>
      <c r="EB102" s="364"/>
      <c r="EC102" s="364"/>
      <c r="ED102" s="364"/>
      <c r="EE102" s="364"/>
      <c r="EF102" s="364"/>
      <c r="EG102" s="364"/>
      <c r="EH102" s="364"/>
      <c r="EI102" s="364"/>
      <c r="EJ102" s="364"/>
      <c r="EK102" s="364"/>
      <c r="EL102" s="364"/>
      <c r="EM102" s="364"/>
      <c r="EN102" s="364"/>
      <c r="EO102" s="364"/>
      <c r="EP102" s="364"/>
      <c r="EQ102" s="364"/>
      <c r="ER102" s="364"/>
      <c r="ES102" s="364"/>
      <c r="ET102" s="364"/>
      <c r="EU102" s="364"/>
      <c r="EV102" s="364"/>
      <c r="EW102" s="364"/>
      <c r="EX102" s="364"/>
      <c r="EY102" s="364"/>
      <c r="EZ102" s="364"/>
      <c r="FA102" s="364"/>
      <c r="FB102" s="364"/>
      <c r="FC102" s="364"/>
      <c r="FD102" s="364"/>
      <c r="FE102" s="364"/>
      <c r="FF102" s="364"/>
      <c r="FG102" s="364"/>
      <c r="FH102" s="364"/>
      <c r="FI102" s="364"/>
      <c r="FJ102" s="364"/>
      <c r="FK102" s="364"/>
    </row>
    <row r="103" customFormat="false" ht="15.75" hidden="false" customHeight="false" outlineLevel="0" collapsed="false">
      <c r="A103" s="364" t="n">
        <v>211</v>
      </c>
      <c r="B103" s="364" t="n">
        <f aca="false">COUNTA(D103:FK103)</f>
        <v>39</v>
      </c>
      <c r="C103" s="364" t="s">
        <v>704</v>
      </c>
      <c r="D103" s="364" t="s">
        <v>2352</v>
      </c>
      <c r="E103" s="364" t="s">
        <v>2353</v>
      </c>
      <c r="F103" s="364" t="s">
        <v>2354</v>
      </c>
      <c r="G103" s="364" t="s">
        <v>2517</v>
      </c>
      <c r="H103" s="364" t="s">
        <v>2316</v>
      </c>
      <c r="I103" s="364" t="s">
        <v>2435</v>
      </c>
      <c r="J103" s="364" t="s">
        <v>2320</v>
      </c>
      <c r="K103" s="364" t="s">
        <v>2375</v>
      </c>
      <c r="L103" s="364" t="s">
        <v>2523</v>
      </c>
      <c r="M103" s="364" t="s">
        <v>2550</v>
      </c>
      <c r="N103" s="364" t="s">
        <v>2323</v>
      </c>
      <c r="O103" s="364" t="s">
        <v>2324</v>
      </c>
      <c r="P103" s="364" t="s">
        <v>2325</v>
      </c>
      <c r="Q103" s="364" t="s">
        <v>2378</v>
      </c>
      <c r="R103" s="364" t="s">
        <v>2328</v>
      </c>
      <c r="S103" s="364" t="s">
        <v>2329</v>
      </c>
      <c r="T103" s="364" t="s">
        <v>2589</v>
      </c>
      <c r="U103" s="364" t="s">
        <v>2385</v>
      </c>
      <c r="V103" s="364" t="s">
        <v>2480</v>
      </c>
      <c r="W103" s="364" t="s">
        <v>2460</v>
      </c>
      <c r="X103" s="364" t="s">
        <v>157</v>
      </c>
      <c r="Y103" s="364" t="s">
        <v>2495</v>
      </c>
      <c r="Z103" s="364" t="s">
        <v>2337</v>
      </c>
      <c r="AA103" s="364" t="s">
        <v>2340</v>
      </c>
      <c r="AB103" s="364" t="s">
        <v>2341</v>
      </c>
      <c r="AC103" s="364" t="s">
        <v>2442</v>
      </c>
      <c r="AD103" s="364" t="s">
        <v>2422</v>
      </c>
      <c r="AE103" s="364" t="s">
        <v>2443</v>
      </c>
      <c r="AF103" s="364" t="s">
        <v>2462</v>
      </c>
      <c r="AG103" s="364" t="s">
        <v>2344</v>
      </c>
      <c r="AH103" s="364" t="s">
        <v>2345</v>
      </c>
      <c r="AI103" s="364" t="s">
        <v>2396</v>
      </c>
      <c r="AJ103" s="364" t="s">
        <v>2641</v>
      </c>
      <c r="AK103" s="364" t="s">
        <v>2473</v>
      </c>
      <c r="AL103" s="364" t="s">
        <v>2398</v>
      </c>
      <c r="AM103" s="364" t="s">
        <v>2445</v>
      </c>
      <c r="AN103" s="364" t="s">
        <v>2400</v>
      </c>
      <c r="AO103" s="364" t="s">
        <v>2446</v>
      </c>
      <c r="AP103" s="364" t="s">
        <v>2430</v>
      </c>
      <c r="AQ103" s="364"/>
      <c r="AR103" s="364"/>
      <c r="AS103" s="364"/>
      <c r="AT103" s="364"/>
      <c r="AU103" s="364"/>
      <c r="AV103" s="364"/>
      <c r="AW103" s="364"/>
      <c r="AX103" s="364"/>
      <c r="AY103" s="364"/>
      <c r="AZ103" s="364"/>
      <c r="BA103" s="364"/>
      <c r="BB103" s="364"/>
      <c r="BC103" s="364"/>
      <c r="BD103" s="364"/>
      <c r="BE103" s="364"/>
      <c r="BF103" s="364"/>
      <c r="BG103" s="364"/>
      <c r="BH103" s="364"/>
      <c r="BI103" s="364"/>
      <c r="BJ103" s="364"/>
      <c r="BK103" s="364"/>
      <c r="BL103" s="364"/>
      <c r="BM103" s="364"/>
      <c r="BN103" s="364"/>
      <c r="BO103" s="364"/>
      <c r="BP103" s="364"/>
      <c r="BQ103" s="364"/>
      <c r="BR103" s="364"/>
      <c r="BS103" s="364"/>
      <c r="BT103" s="364"/>
      <c r="BU103" s="364"/>
      <c r="BV103" s="364"/>
      <c r="BW103" s="364"/>
      <c r="BX103" s="364"/>
      <c r="BY103" s="364"/>
      <c r="BZ103" s="364"/>
      <c r="CA103" s="364"/>
      <c r="CB103" s="364"/>
      <c r="CC103" s="364"/>
      <c r="CD103" s="364"/>
      <c r="CE103" s="364"/>
      <c r="CF103" s="364"/>
      <c r="CG103" s="364"/>
      <c r="CH103" s="364"/>
      <c r="CI103" s="364"/>
      <c r="CJ103" s="364"/>
      <c r="CK103" s="364"/>
      <c r="CL103" s="364"/>
      <c r="CM103" s="364"/>
      <c r="CN103" s="364"/>
      <c r="CO103" s="364"/>
      <c r="CP103" s="364"/>
      <c r="CQ103" s="364"/>
      <c r="CR103" s="364"/>
      <c r="CS103" s="364"/>
      <c r="CT103" s="364"/>
      <c r="CU103" s="364"/>
      <c r="CV103" s="364"/>
      <c r="CW103" s="364"/>
      <c r="CX103" s="364"/>
      <c r="CY103" s="364"/>
      <c r="CZ103" s="364"/>
      <c r="DA103" s="364"/>
      <c r="DB103" s="364"/>
      <c r="DC103" s="364"/>
      <c r="DD103" s="364"/>
      <c r="DE103" s="364"/>
      <c r="DF103" s="364"/>
      <c r="DG103" s="364"/>
      <c r="DH103" s="364"/>
      <c r="DI103" s="364"/>
      <c r="DJ103" s="364"/>
      <c r="DK103" s="364"/>
      <c r="DL103" s="364"/>
      <c r="DM103" s="364"/>
      <c r="DN103" s="364"/>
      <c r="DO103" s="364"/>
      <c r="DP103" s="364"/>
      <c r="DQ103" s="364"/>
      <c r="DR103" s="364"/>
      <c r="DS103" s="364"/>
      <c r="DT103" s="364"/>
      <c r="DU103" s="364"/>
      <c r="DV103" s="364"/>
      <c r="DW103" s="364"/>
      <c r="DX103" s="364"/>
      <c r="DY103" s="364"/>
      <c r="DZ103" s="364"/>
      <c r="EA103" s="364"/>
      <c r="EB103" s="364"/>
      <c r="EC103" s="364"/>
      <c r="ED103" s="364"/>
      <c r="EE103" s="364"/>
      <c r="EF103" s="364"/>
      <c r="EG103" s="364"/>
      <c r="EH103" s="364"/>
      <c r="EI103" s="364"/>
      <c r="EJ103" s="364"/>
      <c r="EK103" s="364"/>
      <c r="EL103" s="364"/>
      <c r="EM103" s="364"/>
      <c r="EN103" s="364"/>
      <c r="EO103" s="364"/>
      <c r="EP103" s="364"/>
      <c r="EQ103" s="364"/>
      <c r="ER103" s="364"/>
      <c r="ES103" s="364"/>
      <c r="ET103" s="364"/>
      <c r="EU103" s="364"/>
      <c r="EV103" s="364"/>
      <c r="EW103" s="364"/>
      <c r="EX103" s="364"/>
      <c r="EY103" s="364"/>
      <c r="EZ103" s="364"/>
      <c r="FA103" s="364"/>
      <c r="FB103" s="364"/>
      <c r="FC103" s="364"/>
      <c r="FD103" s="364"/>
      <c r="FE103" s="364"/>
      <c r="FF103" s="364"/>
      <c r="FG103" s="364"/>
      <c r="FH103" s="364"/>
      <c r="FI103" s="364"/>
      <c r="FJ103" s="364"/>
      <c r="FK103" s="364"/>
    </row>
    <row r="104" customFormat="false" ht="15.75" hidden="false" customHeight="false" outlineLevel="0" collapsed="false">
      <c r="A104" s="364" t="n">
        <v>214</v>
      </c>
      <c r="B104" s="364" t="n">
        <f aca="false">COUNTA(D104:FK104)</f>
        <v>46</v>
      </c>
      <c r="C104" s="364" t="s">
        <v>710</v>
      </c>
      <c r="D104" s="364" t="s">
        <v>2312</v>
      </c>
      <c r="E104" s="364" t="s">
        <v>2356</v>
      </c>
      <c r="F104" s="364" t="s">
        <v>2357</v>
      </c>
      <c r="G104" s="364" t="s">
        <v>2313</v>
      </c>
      <c r="H104" s="364" t="s">
        <v>2464</v>
      </c>
      <c r="I104" s="364" t="s">
        <v>138</v>
      </c>
      <c r="J104" s="364" t="s">
        <v>2569</v>
      </c>
      <c r="K104" s="364" t="s">
        <v>2316</v>
      </c>
      <c r="L104" s="364" t="s">
        <v>2361</v>
      </c>
      <c r="M104" s="364" t="s">
        <v>2364</v>
      </c>
      <c r="N104" s="364" t="s">
        <v>2318</v>
      </c>
      <c r="O104" s="364" t="s">
        <v>2436</v>
      </c>
      <c r="P104" s="364" t="s">
        <v>2320</v>
      </c>
      <c r="Q104" s="364" t="s">
        <v>2369</v>
      </c>
      <c r="R104" s="364" t="s">
        <v>2376</v>
      </c>
      <c r="S104" s="364" t="s">
        <v>2377</v>
      </c>
      <c r="T104" s="364" t="s">
        <v>2324</v>
      </c>
      <c r="U104" s="364" t="s">
        <v>2327</v>
      </c>
      <c r="V104" s="364" t="s">
        <v>2328</v>
      </c>
      <c r="W104" s="364" t="s">
        <v>2329</v>
      </c>
      <c r="X104" s="364" t="s">
        <v>2381</v>
      </c>
      <c r="Y104" s="364" t="s">
        <v>2382</v>
      </c>
      <c r="Z104" s="364" t="s">
        <v>2383</v>
      </c>
      <c r="AA104" s="364" t="s">
        <v>2332</v>
      </c>
      <c r="AB104" s="364" t="s">
        <v>2536</v>
      </c>
      <c r="AC104" s="364" t="s">
        <v>2387</v>
      </c>
      <c r="AD104" s="364" t="s">
        <v>2337</v>
      </c>
      <c r="AE104" s="364" t="s">
        <v>2338</v>
      </c>
      <c r="AF104" s="364" t="s">
        <v>2339</v>
      </c>
      <c r="AG104" s="364" t="s">
        <v>2340</v>
      </c>
      <c r="AH104" s="364" t="s">
        <v>2341</v>
      </c>
      <c r="AI104" s="364" t="s">
        <v>2391</v>
      </c>
      <c r="AJ104" s="364" t="s">
        <v>2470</v>
      </c>
      <c r="AK104" s="364" t="s">
        <v>2422</v>
      </c>
      <c r="AL104" s="364" t="s">
        <v>2344</v>
      </c>
      <c r="AM104" s="364" t="s">
        <v>2347</v>
      </c>
      <c r="AN104" s="364" t="s">
        <v>2398</v>
      </c>
      <c r="AO104" s="364" t="s">
        <v>2348</v>
      </c>
      <c r="AP104" s="364" t="s">
        <v>2349</v>
      </c>
      <c r="AQ104" s="364" t="s">
        <v>2475</v>
      </c>
      <c r="AR104" s="364" t="s">
        <v>2476</v>
      </c>
      <c r="AS104" s="364" t="s">
        <v>2399</v>
      </c>
      <c r="AT104" s="364" t="s">
        <v>2491</v>
      </c>
      <c r="AU104" s="364" t="s">
        <v>2492</v>
      </c>
      <c r="AV104" s="364" t="s">
        <v>2477</v>
      </c>
      <c r="AW104" s="364" t="s">
        <v>2493</v>
      </c>
      <c r="AX104" s="364"/>
      <c r="AY104" s="364"/>
      <c r="AZ104" s="364"/>
      <c r="BA104" s="364"/>
      <c r="BB104" s="364"/>
      <c r="BC104" s="364"/>
      <c r="BD104" s="364"/>
      <c r="BE104" s="364"/>
      <c r="BF104" s="364"/>
      <c r="BG104" s="364"/>
      <c r="BH104" s="364"/>
      <c r="BI104" s="364"/>
      <c r="BJ104" s="364"/>
      <c r="BK104" s="364"/>
      <c r="BL104" s="364"/>
      <c r="BM104" s="364"/>
      <c r="BN104" s="364"/>
      <c r="BO104" s="364"/>
      <c r="BP104" s="364"/>
      <c r="BQ104" s="364"/>
      <c r="BR104" s="364"/>
      <c r="BS104" s="364"/>
      <c r="BT104" s="364"/>
      <c r="BU104" s="364"/>
      <c r="BV104" s="364"/>
      <c r="BW104" s="364"/>
      <c r="BX104" s="364"/>
      <c r="BY104" s="364"/>
      <c r="BZ104" s="364"/>
      <c r="CA104" s="364"/>
      <c r="CB104" s="364"/>
      <c r="CC104" s="364"/>
      <c r="CD104" s="364"/>
      <c r="CE104" s="364"/>
      <c r="CF104" s="364"/>
      <c r="CG104" s="364"/>
      <c r="CH104" s="364"/>
      <c r="CI104" s="364"/>
      <c r="CJ104" s="364"/>
      <c r="CK104" s="364"/>
      <c r="CL104" s="364"/>
      <c r="CM104" s="364"/>
      <c r="CN104" s="364"/>
      <c r="CO104" s="364"/>
      <c r="CP104" s="364"/>
      <c r="CQ104" s="364"/>
      <c r="CR104" s="364"/>
      <c r="CS104" s="364"/>
      <c r="CT104" s="364"/>
      <c r="CU104" s="364"/>
      <c r="CV104" s="364"/>
      <c r="CW104" s="364"/>
      <c r="CX104" s="364"/>
      <c r="CY104" s="364"/>
      <c r="CZ104" s="364"/>
      <c r="DA104" s="364"/>
      <c r="DB104" s="364"/>
      <c r="DC104" s="364"/>
      <c r="DD104" s="364"/>
      <c r="DE104" s="364"/>
      <c r="DF104" s="364"/>
      <c r="DG104" s="364"/>
      <c r="DH104" s="364"/>
      <c r="DI104" s="364"/>
      <c r="DJ104" s="364"/>
      <c r="DK104" s="364"/>
      <c r="DL104" s="364"/>
      <c r="DM104" s="364"/>
      <c r="DN104" s="364"/>
      <c r="DO104" s="364"/>
      <c r="DP104" s="364"/>
      <c r="DQ104" s="364"/>
      <c r="DR104" s="364"/>
      <c r="DS104" s="364"/>
      <c r="DT104" s="364"/>
      <c r="DU104" s="364"/>
      <c r="DV104" s="364"/>
      <c r="DW104" s="364"/>
      <c r="DX104" s="364"/>
      <c r="DY104" s="364"/>
      <c r="DZ104" s="364"/>
      <c r="EA104" s="364"/>
      <c r="EB104" s="364"/>
      <c r="EC104" s="364"/>
      <c r="ED104" s="364"/>
      <c r="EE104" s="364"/>
      <c r="EF104" s="364"/>
      <c r="EG104" s="364"/>
      <c r="EH104" s="364"/>
      <c r="EI104" s="364"/>
      <c r="EJ104" s="364"/>
      <c r="EK104" s="364"/>
      <c r="EL104" s="364"/>
      <c r="EM104" s="364"/>
      <c r="EN104" s="364"/>
      <c r="EO104" s="364"/>
      <c r="EP104" s="364"/>
      <c r="EQ104" s="364"/>
      <c r="ER104" s="364"/>
      <c r="ES104" s="364"/>
      <c r="ET104" s="364"/>
      <c r="EU104" s="364"/>
      <c r="EV104" s="364"/>
      <c r="EW104" s="364"/>
      <c r="EX104" s="364"/>
      <c r="EY104" s="364"/>
      <c r="EZ104" s="364"/>
      <c r="FA104" s="364"/>
      <c r="FB104" s="364"/>
      <c r="FC104" s="364"/>
      <c r="FD104" s="364"/>
      <c r="FE104" s="364"/>
      <c r="FF104" s="364"/>
      <c r="FG104" s="364"/>
      <c r="FH104" s="364"/>
      <c r="FI104" s="364"/>
      <c r="FJ104" s="364"/>
      <c r="FK104" s="364"/>
    </row>
    <row r="105" customFormat="false" ht="15.75" hidden="false" customHeight="false" outlineLevel="0" collapsed="false">
      <c r="A105" s="364" t="n">
        <v>216</v>
      </c>
      <c r="B105" s="364" t="n">
        <f aca="false">COUNTA(D105:FK105)</f>
        <v>29</v>
      </c>
      <c r="C105" s="364" t="s">
        <v>717</v>
      </c>
      <c r="D105" s="364" t="s">
        <v>2527</v>
      </c>
      <c r="E105" s="364" t="s">
        <v>2314</v>
      </c>
      <c r="F105" s="364" t="s">
        <v>2315</v>
      </c>
      <c r="G105" s="364" t="s">
        <v>2517</v>
      </c>
      <c r="H105" s="364" t="s">
        <v>2316</v>
      </c>
      <c r="I105" s="364" t="s">
        <v>2520</v>
      </c>
      <c r="J105" s="364" t="s">
        <v>2319</v>
      </c>
      <c r="K105" s="364" t="s">
        <v>2320</v>
      </c>
      <c r="L105" s="364" t="s">
        <v>2323</v>
      </c>
      <c r="M105" s="364" t="s">
        <v>2324</v>
      </c>
      <c r="N105" s="364" t="s">
        <v>2325</v>
      </c>
      <c r="O105" s="364" t="s">
        <v>2328</v>
      </c>
      <c r="P105" s="364" t="s">
        <v>2329</v>
      </c>
      <c r="Q105" s="364" t="s">
        <v>2438</v>
      </c>
      <c r="R105" s="364" t="s">
        <v>2556</v>
      </c>
      <c r="S105" s="364" t="s">
        <v>2557</v>
      </c>
      <c r="T105" s="364" t="s">
        <v>2623</v>
      </c>
      <c r="U105" s="364" t="s">
        <v>2331</v>
      </c>
      <c r="V105" s="364" t="s">
        <v>2333</v>
      </c>
      <c r="W105" s="364" t="s">
        <v>2334</v>
      </c>
      <c r="X105" s="364" t="s">
        <v>2337</v>
      </c>
      <c r="Y105" s="364" t="s">
        <v>2340</v>
      </c>
      <c r="Z105" s="364" t="s">
        <v>2341</v>
      </c>
      <c r="AA105" s="364" t="s">
        <v>2342</v>
      </c>
      <c r="AB105" s="364" t="s">
        <v>2343</v>
      </c>
      <c r="AC105" s="364" t="s">
        <v>2344</v>
      </c>
      <c r="AD105" s="364" t="s">
        <v>2345</v>
      </c>
      <c r="AE105" s="364" t="s">
        <v>2463</v>
      </c>
      <c r="AF105" s="364" t="s">
        <v>2350</v>
      </c>
      <c r="AG105" s="364"/>
      <c r="AH105" s="364"/>
      <c r="AI105" s="364"/>
      <c r="AJ105" s="364"/>
      <c r="AK105" s="364"/>
      <c r="AL105" s="364"/>
      <c r="AM105" s="364"/>
      <c r="AN105" s="364"/>
      <c r="AO105" s="364"/>
      <c r="AP105" s="364"/>
      <c r="AQ105" s="364"/>
      <c r="AR105" s="364"/>
      <c r="AS105" s="364"/>
      <c r="AT105" s="364"/>
      <c r="AU105" s="364"/>
      <c r="AV105" s="364"/>
      <c r="AW105" s="364"/>
      <c r="AX105" s="364"/>
      <c r="AY105" s="364"/>
      <c r="AZ105" s="364"/>
      <c r="BA105" s="364"/>
      <c r="BB105" s="364"/>
      <c r="BC105" s="364"/>
      <c r="BD105" s="364"/>
      <c r="BE105" s="364"/>
      <c r="BF105" s="364"/>
      <c r="BG105" s="364"/>
      <c r="BH105" s="364"/>
      <c r="BI105" s="364"/>
      <c r="BJ105" s="364"/>
      <c r="BK105" s="364"/>
      <c r="BL105" s="364"/>
      <c r="BM105" s="364"/>
      <c r="BN105" s="364"/>
      <c r="BO105" s="364"/>
      <c r="BP105" s="364"/>
      <c r="BQ105" s="364"/>
      <c r="BR105" s="364"/>
      <c r="BS105" s="364"/>
      <c r="BT105" s="364"/>
      <c r="BU105" s="364"/>
      <c r="BV105" s="364"/>
      <c r="BW105" s="364"/>
      <c r="BX105" s="364"/>
      <c r="BY105" s="364"/>
      <c r="BZ105" s="364"/>
      <c r="CA105" s="364"/>
      <c r="CB105" s="364"/>
      <c r="CC105" s="364"/>
      <c r="CD105" s="364"/>
      <c r="CE105" s="364"/>
      <c r="CF105" s="364"/>
      <c r="CG105" s="364"/>
      <c r="CH105" s="364"/>
      <c r="CI105" s="364"/>
      <c r="CJ105" s="364"/>
      <c r="CK105" s="364"/>
      <c r="CL105" s="364"/>
      <c r="CM105" s="364"/>
      <c r="CN105" s="364"/>
      <c r="CO105" s="364"/>
      <c r="CP105" s="364"/>
      <c r="CQ105" s="364"/>
      <c r="CR105" s="364"/>
      <c r="CS105" s="364"/>
      <c r="CT105" s="364"/>
      <c r="CU105" s="364"/>
      <c r="CV105" s="364"/>
      <c r="CW105" s="364"/>
      <c r="CX105" s="364"/>
      <c r="CY105" s="364"/>
      <c r="CZ105" s="364"/>
      <c r="DA105" s="364"/>
      <c r="DB105" s="364"/>
      <c r="DC105" s="364"/>
      <c r="DD105" s="364"/>
      <c r="DE105" s="364"/>
      <c r="DF105" s="364"/>
      <c r="DG105" s="364"/>
      <c r="DH105" s="364"/>
      <c r="DI105" s="364"/>
      <c r="DJ105" s="364"/>
      <c r="DK105" s="364"/>
      <c r="DL105" s="364"/>
      <c r="DM105" s="364"/>
      <c r="DN105" s="364"/>
      <c r="DO105" s="364"/>
      <c r="DP105" s="364"/>
      <c r="DQ105" s="364"/>
      <c r="DR105" s="364"/>
      <c r="DS105" s="364"/>
      <c r="DT105" s="364"/>
      <c r="DU105" s="364"/>
      <c r="DV105" s="364"/>
      <c r="DW105" s="364"/>
      <c r="DX105" s="364"/>
      <c r="DY105" s="364"/>
      <c r="DZ105" s="364"/>
      <c r="EA105" s="364"/>
      <c r="EB105" s="364"/>
      <c r="EC105" s="364"/>
      <c r="ED105" s="364"/>
      <c r="EE105" s="364"/>
      <c r="EF105" s="364"/>
      <c r="EG105" s="364"/>
      <c r="EH105" s="364"/>
      <c r="EI105" s="364"/>
      <c r="EJ105" s="364"/>
      <c r="EK105" s="364"/>
      <c r="EL105" s="364"/>
      <c r="EM105" s="364"/>
      <c r="EN105" s="364"/>
      <c r="EO105" s="364"/>
      <c r="EP105" s="364"/>
      <c r="EQ105" s="364"/>
      <c r="ER105" s="364"/>
      <c r="ES105" s="364"/>
      <c r="ET105" s="364"/>
      <c r="EU105" s="364"/>
      <c r="EV105" s="364"/>
      <c r="EW105" s="364"/>
      <c r="EX105" s="364"/>
      <c r="EY105" s="364"/>
      <c r="EZ105" s="364"/>
      <c r="FA105" s="364"/>
      <c r="FB105" s="364"/>
      <c r="FC105" s="364"/>
      <c r="FD105" s="364"/>
      <c r="FE105" s="364"/>
      <c r="FF105" s="364"/>
      <c r="FG105" s="364"/>
      <c r="FH105" s="364"/>
      <c r="FI105" s="364"/>
      <c r="FJ105" s="364"/>
      <c r="FK105" s="364"/>
    </row>
    <row r="106" customFormat="false" ht="15.75" hidden="false" customHeight="false" outlineLevel="0" collapsed="false">
      <c r="A106" s="364" t="n">
        <v>218</v>
      </c>
      <c r="B106" s="364" t="n">
        <f aca="false">COUNTA(D106:FK106)</f>
        <v>51</v>
      </c>
      <c r="C106" s="364" t="s">
        <v>722</v>
      </c>
      <c r="D106" s="364" t="s">
        <v>2402</v>
      </c>
      <c r="E106" s="364" t="s">
        <v>2405</v>
      </c>
      <c r="F106" s="364" t="s">
        <v>2312</v>
      </c>
      <c r="G106" s="364" t="s">
        <v>2516</v>
      </c>
      <c r="H106" s="364" t="s">
        <v>2356</v>
      </c>
      <c r="I106" s="364" t="s">
        <v>2407</v>
      </c>
      <c r="J106" s="364" t="s">
        <v>2408</v>
      </c>
      <c r="K106" s="364" t="s">
        <v>2313</v>
      </c>
      <c r="L106" s="364" t="s">
        <v>2465</v>
      </c>
      <c r="M106" s="364" t="s">
        <v>2358</v>
      </c>
      <c r="N106" s="364" t="s">
        <v>2410</v>
      </c>
      <c r="O106" s="364" t="s">
        <v>2316</v>
      </c>
      <c r="P106" s="364" t="s">
        <v>2364</v>
      </c>
      <c r="Q106" s="364" t="s">
        <v>2320</v>
      </c>
      <c r="R106" s="364" t="s">
        <v>2376</v>
      </c>
      <c r="S106" s="364" t="s">
        <v>2377</v>
      </c>
      <c r="T106" s="364" t="s">
        <v>2324</v>
      </c>
      <c r="U106" s="364" t="s">
        <v>2325</v>
      </c>
      <c r="V106" s="364" t="s">
        <v>2327</v>
      </c>
      <c r="W106" s="364" t="s">
        <v>2328</v>
      </c>
      <c r="X106" s="364" t="s">
        <v>2414</v>
      </c>
      <c r="Y106" s="364" t="s">
        <v>2329</v>
      </c>
      <c r="Z106" s="364" t="s">
        <v>2521</v>
      </c>
      <c r="AA106" s="364" t="s">
        <v>2415</v>
      </c>
      <c r="AB106" s="364" t="s">
        <v>2416</v>
      </c>
      <c r="AC106" s="364" t="s">
        <v>2417</v>
      </c>
      <c r="AD106" s="364" t="s">
        <v>2381</v>
      </c>
      <c r="AE106" s="364" t="s">
        <v>2330</v>
      </c>
      <c r="AF106" s="364" t="s">
        <v>2418</v>
      </c>
      <c r="AG106" s="364" t="s">
        <v>2382</v>
      </c>
      <c r="AH106" s="364" t="s">
        <v>2383</v>
      </c>
      <c r="AI106" s="261" t="s">
        <v>183</v>
      </c>
      <c r="AJ106" s="364" t="s">
        <v>2526</v>
      </c>
      <c r="AK106" s="364" t="s">
        <v>2387</v>
      </c>
      <c r="AL106" s="364" t="s">
        <v>2337</v>
      </c>
      <c r="AM106" s="364" t="s">
        <v>2339</v>
      </c>
      <c r="AN106" s="364" t="s">
        <v>2420</v>
      </c>
      <c r="AO106" s="364" t="s">
        <v>2340</v>
      </c>
      <c r="AP106" s="364" t="s">
        <v>2421</v>
      </c>
      <c r="AQ106" s="364" t="s">
        <v>2341</v>
      </c>
      <c r="AR106" s="364" t="s">
        <v>2391</v>
      </c>
      <c r="AS106" s="364" t="s">
        <v>2344</v>
      </c>
      <c r="AT106" s="364" t="s">
        <v>2347</v>
      </c>
      <c r="AU106" s="364" t="s">
        <v>2511</v>
      </c>
      <c r="AV106" s="364" t="s">
        <v>2424</v>
      </c>
      <c r="AW106" s="364" t="s">
        <v>2398</v>
      </c>
      <c r="AX106" s="364" t="s">
        <v>2348</v>
      </c>
      <c r="AY106" s="364" t="s">
        <v>2425</v>
      </c>
      <c r="AZ106" s="364" t="s">
        <v>2426</v>
      </c>
      <c r="BA106" s="364" t="s">
        <v>2428</v>
      </c>
      <c r="BB106" s="364" t="s">
        <v>2429</v>
      </c>
      <c r="BC106" s="364"/>
      <c r="BD106" s="364"/>
      <c r="BE106" s="364"/>
      <c r="BF106" s="364"/>
      <c r="BG106" s="364"/>
      <c r="BH106" s="364"/>
      <c r="BI106" s="364"/>
      <c r="BJ106" s="364"/>
      <c r="BK106" s="364"/>
      <c r="BL106" s="364"/>
      <c r="BM106" s="364"/>
      <c r="BN106" s="364"/>
      <c r="BO106" s="364"/>
      <c r="BP106" s="364"/>
      <c r="BQ106" s="364"/>
      <c r="BR106" s="364"/>
      <c r="BS106" s="364"/>
      <c r="BT106" s="364"/>
      <c r="BU106" s="364"/>
      <c r="BV106" s="364"/>
      <c r="BW106" s="364"/>
      <c r="BX106" s="364"/>
      <c r="BY106" s="364"/>
      <c r="BZ106" s="364"/>
      <c r="CA106" s="364"/>
      <c r="CB106" s="364"/>
      <c r="CC106" s="364"/>
      <c r="CD106" s="364"/>
      <c r="CE106" s="364"/>
      <c r="CF106" s="364"/>
      <c r="CG106" s="364"/>
      <c r="CH106" s="364"/>
      <c r="CI106" s="364"/>
      <c r="CJ106" s="364"/>
      <c r="CK106" s="364"/>
      <c r="CL106" s="364"/>
      <c r="CM106" s="364"/>
      <c r="CN106" s="364"/>
      <c r="CO106" s="364"/>
      <c r="CP106" s="364"/>
      <c r="CQ106" s="364"/>
      <c r="CR106" s="364"/>
      <c r="CS106" s="364"/>
      <c r="CT106" s="364"/>
      <c r="CU106" s="364"/>
      <c r="CV106" s="364"/>
      <c r="CW106" s="364"/>
      <c r="CX106" s="364"/>
      <c r="CY106" s="364"/>
      <c r="CZ106" s="364"/>
      <c r="DA106" s="364"/>
      <c r="DB106" s="364"/>
      <c r="DC106" s="364"/>
      <c r="DD106" s="364"/>
      <c r="DE106" s="364"/>
      <c r="DF106" s="364"/>
      <c r="DG106" s="364"/>
      <c r="DH106" s="364"/>
      <c r="DI106" s="364"/>
      <c r="DJ106" s="364"/>
      <c r="DK106" s="364"/>
      <c r="DL106" s="364"/>
      <c r="DM106" s="364"/>
      <c r="DN106" s="364"/>
      <c r="DO106" s="364"/>
      <c r="DP106" s="364"/>
      <c r="DQ106" s="364"/>
      <c r="DR106" s="364"/>
      <c r="DS106" s="364"/>
      <c r="DT106" s="364"/>
      <c r="DU106" s="364"/>
      <c r="DV106" s="364"/>
      <c r="DW106" s="364"/>
      <c r="DX106" s="364"/>
      <c r="DY106" s="364"/>
      <c r="DZ106" s="364"/>
      <c r="EA106" s="364"/>
      <c r="EB106" s="364"/>
      <c r="EC106" s="364"/>
      <c r="ED106" s="364"/>
      <c r="EE106" s="364"/>
      <c r="EF106" s="364"/>
      <c r="EG106" s="364"/>
      <c r="EH106" s="364"/>
      <c r="EI106" s="364"/>
      <c r="EJ106" s="364"/>
      <c r="EK106" s="364"/>
      <c r="EL106" s="364"/>
      <c r="EM106" s="364"/>
      <c r="EN106" s="364"/>
      <c r="EO106" s="364"/>
      <c r="EP106" s="364"/>
      <c r="EQ106" s="364"/>
      <c r="ER106" s="364"/>
      <c r="ES106" s="364"/>
      <c r="ET106" s="364"/>
      <c r="EU106" s="364"/>
      <c r="EV106" s="364"/>
      <c r="EW106" s="364"/>
      <c r="EX106" s="364"/>
      <c r="EY106" s="364"/>
      <c r="EZ106" s="364"/>
      <c r="FA106" s="364"/>
      <c r="FB106" s="364"/>
      <c r="FC106" s="364"/>
      <c r="FD106" s="364"/>
      <c r="FE106" s="364"/>
      <c r="FF106" s="364"/>
      <c r="FG106" s="364"/>
      <c r="FH106" s="364"/>
      <c r="FI106" s="364"/>
      <c r="FJ106" s="364"/>
      <c r="FK106" s="364"/>
    </row>
    <row r="107" customFormat="false" ht="15.75" hidden="false" customHeight="false" outlineLevel="0" collapsed="false">
      <c r="A107" s="364" t="n">
        <v>219</v>
      </c>
      <c r="B107" s="364" t="n">
        <f aca="false">COUNTA(D107:FK107)</f>
        <v>47</v>
      </c>
      <c r="C107" s="364" t="s">
        <v>725</v>
      </c>
      <c r="D107" s="364" t="s">
        <v>2312</v>
      </c>
      <c r="E107" s="364" t="s">
        <v>2356</v>
      </c>
      <c r="F107" s="364" t="s">
        <v>2313</v>
      </c>
      <c r="G107" s="364" t="s">
        <v>138</v>
      </c>
      <c r="H107" s="364" t="s">
        <v>2465</v>
      </c>
      <c r="I107" s="364" t="s">
        <v>2358</v>
      </c>
      <c r="J107" s="364" t="s">
        <v>2316</v>
      </c>
      <c r="K107" s="364" t="s">
        <v>2364</v>
      </c>
      <c r="L107" s="364" t="s">
        <v>2497</v>
      </c>
      <c r="M107" s="364" t="s">
        <v>2317</v>
      </c>
      <c r="N107" s="364" t="s">
        <v>2562</v>
      </c>
      <c r="O107" s="364" t="s">
        <v>2320</v>
      </c>
      <c r="P107" s="364" t="s">
        <v>2535</v>
      </c>
      <c r="Q107" s="364" t="s">
        <v>2369</v>
      </c>
      <c r="R107" s="364" t="s">
        <v>2377</v>
      </c>
      <c r="S107" s="364" t="s">
        <v>2523</v>
      </c>
      <c r="T107" s="364" t="s">
        <v>2614</v>
      </c>
      <c r="U107" s="364" t="s">
        <v>2327</v>
      </c>
      <c r="V107" s="364" t="s">
        <v>2642</v>
      </c>
      <c r="W107" s="364" t="s">
        <v>2328</v>
      </c>
      <c r="X107" s="364" t="s">
        <v>2416</v>
      </c>
      <c r="Y107" s="364" t="s">
        <v>2539</v>
      </c>
      <c r="Z107" s="364" t="s">
        <v>2382</v>
      </c>
      <c r="AA107" s="364" t="s">
        <v>2383</v>
      </c>
      <c r="AB107" s="261" t="s">
        <v>183</v>
      </c>
      <c r="AC107" s="364" t="s">
        <v>2387</v>
      </c>
      <c r="AD107" s="364" t="s">
        <v>2337</v>
      </c>
      <c r="AE107" s="364" t="s">
        <v>2388</v>
      </c>
      <c r="AF107" s="364" t="s">
        <v>2339</v>
      </c>
      <c r="AG107" s="364" t="s">
        <v>2565</v>
      </c>
      <c r="AH107" s="364" t="s">
        <v>2389</v>
      </c>
      <c r="AI107" s="364" t="s">
        <v>2420</v>
      </c>
      <c r="AJ107" s="364" t="s">
        <v>2340</v>
      </c>
      <c r="AK107" s="364" t="s">
        <v>2499</v>
      </c>
      <c r="AL107" s="364" t="s">
        <v>2341</v>
      </c>
      <c r="AM107" s="364" t="s">
        <v>2391</v>
      </c>
      <c r="AN107" s="364" t="s">
        <v>2566</v>
      </c>
      <c r="AO107" s="364" t="s">
        <v>2591</v>
      </c>
      <c r="AP107" s="364" t="s">
        <v>2423</v>
      </c>
      <c r="AQ107" s="364" t="s">
        <v>2344</v>
      </c>
      <c r="AR107" s="364" t="s">
        <v>2346</v>
      </c>
      <c r="AS107" s="364" t="s">
        <v>2500</v>
      </c>
      <c r="AT107" s="364" t="s">
        <v>2347</v>
      </c>
      <c r="AU107" s="364" t="s">
        <v>2473</v>
      </c>
      <c r="AV107" s="364" t="s">
        <v>2445</v>
      </c>
      <c r="AW107" s="364" t="s">
        <v>2399</v>
      </c>
      <c r="AX107" s="364" t="s">
        <v>2599</v>
      </c>
      <c r="AY107" s="364"/>
      <c r="AZ107" s="364"/>
      <c r="BA107" s="364"/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364"/>
      <c r="BN107" s="364"/>
      <c r="BO107" s="364"/>
      <c r="BP107" s="364"/>
      <c r="BQ107" s="364"/>
      <c r="BR107" s="364"/>
      <c r="BS107" s="364"/>
      <c r="BT107" s="364"/>
      <c r="BU107" s="364"/>
      <c r="BV107" s="364"/>
      <c r="BW107" s="364"/>
      <c r="BX107" s="364"/>
      <c r="BY107" s="364"/>
      <c r="BZ107" s="364"/>
      <c r="CA107" s="364"/>
      <c r="CB107" s="364"/>
      <c r="CC107" s="364"/>
      <c r="CD107" s="364"/>
      <c r="CE107" s="364"/>
      <c r="CF107" s="364"/>
      <c r="CG107" s="364"/>
      <c r="CH107" s="364"/>
      <c r="CI107" s="364"/>
      <c r="CJ107" s="364"/>
      <c r="CK107" s="364"/>
      <c r="CL107" s="364"/>
      <c r="CM107" s="364"/>
      <c r="CN107" s="364"/>
      <c r="CO107" s="364"/>
      <c r="CP107" s="364"/>
      <c r="CQ107" s="364"/>
      <c r="CR107" s="364"/>
      <c r="CS107" s="364"/>
      <c r="CT107" s="364"/>
      <c r="CU107" s="364"/>
      <c r="CV107" s="364"/>
      <c r="CW107" s="364"/>
      <c r="CX107" s="364"/>
      <c r="CY107" s="364"/>
      <c r="CZ107" s="364"/>
      <c r="DA107" s="364"/>
      <c r="DB107" s="364"/>
      <c r="DC107" s="364"/>
      <c r="DD107" s="364"/>
      <c r="DE107" s="364"/>
      <c r="DF107" s="364"/>
      <c r="DG107" s="364"/>
      <c r="DH107" s="364"/>
      <c r="DI107" s="364"/>
      <c r="DJ107" s="364"/>
      <c r="DK107" s="364"/>
      <c r="DL107" s="364"/>
      <c r="DM107" s="364"/>
      <c r="DN107" s="364"/>
      <c r="DO107" s="364"/>
      <c r="DP107" s="364"/>
      <c r="DQ107" s="364"/>
      <c r="DR107" s="364"/>
      <c r="DS107" s="364"/>
      <c r="DT107" s="364"/>
      <c r="DU107" s="364"/>
      <c r="DV107" s="364"/>
      <c r="DW107" s="364"/>
      <c r="DX107" s="364"/>
      <c r="DY107" s="364"/>
      <c r="DZ107" s="364"/>
      <c r="EA107" s="364"/>
      <c r="EB107" s="364"/>
      <c r="EC107" s="364"/>
      <c r="ED107" s="364"/>
      <c r="EE107" s="364"/>
      <c r="EF107" s="364"/>
      <c r="EG107" s="364"/>
      <c r="EH107" s="364"/>
      <c r="EI107" s="364"/>
      <c r="EJ107" s="364"/>
      <c r="EK107" s="364"/>
      <c r="EL107" s="364"/>
      <c r="EM107" s="364"/>
      <c r="EN107" s="364"/>
      <c r="EO107" s="364"/>
      <c r="EP107" s="364"/>
      <c r="EQ107" s="364"/>
      <c r="ER107" s="364"/>
      <c r="ES107" s="364"/>
      <c r="ET107" s="364"/>
      <c r="EU107" s="364"/>
      <c r="EV107" s="364"/>
      <c r="EW107" s="364"/>
      <c r="EX107" s="364"/>
      <c r="EY107" s="364"/>
      <c r="EZ107" s="364"/>
      <c r="FA107" s="364"/>
      <c r="FB107" s="364"/>
      <c r="FC107" s="364"/>
      <c r="FD107" s="364"/>
      <c r="FE107" s="364"/>
      <c r="FF107" s="364"/>
      <c r="FG107" s="364"/>
      <c r="FH107" s="364"/>
      <c r="FI107" s="364"/>
      <c r="FJ107" s="364"/>
      <c r="FK107" s="364"/>
    </row>
    <row r="108" customFormat="false" ht="15.75" hidden="false" customHeight="false" outlineLevel="0" collapsed="false">
      <c r="A108" s="364" t="n">
        <v>220</v>
      </c>
      <c r="B108" s="364" t="n">
        <f aca="false">COUNTA(D108:FK108)</f>
        <v>46</v>
      </c>
      <c r="C108" s="364" t="s">
        <v>728</v>
      </c>
      <c r="D108" s="364" t="s">
        <v>2405</v>
      </c>
      <c r="E108" s="364" t="s">
        <v>2312</v>
      </c>
      <c r="F108" s="364" t="s">
        <v>2516</v>
      </c>
      <c r="G108" s="364" t="s">
        <v>2356</v>
      </c>
      <c r="H108" s="364" t="s">
        <v>2408</v>
      </c>
      <c r="I108" s="364" t="s">
        <v>2313</v>
      </c>
      <c r="J108" s="364" t="s">
        <v>138</v>
      </c>
      <c r="K108" s="364" t="s">
        <v>2358</v>
      </c>
      <c r="L108" s="364" t="s">
        <v>2410</v>
      </c>
      <c r="M108" s="364" t="s">
        <v>2316</v>
      </c>
      <c r="N108" s="364" t="s">
        <v>2519</v>
      </c>
      <c r="O108" s="364" t="s">
        <v>2364</v>
      </c>
      <c r="P108" s="364" t="s">
        <v>2317</v>
      </c>
      <c r="Q108" s="364" t="s">
        <v>2318</v>
      </c>
      <c r="R108" s="364" t="s">
        <v>2448</v>
      </c>
      <c r="S108" s="364" t="s">
        <v>2320</v>
      </c>
      <c r="T108" s="364" t="s">
        <v>2376</v>
      </c>
      <c r="U108" s="364" t="s">
        <v>2377</v>
      </c>
      <c r="V108" s="364" t="s">
        <v>2324</v>
      </c>
      <c r="W108" s="364" t="s">
        <v>2327</v>
      </c>
      <c r="X108" s="364" t="s">
        <v>2328</v>
      </c>
      <c r="Y108" s="364" t="s">
        <v>2329</v>
      </c>
      <c r="Z108" s="364" t="s">
        <v>2521</v>
      </c>
      <c r="AA108" s="364" t="s">
        <v>2415</v>
      </c>
      <c r="AB108" s="364" t="s">
        <v>2416</v>
      </c>
      <c r="AC108" s="364" t="s">
        <v>2417</v>
      </c>
      <c r="AD108" s="364" t="s">
        <v>2382</v>
      </c>
      <c r="AE108" s="364" t="s">
        <v>2383</v>
      </c>
      <c r="AF108" s="261" t="s">
        <v>183</v>
      </c>
      <c r="AG108" s="364" t="s">
        <v>2452</v>
      </c>
      <c r="AH108" s="364" t="s">
        <v>2387</v>
      </c>
      <c r="AI108" s="364" t="s">
        <v>157</v>
      </c>
      <c r="AJ108" s="364" t="s">
        <v>2337</v>
      </c>
      <c r="AK108" s="364" t="s">
        <v>2339</v>
      </c>
      <c r="AL108" s="364" t="s">
        <v>2340</v>
      </c>
      <c r="AM108" s="364" t="s">
        <v>2421</v>
      </c>
      <c r="AN108" s="364" t="s">
        <v>2341</v>
      </c>
      <c r="AO108" s="364" t="s">
        <v>2391</v>
      </c>
      <c r="AP108" s="364" t="s">
        <v>2344</v>
      </c>
      <c r="AQ108" s="364" t="s">
        <v>2347</v>
      </c>
      <c r="AR108" s="364" t="s">
        <v>2424</v>
      </c>
      <c r="AS108" s="364" t="s">
        <v>2445</v>
      </c>
      <c r="AT108" s="364" t="s">
        <v>2425</v>
      </c>
      <c r="AU108" s="364" t="s">
        <v>2426</v>
      </c>
      <c r="AV108" s="364" t="s">
        <v>2428</v>
      </c>
      <c r="AW108" s="364" t="s">
        <v>2429</v>
      </c>
      <c r="AX108" s="364"/>
      <c r="AY108" s="364"/>
      <c r="AZ108" s="364"/>
      <c r="BA108" s="364"/>
      <c r="BB108" s="364"/>
      <c r="BC108" s="364"/>
      <c r="BD108" s="364"/>
      <c r="BE108" s="364"/>
      <c r="BF108" s="364"/>
      <c r="BG108" s="364"/>
      <c r="BH108" s="364"/>
      <c r="BI108" s="364"/>
      <c r="BJ108" s="364"/>
      <c r="BK108" s="364"/>
      <c r="BL108" s="364"/>
      <c r="BM108" s="364"/>
      <c r="BN108" s="364"/>
      <c r="BO108" s="364"/>
      <c r="BP108" s="364"/>
      <c r="BQ108" s="364"/>
      <c r="BR108" s="364"/>
      <c r="BS108" s="364"/>
      <c r="BT108" s="364"/>
      <c r="BU108" s="364"/>
      <c r="BV108" s="364"/>
      <c r="BW108" s="364"/>
      <c r="BX108" s="364"/>
      <c r="BY108" s="364"/>
      <c r="BZ108" s="364"/>
      <c r="CA108" s="364"/>
      <c r="CB108" s="364"/>
      <c r="CC108" s="364"/>
      <c r="CD108" s="364"/>
      <c r="CE108" s="364"/>
      <c r="CF108" s="364"/>
      <c r="CG108" s="364"/>
      <c r="CH108" s="364"/>
      <c r="CI108" s="364"/>
      <c r="CJ108" s="364"/>
      <c r="CK108" s="364"/>
      <c r="CL108" s="364"/>
      <c r="CM108" s="364"/>
      <c r="CN108" s="364"/>
      <c r="CO108" s="364"/>
      <c r="CP108" s="364"/>
      <c r="CQ108" s="364"/>
      <c r="CR108" s="364"/>
      <c r="CS108" s="364"/>
      <c r="CT108" s="364"/>
      <c r="CU108" s="364"/>
      <c r="CV108" s="364"/>
      <c r="CW108" s="364"/>
      <c r="CX108" s="364"/>
      <c r="CY108" s="364"/>
      <c r="CZ108" s="364"/>
      <c r="DA108" s="364"/>
      <c r="DB108" s="364"/>
      <c r="DC108" s="364"/>
      <c r="DD108" s="364"/>
      <c r="DE108" s="364"/>
      <c r="DF108" s="364"/>
      <c r="DG108" s="364"/>
      <c r="DH108" s="364"/>
      <c r="DI108" s="364"/>
      <c r="DJ108" s="364"/>
      <c r="DK108" s="364"/>
      <c r="DL108" s="364"/>
      <c r="DM108" s="364"/>
      <c r="DN108" s="364"/>
      <c r="DO108" s="364"/>
      <c r="DP108" s="364"/>
      <c r="DQ108" s="364"/>
      <c r="DR108" s="364"/>
      <c r="DS108" s="364"/>
      <c r="DT108" s="364"/>
      <c r="DU108" s="364"/>
      <c r="DV108" s="364"/>
      <c r="DW108" s="364"/>
      <c r="DX108" s="364"/>
      <c r="DY108" s="364"/>
      <c r="DZ108" s="364"/>
      <c r="EA108" s="364"/>
      <c r="EB108" s="364"/>
      <c r="EC108" s="364"/>
      <c r="ED108" s="364"/>
      <c r="EE108" s="364"/>
      <c r="EF108" s="364"/>
      <c r="EG108" s="364"/>
      <c r="EH108" s="364"/>
      <c r="EI108" s="364"/>
      <c r="EJ108" s="364"/>
      <c r="EK108" s="364"/>
      <c r="EL108" s="364"/>
      <c r="EM108" s="364"/>
      <c r="EN108" s="364"/>
      <c r="EO108" s="364"/>
      <c r="EP108" s="364"/>
      <c r="EQ108" s="364"/>
      <c r="ER108" s="364"/>
      <c r="ES108" s="364"/>
      <c r="ET108" s="364"/>
      <c r="EU108" s="364"/>
      <c r="EV108" s="364"/>
      <c r="EW108" s="364"/>
      <c r="EX108" s="364"/>
      <c r="EY108" s="364"/>
      <c r="EZ108" s="364"/>
      <c r="FA108" s="364"/>
      <c r="FB108" s="364"/>
      <c r="FC108" s="364"/>
      <c r="FD108" s="364"/>
      <c r="FE108" s="364"/>
      <c r="FF108" s="364"/>
      <c r="FG108" s="364"/>
      <c r="FH108" s="364"/>
      <c r="FI108" s="364"/>
      <c r="FJ108" s="364"/>
      <c r="FK108" s="364"/>
    </row>
    <row r="109" customFormat="false" ht="15.75" hidden="false" customHeight="false" outlineLevel="0" collapsed="false">
      <c r="A109" s="364" t="n">
        <v>223</v>
      </c>
      <c r="B109" s="364" t="n">
        <f aca="false">COUNTA(D109:FK109)</f>
        <v>29</v>
      </c>
      <c r="C109" s="364" t="s">
        <v>734</v>
      </c>
      <c r="D109" s="364" t="s">
        <v>2527</v>
      </c>
      <c r="E109" s="364" t="s">
        <v>2431</v>
      </c>
      <c r="F109" s="364" t="s">
        <v>2352</v>
      </c>
      <c r="G109" s="364" t="s">
        <v>2516</v>
      </c>
      <c r="H109" s="364" t="s">
        <v>2314</v>
      </c>
      <c r="I109" s="364" t="s">
        <v>2517</v>
      </c>
      <c r="J109" s="364" t="s">
        <v>2316</v>
      </c>
      <c r="K109" s="364" t="s">
        <v>2319</v>
      </c>
      <c r="L109" s="364" t="s">
        <v>2320</v>
      </c>
      <c r="M109" s="364" t="s">
        <v>2640</v>
      </c>
      <c r="N109" s="364" t="s">
        <v>2449</v>
      </c>
      <c r="O109" s="364" t="s">
        <v>2323</v>
      </c>
      <c r="P109" s="364" t="s">
        <v>2324</v>
      </c>
      <c r="Q109" s="364" t="s">
        <v>2325</v>
      </c>
      <c r="R109" s="364" t="s">
        <v>2327</v>
      </c>
      <c r="S109" s="364" t="s">
        <v>2328</v>
      </c>
      <c r="T109" s="364" t="s">
        <v>2329</v>
      </c>
      <c r="U109" s="364" t="s">
        <v>2438</v>
      </c>
      <c r="V109" s="364" t="s">
        <v>2331</v>
      </c>
      <c r="W109" s="364" t="s">
        <v>2337</v>
      </c>
      <c r="X109" s="364" t="s">
        <v>2340</v>
      </c>
      <c r="Y109" s="364" t="s">
        <v>2341</v>
      </c>
      <c r="Z109" s="364" t="s">
        <v>2342</v>
      </c>
      <c r="AA109" s="364" t="s">
        <v>2443</v>
      </c>
      <c r="AB109" s="364" t="s">
        <v>2344</v>
      </c>
      <c r="AC109" s="364" t="s">
        <v>2345</v>
      </c>
      <c r="AD109" s="364" t="s">
        <v>2643</v>
      </c>
      <c r="AE109" s="364" t="s">
        <v>2348</v>
      </c>
      <c r="AF109" s="364" t="s">
        <v>2446</v>
      </c>
      <c r="AG109" s="364"/>
      <c r="AH109" s="364"/>
      <c r="AI109" s="364"/>
      <c r="AJ109" s="364"/>
      <c r="AK109" s="364"/>
      <c r="AL109" s="364"/>
      <c r="AM109" s="364"/>
      <c r="AN109" s="364"/>
      <c r="AO109" s="364"/>
      <c r="AP109" s="364"/>
      <c r="AQ109" s="364"/>
      <c r="AR109" s="364"/>
      <c r="AS109" s="364"/>
      <c r="AT109" s="364"/>
      <c r="AU109" s="364"/>
      <c r="AV109" s="364"/>
      <c r="AW109" s="364"/>
      <c r="AX109" s="364"/>
      <c r="AY109" s="364"/>
      <c r="AZ109" s="364"/>
      <c r="BA109" s="364"/>
      <c r="BB109" s="364"/>
      <c r="BC109" s="364"/>
      <c r="BD109" s="364"/>
      <c r="BE109" s="364"/>
      <c r="BF109" s="364"/>
      <c r="BG109" s="364"/>
      <c r="BH109" s="364"/>
      <c r="BI109" s="364"/>
      <c r="BJ109" s="364"/>
      <c r="BK109" s="364"/>
      <c r="BL109" s="364"/>
      <c r="BM109" s="364"/>
      <c r="BN109" s="364"/>
      <c r="BO109" s="364"/>
      <c r="BP109" s="364"/>
      <c r="BQ109" s="364"/>
      <c r="BR109" s="364"/>
      <c r="BS109" s="364"/>
      <c r="BT109" s="364"/>
      <c r="BU109" s="364"/>
      <c r="BV109" s="364"/>
      <c r="BW109" s="364"/>
      <c r="BX109" s="364"/>
      <c r="BY109" s="364"/>
      <c r="BZ109" s="364"/>
      <c r="CA109" s="364"/>
      <c r="CB109" s="364"/>
      <c r="CC109" s="364"/>
      <c r="CD109" s="364"/>
      <c r="CE109" s="364"/>
      <c r="CF109" s="364"/>
      <c r="CG109" s="364"/>
      <c r="CH109" s="364"/>
      <c r="CI109" s="364"/>
      <c r="CJ109" s="364"/>
      <c r="CK109" s="364"/>
      <c r="CL109" s="364"/>
      <c r="CM109" s="364"/>
      <c r="CN109" s="364"/>
      <c r="CO109" s="364"/>
      <c r="CP109" s="364"/>
      <c r="CQ109" s="364"/>
      <c r="CR109" s="364"/>
      <c r="CS109" s="364"/>
      <c r="CT109" s="364"/>
      <c r="CU109" s="364"/>
      <c r="CV109" s="364"/>
      <c r="CW109" s="364"/>
      <c r="CX109" s="364"/>
      <c r="CY109" s="364"/>
      <c r="CZ109" s="364"/>
      <c r="DA109" s="364"/>
      <c r="DB109" s="364"/>
      <c r="DC109" s="364"/>
      <c r="DD109" s="364"/>
      <c r="DE109" s="364"/>
      <c r="DF109" s="364"/>
      <c r="DG109" s="364"/>
      <c r="DH109" s="364"/>
      <c r="DI109" s="364"/>
      <c r="DJ109" s="364"/>
      <c r="DK109" s="364"/>
      <c r="DL109" s="364"/>
      <c r="DM109" s="364"/>
      <c r="DN109" s="364"/>
      <c r="DO109" s="364"/>
      <c r="DP109" s="364"/>
      <c r="DQ109" s="364"/>
      <c r="DR109" s="364"/>
      <c r="DS109" s="364"/>
      <c r="DT109" s="364"/>
      <c r="DU109" s="364"/>
      <c r="DV109" s="364"/>
      <c r="DW109" s="364"/>
      <c r="DX109" s="364"/>
      <c r="DY109" s="364"/>
      <c r="DZ109" s="364"/>
      <c r="EA109" s="364"/>
      <c r="EB109" s="364"/>
      <c r="EC109" s="364"/>
      <c r="ED109" s="364"/>
      <c r="EE109" s="364"/>
      <c r="EF109" s="364"/>
      <c r="EG109" s="364"/>
      <c r="EH109" s="364"/>
      <c r="EI109" s="364"/>
      <c r="EJ109" s="364"/>
      <c r="EK109" s="364"/>
      <c r="EL109" s="364"/>
      <c r="EM109" s="364"/>
      <c r="EN109" s="364"/>
      <c r="EO109" s="364"/>
      <c r="EP109" s="364"/>
      <c r="EQ109" s="364"/>
      <c r="ER109" s="364"/>
      <c r="ES109" s="364"/>
      <c r="ET109" s="364"/>
      <c r="EU109" s="364"/>
      <c r="EV109" s="364"/>
      <c r="EW109" s="364"/>
      <c r="EX109" s="364"/>
      <c r="EY109" s="364"/>
      <c r="EZ109" s="364"/>
      <c r="FA109" s="364"/>
      <c r="FB109" s="364"/>
      <c r="FC109" s="364"/>
      <c r="FD109" s="364"/>
      <c r="FE109" s="364"/>
      <c r="FF109" s="364"/>
      <c r="FG109" s="364"/>
      <c r="FH109" s="364"/>
      <c r="FI109" s="364"/>
      <c r="FJ109" s="364"/>
      <c r="FK109" s="364"/>
    </row>
    <row r="110" customFormat="false" ht="15.75" hidden="false" customHeight="false" outlineLevel="0" collapsed="false">
      <c r="A110" s="364" t="n">
        <v>224</v>
      </c>
      <c r="B110" s="364" t="n">
        <f aca="false">COUNTA(D110:FK110)</f>
        <v>64</v>
      </c>
      <c r="C110" s="364" t="s">
        <v>736</v>
      </c>
      <c r="D110" s="364" t="s">
        <v>2431</v>
      </c>
      <c r="E110" s="364" t="s">
        <v>2352</v>
      </c>
      <c r="F110" s="364" t="s">
        <v>2528</v>
      </c>
      <c r="G110" s="364" t="s">
        <v>2312</v>
      </c>
      <c r="H110" s="364" t="s">
        <v>2516</v>
      </c>
      <c r="I110" s="364" t="s">
        <v>2356</v>
      </c>
      <c r="J110" s="364" t="s">
        <v>138</v>
      </c>
      <c r="K110" s="364" t="s">
        <v>2465</v>
      </c>
      <c r="L110" s="364" t="s">
        <v>2315</v>
      </c>
      <c r="M110" s="364" t="s">
        <v>2358</v>
      </c>
      <c r="N110" s="364" t="s">
        <v>2316</v>
      </c>
      <c r="O110" s="364" t="s">
        <v>2579</v>
      </c>
      <c r="P110" s="364" t="s">
        <v>2519</v>
      </c>
      <c r="Q110" s="364" t="s">
        <v>2435</v>
      </c>
      <c r="R110" s="364" t="s">
        <v>2364</v>
      </c>
      <c r="S110" s="364" t="s">
        <v>2320</v>
      </c>
      <c r="T110" s="364" t="s">
        <v>2533</v>
      </c>
      <c r="U110" s="364" t="s">
        <v>2369</v>
      </c>
      <c r="V110" s="364" t="s">
        <v>2377</v>
      </c>
      <c r="W110" s="364" t="s">
        <v>2523</v>
      </c>
      <c r="X110" s="364" t="s">
        <v>2322</v>
      </c>
      <c r="Y110" s="364" t="s">
        <v>2498</v>
      </c>
      <c r="Z110" s="364" t="s">
        <v>2325</v>
      </c>
      <c r="AA110" s="364" t="s">
        <v>2484</v>
      </c>
      <c r="AB110" s="364" t="s">
        <v>2327</v>
      </c>
      <c r="AC110" s="364" t="s">
        <v>2328</v>
      </c>
      <c r="AD110" s="364" t="s">
        <v>2416</v>
      </c>
      <c r="AE110" s="364" t="s">
        <v>2381</v>
      </c>
      <c r="AF110" s="364" t="s">
        <v>2330</v>
      </c>
      <c r="AG110" s="364" t="s">
        <v>2468</v>
      </c>
      <c r="AH110" s="364" t="s">
        <v>2539</v>
      </c>
      <c r="AI110" s="364" t="s">
        <v>2540</v>
      </c>
      <c r="AJ110" s="364" t="s">
        <v>2382</v>
      </c>
      <c r="AK110" s="364" t="s">
        <v>2383</v>
      </c>
      <c r="AL110" s="261" t="s">
        <v>183</v>
      </c>
      <c r="AM110" s="364" t="s">
        <v>2452</v>
      </c>
      <c r="AN110" s="364" t="s">
        <v>2387</v>
      </c>
      <c r="AO110" s="364" t="s">
        <v>2455</v>
      </c>
      <c r="AP110" s="364" t="s">
        <v>2337</v>
      </c>
      <c r="AQ110" s="364" t="s">
        <v>2469</v>
      </c>
      <c r="AR110" s="364" t="s">
        <v>2553</v>
      </c>
      <c r="AS110" s="364" t="s">
        <v>2339</v>
      </c>
      <c r="AT110" s="364" t="s">
        <v>2340</v>
      </c>
      <c r="AU110" s="364" t="s">
        <v>2390</v>
      </c>
      <c r="AV110" s="364" t="s">
        <v>2341</v>
      </c>
      <c r="AW110" s="364" t="s">
        <v>2342</v>
      </c>
      <c r="AX110" s="364" t="s">
        <v>2391</v>
      </c>
      <c r="AY110" s="364" t="s">
        <v>2442</v>
      </c>
      <c r="AZ110" s="364" t="s">
        <v>2392</v>
      </c>
      <c r="BA110" s="364" t="s">
        <v>2470</v>
      </c>
      <c r="BB110" s="364" t="s">
        <v>2591</v>
      </c>
      <c r="BC110" s="364" t="s">
        <v>2344</v>
      </c>
      <c r="BD110" s="364" t="s">
        <v>2345</v>
      </c>
      <c r="BE110" s="364" t="s">
        <v>2347</v>
      </c>
      <c r="BF110" s="364" t="s">
        <v>2398</v>
      </c>
      <c r="BG110" s="364" t="s">
        <v>2644</v>
      </c>
      <c r="BH110" s="364" t="s">
        <v>2445</v>
      </c>
      <c r="BI110" s="364" t="s">
        <v>2475</v>
      </c>
      <c r="BJ110" s="364" t="s">
        <v>2476</v>
      </c>
      <c r="BK110" s="364" t="s">
        <v>2399</v>
      </c>
      <c r="BL110" s="364" t="s">
        <v>2463</v>
      </c>
      <c r="BM110" s="364" t="s">
        <v>2446</v>
      </c>
      <c r="BN110" s="364" t="s">
        <v>2428</v>
      </c>
      <c r="BO110" s="364" t="s">
        <v>2493</v>
      </c>
      <c r="BP110" s="364"/>
      <c r="BQ110" s="364"/>
      <c r="BR110" s="364"/>
      <c r="BS110" s="364"/>
      <c r="BT110" s="364"/>
      <c r="BU110" s="364"/>
      <c r="BV110" s="364"/>
      <c r="BW110" s="364"/>
      <c r="BX110" s="364"/>
      <c r="BY110" s="364"/>
      <c r="BZ110" s="364"/>
      <c r="CA110" s="364"/>
      <c r="CB110" s="364"/>
      <c r="CC110" s="364"/>
      <c r="CD110" s="364"/>
      <c r="CE110" s="364"/>
      <c r="CF110" s="364"/>
      <c r="CG110" s="364"/>
      <c r="CH110" s="364"/>
      <c r="CI110" s="364"/>
      <c r="CJ110" s="364"/>
      <c r="CK110" s="364"/>
      <c r="CL110" s="364"/>
      <c r="CM110" s="364"/>
      <c r="CN110" s="364"/>
      <c r="CO110" s="364"/>
      <c r="CP110" s="364"/>
      <c r="CQ110" s="364"/>
      <c r="CR110" s="364"/>
      <c r="CS110" s="364"/>
      <c r="CT110" s="364"/>
      <c r="CU110" s="364"/>
      <c r="CV110" s="364"/>
      <c r="CW110" s="364"/>
      <c r="CX110" s="364"/>
      <c r="CY110" s="364"/>
      <c r="CZ110" s="364"/>
      <c r="DA110" s="364"/>
      <c r="DB110" s="364"/>
      <c r="DC110" s="364"/>
      <c r="DD110" s="364"/>
      <c r="DE110" s="364"/>
      <c r="DF110" s="364"/>
      <c r="DG110" s="364"/>
      <c r="DH110" s="364"/>
      <c r="DI110" s="364"/>
      <c r="DJ110" s="364"/>
      <c r="DK110" s="364"/>
      <c r="DL110" s="364"/>
      <c r="DM110" s="364"/>
      <c r="DN110" s="364"/>
      <c r="DO110" s="364"/>
      <c r="DP110" s="364"/>
      <c r="DQ110" s="364"/>
      <c r="DR110" s="364"/>
      <c r="DS110" s="364"/>
      <c r="DT110" s="364"/>
      <c r="DU110" s="364"/>
      <c r="DV110" s="364"/>
      <c r="DW110" s="364"/>
      <c r="DX110" s="364"/>
      <c r="DY110" s="364"/>
      <c r="DZ110" s="364"/>
      <c r="EA110" s="364"/>
      <c r="EB110" s="364"/>
      <c r="EC110" s="364"/>
      <c r="ED110" s="364"/>
      <c r="EE110" s="364"/>
      <c r="EF110" s="364"/>
      <c r="EG110" s="364"/>
      <c r="EH110" s="364"/>
      <c r="EI110" s="364"/>
      <c r="EJ110" s="364"/>
      <c r="EK110" s="364"/>
      <c r="EL110" s="364"/>
      <c r="EM110" s="364"/>
      <c r="EN110" s="364"/>
      <c r="EO110" s="364"/>
      <c r="EP110" s="364"/>
      <c r="EQ110" s="364"/>
      <c r="ER110" s="364"/>
      <c r="ES110" s="364"/>
      <c r="ET110" s="364"/>
      <c r="EU110" s="364"/>
      <c r="EV110" s="364"/>
      <c r="EW110" s="364"/>
      <c r="EX110" s="364"/>
      <c r="EY110" s="364"/>
      <c r="EZ110" s="364"/>
      <c r="FA110" s="364"/>
      <c r="FB110" s="364"/>
      <c r="FC110" s="364"/>
      <c r="FD110" s="364"/>
      <c r="FE110" s="364"/>
      <c r="FF110" s="364"/>
      <c r="FG110" s="364"/>
      <c r="FH110" s="364"/>
      <c r="FI110" s="364"/>
      <c r="FJ110" s="364"/>
      <c r="FK110" s="364"/>
    </row>
    <row r="111" customFormat="false" ht="15.75" hidden="false" customHeight="false" outlineLevel="0" collapsed="false">
      <c r="A111" s="364" t="n">
        <v>226</v>
      </c>
      <c r="B111" s="364" t="n">
        <f aca="false">COUNTA(D111:FK111)</f>
        <v>27</v>
      </c>
      <c r="C111" s="364" t="s">
        <v>740</v>
      </c>
      <c r="D111" s="364" t="s">
        <v>2527</v>
      </c>
      <c r="E111" s="364" t="s">
        <v>2314</v>
      </c>
      <c r="F111" s="364" t="s">
        <v>2315</v>
      </c>
      <c r="G111" s="364" t="s">
        <v>2316</v>
      </c>
      <c r="H111" s="364" t="s">
        <v>2497</v>
      </c>
      <c r="I111" s="364" t="s">
        <v>2448</v>
      </c>
      <c r="J111" s="364" t="s">
        <v>2319</v>
      </c>
      <c r="K111" s="364" t="s">
        <v>2320</v>
      </c>
      <c r="L111" s="364" t="s">
        <v>2323</v>
      </c>
      <c r="M111" s="364" t="s">
        <v>2324</v>
      </c>
      <c r="N111" s="364" t="s">
        <v>2325</v>
      </c>
      <c r="O111" s="364" t="s">
        <v>2328</v>
      </c>
      <c r="P111" s="364" t="s">
        <v>2329</v>
      </c>
      <c r="Q111" s="364" t="s">
        <v>2557</v>
      </c>
      <c r="R111" s="364" t="s">
        <v>2331</v>
      </c>
      <c r="S111" s="364" t="s">
        <v>2333</v>
      </c>
      <c r="T111" s="364" t="s">
        <v>2334</v>
      </c>
      <c r="U111" s="364" t="s">
        <v>2582</v>
      </c>
      <c r="V111" s="364" t="s">
        <v>2336</v>
      </c>
      <c r="W111" s="364" t="s">
        <v>2337</v>
      </c>
      <c r="X111" s="364" t="s">
        <v>2340</v>
      </c>
      <c r="Y111" s="364" t="s">
        <v>2341</v>
      </c>
      <c r="Z111" s="364" t="s">
        <v>2342</v>
      </c>
      <c r="AA111" s="364" t="s">
        <v>2343</v>
      </c>
      <c r="AB111" s="364" t="s">
        <v>2344</v>
      </c>
      <c r="AC111" s="364" t="s">
        <v>2345</v>
      </c>
      <c r="AD111" s="364" t="s">
        <v>2463</v>
      </c>
      <c r="AE111" s="364"/>
      <c r="AF111" s="364"/>
      <c r="AG111" s="364"/>
      <c r="AH111" s="364"/>
      <c r="AI111" s="364"/>
      <c r="AJ111" s="364"/>
      <c r="AK111" s="364"/>
      <c r="AL111" s="364"/>
      <c r="AM111" s="364"/>
      <c r="AN111" s="364"/>
      <c r="AO111" s="364"/>
      <c r="AP111" s="364"/>
      <c r="AQ111" s="364"/>
      <c r="AR111" s="364"/>
      <c r="AS111" s="364"/>
      <c r="AT111" s="364"/>
      <c r="AU111" s="364"/>
      <c r="AV111" s="364"/>
      <c r="AW111" s="364"/>
      <c r="AX111" s="364"/>
      <c r="AY111" s="364"/>
      <c r="AZ111" s="364"/>
      <c r="BA111" s="364"/>
      <c r="BB111" s="364"/>
      <c r="BC111" s="364"/>
      <c r="BD111" s="364"/>
      <c r="BE111" s="364"/>
      <c r="BF111" s="364"/>
      <c r="BG111" s="364"/>
      <c r="BH111" s="364"/>
      <c r="BI111" s="364"/>
      <c r="BJ111" s="364"/>
      <c r="BK111" s="364"/>
      <c r="BL111" s="364"/>
      <c r="BM111" s="364"/>
      <c r="BN111" s="364"/>
      <c r="BO111" s="364"/>
      <c r="BP111" s="364"/>
      <c r="BQ111" s="364"/>
      <c r="BR111" s="364"/>
      <c r="BS111" s="364"/>
      <c r="BT111" s="364"/>
      <c r="BU111" s="364"/>
      <c r="BV111" s="364"/>
      <c r="BW111" s="364"/>
      <c r="BX111" s="364"/>
      <c r="BY111" s="364"/>
      <c r="BZ111" s="364"/>
      <c r="CA111" s="364"/>
      <c r="CB111" s="364"/>
      <c r="CC111" s="364"/>
      <c r="CD111" s="364"/>
      <c r="CE111" s="364"/>
      <c r="CF111" s="364"/>
      <c r="CG111" s="364"/>
      <c r="CH111" s="364"/>
      <c r="CI111" s="364"/>
      <c r="CJ111" s="364"/>
      <c r="CK111" s="364"/>
      <c r="CL111" s="364"/>
      <c r="CM111" s="364"/>
      <c r="CN111" s="364"/>
      <c r="CO111" s="364"/>
      <c r="CP111" s="364"/>
      <c r="CQ111" s="364"/>
      <c r="CR111" s="364"/>
      <c r="CS111" s="364"/>
      <c r="CT111" s="364"/>
      <c r="CU111" s="364"/>
      <c r="CV111" s="364"/>
      <c r="CW111" s="364"/>
      <c r="CX111" s="364"/>
      <c r="CY111" s="364"/>
      <c r="CZ111" s="364"/>
      <c r="DA111" s="364"/>
      <c r="DB111" s="364"/>
      <c r="DC111" s="364"/>
      <c r="DD111" s="364"/>
      <c r="DE111" s="364"/>
      <c r="DF111" s="364"/>
      <c r="DG111" s="364"/>
      <c r="DH111" s="364"/>
      <c r="DI111" s="364"/>
      <c r="DJ111" s="364"/>
      <c r="DK111" s="364"/>
      <c r="DL111" s="364"/>
      <c r="DM111" s="364"/>
      <c r="DN111" s="364"/>
      <c r="DO111" s="364"/>
      <c r="DP111" s="364"/>
      <c r="DQ111" s="364"/>
      <c r="DR111" s="364"/>
      <c r="DS111" s="364"/>
      <c r="DT111" s="364"/>
      <c r="DU111" s="364"/>
      <c r="DV111" s="364"/>
      <c r="DW111" s="364"/>
      <c r="DX111" s="364"/>
      <c r="DY111" s="364"/>
      <c r="DZ111" s="364"/>
      <c r="EA111" s="364"/>
      <c r="EB111" s="364"/>
      <c r="EC111" s="364"/>
      <c r="ED111" s="364"/>
      <c r="EE111" s="364"/>
      <c r="EF111" s="364"/>
      <c r="EG111" s="364"/>
      <c r="EH111" s="364"/>
      <c r="EI111" s="364"/>
      <c r="EJ111" s="364"/>
      <c r="EK111" s="364"/>
      <c r="EL111" s="364"/>
      <c r="EM111" s="364"/>
      <c r="EN111" s="364"/>
      <c r="EO111" s="364"/>
      <c r="EP111" s="364"/>
      <c r="EQ111" s="364"/>
      <c r="ER111" s="364"/>
      <c r="ES111" s="364"/>
      <c r="ET111" s="364"/>
      <c r="EU111" s="364"/>
      <c r="EV111" s="364"/>
      <c r="EW111" s="364"/>
      <c r="EX111" s="364"/>
      <c r="EY111" s="364"/>
      <c r="EZ111" s="364"/>
      <c r="FA111" s="364"/>
      <c r="FB111" s="364"/>
      <c r="FC111" s="364"/>
      <c r="FD111" s="364"/>
      <c r="FE111" s="364"/>
      <c r="FF111" s="364"/>
      <c r="FG111" s="364"/>
      <c r="FH111" s="364"/>
      <c r="FI111" s="364"/>
      <c r="FJ111" s="364"/>
      <c r="FK111" s="364"/>
    </row>
    <row r="112" customFormat="false" ht="15.75" hidden="false" customHeight="false" outlineLevel="0" collapsed="false">
      <c r="A112" s="364" t="n">
        <v>227</v>
      </c>
      <c r="B112" s="364" t="n">
        <f aca="false">COUNTA(D112:FK112)</f>
        <v>35</v>
      </c>
      <c r="C112" s="364" t="s">
        <v>742</v>
      </c>
      <c r="D112" s="364" t="s">
        <v>2352</v>
      </c>
      <c r="E112" s="364" t="s">
        <v>2353</v>
      </c>
      <c r="F112" s="364" t="s">
        <v>2354</v>
      </c>
      <c r="G112" s="364" t="s">
        <v>2561</v>
      </c>
      <c r="H112" s="364" t="s">
        <v>2432</v>
      </c>
      <c r="I112" s="364" t="s">
        <v>2433</v>
      </c>
      <c r="J112" s="364" t="s">
        <v>2316</v>
      </c>
      <c r="K112" s="364" t="s">
        <v>2435</v>
      </c>
      <c r="L112" s="364" t="s">
        <v>2320</v>
      </c>
      <c r="M112" s="364" t="s">
        <v>2534</v>
      </c>
      <c r="N112" s="364" t="s">
        <v>2535</v>
      </c>
      <c r="O112" s="364" t="s">
        <v>2323</v>
      </c>
      <c r="P112" s="364" t="s">
        <v>2327</v>
      </c>
      <c r="Q112" s="364" t="s">
        <v>2328</v>
      </c>
      <c r="R112" s="364" t="s">
        <v>2507</v>
      </c>
      <c r="S112" s="364" t="s">
        <v>2385</v>
      </c>
      <c r="T112" s="364" t="s">
        <v>157</v>
      </c>
      <c r="U112" s="364" t="s">
        <v>2455</v>
      </c>
      <c r="V112" s="364" t="s">
        <v>2461</v>
      </c>
      <c r="W112" s="364" t="s">
        <v>2337</v>
      </c>
      <c r="X112" s="364" t="s">
        <v>2340</v>
      </c>
      <c r="Y112" s="364" t="s">
        <v>2341</v>
      </c>
      <c r="Z112" s="364" t="s">
        <v>2442</v>
      </c>
      <c r="AA112" s="364" t="s">
        <v>2422</v>
      </c>
      <c r="AB112" s="364" t="s">
        <v>2443</v>
      </c>
      <c r="AC112" s="364" t="s">
        <v>2344</v>
      </c>
      <c r="AD112" s="364" t="s">
        <v>2345</v>
      </c>
      <c r="AE112" s="364" t="s">
        <v>2575</v>
      </c>
      <c r="AF112" s="364" t="s">
        <v>2396</v>
      </c>
      <c r="AG112" s="364" t="s">
        <v>2398</v>
      </c>
      <c r="AH112" s="364" t="s">
        <v>2348</v>
      </c>
      <c r="AI112" s="364" t="s">
        <v>2445</v>
      </c>
      <c r="AJ112" s="364" t="s">
        <v>2463</v>
      </c>
      <c r="AK112" s="364" t="s">
        <v>2446</v>
      </c>
      <c r="AL112" s="364" t="s">
        <v>2401</v>
      </c>
      <c r="AM112" s="364"/>
      <c r="AN112" s="364"/>
      <c r="AO112" s="364"/>
      <c r="AP112" s="364"/>
      <c r="AQ112" s="364"/>
      <c r="AR112" s="364"/>
      <c r="AS112" s="364"/>
      <c r="AT112" s="364"/>
      <c r="AU112" s="364"/>
      <c r="AV112" s="364"/>
      <c r="AW112" s="364"/>
      <c r="AX112" s="364"/>
      <c r="AY112" s="364"/>
      <c r="AZ112" s="364"/>
      <c r="BA112" s="364"/>
      <c r="BB112" s="364"/>
      <c r="BC112" s="364"/>
      <c r="BD112" s="364"/>
      <c r="BE112" s="364"/>
      <c r="BF112" s="364"/>
      <c r="BG112" s="364"/>
      <c r="BH112" s="364"/>
      <c r="BI112" s="364"/>
      <c r="BJ112" s="364"/>
      <c r="BK112" s="364"/>
      <c r="BL112" s="364"/>
      <c r="BM112" s="364"/>
      <c r="BN112" s="364"/>
      <c r="BO112" s="364"/>
      <c r="BP112" s="364"/>
      <c r="BQ112" s="364"/>
      <c r="BR112" s="364"/>
      <c r="BS112" s="364"/>
      <c r="BT112" s="364"/>
      <c r="BU112" s="364"/>
      <c r="BV112" s="364"/>
      <c r="BW112" s="364"/>
      <c r="BX112" s="364"/>
      <c r="BY112" s="364"/>
      <c r="BZ112" s="364"/>
      <c r="CA112" s="364"/>
      <c r="CB112" s="364"/>
      <c r="CC112" s="364"/>
      <c r="CD112" s="364"/>
      <c r="CE112" s="364"/>
      <c r="CF112" s="364"/>
      <c r="CG112" s="364"/>
      <c r="CH112" s="364"/>
      <c r="CI112" s="364"/>
      <c r="CJ112" s="364"/>
      <c r="CK112" s="364"/>
      <c r="CL112" s="364"/>
      <c r="CM112" s="364"/>
      <c r="CN112" s="364"/>
      <c r="CO112" s="364"/>
      <c r="CP112" s="364"/>
      <c r="CQ112" s="364"/>
      <c r="CR112" s="364"/>
      <c r="CS112" s="364"/>
      <c r="CT112" s="364"/>
      <c r="CU112" s="364"/>
      <c r="CV112" s="364"/>
      <c r="CW112" s="364"/>
      <c r="CX112" s="364"/>
      <c r="CY112" s="364"/>
      <c r="CZ112" s="364"/>
      <c r="DA112" s="364"/>
      <c r="DB112" s="364"/>
      <c r="DC112" s="364"/>
      <c r="DD112" s="364"/>
      <c r="DE112" s="364"/>
      <c r="DF112" s="364"/>
      <c r="DG112" s="364"/>
      <c r="DH112" s="364"/>
      <c r="DI112" s="364"/>
      <c r="DJ112" s="364"/>
      <c r="DK112" s="364"/>
      <c r="DL112" s="364"/>
      <c r="DM112" s="364"/>
      <c r="DN112" s="364"/>
      <c r="DO112" s="364"/>
      <c r="DP112" s="364"/>
      <c r="DQ112" s="364"/>
      <c r="DR112" s="364"/>
      <c r="DS112" s="364"/>
      <c r="DT112" s="364"/>
      <c r="DU112" s="364"/>
      <c r="DV112" s="364"/>
      <c r="DW112" s="364"/>
      <c r="DX112" s="364"/>
      <c r="DY112" s="364"/>
      <c r="DZ112" s="364"/>
      <c r="EA112" s="364"/>
      <c r="EB112" s="364"/>
      <c r="EC112" s="364"/>
      <c r="ED112" s="364"/>
      <c r="EE112" s="364"/>
      <c r="EF112" s="364"/>
      <c r="EG112" s="364"/>
      <c r="EH112" s="364"/>
      <c r="EI112" s="364"/>
      <c r="EJ112" s="364"/>
      <c r="EK112" s="364"/>
      <c r="EL112" s="364"/>
      <c r="EM112" s="364"/>
      <c r="EN112" s="364"/>
      <c r="EO112" s="364"/>
      <c r="EP112" s="364"/>
      <c r="EQ112" s="364"/>
      <c r="ER112" s="364"/>
      <c r="ES112" s="364"/>
      <c r="ET112" s="364"/>
      <c r="EU112" s="364"/>
      <c r="EV112" s="364"/>
      <c r="EW112" s="364"/>
      <c r="EX112" s="364"/>
      <c r="EY112" s="364"/>
      <c r="EZ112" s="364"/>
      <c r="FA112" s="364"/>
      <c r="FB112" s="364"/>
      <c r="FC112" s="364"/>
      <c r="FD112" s="364"/>
      <c r="FE112" s="364"/>
      <c r="FF112" s="364"/>
      <c r="FG112" s="364"/>
      <c r="FH112" s="364"/>
      <c r="FI112" s="364"/>
      <c r="FJ112" s="364"/>
      <c r="FK112" s="364"/>
    </row>
    <row r="113" customFormat="false" ht="15.75" hidden="false" customHeight="false" outlineLevel="0" collapsed="false">
      <c r="A113" s="364" t="n">
        <v>229</v>
      </c>
      <c r="B113" s="364" t="n">
        <f aca="false">COUNTA(D113:FK113)</f>
        <v>55</v>
      </c>
      <c r="C113" s="364" t="s">
        <v>746</v>
      </c>
      <c r="D113" s="364" t="s">
        <v>2561</v>
      </c>
      <c r="E113" s="364" t="s">
        <v>2402</v>
      </c>
      <c r="F113" s="364" t="s">
        <v>2405</v>
      </c>
      <c r="G113" s="364" t="s">
        <v>2312</v>
      </c>
      <c r="H113" s="364" t="s">
        <v>2356</v>
      </c>
      <c r="I113" s="364" t="s">
        <v>2313</v>
      </c>
      <c r="J113" s="364" t="s">
        <v>138</v>
      </c>
      <c r="K113" s="364" t="s">
        <v>2358</v>
      </c>
      <c r="L113" s="364" t="s">
        <v>2410</v>
      </c>
      <c r="M113" s="364" t="s">
        <v>2316</v>
      </c>
      <c r="N113" s="364" t="s">
        <v>2364</v>
      </c>
      <c r="O113" s="364" t="s">
        <v>2497</v>
      </c>
      <c r="P113" s="364" t="s">
        <v>2317</v>
      </c>
      <c r="Q113" s="364" t="s">
        <v>2320</v>
      </c>
      <c r="R113" s="364" t="s">
        <v>2376</v>
      </c>
      <c r="S113" s="364" t="s">
        <v>2377</v>
      </c>
      <c r="T113" s="364" t="s">
        <v>2324</v>
      </c>
      <c r="U113" s="364" t="s">
        <v>2327</v>
      </c>
      <c r="V113" s="364" t="s">
        <v>2328</v>
      </c>
      <c r="W113" s="364" t="s">
        <v>2329</v>
      </c>
      <c r="X113" s="364" t="s">
        <v>2415</v>
      </c>
      <c r="Y113" s="364" t="s">
        <v>2416</v>
      </c>
      <c r="Z113" s="364" t="s">
        <v>2417</v>
      </c>
      <c r="AA113" s="364" t="s">
        <v>2438</v>
      </c>
      <c r="AB113" s="364" t="s">
        <v>2381</v>
      </c>
      <c r="AC113" s="364" t="s">
        <v>2382</v>
      </c>
      <c r="AD113" s="364" t="s">
        <v>2383</v>
      </c>
      <c r="AE113" s="364" t="s">
        <v>2486</v>
      </c>
      <c r="AF113" s="364" t="s">
        <v>2615</v>
      </c>
      <c r="AG113" s="364" t="s">
        <v>2594</v>
      </c>
      <c r="AH113" s="261" t="s">
        <v>183</v>
      </c>
      <c r="AI113" s="364" t="s">
        <v>2387</v>
      </c>
      <c r="AJ113" s="364" t="s">
        <v>2337</v>
      </c>
      <c r="AK113" s="364" t="s">
        <v>2388</v>
      </c>
      <c r="AL113" s="364" t="s">
        <v>2339</v>
      </c>
      <c r="AM113" s="364" t="s">
        <v>2389</v>
      </c>
      <c r="AN113" s="364" t="s">
        <v>2420</v>
      </c>
      <c r="AO113" s="364" t="s">
        <v>2340</v>
      </c>
      <c r="AP113" s="364" t="s">
        <v>2421</v>
      </c>
      <c r="AQ113" s="364" t="s">
        <v>2341</v>
      </c>
      <c r="AR113" s="364" t="s">
        <v>2391</v>
      </c>
      <c r="AS113" s="364" t="s">
        <v>2591</v>
      </c>
      <c r="AT113" s="364" t="s">
        <v>2343</v>
      </c>
      <c r="AU113" s="364" t="s">
        <v>2471</v>
      </c>
      <c r="AV113" s="364" t="s">
        <v>2344</v>
      </c>
      <c r="AW113" s="364" t="s">
        <v>2346</v>
      </c>
      <c r="AX113" s="364" t="s">
        <v>2500</v>
      </c>
      <c r="AY113" s="364" t="s">
        <v>2347</v>
      </c>
      <c r="AZ113" s="364" t="s">
        <v>2424</v>
      </c>
      <c r="BA113" s="364" t="s">
        <v>2445</v>
      </c>
      <c r="BB113" s="364" t="s">
        <v>2425</v>
      </c>
      <c r="BC113" s="364" t="s">
        <v>2426</v>
      </c>
      <c r="BD113" s="364" t="s">
        <v>2428</v>
      </c>
      <c r="BE113" s="364" t="s">
        <v>2429</v>
      </c>
      <c r="BF113" s="364" t="s">
        <v>2572</v>
      </c>
      <c r="BG113" s="364"/>
      <c r="BH113" s="364"/>
      <c r="BI113" s="364"/>
      <c r="BJ113" s="364"/>
      <c r="BK113" s="364"/>
      <c r="BL113" s="364"/>
      <c r="BM113" s="364"/>
      <c r="BN113" s="364"/>
      <c r="BO113" s="364"/>
      <c r="BP113" s="364"/>
      <c r="BQ113" s="364"/>
      <c r="BR113" s="364"/>
      <c r="BS113" s="364"/>
      <c r="BT113" s="364"/>
      <c r="BU113" s="364"/>
      <c r="BV113" s="364"/>
      <c r="BW113" s="364"/>
      <c r="BX113" s="364"/>
      <c r="BY113" s="364"/>
      <c r="BZ113" s="364"/>
      <c r="CA113" s="364"/>
      <c r="CB113" s="364"/>
      <c r="CC113" s="364"/>
      <c r="CD113" s="364"/>
      <c r="CE113" s="364"/>
      <c r="CF113" s="364"/>
      <c r="CG113" s="364"/>
      <c r="CH113" s="364"/>
      <c r="CI113" s="364"/>
      <c r="CJ113" s="364"/>
      <c r="CK113" s="364"/>
      <c r="CL113" s="364"/>
      <c r="CM113" s="364"/>
      <c r="CN113" s="364"/>
      <c r="CO113" s="364"/>
      <c r="CP113" s="364"/>
      <c r="CQ113" s="364"/>
      <c r="CR113" s="364"/>
      <c r="CS113" s="364"/>
      <c r="CT113" s="364"/>
      <c r="CU113" s="364"/>
      <c r="CV113" s="364"/>
      <c r="CW113" s="364"/>
      <c r="CX113" s="364"/>
      <c r="CY113" s="364"/>
      <c r="CZ113" s="364"/>
      <c r="DA113" s="364"/>
      <c r="DB113" s="364"/>
      <c r="DC113" s="364"/>
      <c r="DD113" s="364"/>
      <c r="DE113" s="364"/>
      <c r="DF113" s="364"/>
      <c r="DG113" s="364"/>
      <c r="DH113" s="364"/>
      <c r="DI113" s="364"/>
      <c r="DJ113" s="364"/>
      <c r="DK113" s="364"/>
      <c r="DL113" s="364"/>
      <c r="DM113" s="364"/>
      <c r="DN113" s="364"/>
      <c r="DO113" s="364"/>
      <c r="DP113" s="364"/>
      <c r="DQ113" s="364"/>
      <c r="DR113" s="364"/>
      <c r="DS113" s="364"/>
      <c r="DT113" s="364"/>
      <c r="DU113" s="364"/>
      <c r="DV113" s="364"/>
      <c r="DW113" s="364"/>
      <c r="DX113" s="364"/>
      <c r="DY113" s="364"/>
      <c r="DZ113" s="364"/>
      <c r="EA113" s="364"/>
      <c r="EB113" s="364"/>
      <c r="EC113" s="364"/>
      <c r="ED113" s="364"/>
      <c r="EE113" s="364"/>
      <c r="EF113" s="364"/>
      <c r="EG113" s="364"/>
      <c r="EH113" s="364"/>
      <c r="EI113" s="364"/>
      <c r="EJ113" s="364"/>
      <c r="EK113" s="364"/>
      <c r="EL113" s="364"/>
      <c r="EM113" s="364"/>
      <c r="EN113" s="364"/>
      <c r="EO113" s="364"/>
      <c r="EP113" s="364"/>
      <c r="EQ113" s="364"/>
      <c r="ER113" s="364"/>
      <c r="ES113" s="364"/>
      <c r="ET113" s="364"/>
      <c r="EU113" s="364"/>
      <c r="EV113" s="364"/>
      <c r="EW113" s="364"/>
      <c r="EX113" s="364"/>
      <c r="EY113" s="364"/>
      <c r="EZ113" s="364"/>
      <c r="FA113" s="364"/>
      <c r="FB113" s="364"/>
      <c r="FC113" s="364"/>
      <c r="FD113" s="364"/>
      <c r="FE113" s="364"/>
      <c r="FF113" s="364"/>
      <c r="FG113" s="364"/>
      <c r="FH113" s="364"/>
      <c r="FI113" s="364"/>
      <c r="FJ113" s="364"/>
      <c r="FK113" s="364"/>
    </row>
    <row r="114" customFormat="false" ht="15.75" hidden="false" customHeight="false" outlineLevel="0" collapsed="false">
      <c r="A114" s="364" t="n">
        <v>230</v>
      </c>
      <c r="B114" s="364" t="n">
        <f aca="false">COUNTA(D114:FK114)</f>
        <v>35</v>
      </c>
      <c r="C114" s="364" t="s">
        <v>749</v>
      </c>
      <c r="D114" s="364" t="s">
        <v>2312</v>
      </c>
      <c r="E114" s="364" t="s">
        <v>2434</v>
      </c>
      <c r="F114" s="364" t="s">
        <v>2465</v>
      </c>
      <c r="G114" s="364" t="s">
        <v>2315</v>
      </c>
      <c r="H114" s="364" t="s">
        <v>2517</v>
      </c>
      <c r="I114" s="364" t="s">
        <v>2358</v>
      </c>
      <c r="J114" s="364" t="s">
        <v>2316</v>
      </c>
      <c r="K114" s="364" t="s">
        <v>2435</v>
      </c>
      <c r="L114" s="364" t="s">
        <v>2318</v>
      </c>
      <c r="M114" s="364" t="s">
        <v>2320</v>
      </c>
      <c r="N114" s="364" t="s">
        <v>2550</v>
      </c>
      <c r="O114" s="364" t="s">
        <v>2324</v>
      </c>
      <c r="P114" s="364" t="s">
        <v>2325</v>
      </c>
      <c r="Q114" s="364" t="s">
        <v>2327</v>
      </c>
      <c r="R114" s="364" t="s">
        <v>2328</v>
      </c>
      <c r="S114" s="364" t="s">
        <v>2329</v>
      </c>
      <c r="T114" s="364" t="s">
        <v>2521</v>
      </c>
      <c r="U114" s="364" t="s">
        <v>2381</v>
      </c>
      <c r="V114" s="364" t="s">
        <v>2468</v>
      </c>
      <c r="W114" s="261" t="s">
        <v>183</v>
      </c>
      <c r="X114" s="364" t="s">
        <v>2439</v>
      </c>
      <c r="Y114" s="364" t="s">
        <v>157</v>
      </c>
      <c r="Z114" s="364" t="s">
        <v>2495</v>
      </c>
      <c r="AA114" s="364" t="s">
        <v>2461</v>
      </c>
      <c r="AB114" s="364" t="s">
        <v>2337</v>
      </c>
      <c r="AC114" s="364" t="s">
        <v>2469</v>
      </c>
      <c r="AD114" s="364" t="s">
        <v>2340</v>
      </c>
      <c r="AE114" s="364" t="s">
        <v>2341</v>
      </c>
      <c r="AF114" s="364" t="s">
        <v>2442</v>
      </c>
      <c r="AG114" s="364" t="s">
        <v>2422</v>
      </c>
      <c r="AH114" s="364" t="s">
        <v>2344</v>
      </c>
      <c r="AI114" s="364" t="s">
        <v>2398</v>
      </c>
      <c r="AJ114" s="364" t="s">
        <v>2348</v>
      </c>
      <c r="AK114" s="364" t="s">
        <v>2493</v>
      </c>
      <c r="AL114" s="364" t="s">
        <v>2430</v>
      </c>
      <c r="AM114" s="364"/>
      <c r="AN114" s="364"/>
      <c r="AO114" s="364"/>
      <c r="AP114" s="364"/>
      <c r="AQ114" s="364"/>
      <c r="AR114" s="364"/>
      <c r="AS114" s="364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F114" s="364"/>
      <c r="BG114" s="364"/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364"/>
      <c r="BU114" s="364"/>
      <c r="BV114" s="364"/>
      <c r="BW114" s="364"/>
      <c r="BX114" s="364"/>
      <c r="BY114" s="364"/>
      <c r="BZ114" s="364"/>
      <c r="CA114" s="364"/>
      <c r="CB114" s="364"/>
      <c r="CC114" s="364"/>
      <c r="CD114" s="364"/>
      <c r="CE114" s="364"/>
      <c r="CF114" s="364"/>
      <c r="CG114" s="364"/>
      <c r="CH114" s="364"/>
      <c r="CI114" s="364"/>
      <c r="CJ114" s="364"/>
      <c r="CK114" s="364"/>
      <c r="CL114" s="364"/>
      <c r="CM114" s="364"/>
      <c r="CN114" s="364"/>
      <c r="CO114" s="364"/>
      <c r="CP114" s="364"/>
      <c r="CQ114" s="364"/>
      <c r="CR114" s="364"/>
      <c r="CS114" s="364"/>
      <c r="CT114" s="364"/>
      <c r="CU114" s="364"/>
      <c r="CV114" s="364"/>
      <c r="CW114" s="364"/>
      <c r="CX114" s="364"/>
      <c r="CY114" s="364"/>
      <c r="CZ114" s="364"/>
      <c r="DA114" s="364"/>
      <c r="DB114" s="364"/>
      <c r="DC114" s="364"/>
      <c r="DD114" s="364"/>
      <c r="DE114" s="364"/>
      <c r="DF114" s="364"/>
      <c r="DG114" s="364"/>
      <c r="DH114" s="364"/>
      <c r="DI114" s="364"/>
      <c r="DJ114" s="364"/>
      <c r="DK114" s="364"/>
      <c r="DL114" s="364"/>
      <c r="DM114" s="364"/>
      <c r="DN114" s="364"/>
      <c r="DO114" s="364"/>
      <c r="DP114" s="364"/>
      <c r="DQ114" s="364"/>
      <c r="DR114" s="364"/>
      <c r="DS114" s="364"/>
      <c r="DT114" s="364"/>
      <c r="DU114" s="364"/>
      <c r="DV114" s="364"/>
      <c r="DW114" s="364"/>
      <c r="DX114" s="364"/>
      <c r="DY114" s="364"/>
      <c r="DZ114" s="364"/>
      <c r="EA114" s="364"/>
      <c r="EB114" s="364"/>
      <c r="EC114" s="364"/>
      <c r="ED114" s="364"/>
      <c r="EE114" s="364"/>
      <c r="EF114" s="364"/>
      <c r="EG114" s="364"/>
      <c r="EH114" s="364"/>
      <c r="EI114" s="364"/>
      <c r="EJ114" s="364"/>
      <c r="EK114" s="364"/>
      <c r="EL114" s="364"/>
      <c r="EM114" s="364"/>
      <c r="EN114" s="364"/>
      <c r="EO114" s="364"/>
      <c r="EP114" s="364"/>
      <c r="EQ114" s="364"/>
      <c r="ER114" s="364"/>
      <c r="ES114" s="364"/>
      <c r="ET114" s="364"/>
      <c r="EU114" s="364"/>
      <c r="EV114" s="364"/>
      <c r="EW114" s="364"/>
      <c r="EX114" s="364"/>
      <c r="EY114" s="364"/>
      <c r="EZ114" s="364"/>
      <c r="FA114" s="364"/>
      <c r="FB114" s="364"/>
      <c r="FC114" s="364"/>
      <c r="FD114" s="364"/>
      <c r="FE114" s="364"/>
      <c r="FF114" s="364"/>
      <c r="FG114" s="364"/>
      <c r="FH114" s="364"/>
      <c r="FI114" s="364"/>
      <c r="FJ114" s="364"/>
      <c r="FK114" s="364"/>
    </row>
    <row r="115" customFormat="false" ht="15.75" hidden="false" customHeight="false" outlineLevel="0" collapsed="false">
      <c r="A115" s="364" t="n">
        <v>231</v>
      </c>
      <c r="B115" s="364" t="n">
        <f aca="false">COUNTA(D115:FK115)</f>
        <v>36</v>
      </c>
      <c r="C115" s="364" t="s">
        <v>752</v>
      </c>
      <c r="D115" s="364" t="s">
        <v>2447</v>
      </c>
      <c r="E115" s="364" t="s">
        <v>2312</v>
      </c>
      <c r="F115" s="364" t="s">
        <v>2465</v>
      </c>
      <c r="G115" s="364" t="s">
        <v>2315</v>
      </c>
      <c r="H115" s="364" t="s">
        <v>2409</v>
      </c>
      <c r="I115" s="364" t="s">
        <v>2358</v>
      </c>
      <c r="J115" s="364" t="s">
        <v>2316</v>
      </c>
      <c r="K115" s="364" t="s">
        <v>2435</v>
      </c>
      <c r="L115" s="364" t="s">
        <v>2318</v>
      </c>
      <c r="M115" s="364" t="s">
        <v>2320</v>
      </c>
      <c r="N115" s="364" t="s">
        <v>2535</v>
      </c>
      <c r="O115" s="364" t="s">
        <v>2523</v>
      </c>
      <c r="P115" s="364" t="s">
        <v>2324</v>
      </c>
      <c r="Q115" s="364" t="s">
        <v>2327</v>
      </c>
      <c r="R115" s="364" t="s">
        <v>2328</v>
      </c>
      <c r="S115" s="364" t="s">
        <v>2329</v>
      </c>
      <c r="T115" s="364" t="s">
        <v>2521</v>
      </c>
      <c r="U115" s="364" t="s">
        <v>2381</v>
      </c>
      <c r="V115" s="364" t="s">
        <v>2468</v>
      </c>
      <c r="W115" s="261" t="s">
        <v>183</v>
      </c>
      <c r="X115" s="364" t="s">
        <v>2452</v>
      </c>
      <c r="Y115" s="364" t="s">
        <v>157</v>
      </c>
      <c r="Z115" s="364" t="s">
        <v>2455</v>
      </c>
      <c r="AA115" s="364" t="s">
        <v>2461</v>
      </c>
      <c r="AB115" s="364" t="s">
        <v>2337</v>
      </c>
      <c r="AC115" s="364" t="s">
        <v>2469</v>
      </c>
      <c r="AD115" s="364" t="s">
        <v>2340</v>
      </c>
      <c r="AE115" s="364" t="s">
        <v>2341</v>
      </c>
      <c r="AF115" s="364" t="s">
        <v>2442</v>
      </c>
      <c r="AG115" s="364" t="s">
        <v>2472</v>
      </c>
      <c r="AH115" s="364" t="s">
        <v>2344</v>
      </c>
      <c r="AI115" s="364" t="s">
        <v>2473</v>
      </c>
      <c r="AJ115" s="364" t="s">
        <v>2398</v>
      </c>
      <c r="AK115" s="364" t="s">
        <v>2348</v>
      </c>
      <c r="AL115" s="364" t="s">
        <v>2456</v>
      </c>
      <c r="AM115" s="364" t="s">
        <v>2493</v>
      </c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/>
      <c r="BB115" s="364"/>
      <c r="BC115" s="364"/>
      <c r="BD115" s="364"/>
      <c r="BE115" s="364"/>
      <c r="BF115" s="364"/>
      <c r="BG115" s="364"/>
      <c r="BH115" s="364"/>
      <c r="BI115" s="364"/>
      <c r="BJ115" s="364"/>
      <c r="BK115" s="364"/>
      <c r="BL115" s="364"/>
      <c r="BM115" s="364"/>
      <c r="BN115" s="364"/>
      <c r="BO115" s="364"/>
      <c r="BP115" s="364"/>
      <c r="BQ115" s="364"/>
      <c r="BR115" s="364"/>
      <c r="BS115" s="364"/>
      <c r="BT115" s="364"/>
      <c r="BU115" s="364"/>
      <c r="BV115" s="364"/>
      <c r="BW115" s="364"/>
      <c r="BX115" s="364"/>
      <c r="BY115" s="364"/>
      <c r="BZ115" s="364"/>
      <c r="CA115" s="364"/>
      <c r="CB115" s="364"/>
      <c r="CC115" s="364"/>
      <c r="CD115" s="364"/>
      <c r="CE115" s="364"/>
      <c r="CF115" s="364"/>
      <c r="CG115" s="364"/>
      <c r="CH115" s="364"/>
      <c r="CI115" s="364"/>
      <c r="CJ115" s="364"/>
      <c r="CK115" s="364"/>
      <c r="CL115" s="364"/>
      <c r="CM115" s="364"/>
      <c r="CN115" s="364"/>
      <c r="CO115" s="364"/>
      <c r="CP115" s="364"/>
      <c r="CQ115" s="364"/>
      <c r="CR115" s="364"/>
      <c r="CS115" s="364"/>
      <c r="CT115" s="364"/>
      <c r="CU115" s="364"/>
      <c r="CV115" s="364"/>
      <c r="CW115" s="364"/>
      <c r="CX115" s="364"/>
      <c r="CY115" s="364"/>
      <c r="CZ115" s="364"/>
      <c r="DA115" s="364"/>
      <c r="DB115" s="364"/>
      <c r="DC115" s="364"/>
      <c r="DD115" s="364"/>
      <c r="DE115" s="364"/>
      <c r="DF115" s="364"/>
      <c r="DG115" s="364"/>
      <c r="DH115" s="364"/>
      <c r="DI115" s="364"/>
      <c r="DJ115" s="364"/>
      <c r="DK115" s="364"/>
      <c r="DL115" s="364"/>
      <c r="DM115" s="364"/>
      <c r="DN115" s="364"/>
      <c r="DO115" s="364"/>
      <c r="DP115" s="364"/>
      <c r="DQ115" s="364"/>
      <c r="DR115" s="364"/>
      <c r="DS115" s="364"/>
      <c r="DT115" s="364"/>
      <c r="DU115" s="364"/>
      <c r="DV115" s="364"/>
      <c r="DW115" s="364"/>
      <c r="DX115" s="364"/>
      <c r="DY115" s="364"/>
      <c r="DZ115" s="364"/>
      <c r="EA115" s="364"/>
      <c r="EB115" s="364"/>
      <c r="EC115" s="364"/>
      <c r="ED115" s="364"/>
      <c r="EE115" s="364"/>
      <c r="EF115" s="364"/>
      <c r="EG115" s="364"/>
      <c r="EH115" s="364"/>
      <c r="EI115" s="364"/>
      <c r="EJ115" s="364"/>
      <c r="EK115" s="364"/>
      <c r="EL115" s="364"/>
      <c r="EM115" s="364"/>
      <c r="EN115" s="364"/>
      <c r="EO115" s="364"/>
      <c r="EP115" s="364"/>
      <c r="EQ115" s="364"/>
      <c r="ER115" s="364"/>
      <c r="ES115" s="364"/>
      <c r="ET115" s="364"/>
      <c r="EU115" s="364"/>
      <c r="EV115" s="364"/>
      <c r="EW115" s="364"/>
      <c r="EX115" s="364"/>
      <c r="EY115" s="364"/>
      <c r="EZ115" s="364"/>
      <c r="FA115" s="364"/>
      <c r="FB115" s="364"/>
      <c r="FC115" s="364"/>
      <c r="FD115" s="364"/>
      <c r="FE115" s="364"/>
      <c r="FF115" s="364"/>
      <c r="FG115" s="364"/>
      <c r="FH115" s="364"/>
      <c r="FI115" s="364"/>
      <c r="FJ115" s="364"/>
      <c r="FK115" s="364"/>
    </row>
    <row r="116" customFormat="false" ht="15.75" hidden="false" customHeight="false" outlineLevel="0" collapsed="false">
      <c r="A116" s="364" t="n">
        <v>232</v>
      </c>
      <c r="B116" s="364" t="n">
        <f aca="false">COUNTA(D116:FK116)</f>
        <v>40</v>
      </c>
      <c r="C116" s="364" t="s">
        <v>754</v>
      </c>
      <c r="D116" s="364" t="s">
        <v>2352</v>
      </c>
      <c r="E116" s="364" t="s">
        <v>2353</v>
      </c>
      <c r="F116" s="364" t="s">
        <v>2447</v>
      </c>
      <c r="G116" s="364" t="s">
        <v>2528</v>
      </c>
      <c r="H116" s="364" t="s">
        <v>2577</v>
      </c>
      <c r="I116" s="364" t="s">
        <v>2409</v>
      </c>
      <c r="J116" s="364" t="s">
        <v>2316</v>
      </c>
      <c r="K116" s="364" t="s">
        <v>2435</v>
      </c>
      <c r="L116" s="364" t="s">
        <v>2479</v>
      </c>
      <c r="M116" s="364" t="s">
        <v>2320</v>
      </c>
      <c r="N116" s="364" t="s">
        <v>2535</v>
      </c>
      <c r="O116" s="364" t="s">
        <v>2375</v>
      </c>
      <c r="P116" s="364" t="s">
        <v>2523</v>
      </c>
      <c r="Q116" s="364" t="s">
        <v>2378</v>
      </c>
      <c r="R116" s="364" t="s">
        <v>2328</v>
      </c>
      <c r="S116" s="364" t="s">
        <v>2417</v>
      </c>
      <c r="T116" s="261" t="s">
        <v>183</v>
      </c>
      <c r="U116" s="364" t="s">
        <v>2589</v>
      </c>
      <c r="V116" s="364" t="s">
        <v>2385</v>
      </c>
      <c r="W116" s="364" t="s">
        <v>2452</v>
      </c>
      <c r="X116" s="364" t="s">
        <v>2480</v>
      </c>
      <c r="Y116" s="364" t="s">
        <v>2460</v>
      </c>
      <c r="Z116" s="364" t="s">
        <v>157</v>
      </c>
      <c r="AA116" s="364" t="s">
        <v>2455</v>
      </c>
      <c r="AB116" s="364" t="s">
        <v>2461</v>
      </c>
      <c r="AC116" s="364" t="s">
        <v>2337</v>
      </c>
      <c r="AD116" s="364" t="s">
        <v>2469</v>
      </c>
      <c r="AE116" s="364" t="s">
        <v>2340</v>
      </c>
      <c r="AF116" s="364" t="s">
        <v>2341</v>
      </c>
      <c r="AG116" s="364" t="s">
        <v>2442</v>
      </c>
      <c r="AH116" s="364" t="s">
        <v>2462</v>
      </c>
      <c r="AI116" s="364" t="s">
        <v>2472</v>
      </c>
      <c r="AJ116" s="364" t="s">
        <v>2344</v>
      </c>
      <c r="AK116" s="364" t="s">
        <v>2396</v>
      </c>
      <c r="AL116" s="364" t="s">
        <v>2473</v>
      </c>
      <c r="AM116" s="364" t="s">
        <v>2398</v>
      </c>
      <c r="AN116" s="364" t="s">
        <v>2445</v>
      </c>
      <c r="AO116" s="364" t="s">
        <v>2400</v>
      </c>
      <c r="AP116" s="364" t="s">
        <v>2463</v>
      </c>
      <c r="AQ116" s="364" t="s">
        <v>2401</v>
      </c>
      <c r="AR116" s="364"/>
      <c r="AS116" s="364"/>
      <c r="AT116" s="364"/>
      <c r="AU116" s="364"/>
      <c r="AV116" s="364"/>
      <c r="AW116" s="364"/>
      <c r="AX116" s="364"/>
      <c r="AY116" s="364"/>
      <c r="AZ116" s="364"/>
      <c r="BA116" s="364"/>
      <c r="BB116" s="364"/>
      <c r="BC116" s="364"/>
      <c r="BD116" s="364"/>
      <c r="BE116" s="364"/>
      <c r="BF116" s="364"/>
      <c r="BG116" s="364"/>
      <c r="BH116" s="364"/>
      <c r="BI116" s="364"/>
      <c r="BJ116" s="364"/>
      <c r="BK116" s="364"/>
      <c r="BL116" s="364"/>
      <c r="BM116" s="364"/>
      <c r="BN116" s="364"/>
      <c r="BO116" s="364"/>
      <c r="BP116" s="364"/>
      <c r="BQ116" s="364"/>
      <c r="BR116" s="364"/>
      <c r="BS116" s="364"/>
      <c r="BT116" s="364"/>
      <c r="BU116" s="364"/>
      <c r="BV116" s="364"/>
      <c r="BW116" s="364"/>
      <c r="BX116" s="364"/>
      <c r="BY116" s="364"/>
      <c r="BZ116" s="364"/>
      <c r="CA116" s="364"/>
      <c r="CB116" s="364"/>
      <c r="CC116" s="364"/>
      <c r="CD116" s="364"/>
      <c r="CE116" s="364"/>
      <c r="CF116" s="364"/>
      <c r="CG116" s="364"/>
      <c r="CH116" s="364"/>
      <c r="CI116" s="364"/>
      <c r="CJ116" s="364"/>
      <c r="CK116" s="364"/>
      <c r="CL116" s="364"/>
      <c r="CM116" s="364"/>
      <c r="CN116" s="364"/>
      <c r="CO116" s="364"/>
      <c r="CP116" s="364"/>
      <c r="CQ116" s="364"/>
      <c r="CR116" s="364"/>
      <c r="CS116" s="364"/>
      <c r="CT116" s="364"/>
      <c r="CU116" s="364"/>
      <c r="CV116" s="364"/>
      <c r="CW116" s="364"/>
      <c r="CX116" s="364"/>
      <c r="CY116" s="364"/>
      <c r="CZ116" s="364"/>
      <c r="DA116" s="364"/>
      <c r="DB116" s="364"/>
      <c r="DC116" s="364"/>
      <c r="DD116" s="364"/>
      <c r="DE116" s="364"/>
      <c r="DF116" s="364"/>
      <c r="DG116" s="364"/>
      <c r="DH116" s="364"/>
      <c r="DI116" s="364"/>
      <c r="DJ116" s="364"/>
      <c r="DK116" s="364"/>
      <c r="DL116" s="364"/>
      <c r="DM116" s="364"/>
      <c r="DN116" s="364"/>
      <c r="DO116" s="364"/>
      <c r="DP116" s="364"/>
      <c r="DQ116" s="364"/>
      <c r="DR116" s="364"/>
      <c r="DS116" s="364"/>
      <c r="DT116" s="364"/>
      <c r="DU116" s="364"/>
      <c r="DV116" s="364"/>
      <c r="DW116" s="364"/>
      <c r="DX116" s="364"/>
      <c r="DY116" s="364"/>
      <c r="DZ116" s="364"/>
      <c r="EA116" s="364"/>
      <c r="EB116" s="364"/>
      <c r="EC116" s="364"/>
      <c r="ED116" s="364"/>
      <c r="EE116" s="364"/>
      <c r="EF116" s="364"/>
      <c r="EG116" s="364"/>
      <c r="EH116" s="364"/>
      <c r="EI116" s="364"/>
      <c r="EJ116" s="364"/>
      <c r="EK116" s="364"/>
      <c r="EL116" s="364"/>
      <c r="EM116" s="364"/>
      <c r="EN116" s="364"/>
      <c r="EO116" s="364"/>
      <c r="EP116" s="364"/>
      <c r="EQ116" s="364"/>
      <c r="ER116" s="364"/>
      <c r="ES116" s="364"/>
      <c r="ET116" s="364"/>
      <c r="EU116" s="364"/>
      <c r="EV116" s="364"/>
      <c r="EW116" s="364"/>
      <c r="EX116" s="364"/>
      <c r="EY116" s="364"/>
      <c r="EZ116" s="364"/>
      <c r="FA116" s="364"/>
      <c r="FB116" s="364"/>
      <c r="FC116" s="364"/>
      <c r="FD116" s="364"/>
      <c r="FE116" s="364"/>
      <c r="FF116" s="364"/>
      <c r="FG116" s="364"/>
      <c r="FH116" s="364"/>
      <c r="FI116" s="364"/>
      <c r="FJ116" s="364"/>
      <c r="FK116" s="364"/>
    </row>
    <row r="117" customFormat="false" ht="15.75" hidden="false" customHeight="false" outlineLevel="0" collapsed="false">
      <c r="A117" s="364" t="n">
        <v>233</v>
      </c>
      <c r="B117" s="364" t="n">
        <f aca="false">COUNTA(D117:FK117)</f>
        <v>61</v>
      </c>
      <c r="C117" s="364" t="s">
        <v>756</v>
      </c>
      <c r="D117" s="364" t="s">
        <v>2402</v>
      </c>
      <c r="E117" s="364" t="s">
        <v>2403</v>
      </c>
      <c r="F117" s="364" t="s">
        <v>2405</v>
      </c>
      <c r="G117" s="364" t="s">
        <v>2312</v>
      </c>
      <c r="H117" s="364" t="s">
        <v>2356</v>
      </c>
      <c r="I117" s="364" t="s">
        <v>2406</v>
      </c>
      <c r="J117" s="364" t="s">
        <v>2313</v>
      </c>
      <c r="K117" s="364" t="s">
        <v>2434</v>
      </c>
      <c r="L117" s="364" t="s">
        <v>138</v>
      </c>
      <c r="M117" s="364" t="s">
        <v>2358</v>
      </c>
      <c r="N117" s="364" t="s">
        <v>2410</v>
      </c>
      <c r="O117" s="364" t="s">
        <v>2316</v>
      </c>
      <c r="P117" s="364" t="s">
        <v>2363</v>
      </c>
      <c r="Q117" s="364" t="s">
        <v>2520</v>
      </c>
      <c r="R117" s="364" t="s">
        <v>2435</v>
      </c>
      <c r="S117" s="364" t="s">
        <v>2364</v>
      </c>
      <c r="T117" s="364" t="s">
        <v>2317</v>
      </c>
      <c r="U117" s="364" t="s">
        <v>2318</v>
      </c>
      <c r="V117" s="364" t="s">
        <v>2320</v>
      </c>
      <c r="W117" s="364" t="s">
        <v>2366</v>
      </c>
      <c r="X117" s="364" t="s">
        <v>2373</v>
      </c>
      <c r="Y117" s="364" t="s">
        <v>2376</v>
      </c>
      <c r="Z117" s="364" t="s">
        <v>2377</v>
      </c>
      <c r="AA117" s="364" t="s">
        <v>2523</v>
      </c>
      <c r="AB117" s="364" t="s">
        <v>2322</v>
      </c>
      <c r="AC117" s="364" t="s">
        <v>2324</v>
      </c>
      <c r="AD117" s="364" t="s">
        <v>2325</v>
      </c>
      <c r="AE117" s="364" t="s">
        <v>2327</v>
      </c>
      <c r="AF117" s="364" t="s">
        <v>2328</v>
      </c>
      <c r="AG117" s="364" t="s">
        <v>2329</v>
      </c>
      <c r="AH117" s="364" t="s">
        <v>2415</v>
      </c>
      <c r="AI117" s="364" t="s">
        <v>2416</v>
      </c>
      <c r="AJ117" s="364" t="s">
        <v>2417</v>
      </c>
      <c r="AK117" s="364" t="s">
        <v>2379</v>
      </c>
      <c r="AL117" s="364" t="s">
        <v>2381</v>
      </c>
      <c r="AM117" s="364" t="s">
        <v>2382</v>
      </c>
      <c r="AN117" s="364" t="s">
        <v>2383</v>
      </c>
      <c r="AO117" s="261" t="s">
        <v>183</v>
      </c>
      <c r="AP117" s="364" t="s">
        <v>2536</v>
      </c>
      <c r="AQ117" s="364" t="s">
        <v>2387</v>
      </c>
      <c r="AR117" s="364" t="s">
        <v>157</v>
      </c>
      <c r="AS117" s="364" t="s">
        <v>2495</v>
      </c>
      <c r="AT117" s="364" t="s">
        <v>2337</v>
      </c>
      <c r="AU117" s="364" t="s">
        <v>2339</v>
      </c>
      <c r="AV117" s="364" t="s">
        <v>2340</v>
      </c>
      <c r="AW117" s="364" t="s">
        <v>2421</v>
      </c>
      <c r="AX117" s="364" t="s">
        <v>2341</v>
      </c>
      <c r="AY117" s="364" t="s">
        <v>2391</v>
      </c>
      <c r="AZ117" s="364" t="s">
        <v>2442</v>
      </c>
      <c r="BA117" s="364" t="s">
        <v>2422</v>
      </c>
      <c r="BB117" s="364" t="s">
        <v>2344</v>
      </c>
      <c r="BC117" s="364" t="s">
        <v>2347</v>
      </c>
      <c r="BD117" s="364" t="s">
        <v>2424</v>
      </c>
      <c r="BE117" s="364" t="s">
        <v>2398</v>
      </c>
      <c r="BF117" s="364" t="s">
        <v>2348</v>
      </c>
      <c r="BG117" s="364" t="s">
        <v>2426</v>
      </c>
      <c r="BH117" s="364" t="s">
        <v>2428</v>
      </c>
      <c r="BI117" s="364" t="s">
        <v>2429</v>
      </c>
      <c r="BJ117" s="364" t="s">
        <v>2572</v>
      </c>
      <c r="BK117" s="364" t="s">
        <v>2493</v>
      </c>
      <c r="BL117" s="364" t="s">
        <v>2430</v>
      </c>
      <c r="BM117" s="364"/>
      <c r="BN117" s="364"/>
      <c r="BO117" s="364"/>
      <c r="BP117" s="364"/>
      <c r="BQ117" s="364"/>
      <c r="BR117" s="364"/>
      <c r="BS117" s="364"/>
      <c r="BT117" s="364"/>
      <c r="BU117" s="364"/>
      <c r="BV117" s="364"/>
      <c r="BW117" s="364"/>
      <c r="BX117" s="364"/>
      <c r="BY117" s="364"/>
      <c r="BZ117" s="364"/>
      <c r="CA117" s="364"/>
      <c r="CB117" s="364"/>
      <c r="CC117" s="364"/>
      <c r="CD117" s="364"/>
      <c r="CE117" s="364"/>
      <c r="CF117" s="364"/>
      <c r="CG117" s="364"/>
      <c r="CH117" s="364"/>
      <c r="CI117" s="364"/>
      <c r="CJ117" s="364"/>
      <c r="CK117" s="364"/>
      <c r="CL117" s="364"/>
      <c r="CM117" s="364"/>
      <c r="CN117" s="364"/>
      <c r="CO117" s="364"/>
      <c r="CP117" s="364"/>
      <c r="CQ117" s="364"/>
      <c r="CR117" s="364"/>
      <c r="CS117" s="364"/>
      <c r="CT117" s="364"/>
      <c r="CU117" s="364"/>
      <c r="CV117" s="364"/>
      <c r="CW117" s="364"/>
      <c r="CX117" s="364"/>
      <c r="CY117" s="364"/>
      <c r="CZ117" s="364"/>
      <c r="DA117" s="364"/>
      <c r="DB117" s="364"/>
      <c r="DC117" s="364"/>
      <c r="DD117" s="364"/>
      <c r="DE117" s="364"/>
      <c r="DF117" s="364"/>
      <c r="DG117" s="364"/>
      <c r="DH117" s="364"/>
      <c r="DI117" s="364"/>
      <c r="DJ117" s="364"/>
      <c r="DK117" s="364"/>
      <c r="DL117" s="364"/>
      <c r="DM117" s="364"/>
      <c r="DN117" s="364"/>
      <c r="DO117" s="364"/>
      <c r="DP117" s="364"/>
      <c r="DQ117" s="364"/>
      <c r="DR117" s="364"/>
      <c r="DS117" s="364"/>
      <c r="DT117" s="364"/>
      <c r="DU117" s="364"/>
      <c r="DV117" s="364"/>
      <c r="DW117" s="364"/>
      <c r="DX117" s="364"/>
      <c r="DY117" s="364"/>
      <c r="DZ117" s="364"/>
      <c r="EA117" s="364"/>
      <c r="EB117" s="364"/>
      <c r="EC117" s="364"/>
      <c r="ED117" s="364"/>
      <c r="EE117" s="364"/>
      <c r="EF117" s="364"/>
      <c r="EG117" s="364"/>
      <c r="EH117" s="364"/>
      <c r="EI117" s="364"/>
      <c r="EJ117" s="364"/>
      <c r="EK117" s="364"/>
      <c r="EL117" s="364"/>
      <c r="EM117" s="364"/>
      <c r="EN117" s="364"/>
      <c r="EO117" s="364"/>
      <c r="EP117" s="364"/>
      <c r="EQ117" s="364"/>
      <c r="ER117" s="364"/>
      <c r="ES117" s="364"/>
      <c r="ET117" s="364"/>
      <c r="EU117" s="364"/>
      <c r="EV117" s="364"/>
      <c r="EW117" s="364"/>
      <c r="EX117" s="364"/>
      <c r="EY117" s="364"/>
      <c r="EZ117" s="364"/>
      <c r="FA117" s="364"/>
      <c r="FB117" s="364"/>
      <c r="FC117" s="364"/>
      <c r="FD117" s="364"/>
      <c r="FE117" s="364"/>
      <c r="FF117" s="364"/>
      <c r="FG117" s="364"/>
      <c r="FH117" s="364"/>
      <c r="FI117" s="364"/>
      <c r="FJ117" s="364"/>
      <c r="FK117" s="364"/>
    </row>
    <row r="118" customFormat="false" ht="15.75" hidden="false" customHeight="false" outlineLevel="0" collapsed="false">
      <c r="A118" s="364" t="n">
        <v>234</v>
      </c>
      <c r="B118" s="364" t="n">
        <f aca="false">COUNTA(D118:FK118)</f>
        <v>36</v>
      </c>
      <c r="C118" s="364" t="s">
        <v>758</v>
      </c>
      <c r="D118" s="364" t="s">
        <v>2352</v>
      </c>
      <c r="E118" s="364" t="s">
        <v>2528</v>
      </c>
      <c r="F118" s="364" t="s">
        <v>2464</v>
      </c>
      <c r="G118" s="364" t="s">
        <v>2409</v>
      </c>
      <c r="H118" s="364" t="s">
        <v>2517</v>
      </c>
      <c r="I118" s="364" t="s">
        <v>2316</v>
      </c>
      <c r="J118" s="364" t="s">
        <v>2435</v>
      </c>
      <c r="K118" s="364" t="s">
        <v>2318</v>
      </c>
      <c r="L118" s="364" t="s">
        <v>2320</v>
      </c>
      <c r="M118" s="364" t="s">
        <v>2523</v>
      </c>
      <c r="N118" s="364" t="s">
        <v>2327</v>
      </c>
      <c r="O118" s="364" t="s">
        <v>2560</v>
      </c>
      <c r="P118" s="364" t="s">
        <v>2328</v>
      </c>
      <c r="Q118" s="364" t="s">
        <v>2521</v>
      </c>
      <c r="R118" s="364" t="s">
        <v>2417</v>
      </c>
      <c r="S118" s="364" t="s">
        <v>2380</v>
      </c>
      <c r="T118" s="364" t="s">
        <v>2385</v>
      </c>
      <c r="U118" s="364" t="s">
        <v>2452</v>
      </c>
      <c r="V118" s="364" t="s">
        <v>2536</v>
      </c>
      <c r="W118" s="364" t="s">
        <v>2439</v>
      </c>
      <c r="X118" s="364" t="s">
        <v>157</v>
      </c>
      <c r="Y118" s="364" t="s">
        <v>2440</v>
      </c>
      <c r="Z118" s="364" t="s">
        <v>2337</v>
      </c>
      <c r="AA118" s="364" t="s">
        <v>2340</v>
      </c>
      <c r="AB118" s="364" t="s">
        <v>2341</v>
      </c>
      <c r="AC118" s="364" t="s">
        <v>2442</v>
      </c>
      <c r="AD118" s="364" t="s">
        <v>2639</v>
      </c>
      <c r="AE118" s="364" t="s">
        <v>2470</v>
      </c>
      <c r="AF118" s="364" t="s">
        <v>2344</v>
      </c>
      <c r="AG118" s="364" t="s">
        <v>2473</v>
      </c>
      <c r="AH118" s="364" t="s">
        <v>2398</v>
      </c>
      <c r="AI118" s="364" t="s">
        <v>2445</v>
      </c>
      <c r="AJ118" s="364" t="s">
        <v>2475</v>
      </c>
      <c r="AK118" s="364" t="s">
        <v>2476</v>
      </c>
      <c r="AL118" s="364" t="s">
        <v>2463</v>
      </c>
      <c r="AM118" s="364" t="s">
        <v>2493</v>
      </c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4"/>
      <c r="BE118" s="364"/>
      <c r="BF118" s="364"/>
      <c r="BG118" s="364"/>
      <c r="BH118" s="364"/>
      <c r="BI118" s="364"/>
      <c r="BJ118" s="364"/>
      <c r="BK118" s="364"/>
      <c r="BL118" s="364"/>
      <c r="BM118" s="364"/>
      <c r="BN118" s="364"/>
      <c r="BO118" s="364"/>
      <c r="BP118" s="364"/>
      <c r="BQ118" s="364"/>
      <c r="BR118" s="364"/>
      <c r="BS118" s="364"/>
      <c r="BT118" s="364"/>
      <c r="BU118" s="364"/>
      <c r="BV118" s="364"/>
      <c r="BW118" s="364"/>
      <c r="BX118" s="364"/>
      <c r="BY118" s="364"/>
      <c r="BZ118" s="364"/>
      <c r="CA118" s="364"/>
      <c r="CB118" s="364"/>
      <c r="CC118" s="364"/>
      <c r="CD118" s="364"/>
      <c r="CE118" s="364"/>
      <c r="CF118" s="364"/>
      <c r="CG118" s="364"/>
      <c r="CH118" s="364"/>
      <c r="CI118" s="364"/>
      <c r="CJ118" s="364"/>
      <c r="CK118" s="364"/>
      <c r="CL118" s="364"/>
      <c r="CM118" s="364"/>
      <c r="CN118" s="364"/>
      <c r="CO118" s="364"/>
      <c r="CP118" s="364"/>
      <c r="CQ118" s="364"/>
      <c r="CR118" s="364"/>
      <c r="CS118" s="364"/>
      <c r="CT118" s="364"/>
      <c r="CU118" s="364"/>
      <c r="CV118" s="364"/>
      <c r="CW118" s="364"/>
      <c r="CX118" s="364"/>
      <c r="CY118" s="364"/>
      <c r="CZ118" s="364"/>
      <c r="DA118" s="364"/>
      <c r="DB118" s="364"/>
      <c r="DC118" s="364"/>
      <c r="DD118" s="364"/>
      <c r="DE118" s="364"/>
      <c r="DF118" s="364"/>
      <c r="DG118" s="364"/>
      <c r="DH118" s="364"/>
      <c r="DI118" s="364"/>
      <c r="DJ118" s="364"/>
      <c r="DK118" s="364"/>
      <c r="DL118" s="364"/>
      <c r="DM118" s="364"/>
      <c r="DN118" s="364"/>
      <c r="DO118" s="364"/>
      <c r="DP118" s="364"/>
      <c r="DQ118" s="364"/>
      <c r="DR118" s="364"/>
      <c r="DS118" s="364"/>
      <c r="DT118" s="364"/>
      <c r="DU118" s="364"/>
      <c r="DV118" s="364"/>
      <c r="DW118" s="364"/>
      <c r="DX118" s="364"/>
      <c r="DY118" s="364"/>
      <c r="DZ118" s="364"/>
      <c r="EA118" s="364"/>
      <c r="EB118" s="364"/>
      <c r="EC118" s="364"/>
      <c r="ED118" s="364"/>
      <c r="EE118" s="364"/>
      <c r="EF118" s="364"/>
      <c r="EG118" s="364"/>
      <c r="EH118" s="364"/>
      <c r="EI118" s="364"/>
      <c r="EJ118" s="364"/>
      <c r="EK118" s="364"/>
      <c r="EL118" s="364"/>
      <c r="EM118" s="364"/>
      <c r="EN118" s="364"/>
      <c r="EO118" s="364"/>
      <c r="EP118" s="364"/>
      <c r="EQ118" s="364"/>
      <c r="ER118" s="364"/>
      <c r="ES118" s="364"/>
      <c r="ET118" s="364"/>
      <c r="EU118" s="364"/>
      <c r="EV118" s="364"/>
      <c r="EW118" s="364"/>
      <c r="EX118" s="364"/>
      <c r="EY118" s="364"/>
      <c r="EZ118" s="364"/>
      <c r="FA118" s="364"/>
      <c r="FB118" s="364"/>
      <c r="FC118" s="364"/>
      <c r="FD118" s="364"/>
      <c r="FE118" s="364"/>
      <c r="FF118" s="364"/>
      <c r="FG118" s="364"/>
      <c r="FH118" s="364"/>
      <c r="FI118" s="364"/>
      <c r="FJ118" s="364"/>
      <c r="FK118" s="364"/>
    </row>
    <row r="119" customFormat="false" ht="15.75" hidden="false" customHeight="false" outlineLevel="0" collapsed="false">
      <c r="A119" s="364" t="n">
        <v>235</v>
      </c>
      <c r="B119" s="364" t="n">
        <f aca="false">COUNTA(D119:FK119)</f>
        <v>1</v>
      </c>
      <c r="C119" s="364" t="s">
        <v>760</v>
      </c>
      <c r="D119" s="364" t="s">
        <v>2328</v>
      </c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  <c r="AB119" s="364"/>
      <c r="AC119" s="364"/>
      <c r="AD119" s="364"/>
      <c r="AE119" s="364"/>
      <c r="AF119" s="364"/>
      <c r="AG119" s="364"/>
      <c r="AH119" s="364"/>
      <c r="AI119" s="364"/>
      <c r="AJ119" s="364"/>
      <c r="AK119" s="364"/>
      <c r="AL119" s="364"/>
      <c r="AM119" s="364"/>
      <c r="AN119" s="364"/>
      <c r="AO119" s="364"/>
      <c r="AP119" s="364"/>
      <c r="AQ119" s="364"/>
      <c r="AR119" s="364"/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364"/>
      <c r="BH119" s="364"/>
      <c r="BI119" s="364"/>
      <c r="BJ119" s="364"/>
      <c r="BK119" s="364"/>
      <c r="BL119" s="364"/>
      <c r="BM119" s="364"/>
      <c r="BN119" s="364"/>
      <c r="BO119" s="364"/>
      <c r="BP119" s="364"/>
      <c r="BQ119" s="364"/>
      <c r="BR119" s="364"/>
      <c r="BS119" s="364"/>
      <c r="BT119" s="364"/>
      <c r="BU119" s="364"/>
      <c r="BV119" s="364"/>
      <c r="BW119" s="364"/>
      <c r="BX119" s="364"/>
      <c r="BY119" s="364"/>
      <c r="BZ119" s="364"/>
      <c r="CA119" s="364"/>
      <c r="CB119" s="364"/>
      <c r="CC119" s="364"/>
      <c r="CD119" s="364"/>
      <c r="CE119" s="364"/>
      <c r="CF119" s="364"/>
      <c r="CG119" s="364"/>
      <c r="CH119" s="364"/>
      <c r="CI119" s="364"/>
      <c r="CJ119" s="364"/>
      <c r="CK119" s="364"/>
      <c r="CL119" s="364"/>
      <c r="CM119" s="364"/>
      <c r="CN119" s="364"/>
      <c r="CO119" s="364"/>
      <c r="CP119" s="364"/>
      <c r="CQ119" s="364"/>
      <c r="CR119" s="364"/>
      <c r="CS119" s="364"/>
      <c r="CT119" s="364"/>
      <c r="CU119" s="364"/>
      <c r="CV119" s="364"/>
      <c r="CW119" s="364"/>
      <c r="CX119" s="364"/>
      <c r="CY119" s="364"/>
      <c r="CZ119" s="364"/>
      <c r="DA119" s="364"/>
      <c r="DB119" s="364"/>
      <c r="DC119" s="364"/>
      <c r="DD119" s="364"/>
      <c r="DE119" s="364"/>
      <c r="DF119" s="364"/>
      <c r="DG119" s="364"/>
      <c r="DH119" s="364"/>
      <c r="DI119" s="364"/>
      <c r="DJ119" s="364"/>
      <c r="DK119" s="364"/>
      <c r="DL119" s="364"/>
      <c r="DM119" s="364"/>
      <c r="DN119" s="364"/>
      <c r="DO119" s="364"/>
      <c r="DP119" s="364"/>
      <c r="DQ119" s="364"/>
      <c r="DR119" s="364"/>
      <c r="DS119" s="364"/>
      <c r="DT119" s="364"/>
      <c r="DU119" s="364"/>
      <c r="DV119" s="364"/>
      <c r="DW119" s="364"/>
      <c r="DX119" s="364"/>
      <c r="DY119" s="364"/>
      <c r="DZ119" s="364"/>
      <c r="EA119" s="364"/>
      <c r="EB119" s="364"/>
      <c r="EC119" s="364"/>
      <c r="ED119" s="364"/>
      <c r="EE119" s="364"/>
      <c r="EF119" s="364"/>
      <c r="EG119" s="364"/>
      <c r="EH119" s="364"/>
      <c r="EI119" s="364"/>
      <c r="EJ119" s="364"/>
      <c r="EK119" s="364"/>
      <c r="EL119" s="364"/>
      <c r="EM119" s="364"/>
      <c r="EN119" s="364"/>
      <c r="EO119" s="364"/>
      <c r="EP119" s="364"/>
      <c r="EQ119" s="364"/>
      <c r="ER119" s="364"/>
      <c r="ES119" s="364"/>
      <c r="ET119" s="364"/>
      <c r="EU119" s="364"/>
      <c r="EV119" s="364"/>
      <c r="EW119" s="364"/>
      <c r="EX119" s="364"/>
      <c r="EY119" s="364"/>
      <c r="EZ119" s="364"/>
      <c r="FA119" s="364"/>
      <c r="FB119" s="364"/>
      <c r="FC119" s="364"/>
      <c r="FD119" s="364"/>
      <c r="FE119" s="364"/>
      <c r="FF119" s="364"/>
      <c r="FG119" s="364"/>
      <c r="FH119" s="364"/>
      <c r="FI119" s="364"/>
      <c r="FJ119" s="364"/>
      <c r="FK119" s="364"/>
    </row>
    <row r="120" customFormat="false" ht="15.75" hidden="false" customHeight="false" outlineLevel="0" collapsed="false">
      <c r="A120" s="364" t="n">
        <v>236</v>
      </c>
      <c r="B120" s="364" t="n">
        <f aca="false">COUNTA(D120:FK120)</f>
        <v>2</v>
      </c>
      <c r="C120" s="364" t="s">
        <v>763</v>
      </c>
      <c r="D120" s="364" t="s">
        <v>138</v>
      </c>
      <c r="E120" s="364" t="s">
        <v>2596</v>
      </c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  <c r="AB120" s="364"/>
      <c r="AC120" s="364"/>
      <c r="AD120" s="364"/>
      <c r="AE120" s="364"/>
      <c r="AF120" s="364"/>
      <c r="AG120" s="364"/>
      <c r="AH120" s="364"/>
      <c r="AI120" s="364"/>
      <c r="AJ120" s="364"/>
      <c r="AK120" s="364"/>
      <c r="AL120" s="364"/>
      <c r="AM120" s="364"/>
      <c r="AN120" s="364"/>
      <c r="AO120" s="364"/>
      <c r="AP120" s="364"/>
      <c r="AQ120" s="364"/>
      <c r="AR120" s="364"/>
      <c r="AS120" s="364"/>
      <c r="AT120" s="364"/>
      <c r="AU120" s="364"/>
      <c r="AV120" s="364"/>
      <c r="AW120" s="364"/>
      <c r="AX120" s="364"/>
      <c r="AY120" s="364"/>
      <c r="AZ120" s="364"/>
      <c r="BA120" s="364"/>
      <c r="BB120" s="364"/>
      <c r="BC120" s="364"/>
      <c r="BD120" s="364"/>
      <c r="BE120" s="364"/>
      <c r="BF120" s="364"/>
      <c r="BG120" s="364"/>
      <c r="BH120" s="364"/>
      <c r="BI120" s="364"/>
      <c r="BJ120" s="364"/>
      <c r="BK120" s="364"/>
      <c r="BL120" s="364"/>
      <c r="BM120" s="364"/>
      <c r="BN120" s="364"/>
      <c r="BO120" s="364"/>
      <c r="BP120" s="364"/>
      <c r="BQ120" s="364"/>
      <c r="BR120" s="364"/>
      <c r="BS120" s="364"/>
      <c r="BT120" s="364"/>
      <c r="BU120" s="364"/>
      <c r="BV120" s="364"/>
      <c r="BW120" s="364"/>
      <c r="BX120" s="364"/>
      <c r="BY120" s="364"/>
      <c r="BZ120" s="364"/>
      <c r="CA120" s="364"/>
      <c r="CB120" s="364"/>
      <c r="CC120" s="364"/>
      <c r="CD120" s="364"/>
      <c r="CE120" s="364"/>
      <c r="CF120" s="364"/>
      <c r="CG120" s="364"/>
      <c r="CH120" s="364"/>
      <c r="CI120" s="364"/>
      <c r="CJ120" s="364"/>
      <c r="CK120" s="364"/>
      <c r="CL120" s="364"/>
      <c r="CM120" s="364"/>
      <c r="CN120" s="364"/>
      <c r="CO120" s="364"/>
      <c r="CP120" s="364"/>
      <c r="CQ120" s="364"/>
      <c r="CR120" s="364"/>
      <c r="CS120" s="364"/>
      <c r="CT120" s="364"/>
      <c r="CU120" s="364"/>
      <c r="CV120" s="364"/>
      <c r="CW120" s="364"/>
      <c r="CX120" s="364"/>
      <c r="CY120" s="364"/>
      <c r="CZ120" s="364"/>
      <c r="DA120" s="364"/>
      <c r="DB120" s="364"/>
      <c r="DC120" s="364"/>
      <c r="DD120" s="364"/>
      <c r="DE120" s="364"/>
      <c r="DF120" s="364"/>
      <c r="DG120" s="364"/>
      <c r="DH120" s="364"/>
      <c r="DI120" s="364"/>
      <c r="DJ120" s="364"/>
      <c r="DK120" s="364"/>
      <c r="DL120" s="364"/>
      <c r="DM120" s="364"/>
      <c r="DN120" s="364"/>
      <c r="DO120" s="364"/>
      <c r="DP120" s="364"/>
      <c r="DQ120" s="364"/>
      <c r="DR120" s="364"/>
      <c r="DS120" s="364"/>
      <c r="DT120" s="364"/>
      <c r="DU120" s="364"/>
      <c r="DV120" s="364"/>
      <c r="DW120" s="364"/>
      <c r="DX120" s="364"/>
      <c r="DY120" s="364"/>
      <c r="DZ120" s="364"/>
      <c r="EA120" s="364"/>
      <c r="EB120" s="364"/>
      <c r="EC120" s="364"/>
      <c r="ED120" s="364"/>
      <c r="EE120" s="364"/>
      <c r="EF120" s="364"/>
      <c r="EG120" s="364"/>
      <c r="EH120" s="364"/>
      <c r="EI120" s="364"/>
      <c r="EJ120" s="364"/>
      <c r="EK120" s="364"/>
      <c r="EL120" s="364"/>
      <c r="EM120" s="364"/>
      <c r="EN120" s="364"/>
      <c r="EO120" s="364"/>
      <c r="EP120" s="364"/>
      <c r="EQ120" s="364"/>
      <c r="ER120" s="364"/>
      <c r="ES120" s="364"/>
      <c r="ET120" s="364"/>
      <c r="EU120" s="364"/>
      <c r="EV120" s="364"/>
      <c r="EW120" s="364"/>
      <c r="EX120" s="364"/>
      <c r="EY120" s="364"/>
      <c r="EZ120" s="364"/>
      <c r="FA120" s="364"/>
      <c r="FB120" s="364"/>
      <c r="FC120" s="364"/>
      <c r="FD120" s="364"/>
      <c r="FE120" s="364"/>
      <c r="FF120" s="364"/>
      <c r="FG120" s="364"/>
      <c r="FH120" s="364"/>
      <c r="FI120" s="364"/>
      <c r="FJ120" s="364"/>
      <c r="FK120" s="364"/>
    </row>
    <row r="121" customFormat="false" ht="15.75" hidden="false" customHeight="false" outlineLevel="0" collapsed="false">
      <c r="A121" s="364" t="n">
        <v>237</v>
      </c>
      <c r="B121" s="364" t="n">
        <f aca="false">COUNTA(D121:FK121)</f>
        <v>52</v>
      </c>
      <c r="C121" s="364" t="s">
        <v>765</v>
      </c>
      <c r="D121" s="364" t="s">
        <v>2447</v>
      </c>
      <c r="E121" s="364" t="s">
        <v>2528</v>
      </c>
      <c r="F121" s="364" t="s">
        <v>2312</v>
      </c>
      <c r="G121" s="364" t="s">
        <v>2313</v>
      </c>
      <c r="H121" s="364" t="s">
        <v>2464</v>
      </c>
      <c r="I121" s="364" t="s">
        <v>2434</v>
      </c>
      <c r="J121" s="364" t="s">
        <v>2466</v>
      </c>
      <c r="K121" s="364" t="s">
        <v>2517</v>
      </c>
      <c r="L121" s="364" t="s">
        <v>2316</v>
      </c>
      <c r="M121" s="364" t="s">
        <v>2579</v>
      </c>
      <c r="N121" s="364" t="s">
        <v>2510</v>
      </c>
      <c r="O121" s="364" t="s">
        <v>2435</v>
      </c>
      <c r="P121" s="364" t="s">
        <v>2317</v>
      </c>
      <c r="Q121" s="364" t="s">
        <v>2318</v>
      </c>
      <c r="R121" s="364" t="s">
        <v>2319</v>
      </c>
      <c r="S121" s="364" t="s">
        <v>2320</v>
      </c>
      <c r="T121" s="364" t="s">
        <v>2523</v>
      </c>
      <c r="U121" s="364" t="s">
        <v>2550</v>
      </c>
      <c r="V121" s="364" t="s">
        <v>2325</v>
      </c>
      <c r="W121" s="364" t="s">
        <v>2327</v>
      </c>
      <c r="X121" s="364" t="s">
        <v>2328</v>
      </c>
      <c r="Y121" s="364" t="s">
        <v>2521</v>
      </c>
      <c r="Z121" s="364" t="s">
        <v>2381</v>
      </c>
      <c r="AA121" s="364" t="s">
        <v>2596</v>
      </c>
      <c r="AB121" s="261" t="s">
        <v>183</v>
      </c>
      <c r="AC121" s="364" t="s">
        <v>2439</v>
      </c>
      <c r="AD121" s="364" t="s">
        <v>157</v>
      </c>
      <c r="AE121" s="364" t="s">
        <v>2645</v>
      </c>
      <c r="AF121" s="364" t="s">
        <v>2495</v>
      </c>
      <c r="AG121" s="364" t="s">
        <v>2441</v>
      </c>
      <c r="AH121" s="364" t="s">
        <v>2337</v>
      </c>
      <c r="AI121" s="364" t="s">
        <v>2469</v>
      </c>
      <c r="AJ121" s="364" t="s">
        <v>2339</v>
      </c>
      <c r="AK121" s="364" t="s">
        <v>2340</v>
      </c>
      <c r="AL121" s="364" t="s">
        <v>2341</v>
      </c>
      <c r="AM121" s="364" t="s">
        <v>2442</v>
      </c>
      <c r="AN121" s="364" t="s">
        <v>2470</v>
      </c>
      <c r="AO121" s="364" t="s">
        <v>2422</v>
      </c>
      <c r="AP121" s="364" t="s">
        <v>2344</v>
      </c>
      <c r="AQ121" s="364" t="s">
        <v>2571</v>
      </c>
      <c r="AR121" s="364" t="s">
        <v>2346</v>
      </c>
      <c r="AS121" s="364" t="s">
        <v>2347</v>
      </c>
      <c r="AT121" s="364" t="s">
        <v>2473</v>
      </c>
      <c r="AU121" s="364" t="s">
        <v>2398</v>
      </c>
      <c r="AV121" s="364" t="s">
        <v>2348</v>
      </c>
      <c r="AW121" s="364" t="s">
        <v>2349</v>
      </c>
      <c r="AX121" s="364" t="s">
        <v>2445</v>
      </c>
      <c r="AY121" s="364" t="s">
        <v>2475</v>
      </c>
      <c r="AZ121" s="364" t="s">
        <v>2476</v>
      </c>
      <c r="BA121" s="364" t="s">
        <v>2463</v>
      </c>
      <c r="BB121" s="364" t="s">
        <v>2493</v>
      </c>
      <c r="BC121" s="364" t="s">
        <v>2430</v>
      </c>
      <c r="BD121" s="364"/>
      <c r="BE121" s="364"/>
      <c r="BF121" s="364"/>
      <c r="BG121" s="364"/>
      <c r="BH121" s="364"/>
      <c r="BI121" s="364"/>
      <c r="BJ121" s="364"/>
      <c r="BK121" s="364"/>
      <c r="BL121" s="364"/>
      <c r="BM121" s="364"/>
      <c r="BN121" s="364"/>
      <c r="BO121" s="364"/>
      <c r="BP121" s="364"/>
      <c r="BQ121" s="364"/>
      <c r="BR121" s="364"/>
      <c r="BS121" s="364"/>
      <c r="BT121" s="364"/>
      <c r="BU121" s="364"/>
      <c r="BV121" s="364"/>
      <c r="BW121" s="364"/>
      <c r="BX121" s="364"/>
      <c r="BY121" s="364"/>
      <c r="BZ121" s="364"/>
      <c r="CA121" s="364"/>
      <c r="CB121" s="364"/>
      <c r="CC121" s="364"/>
      <c r="CD121" s="364"/>
      <c r="CE121" s="364"/>
      <c r="CF121" s="364"/>
      <c r="CG121" s="364"/>
      <c r="CH121" s="364"/>
      <c r="CI121" s="364"/>
      <c r="CJ121" s="364"/>
      <c r="CK121" s="364"/>
      <c r="CL121" s="364"/>
      <c r="CM121" s="364"/>
      <c r="CN121" s="364"/>
      <c r="CO121" s="364"/>
      <c r="CP121" s="364"/>
      <c r="CQ121" s="364"/>
      <c r="CR121" s="364"/>
      <c r="CS121" s="364"/>
      <c r="CT121" s="364"/>
      <c r="CU121" s="364"/>
      <c r="CV121" s="364"/>
      <c r="CW121" s="364"/>
      <c r="CX121" s="364"/>
      <c r="CY121" s="364"/>
      <c r="CZ121" s="364"/>
      <c r="DA121" s="364"/>
      <c r="DB121" s="364"/>
      <c r="DC121" s="364"/>
      <c r="DD121" s="364"/>
      <c r="DE121" s="364"/>
      <c r="DF121" s="364"/>
      <c r="DG121" s="364"/>
      <c r="DH121" s="364"/>
      <c r="DI121" s="364"/>
      <c r="DJ121" s="364"/>
      <c r="DK121" s="364"/>
      <c r="DL121" s="364"/>
      <c r="DM121" s="364"/>
      <c r="DN121" s="364"/>
      <c r="DO121" s="364"/>
      <c r="DP121" s="364"/>
      <c r="DQ121" s="364"/>
      <c r="DR121" s="364"/>
      <c r="DS121" s="364"/>
      <c r="DT121" s="364"/>
      <c r="DU121" s="364"/>
      <c r="DV121" s="364"/>
      <c r="DW121" s="364"/>
      <c r="DX121" s="364"/>
      <c r="DY121" s="364"/>
      <c r="DZ121" s="364"/>
      <c r="EA121" s="364"/>
      <c r="EB121" s="364"/>
      <c r="EC121" s="364"/>
      <c r="ED121" s="364"/>
      <c r="EE121" s="364"/>
      <c r="EF121" s="364"/>
      <c r="EG121" s="364"/>
      <c r="EH121" s="364"/>
      <c r="EI121" s="364"/>
      <c r="EJ121" s="364"/>
      <c r="EK121" s="364"/>
      <c r="EL121" s="364"/>
      <c r="EM121" s="364"/>
      <c r="EN121" s="364"/>
      <c r="EO121" s="364"/>
      <c r="EP121" s="364"/>
      <c r="EQ121" s="364"/>
      <c r="ER121" s="364"/>
      <c r="ES121" s="364"/>
      <c r="ET121" s="364"/>
      <c r="EU121" s="364"/>
      <c r="EV121" s="364"/>
      <c r="EW121" s="364"/>
      <c r="EX121" s="364"/>
      <c r="EY121" s="364"/>
      <c r="EZ121" s="364"/>
      <c r="FA121" s="364"/>
      <c r="FB121" s="364"/>
      <c r="FC121" s="364"/>
      <c r="FD121" s="364"/>
      <c r="FE121" s="364"/>
      <c r="FF121" s="364"/>
      <c r="FG121" s="364"/>
      <c r="FH121" s="364"/>
      <c r="FI121" s="364"/>
      <c r="FJ121" s="364"/>
      <c r="FK121" s="364"/>
    </row>
    <row r="122" customFormat="false" ht="15.75" hidden="false" customHeight="false" outlineLevel="0" collapsed="false">
      <c r="A122" s="364" t="n">
        <v>239</v>
      </c>
      <c r="B122" s="364" t="n">
        <f aca="false">COUNTA(D122:FK122)</f>
        <v>40</v>
      </c>
      <c r="C122" s="364" t="s">
        <v>769</v>
      </c>
      <c r="D122" s="364" t="s">
        <v>2310</v>
      </c>
      <c r="E122" s="364" t="s">
        <v>2312</v>
      </c>
      <c r="F122" s="364" t="s">
        <v>2432</v>
      </c>
      <c r="G122" s="364" t="s">
        <v>2313</v>
      </c>
      <c r="H122" s="364" t="s">
        <v>138</v>
      </c>
      <c r="I122" s="364" t="s">
        <v>2358</v>
      </c>
      <c r="J122" s="364" t="s">
        <v>2316</v>
      </c>
      <c r="K122" s="364" t="s">
        <v>184</v>
      </c>
      <c r="L122" s="364" t="s">
        <v>2317</v>
      </c>
      <c r="M122" s="364" t="s">
        <v>2562</v>
      </c>
      <c r="N122" s="364" t="s">
        <v>2320</v>
      </c>
      <c r="O122" s="364" t="s">
        <v>2411</v>
      </c>
      <c r="P122" s="364" t="s">
        <v>2323</v>
      </c>
      <c r="Q122" s="364" t="s">
        <v>2324</v>
      </c>
      <c r="R122" s="364" t="s">
        <v>2412</v>
      </c>
      <c r="S122" s="364" t="s">
        <v>2327</v>
      </c>
      <c r="T122" s="364" t="s">
        <v>2563</v>
      </c>
      <c r="U122" s="364" t="s">
        <v>2328</v>
      </c>
      <c r="V122" s="364" t="s">
        <v>2329</v>
      </c>
      <c r="W122" s="364" t="s">
        <v>2574</v>
      </c>
      <c r="X122" s="364" t="s">
        <v>2452</v>
      </c>
      <c r="Y122" s="364" t="s">
        <v>2419</v>
      </c>
      <c r="Z122" s="364" t="s">
        <v>2337</v>
      </c>
      <c r="AA122" s="364" t="s">
        <v>2388</v>
      </c>
      <c r="AB122" s="364" t="s">
        <v>2339</v>
      </c>
      <c r="AC122" s="364" t="s">
        <v>2389</v>
      </c>
      <c r="AD122" s="364" t="s">
        <v>2420</v>
      </c>
      <c r="AE122" s="364" t="s">
        <v>2340</v>
      </c>
      <c r="AF122" s="364" t="s">
        <v>2341</v>
      </c>
      <c r="AG122" s="364" t="s">
        <v>2566</v>
      </c>
      <c r="AH122" s="364" t="s">
        <v>2422</v>
      </c>
      <c r="AI122" s="364" t="s">
        <v>2344</v>
      </c>
      <c r="AJ122" s="364" t="s">
        <v>2345</v>
      </c>
      <c r="AK122" s="364" t="s">
        <v>2347</v>
      </c>
      <c r="AL122" s="364" t="s">
        <v>2444</v>
      </c>
      <c r="AM122" s="364" t="s">
        <v>2348</v>
      </c>
      <c r="AN122" s="364" t="s">
        <v>2349</v>
      </c>
      <c r="AO122" s="364" t="s">
        <v>2350</v>
      </c>
      <c r="AP122" s="364" t="s">
        <v>2492</v>
      </c>
      <c r="AQ122" s="364" t="s">
        <v>2493</v>
      </c>
      <c r="AR122" s="364"/>
      <c r="AS122" s="364"/>
      <c r="AT122" s="364"/>
      <c r="AU122" s="364"/>
      <c r="AV122" s="364"/>
      <c r="AW122" s="364"/>
      <c r="AX122" s="364"/>
      <c r="AY122" s="364"/>
      <c r="AZ122" s="364"/>
      <c r="BA122" s="364"/>
      <c r="BB122" s="364"/>
      <c r="BC122" s="364"/>
      <c r="BD122" s="364"/>
      <c r="BE122" s="364"/>
      <c r="BF122" s="364"/>
      <c r="BG122" s="364"/>
      <c r="BH122" s="364"/>
      <c r="BI122" s="364"/>
      <c r="BJ122" s="364"/>
      <c r="BK122" s="364"/>
      <c r="BL122" s="364"/>
      <c r="BM122" s="364"/>
      <c r="BN122" s="364"/>
      <c r="BO122" s="364"/>
      <c r="BP122" s="364"/>
      <c r="BQ122" s="364"/>
      <c r="BR122" s="364"/>
      <c r="BS122" s="364"/>
      <c r="BT122" s="364"/>
      <c r="BU122" s="364"/>
      <c r="BV122" s="364"/>
      <c r="BW122" s="364"/>
      <c r="BX122" s="364"/>
      <c r="BY122" s="364"/>
      <c r="BZ122" s="364"/>
      <c r="CA122" s="364"/>
      <c r="CB122" s="364"/>
      <c r="CC122" s="364"/>
      <c r="CD122" s="364"/>
      <c r="CE122" s="364"/>
      <c r="CF122" s="364"/>
      <c r="CG122" s="364"/>
      <c r="CH122" s="364"/>
      <c r="CI122" s="364"/>
      <c r="CJ122" s="364"/>
      <c r="CK122" s="364"/>
      <c r="CL122" s="364"/>
      <c r="CM122" s="364"/>
      <c r="CN122" s="364"/>
      <c r="CO122" s="364"/>
      <c r="CP122" s="364"/>
      <c r="CQ122" s="364"/>
      <c r="CR122" s="364"/>
      <c r="CS122" s="364"/>
      <c r="CT122" s="364"/>
      <c r="CU122" s="364"/>
      <c r="CV122" s="364"/>
      <c r="CW122" s="364"/>
      <c r="CX122" s="364"/>
      <c r="CY122" s="364"/>
      <c r="CZ122" s="364"/>
      <c r="DA122" s="364"/>
      <c r="DB122" s="364"/>
      <c r="DC122" s="364"/>
      <c r="DD122" s="364"/>
      <c r="DE122" s="364"/>
      <c r="DF122" s="364"/>
      <c r="DG122" s="364"/>
      <c r="DH122" s="364"/>
      <c r="DI122" s="364"/>
      <c r="DJ122" s="364"/>
      <c r="DK122" s="364"/>
      <c r="DL122" s="364"/>
      <c r="DM122" s="364"/>
      <c r="DN122" s="364"/>
      <c r="DO122" s="364"/>
      <c r="DP122" s="364"/>
      <c r="DQ122" s="364"/>
      <c r="DR122" s="364"/>
      <c r="DS122" s="364"/>
      <c r="DT122" s="364"/>
      <c r="DU122" s="364"/>
      <c r="DV122" s="364"/>
      <c r="DW122" s="364"/>
      <c r="DX122" s="364"/>
      <c r="DY122" s="364"/>
      <c r="DZ122" s="364"/>
      <c r="EA122" s="364"/>
      <c r="EB122" s="364"/>
      <c r="EC122" s="364"/>
      <c r="ED122" s="364"/>
      <c r="EE122" s="364"/>
      <c r="EF122" s="364"/>
      <c r="EG122" s="364"/>
      <c r="EH122" s="364"/>
      <c r="EI122" s="364"/>
      <c r="EJ122" s="364"/>
      <c r="EK122" s="364"/>
      <c r="EL122" s="364"/>
      <c r="EM122" s="364"/>
      <c r="EN122" s="364"/>
      <c r="EO122" s="364"/>
      <c r="EP122" s="364"/>
      <c r="EQ122" s="364"/>
      <c r="ER122" s="364"/>
      <c r="ES122" s="364"/>
      <c r="ET122" s="364"/>
      <c r="EU122" s="364"/>
      <c r="EV122" s="364"/>
      <c r="EW122" s="364"/>
      <c r="EX122" s="364"/>
      <c r="EY122" s="364"/>
      <c r="EZ122" s="364"/>
      <c r="FA122" s="364"/>
      <c r="FB122" s="364"/>
      <c r="FC122" s="364"/>
      <c r="FD122" s="364"/>
      <c r="FE122" s="364"/>
      <c r="FF122" s="364"/>
      <c r="FG122" s="364"/>
      <c r="FH122" s="364"/>
      <c r="FI122" s="364"/>
      <c r="FJ122" s="364"/>
      <c r="FK122" s="364"/>
    </row>
    <row r="123" customFormat="false" ht="15.75" hidden="false" customHeight="false" outlineLevel="0" collapsed="false">
      <c r="A123" s="364" t="n">
        <v>240</v>
      </c>
      <c r="B123" s="364" t="n">
        <f aca="false">COUNTA(D123:FK123)</f>
        <v>57</v>
      </c>
      <c r="C123" s="364" t="s">
        <v>771</v>
      </c>
      <c r="D123" s="364" t="s">
        <v>2354</v>
      </c>
      <c r="E123" s="364" t="s">
        <v>2561</v>
      </c>
      <c r="F123" s="364" t="s">
        <v>2402</v>
      </c>
      <c r="G123" s="364" t="s">
        <v>2528</v>
      </c>
      <c r="H123" s="364" t="s">
        <v>2310</v>
      </c>
      <c r="I123" s="364" t="s">
        <v>2311</v>
      </c>
      <c r="J123" s="364" t="s">
        <v>2404</v>
      </c>
      <c r="K123" s="364" t="s">
        <v>2405</v>
      </c>
      <c r="L123" s="364" t="s">
        <v>2312</v>
      </c>
      <c r="M123" s="364" t="s">
        <v>2313</v>
      </c>
      <c r="N123" s="364" t="s">
        <v>2464</v>
      </c>
      <c r="O123" s="364" t="s">
        <v>138</v>
      </c>
      <c r="P123" s="364" t="s">
        <v>2358</v>
      </c>
      <c r="Q123" s="364" t="s">
        <v>2316</v>
      </c>
      <c r="R123" s="364" t="s">
        <v>2634</v>
      </c>
      <c r="S123" s="364" t="s">
        <v>2435</v>
      </c>
      <c r="T123" s="364" t="s">
        <v>184</v>
      </c>
      <c r="U123" s="364" t="s">
        <v>2317</v>
      </c>
      <c r="V123" s="364" t="s">
        <v>2448</v>
      </c>
      <c r="W123" s="364" t="s">
        <v>2320</v>
      </c>
      <c r="X123" s="364" t="s">
        <v>2366</v>
      </c>
      <c r="Y123" s="364" t="s">
        <v>2373</v>
      </c>
      <c r="Z123" s="364" t="s">
        <v>2412</v>
      </c>
      <c r="AA123" s="364" t="s">
        <v>2327</v>
      </c>
      <c r="AB123" s="364" t="s">
        <v>2560</v>
      </c>
      <c r="AC123" s="364" t="s">
        <v>2328</v>
      </c>
      <c r="AD123" s="364" t="s">
        <v>2415</v>
      </c>
      <c r="AE123" s="364" t="s">
        <v>2379</v>
      </c>
      <c r="AF123" s="364" t="s">
        <v>2381</v>
      </c>
      <c r="AG123" s="364" t="s">
        <v>2468</v>
      </c>
      <c r="AH123" s="261" t="s">
        <v>183</v>
      </c>
      <c r="AI123" s="364" t="s">
        <v>2454</v>
      </c>
      <c r="AJ123" s="364" t="s">
        <v>2455</v>
      </c>
      <c r="AK123" s="364" t="s">
        <v>2335</v>
      </c>
      <c r="AL123" s="364" t="s">
        <v>2337</v>
      </c>
      <c r="AM123" s="364" t="s">
        <v>2469</v>
      </c>
      <c r="AN123" s="364" t="s">
        <v>2388</v>
      </c>
      <c r="AO123" s="364" t="s">
        <v>2339</v>
      </c>
      <c r="AP123" s="364" t="s">
        <v>2389</v>
      </c>
      <c r="AQ123" s="364" t="s">
        <v>2420</v>
      </c>
      <c r="AR123" s="364" t="s">
        <v>2340</v>
      </c>
      <c r="AS123" s="364" t="s">
        <v>2341</v>
      </c>
      <c r="AT123" s="364" t="s">
        <v>2442</v>
      </c>
      <c r="AU123" s="364" t="s">
        <v>2470</v>
      </c>
      <c r="AV123" s="364" t="s">
        <v>2344</v>
      </c>
      <c r="AW123" s="364" t="s">
        <v>2345</v>
      </c>
      <c r="AX123" s="364" t="s">
        <v>2346</v>
      </c>
      <c r="AY123" s="364" t="s">
        <v>2347</v>
      </c>
      <c r="AZ123" s="364" t="s">
        <v>2349</v>
      </c>
      <c r="BA123" s="364" t="s">
        <v>2445</v>
      </c>
      <c r="BB123" s="364" t="s">
        <v>2475</v>
      </c>
      <c r="BC123" s="364" t="s">
        <v>2476</v>
      </c>
      <c r="BD123" s="364" t="s">
        <v>2428</v>
      </c>
      <c r="BE123" s="364" t="s">
        <v>2477</v>
      </c>
      <c r="BF123" s="364" t="s">
        <v>2572</v>
      </c>
      <c r="BG123" s="364" t="s">
        <v>2493</v>
      </c>
      <c r="BH123" s="364" t="s">
        <v>2430</v>
      </c>
      <c r="BI123" s="364"/>
      <c r="BJ123" s="364"/>
      <c r="BK123" s="364"/>
      <c r="BL123" s="364"/>
      <c r="BM123" s="364"/>
      <c r="BN123" s="364"/>
      <c r="BO123" s="364"/>
      <c r="BP123" s="364"/>
      <c r="BQ123" s="364"/>
      <c r="BR123" s="364"/>
      <c r="BS123" s="364"/>
      <c r="BT123" s="364"/>
      <c r="BU123" s="364"/>
      <c r="BV123" s="364"/>
      <c r="BW123" s="364"/>
      <c r="BX123" s="364"/>
      <c r="BY123" s="364"/>
      <c r="BZ123" s="364"/>
      <c r="CA123" s="364"/>
      <c r="CB123" s="364"/>
      <c r="CC123" s="364"/>
      <c r="CD123" s="364"/>
      <c r="CE123" s="364"/>
      <c r="CF123" s="364"/>
      <c r="CG123" s="364"/>
      <c r="CH123" s="364"/>
      <c r="CI123" s="364"/>
      <c r="CJ123" s="364"/>
      <c r="CK123" s="364"/>
      <c r="CL123" s="364"/>
      <c r="CM123" s="364"/>
      <c r="CN123" s="364"/>
      <c r="CO123" s="364"/>
      <c r="CP123" s="364"/>
      <c r="CQ123" s="364"/>
      <c r="CR123" s="364"/>
      <c r="CS123" s="364"/>
      <c r="CT123" s="364"/>
      <c r="CU123" s="364"/>
      <c r="CV123" s="364"/>
      <c r="CW123" s="364"/>
      <c r="CX123" s="364"/>
      <c r="CY123" s="364"/>
      <c r="CZ123" s="364"/>
      <c r="DA123" s="364"/>
      <c r="DB123" s="364"/>
      <c r="DC123" s="364"/>
      <c r="DD123" s="364"/>
      <c r="DE123" s="364"/>
      <c r="DF123" s="364"/>
      <c r="DG123" s="364"/>
      <c r="DH123" s="364"/>
      <c r="DI123" s="364"/>
      <c r="DJ123" s="364"/>
      <c r="DK123" s="364"/>
      <c r="DL123" s="364"/>
      <c r="DM123" s="364"/>
      <c r="DN123" s="364"/>
      <c r="DO123" s="364"/>
      <c r="DP123" s="364"/>
      <c r="DQ123" s="364"/>
      <c r="DR123" s="364"/>
      <c r="DS123" s="364"/>
      <c r="DT123" s="364"/>
      <c r="DU123" s="364"/>
      <c r="DV123" s="364"/>
      <c r="DW123" s="364"/>
      <c r="DX123" s="364"/>
      <c r="DY123" s="364"/>
      <c r="DZ123" s="364"/>
      <c r="EA123" s="364"/>
      <c r="EB123" s="364"/>
      <c r="EC123" s="364"/>
      <c r="ED123" s="364"/>
      <c r="EE123" s="364"/>
      <c r="EF123" s="364"/>
      <c r="EG123" s="364"/>
      <c r="EH123" s="364"/>
      <c r="EI123" s="364"/>
      <c r="EJ123" s="364"/>
      <c r="EK123" s="364"/>
      <c r="EL123" s="364"/>
      <c r="EM123" s="364"/>
      <c r="EN123" s="364"/>
      <c r="EO123" s="364"/>
      <c r="EP123" s="364"/>
      <c r="EQ123" s="364"/>
      <c r="ER123" s="364"/>
      <c r="ES123" s="364"/>
      <c r="ET123" s="364"/>
      <c r="EU123" s="364"/>
      <c r="EV123" s="364"/>
      <c r="EW123" s="364"/>
      <c r="EX123" s="364"/>
      <c r="EY123" s="364"/>
      <c r="EZ123" s="364"/>
      <c r="FA123" s="364"/>
      <c r="FB123" s="364"/>
      <c r="FC123" s="364"/>
      <c r="FD123" s="364"/>
      <c r="FE123" s="364"/>
      <c r="FF123" s="364"/>
      <c r="FG123" s="364"/>
      <c r="FH123" s="364"/>
      <c r="FI123" s="364"/>
      <c r="FJ123" s="364"/>
      <c r="FK123" s="364"/>
    </row>
    <row r="124" customFormat="false" ht="15.75" hidden="false" customHeight="false" outlineLevel="0" collapsed="false">
      <c r="A124" s="364" t="n">
        <v>241</v>
      </c>
      <c r="B124" s="364" t="n">
        <f aca="false">COUNTA(D124:FK124)</f>
        <v>55</v>
      </c>
      <c r="C124" s="364" t="s">
        <v>773</v>
      </c>
      <c r="D124" s="364" t="s">
        <v>2431</v>
      </c>
      <c r="E124" s="364" t="s">
        <v>2352</v>
      </c>
      <c r="F124" s="364" t="s">
        <v>2402</v>
      </c>
      <c r="G124" s="364" t="s">
        <v>2356</v>
      </c>
      <c r="H124" s="364" t="s">
        <v>2432</v>
      </c>
      <c r="I124" s="364" t="s">
        <v>2313</v>
      </c>
      <c r="J124" s="364" t="s">
        <v>138</v>
      </c>
      <c r="K124" s="364" t="s">
        <v>2530</v>
      </c>
      <c r="L124" s="364" t="s">
        <v>2315</v>
      </c>
      <c r="M124" s="364" t="s">
        <v>2409</v>
      </c>
      <c r="N124" s="364" t="s">
        <v>2358</v>
      </c>
      <c r="O124" s="364" t="s">
        <v>2316</v>
      </c>
      <c r="P124" s="364" t="s">
        <v>2435</v>
      </c>
      <c r="Q124" s="364" t="s">
        <v>2497</v>
      </c>
      <c r="R124" s="364" t="s">
        <v>2317</v>
      </c>
      <c r="S124" s="364" t="s">
        <v>2320</v>
      </c>
      <c r="T124" s="364" t="s">
        <v>2449</v>
      </c>
      <c r="U124" s="364" t="s">
        <v>2534</v>
      </c>
      <c r="V124" s="364" t="s">
        <v>2535</v>
      </c>
      <c r="W124" s="364" t="s">
        <v>2322</v>
      </c>
      <c r="X124" s="364" t="s">
        <v>2327</v>
      </c>
      <c r="Y124" s="364" t="s">
        <v>2328</v>
      </c>
      <c r="Z124" s="364" t="s">
        <v>2381</v>
      </c>
      <c r="AA124" s="364" t="s">
        <v>2330</v>
      </c>
      <c r="AB124" s="364" t="s">
        <v>2384</v>
      </c>
      <c r="AC124" s="364" t="s">
        <v>2531</v>
      </c>
      <c r="AD124" s="364" t="s">
        <v>2452</v>
      </c>
      <c r="AE124" s="364" t="s">
        <v>2454</v>
      </c>
      <c r="AF124" s="364" t="s">
        <v>2487</v>
      </c>
      <c r="AG124" s="364" t="s">
        <v>2646</v>
      </c>
      <c r="AH124" s="364" t="s">
        <v>2461</v>
      </c>
      <c r="AI124" s="364" t="s">
        <v>2441</v>
      </c>
      <c r="AJ124" s="364" t="s">
        <v>2337</v>
      </c>
      <c r="AK124" s="364" t="s">
        <v>2338</v>
      </c>
      <c r="AL124" s="364" t="s">
        <v>2388</v>
      </c>
      <c r="AM124" s="364" t="s">
        <v>2339</v>
      </c>
      <c r="AN124" s="364" t="s">
        <v>2389</v>
      </c>
      <c r="AO124" s="364" t="s">
        <v>2340</v>
      </c>
      <c r="AP124" s="364" t="s">
        <v>2499</v>
      </c>
      <c r="AQ124" s="364" t="s">
        <v>2341</v>
      </c>
      <c r="AR124" s="364" t="s">
        <v>2613</v>
      </c>
      <c r="AS124" s="364" t="s">
        <v>2395</v>
      </c>
      <c r="AT124" s="364" t="s">
        <v>2343</v>
      </c>
      <c r="AU124" s="364" t="s">
        <v>2344</v>
      </c>
      <c r="AV124" s="364" t="s">
        <v>2396</v>
      </c>
      <c r="AW124" s="364" t="s">
        <v>2500</v>
      </c>
      <c r="AX124" s="364" t="s">
        <v>2347</v>
      </c>
      <c r="AY124" s="364" t="s">
        <v>2444</v>
      </c>
      <c r="AZ124" s="364" t="s">
        <v>2398</v>
      </c>
      <c r="BA124" s="364" t="s">
        <v>2445</v>
      </c>
      <c r="BB124" s="364" t="s">
        <v>2456</v>
      </c>
      <c r="BC124" s="364" t="s">
        <v>2446</v>
      </c>
      <c r="BD124" s="364" t="s">
        <v>2350</v>
      </c>
      <c r="BE124" s="364" t="s">
        <v>2401</v>
      </c>
      <c r="BF124" s="364" t="s">
        <v>2458</v>
      </c>
      <c r="BG124" s="364"/>
      <c r="BH124" s="364"/>
      <c r="BI124" s="364"/>
      <c r="BJ124" s="364"/>
      <c r="BK124" s="364"/>
      <c r="BL124" s="364"/>
      <c r="BM124" s="364"/>
      <c r="BN124" s="364"/>
      <c r="BO124" s="364"/>
      <c r="BP124" s="364"/>
      <c r="BQ124" s="364"/>
      <c r="BR124" s="364"/>
      <c r="BS124" s="364"/>
      <c r="BT124" s="364"/>
      <c r="BU124" s="364"/>
      <c r="BV124" s="364"/>
      <c r="BW124" s="364"/>
      <c r="BX124" s="364"/>
      <c r="BY124" s="364"/>
      <c r="BZ124" s="364"/>
      <c r="CA124" s="364"/>
      <c r="CB124" s="364"/>
      <c r="CC124" s="364"/>
      <c r="CD124" s="364"/>
      <c r="CE124" s="364"/>
      <c r="CF124" s="364"/>
      <c r="CG124" s="364"/>
      <c r="CH124" s="364"/>
      <c r="CI124" s="364"/>
      <c r="CJ124" s="364"/>
      <c r="CK124" s="364"/>
      <c r="CL124" s="364"/>
      <c r="CM124" s="364"/>
      <c r="CN124" s="364"/>
      <c r="CO124" s="364"/>
      <c r="CP124" s="364"/>
      <c r="CQ124" s="364"/>
      <c r="CR124" s="364"/>
      <c r="CS124" s="364"/>
      <c r="CT124" s="364"/>
      <c r="CU124" s="364"/>
      <c r="CV124" s="364"/>
      <c r="CW124" s="364"/>
      <c r="CX124" s="364"/>
      <c r="CY124" s="364"/>
      <c r="CZ124" s="364"/>
      <c r="DA124" s="364"/>
      <c r="DB124" s="364"/>
      <c r="DC124" s="364"/>
      <c r="DD124" s="364"/>
      <c r="DE124" s="364"/>
      <c r="DF124" s="364"/>
      <c r="DG124" s="364"/>
      <c r="DH124" s="364"/>
      <c r="DI124" s="364"/>
      <c r="DJ124" s="364"/>
      <c r="DK124" s="364"/>
      <c r="DL124" s="364"/>
      <c r="DM124" s="364"/>
      <c r="DN124" s="364"/>
      <c r="DO124" s="364"/>
      <c r="DP124" s="364"/>
      <c r="DQ124" s="364"/>
      <c r="DR124" s="364"/>
      <c r="DS124" s="364"/>
      <c r="DT124" s="364"/>
      <c r="DU124" s="364"/>
      <c r="DV124" s="364"/>
      <c r="DW124" s="364"/>
      <c r="DX124" s="364"/>
      <c r="DY124" s="364"/>
      <c r="DZ124" s="364"/>
      <c r="EA124" s="364"/>
      <c r="EB124" s="364"/>
      <c r="EC124" s="364"/>
      <c r="ED124" s="364"/>
      <c r="EE124" s="364"/>
      <c r="EF124" s="364"/>
      <c r="EG124" s="364"/>
      <c r="EH124" s="364"/>
      <c r="EI124" s="364"/>
      <c r="EJ124" s="364"/>
      <c r="EK124" s="364"/>
      <c r="EL124" s="364"/>
      <c r="EM124" s="364"/>
      <c r="EN124" s="364"/>
      <c r="EO124" s="364"/>
      <c r="EP124" s="364"/>
      <c r="EQ124" s="364"/>
      <c r="ER124" s="364"/>
      <c r="ES124" s="364"/>
      <c r="ET124" s="364"/>
      <c r="EU124" s="364"/>
      <c r="EV124" s="364"/>
      <c r="EW124" s="364"/>
      <c r="EX124" s="364"/>
      <c r="EY124" s="364"/>
      <c r="EZ124" s="364"/>
      <c r="FA124" s="364"/>
      <c r="FB124" s="364"/>
      <c r="FC124" s="364"/>
      <c r="FD124" s="364"/>
      <c r="FE124" s="364"/>
      <c r="FF124" s="364"/>
      <c r="FG124" s="364"/>
      <c r="FH124" s="364"/>
      <c r="FI124" s="364"/>
      <c r="FJ124" s="364"/>
      <c r="FK124" s="364"/>
    </row>
    <row r="125" customFormat="false" ht="15.75" hidden="false" customHeight="false" outlineLevel="0" collapsed="false">
      <c r="A125" s="364" t="n">
        <v>242</v>
      </c>
      <c r="B125" s="364" t="n">
        <f aca="false">COUNTA(D125:FK125)</f>
        <v>56</v>
      </c>
      <c r="C125" s="364" t="s">
        <v>776</v>
      </c>
      <c r="D125" s="364" t="s">
        <v>2561</v>
      </c>
      <c r="E125" s="364" t="s">
        <v>2402</v>
      </c>
      <c r="F125" s="364" t="s">
        <v>2311</v>
      </c>
      <c r="G125" s="364" t="s">
        <v>2312</v>
      </c>
      <c r="H125" s="364" t="s">
        <v>2357</v>
      </c>
      <c r="I125" s="364" t="s">
        <v>2313</v>
      </c>
      <c r="J125" s="364" t="s">
        <v>2466</v>
      </c>
      <c r="K125" s="364" t="s">
        <v>2315</v>
      </c>
      <c r="L125" s="364" t="s">
        <v>2409</v>
      </c>
      <c r="M125" s="364" t="s">
        <v>2358</v>
      </c>
      <c r="N125" s="364" t="s">
        <v>2316</v>
      </c>
      <c r="O125" s="364" t="s">
        <v>2359</v>
      </c>
      <c r="P125" s="364" t="s">
        <v>2361</v>
      </c>
      <c r="Q125" s="364" t="s">
        <v>2363</v>
      </c>
      <c r="R125" s="364" t="s">
        <v>2497</v>
      </c>
      <c r="S125" s="364" t="s">
        <v>2317</v>
      </c>
      <c r="T125" s="364" t="s">
        <v>2562</v>
      </c>
      <c r="U125" s="364" t="s">
        <v>2320</v>
      </c>
      <c r="V125" s="364" t="s">
        <v>2367</v>
      </c>
      <c r="W125" s="364" t="s">
        <v>2411</v>
      </c>
      <c r="X125" s="364" t="s">
        <v>2324</v>
      </c>
      <c r="Y125" s="364" t="s">
        <v>2412</v>
      </c>
      <c r="Z125" s="364" t="s">
        <v>2327</v>
      </c>
      <c r="AA125" s="364" t="s">
        <v>2328</v>
      </c>
      <c r="AB125" s="364" t="s">
        <v>2329</v>
      </c>
      <c r="AC125" s="364" t="s">
        <v>2485</v>
      </c>
      <c r="AD125" s="364" t="s">
        <v>2506</v>
      </c>
      <c r="AE125" s="364" t="s">
        <v>2381</v>
      </c>
      <c r="AF125" s="261" t="s">
        <v>183</v>
      </c>
      <c r="AG125" s="364" t="s">
        <v>2452</v>
      </c>
      <c r="AH125" s="364" t="s">
        <v>2335</v>
      </c>
      <c r="AI125" s="364" t="s">
        <v>2337</v>
      </c>
      <c r="AJ125" s="364" t="s">
        <v>2338</v>
      </c>
      <c r="AK125" s="364" t="s">
        <v>2388</v>
      </c>
      <c r="AL125" s="364" t="s">
        <v>2339</v>
      </c>
      <c r="AM125" s="364" t="s">
        <v>2565</v>
      </c>
      <c r="AN125" s="364" t="s">
        <v>2389</v>
      </c>
      <c r="AO125" s="364" t="s">
        <v>2420</v>
      </c>
      <c r="AP125" s="364" t="s">
        <v>2340</v>
      </c>
      <c r="AQ125" s="364" t="s">
        <v>2341</v>
      </c>
      <c r="AR125" s="364" t="s">
        <v>2566</v>
      </c>
      <c r="AS125" s="364" t="s">
        <v>2591</v>
      </c>
      <c r="AT125" s="364" t="s">
        <v>2423</v>
      </c>
      <c r="AU125" s="364" t="s">
        <v>2344</v>
      </c>
      <c r="AV125" s="364" t="s">
        <v>2346</v>
      </c>
      <c r="AW125" s="364" t="s">
        <v>2500</v>
      </c>
      <c r="AX125" s="364" t="s">
        <v>2347</v>
      </c>
      <c r="AY125" s="364" t="s">
        <v>2348</v>
      </c>
      <c r="AZ125" s="364" t="s">
        <v>2488</v>
      </c>
      <c r="BA125" s="364" t="s">
        <v>2400</v>
      </c>
      <c r="BB125" s="261" t="s">
        <v>2310</v>
      </c>
      <c r="BC125" s="261" t="s">
        <v>2563</v>
      </c>
      <c r="BD125" s="261" t="s">
        <v>2564</v>
      </c>
      <c r="BE125" s="261" t="s">
        <v>2499</v>
      </c>
      <c r="BF125" s="261" t="s">
        <v>2393</v>
      </c>
      <c r="BG125" s="261" t="s">
        <v>2349</v>
      </c>
      <c r="BH125" s="364"/>
      <c r="BI125" s="364"/>
      <c r="BJ125" s="364"/>
      <c r="BK125" s="364"/>
      <c r="BL125" s="364"/>
      <c r="BM125" s="364"/>
      <c r="BN125" s="364"/>
      <c r="BO125" s="364"/>
      <c r="BP125" s="364"/>
      <c r="BQ125" s="364"/>
      <c r="BR125" s="364"/>
      <c r="BS125" s="364"/>
      <c r="BT125" s="364"/>
      <c r="BU125" s="364"/>
      <c r="BV125" s="364"/>
      <c r="BW125" s="364"/>
      <c r="BX125" s="364"/>
      <c r="BY125" s="364"/>
      <c r="BZ125" s="364"/>
      <c r="CA125" s="364"/>
      <c r="CB125" s="364"/>
      <c r="CC125" s="364"/>
      <c r="CD125" s="364"/>
      <c r="CE125" s="364"/>
      <c r="CF125" s="364"/>
      <c r="CG125" s="364"/>
      <c r="CH125" s="364"/>
      <c r="CI125" s="364"/>
      <c r="CJ125" s="364"/>
      <c r="CK125" s="364"/>
      <c r="CL125" s="364"/>
      <c r="CM125" s="364"/>
      <c r="CN125" s="364"/>
      <c r="CO125" s="364"/>
      <c r="CP125" s="364"/>
      <c r="CQ125" s="364"/>
      <c r="CR125" s="364"/>
      <c r="CS125" s="364"/>
      <c r="CT125" s="364"/>
      <c r="CU125" s="364"/>
      <c r="CV125" s="364"/>
      <c r="CW125" s="364"/>
      <c r="CX125" s="364"/>
      <c r="CY125" s="364"/>
      <c r="CZ125" s="364"/>
      <c r="DA125" s="364"/>
      <c r="DB125" s="364"/>
      <c r="DC125" s="364"/>
      <c r="DD125" s="364"/>
      <c r="DE125" s="364"/>
      <c r="DF125" s="364"/>
      <c r="DG125" s="364"/>
      <c r="DH125" s="364"/>
      <c r="DI125" s="364"/>
      <c r="DJ125" s="364"/>
      <c r="DK125" s="364"/>
      <c r="DL125" s="364"/>
      <c r="DM125" s="364"/>
      <c r="DN125" s="364"/>
      <c r="DO125" s="364"/>
      <c r="DP125" s="364"/>
      <c r="DQ125" s="364"/>
      <c r="DR125" s="364"/>
      <c r="DS125" s="364"/>
      <c r="DT125" s="364"/>
      <c r="DU125" s="364"/>
      <c r="DV125" s="364"/>
      <c r="DW125" s="364"/>
      <c r="DX125" s="364"/>
      <c r="DY125" s="364"/>
      <c r="DZ125" s="364"/>
      <c r="EA125" s="364"/>
      <c r="EB125" s="364"/>
      <c r="EC125" s="364"/>
      <c r="ED125" s="364"/>
      <c r="EE125" s="364"/>
      <c r="EF125" s="364"/>
      <c r="EG125" s="364"/>
      <c r="EH125" s="364"/>
      <c r="EI125" s="364"/>
      <c r="EJ125" s="364"/>
      <c r="EK125" s="364"/>
      <c r="EL125" s="364"/>
      <c r="EM125" s="364"/>
      <c r="EN125" s="364"/>
      <c r="EO125" s="364"/>
      <c r="EP125" s="364"/>
      <c r="EQ125" s="364"/>
      <c r="ER125" s="364"/>
      <c r="ES125" s="364"/>
      <c r="ET125" s="364"/>
      <c r="EU125" s="364"/>
      <c r="EV125" s="364"/>
      <c r="EW125" s="364"/>
      <c r="EX125" s="364"/>
      <c r="EY125" s="364"/>
      <c r="EZ125" s="364"/>
      <c r="FA125" s="364"/>
      <c r="FB125" s="364"/>
      <c r="FC125" s="364"/>
      <c r="FD125" s="364"/>
      <c r="FE125" s="364"/>
      <c r="FF125" s="364"/>
      <c r="FG125" s="364"/>
      <c r="FH125" s="364"/>
      <c r="FI125" s="364"/>
      <c r="FJ125" s="364"/>
      <c r="FK125" s="364"/>
    </row>
    <row r="126" customFormat="false" ht="15.75" hidden="false" customHeight="false" outlineLevel="0" collapsed="false">
      <c r="A126" s="364" t="n">
        <v>245</v>
      </c>
      <c r="B126" s="364" t="n">
        <f aca="false">COUNTA(D126:FK126)</f>
        <v>70</v>
      </c>
      <c r="C126" s="364" t="s">
        <v>783</v>
      </c>
      <c r="D126" s="364" t="s">
        <v>2404</v>
      </c>
      <c r="E126" s="364" t="s">
        <v>2312</v>
      </c>
      <c r="F126" s="364" t="s">
        <v>2356</v>
      </c>
      <c r="G126" s="364" t="s">
        <v>2313</v>
      </c>
      <c r="H126" s="364" t="s">
        <v>138</v>
      </c>
      <c r="I126" s="364" t="s">
        <v>2465</v>
      </c>
      <c r="J126" s="364" t="s">
        <v>2466</v>
      </c>
      <c r="K126" s="364" t="s">
        <v>2517</v>
      </c>
      <c r="L126" s="364" t="s">
        <v>2358</v>
      </c>
      <c r="M126" s="364" t="s">
        <v>2316</v>
      </c>
      <c r="N126" s="364" t="s">
        <v>2364</v>
      </c>
      <c r="O126" s="364" t="s">
        <v>2317</v>
      </c>
      <c r="P126" s="364" t="s">
        <v>2320</v>
      </c>
      <c r="Q126" s="364" t="s">
        <v>2366</v>
      </c>
      <c r="R126" s="364" t="s">
        <v>2367</v>
      </c>
      <c r="S126" s="364" t="s">
        <v>2369</v>
      </c>
      <c r="T126" s="364" t="s">
        <v>2373</v>
      </c>
      <c r="U126" s="364" t="s">
        <v>2376</v>
      </c>
      <c r="V126" s="364" t="s">
        <v>2377</v>
      </c>
      <c r="W126" s="364" t="s">
        <v>2324</v>
      </c>
      <c r="X126" s="364" t="s">
        <v>2327</v>
      </c>
      <c r="Y126" s="364" t="s">
        <v>2328</v>
      </c>
      <c r="Z126" s="364" t="s">
        <v>2329</v>
      </c>
      <c r="AA126" s="364" t="s">
        <v>2521</v>
      </c>
      <c r="AB126" s="364" t="s">
        <v>2485</v>
      </c>
      <c r="AC126" s="364" t="s">
        <v>2416</v>
      </c>
      <c r="AD126" s="364" t="s">
        <v>2379</v>
      </c>
      <c r="AE126" s="364" t="s">
        <v>2381</v>
      </c>
      <c r="AF126" s="364" t="s">
        <v>2468</v>
      </c>
      <c r="AG126" s="364" t="s">
        <v>2588</v>
      </c>
      <c r="AH126" s="364" t="s">
        <v>2539</v>
      </c>
      <c r="AI126" s="364" t="s">
        <v>2382</v>
      </c>
      <c r="AJ126" s="364" t="s">
        <v>2383</v>
      </c>
      <c r="AK126" s="261" t="s">
        <v>183</v>
      </c>
      <c r="AL126" s="364" t="s">
        <v>2332</v>
      </c>
      <c r="AM126" s="364" t="s">
        <v>2386</v>
      </c>
      <c r="AN126" s="364" t="s">
        <v>2452</v>
      </c>
      <c r="AO126" s="364" t="s">
        <v>2526</v>
      </c>
      <c r="AP126" s="364" t="s">
        <v>2387</v>
      </c>
      <c r="AQ126" s="364" t="s">
        <v>2335</v>
      </c>
      <c r="AR126" s="364" t="s">
        <v>2337</v>
      </c>
      <c r="AS126" s="364" t="s">
        <v>2469</v>
      </c>
      <c r="AT126" s="364" t="s">
        <v>2338</v>
      </c>
      <c r="AU126" s="364" t="s">
        <v>2388</v>
      </c>
      <c r="AV126" s="364" t="s">
        <v>2339</v>
      </c>
      <c r="AW126" s="364" t="s">
        <v>2389</v>
      </c>
      <c r="AX126" s="364" t="s">
        <v>2340</v>
      </c>
      <c r="AY126" s="364" t="s">
        <v>2341</v>
      </c>
      <c r="AZ126" s="364" t="s">
        <v>2391</v>
      </c>
      <c r="BA126" s="364" t="s">
        <v>2442</v>
      </c>
      <c r="BB126" s="364" t="s">
        <v>2470</v>
      </c>
      <c r="BC126" s="364" t="s">
        <v>2343</v>
      </c>
      <c r="BD126" s="364" t="s">
        <v>2472</v>
      </c>
      <c r="BE126" s="364" t="s">
        <v>2344</v>
      </c>
      <c r="BF126" s="364" t="s">
        <v>2345</v>
      </c>
      <c r="BG126" s="364" t="s">
        <v>2346</v>
      </c>
      <c r="BH126" s="364" t="s">
        <v>2500</v>
      </c>
      <c r="BI126" s="364" t="s">
        <v>2347</v>
      </c>
      <c r="BJ126" s="364" t="s">
        <v>2474</v>
      </c>
      <c r="BK126" s="364" t="s">
        <v>2511</v>
      </c>
      <c r="BL126" s="364" t="s">
        <v>2348</v>
      </c>
      <c r="BM126" s="364" t="s">
        <v>2349</v>
      </c>
      <c r="BN126" s="364" t="s">
        <v>2445</v>
      </c>
      <c r="BO126" s="364" t="s">
        <v>2475</v>
      </c>
      <c r="BP126" s="364" t="s">
        <v>2476</v>
      </c>
      <c r="BQ126" s="364" t="s">
        <v>2488</v>
      </c>
      <c r="BR126" s="364" t="s">
        <v>2399</v>
      </c>
      <c r="BS126" s="364" t="s">
        <v>2428</v>
      </c>
      <c r="BT126" s="364" t="s">
        <v>2477</v>
      </c>
      <c r="BU126" s="364" t="s">
        <v>2493</v>
      </c>
      <c r="BV126" s="364"/>
      <c r="BW126" s="364"/>
      <c r="BX126" s="364"/>
      <c r="BY126" s="364"/>
      <c r="BZ126" s="364"/>
      <c r="CA126" s="364"/>
      <c r="CB126" s="364"/>
      <c r="CC126" s="364"/>
      <c r="CD126" s="364"/>
      <c r="CE126" s="364"/>
      <c r="CF126" s="364"/>
      <c r="CG126" s="364"/>
      <c r="CH126" s="364"/>
      <c r="CI126" s="364"/>
      <c r="CJ126" s="364"/>
      <c r="CK126" s="364"/>
      <c r="CL126" s="364"/>
      <c r="CM126" s="364"/>
      <c r="CN126" s="364"/>
      <c r="CO126" s="364"/>
      <c r="CP126" s="364"/>
      <c r="CQ126" s="364"/>
      <c r="CR126" s="364"/>
      <c r="CS126" s="364"/>
      <c r="CT126" s="364"/>
      <c r="CU126" s="364"/>
      <c r="CV126" s="364"/>
      <c r="CW126" s="364"/>
      <c r="CX126" s="364"/>
      <c r="CY126" s="364"/>
      <c r="CZ126" s="364"/>
      <c r="DA126" s="364"/>
      <c r="DB126" s="364"/>
      <c r="DC126" s="364"/>
      <c r="DD126" s="364"/>
      <c r="DE126" s="364"/>
      <c r="DF126" s="364"/>
      <c r="DG126" s="364"/>
      <c r="DH126" s="364"/>
      <c r="DI126" s="364"/>
      <c r="DJ126" s="364"/>
      <c r="DK126" s="364"/>
      <c r="DL126" s="364"/>
      <c r="DM126" s="364"/>
      <c r="DN126" s="364"/>
      <c r="DO126" s="364"/>
      <c r="DP126" s="364"/>
      <c r="DQ126" s="364"/>
      <c r="DR126" s="364"/>
      <c r="DS126" s="364"/>
      <c r="DT126" s="364"/>
      <c r="DU126" s="364"/>
      <c r="DV126" s="364"/>
      <c r="DW126" s="364"/>
      <c r="DX126" s="364"/>
      <c r="DY126" s="364"/>
      <c r="DZ126" s="364"/>
      <c r="EA126" s="364"/>
      <c r="EB126" s="364"/>
      <c r="EC126" s="364"/>
      <c r="ED126" s="364"/>
      <c r="EE126" s="364"/>
      <c r="EF126" s="364"/>
      <c r="EG126" s="364"/>
      <c r="EH126" s="364"/>
      <c r="EI126" s="364"/>
      <c r="EJ126" s="364"/>
      <c r="EK126" s="364"/>
      <c r="EL126" s="364"/>
      <c r="EM126" s="364"/>
      <c r="EN126" s="364"/>
      <c r="EO126" s="364"/>
      <c r="EP126" s="364"/>
      <c r="EQ126" s="364"/>
      <c r="ER126" s="364"/>
      <c r="ES126" s="364"/>
      <c r="ET126" s="364"/>
      <c r="EU126" s="364"/>
      <c r="EV126" s="364"/>
      <c r="EW126" s="364"/>
      <c r="EX126" s="364"/>
      <c r="EY126" s="364"/>
      <c r="EZ126" s="364"/>
      <c r="FA126" s="364"/>
      <c r="FB126" s="364"/>
      <c r="FC126" s="364"/>
      <c r="FD126" s="364"/>
      <c r="FE126" s="364"/>
      <c r="FF126" s="364"/>
      <c r="FG126" s="364"/>
      <c r="FH126" s="364"/>
      <c r="FI126" s="364"/>
      <c r="FJ126" s="364"/>
      <c r="FK126" s="364"/>
    </row>
    <row r="127" customFormat="false" ht="15.75" hidden="false" customHeight="false" outlineLevel="0" collapsed="false">
      <c r="A127" s="364" t="n">
        <v>246</v>
      </c>
      <c r="B127" s="364" t="n">
        <f aca="false">COUNTA(D127:FK127)</f>
        <v>48</v>
      </c>
      <c r="C127" s="364" t="s">
        <v>785</v>
      </c>
      <c r="D127" s="364" t="s">
        <v>2482</v>
      </c>
      <c r="E127" s="364" t="s">
        <v>2538</v>
      </c>
      <c r="F127" s="364" t="s">
        <v>2402</v>
      </c>
      <c r="G127" s="364" t="s">
        <v>2528</v>
      </c>
      <c r="H127" s="364" t="s">
        <v>2405</v>
      </c>
      <c r="I127" s="364" t="s">
        <v>2516</v>
      </c>
      <c r="J127" s="364" t="s">
        <v>2406</v>
      </c>
      <c r="K127" s="364" t="s">
        <v>2407</v>
      </c>
      <c r="L127" s="364" t="s">
        <v>2408</v>
      </c>
      <c r="M127" s="364" t="s">
        <v>2410</v>
      </c>
      <c r="N127" s="364" t="s">
        <v>2316</v>
      </c>
      <c r="O127" s="364" t="s">
        <v>2562</v>
      </c>
      <c r="P127" s="364" t="s">
        <v>2320</v>
      </c>
      <c r="Q127" s="364" t="s">
        <v>2450</v>
      </c>
      <c r="R127" s="364" t="s">
        <v>2412</v>
      </c>
      <c r="S127" s="364" t="s">
        <v>2327</v>
      </c>
      <c r="T127" s="364" t="s">
        <v>2328</v>
      </c>
      <c r="U127" s="364" t="s">
        <v>2414</v>
      </c>
      <c r="V127" s="364" t="s">
        <v>2415</v>
      </c>
      <c r="W127" s="364" t="s">
        <v>2417</v>
      </c>
      <c r="X127" s="364" t="s">
        <v>2418</v>
      </c>
      <c r="Y127" s="364" t="s">
        <v>2452</v>
      </c>
      <c r="Z127" s="364" t="s">
        <v>2453</v>
      </c>
      <c r="AA127" s="364" t="s">
        <v>2454</v>
      </c>
      <c r="AB127" s="364" t="s">
        <v>2487</v>
      </c>
      <c r="AC127" s="364" t="s">
        <v>2337</v>
      </c>
      <c r="AD127" s="364" t="s">
        <v>2553</v>
      </c>
      <c r="AE127" s="364" t="s">
        <v>2420</v>
      </c>
      <c r="AF127" s="364" t="s">
        <v>2340</v>
      </c>
      <c r="AG127" s="364" t="s">
        <v>2421</v>
      </c>
      <c r="AH127" s="364" t="s">
        <v>2341</v>
      </c>
      <c r="AI127" s="364" t="s">
        <v>2566</v>
      </c>
      <c r="AJ127" s="364" t="s">
        <v>2442</v>
      </c>
      <c r="AK127" s="364" t="s">
        <v>2470</v>
      </c>
      <c r="AL127" s="364" t="s">
        <v>2422</v>
      </c>
      <c r="AM127" s="364" t="s">
        <v>2343</v>
      </c>
      <c r="AN127" s="364" t="s">
        <v>2471</v>
      </c>
      <c r="AO127" s="364" t="s">
        <v>2344</v>
      </c>
      <c r="AP127" s="364" t="s">
        <v>2424</v>
      </c>
      <c r="AQ127" s="364" t="s">
        <v>2398</v>
      </c>
      <c r="AR127" s="364" t="s">
        <v>2348</v>
      </c>
      <c r="AS127" s="364" t="s">
        <v>2349</v>
      </c>
      <c r="AT127" s="364" t="s">
        <v>2456</v>
      </c>
      <c r="AU127" s="364" t="s">
        <v>2350</v>
      </c>
      <c r="AV127" s="364" t="s">
        <v>2425</v>
      </c>
      <c r="AW127" s="364" t="s">
        <v>2426</v>
      </c>
      <c r="AX127" s="364" t="s">
        <v>2428</v>
      </c>
      <c r="AY127" s="364" t="s">
        <v>2429</v>
      </c>
      <c r="AZ127" s="364"/>
      <c r="BA127" s="364"/>
      <c r="BB127" s="364"/>
      <c r="BC127" s="364"/>
      <c r="BD127" s="364"/>
      <c r="BE127" s="364"/>
      <c r="BF127" s="364"/>
      <c r="BG127" s="364"/>
      <c r="BH127" s="364"/>
      <c r="BI127" s="364"/>
      <c r="BJ127" s="364"/>
      <c r="BK127" s="364"/>
      <c r="BL127" s="364"/>
      <c r="BM127" s="364"/>
      <c r="BN127" s="364"/>
      <c r="BO127" s="364"/>
      <c r="BP127" s="364"/>
      <c r="BQ127" s="364"/>
      <c r="BR127" s="364"/>
      <c r="BS127" s="364"/>
      <c r="BT127" s="364"/>
      <c r="BU127" s="364"/>
      <c r="BV127" s="364"/>
      <c r="BW127" s="364"/>
      <c r="BX127" s="364"/>
      <c r="BY127" s="364"/>
      <c r="BZ127" s="364"/>
      <c r="CA127" s="364"/>
      <c r="CB127" s="364"/>
      <c r="CC127" s="364"/>
      <c r="CD127" s="364"/>
      <c r="CE127" s="364"/>
      <c r="CF127" s="364"/>
      <c r="CG127" s="364"/>
      <c r="CH127" s="364"/>
      <c r="CI127" s="364"/>
      <c r="CJ127" s="364"/>
      <c r="CK127" s="364"/>
      <c r="CL127" s="364"/>
      <c r="CM127" s="364"/>
      <c r="CN127" s="364"/>
      <c r="CO127" s="364"/>
      <c r="CP127" s="364"/>
      <c r="CQ127" s="364"/>
      <c r="CR127" s="364"/>
      <c r="CS127" s="364"/>
      <c r="CT127" s="364"/>
      <c r="CU127" s="364"/>
      <c r="CV127" s="364"/>
      <c r="CW127" s="364"/>
      <c r="CX127" s="364"/>
      <c r="CY127" s="364"/>
      <c r="CZ127" s="364"/>
      <c r="DA127" s="364"/>
      <c r="DB127" s="364"/>
      <c r="DC127" s="364"/>
      <c r="DD127" s="364"/>
      <c r="DE127" s="364"/>
      <c r="DF127" s="364"/>
      <c r="DG127" s="364"/>
      <c r="DH127" s="364"/>
      <c r="DI127" s="364"/>
      <c r="DJ127" s="364"/>
      <c r="DK127" s="364"/>
      <c r="DL127" s="364"/>
      <c r="DM127" s="364"/>
      <c r="DN127" s="364"/>
      <c r="DO127" s="364"/>
      <c r="DP127" s="364"/>
      <c r="DQ127" s="364"/>
      <c r="DR127" s="364"/>
      <c r="DS127" s="364"/>
      <c r="DT127" s="364"/>
      <c r="DU127" s="364"/>
      <c r="DV127" s="364"/>
      <c r="DW127" s="364"/>
      <c r="DX127" s="364"/>
      <c r="DY127" s="364"/>
      <c r="DZ127" s="364"/>
      <c r="EA127" s="364"/>
      <c r="EB127" s="364"/>
      <c r="EC127" s="364"/>
      <c r="ED127" s="364"/>
      <c r="EE127" s="364"/>
      <c r="EF127" s="364"/>
      <c r="EG127" s="364"/>
      <c r="EH127" s="364"/>
      <c r="EI127" s="364"/>
      <c r="EJ127" s="364"/>
      <c r="EK127" s="364"/>
      <c r="EL127" s="364"/>
      <c r="EM127" s="364"/>
      <c r="EN127" s="364"/>
      <c r="EO127" s="364"/>
      <c r="EP127" s="364"/>
      <c r="EQ127" s="364"/>
      <c r="ER127" s="364"/>
      <c r="ES127" s="364"/>
      <c r="ET127" s="364"/>
      <c r="EU127" s="364"/>
      <c r="EV127" s="364"/>
      <c r="EW127" s="364"/>
      <c r="EX127" s="364"/>
      <c r="EY127" s="364"/>
      <c r="EZ127" s="364"/>
      <c r="FA127" s="364"/>
      <c r="FB127" s="364"/>
      <c r="FC127" s="364"/>
      <c r="FD127" s="364"/>
      <c r="FE127" s="364"/>
      <c r="FF127" s="364"/>
      <c r="FG127" s="364"/>
      <c r="FH127" s="364"/>
      <c r="FI127" s="364"/>
      <c r="FJ127" s="364"/>
      <c r="FK127" s="364"/>
    </row>
    <row r="128" customFormat="false" ht="15.75" hidden="false" customHeight="false" outlineLevel="0" collapsed="false">
      <c r="A128" s="364" t="n">
        <v>247</v>
      </c>
      <c r="B128" s="364" t="n">
        <f aca="false">COUNTA(D128:FK128)</f>
        <v>51</v>
      </c>
      <c r="C128" s="364" t="s">
        <v>787</v>
      </c>
      <c r="D128" s="364" t="s">
        <v>2431</v>
      </c>
      <c r="E128" s="364" t="s">
        <v>2352</v>
      </c>
      <c r="F128" s="364" t="s">
        <v>2356</v>
      </c>
      <c r="G128" s="364" t="s">
        <v>2357</v>
      </c>
      <c r="H128" s="364" t="s">
        <v>2432</v>
      </c>
      <c r="I128" s="364" t="s">
        <v>2552</v>
      </c>
      <c r="J128" s="364" t="s">
        <v>138</v>
      </c>
      <c r="K128" s="364" t="s">
        <v>2315</v>
      </c>
      <c r="L128" s="364" t="s">
        <v>2316</v>
      </c>
      <c r="M128" s="364" t="s">
        <v>2579</v>
      </c>
      <c r="N128" s="364" t="s">
        <v>2320</v>
      </c>
      <c r="O128" s="364" t="s">
        <v>2449</v>
      </c>
      <c r="P128" s="364" t="s">
        <v>2534</v>
      </c>
      <c r="Q128" s="364" t="s">
        <v>2411</v>
      </c>
      <c r="R128" s="364" t="s">
        <v>2322</v>
      </c>
      <c r="S128" s="364" t="s">
        <v>2324</v>
      </c>
      <c r="T128" s="364" t="s">
        <v>2327</v>
      </c>
      <c r="U128" s="364" t="s">
        <v>2328</v>
      </c>
      <c r="V128" s="364" t="s">
        <v>2329</v>
      </c>
      <c r="W128" s="364" t="s">
        <v>2506</v>
      </c>
      <c r="X128" s="364" t="s">
        <v>2330</v>
      </c>
      <c r="Y128" s="364" t="s">
        <v>2384</v>
      </c>
      <c r="Z128" s="364" t="s">
        <v>2531</v>
      </c>
      <c r="AA128" s="364" t="s">
        <v>2385</v>
      </c>
      <c r="AB128" s="364" t="s">
        <v>2455</v>
      </c>
      <c r="AC128" s="364" t="s">
        <v>2461</v>
      </c>
      <c r="AD128" s="364" t="s">
        <v>2441</v>
      </c>
      <c r="AE128" s="364" t="s">
        <v>2337</v>
      </c>
      <c r="AF128" s="364" t="s">
        <v>2339</v>
      </c>
      <c r="AG128" s="364" t="s">
        <v>2340</v>
      </c>
      <c r="AH128" s="364" t="s">
        <v>2341</v>
      </c>
      <c r="AI128" s="364" t="s">
        <v>2443</v>
      </c>
      <c r="AJ128" s="364" t="s">
        <v>2395</v>
      </c>
      <c r="AK128" s="364" t="s">
        <v>2344</v>
      </c>
      <c r="AL128" s="364" t="s">
        <v>2396</v>
      </c>
      <c r="AM128" s="364" t="s">
        <v>2347</v>
      </c>
      <c r="AN128" s="364" t="s">
        <v>2444</v>
      </c>
      <c r="AO128" s="364" t="s">
        <v>2511</v>
      </c>
      <c r="AP128" s="364" t="s">
        <v>2398</v>
      </c>
      <c r="AQ128" s="364" t="s">
        <v>2445</v>
      </c>
      <c r="AR128" s="364" t="s">
        <v>2446</v>
      </c>
      <c r="AS128" s="364" t="s">
        <v>2350</v>
      </c>
      <c r="AT128" s="364" t="s">
        <v>2458</v>
      </c>
      <c r="AU128" s="261" t="s">
        <v>2354</v>
      </c>
      <c r="AV128" s="261" t="s">
        <v>2310</v>
      </c>
      <c r="AW128" s="261" t="s">
        <v>2433</v>
      </c>
      <c r="AX128" s="261" t="s">
        <v>2335</v>
      </c>
      <c r="AY128" s="261" t="s">
        <v>2393</v>
      </c>
      <c r="AZ128" s="261" t="s">
        <v>2349</v>
      </c>
      <c r="BA128" s="261" t="s">
        <v>2546</v>
      </c>
      <c r="BB128" s="261" t="s">
        <v>2401</v>
      </c>
      <c r="BC128" s="364"/>
      <c r="BD128" s="364"/>
      <c r="BE128" s="364"/>
      <c r="BF128" s="364"/>
      <c r="BG128" s="364"/>
      <c r="BH128" s="364"/>
      <c r="BI128" s="364"/>
      <c r="BJ128" s="364"/>
      <c r="BK128" s="364"/>
      <c r="BL128" s="364"/>
      <c r="BM128" s="364"/>
      <c r="BN128" s="364"/>
      <c r="BO128" s="364"/>
      <c r="BP128" s="364"/>
      <c r="BQ128" s="364"/>
      <c r="BR128" s="364"/>
      <c r="BS128" s="364"/>
      <c r="BT128" s="364"/>
      <c r="BU128" s="364"/>
      <c r="BV128" s="364"/>
      <c r="BW128" s="364"/>
      <c r="BX128" s="364"/>
      <c r="BY128" s="364"/>
      <c r="BZ128" s="364"/>
      <c r="CA128" s="364"/>
      <c r="CB128" s="364"/>
      <c r="CC128" s="364"/>
      <c r="CD128" s="364"/>
      <c r="CE128" s="364"/>
      <c r="CF128" s="364"/>
      <c r="CG128" s="364"/>
      <c r="CH128" s="364"/>
      <c r="CI128" s="364"/>
      <c r="CJ128" s="364"/>
      <c r="CK128" s="364"/>
      <c r="CL128" s="364"/>
      <c r="CM128" s="364"/>
      <c r="CN128" s="364"/>
      <c r="CO128" s="364"/>
      <c r="CP128" s="364"/>
      <c r="CQ128" s="364"/>
      <c r="CR128" s="364"/>
      <c r="CS128" s="364"/>
      <c r="CT128" s="364"/>
      <c r="CU128" s="364"/>
      <c r="CV128" s="364"/>
      <c r="CW128" s="364"/>
      <c r="CX128" s="364"/>
      <c r="CY128" s="364"/>
      <c r="CZ128" s="364"/>
      <c r="DA128" s="364"/>
      <c r="DB128" s="364"/>
      <c r="DC128" s="364"/>
      <c r="DD128" s="364"/>
      <c r="DE128" s="364"/>
      <c r="DF128" s="364"/>
      <c r="DG128" s="364"/>
      <c r="DH128" s="364"/>
      <c r="DI128" s="364"/>
      <c r="DJ128" s="364"/>
      <c r="DK128" s="364"/>
      <c r="DL128" s="364"/>
      <c r="DM128" s="364"/>
      <c r="DN128" s="364"/>
      <c r="DO128" s="364"/>
      <c r="DP128" s="364"/>
      <c r="DQ128" s="364"/>
      <c r="DR128" s="364"/>
      <c r="DS128" s="364"/>
      <c r="DT128" s="364"/>
      <c r="DU128" s="364"/>
      <c r="DV128" s="364"/>
      <c r="DW128" s="364"/>
      <c r="DX128" s="364"/>
      <c r="DY128" s="364"/>
      <c r="DZ128" s="364"/>
      <c r="EA128" s="364"/>
      <c r="EB128" s="364"/>
      <c r="EC128" s="364"/>
      <c r="ED128" s="364"/>
      <c r="EE128" s="364"/>
      <c r="EF128" s="364"/>
      <c r="EG128" s="364"/>
      <c r="EH128" s="364"/>
      <c r="EI128" s="364"/>
      <c r="EJ128" s="364"/>
      <c r="EK128" s="364"/>
      <c r="EL128" s="364"/>
      <c r="EM128" s="364"/>
      <c r="EN128" s="364"/>
      <c r="EO128" s="364"/>
      <c r="EP128" s="364"/>
      <c r="EQ128" s="364"/>
      <c r="ER128" s="364"/>
      <c r="ES128" s="364"/>
      <c r="ET128" s="364"/>
      <c r="EU128" s="364"/>
      <c r="EV128" s="364"/>
      <c r="EW128" s="364"/>
      <c r="EX128" s="364"/>
      <c r="EY128" s="364"/>
      <c r="EZ128" s="364"/>
      <c r="FA128" s="364"/>
      <c r="FB128" s="364"/>
      <c r="FC128" s="364"/>
      <c r="FD128" s="364"/>
      <c r="FE128" s="364"/>
      <c r="FF128" s="364"/>
      <c r="FG128" s="364"/>
      <c r="FH128" s="364"/>
      <c r="FI128" s="364"/>
      <c r="FJ128" s="364"/>
      <c r="FK128" s="364"/>
    </row>
    <row r="129" customFormat="false" ht="15.75" hidden="false" customHeight="false" outlineLevel="0" collapsed="false">
      <c r="A129" s="364" t="n">
        <v>249</v>
      </c>
      <c r="B129" s="364" t="n">
        <f aca="false">COUNTA(D129:FK129)</f>
        <v>39</v>
      </c>
      <c r="C129" s="364" t="s">
        <v>792</v>
      </c>
      <c r="D129" s="364" t="s">
        <v>2481</v>
      </c>
      <c r="E129" s="364" t="s">
        <v>2561</v>
      </c>
      <c r="F129" s="364" t="s">
        <v>2310</v>
      </c>
      <c r="G129" s="364" t="s">
        <v>2311</v>
      </c>
      <c r="H129" s="364" t="s">
        <v>2312</v>
      </c>
      <c r="I129" s="364" t="s">
        <v>2432</v>
      </c>
      <c r="J129" s="364" t="s">
        <v>2313</v>
      </c>
      <c r="K129" s="364" t="s">
        <v>2559</v>
      </c>
      <c r="L129" s="364" t="s">
        <v>2358</v>
      </c>
      <c r="M129" s="364" t="s">
        <v>2316</v>
      </c>
      <c r="N129" s="364" t="s">
        <v>2497</v>
      </c>
      <c r="O129" s="364" t="s">
        <v>2317</v>
      </c>
      <c r="P129" s="364" t="s">
        <v>2320</v>
      </c>
      <c r="Q129" s="364" t="s">
        <v>2544</v>
      </c>
      <c r="R129" s="364" t="s">
        <v>2412</v>
      </c>
      <c r="S129" s="364" t="s">
        <v>2327</v>
      </c>
      <c r="T129" s="364" t="s">
        <v>2328</v>
      </c>
      <c r="U129" s="364" t="s">
        <v>2438</v>
      </c>
      <c r="V129" s="364" t="s">
        <v>2330</v>
      </c>
      <c r="W129" s="261" t="s">
        <v>183</v>
      </c>
      <c r="X129" s="364" t="s">
        <v>2337</v>
      </c>
      <c r="Y129" s="364" t="s">
        <v>2564</v>
      </c>
      <c r="Z129" s="364" t="s">
        <v>2388</v>
      </c>
      <c r="AA129" s="364" t="s">
        <v>2339</v>
      </c>
      <c r="AB129" s="364" t="s">
        <v>2565</v>
      </c>
      <c r="AC129" s="364" t="s">
        <v>2389</v>
      </c>
      <c r="AD129" s="364" t="s">
        <v>2420</v>
      </c>
      <c r="AE129" s="364" t="s">
        <v>2340</v>
      </c>
      <c r="AF129" s="364" t="s">
        <v>2499</v>
      </c>
      <c r="AG129" s="364" t="s">
        <v>2341</v>
      </c>
      <c r="AH129" s="364" t="s">
        <v>2343</v>
      </c>
      <c r="AI129" s="364" t="s">
        <v>2471</v>
      </c>
      <c r="AJ129" s="364" t="s">
        <v>2423</v>
      </c>
      <c r="AK129" s="364" t="s">
        <v>2344</v>
      </c>
      <c r="AL129" s="364" t="s">
        <v>2500</v>
      </c>
      <c r="AM129" s="364" t="s">
        <v>2347</v>
      </c>
      <c r="AN129" s="364" t="s">
        <v>2444</v>
      </c>
      <c r="AO129" s="364" t="s">
        <v>2350</v>
      </c>
      <c r="AP129" s="364" t="s">
        <v>2489</v>
      </c>
      <c r="AQ129" s="364"/>
      <c r="AR129" s="364"/>
      <c r="AS129" s="364"/>
      <c r="AT129" s="364"/>
      <c r="AU129" s="364"/>
      <c r="AV129" s="364"/>
      <c r="AW129" s="364"/>
      <c r="AX129" s="364"/>
      <c r="AY129" s="364"/>
      <c r="AZ129" s="364"/>
      <c r="BA129" s="364"/>
      <c r="BB129" s="364"/>
      <c r="BC129" s="364"/>
      <c r="BD129" s="364"/>
      <c r="BE129" s="364"/>
      <c r="BF129" s="364"/>
      <c r="BG129" s="364"/>
      <c r="BH129" s="364"/>
      <c r="BI129" s="364"/>
      <c r="BJ129" s="364"/>
      <c r="BK129" s="364"/>
      <c r="BL129" s="364"/>
      <c r="BM129" s="364"/>
      <c r="BN129" s="364"/>
      <c r="BO129" s="364"/>
      <c r="BP129" s="364"/>
      <c r="BQ129" s="364"/>
      <c r="BR129" s="364"/>
      <c r="BS129" s="364"/>
      <c r="BT129" s="364"/>
      <c r="BU129" s="364"/>
      <c r="BV129" s="364"/>
      <c r="BW129" s="364"/>
      <c r="BX129" s="364"/>
      <c r="BY129" s="364"/>
      <c r="BZ129" s="364"/>
      <c r="CA129" s="364"/>
      <c r="CB129" s="364"/>
      <c r="CC129" s="364"/>
      <c r="CD129" s="364"/>
      <c r="CE129" s="364"/>
      <c r="CF129" s="364"/>
      <c r="CG129" s="364"/>
      <c r="CH129" s="364"/>
      <c r="CI129" s="364"/>
      <c r="CJ129" s="364"/>
      <c r="CK129" s="364"/>
      <c r="CL129" s="364"/>
      <c r="CM129" s="364"/>
      <c r="CN129" s="364"/>
      <c r="CO129" s="364"/>
      <c r="CP129" s="364"/>
      <c r="CQ129" s="364"/>
      <c r="CR129" s="364"/>
      <c r="CS129" s="364"/>
      <c r="CT129" s="364"/>
      <c r="CU129" s="364"/>
      <c r="CV129" s="364"/>
      <c r="CW129" s="364"/>
      <c r="CX129" s="364"/>
      <c r="CY129" s="364"/>
      <c r="CZ129" s="364"/>
      <c r="DA129" s="364"/>
      <c r="DB129" s="364"/>
      <c r="DC129" s="364"/>
      <c r="DD129" s="364"/>
      <c r="DE129" s="364"/>
      <c r="DF129" s="364"/>
      <c r="DG129" s="364"/>
      <c r="DH129" s="364"/>
      <c r="DI129" s="364"/>
      <c r="DJ129" s="364"/>
      <c r="DK129" s="364"/>
      <c r="DL129" s="364"/>
      <c r="DM129" s="364"/>
      <c r="DN129" s="364"/>
      <c r="DO129" s="364"/>
      <c r="DP129" s="364"/>
      <c r="DQ129" s="364"/>
      <c r="DR129" s="364"/>
      <c r="DS129" s="364"/>
      <c r="DT129" s="364"/>
      <c r="DU129" s="364"/>
      <c r="DV129" s="364"/>
      <c r="DW129" s="364"/>
      <c r="DX129" s="364"/>
      <c r="DY129" s="364"/>
      <c r="DZ129" s="364"/>
      <c r="EA129" s="364"/>
      <c r="EB129" s="364"/>
      <c r="EC129" s="364"/>
      <c r="ED129" s="364"/>
      <c r="EE129" s="364"/>
      <c r="EF129" s="364"/>
      <c r="EG129" s="364"/>
      <c r="EH129" s="364"/>
      <c r="EI129" s="364"/>
      <c r="EJ129" s="364"/>
      <c r="EK129" s="364"/>
      <c r="EL129" s="364"/>
      <c r="EM129" s="364"/>
      <c r="EN129" s="364"/>
      <c r="EO129" s="364"/>
      <c r="EP129" s="364"/>
      <c r="EQ129" s="364"/>
      <c r="ER129" s="364"/>
      <c r="ES129" s="364"/>
      <c r="ET129" s="364"/>
      <c r="EU129" s="364"/>
      <c r="EV129" s="364"/>
      <c r="EW129" s="364"/>
      <c r="EX129" s="364"/>
      <c r="EY129" s="364"/>
      <c r="EZ129" s="364"/>
      <c r="FA129" s="364"/>
      <c r="FB129" s="364"/>
      <c r="FC129" s="364"/>
      <c r="FD129" s="364"/>
      <c r="FE129" s="364"/>
      <c r="FF129" s="364"/>
      <c r="FG129" s="364"/>
      <c r="FH129" s="364"/>
      <c r="FI129" s="364"/>
      <c r="FJ129" s="364"/>
      <c r="FK129" s="364"/>
    </row>
    <row r="130" customFormat="false" ht="15.75" hidden="false" customHeight="false" outlineLevel="0" collapsed="false">
      <c r="A130" s="364" t="n">
        <v>250</v>
      </c>
      <c r="B130" s="364" t="n">
        <f aca="false">COUNTA(D130:FK130)</f>
        <v>56</v>
      </c>
      <c r="C130" s="364" t="s">
        <v>794</v>
      </c>
      <c r="D130" s="364" t="s">
        <v>2352</v>
      </c>
      <c r="E130" s="364" t="s">
        <v>2647</v>
      </c>
      <c r="F130" s="364" t="s">
        <v>2310</v>
      </c>
      <c r="G130" s="364" t="s">
        <v>2312</v>
      </c>
      <c r="H130" s="364" t="s">
        <v>2356</v>
      </c>
      <c r="I130" s="364" t="s">
        <v>2357</v>
      </c>
      <c r="J130" s="364" t="s">
        <v>2432</v>
      </c>
      <c r="K130" s="364" t="s">
        <v>2313</v>
      </c>
      <c r="L130" s="364" t="s">
        <v>2314</v>
      </c>
      <c r="M130" s="364" t="s">
        <v>2509</v>
      </c>
      <c r="N130" s="364" t="s">
        <v>2541</v>
      </c>
      <c r="O130" s="364" t="s">
        <v>138</v>
      </c>
      <c r="P130" s="364" t="s">
        <v>2315</v>
      </c>
      <c r="Q130" s="364" t="s">
        <v>2358</v>
      </c>
      <c r="R130" s="364" t="s">
        <v>2316</v>
      </c>
      <c r="S130" s="364" t="s">
        <v>2317</v>
      </c>
      <c r="T130" s="364" t="s">
        <v>2320</v>
      </c>
      <c r="U130" s="364" t="s">
        <v>2449</v>
      </c>
      <c r="V130" s="364" t="s">
        <v>2534</v>
      </c>
      <c r="W130" s="364" t="s">
        <v>2376</v>
      </c>
      <c r="X130" s="364" t="s">
        <v>2377</v>
      </c>
      <c r="Y130" s="364" t="s">
        <v>2451</v>
      </c>
      <c r="Z130" s="364" t="s">
        <v>2322</v>
      </c>
      <c r="AA130" s="364" t="s">
        <v>2324</v>
      </c>
      <c r="AB130" s="364" t="s">
        <v>2327</v>
      </c>
      <c r="AC130" s="364" t="s">
        <v>2328</v>
      </c>
      <c r="AD130" s="364" t="s">
        <v>2512</v>
      </c>
      <c r="AE130" s="364" t="s">
        <v>2329</v>
      </c>
      <c r="AF130" s="364" t="s">
        <v>2330</v>
      </c>
      <c r="AG130" s="364" t="s">
        <v>2539</v>
      </c>
      <c r="AH130" s="364" t="s">
        <v>2513</v>
      </c>
      <c r="AI130" s="364" t="s">
        <v>2531</v>
      </c>
      <c r="AJ130" s="364" t="s">
        <v>2453</v>
      </c>
      <c r="AK130" s="364" t="s">
        <v>2455</v>
      </c>
      <c r="AL130" s="364" t="s">
        <v>2337</v>
      </c>
      <c r="AM130" s="364" t="s">
        <v>2469</v>
      </c>
      <c r="AN130" s="364" t="s">
        <v>2553</v>
      </c>
      <c r="AO130" s="364" t="s">
        <v>2564</v>
      </c>
      <c r="AP130" s="364" t="s">
        <v>2388</v>
      </c>
      <c r="AQ130" s="364" t="s">
        <v>2339</v>
      </c>
      <c r="AR130" s="364" t="s">
        <v>2389</v>
      </c>
      <c r="AS130" s="364" t="s">
        <v>2340</v>
      </c>
      <c r="AT130" s="364" t="s">
        <v>2341</v>
      </c>
      <c r="AU130" s="364" t="s">
        <v>2391</v>
      </c>
      <c r="AV130" s="364" t="s">
        <v>2392</v>
      </c>
      <c r="AW130" s="364" t="s">
        <v>2423</v>
      </c>
      <c r="AX130" s="364" t="s">
        <v>2344</v>
      </c>
      <c r="AY130" s="364" t="s">
        <v>2500</v>
      </c>
      <c r="AZ130" s="364" t="s">
        <v>2347</v>
      </c>
      <c r="BA130" s="364" t="s">
        <v>2444</v>
      </c>
      <c r="BB130" s="364" t="s">
        <v>2348</v>
      </c>
      <c r="BC130" s="364" t="s">
        <v>2349</v>
      </c>
      <c r="BD130" s="364" t="s">
        <v>2445</v>
      </c>
      <c r="BE130" s="364" t="s">
        <v>2456</v>
      </c>
      <c r="BF130" s="364" t="s">
        <v>2546</v>
      </c>
      <c r="BG130" s="364" t="s">
        <v>2350</v>
      </c>
      <c r="BH130" s="364"/>
      <c r="BI130" s="364"/>
      <c r="BJ130" s="364"/>
      <c r="BK130" s="364"/>
      <c r="BL130" s="364"/>
      <c r="BM130" s="364"/>
      <c r="BN130" s="364"/>
      <c r="BO130" s="364"/>
      <c r="BP130" s="364"/>
      <c r="BQ130" s="364"/>
      <c r="BR130" s="364"/>
      <c r="BS130" s="364"/>
      <c r="BT130" s="364"/>
      <c r="BU130" s="364"/>
      <c r="BV130" s="364"/>
      <c r="BW130" s="364"/>
      <c r="BX130" s="364"/>
      <c r="BY130" s="364"/>
      <c r="BZ130" s="364"/>
      <c r="CA130" s="364"/>
      <c r="CB130" s="364"/>
      <c r="CC130" s="364"/>
      <c r="CD130" s="364"/>
      <c r="CE130" s="364"/>
      <c r="CF130" s="364"/>
      <c r="CG130" s="364"/>
      <c r="CH130" s="364"/>
      <c r="CI130" s="364"/>
      <c r="CJ130" s="364"/>
      <c r="CK130" s="364"/>
      <c r="CL130" s="364"/>
      <c r="CM130" s="364"/>
      <c r="CN130" s="364"/>
      <c r="CO130" s="364"/>
      <c r="CP130" s="364"/>
      <c r="CQ130" s="364"/>
      <c r="CR130" s="364"/>
      <c r="CS130" s="364"/>
      <c r="CT130" s="364"/>
      <c r="CU130" s="364"/>
      <c r="CV130" s="364"/>
      <c r="CW130" s="364"/>
      <c r="CX130" s="364"/>
      <c r="CY130" s="364"/>
      <c r="CZ130" s="364"/>
      <c r="DA130" s="364"/>
      <c r="DB130" s="364"/>
      <c r="DC130" s="364"/>
      <c r="DD130" s="364"/>
      <c r="DE130" s="364"/>
      <c r="DF130" s="364"/>
      <c r="DG130" s="364"/>
      <c r="DH130" s="364"/>
      <c r="DI130" s="364"/>
      <c r="DJ130" s="364"/>
      <c r="DK130" s="364"/>
      <c r="DL130" s="364"/>
      <c r="DM130" s="364"/>
      <c r="DN130" s="364"/>
      <c r="DO130" s="364"/>
      <c r="DP130" s="364"/>
      <c r="DQ130" s="364"/>
      <c r="DR130" s="364"/>
      <c r="DS130" s="364"/>
      <c r="DT130" s="364"/>
      <c r="DU130" s="364"/>
      <c r="DV130" s="364"/>
      <c r="DW130" s="364"/>
      <c r="DX130" s="364"/>
      <c r="DY130" s="364"/>
      <c r="DZ130" s="364"/>
      <c r="EA130" s="364"/>
      <c r="EB130" s="364"/>
      <c r="EC130" s="364"/>
      <c r="ED130" s="364"/>
      <c r="EE130" s="364"/>
      <c r="EF130" s="364"/>
      <c r="EG130" s="364"/>
      <c r="EH130" s="364"/>
      <c r="EI130" s="364"/>
      <c r="EJ130" s="364"/>
      <c r="EK130" s="364"/>
      <c r="EL130" s="364"/>
      <c r="EM130" s="364"/>
      <c r="EN130" s="364"/>
      <c r="EO130" s="364"/>
      <c r="EP130" s="364"/>
      <c r="EQ130" s="364"/>
      <c r="ER130" s="364"/>
      <c r="ES130" s="364"/>
      <c r="ET130" s="364"/>
      <c r="EU130" s="364"/>
      <c r="EV130" s="364"/>
      <c r="EW130" s="364"/>
      <c r="EX130" s="364"/>
      <c r="EY130" s="364"/>
      <c r="EZ130" s="364"/>
      <c r="FA130" s="364"/>
      <c r="FB130" s="364"/>
      <c r="FC130" s="364"/>
      <c r="FD130" s="364"/>
      <c r="FE130" s="364"/>
      <c r="FF130" s="364"/>
      <c r="FG130" s="364"/>
      <c r="FH130" s="364"/>
      <c r="FI130" s="364"/>
      <c r="FJ130" s="364"/>
      <c r="FK130" s="364"/>
    </row>
    <row r="131" customFormat="false" ht="15.75" hidden="false" customHeight="false" outlineLevel="0" collapsed="false">
      <c r="A131" s="364" t="n">
        <v>252</v>
      </c>
      <c r="B131" s="364" t="n">
        <f aca="false">COUNTA(D131:FK131)</f>
        <v>59</v>
      </c>
      <c r="C131" s="364" t="s">
        <v>799</v>
      </c>
      <c r="D131" s="364" t="s">
        <v>2352</v>
      </c>
      <c r="E131" s="364" t="s">
        <v>2403</v>
      </c>
      <c r="F131" s="364" t="s">
        <v>2404</v>
      </c>
      <c r="G131" s="364" t="s">
        <v>2405</v>
      </c>
      <c r="H131" s="364" t="s">
        <v>2356</v>
      </c>
      <c r="I131" s="364" t="s">
        <v>138</v>
      </c>
      <c r="J131" s="364" t="s">
        <v>2496</v>
      </c>
      <c r="K131" s="364" t="s">
        <v>2315</v>
      </c>
      <c r="L131" s="364" t="s">
        <v>2409</v>
      </c>
      <c r="M131" s="364" t="s">
        <v>2358</v>
      </c>
      <c r="N131" s="364" t="s">
        <v>2316</v>
      </c>
      <c r="O131" s="364" t="s">
        <v>2579</v>
      </c>
      <c r="P131" s="364" t="s">
        <v>2435</v>
      </c>
      <c r="Q131" s="364" t="s">
        <v>2364</v>
      </c>
      <c r="R131" s="364" t="s">
        <v>2320</v>
      </c>
      <c r="S131" s="364" t="s">
        <v>2533</v>
      </c>
      <c r="T131" s="364" t="s">
        <v>2449</v>
      </c>
      <c r="U131" s="364" t="s">
        <v>2534</v>
      </c>
      <c r="V131" s="364" t="s">
        <v>2535</v>
      </c>
      <c r="W131" s="364" t="s">
        <v>2377</v>
      </c>
      <c r="X131" s="364" t="s">
        <v>2523</v>
      </c>
      <c r="Y131" s="364" t="s">
        <v>2322</v>
      </c>
      <c r="Z131" s="364" t="s">
        <v>2498</v>
      </c>
      <c r="AA131" s="364" t="s">
        <v>2327</v>
      </c>
      <c r="AB131" s="364" t="s">
        <v>2328</v>
      </c>
      <c r="AC131" s="364" t="s">
        <v>2415</v>
      </c>
      <c r="AD131" s="364" t="s">
        <v>2416</v>
      </c>
      <c r="AE131" s="364" t="s">
        <v>2525</v>
      </c>
      <c r="AF131" s="364" t="s">
        <v>2504</v>
      </c>
      <c r="AG131" s="364" t="s">
        <v>2417</v>
      </c>
      <c r="AH131" s="364" t="s">
        <v>2381</v>
      </c>
      <c r="AI131" s="364" t="s">
        <v>2330</v>
      </c>
      <c r="AJ131" s="364" t="s">
        <v>2539</v>
      </c>
      <c r="AK131" s="364" t="s">
        <v>2540</v>
      </c>
      <c r="AL131" s="364" t="s">
        <v>2384</v>
      </c>
      <c r="AM131" s="261" t="s">
        <v>183</v>
      </c>
      <c r="AN131" s="364" t="s">
        <v>2452</v>
      </c>
      <c r="AO131" s="364" t="s">
        <v>2454</v>
      </c>
      <c r="AP131" s="364" t="s">
        <v>2387</v>
      </c>
      <c r="AQ131" s="364" t="s">
        <v>2455</v>
      </c>
      <c r="AR131" s="364" t="s">
        <v>2461</v>
      </c>
      <c r="AS131" s="364" t="s">
        <v>2337</v>
      </c>
      <c r="AT131" s="364" t="s">
        <v>2469</v>
      </c>
      <c r="AU131" s="364" t="s">
        <v>2339</v>
      </c>
      <c r="AV131" s="364" t="s">
        <v>2340</v>
      </c>
      <c r="AW131" s="364" t="s">
        <v>2390</v>
      </c>
      <c r="AX131" s="364" t="s">
        <v>2341</v>
      </c>
      <c r="AY131" s="364" t="s">
        <v>2442</v>
      </c>
      <c r="AZ131" s="364" t="s">
        <v>2392</v>
      </c>
      <c r="BA131" s="364" t="s">
        <v>2395</v>
      </c>
      <c r="BB131" s="364" t="s">
        <v>2472</v>
      </c>
      <c r="BC131" s="364" t="s">
        <v>2344</v>
      </c>
      <c r="BD131" s="364" t="s">
        <v>2347</v>
      </c>
      <c r="BE131" s="364" t="s">
        <v>2424</v>
      </c>
      <c r="BF131" s="364" t="s">
        <v>2398</v>
      </c>
      <c r="BG131" s="364" t="s">
        <v>2445</v>
      </c>
      <c r="BH131" s="364" t="s">
        <v>2456</v>
      </c>
      <c r="BI131" s="364" t="s">
        <v>2429</v>
      </c>
      <c r="BJ131" s="364" t="s">
        <v>2458</v>
      </c>
      <c r="BK131" s="364"/>
      <c r="BL131" s="364"/>
      <c r="BM131" s="364"/>
      <c r="BN131" s="364"/>
      <c r="BO131" s="364"/>
      <c r="BP131" s="364"/>
      <c r="BQ131" s="364"/>
      <c r="BR131" s="364"/>
      <c r="BS131" s="364"/>
      <c r="BT131" s="364"/>
      <c r="BU131" s="364"/>
      <c r="BV131" s="364"/>
      <c r="BW131" s="364"/>
      <c r="BX131" s="364"/>
      <c r="BY131" s="364"/>
      <c r="BZ131" s="364"/>
      <c r="CA131" s="364"/>
      <c r="CB131" s="364"/>
      <c r="CC131" s="364"/>
      <c r="CD131" s="364"/>
      <c r="CE131" s="364"/>
      <c r="CF131" s="364"/>
      <c r="CG131" s="364"/>
      <c r="CH131" s="364"/>
      <c r="CI131" s="364"/>
      <c r="CJ131" s="364"/>
      <c r="CK131" s="364"/>
      <c r="CL131" s="364"/>
      <c r="CM131" s="364"/>
      <c r="CN131" s="364"/>
      <c r="CO131" s="364"/>
      <c r="CP131" s="364"/>
      <c r="CQ131" s="364"/>
      <c r="CR131" s="364"/>
      <c r="CS131" s="364"/>
      <c r="CT131" s="364"/>
      <c r="CU131" s="364"/>
      <c r="CV131" s="364"/>
      <c r="CW131" s="364"/>
      <c r="CX131" s="364"/>
      <c r="CY131" s="364"/>
      <c r="CZ131" s="364"/>
      <c r="DA131" s="364"/>
      <c r="DB131" s="364"/>
      <c r="DC131" s="364"/>
      <c r="DD131" s="364"/>
      <c r="DE131" s="364"/>
      <c r="DF131" s="364"/>
      <c r="DG131" s="364"/>
      <c r="DH131" s="364"/>
      <c r="DI131" s="364"/>
      <c r="DJ131" s="364"/>
      <c r="DK131" s="364"/>
      <c r="DL131" s="364"/>
      <c r="DM131" s="364"/>
      <c r="DN131" s="364"/>
      <c r="DO131" s="364"/>
      <c r="DP131" s="364"/>
      <c r="DQ131" s="364"/>
      <c r="DR131" s="364"/>
      <c r="DS131" s="364"/>
      <c r="DT131" s="364"/>
      <c r="DU131" s="364"/>
      <c r="DV131" s="364"/>
      <c r="DW131" s="364"/>
      <c r="DX131" s="364"/>
      <c r="DY131" s="364"/>
      <c r="DZ131" s="364"/>
      <c r="EA131" s="364"/>
      <c r="EB131" s="364"/>
      <c r="EC131" s="364"/>
      <c r="ED131" s="364"/>
      <c r="EE131" s="364"/>
      <c r="EF131" s="364"/>
      <c r="EG131" s="364"/>
      <c r="EH131" s="364"/>
      <c r="EI131" s="364"/>
      <c r="EJ131" s="364"/>
      <c r="EK131" s="364"/>
      <c r="EL131" s="364"/>
      <c r="EM131" s="364"/>
      <c r="EN131" s="364"/>
      <c r="EO131" s="364"/>
      <c r="EP131" s="364"/>
      <c r="EQ131" s="364"/>
      <c r="ER131" s="364"/>
      <c r="ES131" s="364"/>
      <c r="ET131" s="364"/>
      <c r="EU131" s="364"/>
      <c r="EV131" s="364"/>
      <c r="EW131" s="364"/>
      <c r="EX131" s="364"/>
      <c r="EY131" s="364"/>
      <c r="EZ131" s="364"/>
      <c r="FA131" s="364"/>
      <c r="FB131" s="364"/>
      <c r="FC131" s="364"/>
      <c r="FD131" s="364"/>
      <c r="FE131" s="364"/>
      <c r="FF131" s="364"/>
      <c r="FG131" s="364"/>
      <c r="FH131" s="364"/>
      <c r="FI131" s="364"/>
      <c r="FJ131" s="364"/>
      <c r="FK131" s="364"/>
    </row>
    <row r="132" customFormat="false" ht="15.75" hidden="false" customHeight="false" outlineLevel="0" collapsed="false">
      <c r="A132" s="364" t="n">
        <v>254</v>
      </c>
      <c r="B132" s="364" t="n">
        <f aca="false">COUNTA(D132:FK132)</f>
        <v>62</v>
      </c>
      <c r="C132" s="364" t="s">
        <v>803</v>
      </c>
      <c r="D132" s="364" t="s">
        <v>2352</v>
      </c>
      <c r="E132" s="364" t="s">
        <v>2403</v>
      </c>
      <c r="F132" s="364" t="s">
        <v>2312</v>
      </c>
      <c r="G132" s="364" t="s">
        <v>2356</v>
      </c>
      <c r="H132" s="364" t="s">
        <v>2313</v>
      </c>
      <c r="I132" s="364" t="s">
        <v>138</v>
      </c>
      <c r="J132" s="364" t="s">
        <v>2465</v>
      </c>
      <c r="K132" s="364" t="s">
        <v>2315</v>
      </c>
      <c r="L132" s="364" t="s">
        <v>2358</v>
      </c>
      <c r="M132" s="364" t="s">
        <v>2316</v>
      </c>
      <c r="N132" s="364" t="s">
        <v>2364</v>
      </c>
      <c r="O132" s="364" t="s">
        <v>2317</v>
      </c>
      <c r="P132" s="364" t="s">
        <v>2320</v>
      </c>
      <c r="Q132" s="364" t="s">
        <v>2535</v>
      </c>
      <c r="R132" s="364" t="s">
        <v>2369</v>
      </c>
      <c r="S132" s="364" t="s">
        <v>2376</v>
      </c>
      <c r="T132" s="364" t="s">
        <v>2377</v>
      </c>
      <c r="U132" s="364" t="s">
        <v>2322</v>
      </c>
      <c r="V132" s="364" t="s">
        <v>2498</v>
      </c>
      <c r="W132" s="364" t="s">
        <v>2324</v>
      </c>
      <c r="X132" s="364" t="s">
        <v>2484</v>
      </c>
      <c r="Y132" s="364" t="s">
        <v>2614</v>
      </c>
      <c r="Z132" s="364" t="s">
        <v>2327</v>
      </c>
      <c r="AA132" s="364" t="s">
        <v>2328</v>
      </c>
      <c r="AB132" s="364" t="s">
        <v>2329</v>
      </c>
      <c r="AC132" s="364" t="s">
        <v>2521</v>
      </c>
      <c r="AD132" s="364" t="s">
        <v>2416</v>
      </c>
      <c r="AE132" s="364" t="s">
        <v>2468</v>
      </c>
      <c r="AF132" s="364" t="s">
        <v>2588</v>
      </c>
      <c r="AG132" s="364" t="s">
        <v>2539</v>
      </c>
      <c r="AH132" s="364" t="s">
        <v>2382</v>
      </c>
      <c r="AI132" s="364" t="s">
        <v>2383</v>
      </c>
      <c r="AJ132" s="261" t="s">
        <v>183</v>
      </c>
      <c r="AK132" s="364" t="s">
        <v>2452</v>
      </c>
      <c r="AL132" s="364" t="s">
        <v>2387</v>
      </c>
      <c r="AM132" s="364" t="s">
        <v>2337</v>
      </c>
      <c r="AN132" s="364" t="s">
        <v>2469</v>
      </c>
      <c r="AO132" s="364" t="s">
        <v>2338</v>
      </c>
      <c r="AP132" s="364" t="s">
        <v>2388</v>
      </c>
      <c r="AQ132" s="364" t="s">
        <v>2339</v>
      </c>
      <c r="AR132" s="364" t="s">
        <v>2389</v>
      </c>
      <c r="AS132" s="364" t="s">
        <v>2420</v>
      </c>
      <c r="AT132" s="364" t="s">
        <v>2340</v>
      </c>
      <c r="AU132" s="364" t="s">
        <v>2390</v>
      </c>
      <c r="AV132" s="364" t="s">
        <v>2341</v>
      </c>
      <c r="AW132" s="364" t="s">
        <v>2342</v>
      </c>
      <c r="AX132" s="364" t="s">
        <v>2391</v>
      </c>
      <c r="AY132" s="364" t="s">
        <v>2392</v>
      </c>
      <c r="AZ132" s="364" t="s">
        <v>2395</v>
      </c>
      <c r="BA132" s="364" t="s">
        <v>2423</v>
      </c>
      <c r="BB132" s="364" t="s">
        <v>2344</v>
      </c>
      <c r="BC132" s="364" t="s">
        <v>2346</v>
      </c>
      <c r="BD132" s="364" t="s">
        <v>2500</v>
      </c>
      <c r="BE132" s="364" t="s">
        <v>2347</v>
      </c>
      <c r="BF132" s="364" t="s">
        <v>2511</v>
      </c>
      <c r="BG132" s="364" t="s">
        <v>2398</v>
      </c>
      <c r="BH132" s="364" t="s">
        <v>2445</v>
      </c>
      <c r="BI132" s="364" t="s">
        <v>2515</v>
      </c>
      <c r="BJ132" s="364" t="s">
        <v>2456</v>
      </c>
      <c r="BK132" s="364" t="s">
        <v>2399</v>
      </c>
      <c r="BL132" s="364" t="s">
        <v>2463</v>
      </c>
      <c r="BM132" s="364" t="s">
        <v>2493</v>
      </c>
      <c r="BN132" s="364"/>
      <c r="BO132" s="364"/>
      <c r="BP132" s="364"/>
      <c r="BQ132" s="364"/>
      <c r="BR132" s="364"/>
      <c r="BS132" s="364"/>
      <c r="BT132" s="364"/>
      <c r="BU132" s="364"/>
      <c r="BV132" s="364"/>
      <c r="BW132" s="364"/>
      <c r="BX132" s="364"/>
      <c r="BY132" s="364"/>
      <c r="BZ132" s="364"/>
      <c r="CA132" s="364"/>
      <c r="CB132" s="364"/>
      <c r="CC132" s="364"/>
      <c r="CD132" s="364"/>
      <c r="CE132" s="364"/>
      <c r="CF132" s="364"/>
      <c r="CG132" s="364"/>
      <c r="CH132" s="364"/>
      <c r="CI132" s="364"/>
      <c r="CJ132" s="364"/>
      <c r="CK132" s="364"/>
      <c r="CL132" s="364"/>
      <c r="CM132" s="364"/>
      <c r="CN132" s="364"/>
      <c r="CO132" s="364"/>
      <c r="CP132" s="364"/>
      <c r="CQ132" s="364"/>
      <c r="CR132" s="364"/>
      <c r="CS132" s="364"/>
      <c r="CT132" s="364"/>
      <c r="CU132" s="364"/>
      <c r="CV132" s="364"/>
      <c r="CW132" s="364"/>
      <c r="CX132" s="364"/>
      <c r="CY132" s="364"/>
      <c r="CZ132" s="364"/>
      <c r="DA132" s="364"/>
      <c r="DB132" s="364"/>
      <c r="DC132" s="364"/>
      <c r="DD132" s="364"/>
      <c r="DE132" s="364"/>
      <c r="DF132" s="364"/>
      <c r="DG132" s="364"/>
      <c r="DH132" s="364"/>
      <c r="DI132" s="364"/>
      <c r="DJ132" s="364"/>
      <c r="DK132" s="364"/>
      <c r="DL132" s="364"/>
      <c r="DM132" s="364"/>
      <c r="DN132" s="364"/>
      <c r="DO132" s="364"/>
      <c r="DP132" s="364"/>
      <c r="DQ132" s="364"/>
      <c r="DR132" s="364"/>
      <c r="DS132" s="364"/>
      <c r="DT132" s="364"/>
      <c r="DU132" s="364"/>
      <c r="DV132" s="364"/>
      <c r="DW132" s="364"/>
      <c r="DX132" s="364"/>
      <c r="DY132" s="364"/>
      <c r="DZ132" s="364"/>
      <c r="EA132" s="364"/>
      <c r="EB132" s="364"/>
      <c r="EC132" s="364"/>
      <c r="ED132" s="364"/>
      <c r="EE132" s="364"/>
      <c r="EF132" s="364"/>
      <c r="EG132" s="364"/>
      <c r="EH132" s="364"/>
      <c r="EI132" s="364"/>
      <c r="EJ132" s="364"/>
      <c r="EK132" s="364"/>
      <c r="EL132" s="364"/>
      <c r="EM132" s="364"/>
      <c r="EN132" s="364"/>
      <c r="EO132" s="364"/>
      <c r="EP132" s="364"/>
      <c r="EQ132" s="364"/>
      <c r="ER132" s="364"/>
      <c r="ES132" s="364"/>
      <c r="ET132" s="364"/>
      <c r="EU132" s="364"/>
      <c r="EV132" s="364"/>
      <c r="EW132" s="364"/>
      <c r="EX132" s="364"/>
      <c r="EY132" s="364"/>
      <c r="EZ132" s="364"/>
      <c r="FA132" s="364"/>
      <c r="FB132" s="364"/>
      <c r="FC132" s="364"/>
      <c r="FD132" s="364"/>
      <c r="FE132" s="364"/>
      <c r="FF132" s="364"/>
      <c r="FG132" s="364"/>
      <c r="FH132" s="364"/>
      <c r="FI132" s="364"/>
      <c r="FJ132" s="364"/>
      <c r="FK132" s="364"/>
    </row>
    <row r="133" customFormat="false" ht="15.75" hidden="false" customHeight="false" outlineLevel="0" collapsed="false">
      <c r="A133" s="364" t="n">
        <v>256</v>
      </c>
      <c r="B133" s="364" t="n">
        <f aca="false">COUNTA(D133:FK133)</f>
        <v>41</v>
      </c>
      <c r="C133" s="364" t="s">
        <v>807</v>
      </c>
      <c r="D133" s="364" t="s">
        <v>2561</v>
      </c>
      <c r="E133" s="364" t="s">
        <v>2312</v>
      </c>
      <c r="F133" s="364" t="s">
        <v>2313</v>
      </c>
      <c r="G133" s="364" t="s">
        <v>2618</v>
      </c>
      <c r="H133" s="364" t="s">
        <v>2316</v>
      </c>
      <c r="I133" s="364" t="s">
        <v>2497</v>
      </c>
      <c r="J133" s="364" t="s">
        <v>2317</v>
      </c>
      <c r="K133" s="364" t="s">
        <v>2365</v>
      </c>
      <c r="L133" s="364" t="s">
        <v>2562</v>
      </c>
      <c r="M133" s="364" t="s">
        <v>2320</v>
      </c>
      <c r="N133" s="364" t="s">
        <v>2366</v>
      </c>
      <c r="O133" s="364" t="s">
        <v>2371</v>
      </c>
      <c r="P133" s="364" t="s">
        <v>2372</v>
      </c>
      <c r="Q133" s="364" t="s">
        <v>2373</v>
      </c>
      <c r="R133" s="364" t="s">
        <v>2324</v>
      </c>
      <c r="S133" s="364" t="s">
        <v>2412</v>
      </c>
      <c r="T133" s="364" t="s">
        <v>2378</v>
      </c>
      <c r="U133" s="364" t="s">
        <v>2328</v>
      </c>
      <c r="V133" s="364" t="s">
        <v>2329</v>
      </c>
      <c r="W133" s="364" t="s">
        <v>2379</v>
      </c>
      <c r="X133" s="364" t="s">
        <v>2438</v>
      </c>
      <c r="Y133" s="364" t="s">
        <v>2627</v>
      </c>
      <c r="Z133" s="261" t="s">
        <v>183</v>
      </c>
      <c r="AA133" s="364" t="s">
        <v>2386</v>
      </c>
      <c r="AB133" s="364" t="s">
        <v>2337</v>
      </c>
      <c r="AC133" s="364" t="s">
        <v>2388</v>
      </c>
      <c r="AD133" s="364" t="s">
        <v>2339</v>
      </c>
      <c r="AE133" s="364" t="s">
        <v>2565</v>
      </c>
      <c r="AF133" s="364" t="s">
        <v>2389</v>
      </c>
      <c r="AG133" s="364" t="s">
        <v>2420</v>
      </c>
      <c r="AH133" s="364" t="s">
        <v>2340</v>
      </c>
      <c r="AI133" s="364" t="s">
        <v>2341</v>
      </c>
      <c r="AJ133" s="364" t="s">
        <v>2566</v>
      </c>
      <c r="AK133" s="364" t="s">
        <v>2423</v>
      </c>
      <c r="AL133" s="364" t="s">
        <v>2619</v>
      </c>
      <c r="AM133" s="364" t="s">
        <v>2344</v>
      </c>
      <c r="AN133" s="364" t="s">
        <v>2345</v>
      </c>
      <c r="AO133" s="364" t="s">
        <v>2346</v>
      </c>
      <c r="AP133" s="364" t="s">
        <v>2500</v>
      </c>
      <c r="AQ133" s="364" t="s">
        <v>2347</v>
      </c>
      <c r="AR133" s="364" t="s">
        <v>2572</v>
      </c>
      <c r="AS133" s="364"/>
      <c r="AT133" s="364"/>
      <c r="AU133" s="364"/>
      <c r="AV133" s="364"/>
      <c r="AW133" s="364"/>
      <c r="AX133" s="364"/>
      <c r="AY133" s="364"/>
      <c r="AZ133" s="364"/>
      <c r="BA133" s="364"/>
      <c r="BB133" s="364"/>
      <c r="BC133" s="364"/>
      <c r="BD133" s="364"/>
      <c r="BE133" s="364"/>
      <c r="BF133" s="364"/>
      <c r="BG133" s="364"/>
      <c r="BH133" s="364"/>
      <c r="BI133" s="364"/>
      <c r="BJ133" s="364"/>
      <c r="BK133" s="364"/>
      <c r="BL133" s="364"/>
      <c r="BM133" s="364"/>
      <c r="BN133" s="364"/>
      <c r="BO133" s="364"/>
      <c r="BP133" s="364"/>
      <c r="BQ133" s="364"/>
      <c r="BR133" s="364"/>
      <c r="BS133" s="364"/>
      <c r="BT133" s="364"/>
      <c r="BU133" s="364"/>
      <c r="BV133" s="364"/>
      <c r="BW133" s="364"/>
      <c r="BX133" s="364"/>
      <c r="BY133" s="364"/>
      <c r="BZ133" s="364"/>
      <c r="CA133" s="364"/>
      <c r="CB133" s="364"/>
      <c r="CC133" s="364"/>
      <c r="CD133" s="364"/>
      <c r="CE133" s="364"/>
      <c r="CF133" s="364"/>
      <c r="CG133" s="364"/>
      <c r="CH133" s="364"/>
      <c r="CI133" s="364"/>
      <c r="CJ133" s="364"/>
      <c r="CK133" s="364"/>
      <c r="CL133" s="364"/>
      <c r="CM133" s="364"/>
      <c r="CN133" s="364"/>
      <c r="CO133" s="364"/>
      <c r="CP133" s="364"/>
      <c r="CQ133" s="364"/>
      <c r="CR133" s="364"/>
      <c r="CS133" s="364"/>
      <c r="CT133" s="364"/>
      <c r="CU133" s="364"/>
      <c r="CV133" s="364"/>
      <c r="CW133" s="364"/>
      <c r="CX133" s="364"/>
      <c r="CY133" s="364"/>
      <c r="CZ133" s="364"/>
      <c r="DA133" s="364"/>
      <c r="DB133" s="364"/>
      <c r="DC133" s="364"/>
      <c r="DD133" s="364"/>
      <c r="DE133" s="364"/>
      <c r="DF133" s="364"/>
      <c r="DG133" s="364"/>
      <c r="DH133" s="364"/>
      <c r="DI133" s="364"/>
      <c r="DJ133" s="364"/>
      <c r="DK133" s="364"/>
      <c r="DL133" s="364"/>
      <c r="DM133" s="364"/>
      <c r="DN133" s="364"/>
      <c r="DO133" s="364"/>
      <c r="DP133" s="364"/>
      <c r="DQ133" s="364"/>
      <c r="DR133" s="364"/>
      <c r="DS133" s="364"/>
      <c r="DT133" s="364"/>
      <c r="DU133" s="364"/>
      <c r="DV133" s="364"/>
      <c r="DW133" s="364"/>
      <c r="DX133" s="364"/>
      <c r="DY133" s="364"/>
      <c r="DZ133" s="364"/>
      <c r="EA133" s="364"/>
      <c r="EB133" s="364"/>
      <c r="EC133" s="364"/>
      <c r="ED133" s="364"/>
      <c r="EE133" s="364"/>
      <c r="EF133" s="364"/>
      <c r="EG133" s="364"/>
      <c r="EH133" s="364"/>
      <c r="EI133" s="364"/>
      <c r="EJ133" s="364"/>
      <c r="EK133" s="364"/>
      <c r="EL133" s="364"/>
      <c r="EM133" s="364"/>
      <c r="EN133" s="364"/>
      <c r="EO133" s="364"/>
      <c r="EP133" s="364"/>
      <c r="EQ133" s="364"/>
      <c r="ER133" s="364"/>
      <c r="ES133" s="364"/>
      <c r="ET133" s="364"/>
      <c r="EU133" s="364"/>
      <c r="EV133" s="364"/>
      <c r="EW133" s="364"/>
      <c r="EX133" s="364"/>
      <c r="EY133" s="364"/>
      <c r="EZ133" s="364"/>
      <c r="FA133" s="364"/>
      <c r="FB133" s="364"/>
      <c r="FC133" s="364"/>
      <c r="FD133" s="364"/>
      <c r="FE133" s="364"/>
      <c r="FF133" s="364"/>
      <c r="FG133" s="364"/>
      <c r="FH133" s="364"/>
      <c r="FI133" s="364"/>
      <c r="FJ133" s="364"/>
      <c r="FK133" s="364"/>
    </row>
    <row r="134" customFormat="false" ht="15.75" hidden="false" customHeight="false" outlineLevel="0" collapsed="false">
      <c r="A134" s="364" t="n">
        <v>258</v>
      </c>
      <c r="B134" s="364" t="n">
        <f aca="false">COUNTA(D134:FK134)</f>
        <v>38</v>
      </c>
      <c r="C134" s="364" t="s">
        <v>811</v>
      </c>
      <c r="D134" s="364" t="s">
        <v>2561</v>
      </c>
      <c r="E134" s="364" t="s">
        <v>2403</v>
      </c>
      <c r="F134" s="364" t="s">
        <v>2405</v>
      </c>
      <c r="G134" s="364" t="s">
        <v>2312</v>
      </c>
      <c r="H134" s="364" t="s">
        <v>2313</v>
      </c>
      <c r="I134" s="364" t="s">
        <v>2358</v>
      </c>
      <c r="J134" s="364" t="s">
        <v>2316</v>
      </c>
      <c r="K134" s="364" t="s">
        <v>2497</v>
      </c>
      <c r="L134" s="364" t="s">
        <v>2317</v>
      </c>
      <c r="M134" s="364" t="s">
        <v>2448</v>
      </c>
      <c r="N134" s="364" t="s">
        <v>2320</v>
      </c>
      <c r="O134" s="364" t="s">
        <v>2451</v>
      </c>
      <c r="P134" s="364" t="s">
        <v>2324</v>
      </c>
      <c r="Q134" s="364" t="s">
        <v>2327</v>
      </c>
      <c r="R134" s="364" t="s">
        <v>2328</v>
      </c>
      <c r="S134" s="364" t="s">
        <v>2512</v>
      </c>
      <c r="T134" s="364" t="s">
        <v>2329</v>
      </c>
      <c r="U134" s="364" t="s">
        <v>2415</v>
      </c>
      <c r="V134" s="364" t="s">
        <v>2485</v>
      </c>
      <c r="W134" s="364" t="s">
        <v>2417</v>
      </c>
      <c r="X134" s="364" t="s">
        <v>2486</v>
      </c>
      <c r="Y134" s="261" t="s">
        <v>183</v>
      </c>
      <c r="Z134" s="364" t="s">
        <v>2480</v>
      </c>
      <c r="AA134" s="364" t="s">
        <v>2626</v>
      </c>
      <c r="AB134" s="364" t="s">
        <v>2337</v>
      </c>
      <c r="AC134" s="364" t="s">
        <v>2388</v>
      </c>
      <c r="AD134" s="364" t="s">
        <v>2339</v>
      </c>
      <c r="AE134" s="364" t="s">
        <v>2389</v>
      </c>
      <c r="AF134" s="364" t="s">
        <v>2340</v>
      </c>
      <c r="AG134" s="364" t="s">
        <v>2341</v>
      </c>
      <c r="AH134" s="364" t="s">
        <v>2344</v>
      </c>
      <c r="AI134" s="364" t="s">
        <v>2346</v>
      </c>
      <c r="AJ134" s="364" t="s">
        <v>2500</v>
      </c>
      <c r="AK134" s="364" t="s">
        <v>2347</v>
      </c>
      <c r="AL134" s="364" t="s">
        <v>2511</v>
      </c>
      <c r="AM134" s="364" t="s">
        <v>2349</v>
      </c>
      <c r="AN134" s="364" t="s">
        <v>2515</v>
      </c>
      <c r="AO134" s="261" t="s">
        <v>2525</v>
      </c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/>
      <c r="BB134" s="364"/>
      <c r="BC134" s="364"/>
      <c r="BD134" s="364"/>
      <c r="BE134" s="364"/>
      <c r="BF134" s="364"/>
      <c r="BG134" s="364"/>
      <c r="BH134" s="364"/>
      <c r="BI134" s="364"/>
      <c r="BJ134" s="364"/>
      <c r="BK134" s="364"/>
      <c r="BL134" s="364"/>
      <c r="BM134" s="364"/>
      <c r="BN134" s="364"/>
      <c r="BO134" s="364"/>
      <c r="BP134" s="364"/>
      <c r="BQ134" s="364"/>
      <c r="BR134" s="364"/>
      <c r="BS134" s="364"/>
      <c r="BT134" s="364"/>
      <c r="BU134" s="364"/>
      <c r="BV134" s="364"/>
      <c r="BW134" s="364"/>
      <c r="BX134" s="364"/>
      <c r="BY134" s="364"/>
      <c r="BZ134" s="364"/>
      <c r="CA134" s="364"/>
      <c r="CB134" s="364"/>
      <c r="CC134" s="364"/>
      <c r="CD134" s="364"/>
      <c r="CE134" s="364"/>
      <c r="CF134" s="364"/>
      <c r="CG134" s="364"/>
      <c r="CH134" s="364"/>
      <c r="CI134" s="364"/>
      <c r="CJ134" s="364"/>
      <c r="CK134" s="364"/>
      <c r="CL134" s="364"/>
      <c r="CM134" s="364"/>
      <c r="CN134" s="364"/>
      <c r="CO134" s="364"/>
      <c r="CP134" s="364"/>
      <c r="CQ134" s="364"/>
      <c r="CR134" s="364"/>
      <c r="CS134" s="364"/>
      <c r="CT134" s="364"/>
      <c r="CU134" s="364"/>
      <c r="CV134" s="364"/>
      <c r="CW134" s="364"/>
      <c r="CX134" s="364"/>
      <c r="CY134" s="364"/>
      <c r="CZ134" s="364"/>
      <c r="DA134" s="364"/>
      <c r="DB134" s="364"/>
      <c r="DC134" s="364"/>
      <c r="DD134" s="364"/>
      <c r="DE134" s="364"/>
      <c r="DF134" s="364"/>
      <c r="DG134" s="364"/>
      <c r="DH134" s="364"/>
      <c r="DI134" s="364"/>
      <c r="DJ134" s="364"/>
      <c r="DK134" s="364"/>
      <c r="DL134" s="364"/>
      <c r="DM134" s="364"/>
      <c r="DN134" s="364"/>
      <c r="DO134" s="364"/>
      <c r="DP134" s="364"/>
      <c r="DQ134" s="364"/>
      <c r="DR134" s="364"/>
      <c r="DS134" s="364"/>
      <c r="DT134" s="364"/>
      <c r="DU134" s="364"/>
      <c r="DV134" s="364"/>
      <c r="DW134" s="364"/>
      <c r="DX134" s="364"/>
      <c r="DY134" s="364"/>
      <c r="DZ134" s="364"/>
      <c r="EA134" s="364"/>
      <c r="EB134" s="364"/>
      <c r="EC134" s="364"/>
      <c r="ED134" s="364"/>
      <c r="EE134" s="364"/>
      <c r="EF134" s="364"/>
      <c r="EG134" s="364"/>
      <c r="EH134" s="364"/>
      <c r="EI134" s="364"/>
      <c r="EJ134" s="364"/>
      <c r="EK134" s="364"/>
      <c r="EL134" s="364"/>
      <c r="EM134" s="364"/>
      <c r="EN134" s="364"/>
      <c r="EO134" s="364"/>
      <c r="EP134" s="364"/>
      <c r="EQ134" s="364"/>
      <c r="ER134" s="364"/>
      <c r="ES134" s="364"/>
      <c r="ET134" s="364"/>
      <c r="EU134" s="364"/>
      <c r="EV134" s="364"/>
      <c r="EW134" s="364"/>
      <c r="EX134" s="364"/>
      <c r="EY134" s="364"/>
      <c r="EZ134" s="364"/>
      <c r="FA134" s="364"/>
      <c r="FB134" s="364"/>
      <c r="FC134" s="364"/>
      <c r="FD134" s="364"/>
      <c r="FE134" s="364"/>
      <c r="FF134" s="364"/>
      <c r="FG134" s="364"/>
      <c r="FH134" s="364"/>
      <c r="FI134" s="364"/>
      <c r="FJ134" s="364"/>
      <c r="FK134" s="364"/>
    </row>
    <row r="135" customFormat="false" ht="15.75" hidden="false" customHeight="false" outlineLevel="0" collapsed="false">
      <c r="A135" s="364" t="n">
        <v>259</v>
      </c>
      <c r="B135" s="364" t="n">
        <f aca="false">COUNTA(D135:FK135)</f>
        <v>48</v>
      </c>
      <c r="C135" s="364" t="s">
        <v>813</v>
      </c>
      <c r="D135" s="364" t="s">
        <v>2561</v>
      </c>
      <c r="E135" s="364" t="s">
        <v>2310</v>
      </c>
      <c r="F135" s="364" t="s">
        <v>2405</v>
      </c>
      <c r="G135" s="364" t="s">
        <v>2312</v>
      </c>
      <c r="H135" s="364" t="s">
        <v>2406</v>
      </c>
      <c r="I135" s="364" t="s">
        <v>2407</v>
      </c>
      <c r="J135" s="364" t="s">
        <v>2408</v>
      </c>
      <c r="K135" s="364" t="s">
        <v>2313</v>
      </c>
      <c r="L135" s="364" t="s">
        <v>2358</v>
      </c>
      <c r="M135" s="364" t="s">
        <v>2316</v>
      </c>
      <c r="N135" s="364" t="s">
        <v>2497</v>
      </c>
      <c r="O135" s="364" t="s">
        <v>2317</v>
      </c>
      <c r="P135" s="364" t="s">
        <v>2448</v>
      </c>
      <c r="Q135" s="364" t="s">
        <v>2562</v>
      </c>
      <c r="R135" s="364" t="s">
        <v>2320</v>
      </c>
      <c r="S135" s="364" t="s">
        <v>2327</v>
      </c>
      <c r="T135" s="364" t="s">
        <v>2642</v>
      </c>
      <c r="U135" s="364" t="s">
        <v>2328</v>
      </c>
      <c r="V135" s="364" t="s">
        <v>2415</v>
      </c>
      <c r="W135" s="364" t="s">
        <v>2505</v>
      </c>
      <c r="X135" s="364" t="s">
        <v>2417</v>
      </c>
      <c r="Y135" s="364" t="s">
        <v>2418</v>
      </c>
      <c r="Z135" s="364" t="s">
        <v>2596</v>
      </c>
      <c r="AA135" s="261" t="s">
        <v>183</v>
      </c>
      <c r="AB135" s="364" t="s">
        <v>2536</v>
      </c>
      <c r="AC135" s="364" t="s">
        <v>157</v>
      </c>
      <c r="AD135" s="364" t="s">
        <v>2337</v>
      </c>
      <c r="AE135" s="364" t="s">
        <v>2564</v>
      </c>
      <c r="AF135" s="364" t="s">
        <v>2388</v>
      </c>
      <c r="AG135" s="364" t="s">
        <v>2339</v>
      </c>
      <c r="AH135" s="364" t="s">
        <v>2389</v>
      </c>
      <c r="AI135" s="364" t="s">
        <v>2420</v>
      </c>
      <c r="AJ135" s="364" t="s">
        <v>2340</v>
      </c>
      <c r="AK135" s="364" t="s">
        <v>2421</v>
      </c>
      <c r="AL135" s="364" t="s">
        <v>2341</v>
      </c>
      <c r="AM135" s="364" t="s">
        <v>2566</v>
      </c>
      <c r="AN135" s="364" t="s">
        <v>2442</v>
      </c>
      <c r="AO135" s="364" t="s">
        <v>2344</v>
      </c>
      <c r="AP135" s="364" t="s">
        <v>2587</v>
      </c>
      <c r="AQ135" s="364" t="s">
        <v>2346</v>
      </c>
      <c r="AR135" s="364" t="s">
        <v>2500</v>
      </c>
      <c r="AS135" s="364" t="s">
        <v>2347</v>
      </c>
      <c r="AT135" s="364" t="s">
        <v>2473</v>
      </c>
      <c r="AU135" s="364" t="s">
        <v>2424</v>
      </c>
      <c r="AV135" s="364" t="s">
        <v>2348</v>
      </c>
      <c r="AW135" s="364" t="s">
        <v>2456</v>
      </c>
      <c r="AX135" s="364" t="s">
        <v>2428</v>
      </c>
      <c r="AY135" s="364" t="s">
        <v>2429</v>
      </c>
      <c r="AZ135" s="364"/>
      <c r="BA135" s="364"/>
      <c r="BB135" s="364"/>
      <c r="BC135" s="364"/>
      <c r="BD135" s="364"/>
      <c r="BE135" s="364"/>
      <c r="BF135" s="364"/>
      <c r="BG135" s="364"/>
      <c r="BH135" s="364"/>
      <c r="BI135" s="364"/>
      <c r="BJ135" s="364"/>
      <c r="BK135" s="364"/>
      <c r="BL135" s="364"/>
      <c r="BM135" s="364"/>
      <c r="BN135" s="364"/>
      <c r="BO135" s="364"/>
      <c r="BP135" s="364"/>
      <c r="BQ135" s="364"/>
      <c r="BR135" s="364"/>
      <c r="BS135" s="364"/>
      <c r="BT135" s="364"/>
      <c r="BU135" s="364"/>
      <c r="BV135" s="364"/>
      <c r="BW135" s="364"/>
      <c r="BX135" s="364"/>
      <c r="BY135" s="364"/>
      <c r="BZ135" s="364"/>
      <c r="CA135" s="364"/>
      <c r="CB135" s="364"/>
      <c r="CC135" s="364"/>
      <c r="CD135" s="364"/>
      <c r="CE135" s="364"/>
      <c r="CF135" s="364"/>
      <c r="CG135" s="364"/>
      <c r="CH135" s="364"/>
      <c r="CI135" s="364"/>
      <c r="CJ135" s="364"/>
      <c r="CK135" s="364"/>
      <c r="CL135" s="364"/>
      <c r="CM135" s="364"/>
      <c r="CN135" s="364"/>
      <c r="CO135" s="364"/>
      <c r="CP135" s="364"/>
      <c r="CQ135" s="364"/>
      <c r="CR135" s="364"/>
      <c r="CS135" s="364"/>
      <c r="CT135" s="364"/>
      <c r="CU135" s="364"/>
      <c r="CV135" s="364"/>
      <c r="CW135" s="364"/>
      <c r="CX135" s="364"/>
      <c r="CY135" s="364"/>
      <c r="CZ135" s="364"/>
      <c r="DA135" s="364"/>
      <c r="DB135" s="364"/>
      <c r="DC135" s="364"/>
      <c r="DD135" s="364"/>
      <c r="DE135" s="364"/>
      <c r="DF135" s="364"/>
      <c r="DG135" s="364"/>
      <c r="DH135" s="364"/>
      <c r="DI135" s="364"/>
      <c r="DJ135" s="364"/>
      <c r="DK135" s="364"/>
      <c r="DL135" s="364"/>
      <c r="DM135" s="364"/>
      <c r="DN135" s="364"/>
      <c r="DO135" s="364"/>
      <c r="DP135" s="364"/>
      <c r="DQ135" s="364"/>
      <c r="DR135" s="364"/>
      <c r="DS135" s="364"/>
      <c r="DT135" s="364"/>
      <c r="DU135" s="364"/>
      <c r="DV135" s="364"/>
      <c r="DW135" s="364"/>
      <c r="DX135" s="364"/>
      <c r="DY135" s="364"/>
      <c r="DZ135" s="364"/>
      <c r="EA135" s="364"/>
      <c r="EB135" s="364"/>
      <c r="EC135" s="364"/>
      <c r="ED135" s="364"/>
      <c r="EE135" s="364"/>
      <c r="EF135" s="364"/>
      <c r="EG135" s="364"/>
      <c r="EH135" s="364"/>
      <c r="EI135" s="364"/>
      <c r="EJ135" s="364"/>
      <c r="EK135" s="364"/>
      <c r="EL135" s="364"/>
      <c r="EM135" s="364"/>
      <c r="EN135" s="364"/>
      <c r="EO135" s="364"/>
      <c r="EP135" s="364"/>
      <c r="EQ135" s="364"/>
      <c r="ER135" s="364"/>
      <c r="ES135" s="364"/>
      <c r="ET135" s="364"/>
      <c r="EU135" s="364"/>
      <c r="EV135" s="364"/>
      <c r="EW135" s="364"/>
      <c r="EX135" s="364"/>
      <c r="EY135" s="364"/>
      <c r="EZ135" s="364"/>
      <c r="FA135" s="364"/>
      <c r="FB135" s="364"/>
      <c r="FC135" s="364"/>
      <c r="FD135" s="364"/>
      <c r="FE135" s="364"/>
      <c r="FF135" s="364"/>
      <c r="FG135" s="364"/>
      <c r="FH135" s="364"/>
      <c r="FI135" s="364"/>
      <c r="FJ135" s="364"/>
      <c r="FK135" s="364"/>
    </row>
    <row r="136" customFormat="false" ht="15.75" hidden="false" customHeight="false" outlineLevel="0" collapsed="false">
      <c r="A136" s="364" t="n">
        <v>261</v>
      </c>
      <c r="B136" s="364" t="n">
        <f aca="false">COUNTA(D136:FK136)</f>
        <v>48</v>
      </c>
      <c r="C136" s="364" t="s">
        <v>817</v>
      </c>
      <c r="D136" s="364" t="s">
        <v>2581</v>
      </c>
      <c r="E136" s="364" t="s">
        <v>2311</v>
      </c>
      <c r="F136" s="364" t="s">
        <v>2405</v>
      </c>
      <c r="G136" s="364" t="s">
        <v>2516</v>
      </c>
      <c r="H136" s="364" t="s">
        <v>2406</v>
      </c>
      <c r="I136" s="364" t="s">
        <v>2408</v>
      </c>
      <c r="J136" s="364" t="s">
        <v>2314</v>
      </c>
      <c r="K136" s="364" t="s">
        <v>2464</v>
      </c>
      <c r="L136" s="364" t="s">
        <v>2559</v>
      </c>
      <c r="M136" s="364" t="s">
        <v>2410</v>
      </c>
      <c r="N136" s="364" t="s">
        <v>2316</v>
      </c>
      <c r="O136" s="364" t="s">
        <v>2319</v>
      </c>
      <c r="P136" s="364" t="s">
        <v>2320</v>
      </c>
      <c r="Q136" s="364" t="s">
        <v>2366</v>
      </c>
      <c r="R136" s="364" t="s">
        <v>2373</v>
      </c>
      <c r="S136" s="364" t="s">
        <v>2411</v>
      </c>
      <c r="T136" s="364" t="s">
        <v>2324</v>
      </c>
      <c r="U136" s="364" t="s">
        <v>2484</v>
      </c>
      <c r="V136" s="364" t="s">
        <v>2328</v>
      </c>
      <c r="W136" s="364" t="s">
        <v>2414</v>
      </c>
      <c r="X136" s="364" t="s">
        <v>2329</v>
      </c>
      <c r="Y136" s="364" t="s">
        <v>2415</v>
      </c>
      <c r="Z136" s="364" t="s">
        <v>2417</v>
      </c>
      <c r="AA136" s="364" t="s">
        <v>2379</v>
      </c>
      <c r="AB136" s="261" t="s">
        <v>183</v>
      </c>
      <c r="AC136" s="364" t="s">
        <v>2648</v>
      </c>
      <c r="AD136" s="364" t="s">
        <v>2452</v>
      </c>
      <c r="AE136" s="364" t="s">
        <v>2439</v>
      </c>
      <c r="AF136" s="364" t="s">
        <v>157</v>
      </c>
      <c r="AG136" s="364" t="s">
        <v>2337</v>
      </c>
      <c r="AH136" s="364" t="s">
        <v>2564</v>
      </c>
      <c r="AI136" s="364" t="s">
        <v>2340</v>
      </c>
      <c r="AJ136" s="364" t="s">
        <v>2421</v>
      </c>
      <c r="AK136" s="364" t="s">
        <v>2341</v>
      </c>
      <c r="AL136" s="364" t="s">
        <v>2342</v>
      </c>
      <c r="AM136" s="364" t="s">
        <v>2391</v>
      </c>
      <c r="AN136" s="364" t="s">
        <v>2422</v>
      </c>
      <c r="AO136" s="364" t="s">
        <v>2343</v>
      </c>
      <c r="AP136" s="364" t="s">
        <v>2471</v>
      </c>
      <c r="AQ136" s="364" t="s">
        <v>2423</v>
      </c>
      <c r="AR136" s="364" t="s">
        <v>2344</v>
      </c>
      <c r="AS136" s="364" t="s">
        <v>2424</v>
      </c>
      <c r="AT136" s="364" t="s">
        <v>2398</v>
      </c>
      <c r="AU136" s="364" t="s">
        <v>2445</v>
      </c>
      <c r="AV136" s="364" t="s">
        <v>2425</v>
      </c>
      <c r="AW136" s="364" t="s">
        <v>2426</v>
      </c>
      <c r="AX136" s="364" t="s">
        <v>2428</v>
      </c>
      <c r="AY136" s="364" t="s">
        <v>2429</v>
      </c>
      <c r="AZ136" s="364"/>
      <c r="BA136" s="364"/>
      <c r="BB136" s="364"/>
      <c r="BC136" s="364"/>
      <c r="BD136" s="364"/>
      <c r="BE136" s="364"/>
      <c r="BF136" s="364"/>
      <c r="BG136" s="364"/>
      <c r="BH136" s="364"/>
      <c r="BI136" s="364"/>
      <c r="BJ136" s="364"/>
      <c r="BK136" s="364"/>
      <c r="BL136" s="364"/>
      <c r="BM136" s="364"/>
      <c r="BN136" s="364"/>
      <c r="BO136" s="364"/>
      <c r="BP136" s="364"/>
      <c r="BQ136" s="364"/>
      <c r="BR136" s="364"/>
      <c r="BS136" s="364"/>
      <c r="BT136" s="364"/>
      <c r="BU136" s="364"/>
      <c r="BV136" s="364"/>
      <c r="BW136" s="364"/>
      <c r="BX136" s="364"/>
      <c r="BY136" s="364"/>
      <c r="BZ136" s="364"/>
      <c r="CA136" s="364"/>
      <c r="CB136" s="364"/>
      <c r="CC136" s="364"/>
      <c r="CD136" s="364"/>
      <c r="CE136" s="364"/>
      <c r="CF136" s="364"/>
      <c r="CG136" s="364"/>
      <c r="CH136" s="364"/>
      <c r="CI136" s="364"/>
      <c r="CJ136" s="364"/>
      <c r="CK136" s="364"/>
      <c r="CL136" s="364"/>
      <c r="CM136" s="364"/>
      <c r="CN136" s="364"/>
      <c r="CO136" s="364"/>
      <c r="CP136" s="364"/>
      <c r="CQ136" s="364"/>
      <c r="CR136" s="364"/>
      <c r="CS136" s="364"/>
      <c r="CT136" s="364"/>
      <c r="CU136" s="364"/>
      <c r="CV136" s="364"/>
      <c r="CW136" s="364"/>
      <c r="CX136" s="364"/>
      <c r="CY136" s="364"/>
      <c r="CZ136" s="364"/>
      <c r="DA136" s="364"/>
      <c r="DB136" s="364"/>
      <c r="DC136" s="364"/>
      <c r="DD136" s="364"/>
      <c r="DE136" s="364"/>
      <c r="DF136" s="364"/>
      <c r="DG136" s="364"/>
      <c r="DH136" s="364"/>
      <c r="DI136" s="364"/>
      <c r="DJ136" s="364"/>
      <c r="DK136" s="364"/>
      <c r="DL136" s="364"/>
      <c r="DM136" s="364"/>
      <c r="DN136" s="364"/>
      <c r="DO136" s="364"/>
      <c r="DP136" s="364"/>
      <c r="DQ136" s="364"/>
      <c r="DR136" s="364"/>
      <c r="DS136" s="364"/>
      <c r="DT136" s="364"/>
      <c r="DU136" s="364"/>
      <c r="DV136" s="364"/>
      <c r="DW136" s="364"/>
      <c r="DX136" s="364"/>
      <c r="DY136" s="364"/>
      <c r="DZ136" s="364"/>
      <c r="EA136" s="364"/>
      <c r="EB136" s="364"/>
      <c r="EC136" s="364"/>
      <c r="ED136" s="364"/>
      <c r="EE136" s="364"/>
      <c r="EF136" s="364"/>
      <c r="EG136" s="364"/>
      <c r="EH136" s="364"/>
      <c r="EI136" s="364"/>
      <c r="EJ136" s="364"/>
      <c r="EK136" s="364"/>
      <c r="EL136" s="364"/>
      <c r="EM136" s="364"/>
      <c r="EN136" s="364"/>
      <c r="EO136" s="364"/>
      <c r="EP136" s="364"/>
      <c r="EQ136" s="364"/>
      <c r="ER136" s="364"/>
      <c r="ES136" s="364"/>
      <c r="ET136" s="364"/>
      <c r="EU136" s="364"/>
      <c r="EV136" s="364"/>
      <c r="EW136" s="364"/>
      <c r="EX136" s="364"/>
      <c r="EY136" s="364"/>
      <c r="EZ136" s="364"/>
      <c r="FA136" s="364"/>
      <c r="FB136" s="364"/>
      <c r="FC136" s="364"/>
      <c r="FD136" s="364"/>
      <c r="FE136" s="364"/>
      <c r="FF136" s="364"/>
      <c r="FG136" s="364"/>
      <c r="FH136" s="364"/>
      <c r="FI136" s="364"/>
      <c r="FJ136" s="364"/>
      <c r="FK136" s="364"/>
    </row>
    <row r="137" customFormat="false" ht="15.75" hidden="false" customHeight="false" outlineLevel="0" collapsed="false">
      <c r="A137" s="364" t="n">
        <v>262</v>
      </c>
      <c r="B137" s="364" t="n">
        <f aca="false">COUNTA(D137:FK137)</f>
        <v>47</v>
      </c>
      <c r="C137" s="364" t="s">
        <v>819</v>
      </c>
      <c r="D137" s="364" t="s">
        <v>2352</v>
      </c>
      <c r="E137" s="364" t="s">
        <v>2581</v>
      </c>
      <c r="F137" s="364" t="s">
        <v>2403</v>
      </c>
      <c r="G137" s="364" t="s">
        <v>2405</v>
      </c>
      <c r="H137" s="364" t="s">
        <v>2312</v>
      </c>
      <c r="I137" s="364" t="s">
        <v>2516</v>
      </c>
      <c r="J137" s="364" t="s">
        <v>2356</v>
      </c>
      <c r="K137" s="364" t="s">
        <v>2357</v>
      </c>
      <c r="L137" s="364" t="s">
        <v>138</v>
      </c>
      <c r="M137" s="364" t="s">
        <v>2316</v>
      </c>
      <c r="N137" s="364" t="s">
        <v>2479</v>
      </c>
      <c r="O137" s="364" t="s">
        <v>2320</v>
      </c>
      <c r="P137" s="364" t="s">
        <v>2533</v>
      </c>
      <c r="Q137" s="364" t="s">
        <v>2375</v>
      </c>
      <c r="R137" s="364" t="s">
        <v>2377</v>
      </c>
      <c r="S137" s="364" t="s">
        <v>2629</v>
      </c>
      <c r="T137" s="364" t="s">
        <v>2502</v>
      </c>
      <c r="U137" s="364" t="s">
        <v>2550</v>
      </c>
      <c r="V137" s="364" t="s">
        <v>2484</v>
      </c>
      <c r="W137" s="364" t="s">
        <v>2327</v>
      </c>
      <c r="X137" s="364" t="s">
        <v>2328</v>
      </c>
      <c r="Y137" s="364" t="s">
        <v>2503</v>
      </c>
      <c r="Z137" s="364" t="s">
        <v>2415</v>
      </c>
      <c r="AA137" s="364" t="s">
        <v>2416</v>
      </c>
      <c r="AB137" s="364" t="s">
        <v>2525</v>
      </c>
      <c r="AC137" s="364" t="s">
        <v>2417</v>
      </c>
      <c r="AD137" s="364" t="s">
        <v>2382</v>
      </c>
      <c r="AE137" s="364" t="s">
        <v>2383</v>
      </c>
      <c r="AF137" s="261" t="s">
        <v>183</v>
      </c>
      <c r="AG137" s="364" t="s">
        <v>2460</v>
      </c>
      <c r="AH137" s="364" t="s">
        <v>2387</v>
      </c>
      <c r="AI137" s="364" t="s">
        <v>2620</v>
      </c>
      <c r="AJ137" s="364" t="s">
        <v>2461</v>
      </c>
      <c r="AK137" s="364" t="s">
        <v>2419</v>
      </c>
      <c r="AL137" s="364" t="s">
        <v>2337</v>
      </c>
      <c r="AM137" s="364" t="s">
        <v>2420</v>
      </c>
      <c r="AN137" s="364" t="s">
        <v>2340</v>
      </c>
      <c r="AO137" s="364" t="s">
        <v>2341</v>
      </c>
      <c r="AP137" s="364" t="s">
        <v>2342</v>
      </c>
      <c r="AQ137" s="364" t="s">
        <v>2391</v>
      </c>
      <c r="AR137" s="364" t="s">
        <v>2422</v>
      </c>
      <c r="AS137" s="364" t="s">
        <v>2462</v>
      </c>
      <c r="AT137" s="364" t="s">
        <v>2344</v>
      </c>
      <c r="AU137" s="364" t="s">
        <v>2643</v>
      </c>
      <c r="AV137" s="364" t="s">
        <v>2398</v>
      </c>
      <c r="AW137" s="364" t="s">
        <v>2445</v>
      </c>
      <c r="AX137" s="364" t="s">
        <v>2428</v>
      </c>
      <c r="AY137" s="364"/>
      <c r="AZ137" s="364"/>
      <c r="BA137" s="364"/>
      <c r="BB137" s="364"/>
      <c r="BC137" s="364"/>
      <c r="BD137" s="364"/>
      <c r="BE137" s="364"/>
      <c r="BF137" s="364"/>
      <c r="BG137" s="364"/>
      <c r="BH137" s="364"/>
      <c r="BI137" s="364"/>
      <c r="BJ137" s="364"/>
      <c r="BK137" s="364"/>
      <c r="BL137" s="364"/>
      <c r="BM137" s="364"/>
      <c r="BN137" s="364"/>
      <c r="BO137" s="364"/>
      <c r="BP137" s="364"/>
      <c r="BQ137" s="364"/>
      <c r="BR137" s="364"/>
      <c r="BS137" s="364"/>
      <c r="BT137" s="364"/>
      <c r="BU137" s="364"/>
      <c r="BV137" s="364"/>
      <c r="BW137" s="364"/>
      <c r="BX137" s="364"/>
      <c r="BY137" s="364"/>
      <c r="BZ137" s="364"/>
      <c r="CA137" s="364"/>
      <c r="CB137" s="364"/>
      <c r="CC137" s="364"/>
      <c r="CD137" s="364"/>
      <c r="CE137" s="364"/>
      <c r="CF137" s="364"/>
      <c r="CG137" s="364"/>
      <c r="CH137" s="364"/>
      <c r="CI137" s="364"/>
      <c r="CJ137" s="364"/>
      <c r="CK137" s="364"/>
      <c r="CL137" s="364"/>
      <c r="CM137" s="364"/>
      <c r="CN137" s="364"/>
      <c r="CO137" s="364"/>
      <c r="CP137" s="364"/>
      <c r="CQ137" s="364"/>
      <c r="CR137" s="364"/>
      <c r="CS137" s="364"/>
      <c r="CT137" s="364"/>
      <c r="CU137" s="364"/>
      <c r="CV137" s="364"/>
      <c r="CW137" s="364"/>
      <c r="CX137" s="364"/>
      <c r="CY137" s="364"/>
      <c r="CZ137" s="364"/>
      <c r="DA137" s="364"/>
      <c r="DB137" s="364"/>
      <c r="DC137" s="364"/>
      <c r="DD137" s="364"/>
      <c r="DE137" s="364"/>
      <c r="DF137" s="364"/>
      <c r="DG137" s="364"/>
      <c r="DH137" s="364"/>
      <c r="DI137" s="364"/>
      <c r="DJ137" s="364"/>
      <c r="DK137" s="364"/>
      <c r="DL137" s="364"/>
      <c r="DM137" s="364"/>
      <c r="DN137" s="364"/>
      <c r="DO137" s="364"/>
      <c r="DP137" s="364"/>
      <c r="DQ137" s="364"/>
      <c r="DR137" s="364"/>
      <c r="DS137" s="364"/>
      <c r="DT137" s="364"/>
      <c r="DU137" s="364"/>
      <c r="DV137" s="364"/>
      <c r="DW137" s="364"/>
      <c r="DX137" s="364"/>
      <c r="DY137" s="364"/>
      <c r="DZ137" s="364"/>
      <c r="EA137" s="364"/>
      <c r="EB137" s="364"/>
      <c r="EC137" s="364"/>
      <c r="ED137" s="364"/>
      <c r="EE137" s="364"/>
      <c r="EF137" s="364"/>
      <c r="EG137" s="364"/>
      <c r="EH137" s="364"/>
      <c r="EI137" s="364"/>
      <c r="EJ137" s="364"/>
      <c r="EK137" s="364"/>
      <c r="EL137" s="364"/>
      <c r="EM137" s="364"/>
      <c r="EN137" s="364"/>
      <c r="EO137" s="364"/>
      <c r="EP137" s="364"/>
      <c r="EQ137" s="364"/>
      <c r="ER137" s="364"/>
      <c r="ES137" s="364"/>
      <c r="ET137" s="364"/>
      <c r="EU137" s="364"/>
      <c r="EV137" s="364"/>
      <c r="EW137" s="364"/>
      <c r="EX137" s="364"/>
      <c r="EY137" s="364"/>
      <c r="EZ137" s="364"/>
      <c r="FA137" s="364"/>
      <c r="FB137" s="364"/>
      <c r="FC137" s="364"/>
      <c r="FD137" s="364"/>
      <c r="FE137" s="364"/>
      <c r="FF137" s="364"/>
      <c r="FG137" s="364"/>
      <c r="FH137" s="364"/>
      <c r="FI137" s="364"/>
      <c r="FJ137" s="364"/>
      <c r="FK137" s="364"/>
    </row>
    <row r="138" customFormat="false" ht="15.75" hidden="false" customHeight="false" outlineLevel="0" collapsed="false">
      <c r="A138" s="364" t="n">
        <v>263</v>
      </c>
      <c r="B138" s="364" t="n">
        <f aca="false">COUNTA(D138:FK138)</f>
        <v>50</v>
      </c>
      <c r="C138" s="364" t="s">
        <v>822</v>
      </c>
      <c r="D138" s="364" t="s">
        <v>2431</v>
      </c>
      <c r="E138" s="364" t="s">
        <v>2352</v>
      </c>
      <c r="F138" s="364" t="s">
        <v>2353</v>
      </c>
      <c r="G138" s="364" t="s">
        <v>2354</v>
      </c>
      <c r="H138" s="364" t="s">
        <v>2402</v>
      </c>
      <c r="I138" s="364" t="s">
        <v>2405</v>
      </c>
      <c r="J138" s="364" t="s">
        <v>2312</v>
      </c>
      <c r="K138" s="364" t="s">
        <v>2516</v>
      </c>
      <c r="L138" s="364" t="s">
        <v>2406</v>
      </c>
      <c r="M138" s="364" t="s">
        <v>2407</v>
      </c>
      <c r="N138" s="364" t="s">
        <v>2408</v>
      </c>
      <c r="O138" s="364" t="s">
        <v>2313</v>
      </c>
      <c r="P138" s="364" t="s">
        <v>2314</v>
      </c>
      <c r="Q138" s="364" t="s">
        <v>2410</v>
      </c>
      <c r="R138" s="364" t="s">
        <v>2316</v>
      </c>
      <c r="S138" s="364" t="s">
        <v>2317</v>
      </c>
      <c r="T138" s="364" t="s">
        <v>2320</v>
      </c>
      <c r="U138" s="364" t="s">
        <v>2324</v>
      </c>
      <c r="V138" s="364" t="s">
        <v>2484</v>
      </c>
      <c r="W138" s="364" t="s">
        <v>2327</v>
      </c>
      <c r="X138" s="364" t="s">
        <v>2328</v>
      </c>
      <c r="Y138" s="364" t="s">
        <v>2414</v>
      </c>
      <c r="Z138" s="364" t="s">
        <v>2329</v>
      </c>
      <c r="AA138" s="364" t="s">
        <v>2415</v>
      </c>
      <c r="AB138" s="364" t="s">
        <v>2417</v>
      </c>
      <c r="AC138" s="364" t="s">
        <v>2506</v>
      </c>
      <c r="AD138" s="364" t="s">
        <v>2418</v>
      </c>
      <c r="AE138" s="364" t="s">
        <v>2596</v>
      </c>
      <c r="AF138" s="261" t="s">
        <v>183</v>
      </c>
      <c r="AG138" s="364" t="s">
        <v>2439</v>
      </c>
      <c r="AH138" s="364" t="s">
        <v>2337</v>
      </c>
      <c r="AI138" s="364" t="s">
        <v>2388</v>
      </c>
      <c r="AJ138" s="364" t="s">
        <v>2389</v>
      </c>
      <c r="AK138" s="364" t="s">
        <v>2340</v>
      </c>
      <c r="AL138" s="364" t="s">
        <v>2421</v>
      </c>
      <c r="AM138" s="364" t="s">
        <v>2341</v>
      </c>
      <c r="AN138" s="364" t="s">
        <v>2342</v>
      </c>
      <c r="AO138" s="364" t="s">
        <v>2422</v>
      </c>
      <c r="AP138" s="364" t="s">
        <v>2591</v>
      </c>
      <c r="AQ138" s="364" t="s">
        <v>2344</v>
      </c>
      <c r="AR138" s="364" t="s">
        <v>2643</v>
      </c>
      <c r="AS138" s="364" t="s">
        <v>2424</v>
      </c>
      <c r="AT138" s="364" t="s">
        <v>2398</v>
      </c>
      <c r="AU138" s="364" t="s">
        <v>2348</v>
      </c>
      <c r="AV138" s="364" t="s">
        <v>2349</v>
      </c>
      <c r="AW138" s="364" t="s">
        <v>2400</v>
      </c>
      <c r="AX138" s="364" t="s">
        <v>2425</v>
      </c>
      <c r="AY138" s="364" t="s">
        <v>2428</v>
      </c>
      <c r="AZ138" s="364" t="s">
        <v>2429</v>
      </c>
      <c r="BA138" s="364" t="s">
        <v>2401</v>
      </c>
      <c r="BB138" s="364"/>
      <c r="BC138" s="364"/>
      <c r="BD138" s="364"/>
      <c r="BE138" s="364"/>
      <c r="BF138" s="364"/>
      <c r="BG138" s="364"/>
      <c r="BH138" s="364"/>
      <c r="BI138" s="364"/>
      <c r="BJ138" s="364"/>
      <c r="BK138" s="364"/>
      <c r="BL138" s="364"/>
      <c r="BM138" s="364"/>
      <c r="BN138" s="364"/>
      <c r="BO138" s="364"/>
      <c r="BP138" s="364"/>
      <c r="BQ138" s="364"/>
      <c r="BR138" s="364"/>
      <c r="BS138" s="364"/>
      <c r="BT138" s="364"/>
      <c r="BU138" s="364"/>
      <c r="BV138" s="364"/>
      <c r="BW138" s="364"/>
      <c r="BX138" s="364"/>
      <c r="BY138" s="364"/>
      <c r="BZ138" s="364"/>
      <c r="CA138" s="364"/>
      <c r="CB138" s="364"/>
      <c r="CC138" s="364"/>
      <c r="CD138" s="364"/>
      <c r="CE138" s="364"/>
      <c r="CF138" s="364"/>
      <c r="CG138" s="364"/>
      <c r="CH138" s="364"/>
      <c r="CI138" s="364"/>
      <c r="CJ138" s="364"/>
      <c r="CK138" s="364"/>
      <c r="CL138" s="364"/>
      <c r="CM138" s="364"/>
      <c r="CN138" s="364"/>
      <c r="CO138" s="364"/>
      <c r="CP138" s="364"/>
      <c r="CQ138" s="364"/>
      <c r="CR138" s="364"/>
      <c r="CS138" s="364"/>
      <c r="CT138" s="364"/>
      <c r="CU138" s="364"/>
      <c r="CV138" s="364"/>
      <c r="CW138" s="364"/>
      <c r="CX138" s="364"/>
      <c r="CY138" s="364"/>
      <c r="CZ138" s="364"/>
      <c r="DA138" s="364"/>
      <c r="DB138" s="364"/>
      <c r="DC138" s="364"/>
      <c r="DD138" s="364"/>
      <c r="DE138" s="364"/>
      <c r="DF138" s="364"/>
      <c r="DG138" s="364"/>
      <c r="DH138" s="364"/>
      <c r="DI138" s="364"/>
      <c r="DJ138" s="364"/>
      <c r="DK138" s="364"/>
      <c r="DL138" s="364"/>
      <c r="DM138" s="364"/>
      <c r="DN138" s="364"/>
      <c r="DO138" s="364"/>
      <c r="DP138" s="364"/>
      <c r="DQ138" s="364"/>
      <c r="DR138" s="364"/>
      <c r="DS138" s="364"/>
      <c r="DT138" s="364"/>
      <c r="DU138" s="364"/>
      <c r="DV138" s="364"/>
      <c r="DW138" s="364"/>
      <c r="DX138" s="364"/>
      <c r="DY138" s="364"/>
      <c r="DZ138" s="364"/>
      <c r="EA138" s="364"/>
      <c r="EB138" s="364"/>
      <c r="EC138" s="364"/>
      <c r="ED138" s="364"/>
      <c r="EE138" s="364"/>
      <c r="EF138" s="364"/>
      <c r="EG138" s="364"/>
      <c r="EH138" s="364"/>
      <c r="EI138" s="364"/>
      <c r="EJ138" s="364"/>
      <c r="EK138" s="364"/>
      <c r="EL138" s="364"/>
      <c r="EM138" s="364"/>
      <c r="EN138" s="364"/>
      <c r="EO138" s="364"/>
      <c r="EP138" s="364"/>
      <c r="EQ138" s="364"/>
      <c r="ER138" s="364"/>
      <c r="ES138" s="364"/>
      <c r="ET138" s="364"/>
      <c r="EU138" s="364"/>
      <c r="EV138" s="364"/>
      <c r="EW138" s="364"/>
      <c r="EX138" s="364"/>
      <c r="EY138" s="364"/>
      <c r="EZ138" s="364"/>
      <c r="FA138" s="364"/>
      <c r="FB138" s="364"/>
      <c r="FC138" s="364"/>
      <c r="FD138" s="364"/>
      <c r="FE138" s="364"/>
      <c r="FF138" s="364"/>
      <c r="FG138" s="364"/>
      <c r="FH138" s="364"/>
      <c r="FI138" s="364"/>
      <c r="FJ138" s="364"/>
      <c r="FK138" s="364"/>
    </row>
    <row r="139" customFormat="false" ht="15.75" hidden="false" customHeight="false" outlineLevel="0" collapsed="false">
      <c r="A139" s="364" t="n">
        <v>264</v>
      </c>
      <c r="B139" s="364" t="n">
        <f aca="false">COUNTA(D139:FK139)</f>
        <v>42</v>
      </c>
      <c r="C139" s="364" t="s">
        <v>824</v>
      </c>
      <c r="D139" s="364" t="s">
        <v>2352</v>
      </c>
      <c r="E139" s="364" t="s">
        <v>2353</v>
      </c>
      <c r="F139" s="364" t="s">
        <v>2354</v>
      </c>
      <c r="G139" s="364" t="s">
        <v>2447</v>
      </c>
      <c r="H139" s="364" t="s">
        <v>2577</v>
      </c>
      <c r="I139" s="364" t="s">
        <v>138</v>
      </c>
      <c r="J139" s="364" t="s">
        <v>2315</v>
      </c>
      <c r="K139" s="364" t="s">
        <v>2409</v>
      </c>
      <c r="L139" s="364" t="s">
        <v>2316</v>
      </c>
      <c r="M139" s="364" t="s">
        <v>2479</v>
      </c>
      <c r="N139" s="364" t="s">
        <v>2320</v>
      </c>
      <c r="O139" s="364" t="s">
        <v>2534</v>
      </c>
      <c r="P139" s="364" t="s">
        <v>2411</v>
      </c>
      <c r="Q139" s="364" t="s">
        <v>2375</v>
      </c>
      <c r="R139" s="364" t="s">
        <v>2451</v>
      </c>
      <c r="S139" s="364" t="s">
        <v>2322</v>
      </c>
      <c r="T139" s="364" t="s">
        <v>2328</v>
      </c>
      <c r="U139" s="364" t="s">
        <v>2417</v>
      </c>
      <c r="V139" s="364" t="s">
        <v>2506</v>
      </c>
      <c r="W139" s="364" t="s">
        <v>2384</v>
      </c>
      <c r="X139" s="261" t="s">
        <v>183</v>
      </c>
      <c r="Y139" s="364" t="s">
        <v>2531</v>
      </c>
      <c r="Z139" s="364" t="s">
        <v>2385</v>
      </c>
      <c r="AA139" s="364" t="s">
        <v>2452</v>
      </c>
      <c r="AB139" s="364" t="s">
        <v>2480</v>
      </c>
      <c r="AC139" s="364" t="s">
        <v>2460</v>
      </c>
      <c r="AD139" s="364" t="s">
        <v>2455</v>
      </c>
      <c r="AE139" s="364" t="s">
        <v>2337</v>
      </c>
      <c r="AF139" s="364" t="s">
        <v>2388</v>
      </c>
      <c r="AG139" s="364" t="s">
        <v>2339</v>
      </c>
      <c r="AH139" s="364" t="s">
        <v>2389</v>
      </c>
      <c r="AI139" s="364" t="s">
        <v>2340</v>
      </c>
      <c r="AJ139" s="364" t="s">
        <v>2341</v>
      </c>
      <c r="AK139" s="364" t="s">
        <v>2462</v>
      </c>
      <c r="AL139" s="364" t="s">
        <v>2394</v>
      </c>
      <c r="AM139" s="364" t="s">
        <v>2395</v>
      </c>
      <c r="AN139" s="364" t="s">
        <v>2344</v>
      </c>
      <c r="AO139" s="364" t="s">
        <v>2396</v>
      </c>
      <c r="AP139" s="364" t="s">
        <v>2398</v>
      </c>
      <c r="AQ139" s="364" t="s">
        <v>2445</v>
      </c>
      <c r="AR139" s="364" t="s">
        <v>2400</v>
      </c>
      <c r="AS139" s="364" t="s">
        <v>2458</v>
      </c>
      <c r="AT139" s="364"/>
      <c r="AU139" s="364"/>
      <c r="AV139" s="364"/>
      <c r="AW139" s="364"/>
      <c r="AX139" s="364"/>
      <c r="AY139" s="364"/>
      <c r="AZ139" s="364"/>
      <c r="BA139" s="364"/>
      <c r="BB139" s="364"/>
      <c r="BC139" s="364"/>
      <c r="BD139" s="364"/>
      <c r="BE139" s="364"/>
      <c r="BF139" s="364"/>
      <c r="BG139" s="364"/>
      <c r="BH139" s="364"/>
      <c r="BI139" s="364"/>
      <c r="BJ139" s="364"/>
      <c r="BK139" s="364"/>
      <c r="BL139" s="364"/>
      <c r="BM139" s="364"/>
      <c r="BN139" s="364"/>
      <c r="BO139" s="364"/>
      <c r="BP139" s="364"/>
      <c r="BQ139" s="364"/>
      <c r="BR139" s="364"/>
      <c r="BS139" s="364"/>
      <c r="BT139" s="364"/>
      <c r="BU139" s="364"/>
      <c r="BV139" s="364"/>
      <c r="BW139" s="364"/>
      <c r="BX139" s="364"/>
      <c r="BY139" s="364"/>
      <c r="BZ139" s="364"/>
      <c r="CA139" s="364"/>
      <c r="CB139" s="364"/>
      <c r="CC139" s="364"/>
      <c r="CD139" s="364"/>
      <c r="CE139" s="364"/>
      <c r="CF139" s="364"/>
      <c r="CG139" s="364"/>
      <c r="CH139" s="364"/>
      <c r="CI139" s="364"/>
      <c r="CJ139" s="364"/>
      <c r="CK139" s="364"/>
      <c r="CL139" s="364"/>
      <c r="CM139" s="364"/>
      <c r="CN139" s="364"/>
      <c r="CO139" s="364"/>
      <c r="CP139" s="364"/>
      <c r="CQ139" s="364"/>
      <c r="CR139" s="364"/>
      <c r="CS139" s="364"/>
      <c r="CT139" s="364"/>
      <c r="CU139" s="364"/>
      <c r="CV139" s="364"/>
      <c r="CW139" s="364"/>
      <c r="CX139" s="364"/>
      <c r="CY139" s="364"/>
      <c r="CZ139" s="364"/>
      <c r="DA139" s="364"/>
      <c r="DB139" s="364"/>
      <c r="DC139" s="364"/>
      <c r="DD139" s="364"/>
      <c r="DE139" s="364"/>
      <c r="DF139" s="364"/>
      <c r="DG139" s="364"/>
      <c r="DH139" s="364"/>
      <c r="DI139" s="364"/>
      <c r="DJ139" s="364"/>
      <c r="DK139" s="364"/>
      <c r="DL139" s="364"/>
      <c r="DM139" s="364"/>
      <c r="DN139" s="364"/>
      <c r="DO139" s="364"/>
      <c r="DP139" s="364"/>
      <c r="DQ139" s="364"/>
      <c r="DR139" s="364"/>
      <c r="DS139" s="364"/>
      <c r="DT139" s="364"/>
      <c r="DU139" s="364"/>
      <c r="DV139" s="364"/>
      <c r="DW139" s="364"/>
      <c r="DX139" s="364"/>
      <c r="DY139" s="364"/>
      <c r="DZ139" s="364"/>
      <c r="EA139" s="364"/>
      <c r="EB139" s="364"/>
      <c r="EC139" s="364"/>
      <c r="ED139" s="364"/>
      <c r="EE139" s="364"/>
      <c r="EF139" s="364"/>
      <c r="EG139" s="364"/>
      <c r="EH139" s="364"/>
      <c r="EI139" s="364"/>
      <c r="EJ139" s="364"/>
      <c r="EK139" s="364"/>
      <c r="EL139" s="364"/>
      <c r="EM139" s="364"/>
      <c r="EN139" s="364"/>
      <c r="EO139" s="364"/>
      <c r="EP139" s="364"/>
      <c r="EQ139" s="364"/>
      <c r="ER139" s="364"/>
      <c r="ES139" s="364"/>
      <c r="ET139" s="364"/>
      <c r="EU139" s="364"/>
      <c r="EV139" s="364"/>
      <c r="EW139" s="364"/>
      <c r="EX139" s="364"/>
      <c r="EY139" s="364"/>
      <c r="EZ139" s="364"/>
      <c r="FA139" s="364"/>
      <c r="FB139" s="364"/>
      <c r="FC139" s="364"/>
      <c r="FD139" s="364"/>
      <c r="FE139" s="364"/>
      <c r="FF139" s="364"/>
      <c r="FG139" s="364"/>
      <c r="FH139" s="364"/>
      <c r="FI139" s="364"/>
      <c r="FJ139" s="364"/>
      <c r="FK139" s="364"/>
    </row>
    <row r="140" customFormat="false" ht="15.75" hidden="false" customHeight="false" outlineLevel="0" collapsed="false">
      <c r="A140" s="364" t="n">
        <v>266</v>
      </c>
      <c r="B140" s="364" t="n">
        <f aca="false">COUNTA(D140:FK140)</f>
        <v>46</v>
      </c>
      <c r="C140" s="364" t="s">
        <v>828</v>
      </c>
      <c r="D140" s="364" t="s">
        <v>2404</v>
      </c>
      <c r="E140" s="364" t="s">
        <v>2312</v>
      </c>
      <c r="F140" s="364" t="s">
        <v>138</v>
      </c>
      <c r="G140" s="364" t="s">
        <v>2466</v>
      </c>
      <c r="H140" s="364" t="s">
        <v>2409</v>
      </c>
      <c r="I140" s="364" t="s">
        <v>2316</v>
      </c>
      <c r="J140" s="364" t="s">
        <v>2435</v>
      </c>
      <c r="K140" s="364" t="s">
        <v>2365</v>
      </c>
      <c r="L140" s="364" t="s">
        <v>2320</v>
      </c>
      <c r="M140" s="364" t="s">
        <v>2535</v>
      </c>
      <c r="N140" s="364" t="s">
        <v>2366</v>
      </c>
      <c r="O140" s="364" t="s">
        <v>2367</v>
      </c>
      <c r="P140" s="364" t="s">
        <v>2372</v>
      </c>
      <c r="Q140" s="364" t="s">
        <v>2373</v>
      </c>
      <c r="R140" s="364" t="s">
        <v>2523</v>
      </c>
      <c r="S140" s="364" t="s">
        <v>2324</v>
      </c>
      <c r="T140" s="364" t="s">
        <v>2327</v>
      </c>
      <c r="U140" s="364" t="s">
        <v>2378</v>
      </c>
      <c r="V140" s="364" t="s">
        <v>2328</v>
      </c>
      <c r="W140" s="364" t="s">
        <v>2329</v>
      </c>
      <c r="X140" s="364" t="s">
        <v>2521</v>
      </c>
      <c r="Y140" s="364" t="s">
        <v>2379</v>
      </c>
      <c r="Z140" s="364" t="s">
        <v>2380</v>
      </c>
      <c r="AA140" s="364" t="s">
        <v>2381</v>
      </c>
      <c r="AB140" s="261" t="s">
        <v>183</v>
      </c>
      <c r="AC140" s="364" t="s">
        <v>2386</v>
      </c>
      <c r="AD140" s="364" t="s">
        <v>2452</v>
      </c>
      <c r="AE140" s="364" t="s">
        <v>2337</v>
      </c>
      <c r="AF140" s="364" t="s">
        <v>2469</v>
      </c>
      <c r="AG140" s="364" t="s">
        <v>2339</v>
      </c>
      <c r="AH140" s="364" t="s">
        <v>2340</v>
      </c>
      <c r="AI140" s="364" t="s">
        <v>2341</v>
      </c>
      <c r="AJ140" s="364" t="s">
        <v>2442</v>
      </c>
      <c r="AK140" s="364" t="s">
        <v>2343</v>
      </c>
      <c r="AL140" s="364" t="s">
        <v>2619</v>
      </c>
      <c r="AM140" s="364" t="s">
        <v>2472</v>
      </c>
      <c r="AN140" s="364" t="s">
        <v>2344</v>
      </c>
      <c r="AO140" s="364" t="s">
        <v>2345</v>
      </c>
      <c r="AP140" s="364" t="s">
        <v>2347</v>
      </c>
      <c r="AQ140" s="364" t="s">
        <v>2473</v>
      </c>
      <c r="AR140" s="364" t="s">
        <v>2474</v>
      </c>
      <c r="AS140" s="364" t="s">
        <v>2398</v>
      </c>
      <c r="AT140" s="364" t="s">
        <v>2445</v>
      </c>
      <c r="AU140" s="364" t="s">
        <v>2456</v>
      </c>
      <c r="AV140" s="364" t="s">
        <v>2488</v>
      </c>
      <c r="AW140" s="364" t="s">
        <v>2463</v>
      </c>
      <c r="AX140" s="364"/>
      <c r="AY140" s="364"/>
      <c r="AZ140" s="364"/>
      <c r="BA140" s="364"/>
      <c r="BB140" s="364"/>
      <c r="BC140" s="364"/>
      <c r="BD140" s="364"/>
      <c r="BE140" s="364"/>
      <c r="BF140" s="364"/>
      <c r="BG140" s="364"/>
      <c r="BH140" s="364"/>
      <c r="BI140" s="364"/>
      <c r="BJ140" s="364"/>
      <c r="BK140" s="364"/>
      <c r="BL140" s="364"/>
      <c r="BM140" s="364"/>
      <c r="BN140" s="364"/>
      <c r="BO140" s="364"/>
      <c r="BP140" s="364"/>
      <c r="BQ140" s="364"/>
      <c r="BR140" s="364"/>
      <c r="BS140" s="364"/>
      <c r="BT140" s="364"/>
      <c r="BU140" s="364"/>
      <c r="BV140" s="364"/>
      <c r="BW140" s="364"/>
      <c r="BX140" s="364"/>
      <c r="BY140" s="364"/>
      <c r="BZ140" s="364"/>
      <c r="CA140" s="364"/>
      <c r="CB140" s="364"/>
      <c r="CC140" s="364"/>
      <c r="CD140" s="364"/>
      <c r="CE140" s="364"/>
      <c r="CF140" s="364"/>
      <c r="CG140" s="364"/>
      <c r="CH140" s="364"/>
      <c r="CI140" s="364"/>
      <c r="CJ140" s="364"/>
      <c r="CK140" s="364"/>
      <c r="CL140" s="364"/>
      <c r="CM140" s="364"/>
      <c r="CN140" s="364"/>
      <c r="CO140" s="364"/>
      <c r="CP140" s="364"/>
      <c r="CQ140" s="364"/>
      <c r="CR140" s="364"/>
      <c r="CS140" s="364"/>
      <c r="CT140" s="364"/>
      <c r="CU140" s="364"/>
      <c r="CV140" s="364"/>
      <c r="CW140" s="364"/>
      <c r="CX140" s="364"/>
      <c r="CY140" s="364"/>
      <c r="CZ140" s="364"/>
      <c r="DA140" s="364"/>
      <c r="DB140" s="364"/>
      <c r="DC140" s="364"/>
      <c r="DD140" s="364"/>
      <c r="DE140" s="364"/>
      <c r="DF140" s="364"/>
      <c r="DG140" s="364"/>
      <c r="DH140" s="364"/>
      <c r="DI140" s="364"/>
      <c r="DJ140" s="364"/>
      <c r="DK140" s="364"/>
      <c r="DL140" s="364"/>
      <c r="DM140" s="364"/>
      <c r="DN140" s="364"/>
      <c r="DO140" s="364"/>
      <c r="DP140" s="364"/>
      <c r="DQ140" s="364"/>
      <c r="DR140" s="364"/>
      <c r="DS140" s="364"/>
      <c r="DT140" s="364"/>
      <c r="DU140" s="364"/>
      <c r="DV140" s="364"/>
      <c r="DW140" s="364"/>
      <c r="DX140" s="364"/>
      <c r="DY140" s="364"/>
      <c r="DZ140" s="364"/>
      <c r="EA140" s="364"/>
      <c r="EB140" s="364"/>
      <c r="EC140" s="364"/>
      <c r="ED140" s="364"/>
      <c r="EE140" s="364"/>
      <c r="EF140" s="364"/>
      <c r="EG140" s="364"/>
      <c r="EH140" s="364"/>
      <c r="EI140" s="364"/>
      <c r="EJ140" s="364"/>
      <c r="EK140" s="364"/>
      <c r="EL140" s="364"/>
      <c r="EM140" s="364"/>
      <c r="EN140" s="364"/>
      <c r="EO140" s="364"/>
      <c r="EP140" s="364"/>
      <c r="EQ140" s="364"/>
      <c r="ER140" s="364"/>
      <c r="ES140" s="364"/>
      <c r="ET140" s="364"/>
      <c r="EU140" s="364"/>
      <c r="EV140" s="364"/>
      <c r="EW140" s="364"/>
      <c r="EX140" s="364"/>
      <c r="EY140" s="364"/>
      <c r="EZ140" s="364"/>
      <c r="FA140" s="364"/>
      <c r="FB140" s="364"/>
      <c r="FC140" s="364"/>
      <c r="FD140" s="364"/>
      <c r="FE140" s="364"/>
      <c r="FF140" s="364"/>
      <c r="FG140" s="364"/>
      <c r="FH140" s="364"/>
      <c r="FI140" s="364"/>
      <c r="FJ140" s="364"/>
      <c r="FK140" s="364"/>
    </row>
    <row r="141" customFormat="false" ht="15.75" hidden="false" customHeight="false" outlineLevel="0" collapsed="false">
      <c r="A141" s="364" t="n">
        <v>268</v>
      </c>
      <c r="B141" s="364" t="n">
        <f aca="false">COUNTA(D141:FK141)</f>
        <v>41</v>
      </c>
      <c r="C141" s="364" t="s">
        <v>834</v>
      </c>
      <c r="D141" s="364" t="s">
        <v>2405</v>
      </c>
      <c r="E141" s="364" t="s">
        <v>2312</v>
      </c>
      <c r="F141" s="364" t="s">
        <v>2516</v>
      </c>
      <c r="G141" s="364" t="s">
        <v>2406</v>
      </c>
      <c r="H141" s="364" t="s">
        <v>2407</v>
      </c>
      <c r="I141" s="364" t="s">
        <v>2408</v>
      </c>
      <c r="J141" s="364" t="s">
        <v>2410</v>
      </c>
      <c r="K141" s="364" t="s">
        <v>2316</v>
      </c>
      <c r="L141" s="364" t="s">
        <v>2601</v>
      </c>
      <c r="M141" s="364" t="s">
        <v>2359</v>
      </c>
      <c r="N141" s="364" t="s">
        <v>2361</v>
      </c>
      <c r="O141" s="364" t="s">
        <v>2320</v>
      </c>
      <c r="P141" s="364" t="s">
        <v>2411</v>
      </c>
      <c r="Q141" s="364" t="s">
        <v>2324</v>
      </c>
      <c r="R141" s="364" t="s">
        <v>2327</v>
      </c>
      <c r="S141" s="364" t="s">
        <v>2328</v>
      </c>
      <c r="T141" s="364" t="s">
        <v>2414</v>
      </c>
      <c r="U141" s="364" t="s">
        <v>2329</v>
      </c>
      <c r="V141" s="364" t="s">
        <v>2415</v>
      </c>
      <c r="W141" s="364" t="s">
        <v>2417</v>
      </c>
      <c r="X141" s="364" t="s">
        <v>2506</v>
      </c>
      <c r="Y141" s="364" t="s">
        <v>2615</v>
      </c>
      <c r="Z141" s="364" t="s">
        <v>2332</v>
      </c>
      <c r="AA141" s="364" t="s">
        <v>2337</v>
      </c>
      <c r="AB141" s="364" t="s">
        <v>2340</v>
      </c>
      <c r="AC141" s="364" t="s">
        <v>2421</v>
      </c>
      <c r="AD141" s="364" t="s">
        <v>2341</v>
      </c>
      <c r="AE141" s="364" t="s">
        <v>2422</v>
      </c>
      <c r="AF141" s="364" t="s">
        <v>2344</v>
      </c>
      <c r="AG141" s="364" t="s">
        <v>2424</v>
      </c>
      <c r="AH141" s="364" t="s">
        <v>2398</v>
      </c>
      <c r="AI141" s="364" t="s">
        <v>2400</v>
      </c>
      <c r="AJ141" s="364" t="s">
        <v>2425</v>
      </c>
      <c r="AK141" s="364" t="s">
        <v>2426</v>
      </c>
      <c r="AL141" s="364" t="s">
        <v>2428</v>
      </c>
      <c r="AM141" s="364" t="s">
        <v>2429</v>
      </c>
      <c r="AN141" s="364" t="s">
        <v>2572</v>
      </c>
      <c r="AO141" s="261" t="s">
        <v>2310</v>
      </c>
      <c r="AP141" s="261" t="s">
        <v>2335</v>
      </c>
      <c r="AQ141" s="261" t="s">
        <v>2393</v>
      </c>
      <c r="AR141" s="261" t="s">
        <v>2349</v>
      </c>
      <c r="AS141" s="364"/>
      <c r="AT141" s="364"/>
      <c r="AU141" s="364"/>
      <c r="AV141" s="364"/>
      <c r="AW141" s="364"/>
      <c r="AX141" s="364"/>
      <c r="AY141" s="364"/>
      <c r="AZ141" s="364"/>
      <c r="BA141" s="364"/>
      <c r="BB141" s="364"/>
      <c r="BC141" s="364"/>
      <c r="BD141" s="364"/>
      <c r="BE141" s="364"/>
      <c r="BF141" s="364"/>
      <c r="BG141" s="364"/>
      <c r="BH141" s="364"/>
      <c r="BI141" s="364"/>
      <c r="BJ141" s="364"/>
      <c r="BK141" s="364"/>
      <c r="BL141" s="364"/>
      <c r="BM141" s="364"/>
      <c r="BN141" s="364"/>
      <c r="BO141" s="364"/>
      <c r="BP141" s="364"/>
      <c r="BQ141" s="364"/>
      <c r="BR141" s="364"/>
      <c r="BS141" s="364"/>
      <c r="BT141" s="364"/>
      <c r="BU141" s="364"/>
      <c r="BV141" s="364"/>
      <c r="BW141" s="364"/>
      <c r="BX141" s="364"/>
      <c r="BY141" s="364"/>
      <c r="BZ141" s="364"/>
      <c r="CA141" s="364"/>
      <c r="CB141" s="364"/>
      <c r="CC141" s="364"/>
      <c r="CD141" s="364"/>
      <c r="CE141" s="364"/>
      <c r="CF141" s="364"/>
      <c r="CG141" s="364"/>
      <c r="CH141" s="364"/>
      <c r="CI141" s="364"/>
      <c r="CJ141" s="364"/>
      <c r="CK141" s="364"/>
      <c r="CL141" s="364"/>
      <c r="CM141" s="364"/>
      <c r="CN141" s="364"/>
      <c r="CO141" s="364"/>
      <c r="CP141" s="364"/>
      <c r="CQ141" s="364"/>
      <c r="CR141" s="364"/>
      <c r="CS141" s="364"/>
      <c r="CT141" s="364"/>
      <c r="CU141" s="364"/>
      <c r="CV141" s="364"/>
      <c r="CW141" s="364"/>
      <c r="CX141" s="364"/>
      <c r="CY141" s="364"/>
      <c r="CZ141" s="364"/>
      <c r="DA141" s="364"/>
      <c r="DB141" s="364"/>
      <c r="DC141" s="364"/>
      <c r="DD141" s="364"/>
      <c r="DE141" s="364"/>
      <c r="DF141" s="364"/>
      <c r="DG141" s="364"/>
      <c r="DH141" s="364"/>
      <c r="DI141" s="364"/>
      <c r="DJ141" s="364"/>
      <c r="DK141" s="364"/>
      <c r="DL141" s="364"/>
      <c r="DM141" s="364"/>
      <c r="DN141" s="364"/>
      <c r="DO141" s="364"/>
      <c r="DP141" s="364"/>
      <c r="DQ141" s="364"/>
      <c r="DR141" s="364"/>
      <c r="DS141" s="364"/>
      <c r="DT141" s="364"/>
      <c r="DU141" s="364"/>
      <c r="DV141" s="364"/>
      <c r="DW141" s="364"/>
      <c r="DX141" s="364"/>
      <c r="DY141" s="364"/>
      <c r="DZ141" s="364"/>
      <c r="EA141" s="364"/>
      <c r="EB141" s="364"/>
      <c r="EC141" s="364"/>
      <c r="ED141" s="364"/>
      <c r="EE141" s="364"/>
      <c r="EF141" s="364"/>
      <c r="EG141" s="364"/>
      <c r="EH141" s="364"/>
      <c r="EI141" s="364"/>
      <c r="EJ141" s="364"/>
      <c r="EK141" s="364"/>
      <c r="EL141" s="364"/>
      <c r="EM141" s="364"/>
      <c r="EN141" s="364"/>
      <c r="EO141" s="364"/>
      <c r="EP141" s="364"/>
      <c r="EQ141" s="364"/>
      <c r="ER141" s="364"/>
      <c r="ES141" s="364"/>
      <c r="ET141" s="364"/>
      <c r="EU141" s="364"/>
      <c r="EV141" s="364"/>
      <c r="EW141" s="364"/>
      <c r="EX141" s="364"/>
      <c r="EY141" s="364"/>
      <c r="EZ141" s="364"/>
      <c r="FA141" s="364"/>
      <c r="FB141" s="364"/>
      <c r="FC141" s="364"/>
      <c r="FD141" s="364"/>
      <c r="FE141" s="364"/>
      <c r="FF141" s="364"/>
      <c r="FG141" s="364"/>
      <c r="FH141" s="364"/>
      <c r="FI141" s="364"/>
      <c r="FJ141" s="364"/>
      <c r="FK141" s="364"/>
    </row>
    <row r="142" customFormat="false" ht="15.75" hidden="false" customHeight="false" outlineLevel="0" collapsed="false">
      <c r="A142" s="364" t="n">
        <v>270</v>
      </c>
      <c r="B142" s="364" t="n">
        <f aca="false">COUNTA(D142:FK142)</f>
        <v>44</v>
      </c>
      <c r="C142" s="364" t="s">
        <v>838</v>
      </c>
      <c r="D142" s="364" t="s">
        <v>2561</v>
      </c>
      <c r="E142" s="364" t="s">
        <v>2447</v>
      </c>
      <c r="F142" s="364" t="s">
        <v>2312</v>
      </c>
      <c r="G142" s="364" t="s">
        <v>2516</v>
      </c>
      <c r="H142" s="364" t="s">
        <v>2357</v>
      </c>
      <c r="I142" s="364" t="s">
        <v>2313</v>
      </c>
      <c r="J142" s="364" t="s">
        <v>138</v>
      </c>
      <c r="K142" s="364" t="s">
        <v>2316</v>
      </c>
      <c r="L142" s="364" t="s">
        <v>2497</v>
      </c>
      <c r="M142" s="364" t="s">
        <v>2317</v>
      </c>
      <c r="N142" s="364" t="s">
        <v>2318</v>
      </c>
      <c r="O142" s="364" t="s">
        <v>2448</v>
      </c>
      <c r="P142" s="364" t="s">
        <v>2320</v>
      </c>
      <c r="Q142" s="364" t="s">
        <v>2367</v>
      </c>
      <c r="R142" s="364" t="s">
        <v>2451</v>
      </c>
      <c r="S142" s="364" t="s">
        <v>2324</v>
      </c>
      <c r="T142" s="364" t="s">
        <v>2484</v>
      </c>
      <c r="U142" s="364" t="s">
        <v>2412</v>
      </c>
      <c r="V142" s="364" t="s">
        <v>2327</v>
      </c>
      <c r="W142" s="364" t="s">
        <v>2328</v>
      </c>
      <c r="X142" s="364" t="s">
        <v>2512</v>
      </c>
      <c r="Y142" s="364" t="s">
        <v>2329</v>
      </c>
      <c r="Z142" s="364" t="s">
        <v>2521</v>
      </c>
      <c r="AA142" s="364" t="s">
        <v>2381</v>
      </c>
      <c r="AB142" s="364" t="s">
        <v>2330</v>
      </c>
      <c r="AC142" s="364" t="s">
        <v>2468</v>
      </c>
      <c r="AD142" s="261" t="s">
        <v>183</v>
      </c>
      <c r="AE142" s="364" t="s">
        <v>2454</v>
      </c>
      <c r="AF142" s="364" t="s">
        <v>2419</v>
      </c>
      <c r="AG142" s="364" t="s">
        <v>2337</v>
      </c>
      <c r="AH142" s="364" t="s">
        <v>2388</v>
      </c>
      <c r="AI142" s="364" t="s">
        <v>2339</v>
      </c>
      <c r="AJ142" s="364" t="s">
        <v>2389</v>
      </c>
      <c r="AK142" s="364" t="s">
        <v>2420</v>
      </c>
      <c r="AL142" s="364" t="s">
        <v>2340</v>
      </c>
      <c r="AM142" s="364" t="s">
        <v>2341</v>
      </c>
      <c r="AN142" s="364" t="s">
        <v>2342</v>
      </c>
      <c r="AO142" s="364" t="s">
        <v>2591</v>
      </c>
      <c r="AP142" s="364" t="s">
        <v>2344</v>
      </c>
      <c r="AQ142" s="364" t="s">
        <v>2346</v>
      </c>
      <c r="AR142" s="364" t="s">
        <v>2500</v>
      </c>
      <c r="AS142" s="364" t="s">
        <v>2347</v>
      </c>
      <c r="AT142" s="364" t="s">
        <v>2511</v>
      </c>
      <c r="AU142" s="364" t="s">
        <v>2488</v>
      </c>
      <c r="AV142" s="364"/>
      <c r="AW142" s="364"/>
      <c r="AX142" s="364"/>
      <c r="AY142" s="364"/>
      <c r="AZ142" s="364"/>
      <c r="BA142" s="364"/>
      <c r="BB142" s="364"/>
      <c r="BC142" s="364"/>
      <c r="BD142" s="364"/>
      <c r="BE142" s="364"/>
      <c r="BF142" s="364"/>
      <c r="BG142" s="364"/>
      <c r="BH142" s="364"/>
      <c r="BI142" s="364"/>
      <c r="BJ142" s="364"/>
      <c r="BK142" s="364"/>
      <c r="BL142" s="364"/>
      <c r="BM142" s="364"/>
      <c r="BN142" s="364"/>
      <c r="BO142" s="364"/>
      <c r="BP142" s="364"/>
      <c r="BQ142" s="364"/>
      <c r="BR142" s="364"/>
      <c r="BS142" s="364"/>
      <c r="BT142" s="364"/>
      <c r="BU142" s="364"/>
      <c r="BV142" s="364"/>
      <c r="BW142" s="364"/>
      <c r="BX142" s="364"/>
      <c r="BY142" s="364"/>
      <c r="BZ142" s="364"/>
      <c r="CA142" s="364"/>
      <c r="CB142" s="364"/>
      <c r="CC142" s="364"/>
      <c r="CD142" s="364"/>
      <c r="CE142" s="364"/>
      <c r="CF142" s="364"/>
      <c r="CG142" s="364"/>
      <c r="CH142" s="364"/>
      <c r="CI142" s="364"/>
      <c r="CJ142" s="364"/>
      <c r="CK142" s="364"/>
      <c r="CL142" s="364"/>
      <c r="CM142" s="364"/>
      <c r="CN142" s="364"/>
      <c r="CO142" s="364"/>
      <c r="CP142" s="364"/>
      <c r="CQ142" s="364"/>
      <c r="CR142" s="364"/>
      <c r="CS142" s="364"/>
      <c r="CT142" s="364"/>
      <c r="CU142" s="364"/>
      <c r="CV142" s="364"/>
      <c r="CW142" s="364"/>
      <c r="CX142" s="364"/>
      <c r="CY142" s="364"/>
      <c r="CZ142" s="364"/>
      <c r="DA142" s="364"/>
      <c r="DB142" s="364"/>
      <c r="DC142" s="364"/>
      <c r="DD142" s="364"/>
      <c r="DE142" s="364"/>
      <c r="DF142" s="364"/>
      <c r="DG142" s="364"/>
      <c r="DH142" s="364"/>
      <c r="DI142" s="364"/>
      <c r="DJ142" s="364"/>
      <c r="DK142" s="364"/>
      <c r="DL142" s="364"/>
      <c r="DM142" s="364"/>
      <c r="DN142" s="364"/>
      <c r="DO142" s="364"/>
      <c r="DP142" s="364"/>
      <c r="DQ142" s="364"/>
      <c r="DR142" s="364"/>
      <c r="DS142" s="364"/>
      <c r="DT142" s="364"/>
      <c r="DU142" s="364"/>
      <c r="DV142" s="364"/>
      <c r="DW142" s="364"/>
      <c r="DX142" s="364"/>
      <c r="DY142" s="364"/>
      <c r="DZ142" s="364"/>
      <c r="EA142" s="364"/>
      <c r="EB142" s="364"/>
      <c r="EC142" s="364"/>
      <c r="ED142" s="364"/>
      <c r="EE142" s="364"/>
      <c r="EF142" s="364"/>
      <c r="EG142" s="364"/>
      <c r="EH142" s="364"/>
      <c r="EI142" s="364"/>
      <c r="EJ142" s="364"/>
      <c r="EK142" s="364"/>
      <c r="EL142" s="364"/>
      <c r="EM142" s="364"/>
      <c r="EN142" s="364"/>
      <c r="EO142" s="364"/>
      <c r="EP142" s="364"/>
      <c r="EQ142" s="364"/>
      <c r="ER142" s="364"/>
      <c r="ES142" s="364"/>
      <c r="ET142" s="364"/>
      <c r="EU142" s="364"/>
      <c r="EV142" s="364"/>
      <c r="EW142" s="364"/>
      <c r="EX142" s="364"/>
      <c r="EY142" s="364"/>
      <c r="EZ142" s="364"/>
      <c r="FA142" s="364"/>
      <c r="FB142" s="364"/>
      <c r="FC142" s="364"/>
      <c r="FD142" s="364"/>
      <c r="FE142" s="364"/>
      <c r="FF142" s="364"/>
      <c r="FG142" s="364"/>
      <c r="FH142" s="364"/>
      <c r="FI142" s="364"/>
      <c r="FJ142" s="364"/>
      <c r="FK142" s="364"/>
    </row>
    <row r="143" customFormat="false" ht="15.75" hidden="false" customHeight="false" outlineLevel="0" collapsed="false">
      <c r="A143" s="364" t="n">
        <v>271</v>
      </c>
      <c r="B143" s="364" t="n">
        <f aca="false">COUNTA(D143:FK143)</f>
        <v>40</v>
      </c>
      <c r="C143" s="364" t="s">
        <v>841</v>
      </c>
      <c r="D143" s="364" t="s">
        <v>2352</v>
      </c>
      <c r="E143" s="364" t="s">
        <v>2405</v>
      </c>
      <c r="F143" s="364" t="s">
        <v>2464</v>
      </c>
      <c r="G143" s="364" t="s">
        <v>2569</v>
      </c>
      <c r="H143" s="364" t="s">
        <v>2316</v>
      </c>
      <c r="I143" s="364" t="s">
        <v>2435</v>
      </c>
      <c r="J143" s="364" t="s">
        <v>2436</v>
      </c>
      <c r="K143" s="364" t="s">
        <v>2320</v>
      </c>
      <c r="L143" s="364" t="s">
        <v>2523</v>
      </c>
      <c r="M143" s="364" t="s">
        <v>2324</v>
      </c>
      <c r="N143" s="364" t="s">
        <v>2328</v>
      </c>
      <c r="O143" s="364" t="s">
        <v>2329</v>
      </c>
      <c r="P143" s="364" t="s">
        <v>2415</v>
      </c>
      <c r="Q143" s="364" t="s">
        <v>2417</v>
      </c>
      <c r="R143" s="364" t="s">
        <v>2381</v>
      </c>
      <c r="S143" s="364" t="s">
        <v>2468</v>
      </c>
      <c r="T143" s="364" t="s">
        <v>2439</v>
      </c>
      <c r="U143" s="364" t="s">
        <v>157</v>
      </c>
      <c r="V143" s="364" t="s">
        <v>2495</v>
      </c>
      <c r="W143" s="364" t="s">
        <v>2337</v>
      </c>
      <c r="X143" s="364" t="s">
        <v>2340</v>
      </c>
      <c r="Y143" s="364" t="s">
        <v>2341</v>
      </c>
      <c r="Z143" s="364" t="s">
        <v>2442</v>
      </c>
      <c r="AA143" s="364" t="s">
        <v>2470</v>
      </c>
      <c r="AB143" s="364" t="s">
        <v>2422</v>
      </c>
      <c r="AC143" s="364" t="s">
        <v>2344</v>
      </c>
      <c r="AD143" s="364" t="s">
        <v>2345</v>
      </c>
      <c r="AE143" s="364" t="s">
        <v>2398</v>
      </c>
      <c r="AF143" s="364" t="s">
        <v>2348</v>
      </c>
      <c r="AG143" s="364" t="s">
        <v>2445</v>
      </c>
      <c r="AH143" s="364" t="s">
        <v>2475</v>
      </c>
      <c r="AI143" s="364" t="s">
        <v>2476</v>
      </c>
      <c r="AJ143" s="364" t="s">
        <v>2522</v>
      </c>
      <c r="AK143" s="364" t="s">
        <v>2493</v>
      </c>
      <c r="AL143" s="364" t="s">
        <v>2430</v>
      </c>
      <c r="AM143" s="261" t="s">
        <v>2310</v>
      </c>
      <c r="AN143" s="261" t="s">
        <v>2440</v>
      </c>
      <c r="AO143" s="261" t="s">
        <v>2335</v>
      </c>
      <c r="AP143" s="261" t="s">
        <v>2393</v>
      </c>
      <c r="AQ143" s="261" t="s">
        <v>2349</v>
      </c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/>
      <c r="BJ143" s="364"/>
      <c r="BK143" s="364"/>
      <c r="BL143" s="364"/>
      <c r="BM143" s="364"/>
      <c r="BN143" s="364"/>
      <c r="BO143" s="364"/>
      <c r="BP143" s="364"/>
      <c r="BQ143" s="364"/>
      <c r="BR143" s="364"/>
      <c r="BS143" s="364"/>
      <c r="BT143" s="364"/>
      <c r="BU143" s="364"/>
      <c r="BV143" s="364"/>
      <c r="BW143" s="364"/>
      <c r="BX143" s="364"/>
      <c r="BY143" s="364"/>
      <c r="BZ143" s="364"/>
      <c r="CA143" s="364"/>
      <c r="CB143" s="364"/>
      <c r="CC143" s="364"/>
      <c r="CD143" s="364"/>
      <c r="CE143" s="364"/>
      <c r="CF143" s="364"/>
      <c r="CG143" s="364"/>
      <c r="CH143" s="364"/>
      <c r="CI143" s="364"/>
      <c r="CJ143" s="364"/>
      <c r="CK143" s="364"/>
      <c r="CL143" s="364"/>
      <c r="CM143" s="364"/>
      <c r="CN143" s="364"/>
      <c r="CO143" s="364"/>
      <c r="CP143" s="364"/>
      <c r="CQ143" s="364"/>
      <c r="CR143" s="364"/>
      <c r="CS143" s="364"/>
      <c r="CT143" s="364"/>
      <c r="CU143" s="364"/>
      <c r="CV143" s="364"/>
      <c r="CW143" s="364"/>
      <c r="CX143" s="364"/>
      <c r="CY143" s="364"/>
      <c r="CZ143" s="364"/>
      <c r="DA143" s="364"/>
      <c r="DB143" s="364"/>
      <c r="DC143" s="364"/>
      <c r="DD143" s="364"/>
      <c r="DE143" s="364"/>
      <c r="DF143" s="364"/>
      <c r="DG143" s="364"/>
      <c r="DH143" s="364"/>
      <c r="DI143" s="364"/>
      <c r="DJ143" s="364"/>
      <c r="DK143" s="364"/>
      <c r="DL143" s="364"/>
      <c r="DM143" s="364"/>
      <c r="DN143" s="364"/>
      <c r="DO143" s="364"/>
      <c r="DP143" s="364"/>
      <c r="DQ143" s="364"/>
      <c r="DR143" s="364"/>
      <c r="DS143" s="364"/>
      <c r="DT143" s="364"/>
      <c r="DU143" s="364"/>
      <c r="DV143" s="364"/>
      <c r="DW143" s="364"/>
      <c r="DX143" s="364"/>
      <c r="DY143" s="364"/>
      <c r="DZ143" s="364"/>
      <c r="EA143" s="364"/>
      <c r="EB143" s="364"/>
      <c r="EC143" s="364"/>
      <c r="ED143" s="364"/>
      <c r="EE143" s="364"/>
      <c r="EF143" s="364"/>
      <c r="EG143" s="364"/>
      <c r="EH143" s="364"/>
      <c r="EI143" s="364"/>
      <c r="EJ143" s="364"/>
      <c r="EK143" s="364"/>
      <c r="EL143" s="364"/>
      <c r="EM143" s="364"/>
      <c r="EN143" s="364"/>
      <c r="EO143" s="364"/>
      <c r="EP143" s="364"/>
      <c r="EQ143" s="364"/>
      <c r="ER143" s="364"/>
      <c r="ES143" s="364"/>
      <c r="ET143" s="364"/>
      <c r="EU143" s="364"/>
      <c r="EV143" s="364"/>
      <c r="EW143" s="364"/>
      <c r="EX143" s="364"/>
      <c r="EY143" s="364"/>
      <c r="EZ143" s="364"/>
      <c r="FA143" s="364"/>
      <c r="FB143" s="364"/>
      <c r="FC143" s="364"/>
      <c r="FD143" s="364"/>
      <c r="FE143" s="364"/>
      <c r="FF143" s="364"/>
      <c r="FG143" s="364"/>
      <c r="FH143" s="364"/>
      <c r="FI143" s="364"/>
      <c r="FJ143" s="364"/>
      <c r="FK143" s="364"/>
    </row>
    <row r="144" customFormat="false" ht="15.75" hidden="false" customHeight="false" outlineLevel="0" collapsed="false">
      <c r="A144" s="364" t="n">
        <v>272</v>
      </c>
      <c r="B144" s="364" t="n">
        <f aca="false">COUNTA(D144:FK144)</f>
        <v>46</v>
      </c>
      <c r="C144" s="364" t="s">
        <v>843</v>
      </c>
      <c r="D144" s="364" t="s">
        <v>2528</v>
      </c>
      <c r="E144" s="364" t="s">
        <v>2404</v>
      </c>
      <c r="F144" s="364" t="s">
        <v>2312</v>
      </c>
      <c r="G144" s="364" t="s">
        <v>2516</v>
      </c>
      <c r="H144" s="364" t="s">
        <v>2313</v>
      </c>
      <c r="I144" s="364" t="s">
        <v>2464</v>
      </c>
      <c r="J144" s="364" t="s">
        <v>2316</v>
      </c>
      <c r="K144" s="364" t="s">
        <v>2510</v>
      </c>
      <c r="L144" s="364" t="s">
        <v>2435</v>
      </c>
      <c r="M144" s="364" t="s">
        <v>2317</v>
      </c>
      <c r="N144" s="364" t="s">
        <v>2319</v>
      </c>
      <c r="O144" s="364" t="s">
        <v>2632</v>
      </c>
      <c r="P144" s="364" t="s">
        <v>2320</v>
      </c>
      <c r="Q144" s="364" t="s">
        <v>2324</v>
      </c>
      <c r="R144" s="364" t="s">
        <v>2327</v>
      </c>
      <c r="S144" s="364" t="s">
        <v>2328</v>
      </c>
      <c r="T144" s="364" t="s">
        <v>2381</v>
      </c>
      <c r="U144" s="364" t="s">
        <v>2580</v>
      </c>
      <c r="V144" s="364" t="s">
        <v>2468</v>
      </c>
      <c r="W144" s="364" t="s">
        <v>2513</v>
      </c>
      <c r="X144" s="261" t="s">
        <v>183</v>
      </c>
      <c r="Y144" s="364" t="s">
        <v>157</v>
      </c>
      <c r="Z144" s="364" t="s">
        <v>2495</v>
      </c>
      <c r="AA144" s="364" t="s">
        <v>2335</v>
      </c>
      <c r="AB144" s="364" t="s">
        <v>2337</v>
      </c>
      <c r="AC144" s="364" t="s">
        <v>2469</v>
      </c>
      <c r="AD144" s="364" t="s">
        <v>2340</v>
      </c>
      <c r="AE144" s="364" t="s">
        <v>2341</v>
      </c>
      <c r="AF144" s="364" t="s">
        <v>2442</v>
      </c>
      <c r="AG144" s="364" t="s">
        <v>2470</v>
      </c>
      <c r="AH144" s="364" t="s">
        <v>2422</v>
      </c>
      <c r="AI144" s="364" t="s">
        <v>2344</v>
      </c>
      <c r="AJ144" s="364" t="s">
        <v>2345</v>
      </c>
      <c r="AK144" s="364" t="s">
        <v>2571</v>
      </c>
      <c r="AL144" s="364" t="s">
        <v>2473</v>
      </c>
      <c r="AM144" s="364" t="s">
        <v>2398</v>
      </c>
      <c r="AN144" s="364" t="s">
        <v>2348</v>
      </c>
      <c r="AO144" s="364" t="s">
        <v>2349</v>
      </c>
      <c r="AP144" s="364" t="s">
        <v>2445</v>
      </c>
      <c r="AQ144" s="364" t="s">
        <v>2515</v>
      </c>
      <c r="AR144" s="364" t="s">
        <v>2456</v>
      </c>
      <c r="AS144" s="364" t="s">
        <v>2475</v>
      </c>
      <c r="AT144" s="364" t="s">
        <v>2476</v>
      </c>
      <c r="AU144" s="364" t="s">
        <v>2463</v>
      </c>
      <c r="AV144" s="364" t="s">
        <v>2477</v>
      </c>
      <c r="AW144" s="364" t="s">
        <v>2430</v>
      </c>
      <c r="AX144" s="364"/>
      <c r="AY144" s="364"/>
      <c r="AZ144" s="364"/>
      <c r="BA144" s="364"/>
      <c r="BB144" s="364"/>
      <c r="BC144" s="364"/>
      <c r="BD144" s="364"/>
      <c r="BE144" s="364"/>
      <c r="BF144" s="364"/>
      <c r="BG144" s="364"/>
      <c r="BH144" s="364"/>
      <c r="BI144" s="364"/>
      <c r="BJ144" s="364"/>
      <c r="BK144" s="364"/>
      <c r="BL144" s="364"/>
      <c r="BM144" s="364"/>
      <c r="BN144" s="364"/>
      <c r="BO144" s="364"/>
      <c r="BP144" s="364"/>
      <c r="BQ144" s="364"/>
      <c r="BR144" s="364"/>
      <c r="BS144" s="364"/>
      <c r="BT144" s="364"/>
      <c r="BU144" s="364"/>
      <c r="BV144" s="364"/>
      <c r="BW144" s="364"/>
      <c r="BX144" s="364"/>
      <c r="BY144" s="364"/>
      <c r="BZ144" s="364"/>
      <c r="CA144" s="364"/>
      <c r="CB144" s="364"/>
      <c r="CC144" s="364"/>
      <c r="CD144" s="364"/>
      <c r="CE144" s="364"/>
      <c r="CF144" s="364"/>
      <c r="CG144" s="364"/>
      <c r="CH144" s="364"/>
      <c r="CI144" s="364"/>
      <c r="CJ144" s="364"/>
      <c r="CK144" s="364"/>
      <c r="CL144" s="364"/>
      <c r="CM144" s="364"/>
      <c r="CN144" s="364"/>
      <c r="CO144" s="364"/>
      <c r="CP144" s="364"/>
      <c r="CQ144" s="364"/>
      <c r="CR144" s="364"/>
      <c r="CS144" s="364"/>
      <c r="CT144" s="364"/>
      <c r="CU144" s="364"/>
      <c r="CV144" s="364"/>
      <c r="CW144" s="364"/>
      <c r="CX144" s="364"/>
      <c r="CY144" s="364"/>
      <c r="CZ144" s="364"/>
      <c r="DA144" s="364"/>
      <c r="DB144" s="364"/>
      <c r="DC144" s="364"/>
      <c r="DD144" s="364"/>
      <c r="DE144" s="364"/>
      <c r="DF144" s="364"/>
      <c r="DG144" s="364"/>
      <c r="DH144" s="364"/>
      <c r="DI144" s="364"/>
      <c r="DJ144" s="364"/>
      <c r="DK144" s="364"/>
      <c r="DL144" s="364"/>
      <c r="DM144" s="364"/>
      <c r="DN144" s="364"/>
      <c r="DO144" s="364"/>
      <c r="DP144" s="364"/>
      <c r="DQ144" s="364"/>
      <c r="DR144" s="364"/>
      <c r="DS144" s="364"/>
      <c r="DT144" s="364"/>
      <c r="DU144" s="364"/>
      <c r="DV144" s="364"/>
      <c r="DW144" s="364"/>
      <c r="DX144" s="364"/>
      <c r="DY144" s="364"/>
      <c r="DZ144" s="364"/>
      <c r="EA144" s="364"/>
      <c r="EB144" s="364"/>
      <c r="EC144" s="364"/>
      <c r="ED144" s="364"/>
      <c r="EE144" s="364"/>
      <c r="EF144" s="364"/>
      <c r="EG144" s="364"/>
      <c r="EH144" s="364"/>
      <c r="EI144" s="364"/>
      <c r="EJ144" s="364"/>
      <c r="EK144" s="364"/>
      <c r="EL144" s="364"/>
      <c r="EM144" s="364"/>
      <c r="EN144" s="364"/>
      <c r="EO144" s="364"/>
      <c r="EP144" s="364"/>
      <c r="EQ144" s="364"/>
      <c r="ER144" s="364"/>
      <c r="ES144" s="364"/>
      <c r="ET144" s="364"/>
      <c r="EU144" s="364"/>
      <c r="EV144" s="364"/>
      <c r="EW144" s="364"/>
      <c r="EX144" s="364"/>
      <c r="EY144" s="364"/>
      <c r="EZ144" s="364"/>
      <c r="FA144" s="364"/>
      <c r="FB144" s="364"/>
      <c r="FC144" s="364"/>
      <c r="FD144" s="364"/>
      <c r="FE144" s="364"/>
      <c r="FF144" s="364"/>
      <c r="FG144" s="364"/>
      <c r="FH144" s="364"/>
      <c r="FI144" s="364"/>
      <c r="FJ144" s="364"/>
      <c r="FK144" s="364"/>
    </row>
    <row r="145" customFormat="false" ht="15.75" hidden="false" customHeight="false" outlineLevel="0" collapsed="false">
      <c r="A145" s="364" t="n">
        <v>275</v>
      </c>
      <c r="B145" s="364" t="n">
        <f aca="false">COUNTA(D145:FK145)</f>
        <v>47</v>
      </c>
      <c r="C145" s="364" t="s">
        <v>849</v>
      </c>
      <c r="D145" s="364" t="s">
        <v>2352</v>
      </c>
      <c r="E145" s="364" t="s">
        <v>2312</v>
      </c>
      <c r="F145" s="364" t="s">
        <v>2356</v>
      </c>
      <c r="G145" s="364" t="s">
        <v>2313</v>
      </c>
      <c r="H145" s="364" t="s">
        <v>2552</v>
      </c>
      <c r="I145" s="364" t="s">
        <v>2541</v>
      </c>
      <c r="J145" s="364" t="s">
        <v>138</v>
      </c>
      <c r="K145" s="364" t="s">
        <v>2465</v>
      </c>
      <c r="L145" s="364" t="s">
        <v>2358</v>
      </c>
      <c r="M145" s="364" t="s">
        <v>2316</v>
      </c>
      <c r="N145" s="364" t="s">
        <v>184</v>
      </c>
      <c r="O145" s="364" t="s">
        <v>2317</v>
      </c>
      <c r="P145" s="364" t="s">
        <v>2448</v>
      </c>
      <c r="Q145" s="364" t="s">
        <v>2320</v>
      </c>
      <c r="R145" s="364" t="s">
        <v>2533</v>
      </c>
      <c r="S145" s="364" t="s">
        <v>2534</v>
      </c>
      <c r="T145" s="364" t="s">
        <v>2412</v>
      </c>
      <c r="U145" s="364" t="s">
        <v>2327</v>
      </c>
      <c r="V145" s="364" t="s">
        <v>2328</v>
      </c>
      <c r="W145" s="364" t="s">
        <v>2609</v>
      </c>
      <c r="X145" s="364" t="s">
        <v>2539</v>
      </c>
      <c r="Y145" s="364" t="s">
        <v>2540</v>
      </c>
      <c r="Z145" s="364" t="s">
        <v>2610</v>
      </c>
      <c r="AA145" s="364" t="s">
        <v>2382</v>
      </c>
      <c r="AB145" s="261" t="s">
        <v>183</v>
      </c>
      <c r="AC145" s="364" t="s">
        <v>2455</v>
      </c>
      <c r="AD145" s="364" t="s">
        <v>2461</v>
      </c>
      <c r="AE145" s="364" t="s">
        <v>2419</v>
      </c>
      <c r="AF145" s="364" t="s">
        <v>2337</v>
      </c>
      <c r="AG145" s="364" t="s">
        <v>2469</v>
      </c>
      <c r="AH145" s="364" t="s">
        <v>2553</v>
      </c>
      <c r="AI145" s="364" t="s">
        <v>2388</v>
      </c>
      <c r="AJ145" s="364" t="s">
        <v>2339</v>
      </c>
      <c r="AK145" s="364" t="s">
        <v>2611</v>
      </c>
      <c r="AL145" s="364" t="s">
        <v>2420</v>
      </c>
      <c r="AM145" s="364" t="s">
        <v>2340</v>
      </c>
      <c r="AN145" s="364" t="s">
        <v>2341</v>
      </c>
      <c r="AO145" s="364" t="s">
        <v>2391</v>
      </c>
      <c r="AP145" s="364" t="s">
        <v>2344</v>
      </c>
      <c r="AQ145" s="364" t="s">
        <v>2500</v>
      </c>
      <c r="AR145" s="364" t="s">
        <v>2347</v>
      </c>
      <c r="AS145" s="364" t="s">
        <v>2473</v>
      </c>
      <c r="AT145" s="364" t="s">
        <v>2398</v>
      </c>
      <c r="AU145" s="364" t="s">
        <v>2445</v>
      </c>
      <c r="AV145" s="364" t="s">
        <v>2649</v>
      </c>
      <c r="AW145" s="364" t="s">
        <v>2400</v>
      </c>
      <c r="AX145" s="364" t="s">
        <v>2546</v>
      </c>
      <c r="AY145" s="364"/>
      <c r="AZ145" s="364"/>
      <c r="BA145" s="364"/>
      <c r="BB145" s="364"/>
      <c r="BC145" s="364"/>
      <c r="BD145" s="364"/>
      <c r="BE145" s="364"/>
      <c r="BF145" s="364"/>
      <c r="BG145" s="364"/>
      <c r="BH145" s="364"/>
      <c r="BI145" s="364"/>
      <c r="BJ145" s="364"/>
      <c r="BK145" s="364"/>
      <c r="BL145" s="364"/>
      <c r="BM145" s="364"/>
      <c r="BN145" s="364"/>
      <c r="BO145" s="364"/>
      <c r="BP145" s="364"/>
      <c r="BQ145" s="364"/>
      <c r="BR145" s="364"/>
      <c r="BS145" s="364"/>
      <c r="BT145" s="364"/>
      <c r="BU145" s="364"/>
      <c r="BV145" s="364"/>
      <c r="BW145" s="364"/>
      <c r="BX145" s="364"/>
      <c r="BY145" s="364"/>
      <c r="BZ145" s="364"/>
      <c r="CA145" s="364"/>
      <c r="CB145" s="364"/>
      <c r="CC145" s="364"/>
      <c r="CD145" s="364"/>
      <c r="CE145" s="364"/>
      <c r="CF145" s="364"/>
      <c r="CG145" s="364"/>
      <c r="CH145" s="364"/>
      <c r="CI145" s="364"/>
      <c r="CJ145" s="364"/>
      <c r="CK145" s="364"/>
      <c r="CL145" s="364"/>
      <c r="CM145" s="364"/>
      <c r="CN145" s="364"/>
      <c r="CO145" s="364"/>
      <c r="CP145" s="364"/>
      <c r="CQ145" s="364"/>
      <c r="CR145" s="364"/>
      <c r="CS145" s="364"/>
      <c r="CT145" s="364"/>
      <c r="CU145" s="364"/>
      <c r="CV145" s="364"/>
      <c r="CW145" s="364"/>
      <c r="CX145" s="364"/>
      <c r="CY145" s="364"/>
      <c r="CZ145" s="364"/>
      <c r="DA145" s="364"/>
      <c r="DB145" s="364"/>
      <c r="DC145" s="364"/>
      <c r="DD145" s="364"/>
      <c r="DE145" s="364"/>
      <c r="DF145" s="364"/>
      <c r="DG145" s="364"/>
      <c r="DH145" s="364"/>
      <c r="DI145" s="364"/>
      <c r="DJ145" s="364"/>
      <c r="DK145" s="364"/>
      <c r="DL145" s="364"/>
      <c r="DM145" s="364"/>
      <c r="DN145" s="364"/>
      <c r="DO145" s="364"/>
      <c r="DP145" s="364"/>
      <c r="DQ145" s="364"/>
      <c r="DR145" s="364"/>
      <c r="DS145" s="364"/>
      <c r="DT145" s="364"/>
      <c r="DU145" s="364"/>
      <c r="DV145" s="364"/>
      <c r="DW145" s="364"/>
      <c r="DX145" s="364"/>
      <c r="DY145" s="364"/>
      <c r="DZ145" s="364"/>
      <c r="EA145" s="364"/>
      <c r="EB145" s="364"/>
      <c r="EC145" s="364"/>
      <c r="ED145" s="364"/>
      <c r="EE145" s="364"/>
      <c r="EF145" s="364"/>
      <c r="EG145" s="364"/>
      <c r="EH145" s="364"/>
      <c r="EI145" s="364"/>
      <c r="EJ145" s="364"/>
      <c r="EK145" s="364"/>
      <c r="EL145" s="364"/>
      <c r="EM145" s="364"/>
      <c r="EN145" s="364"/>
      <c r="EO145" s="364"/>
      <c r="EP145" s="364"/>
      <c r="EQ145" s="364"/>
      <c r="ER145" s="364"/>
      <c r="ES145" s="364"/>
      <c r="ET145" s="364"/>
      <c r="EU145" s="364"/>
      <c r="EV145" s="364"/>
      <c r="EW145" s="364"/>
      <c r="EX145" s="364"/>
      <c r="EY145" s="364"/>
      <c r="EZ145" s="364"/>
      <c r="FA145" s="364"/>
      <c r="FB145" s="364"/>
      <c r="FC145" s="364"/>
      <c r="FD145" s="364"/>
      <c r="FE145" s="364"/>
      <c r="FF145" s="364"/>
      <c r="FG145" s="364"/>
      <c r="FH145" s="364"/>
      <c r="FI145" s="364"/>
      <c r="FJ145" s="364"/>
      <c r="FK145" s="364"/>
    </row>
    <row r="146" customFormat="false" ht="15.75" hidden="false" customHeight="false" outlineLevel="0" collapsed="false">
      <c r="A146" s="364" t="n">
        <v>279</v>
      </c>
      <c r="B146" s="364" t="n">
        <f aca="false">COUNTA(D146:FK146)</f>
        <v>59</v>
      </c>
      <c r="C146" s="364" t="s">
        <v>854</v>
      </c>
      <c r="D146" s="364" t="s">
        <v>2483</v>
      </c>
      <c r="E146" s="364" t="s">
        <v>2310</v>
      </c>
      <c r="F146" s="364" t="s">
        <v>2405</v>
      </c>
      <c r="G146" s="364" t="s">
        <v>2312</v>
      </c>
      <c r="H146" s="364" t="s">
        <v>2356</v>
      </c>
      <c r="I146" s="364" t="s">
        <v>2313</v>
      </c>
      <c r="J146" s="364" t="s">
        <v>138</v>
      </c>
      <c r="K146" s="364" t="s">
        <v>2621</v>
      </c>
      <c r="L146" s="364" t="s">
        <v>2316</v>
      </c>
      <c r="M146" s="364" t="s">
        <v>2364</v>
      </c>
      <c r="N146" s="364" t="s">
        <v>2317</v>
      </c>
      <c r="O146" s="364" t="s">
        <v>2318</v>
      </c>
      <c r="P146" s="364" t="s">
        <v>2320</v>
      </c>
      <c r="Q146" s="364" t="s">
        <v>2369</v>
      </c>
      <c r="R146" s="364" t="s">
        <v>2376</v>
      </c>
      <c r="S146" s="364" t="s">
        <v>2377</v>
      </c>
      <c r="T146" s="364" t="s">
        <v>2324</v>
      </c>
      <c r="U146" s="364" t="s">
        <v>2412</v>
      </c>
      <c r="V146" s="364" t="s">
        <v>2614</v>
      </c>
      <c r="W146" s="364" t="s">
        <v>2327</v>
      </c>
      <c r="X146" s="364" t="s">
        <v>2625</v>
      </c>
      <c r="Y146" s="364" t="s">
        <v>2328</v>
      </c>
      <c r="Z146" s="364" t="s">
        <v>2329</v>
      </c>
      <c r="AA146" s="364" t="s">
        <v>2415</v>
      </c>
      <c r="AB146" s="364" t="s">
        <v>2416</v>
      </c>
      <c r="AC146" s="364" t="s">
        <v>2417</v>
      </c>
      <c r="AD146" s="364" t="s">
        <v>2506</v>
      </c>
      <c r="AE146" s="364" t="s">
        <v>2381</v>
      </c>
      <c r="AF146" s="364" t="s">
        <v>2382</v>
      </c>
      <c r="AG146" s="364" t="s">
        <v>2383</v>
      </c>
      <c r="AH146" s="261" t="s">
        <v>183</v>
      </c>
      <c r="AI146" s="364" t="s">
        <v>2387</v>
      </c>
      <c r="AJ146" s="364" t="s">
        <v>2620</v>
      </c>
      <c r="AK146" s="364" t="s">
        <v>2337</v>
      </c>
      <c r="AL146" s="364" t="s">
        <v>2469</v>
      </c>
      <c r="AM146" s="364" t="s">
        <v>2388</v>
      </c>
      <c r="AN146" s="364" t="s">
        <v>2339</v>
      </c>
      <c r="AO146" s="364" t="s">
        <v>2389</v>
      </c>
      <c r="AP146" s="364" t="s">
        <v>2420</v>
      </c>
      <c r="AQ146" s="364" t="s">
        <v>2340</v>
      </c>
      <c r="AR146" s="364" t="s">
        <v>2341</v>
      </c>
      <c r="AS146" s="364" t="s">
        <v>2391</v>
      </c>
      <c r="AT146" s="364" t="s">
        <v>2442</v>
      </c>
      <c r="AU146" s="364" t="s">
        <v>2470</v>
      </c>
      <c r="AV146" s="364" t="s">
        <v>2344</v>
      </c>
      <c r="AW146" s="364" t="s">
        <v>2345</v>
      </c>
      <c r="AX146" s="364" t="s">
        <v>2571</v>
      </c>
      <c r="AY146" s="364" t="s">
        <v>2346</v>
      </c>
      <c r="AZ146" s="364" t="s">
        <v>2347</v>
      </c>
      <c r="BA146" s="364" t="s">
        <v>2424</v>
      </c>
      <c r="BB146" s="364" t="s">
        <v>2348</v>
      </c>
      <c r="BC146" s="364" t="s">
        <v>2475</v>
      </c>
      <c r="BD146" s="364" t="s">
        <v>2476</v>
      </c>
      <c r="BE146" s="364" t="s">
        <v>2399</v>
      </c>
      <c r="BF146" s="364" t="s">
        <v>2555</v>
      </c>
      <c r="BG146" s="364" t="s">
        <v>2428</v>
      </c>
      <c r="BH146" s="364" t="s">
        <v>2429</v>
      </c>
      <c r="BI146" s="364" t="s">
        <v>2493</v>
      </c>
      <c r="BJ146" s="364" t="s">
        <v>2430</v>
      </c>
      <c r="BK146" s="364"/>
      <c r="BL146" s="364"/>
      <c r="BM146" s="364"/>
      <c r="BN146" s="364"/>
      <c r="BO146" s="364"/>
      <c r="BP146" s="364"/>
      <c r="BQ146" s="364"/>
      <c r="BR146" s="364"/>
      <c r="BS146" s="364"/>
      <c r="BT146" s="364"/>
      <c r="BU146" s="364"/>
      <c r="BV146" s="364"/>
      <c r="BW146" s="364"/>
      <c r="BX146" s="364"/>
      <c r="BY146" s="364"/>
      <c r="BZ146" s="364"/>
      <c r="CA146" s="364"/>
      <c r="CB146" s="364"/>
      <c r="CC146" s="364"/>
      <c r="CD146" s="364"/>
      <c r="CE146" s="364"/>
      <c r="CF146" s="364"/>
      <c r="CG146" s="364"/>
      <c r="CH146" s="364"/>
      <c r="CI146" s="364"/>
      <c r="CJ146" s="364"/>
      <c r="CK146" s="364"/>
      <c r="CL146" s="364"/>
      <c r="CM146" s="364"/>
      <c r="CN146" s="364"/>
      <c r="CO146" s="364"/>
      <c r="CP146" s="364"/>
      <c r="CQ146" s="364"/>
      <c r="CR146" s="364"/>
      <c r="CS146" s="364"/>
      <c r="CT146" s="364"/>
      <c r="CU146" s="364"/>
      <c r="CV146" s="364"/>
      <c r="CW146" s="364"/>
      <c r="CX146" s="364"/>
      <c r="CY146" s="364"/>
      <c r="CZ146" s="364"/>
      <c r="DA146" s="364"/>
      <c r="DB146" s="364"/>
      <c r="DC146" s="364"/>
      <c r="DD146" s="364"/>
      <c r="DE146" s="364"/>
      <c r="DF146" s="364"/>
      <c r="DG146" s="364"/>
      <c r="DH146" s="364"/>
      <c r="DI146" s="364"/>
      <c r="DJ146" s="364"/>
      <c r="DK146" s="364"/>
      <c r="DL146" s="364"/>
      <c r="DM146" s="364"/>
      <c r="DN146" s="364"/>
      <c r="DO146" s="364"/>
      <c r="DP146" s="364"/>
      <c r="DQ146" s="364"/>
      <c r="DR146" s="364"/>
      <c r="DS146" s="364"/>
      <c r="DT146" s="364"/>
      <c r="DU146" s="364"/>
      <c r="DV146" s="364"/>
      <c r="DW146" s="364"/>
      <c r="DX146" s="364"/>
      <c r="DY146" s="364"/>
      <c r="DZ146" s="364"/>
      <c r="EA146" s="364"/>
      <c r="EB146" s="364"/>
      <c r="EC146" s="364"/>
      <c r="ED146" s="364"/>
      <c r="EE146" s="364"/>
      <c r="EF146" s="364"/>
      <c r="EG146" s="364"/>
      <c r="EH146" s="364"/>
      <c r="EI146" s="364"/>
      <c r="EJ146" s="364"/>
      <c r="EK146" s="364"/>
      <c r="EL146" s="364"/>
      <c r="EM146" s="364"/>
      <c r="EN146" s="364"/>
      <c r="EO146" s="364"/>
      <c r="EP146" s="364"/>
      <c r="EQ146" s="364"/>
      <c r="ER146" s="364"/>
      <c r="ES146" s="364"/>
      <c r="ET146" s="364"/>
      <c r="EU146" s="364"/>
      <c r="EV146" s="364"/>
      <c r="EW146" s="364"/>
      <c r="EX146" s="364"/>
      <c r="EY146" s="364"/>
      <c r="EZ146" s="364"/>
      <c r="FA146" s="364"/>
      <c r="FB146" s="364"/>
      <c r="FC146" s="364"/>
      <c r="FD146" s="364"/>
      <c r="FE146" s="364"/>
      <c r="FF146" s="364"/>
      <c r="FG146" s="364"/>
      <c r="FH146" s="364"/>
      <c r="FI146" s="364"/>
      <c r="FJ146" s="364"/>
      <c r="FK146" s="364"/>
    </row>
    <row r="147" customFormat="false" ht="15.75" hidden="false" customHeight="false" outlineLevel="0" collapsed="false">
      <c r="A147" s="364" t="n">
        <v>280</v>
      </c>
      <c r="B147" s="364" t="n">
        <f aca="false">COUNTA(D147:FK147)</f>
        <v>76</v>
      </c>
      <c r="C147" s="364" t="s">
        <v>856</v>
      </c>
      <c r="D147" s="364" t="s">
        <v>2403</v>
      </c>
      <c r="E147" s="364" t="s">
        <v>2405</v>
      </c>
      <c r="F147" s="364" t="s">
        <v>2312</v>
      </c>
      <c r="G147" s="364" t="s">
        <v>2356</v>
      </c>
      <c r="H147" s="364" t="s">
        <v>2313</v>
      </c>
      <c r="I147" s="364" t="s">
        <v>2464</v>
      </c>
      <c r="J147" s="364" t="s">
        <v>138</v>
      </c>
      <c r="K147" s="364" t="s">
        <v>2465</v>
      </c>
      <c r="L147" s="364" t="s">
        <v>2517</v>
      </c>
      <c r="M147" s="364" t="s">
        <v>2316</v>
      </c>
      <c r="N147" s="364" t="s">
        <v>2519</v>
      </c>
      <c r="O147" s="364" t="s">
        <v>2520</v>
      </c>
      <c r="P147" s="364" t="s">
        <v>2435</v>
      </c>
      <c r="Q147" s="364" t="s">
        <v>2364</v>
      </c>
      <c r="R147" s="364" t="s">
        <v>2317</v>
      </c>
      <c r="S147" s="364" t="s">
        <v>2318</v>
      </c>
      <c r="T147" s="364" t="s">
        <v>2598</v>
      </c>
      <c r="U147" s="364" t="s">
        <v>2448</v>
      </c>
      <c r="V147" s="364" t="s">
        <v>2320</v>
      </c>
      <c r="W147" s="364" t="s">
        <v>2366</v>
      </c>
      <c r="X147" s="364" t="s">
        <v>2369</v>
      </c>
      <c r="Y147" s="364" t="s">
        <v>2373</v>
      </c>
      <c r="Z147" s="364" t="s">
        <v>2376</v>
      </c>
      <c r="AA147" s="364" t="s">
        <v>2377</v>
      </c>
      <c r="AB147" s="364" t="s">
        <v>2324</v>
      </c>
      <c r="AC147" s="364" t="s">
        <v>2325</v>
      </c>
      <c r="AD147" s="364" t="s">
        <v>2327</v>
      </c>
      <c r="AE147" s="364" t="s">
        <v>2328</v>
      </c>
      <c r="AF147" s="364" t="s">
        <v>2329</v>
      </c>
      <c r="AG147" s="364" t="s">
        <v>2521</v>
      </c>
      <c r="AH147" s="364" t="s">
        <v>2415</v>
      </c>
      <c r="AI147" s="364" t="s">
        <v>2416</v>
      </c>
      <c r="AJ147" s="364" t="s">
        <v>2417</v>
      </c>
      <c r="AK147" s="364" t="s">
        <v>2379</v>
      </c>
      <c r="AL147" s="364" t="s">
        <v>2381</v>
      </c>
      <c r="AM147" s="364" t="s">
        <v>2468</v>
      </c>
      <c r="AN147" s="364" t="s">
        <v>2382</v>
      </c>
      <c r="AO147" s="364" t="s">
        <v>2383</v>
      </c>
      <c r="AP147" s="261" t="s">
        <v>183</v>
      </c>
      <c r="AQ147" s="364" t="s">
        <v>2582</v>
      </c>
      <c r="AR147" s="364" t="s">
        <v>2387</v>
      </c>
      <c r="AS147" s="364" t="s">
        <v>157</v>
      </c>
      <c r="AT147" s="364" t="s">
        <v>2337</v>
      </c>
      <c r="AU147" s="364" t="s">
        <v>2469</v>
      </c>
      <c r="AV147" s="364" t="s">
        <v>2338</v>
      </c>
      <c r="AW147" s="364" t="s">
        <v>2388</v>
      </c>
      <c r="AX147" s="364" t="s">
        <v>2339</v>
      </c>
      <c r="AY147" s="364" t="s">
        <v>2389</v>
      </c>
      <c r="AZ147" s="364" t="s">
        <v>2420</v>
      </c>
      <c r="BA147" s="364" t="s">
        <v>2340</v>
      </c>
      <c r="BB147" s="364" t="s">
        <v>2341</v>
      </c>
      <c r="BC147" s="364" t="s">
        <v>2391</v>
      </c>
      <c r="BD147" s="364" t="s">
        <v>2442</v>
      </c>
      <c r="BE147" s="364" t="s">
        <v>2470</v>
      </c>
      <c r="BF147" s="364" t="s">
        <v>2344</v>
      </c>
      <c r="BG147" s="364" t="s">
        <v>2345</v>
      </c>
      <c r="BH147" s="364" t="s">
        <v>2346</v>
      </c>
      <c r="BI147" s="364" t="s">
        <v>2347</v>
      </c>
      <c r="BJ147" s="364" t="s">
        <v>2349</v>
      </c>
      <c r="BK147" s="364" t="s">
        <v>2475</v>
      </c>
      <c r="BL147" s="364" t="s">
        <v>2476</v>
      </c>
      <c r="BM147" s="364" t="s">
        <v>2399</v>
      </c>
      <c r="BN147" s="364" t="s">
        <v>2428</v>
      </c>
      <c r="BO147" s="364" t="s">
        <v>2477</v>
      </c>
      <c r="BP147" s="364" t="s">
        <v>2493</v>
      </c>
      <c r="BQ147" s="364" t="s">
        <v>2430</v>
      </c>
      <c r="BR147" s="261" t="s">
        <v>2310</v>
      </c>
      <c r="BS147" s="261" t="s">
        <v>2408</v>
      </c>
      <c r="BT147" s="261" t="s">
        <v>2486</v>
      </c>
      <c r="BU147" s="261" t="s">
        <v>2620</v>
      </c>
      <c r="BV147" s="261" t="s">
        <v>2440</v>
      </c>
      <c r="BW147" s="261" t="s">
        <v>2335</v>
      </c>
      <c r="BX147" s="261" t="s">
        <v>2393</v>
      </c>
      <c r="BY147" s="261" t="s">
        <v>2397</v>
      </c>
      <c r="BZ147" s="261" t="s">
        <v>2522</v>
      </c>
      <c r="CA147" s="261" t="s">
        <v>2426</v>
      </c>
      <c r="CB147" s="364"/>
      <c r="CC147" s="364"/>
      <c r="CD147" s="364"/>
      <c r="CE147" s="364"/>
      <c r="CF147" s="364"/>
      <c r="CG147" s="364"/>
      <c r="CH147" s="364"/>
      <c r="CI147" s="364"/>
      <c r="CJ147" s="364"/>
      <c r="CK147" s="364"/>
      <c r="CL147" s="364"/>
      <c r="CM147" s="364"/>
      <c r="CN147" s="364"/>
      <c r="CO147" s="364"/>
      <c r="CP147" s="364"/>
      <c r="CQ147" s="364"/>
      <c r="CR147" s="364"/>
      <c r="CS147" s="364"/>
      <c r="CT147" s="364"/>
      <c r="CU147" s="364"/>
      <c r="CV147" s="364"/>
      <c r="CW147" s="364"/>
      <c r="CX147" s="364"/>
      <c r="CY147" s="364"/>
      <c r="CZ147" s="364"/>
      <c r="DA147" s="364"/>
      <c r="DB147" s="364"/>
      <c r="DC147" s="364"/>
      <c r="DD147" s="364"/>
      <c r="DE147" s="364"/>
      <c r="DF147" s="364"/>
      <c r="DG147" s="364"/>
      <c r="DH147" s="364"/>
      <c r="DI147" s="364"/>
      <c r="DJ147" s="364"/>
      <c r="DK147" s="364"/>
      <c r="DL147" s="364"/>
      <c r="DM147" s="364"/>
      <c r="DN147" s="364"/>
      <c r="DO147" s="364"/>
      <c r="DP147" s="364"/>
      <c r="DQ147" s="364"/>
      <c r="DR147" s="364"/>
      <c r="DS147" s="364"/>
      <c r="DT147" s="364"/>
      <c r="DU147" s="364"/>
      <c r="DV147" s="364"/>
      <c r="DW147" s="364"/>
      <c r="DX147" s="364"/>
      <c r="DY147" s="364"/>
      <c r="DZ147" s="364"/>
      <c r="EA147" s="364"/>
      <c r="EB147" s="364"/>
      <c r="EC147" s="364"/>
      <c r="ED147" s="364"/>
      <c r="EE147" s="364"/>
      <c r="EF147" s="364"/>
      <c r="EG147" s="364"/>
      <c r="EH147" s="364"/>
      <c r="EI147" s="364"/>
      <c r="EJ147" s="364"/>
      <c r="EK147" s="364"/>
      <c r="EL147" s="364"/>
      <c r="EM147" s="364"/>
      <c r="EN147" s="364"/>
      <c r="EO147" s="364"/>
      <c r="EP147" s="364"/>
      <c r="EQ147" s="364"/>
      <c r="ER147" s="364"/>
      <c r="ES147" s="364"/>
      <c r="ET147" s="364"/>
      <c r="EU147" s="364"/>
      <c r="EV147" s="364"/>
      <c r="EW147" s="364"/>
      <c r="EX147" s="364"/>
      <c r="EY147" s="364"/>
      <c r="EZ147" s="364"/>
      <c r="FA147" s="364"/>
      <c r="FB147" s="364"/>
      <c r="FC147" s="364"/>
      <c r="FD147" s="364"/>
      <c r="FE147" s="364"/>
      <c r="FF147" s="364"/>
      <c r="FG147" s="364"/>
      <c r="FH147" s="364"/>
      <c r="FI147" s="364"/>
      <c r="FJ147" s="364"/>
      <c r="FK147" s="364"/>
    </row>
    <row r="148" customFormat="false" ht="15.75" hidden="false" customHeight="false" outlineLevel="0" collapsed="false">
      <c r="A148" s="364" t="n">
        <v>281</v>
      </c>
      <c r="B148" s="364" t="n">
        <f aca="false">COUNTA(D148:FK148)</f>
        <v>43</v>
      </c>
      <c r="C148" s="364" t="s">
        <v>858</v>
      </c>
      <c r="D148" s="364" t="s">
        <v>2635</v>
      </c>
      <c r="E148" s="364" t="s">
        <v>2404</v>
      </c>
      <c r="F148" s="364" t="s">
        <v>2312</v>
      </c>
      <c r="G148" s="364" t="s">
        <v>2313</v>
      </c>
      <c r="H148" s="364" t="s">
        <v>2464</v>
      </c>
      <c r="I148" s="364" t="s">
        <v>2466</v>
      </c>
      <c r="J148" s="364" t="s">
        <v>2315</v>
      </c>
      <c r="K148" s="364" t="s">
        <v>2358</v>
      </c>
      <c r="L148" s="364" t="s">
        <v>2569</v>
      </c>
      <c r="M148" s="364" t="s">
        <v>2316</v>
      </c>
      <c r="N148" s="364" t="s">
        <v>2632</v>
      </c>
      <c r="O148" s="364" t="s">
        <v>2547</v>
      </c>
      <c r="P148" s="364" t="s">
        <v>2320</v>
      </c>
      <c r="Q148" s="364" t="s">
        <v>2324</v>
      </c>
      <c r="R148" s="364" t="s">
        <v>2327</v>
      </c>
      <c r="S148" s="364" t="s">
        <v>2328</v>
      </c>
      <c r="T148" s="364" t="s">
        <v>2329</v>
      </c>
      <c r="U148" s="364" t="s">
        <v>2506</v>
      </c>
      <c r="V148" s="364" t="s">
        <v>2381</v>
      </c>
      <c r="W148" s="261" t="s">
        <v>183</v>
      </c>
      <c r="X148" s="364" t="s">
        <v>2461</v>
      </c>
      <c r="Y148" s="364" t="s">
        <v>2337</v>
      </c>
      <c r="Z148" s="364" t="s">
        <v>2338</v>
      </c>
      <c r="AA148" s="364" t="s">
        <v>2339</v>
      </c>
      <c r="AB148" s="364" t="s">
        <v>2340</v>
      </c>
      <c r="AC148" s="364" t="s">
        <v>2341</v>
      </c>
      <c r="AD148" s="364" t="s">
        <v>2442</v>
      </c>
      <c r="AE148" s="364" t="s">
        <v>2470</v>
      </c>
      <c r="AF148" s="364" t="s">
        <v>2422</v>
      </c>
      <c r="AG148" s="364" t="s">
        <v>2472</v>
      </c>
      <c r="AH148" s="364" t="s">
        <v>2344</v>
      </c>
      <c r="AI148" s="364" t="s">
        <v>2570</v>
      </c>
      <c r="AJ148" s="364" t="s">
        <v>2347</v>
      </c>
      <c r="AK148" s="364" t="s">
        <v>2398</v>
      </c>
      <c r="AL148" s="364" t="s">
        <v>2456</v>
      </c>
      <c r="AM148" s="364" t="s">
        <v>2475</v>
      </c>
      <c r="AN148" s="364" t="s">
        <v>2476</v>
      </c>
      <c r="AO148" s="364" t="s">
        <v>2488</v>
      </c>
      <c r="AP148" s="364" t="s">
        <v>2491</v>
      </c>
      <c r="AQ148" s="364" t="s">
        <v>2492</v>
      </c>
      <c r="AR148" s="364" t="s">
        <v>2650</v>
      </c>
      <c r="AS148" s="364" t="s">
        <v>2477</v>
      </c>
      <c r="AT148" s="364" t="s">
        <v>2493</v>
      </c>
      <c r="AU148" s="364"/>
      <c r="AV148" s="364"/>
      <c r="AW148" s="364"/>
      <c r="AX148" s="364"/>
      <c r="AY148" s="364"/>
      <c r="AZ148" s="364"/>
      <c r="BA148" s="364"/>
      <c r="BB148" s="364"/>
      <c r="BC148" s="364"/>
      <c r="BD148" s="364"/>
      <c r="BE148" s="364"/>
      <c r="BF148" s="364"/>
      <c r="BG148" s="364"/>
      <c r="BH148" s="364"/>
      <c r="BI148" s="364"/>
      <c r="BJ148" s="364"/>
      <c r="BK148" s="364"/>
      <c r="BL148" s="364"/>
      <c r="BM148" s="364"/>
      <c r="BN148" s="364"/>
      <c r="BO148" s="364"/>
      <c r="BP148" s="364"/>
      <c r="BQ148" s="364"/>
      <c r="BR148" s="364"/>
      <c r="BS148" s="364"/>
      <c r="BT148" s="364"/>
      <c r="BU148" s="364"/>
      <c r="BV148" s="364"/>
      <c r="BW148" s="364"/>
      <c r="BX148" s="364"/>
      <c r="BY148" s="364"/>
      <c r="BZ148" s="364"/>
      <c r="CA148" s="364"/>
      <c r="CB148" s="364"/>
      <c r="CC148" s="364"/>
      <c r="CD148" s="364"/>
      <c r="CE148" s="364"/>
      <c r="CF148" s="364"/>
      <c r="CG148" s="364"/>
      <c r="CH148" s="364"/>
      <c r="CI148" s="364"/>
      <c r="CJ148" s="364"/>
      <c r="CK148" s="364"/>
      <c r="CL148" s="364"/>
      <c r="CM148" s="364"/>
      <c r="CN148" s="364"/>
      <c r="CO148" s="364"/>
      <c r="CP148" s="364"/>
      <c r="CQ148" s="364"/>
      <c r="CR148" s="364"/>
      <c r="CS148" s="364"/>
      <c r="CT148" s="364"/>
      <c r="CU148" s="364"/>
      <c r="CV148" s="364"/>
      <c r="CW148" s="364"/>
      <c r="CX148" s="364"/>
      <c r="CY148" s="364"/>
      <c r="CZ148" s="364"/>
      <c r="DA148" s="364"/>
      <c r="DB148" s="364"/>
      <c r="DC148" s="364"/>
      <c r="DD148" s="364"/>
      <c r="DE148" s="364"/>
      <c r="DF148" s="364"/>
      <c r="DG148" s="364"/>
      <c r="DH148" s="364"/>
      <c r="DI148" s="364"/>
      <c r="DJ148" s="364"/>
      <c r="DK148" s="364"/>
      <c r="DL148" s="364"/>
      <c r="DM148" s="364"/>
      <c r="DN148" s="364"/>
      <c r="DO148" s="364"/>
      <c r="DP148" s="364"/>
      <c r="DQ148" s="364"/>
      <c r="DR148" s="364"/>
      <c r="DS148" s="364"/>
      <c r="DT148" s="364"/>
      <c r="DU148" s="364"/>
      <c r="DV148" s="364"/>
      <c r="DW148" s="364"/>
      <c r="DX148" s="364"/>
      <c r="DY148" s="364"/>
      <c r="DZ148" s="364"/>
      <c r="EA148" s="364"/>
      <c r="EB148" s="364"/>
      <c r="EC148" s="364"/>
      <c r="ED148" s="364"/>
      <c r="EE148" s="364"/>
      <c r="EF148" s="364"/>
      <c r="EG148" s="364"/>
      <c r="EH148" s="364"/>
      <c r="EI148" s="364"/>
      <c r="EJ148" s="364"/>
      <c r="EK148" s="364"/>
      <c r="EL148" s="364"/>
      <c r="EM148" s="364"/>
      <c r="EN148" s="364"/>
      <c r="EO148" s="364"/>
      <c r="EP148" s="364"/>
      <c r="EQ148" s="364"/>
      <c r="ER148" s="364"/>
      <c r="ES148" s="364"/>
      <c r="ET148" s="364"/>
      <c r="EU148" s="364"/>
      <c r="EV148" s="364"/>
      <c r="EW148" s="364"/>
      <c r="EX148" s="364"/>
      <c r="EY148" s="364"/>
      <c r="EZ148" s="364"/>
      <c r="FA148" s="364"/>
      <c r="FB148" s="364"/>
      <c r="FC148" s="364"/>
      <c r="FD148" s="364"/>
      <c r="FE148" s="364"/>
      <c r="FF148" s="364"/>
      <c r="FG148" s="364"/>
      <c r="FH148" s="364"/>
      <c r="FI148" s="364"/>
      <c r="FJ148" s="364"/>
      <c r="FK148" s="364"/>
    </row>
    <row r="149" customFormat="false" ht="15.75" hidden="false" customHeight="false" outlineLevel="0" collapsed="false">
      <c r="A149" s="364" t="n">
        <v>282</v>
      </c>
      <c r="B149" s="364" t="n">
        <f aca="false">COUNTA(D149:FK149)</f>
        <v>44</v>
      </c>
      <c r="C149" s="364" t="s">
        <v>860</v>
      </c>
      <c r="D149" s="364" t="s">
        <v>2404</v>
      </c>
      <c r="E149" s="364" t="s">
        <v>2312</v>
      </c>
      <c r="F149" s="364" t="s">
        <v>2313</v>
      </c>
      <c r="G149" s="364" t="s">
        <v>2496</v>
      </c>
      <c r="H149" s="364" t="s">
        <v>2315</v>
      </c>
      <c r="I149" s="364" t="s">
        <v>2358</v>
      </c>
      <c r="J149" s="364" t="s">
        <v>2316</v>
      </c>
      <c r="K149" s="364" t="s">
        <v>2365</v>
      </c>
      <c r="L149" s="364" t="s">
        <v>2637</v>
      </c>
      <c r="M149" s="364" t="s">
        <v>2632</v>
      </c>
      <c r="N149" s="364" t="s">
        <v>2547</v>
      </c>
      <c r="O149" s="364" t="s">
        <v>2320</v>
      </c>
      <c r="P149" s="364" t="s">
        <v>2366</v>
      </c>
      <c r="Q149" s="364" t="s">
        <v>2367</v>
      </c>
      <c r="R149" s="364" t="s">
        <v>2370</v>
      </c>
      <c r="S149" s="364" t="s">
        <v>2372</v>
      </c>
      <c r="T149" s="364" t="s">
        <v>2373</v>
      </c>
      <c r="U149" s="364" t="s">
        <v>2374</v>
      </c>
      <c r="V149" s="364" t="s">
        <v>2324</v>
      </c>
      <c r="W149" s="364" t="s">
        <v>2327</v>
      </c>
      <c r="X149" s="364" t="s">
        <v>2378</v>
      </c>
      <c r="Y149" s="364" t="s">
        <v>2328</v>
      </c>
      <c r="Z149" s="364" t="s">
        <v>2329</v>
      </c>
      <c r="AA149" s="364" t="s">
        <v>2379</v>
      </c>
      <c r="AB149" s="364" t="s">
        <v>2506</v>
      </c>
      <c r="AC149" s="364" t="s">
        <v>2381</v>
      </c>
      <c r="AD149" s="364" t="s">
        <v>2627</v>
      </c>
      <c r="AE149" s="261" t="s">
        <v>183</v>
      </c>
      <c r="AF149" s="364" t="s">
        <v>2386</v>
      </c>
      <c r="AG149" s="364" t="s">
        <v>2337</v>
      </c>
      <c r="AH149" s="364" t="s">
        <v>2338</v>
      </c>
      <c r="AI149" s="364" t="s">
        <v>2339</v>
      </c>
      <c r="AJ149" s="364" t="s">
        <v>2340</v>
      </c>
      <c r="AK149" s="364" t="s">
        <v>2651</v>
      </c>
      <c r="AL149" s="364" t="s">
        <v>2341</v>
      </c>
      <c r="AM149" s="364" t="s">
        <v>2442</v>
      </c>
      <c r="AN149" s="364" t="s">
        <v>2472</v>
      </c>
      <c r="AO149" s="364" t="s">
        <v>2344</v>
      </c>
      <c r="AP149" s="364" t="s">
        <v>2345</v>
      </c>
      <c r="AQ149" s="364" t="s">
        <v>2571</v>
      </c>
      <c r="AR149" s="364" t="s">
        <v>2346</v>
      </c>
      <c r="AS149" s="364" t="s">
        <v>2500</v>
      </c>
      <c r="AT149" s="364" t="s">
        <v>2347</v>
      </c>
      <c r="AU149" s="364" t="s">
        <v>2398</v>
      </c>
      <c r="AV149" s="364"/>
      <c r="AW149" s="364"/>
      <c r="AX149" s="364"/>
      <c r="AY149" s="364"/>
      <c r="AZ149" s="364"/>
      <c r="BA149" s="364"/>
      <c r="BB149" s="364"/>
      <c r="BC149" s="364"/>
      <c r="BD149" s="364"/>
      <c r="BE149" s="364"/>
      <c r="BF149" s="364"/>
      <c r="BG149" s="364"/>
      <c r="BH149" s="364"/>
      <c r="BI149" s="364"/>
      <c r="BJ149" s="364"/>
      <c r="BK149" s="364"/>
      <c r="BL149" s="364"/>
      <c r="BM149" s="364"/>
      <c r="BN149" s="364"/>
      <c r="BO149" s="364"/>
      <c r="BP149" s="364"/>
      <c r="BQ149" s="364"/>
      <c r="BR149" s="364"/>
      <c r="BS149" s="364"/>
      <c r="BT149" s="364"/>
      <c r="BU149" s="364"/>
      <c r="BV149" s="364"/>
      <c r="BW149" s="364"/>
      <c r="BX149" s="364"/>
      <c r="BY149" s="364"/>
      <c r="BZ149" s="364"/>
      <c r="CA149" s="364"/>
      <c r="CB149" s="364"/>
      <c r="CC149" s="364"/>
      <c r="CD149" s="364"/>
      <c r="CE149" s="364"/>
      <c r="CF149" s="364"/>
      <c r="CG149" s="364"/>
      <c r="CH149" s="364"/>
      <c r="CI149" s="364"/>
      <c r="CJ149" s="364"/>
      <c r="CK149" s="364"/>
      <c r="CL149" s="364"/>
      <c r="CM149" s="364"/>
      <c r="CN149" s="364"/>
      <c r="CO149" s="364"/>
      <c r="CP149" s="364"/>
      <c r="CQ149" s="364"/>
      <c r="CR149" s="364"/>
      <c r="CS149" s="364"/>
      <c r="CT149" s="364"/>
      <c r="CU149" s="364"/>
      <c r="CV149" s="364"/>
      <c r="CW149" s="364"/>
      <c r="CX149" s="364"/>
      <c r="CY149" s="364"/>
      <c r="CZ149" s="364"/>
      <c r="DA149" s="364"/>
      <c r="DB149" s="364"/>
      <c r="DC149" s="364"/>
      <c r="DD149" s="364"/>
      <c r="DE149" s="364"/>
      <c r="DF149" s="364"/>
      <c r="DG149" s="364"/>
      <c r="DH149" s="364"/>
      <c r="DI149" s="364"/>
      <c r="DJ149" s="364"/>
      <c r="DK149" s="364"/>
      <c r="DL149" s="364"/>
      <c r="DM149" s="364"/>
      <c r="DN149" s="364"/>
      <c r="DO149" s="364"/>
      <c r="DP149" s="364"/>
      <c r="DQ149" s="364"/>
      <c r="DR149" s="364"/>
      <c r="DS149" s="364"/>
      <c r="DT149" s="364"/>
      <c r="DU149" s="364"/>
      <c r="DV149" s="364"/>
      <c r="DW149" s="364"/>
      <c r="DX149" s="364"/>
      <c r="DY149" s="364"/>
      <c r="DZ149" s="364"/>
      <c r="EA149" s="364"/>
      <c r="EB149" s="364"/>
      <c r="EC149" s="364"/>
      <c r="ED149" s="364"/>
      <c r="EE149" s="364"/>
      <c r="EF149" s="364"/>
      <c r="EG149" s="364"/>
      <c r="EH149" s="364"/>
      <c r="EI149" s="364"/>
      <c r="EJ149" s="364"/>
      <c r="EK149" s="364"/>
      <c r="EL149" s="364"/>
      <c r="EM149" s="364"/>
      <c r="EN149" s="364"/>
      <c r="EO149" s="364"/>
      <c r="EP149" s="364"/>
      <c r="EQ149" s="364"/>
      <c r="ER149" s="364"/>
      <c r="ES149" s="364"/>
      <c r="ET149" s="364"/>
      <c r="EU149" s="364"/>
      <c r="EV149" s="364"/>
      <c r="EW149" s="364"/>
      <c r="EX149" s="364"/>
      <c r="EY149" s="364"/>
      <c r="EZ149" s="364"/>
      <c r="FA149" s="364"/>
      <c r="FB149" s="364"/>
      <c r="FC149" s="364"/>
      <c r="FD149" s="364"/>
      <c r="FE149" s="364"/>
      <c r="FF149" s="364"/>
      <c r="FG149" s="364"/>
      <c r="FH149" s="364"/>
      <c r="FI149" s="364"/>
      <c r="FJ149" s="364"/>
      <c r="FK149" s="364"/>
    </row>
    <row r="150" customFormat="false" ht="15.75" hidden="false" customHeight="false" outlineLevel="0" collapsed="false">
      <c r="A150" s="364" t="n">
        <v>283</v>
      </c>
      <c r="B150" s="364" t="n">
        <f aca="false">COUNTA(D150:FK150)</f>
        <v>46</v>
      </c>
      <c r="C150" s="364" t="s">
        <v>862</v>
      </c>
      <c r="D150" s="364" t="s">
        <v>2354</v>
      </c>
      <c r="E150" s="364" t="s">
        <v>2581</v>
      </c>
      <c r="F150" s="364" t="s">
        <v>2403</v>
      </c>
      <c r="G150" s="364" t="s">
        <v>2404</v>
      </c>
      <c r="H150" s="364" t="s">
        <v>2405</v>
      </c>
      <c r="I150" s="364" t="s">
        <v>2312</v>
      </c>
      <c r="J150" s="364" t="s">
        <v>2406</v>
      </c>
      <c r="K150" s="364" t="s">
        <v>2408</v>
      </c>
      <c r="L150" s="364" t="s">
        <v>2313</v>
      </c>
      <c r="M150" s="364" t="s">
        <v>2315</v>
      </c>
      <c r="N150" s="364" t="s">
        <v>2358</v>
      </c>
      <c r="O150" s="364" t="s">
        <v>2410</v>
      </c>
      <c r="P150" s="364" t="s">
        <v>2316</v>
      </c>
      <c r="Q150" s="364" t="s">
        <v>2632</v>
      </c>
      <c r="R150" s="364" t="s">
        <v>2547</v>
      </c>
      <c r="S150" s="364" t="s">
        <v>2320</v>
      </c>
      <c r="T150" s="364" t="s">
        <v>2324</v>
      </c>
      <c r="U150" s="364" t="s">
        <v>2437</v>
      </c>
      <c r="V150" s="364" t="s">
        <v>2327</v>
      </c>
      <c r="W150" s="364" t="s">
        <v>2328</v>
      </c>
      <c r="X150" s="364" t="s">
        <v>2414</v>
      </c>
      <c r="Y150" s="364" t="s">
        <v>2329</v>
      </c>
      <c r="Z150" s="364" t="s">
        <v>2415</v>
      </c>
      <c r="AA150" s="364" t="s">
        <v>2485</v>
      </c>
      <c r="AB150" s="364" t="s">
        <v>2417</v>
      </c>
      <c r="AC150" s="364" t="s">
        <v>2506</v>
      </c>
      <c r="AD150" s="364" t="s">
        <v>2381</v>
      </c>
      <c r="AE150" s="364" t="s">
        <v>2596</v>
      </c>
      <c r="AF150" s="261" t="s">
        <v>183</v>
      </c>
      <c r="AG150" s="364" t="s">
        <v>2385</v>
      </c>
      <c r="AH150" s="364" t="s">
        <v>2337</v>
      </c>
      <c r="AI150" s="364" t="s">
        <v>2338</v>
      </c>
      <c r="AJ150" s="364" t="s">
        <v>2339</v>
      </c>
      <c r="AK150" s="364" t="s">
        <v>2340</v>
      </c>
      <c r="AL150" s="364" t="s">
        <v>2421</v>
      </c>
      <c r="AM150" s="364" t="s">
        <v>2341</v>
      </c>
      <c r="AN150" s="364" t="s">
        <v>2442</v>
      </c>
      <c r="AO150" s="364" t="s">
        <v>2422</v>
      </c>
      <c r="AP150" s="364" t="s">
        <v>2472</v>
      </c>
      <c r="AQ150" s="364" t="s">
        <v>2344</v>
      </c>
      <c r="AR150" s="364" t="s">
        <v>2424</v>
      </c>
      <c r="AS150" s="364" t="s">
        <v>2398</v>
      </c>
      <c r="AT150" s="364" t="s">
        <v>2425</v>
      </c>
      <c r="AU150" s="364" t="s">
        <v>2426</v>
      </c>
      <c r="AV150" s="364" t="s">
        <v>2428</v>
      </c>
      <c r="AW150" s="364" t="s">
        <v>2429</v>
      </c>
      <c r="AX150" s="364"/>
      <c r="AY150" s="364"/>
      <c r="AZ150" s="364"/>
      <c r="BA150" s="364"/>
      <c r="BB150" s="364"/>
      <c r="BC150" s="364"/>
      <c r="BD150" s="364"/>
      <c r="BE150" s="364"/>
      <c r="BF150" s="364"/>
      <c r="BG150" s="364"/>
      <c r="BH150" s="364"/>
      <c r="BI150" s="364"/>
      <c r="BJ150" s="364"/>
      <c r="BK150" s="364"/>
      <c r="BL150" s="364"/>
      <c r="BM150" s="364"/>
      <c r="BN150" s="364"/>
      <c r="BO150" s="364"/>
      <c r="BP150" s="364"/>
      <c r="BQ150" s="364"/>
      <c r="BR150" s="364"/>
      <c r="BS150" s="364"/>
      <c r="BT150" s="364"/>
      <c r="BU150" s="364"/>
      <c r="BV150" s="364"/>
      <c r="BW150" s="364"/>
      <c r="BX150" s="364"/>
      <c r="BY150" s="364"/>
      <c r="BZ150" s="364"/>
      <c r="CA150" s="364"/>
      <c r="CB150" s="364"/>
      <c r="CC150" s="364"/>
      <c r="CD150" s="364"/>
      <c r="CE150" s="364"/>
      <c r="CF150" s="364"/>
      <c r="CG150" s="364"/>
      <c r="CH150" s="364"/>
      <c r="CI150" s="364"/>
      <c r="CJ150" s="364"/>
      <c r="CK150" s="364"/>
      <c r="CL150" s="364"/>
      <c r="CM150" s="364"/>
      <c r="CN150" s="364"/>
      <c r="CO150" s="364"/>
      <c r="CP150" s="364"/>
      <c r="CQ150" s="364"/>
      <c r="CR150" s="364"/>
      <c r="CS150" s="364"/>
      <c r="CT150" s="364"/>
      <c r="CU150" s="364"/>
      <c r="CV150" s="364"/>
      <c r="CW150" s="364"/>
      <c r="CX150" s="364"/>
      <c r="CY150" s="364"/>
      <c r="CZ150" s="364"/>
      <c r="DA150" s="364"/>
      <c r="DB150" s="364"/>
      <c r="DC150" s="364"/>
      <c r="DD150" s="364"/>
      <c r="DE150" s="364"/>
      <c r="DF150" s="364"/>
      <c r="DG150" s="364"/>
      <c r="DH150" s="364"/>
      <c r="DI150" s="364"/>
      <c r="DJ150" s="364"/>
      <c r="DK150" s="364"/>
      <c r="DL150" s="364"/>
      <c r="DM150" s="364"/>
      <c r="DN150" s="364"/>
      <c r="DO150" s="364"/>
      <c r="DP150" s="364"/>
      <c r="DQ150" s="364"/>
      <c r="DR150" s="364"/>
      <c r="DS150" s="364"/>
      <c r="DT150" s="364"/>
      <c r="DU150" s="364"/>
      <c r="DV150" s="364"/>
      <c r="DW150" s="364"/>
      <c r="DX150" s="364"/>
      <c r="DY150" s="364"/>
      <c r="DZ150" s="364"/>
      <c r="EA150" s="364"/>
      <c r="EB150" s="364"/>
      <c r="EC150" s="364"/>
      <c r="ED150" s="364"/>
      <c r="EE150" s="364"/>
      <c r="EF150" s="364"/>
      <c r="EG150" s="364"/>
      <c r="EH150" s="364"/>
      <c r="EI150" s="364"/>
      <c r="EJ150" s="364"/>
      <c r="EK150" s="364"/>
      <c r="EL150" s="364"/>
      <c r="EM150" s="364"/>
      <c r="EN150" s="364"/>
      <c r="EO150" s="364"/>
      <c r="EP150" s="364"/>
      <c r="EQ150" s="364"/>
      <c r="ER150" s="364"/>
      <c r="ES150" s="364"/>
      <c r="ET150" s="364"/>
      <c r="EU150" s="364"/>
      <c r="EV150" s="364"/>
      <c r="EW150" s="364"/>
      <c r="EX150" s="364"/>
      <c r="EY150" s="364"/>
      <c r="EZ150" s="364"/>
      <c r="FA150" s="364"/>
      <c r="FB150" s="364"/>
      <c r="FC150" s="364"/>
      <c r="FD150" s="364"/>
      <c r="FE150" s="364"/>
      <c r="FF150" s="364"/>
      <c r="FG150" s="364"/>
      <c r="FH150" s="364"/>
      <c r="FI150" s="364"/>
      <c r="FJ150" s="364"/>
      <c r="FK150" s="364"/>
    </row>
    <row r="151" customFormat="false" ht="15.75" hidden="false" customHeight="false" outlineLevel="0" collapsed="false">
      <c r="A151" s="364" t="n">
        <v>286</v>
      </c>
      <c r="B151" s="364" t="n">
        <f aca="false">COUNTA(D151:FK151)</f>
        <v>77</v>
      </c>
      <c r="C151" s="364" t="s">
        <v>867</v>
      </c>
      <c r="D151" s="364" t="s">
        <v>2352</v>
      </c>
      <c r="E151" s="364" t="s">
        <v>2561</v>
      </c>
      <c r="F151" s="364" t="s">
        <v>2402</v>
      </c>
      <c r="G151" s="364" t="s">
        <v>2403</v>
      </c>
      <c r="H151" s="364" t="s">
        <v>2404</v>
      </c>
      <c r="I151" s="364" t="s">
        <v>2405</v>
      </c>
      <c r="J151" s="364" t="s">
        <v>2312</v>
      </c>
      <c r="K151" s="364" t="s">
        <v>2356</v>
      </c>
      <c r="L151" s="364" t="s">
        <v>2357</v>
      </c>
      <c r="M151" s="364" t="s">
        <v>2313</v>
      </c>
      <c r="N151" s="364" t="s">
        <v>2509</v>
      </c>
      <c r="O151" s="364" t="s">
        <v>138</v>
      </c>
      <c r="P151" s="364" t="s">
        <v>2466</v>
      </c>
      <c r="Q151" s="364" t="s">
        <v>2315</v>
      </c>
      <c r="R151" s="364" t="s">
        <v>2409</v>
      </c>
      <c r="S151" s="364" t="s">
        <v>2358</v>
      </c>
      <c r="T151" s="364" t="s">
        <v>2316</v>
      </c>
      <c r="U151" s="364" t="s">
        <v>2359</v>
      </c>
      <c r="V151" s="364" t="s">
        <v>2360</v>
      </c>
      <c r="W151" s="364" t="s">
        <v>2361</v>
      </c>
      <c r="X151" s="364" t="s">
        <v>2363</v>
      </c>
      <c r="Y151" s="364" t="s">
        <v>2364</v>
      </c>
      <c r="Z151" s="364" t="s">
        <v>2497</v>
      </c>
      <c r="AA151" s="364" t="s">
        <v>2317</v>
      </c>
      <c r="AB151" s="364" t="s">
        <v>2320</v>
      </c>
      <c r="AC151" s="364" t="s">
        <v>2366</v>
      </c>
      <c r="AD151" s="364" t="s">
        <v>2367</v>
      </c>
      <c r="AE151" s="364" t="s">
        <v>2369</v>
      </c>
      <c r="AF151" s="364" t="s">
        <v>2373</v>
      </c>
      <c r="AG151" s="364" t="s">
        <v>2376</v>
      </c>
      <c r="AH151" s="364" t="s">
        <v>2377</v>
      </c>
      <c r="AI151" s="364" t="s">
        <v>2523</v>
      </c>
      <c r="AJ151" s="364" t="s">
        <v>2322</v>
      </c>
      <c r="AK151" s="364" t="s">
        <v>2324</v>
      </c>
      <c r="AL151" s="364" t="s">
        <v>2327</v>
      </c>
      <c r="AM151" s="364" t="s">
        <v>2328</v>
      </c>
      <c r="AN151" s="364" t="s">
        <v>2329</v>
      </c>
      <c r="AO151" s="364" t="s">
        <v>2415</v>
      </c>
      <c r="AP151" s="364" t="s">
        <v>2485</v>
      </c>
      <c r="AQ151" s="364" t="s">
        <v>2416</v>
      </c>
      <c r="AR151" s="364" t="s">
        <v>2379</v>
      </c>
      <c r="AS151" s="364" t="s">
        <v>2506</v>
      </c>
      <c r="AT151" s="364" t="s">
        <v>2381</v>
      </c>
      <c r="AU151" s="364" t="s">
        <v>2539</v>
      </c>
      <c r="AV151" s="364" t="s">
        <v>2382</v>
      </c>
      <c r="AW151" s="364" t="s">
        <v>2383</v>
      </c>
      <c r="AX151" s="261" t="s">
        <v>183</v>
      </c>
      <c r="AY151" s="364" t="s">
        <v>2332</v>
      </c>
      <c r="AZ151" s="364" t="s">
        <v>2452</v>
      </c>
      <c r="BA151" s="364" t="s">
        <v>2387</v>
      </c>
      <c r="BB151" s="364" t="s">
        <v>2337</v>
      </c>
      <c r="BC151" s="364" t="s">
        <v>2469</v>
      </c>
      <c r="BD151" s="364" t="s">
        <v>2338</v>
      </c>
      <c r="BE151" s="364" t="s">
        <v>2388</v>
      </c>
      <c r="BF151" s="364" t="s">
        <v>2339</v>
      </c>
      <c r="BG151" s="364" t="s">
        <v>2389</v>
      </c>
      <c r="BH151" s="364" t="s">
        <v>2340</v>
      </c>
      <c r="BI151" s="364" t="s">
        <v>2341</v>
      </c>
      <c r="BJ151" s="364" t="s">
        <v>2391</v>
      </c>
      <c r="BK151" s="364" t="s">
        <v>2392</v>
      </c>
      <c r="BL151" s="364" t="s">
        <v>2470</v>
      </c>
      <c r="BM151" s="364" t="s">
        <v>2423</v>
      </c>
      <c r="BN151" s="364" t="s">
        <v>2472</v>
      </c>
      <c r="BO151" s="364" t="s">
        <v>2344</v>
      </c>
      <c r="BP151" s="364" t="s">
        <v>2346</v>
      </c>
      <c r="BQ151" s="364" t="s">
        <v>2500</v>
      </c>
      <c r="BR151" s="364" t="s">
        <v>2347</v>
      </c>
      <c r="BS151" s="364" t="s">
        <v>2511</v>
      </c>
      <c r="BT151" s="364" t="s">
        <v>2424</v>
      </c>
      <c r="BU151" s="364" t="s">
        <v>2515</v>
      </c>
      <c r="BV151" s="364" t="s">
        <v>2475</v>
      </c>
      <c r="BW151" s="364" t="s">
        <v>2476</v>
      </c>
      <c r="BX151" s="364" t="s">
        <v>2488</v>
      </c>
      <c r="BY151" s="364" t="s">
        <v>2399</v>
      </c>
      <c r="BZ151" s="364" t="s">
        <v>2463</v>
      </c>
      <c r="CA151" s="364" t="s">
        <v>2428</v>
      </c>
      <c r="CB151" s="364" t="s">
        <v>2429</v>
      </c>
      <c r="CC151" s="364"/>
      <c r="CD151" s="364"/>
      <c r="CE151" s="364"/>
      <c r="CF151" s="364"/>
      <c r="CG151" s="364"/>
      <c r="CH151" s="364"/>
      <c r="CI151" s="364"/>
      <c r="CJ151" s="364"/>
      <c r="CK151" s="364"/>
      <c r="CL151" s="364"/>
      <c r="CM151" s="364"/>
      <c r="CN151" s="364"/>
      <c r="CO151" s="364"/>
      <c r="CP151" s="364"/>
      <c r="CQ151" s="364"/>
      <c r="CR151" s="364"/>
      <c r="CS151" s="364"/>
      <c r="CT151" s="364"/>
      <c r="CU151" s="364"/>
      <c r="CV151" s="364"/>
      <c r="CW151" s="364"/>
      <c r="CX151" s="364"/>
      <c r="CY151" s="364"/>
      <c r="CZ151" s="364"/>
      <c r="DA151" s="364"/>
      <c r="DB151" s="364"/>
      <c r="DC151" s="364"/>
      <c r="DD151" s="364"/>
      <c r="DE151" s="364"/>
      <c r="DF151" s="364"/>
      <c r="DG151" s="364"/>
      <c r="DH151" s="364"/>
      <c r="DI151" s="364"/>
      <c r="DJ151" s="364"/>
      <c r="DK151" s="364"/>
      <c r="DL151" s="364"/>
      <c r="DM151" s="364"/>
      <c r="DN151" s="364"/>
      <c r="DO151" s="364"/>
      <c r="DP151" s="364"/>
      <c r="DQ151" s="364"/>
      <c r="DR151" s="364"/>
      <c r="DS151" s="364"/>
      <c r="DT151" s="364"/>
      <c r="DU151" s="364"/>
      <c r="DV151" s="364"/>
      <c r="DW151" s="364"/>
      <c r="DX151" s="364"/>
      <c r="DY151" s="364"/>
      <c r="DZ151" s="364"/>
      <c r="EA151" s="364"/>
      <c r="EB151" s="364"/>
      <c r="EC151" s="364"/>
      <c r="ED151" s="364"/>
      <c r="EE151" s="364"/>
      <c r="EF151" s="364"/>
      <c r="EG151" s="364"/>
      <c r="EH151" s="364"/>
      <c r="EI151" s="364"/>
      <c r="EJ151" s="364"/>
      <c r="EK151" s="364"/>
      <c r="EL151" s="364"/>
      <c r="EM151" s="364"/>
      <c r="EN151" s="364"/>
      <c r="EO151" s="364"/>
      <c r="EP151" s="364"/>
      <c r="EQ151" s="364"/>
      <c r="ER151" s="364"/>
      <c r="ES151" s="364"/>
      <c r="ET151" s="364"/>
      <c r="EU151" s="364"/>
      <c r="EV151" s="364"/>
      <c r="EW151" s="364"/>
      <c r="EX151" s="364"/>
      <c r="EY151" s="364"/>
      <c r="EZ151" s="364"/>
      <c r="FA151" s="364"/>
      <c r="FB151" s="364"/>
      <c r="FC151" s="364"/>
      <c r="FD151" s="364"/>
      <c r="FE151" s="364"/>
      <c r="FF151" s="364"/>
      <c r="FG151" s="364"/>
      <c r="FH151" s="364"/>
      <c r="FI151" s="364"/>
      <c r="FJ151" s="364"/>
      <c r="FK151" s="364"/>
    </row>
    <row r="152" customFormat="false" ht="15.75" hidden="false" customHeight="false" outlineLevel="0" collapsed="false">
      <c r="A152" s="364" t="n">
        <v>288</v>
      </c>
      <c r="B152" s="364" t="n">
        <f aca="false">COUNTA(D152:FK152)</f>
        <v>65</v>
      </c>
      <c r="C152" s="364" t="s">
        <v>872</v>
      </c>
      <c r="D152" s="364" t="s">
        <v>2352</v>
      </c>
      <c r="E152" s="364" t="s">
        <v>2652</v>
      </c>
      <c r="F152" s="364" t="s">
        <v>2353</v>
      </c>
      <c r="G152" s="364" t="s">
        <v>2561</v>
      </c>
      <c r="H152" s="364" t="s">
        <v>2402</v>
      </c>
      <c r="I152" s="364" t="s">
        <v>2403</v>
      </c>
      <c r="J152" s="364" t="s">
        <v>2405</v>
      </c>
      <c r="K152" s="364" t="s">
        <v>2312</v>
      </c>
      <c r="L152" s="364" t="s">
        <v>2406</v>
      </c>
      <c r="M152" s="364" t="s">
        <v>2313</v>
      </c>
      <c r="N152" s="364" t="s">
        <v>2464</v>
      </c>
      <c r="O152" s="364" t="s">
        <v>2410</v>
      </c>
      <c r="P152" s="364" t="s">
        <v>2316</v>
      </c>
      <c r="Q152" s="364" t="s">
        <v>2359</v>
      </c>
      <c r="R152" s="364" t="s">
        <v>2361</v>
      </c>
      <c r="S152" s="364" t="s">
        <v>2634</v>
      </c>
      <c r="T152" s="364" t="s">
        <v>2363</v>
      </c>
      <c r="U152" s="364" t="s">
        <v>2435</v>
      </c>
      <c r="V152" s="364" t="s">
        <v>2497</v>
      </c>
      <c r="W152" s="364" t="s">
        <v>2317</v>
      </c>
      <c r="X152" s="364" t="s">
        <v>2318</v>
      </c>
      <c r="Y152" s="364" t="s">
        <v>2632</v>
      </c>
      <c r="Z152" s="364" t="s">
        <v>2320</v>
      </c>
      <c r="AA152" s="364" t="s">
        <v>2375</v>
      </c>
      <c r="AB152" s="364" t="s">
        <v>2550</v>
      </c>
      <c r="AC152" s="364" t="s">
        <v>2323</v>
      </c>
      <c r="AD152" s="364" t="s">
        <v>2324</v>
      </c>
      <c r="AE152" s="364" t="s">
        <v>2437</v>
      </c>
      <c r="AF152" s="364" t="s">
        <v>2327</v>
      </c>
      <c r="AG152" s="364" t="s">
        <v>2328</v>
      </c>
      <c r="AH152" s="364" t="s">
        <v>2414</v>
      </c>
      <c r="AI152" s="364" t="s">
        <v>2329</v>
      </c>
      <c r="AJ152" s="364" t="s">
        <v>2521</v>
      </c>
      <c r="AK152" s="364" t="s">
        <v>2415</v>
      </c>
      <c r="AL152" s="364" t="s">
        <v>2417</v>
      </c>
      <c r="AM152" s="364" t="s">
        <v>2506</v>
      </c>
      <c r="AN152" s="364" t="s">
        <v>2381</v>
      </c>
      <c r="AO152" s="261" t="s">
        <v>183</v>
      </c>
      <c r="AP152" s="364" t="s">
        <v>2385</v>
      </c>
      <c r="AQ152" s="364" t="s">
        <v>157</v>
      </c>
      <c r="AR152" s="364" t="s">
        <v>2653</v>
      </c>
      <c r="AS152" s="364" t="s">
        <v>2495</v>
      </c>
      <c r="AT152" s="364" t="s">
        <v>2337</v>
      </c>
      <c r="AU152" s="364" t="s">
        <v>2339</v>
      </c>
      <c r="AV152" s="364" t="s">
        <v>2340</v>
      </c>
      <c r="AW152" s="364" t="s">
        <v>2341</v>
      </c>
      <c r="AX152" s="364" t="s">
        <v>2442</v>
      </c>
      <c r="AY152" s="364" t="s">
        <v>2470</v>
      </c>
      <c r="AZ152" s="364" t="s">
        <v>2422</v>
      </c>
      <c r="BA152" s="364" t="s">
        <v>2462</v>
      </c>
      <c r="BB152" s="364" t="s">
        <v>2394</v>
      </c>
      <c r="BC152" s="364" t="s">
        <v>2344</v>
      </c>
      <c r="BD152" s="364" t="s">
        <v>2396</v>
      </c>
      <c r="BE152" s="364" t="s">
        <v>2347</v>
      </c>
      <c r="BF152" s="364" t="s">
        <v>2424</v>
      </c>
      <c r="BG152" s="364" t="s">
        <v>2398</v>
      </c>
      <c r="BH152" s="364" t="s">
        <v>2475</v>
      </c>
      <c r="BI152" s="364" t="s">
        <v>2476</v>
      </c>
      <c r="BJ152" s="364" t="s">
        <v>2400</v>
      </c>
      <c r="BK152" s="364" t="s">
        <v>2425</v>
      </c>
      <c r="BL152" s="364" t="s">
        <v>2428</v>
      </c>
      <c r="BM152" s="364" t="s">
        <v>2650</v>
      </c>
      <c r="BN152" s="364" t="s">
        <v>2429</v>
      </c>
      <c r="BO152" s="364" t="s">
        <v>2493</v>
      </c>
      <c r="BP152" s="364" t="s">
        <v>2430</v>
      </c>
      <c r="BQ152" s="364"/>
      <c r="BR152" s="364"/>
      <c r="BS152" s="364"/>
      <c r="BT152" s="364"/>
      <c r="BU152" s="364"/>
      <c r="BV152" s="364"/>
      <c r="BW152" s="364"/>
      <c r="BX152" s="364"/>
      <c r="BY152" s="364"/>
      <c r="BZ152" s="364"/>
      <c r="CA152" s="364"/>
      <c r="CB152" s="364"/>
      <c r="CC152" s="364"/>
      <c r="CD152" s="364"/>
      <c r="CE152" s="364"/>
      <c r="CF152" s="364"/>
      <c r="CG152" s="364"/>
      <c r="CH152" s="364"/>
      <c r="CI152" s="364"/>
      <c r="CJ152" s="364"/>
      <c r="CK152" s="364"/>
      <c r="CL152" s="364"/>
      <c r="CM152" s="364"/>
      <c r="CN152" s="364"/>
      <c r="CO152" s="364"/>
      <c r="CP152" s="364"/>
      <c r="CQ152" s="364"/>
      <c r="CR152" s="364"/>
      <c r="CS152" s="364"/>
      <c r="CT152" s="364"/>
      <c r="CU152" s="364"/>
      <c r="CV152" s="364"/>
      <c r="CW152" s="364"/>
      <c r="CX152" s="364"/>
      <c r="CY152" s="364"/>
      <c r="CZ152" s="364"/>
      <c r="DA152" s="364"/>
      <c r="DB152" s="364"/>
      <c r="DC152" s="364"/>
      <c r="DD152" s="364"/>
      <c r="DE152" s="364"/>
      <c r="DF152" s="364"/>
      <c r="DG152" s="364"/>
      <c r="DH152" s="364"/>
      <c r="DI152" s="364"/>
      <c r="DJ152" s="364"/>
      <c r="DK152" s="364"/>
      <c r="DL152" s="364"/>
      <c r="DM152" s="364"/>
      <c r="DN152" s="364"/>
      <c r="DO152" s="364"/>
      <c r="DP152" s="364"/>
      <c r="DQ152" s="364"/>
      <c r="DR152" s="364"/>
      <c r="DS152" s="364"/>
      <c r="DT152" s="364"/>
      <c r="DU152" s="364"/>
      <c r="DV152" s="364"/>
      <c r="DW152" s="364"/>
      <c r="DX152" s="364"/>
      <c r="DY152" s="364"/>
      <c r="DZ152" s="364"/>
      <c r="EA152" s="364"/>
      <c r="EB152" s="364"/>
      <c r="EC152" s="364"/>
      <c r="ED152" s="364"/>
      <c r="EE152" s="364"/>
      <c r="EF152" s="364"/>
      <c r="EG152" s="364"/>
      <c r="EH152" s="364"/>
      <c r="EI152" s="364"/>
      <c r="EJ152" s="364"/>
      <c r="EK152" s="364"/>
      <c r="EL152" s="364"/>
      <c r="EM152" s="364"/>
      <c r="EN152" s="364"/>
      <c r="EO152" s="364"/>
      <c r="EP152" s="364"/>
      <c r="EQ152" s="364"/>
      <c r="ER152" s="364"/>
      <c r="ES152" s="364"/>
      <c r="ET152" s="364"/>
      <c r="EU152" s="364"/>
      <c r="EV152" s="364"/>
      <c r="EW152" s="364"/>
      <c r="EX152" s="364"/>
      <c r="EY152" s="364"/>
      <c r="EZ152" s="364"/>
      <c r="FA152" s="364"/>
      <c r="FB152" s="364"/>
      <c r="FC152" s="364"/>
      <c r="FD152" s="364"/>
      <c r="FE152" s="364"/>
      <c r="FF152" s="364"/>
      <c r="FG152" s="364"/>
      <c r="FH152" s="364"/>
      <c r="FI152" s="364"/>
      <c r="FJ152" s="364"/>
      <c r="FK152" s="364"/>
    </row>
    <row r="153" customFormat="false" ht="15.75" hidden="false" customHeight="false" outlineLevel="0" collapsed="false">
      <c r="A153" s="364" t="n">
        <v>289</v>
      </c>
      <c r="B153" s="364" t="n">
        <f aca="false">COUNTA(D153:FK153)</f>
        <v>55</v>
      </c>
      <c r="C153" s="364" t="s">
        <v>874</v>
      </c>
      <c r="D153" s="364" t="s">
        <v>2352</v>
      </c>
      <c r="E153" s="364" t="s">
        <v>2353</v>
      </c>
      <c r="F153" s="364" t="s">
        <v>2561</v>
      </c>
      <c r="G153" s="364" t="s">
        <v>2577</v>
      </c>
      <c r="H153" s="364" t="s">
        <v>2313</v>
      </c>
      <c r="I153" s="364" t="s">
        <v>2633</v>
      </c>
      <c r="J153" s="364" t="s">
        <v>2464</v>
      </c>
      <c r="K153" s="364" t="s">
        <v>2316</v>
      </c>
      <c r="L153" s="364" t="s">
        <v>2359</v>
      </c>
      <c r="M153" s="364" t="s">
        <v>2435</v>
      </c>
      <c r="N153" s="364" t="s">
        <v>2497</v>
      </c>
      <c r="O153" s="364" t="s">
        <v>2317</v>
      </c>
      <c r="P153" s="364" t="s">
        <v>2318</v>
      </c>
      <c r="Q153" s="364" t="s">
        <v>2632</v>
      </c>
      <c r="R153" s="364" t="s">
        <v>2320</v>
      </c>
      <c r="S153" s="364" t="s">
        <v>2366</v>
      </c>
      <c r="T153" s="364" t="s">
        <v>2372</v>
      </c>
      <c r="U153" s="364" t="s">
        <v>2373</v>
      </c>
      <c r="V153" s="364" t="s">
        <v>2375</v>
      </c>
      <c r="W153" s="364" t="s">
        <v>2550</v>
      </c>
      <c r="X153" s="364" t="s">
        <v>2323</v>
      </c>
      <c r="Y153" s="364" t="s">
        <v>2324</v>
      </c>
      <c r="Z153" s="364" t="s">
        <v>2437</v>
      </c>
      <c r="AA153" s="364" t="s">
        <v>2378</v>
      </c>
      <c r="AB153" s="364" t="s">
        <v>2328</v>
      </c>
      <c r="AC153" s="364" t="s">
        <v>2329</v>
      </c>
      <c r="AD153" s="364" t="s">
        <v>2521</v>
      </c>
      <c r="AE153" s="364" t="s">
        <v>2379</v>
      </c>
      <c r="AF153" s="364" t="s">
        <v>2506</v>
      </c>
      <c r="AG153" s="261" t="s">
        <v>183</v>
      </c>
      <c r="AH153" s="364" t="s">
        <v>2385</v>
      </c>
      <c r="AI153" s="364" t="s">
        <v>2386</v>
      </c>
      <c r="AJ153" s="364" t="s">
        <v>2460</v>
      </c>
      <c r="AK153" s="364" t="s">
        <v>157</v>
      </c>
      <c r="AL153" s="364" t="s">
        <v>2337</v>
      </c>
      <c r="AM153" s="364" t="s">
        <v>2339</v>
      </c>
      <c r="AN153" s="364" t="s">
        <v>2340</v>
      </c>
      <c r="AO153" s="364" t="s">
        <v>2651</v>
      </c>
      <c r="AP153" s="364" t="s">
        <v>2341</v>
      </c>
      <c r="AQ153" s="364" t="s">
        <v>2442</v>
      </c>
      <c r="AR153" s="364" t="s">
        <v>2470</v>
      </c>
      <c r="AS153" s="364" t="s">
        <v>2422</v>
      </c>
      <c r="AT153" s="364" t="s">
        <v>2462</v>
      </c>
      <c r="AU153" s="364" t="s">
        <v>2394</v>
      </c>
      <c r="AV153" s="364" t="s">
        <v>2344</v>
      </c>
      <c r="AW153" s="364" t="s">
        <v>2345</v>
      </c>
      <c r="AX153" s="364" t="s">
        <v>2396</v>
      </c>
      <c r="AY153" s="364" t="s">
        <v>2347</v>
      </c>
      <c r="AZ153" s="364" t="s">
        <v>2398</v>
      </c>
      <c r="BA153" s="364" t="s">
        <v>2475</v>
      </c>
      <c r="BB153" s="364" t="s">
        <v>2476</v>
      </c>
      <c r="BC153" s="364" t="s">
        <v>2400</v>
      </c>
      <c r="BD153" s="364" t="s">
        <v>2650</v>
      </c>
      <c r="BE153" s="364" t="s">
        <v>2493</v>
      </c>
      <c r="BF153" s="364" t="s">
        <v>2430</v>
      </c>
      <c r="BG153" s="364"/>
      <c r="BH153" s="364"/>
      <c r="BI153" s="364"/>
      <c r="BJ153" s="364"/>
      <c r="BK153" s="364"/>
      <c r="BL153" s="364"/>
      <c r="BM153" s="364"/>
      <c r="BN153" s="364"/>
      <c r="BO153" s="364"/>
      <c r="BP153" s="364"/>
      <c r="BQ153" s="364"/>
      <c r="BR153" s="364"/>
      <c r="BS153" s="364"/>
      <c r="BT153" s="364"/>
      <c r="BU153" s="364"/>
      <c r="BV153" s="364"/>
      <c r="BW153" s="364"/>
      <c r="BX153" s="364"/>
      <c r="BY153" s="364"/>
      <c r="BZ153" s="364"/>
      <c r="CA153" s="364"/>
      <c r="CB153" s="364"/>
      <c r="CC153" s="364"/>
      <c r="CD153" s="364"/>
      <c r="CE153" s="364"/>
      <c r="CF153" s="364"/>
      <c r="CG153" s="364"/>
      <c r="CH153" s="364"/>
      <c r="CI153" s="364"/>
      <c r="CJ153" s="364"/>
      <c r="CK153" s="364"/>
      <c r="CL153" s="364"/>
      <c r="CM153" s="364"/>
      <c r="CN153" s="364"/>
      <c r="CO153" s="364"/>
      <c r="CP153" s="364"/>
      <c r="CQ153" s="364"/>
      <c r="CR153" s="364"/>
      <c r="CS153" s="364"/>
      <c r="CT153" s="364"/>
      <c r="CU153" s="364"/>
      <c r="CV153" s="364"/>
      <c r="CW153" s="364"/>
      <c r="CX153" s="364"/>
      <c r="CY153" s="364"/>
      <c r="CZ153" s="364"/>
      <c r="DA153" s="364"/>
      <c r="DB153" s="364"/>
      <c r="DC153" s="364"/>
      <c r="DD153" s="364"/>
      <c r="DE153" s="364"/>
      <c r="DF153" s="364"/>
      <c r="DG153" s="364"/>
      <c r="DH153" s="364"/>
      <c r="DI153" s="364"/>
      <c r="DJ153" s="364"/>
      <c r="DK153" s="364"/>
      <c r="DL153" s="364"/>
      <c r="DM153" s="364"/>
      <c r="DN153" s="364"/>
      <c r="DO153" s="364"/>
      <c r="DP153" s="364"/>
      <c r="DQ153" s="364"/>
      <c r="DR153" s="364"/>
      <c r="DS153" s="364"/>
      <c r="DT153" s="364"/>
      <c r="DU153" s="364"/>
      <c r="DV153" s="364"/>
      <c r="DW153" s="364"/>
      <c r="DX153" s="364"/>
      <c r="DY153" s="364"/>
      <c r="DZ153" s="364"/>
      <c r="EA153" s="364"/>
      <c r="EB153" s="364"/>
      <c r="EC153" s="364"/>
      <c r="ED153" s="364"/>
      <c r="EE153" s="364"/>
      <c r="EF153" s="364"/>
      <c r="EG153" s="364"/>
      <c r="EH153" s="364"/>
      <c r="EI153" s="364"/>
      <c r="EJ153" s="364"/>
      <c r="EK153" s="364"/>
      <c r="EL153" s="364"/>
      <c r="EM153" s="364"/>
      <c r="EN153" s="364"/>
      <c r="EO153" s="364"/>
      <c r="EP153" s="364"/>
      <c r="EQ153" s="364"/>
      <c r="ER153" s="364"/>
      <c r="ES153" s="364"/>
      <c r="ET153" s="364"/>
      <c r="EU153" s="364"/>
      <c r="EV153" s="364"/>
      <c r="EW153" s="364"/>
      <c r="EX153" s="364"/>
      <c r="EY153" s="364"/>
      <c r="EZ153" s="364"/>
      <c r="FA153" s="364"/>
      <c r="FB153" s="364"/>
      <c r="FC153" s="364"/>
      <c r="FD153" s="364"/>
      <c r="FE153" s="364"/>
      <c r="FF153" s="364"/>
      <c r="FG153" s="364"/>
      <c r="FH153" s="364"/>
      <c r="FI153" s="364"/>
      <c r="FJ153" s="364"/>
      <c r="FK153" s="364"/>
    </row>
    <row r="154" customFormat="false" ht="15.75" hidden="false" customHeight="false" outlineLevel="0" collapsed="false">
      <c r="A154" s="364" t="n">
        <v>290</v>
      </c>
      <c r="B154" s="364" t="n">
        <f aca="false">COUNTA(D154:FK154)</f>
        <v>40</v>
      </c>
      <c r="C154" s="364" t="s">
        <v>877</v>
      </c>
      <c r="D154" s="364" t="s">
        <v>2352</v>
      </c>
      <c r="E154" s="364" t="s">
        <v>2561</v>
      </c>
      <c r="F154" s="364" t="s">
        <v>2464</v>
      </c>
      <c r="G154" s="364" t="s">
        <v>2434</v>
      </c>
      <c r="H154" s="364" t="s">
        <v>2315</v>
      </c>
      <c r="I154" s="364" t="s">
        <v>2517</v>
      </c>
      <c r="J154" s="364" t="s">
        <v>2316</v>
      </c>
      <c r="K154" s="364" t="s">
        <v>2435</v>
      </c>
      <c r="L154" s="364" t="s">
        <v>2497</v>
      </c>
      <c r="M154" s="364" t="s">
        <v>2318</v>
      </c>
      <c r="N154" s="364" t="s">
        <v>2319</v>
      </c>
      <c r="O154" s="364" t="s">
        <v>2320</v>
      </c>
      <c r="P154" s="364" t="s">
        <v>2550</v>
      </c>
      <c r="Q154" s="364" t="s">
        <v>2323</v>
      </c>
      <c r="R154" s="364" t="s">
        <v>2324</v>
      </c>
      <c r="S154" s="364" t="s">
        <v>2325</v>
      </c>
      <c r="T154" s="364" t="s">
        <v>2328</v>
      </c>
      <c r="U154" s="364" t="s">
        <v>2654</v>
      </c>
      <c r="V154" s="364" t="s">
        <v>2329</v>
      </c>
      <c r="W154" s="364" t="s">
        <v>2468</v>
      </c>
      <c r="X154" s="364" t="s">
        <v>2557</v>
      </c>
      <c r="Y154" s="364" t="s">
        <v>2623</v>
      </c>
      <c r="Z154" s="261" t="s">
        <v>183</v>
      </c>
      <c r="AA154" s="364" t="s">
        <v>157</v>
      </c>
      <c r="AB154" s="364" t="s">
        <v>2337</v>
      </c>
      <c r="AC154" s="364" t="s">
        <v>2340</v>
      </c>
      <c r="AD154" s="364" t="s">
        <v>2341</v>
      </c>
      <c r="AE154" s="364" t="s">
        <v>2342</v>
      </c>
      <c r="AF154" s="364" t="s">
        <v>2442</v>
      </c>
      <c r="AG154" s="364" t="s">
        <v>2470</v>
      </c>
      <c r="AH154" s="364" t="s">
        <v>2422</v>
      </c>
      <c r="AI154" s="364" t="s">
        <v>2443</v>
      </c>
      <c r="AJ154" s="364" t="s">
        <v>2344</v>
      </c>
      <c r="AK154" s="364" t="s">
        <v>2345</v>
      </c>
      <c r="AL154" s="364" t="s">
        <v>2473</v>
      </c>
      <c r="AM154" s="364" t="s">
        <v>2398</v>
      </c>
      <c r="AN154" s="364" t="s">
        <v>2463</v>
      </c>
      <c r="AO154" s="364" t="s">
        <v>2446</v>
      </c>
      <c r="AP154" s="364" t="s">
        <v>2428</v>
      </c>
      <c r="AQ154" s="364" t="s">
        <v>2430</v>
      </c>
      <c r="AR154" s="364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/>
      <c r="BD154" s="364"/>
      <c r="BE154" s="364"/>
      <c r="BF154" s="364"/>
      <c r="BG154" s="364"/>
      <c r="BH154" s="364"/>
      <c r="BI154" s="364"/>
      <c r="BJ154" s="364"/>
      <c r="BK154" s="364"/>
      <c r="BL154" s="364"/>
      <c r="BM154" s="364"/>
      <c r="BN154" s="364"/>
      <c r="BO154" s="364"/>
      <c r="BP154" s="364"/>
      <c r="BQ154" s="364"/>
      <c r="BR154" s="364"/>
      <c r="BS154" s="364"/>
      <c r="BT154" s="364"/>
      <c r="BU154" s="364"/>
      <c r="BV154" s="364"/>
      <c r="BW154" s="364"/>
      <c r="BX154" s="364"/>
      <c r="BY154" s="364"/>
      <c r="BZ154" s="364"/>
      <c r="CA154" s="364"/>
      <c r="CB154" s="364"/>
      <c r="CC154" s="364"/>
      <c r="CD154" s="364"/>
      <c r="CE154" s="364"/>
      <c r="CF154" s="364"/>
      <c r="CG154" s="364"/>
      <c r="CH154" s="364"/>
      <c r="CI154" s="364"/>
      <c r="CJ154" s="364"/>
      <c r="CK154" s="364"/>
      <c r="CL154" s="364"/>
      <c r="CM154" s="364"/>
      <c r="CN154" s="364"/>
      <c r="CO154" s="364"/>
      <c r="CP154" s="364"/>
      <c r="CQ154" s="364"/>
      <c r="CR154" s="364"/>
      <c r="CS154" s="364"/>
      <c r="CT154" s="364"/>
      <c r="CU154" s="364"/>
      <c r="CV154" s="364"/>
      <c r="CW154" s="364"/>
      <c r="CX154" s="364"/>
      <c r="CY154" s="364"/>
      <c r="CZ154" s="364"/>
      <c r="DA154" s="364"/>
      <c r="DB154" s="364"/>
      <c r="DC154" s="364"/>
      <c r="DD154" s="364"/>
      <c r="DE154" s="364"/>
      <c r="DF154" s="364"/>
      <c r="DG154" s="364"/>
      <c r="DH154" s="364"/>
      <c r="DI154" s="364"/>
      <c r="DJ154" s="364"/>
      <c r="DK154" s="364"/>
      <c r="DL154" s="364"/>
      <c r="DM154" s="364"/>
      <c r="DN154" s="364"/>
      <c r="DO154" s="364"/>
      <c r="DP154" s="364"/>
      <c r="DQ154" s="364"/>
      <c r="DR154" s="364"/>
      <c r="DS154" s="364"/>
      <c r="DT154" s="364"/>
      <c r="DU154" s="364"/>
      <c r="DV154" s="364"/>
      <c r="DW154" s="364"/>
      <c r="DX154" s="364"/>
      <c r="DY154" s="364"/>
      <c r="DZ154" s="364"/>
      <c r="EA154" s="364"/>
      <c r="EB154" s="364"/>
      <c r="EC154" s="364"/>
      <c r="ED154" s="364"/>
      <c r="EE154" s="364"/>
      <c r="EF154" s="364"/>
      <c r="EG154" s="364"/>
      <c r="EH154" s="364"/>
      <c r="EI154" s="364"/>
      <c r="EJ154" s="364"/>
      <c r="EK154" s="364"/>
      <c r="EL154" s="364"/>
      <c r="EM154" s="364"/>
      <c r="EN154" s="364"/>
      <c r="EO154" s="364"/>
      <c r="EP154" s="364"/>
      <c r="EQ154" s="364"/>
      <c r="ER154" s="364"/>
      <c r="ES154" s="364"/>
      <c r="ET154" s="364"/>
      <c r="EU154" s="364"/>
      <c r="EV154" s="364"/>
      <c r="EW154" s="364"/>
      <c r="EX154" s="364"/>
      <c r="EY154" s="364"/>
      <c r="EZ154" s="364"/>
      <c r="FA154" s="364"/>
      <c r="FB154" s="364"/>
      <c r="FC154" s="364"/>
      <c r="FD154" s="364"/>
      <c r="FE154" s="364"/>
      <c r="FF154" s="364"/>
      <c r="FG154" s="364"/>
      <c r="FH154" s="364"/>
      <c r="FI154" s="364"/>
      <c r="FJ154" s="364"/>
      <c r="FK154" s="364"/>
    </row>
    <row r="155" customFormat="false" ht="15.75" hidden="false" customHeight="false" outlineLevel="0" collapsed="false">
      <c r="A155" s="364" t="n">
        <v>293</v>
      </c>
      <c r="B155" s="364" t="n">
        <f aca="false">COUNTA(D155:FK155)</f>
        <v>65</v>
      </c>
      <c r="C155" s="364" t="s">
        <v>884</v>
      </c>
      <c r="D155" s="364" t="s">
        <v>2527</v>
      </c>
      <c r="E155" s="364" t="s">
        <v>2431</v>
      </c>
      <c r="F155" s="364" t="s">
        <v>2352</v>
      </c>
      <c r="G155" s="364" t="s">
        <v>2312</v>
      </c>
      <c r="H155" s="364" t="s">
        <v>2356</v>
      </c>
      <c r="I155" s="364" t="s">
        <v>2357</v>
      </c>
      <c r="J155" s="364" t="s">
        <v>2313</v>
      </c>
      <c r="K155" s="364" t="s">
        <v>2314</v>
      </c>
      <c r="L155" s="364" t="s">
        <v>138</v>
      </c>
      <c r="M155" s="364" t="s">
        <v>2315</v>
      </c>
      <c r="N155" s="364" t="s">
        <v>2358</v>
      </c>
      <c r="O155" s="364" t="s">
        <v>2316</v>
      </c>
      <c r="P155" s="364" t="s">
        <v>2360</v>
      </c>
      <c r="Q155" s="364" t="s">
        <v>2361</v>
      </c>
      <c r="R155" s="364" t="s">
        <v>2520</v>
      </c>
      <c r="S155" s="364" t="s">
        <v>2543</v>
      </c>
      <c r="T155" s="364" t="s">
        <v>2364</v>
      </c>
      <c r="U155" s="364" t="s">
        <v>2317</v>
      </c>
      <c r="V155" s="364" t="s">
        <v>2448</v>
      </c>
      <c r="W155" s="364" t="s">
        <v>2319</v>
      </c>
      <c r="X155" s="364" t="s">
        <v>2320</v>
      </c>
      <c r="Y155" s="364" t="s">
        <v>2449</v>
      </c>
      <c r="Z155" s="364" t="s">
        <v>2376</v>
      </c>
      <c r="AA155" s="364" t="s">
        <v>2377</v>
      </c>
      <c r="AB155" s="364" t="s">
        <v>2321</v>
      </c>
      <c r="AC155" s="364" t="s">
        <v>2322</v>
      </c>
      <c r="AD155" s="364" t="s">
        <v>2323</v>
      </c>
      <c r="AE155" s="364" t="s">
        <v>2324</v>
      </c>
      <c r="AF155" s="364" t="s">
        <v>2325</v>
      </c>
      <c r="AG155" s="364" t="s">
        <v>2326</v>
      </c>
      <c r="AH155" s="364" t="s">
        <v>2327</v>
      </c>
      <c r="AI155" s="364" t="s">
        <v>2328</v>
      </c>
      <c r="AJ155" s="364" t="s">
        <v>2329</v>
      </c>
      <c r="AK155" s="364" t="s">
        <v>2381</v>
      </c>
      <c r="AL155" s="364" t="s">
        <v>2556</v>
      </c>
      <c r="AM155" s="364" t="s">
        <v>2557</v>
      </c>
      <c r="AN155" s="364" t="s">
        <v>2539</v>
      </c>
      <c r="AO155" s="364" t="s">
        <v>2540</v>
      </c>
      <c r="AP155" s="364" t="s">
        <v>2331</v>
      </c>
      <c r="AQ155" s="364" t="s">
        <v>2382</v>
      </c>
      <c r="AR155" s="364" t="s">
        <v>2383</v>
      </c>
      <c r="AS155" s="261" t="s">
        <v>183</v>
      </c>
      <c r="AT155" s="364" t="s">
        <v>2531</v>
      </c>
      <c r="AU155" s="364" t="s">
        <v>2332</v>
      </c>
      <c r="AV155" s="364" t="s">
        <v>2582</v>
      </c>
      <c r="AW155" s="364" t="s">
        <v>2387</v>
      </c>
      <c r="AX155" s="364" t="s">
        <v>2455</v>
      </c>
      <c r="AY155" s="364" t="s">
        <v>2461</v>
      </c>
      <c r="AZ155" s="364" t="s">
        <v>2337</v>
      </c>
      <c r="BA155" s="364" t="s">
        <v>2338</v>
      </c>
      <c r="BB155" s="364" t="s">
        <v>2388</v>
      </c>
      <c r="BC155" s="364" t="s">
        <v>2339</v>
      </c>
      <c r="BD155" s="364" t="s">
        <v>2389</v>
      </c>
      <c r="BE155" s="364" t="s">
        <v>2340</v>
      </c>
      <c r="BF155" s="364" t="s">
        <v>2341</v>
      </c>
      <c r="BG155" s="364" t="s">
        <v>2342</v>
      </c>
      <c r="BH155" s="364" t="s">
        <v>2391</v>
      </c>
      <c r="BI155" s="364" t="s">
        <v>2591</v>
      </c>
      <c r="BJ155" s="364" t="s">
        <v>2344</v>
      </c>
      <c r="BK155" s="364" t="s">
        <v>2345</v>
      </c>
      <c r="BL155" s="364" t="s">
        <v>2347</v>
      </c>
      <c r="BM155" s="364" t="s">
        <v>2398</v>
      </c>
      <c r="BN155" s="364" t="s">
        <v>2456</v>
      </c>
      <c r="BO155" s="364" t="s">
        <v>2399</v>
      </c>
      <c r="BP155" s="364" t="s">
        <v>2458</v>
      </c>
      <c r="BQ155" s="364"/>
      <c r="BR155" s="364"/>
      <c r="BS155" s="364"/>
      <c r="BT155" s="364"/>
      <c r="BU155" s="364"/>
      <c r="BV155" s="364"/>
      <c r="BW155" s="364"/>
      <c r="BX155" s="364"/>
      <c r="BY155" s="364"/>
      <c r="BZ155" s="364"/>
      <c r="CA155" s="364"/>
      <c r="CB155" s="364"/>
      <c r="CC155" s="364"/>
      <c r="CD155" s="364"/>
      <c r="CE155" s="364"/>
      <c r="CF155" s="364"/>
      <c r="CG155" s="364"/>
      <c r="CH155" s="364"/>
      <c r="CI155" s="364"/>
      <c r="CJ155" s="364"/>
      <c r="CK155" s="364"/>
      <c r="CL155" s="364"/>
      <c r="CM155" s="364"/>
      <c r="CN155" s="364"/>
      <c r="CO155" s="364"/>
      <c r="CP155" s="364"/>
      <c r="CQ155" s="364"/>
      <c r="CR155" s="364"/>
      <c r="CS155" s="364"/>
      <c r="CT155" s="364"/>
      <c r="CU155" s="364"/>
      <c r="CV155" s="364"/>
      <c r="CW155" s="364"/>
      <c r="CX155" s="364"/>
      <c r="CY155" s="364"/>
      <c r="CZ155" s="364"/>
      <c r="DA155" s="364"/>
      <c r="DB155" s="364"/>
      <c r="DC155" s="364"/>
      <c r="DD155" s="364"/>
      <c r="DE155" s="364"/>
      <c r="DF155" s="364"/>
      <c r="DG155" s="364"/>
      <c r="DH155" s="364"/>
      <c r="DI155" s="364"/>
      <c r="DJ155" s="364"/>
      <c r="DK155" s="364"/>
      <c r="DL155" s="364"/>
      <c r="DM155" s="364"/>
      <c r="DN155" s="364"/>
      <c r="DO155" s="364"/>
      <c r="DP155" s="364"/>
      <c r="DQ155" s="364"/>
      <c r="DR155" s="364"/>
      <c r="DS155" s="364"/>
      <c r="DT155" s="364"/>
      <c r="DU155" s="364"/>
      <c r="DV155" s="364"/>
      <c r="DW155" s="364"/>
      <c r="DX155" s="364"/>
      <c r="DY155" s="364"/>
      <c r="DZ155" s="364"/>
      <c r="EA155" s="364"/>
      <c r="EB155" s="364"/>
      <c r="EC155" s="364"/>
      <c r="ED155" s="364"/>
      <c r="EE155" s="364"/>
      <c r="EF155" s="364"/>
      <c r="EG155" s="364"/>
      <c r="EH155" s="364"/>
      <c r="EI155" s="364"/>
      <c r="EJ155" s="364"/>
      <c r="EK155" s="364"/>
      <c r="EL155" s="364"/>
      <c r="EM155" s="364"/>
      <c r="EN155" s="364"/>
      <c r="EO155" s="364"/>
      <c r="EP155" s="364"/>
      <c r="EQ155" s="364"/>
      <c r="ER155" s="364"/>
      <c r="ES155" s="364"/>
      <c r="ET155" s="364"/>
      <c r="EU155" s="364"/>
      <c r="EV155" s="364"/>
      <c r="EW155" s="364"/>
      <c r="EX155" s="364"/>
      <c r="EY155" s="364"/>
      <c r="EZ155" s="364"/>
      <c r="FA155" s="364"/>
      <c r="FB155" s="364"/>
      <c r="FC155" s="364"/>
      <c r="FD155" s="364"/>
      <c r="FE155" s="364"/>
      <c r="FF155" s="364"/>
      <c r="FG155" s="364"/>
      <c r="FH155" s="364"/>
      <c r="FI155" s="364"/>
      <c r="FJ155" s="364"/>
      <c r="FK155" s="364"/>
    </row>
    <row r="156" customFormat="false" ht="15.75" hidden="false" customHeight="false" outlineLevel="0" collapsed="false">
      <c r="A156" s="364" t="n">
        <v>297</v>
      </c>
      <c r="B156" s="364" t="n">
        <f aca="false">COUNTA(D156:FK156)</f>
        <v>68</v>
      </c>
      <c r="C156" s="364" t="s">
        <v>894</v>
      </c>
      <c r="D156" s="364" t="s">
        <v>2431</v>
      </c>
      <c r="E156" s="364" t="s">
        <v>2352</v>
      </c>
      <c r="F156" s="364" t="s">
        <v>2355</v>
      </c>
      <c r="G156" s="364" t="s">
        <v>2608</v>
      </c>
      <c r="H156" s="364" t="s">
        <v>2312</v>
      </c>
      <c r="I156" s="364" t="s">
        <v>2516</v>
      </c>
      <c r="J156" s="364" t="s">
        <v>2577</v>
      </c>
      <c r="K156" s="364" t="s">
        <v>2356</v>
      </c>
      <c r="L156" s="364" t="s">
        <v>2313</v>
      </c>
      <c r="M156" s="364" t="s">
        <v>138</v>
      </c>
      <c r="N156" s="364" t="s">
        <v>2315</v>
      </c>
      <c r="O156" s="364" t="s">
        <v>2358</v>
      </c>
      <c r="P156" s="364" t="s">
        <v>2316</v>
      </c>
      <c r="Q156" s="364" t="s">
        <v>2510</v>
      </c>
      <c r="R156" s="364" t="s">
        <v>2543</v>
      </c>
      <c r="S156" s="364" t="s">
        <v>2364</v>
      </c>
      <c r="T156" s="364" t="s">
        <v>2317</v>
      </c>
      <c r="U156" s="364" t="s">
        <v>2318</v>
      </c>
      <c r="V156" s="364" t="s">
        <v>2365</v>
      </c>
      <c r="W156" s="364" t="s">
        <v>2320</v>
      </c>
      <c r="X156" s="364" t="s">
        <v>2366</v>
      </c>
      <c r="Y156" s="364" t="s">
        <v>2368</v>
      </c>
      <c r="Z156" s="364" t="s">
        <v>2369</v>
      </c>
      <c r="AA156" s="364" t="s">
        <v>2372</v>
      </c>
      <c r="AB156" s="364" t="s">
        <v>2373</v>
      </c>
      <c r="AC156" s="364" t="s">
        <v>2374</v>
      </c>
      <c r="AD156" s="364" t="s">
        <v>2376</v>
      </c>
      <c r="AE156" s="364" t="s">
        <v>2377</v>
      </c>
      <c r="AF156" s="364" t="s">
        <v>2322</v>
      </c>
      <c r="AG156" s="364" t="s">
        <v>2324</v>
      </c>
      <c r="AH156" s="364" t="s">
        <v>2327</v>
      </c>
      <c r="AI156" s="364" t="s">
        <v>2378</v>
      </c>
      <c r="AJ156" s="364" t="s">
        <v>2328</v>
      </c>
      <c r="AK156" s="364" t="s">
        <v>2609</v>
      </c>
      <c r="AL156" s="364" t="s">
        <v>2329</v>
      </c>
      <c r="AM156" s="364" t="s">
        <v>2379</v>
      </c>
      <c r="AN156" s="364" t="s">
        <v>2330</v>
      </c>
      <c r="AO156" s="364" t="s">
        <v>2468</v>
      </c>
      <c r="AP156" s="364" t="s">
        <v>2539</v>
      </c>
      <c r="AQ156" s="364" t="s">
        <v>2540</v>
      </c>
      <c r="AR156" s="364" t="s">
        <v>2382</v>
      </c>
      <c r="AS156" s="364" t="s">
        <v>2383</v>
      </c>
      <c r="AT156" s="261" t="s">
        <v>183</v>
      </c>
      <c r="AU156" s="364" t="s">
        <v>2386</v>
      </c>
      <c r="AV156" s="364" t="s">
        <v>2480</v>
      </c>
      <c r="AW156" s="364" t="s">
        <v>2454</v>
      </c>
      <c r="AX156" s="364" t="s">
        <v>2387</v>
      </c>
      <c r="AY156" s="364" t="s">
        <v>2461</v>
      </c>
      <c r="AZ156" s="364" t="s">
        <v>2337</v>
      </c>
      <c r="BA156" s="364" t="s">
        <v>2338</v>
      </c>
      <c r="BB156" s="364" t="s">
        <v>2388</v>
      </c>
      <c r="BC156" s="364" t="s">
        <v>2339</v>
      </c>
      <c r="BD156" s="364" t="s">
        <v>2389</v>
      </c>
      <c r="BE156" s="364" t="s">
        <v>2340</v>
      </c>
      <c r="BF156" s="364" t="s">
        <v>2390</v>
      </c>
      <c r="BG156" s="364" t="s">
        <v>2341</v>
      </c>
      <c r="BH156" s="364" t="s">
        <v>2391</v>
      </c>
      <c r="BI156" s="364" t="s">
        <v>2392</v>
      </c>
      <c r="BJ156" s="364" t="s">
        <v>2613</v>
      </c>
      <c r="BK156" s="364" t="s">
        <v>2395</v>
      </c>
      <c r="BL156" s="364" t="s">
        <v>2344</v>
      </c>
      <c r="BM156" s="364" t="s">
        <v>2345</v>
      </c>
      <c r="BN156" s="364" t="s">
        <v>2500</v>
      </c>
      <c r="BO156" s="364" t="s">
        <v>2347</v>
      </c>
      <c r="BP156" s="364" t="s">
        <v>2511</v>
      </c>
      <c r="BQ156" s="364" t="s">
        <v>2398</v>
      </c>
      <c r="BR156" s="364" t="s">
        <v>2399</v>
      </c>
      <c r="BS156" s="364" t="s">
        <v>2546</v>
      </c>
      <c r="BT156" s="364"/>
      <c r="BU156" s="364"/>
      <c r="BV156" s="364"/>
      <c r="BW156" s="364"/>
      <c r="BX156" s="364"/>
      <c r="BY156" s="364"/>
      <c r="BZ156" s="364"/>
      <c r="CA156" s="364"/>
      <c r="CB156" s="364"/>
      <c r="CC156" s="364"/>
      <c r="CD156" s="364"/>
      <c r="CE156" s="364"/>
      <c r="CF156" s="364"/>
      <c r="CG156" s="364"/>
      <c r="CH156" s="364"/>
      <c r="CI156" s="364"/>
      <c r="CJ156" s="364"/>
      <c r="CK156" s="364"/>
      <c r="CL156" s="364"/>
      <c r="CM156" s="364"/>
      <c r="CN156" s="364"/>
      <c r="CO156" s="364"/>
      <c r="CP156" s="364"/>
      <c r="CQ156" s="364"/>
      <c r="CR156" s="364"/>
      <c r="CS156" s="364"/>
      <c r="CT156" s="364"/>
      <c r="CU156" s="364"/>
      <c r="CV156" s="364"/>
      <c r="CW156" s="364"/>
      <c r="CX156" s="364"/>
      <c r="CY156" s="364"/>
      <c r="CZ156" s="364"/>
      <c r="DA156" s="364"/>
      <c r="DB156" s="364"/>
      <c r="DC156" s="364"/>
      <c r="DD156" s="364"/>
      <c r="DE156" s="364"/>
      <c r="DF156" s="364"/>
      <c r="DG156" s="364"/>
      <c r="DH156" s="364"/>
      <c r="DI156" s="364"/>
      <c r="DJ156" s="364"/>
      <c r="DK156" s="364"/>
      <c r="DL156" s="364"/>
      <c r="DM156" s="364"/>
      <c r="DN156" s="364"/>
      <c r="DO156" s="364"/>
      <c r="DP156" s="364"/>
      <c r="DQ156" s="364"/>
      <c r="DR156" s="364"/>
      <c r="DS156" s="364"/>
      <c r="DT156" s="364"/>
      <c r="DU156" s="364"/>
      <c r="DV156" s="364"/>
      <c r="DW156" s="364"/>
      <c r="DX156" s="364"/>
      <c r="DY156" s="364"/>
      <c r="DZ156" s="364"/>
      <c r="EA156" s="364"/>
      <c r="EB156" s="364"/>
      <c r="EC156" s="364"/>
      <c r="ED156" s="364"/>
      <c r="EE156" s="364"/>
      <c r="EF156" s="364"/>
      <c r="EG156" s="364"/>
      <c r="EH156" s="364"/>
      <c r="EI156" s="364"/>
      <c r="EJ156" s="364"/>
      <c r="EK156" s="364"/>
      <c r="EL156" s="364"/>
      <c r="EM156" s="364"/>
      <c r="EN156" s="364"/>
      <c r="EO156" s="364"/>
      <c r="EP156" s="364"/>
      <c r="EQ156" s="364"/>
      <c r="ER156" s="364"/>
      <c r="ES156" s="364"/>
      <c r="ET156" s="364"/>
      <c r="EU156" s="364"/>
      <c r="EV156" s="364"/>
      <c r="EW156" s="364"/>
      <c r="EX156" s="364"/>
      <c r="EY156" s="364"/>
      <c r="EZ156" s="364"/>
      <c r="FA156" s="364"/>
      <c r="FB156" s="364"/>
      <c r="FC156" s="364"/>
      <c r="FD156" s="364"/>
      <c r="FE156" s="364"/>
      <c r="FF156" s="364"/>
      <c r="FG156" s="364"/>
      <c r="FH156" s="364"/>
      <c r="FI156" s="364"/>
      <c r="FJ156" s="364"/>
      <c r="FK156" s="364"/>
    </row>
    <row r="157" customFormat="false" ht="15.75" hidden="false" customHeight="false" outlineLevel="0" collapsed="false">
      <c r="A157" s="364" t="n">
        <v>301</v>
      </c>
      <c r="B157" s="364" t="n">
        <f aca="false">COUNTA(D157:FK157)</f>
        <v>65</v>
      </c>
      <c r="C157" s="364" t="s">
        <v>903</v>
      </c>
      <c r="D157" s="364" t="s">
        <v>2561</v>
      </c>
      <c r="E157" s="364" t="s">
        <v>2402</v>
      </c>
      <c r="F157" s="364" t="s">
        <v>2403</v>
      </c>
      <c r="G157" s="364" t="s">
        <v>2310</v>
      </c>
      <c r="H157" s="364" t="s">
        <v>2405</v>
      </c>
      <c r="I157" s="364" t="s">
        <v>2312</v>
      </c>
      <c r="J157" s="364" t="s">
        <v>2356</v>
      </c>
      <c r="K157" s="364" t="s">
        <v>2313</v>
      </c>
      <c r="L157" s="364" t="s">
        <v>138</v>
      </c>
      <c r="M157" s="364" t="s">
        <v>2358</v>
      </c>
      <c r="N157" s="364" t="s">
        <v>2410</v>
      </c>
      <c r="O157" s="364" t="s">
        <v>2316</v>
      </c>
      <c r="P157" s="364" t="s">
        <v>2364</v>
      </c>
      <c r="Q157" s="364" t="s">
        <v>2497</v>
      </c>
      <c r="R157" s="364" t="s">
        <v>2317</v>
      </c>
      <c r="S157" s="364" t="s">
        <v>2318</v>
      </c>
      <c r="T157" s="364" t="s">
        <v>2448</v>
      </c>
      <c r="U157" s="364" t="s">
        <v>2320</v>
      </c>
      <c r="V157" s="364" t="s">
        <v>2376</v>
      </c>
      <c r="W157" s="364" t="s">
        <v>2377</v>
      </c>
      <c r="X157" s="364" t="s">
        <v>2324</v>
      </c>
      <c r="Y157" s="364" t="s">
        <v>2614</v>
      </c>
      <c r="Z157" s="364" t="s">
        <v>2327</v>
      </c>
      <c r="AA157" s="364" t="s">
        <v>2328</v>
      </c>
      <c r="AB157" s="364" t="s">
        <v>2413</v>
      </c>
      <c r="AC157" s="364" t="s">
        <v>2414</v>
      </c>
      <c r="AD157" s="364" t="s">
        <v>2329</v>
      </c>
      <c r="AE157" s="364" t="s">
        <v>2415</v>
      </c>
      <c r="AF157" s="364" t="s">
        <v>2416</v>
      </c>
      <c r="AG157" s="364" t="s">
        <v>2417</v>
      </c>
      <c r="AH157" s="364" t="s">
        <v>2381</v>
      </c>
      <c r="AI157" s="364" t="s">
        <v>2539</v>
      </c>
      <c r="AJ157" s="364" t="s">
        <v>2382</v>
      </c>
      <c r="AK157" s="364" t="s">
        <v>2383</v>
      </c>
      <c r="AL157" s="364" t="s">
        <v>2486</v>
      </c>
      <c r="AM157" s="364" t="s">
        <v>2615</v>
      </c>
      <c r="AN157" s="364" t="s">
        <v>2594</v>
      </c>
      <c r="AO157" s="261" t="s">
        <v>183</v>
      </c>
      <c r="AP157" s="364" t="s">
        <v>2332</v>
      </c>
      <c r="AQ157" s="364" t="s">
        <v>2387</v>
      </c>
      <c r="AR157" s="364" t="s">
        <v>2337</v>
      </c>
      <c r="AS157" s="364" t="s">
        <v>2338</v>
      </c>
      <c r="AT157" s="364" t="s">
        <v>2388</v>
      </c>
      <c r="AU157" s="364" t="s">
        <v>2339</v>
      </c>
      <c r="AV157" s="364" t="s">
        <v>2389</v>
      </c>
      <c r="AW157" s="364" t="s">
        <v>2420</v>
      </c>
      <c r="AX157" s="364" t="s">
        <v>2340</v>
      </c>
      <c r="AY157" s="364" t="s">
        <v>2421</v>
      </c>
      <c r="AZ157" s="364" t="s">
        <v>2341</v>
      </c>
      <c r="BA157" s="364" t="s">
        <v>2391</v>
      </c>
      <c r="BB157" s="364" t="s">
        <v>2471</v>
      </c>
      <c r="BC157" s="364" t="s">
        <v>2344</v>
      </c>
      <c r="BD157" s="364" t="s">
        <v>2346</v>
      </c>
      <c r="BE157" s="364" t="s">
        <v>2500</v>
      </c>
      <c r="BF157" s="364" t="s">
        <v>2347</v>
      </c>
      <c r="BG157" s="364" t="s">
        <v>2511</v>
      </c>
      <c r="BH157" s="364" t="s">
        <v>2424</v>
      </c>
      <c r="BI157" s="364" t="s">
        <v>2348</v>
      </c>
      <c r="BJ157" s="364" t="s">
        <v>2349</v>
      </c>
      <c r="BK157" s="364" t="s">
        <v>2463</v>
      </c>
      <c r="BL157" s="364" t="s">
        <v>2425</v>
      </c>
      <c r="BM157" s="364" t="s">
        <v>2426</v>
      </c>
      <c r="BN157" s="364" t="s">
        <v>2427</v>
      </c>
      <c r="BO157" s="364" t="s">
        <v>2428</v>
      </c>
      <c r="BP157" s="364" t="s">
        <v>2429</v>
      </c>
      <c r="BQ157" s="364"/>
      <c r="BR157" s="364"/>
      <c r="BS157" s="364"/>
      <c r="BT157" s="364"/>
      <c r="BU157" s="364"/>
      <c r="BV157" s="364"/>
      <c r="BW157" s="364"/>
      <c r="BX157" s="364"/>
      <c r="BY157" s="364"/>
      <c r="BZ157" s="364"/>
      <c r="CA157" s="364"/>
      <c r="CB157" s="364"/>
      <c r="CC157" s="364"/>
      <c r="CD157" s="364"/>
      <c r="CE157" s="364"/>
      <c r="CF157" s="364"/>
      <c r="CG157" s="364"/>
      <c r="CH157" s="364"/>
      <c r="CI157" s="364"/>
      <c r="CJ157" s="364"/>
      <c r="CK157" s="364"/>
      <c r="CL157" s="364"/>
      <c r="CM157" s="364"/>
      <c r="CN157" s="364"/>
      <c r="CO157" s="364"/>
      <c r="CP157" s="364"/>
      <c r="CQ157" s="364"/>
      <c r="CR157" s="364"/>
      <c r="CS157" s="364"/>
      <c r="CT157" s="364"/>
      <c r="CU157" s="364"/>
      <c r="CV157" s="364"/>
      <c r="CW157" s="364"/>
      <c r="CX157" s="364"/>
      <c r="CY157" s="364"/>
      <c r="CZ157" s="364"/>
      <c r="DA157" s="364"/>
      <c r="DB157" s="364"/>
      <c r="DC157" s="364"/>
      <c r="DD157" s="364"/>
      <c r="DE157" s="364"/>
      <c r="DF157" s="364"/>
      <c r="DG157" s="364"/>
      <c r="DH157" s="364"/>
      <c r="DI157" s="364"/>
      <c r="DJ157" s="364"/>
      <c r="DK157" s="364"/>
      <c r="DL157" s="364"/>
      <c r="DM157" s="364"/>
      <c r="DN157" s="364"/>
      <c r="DO157" s="364"/>
      <c r="DP157" s="364"/>
      <c r="DQ157" s="364"/>
      <c r="DR157" s="364"/>
      <c r="DS157" s="364"/>
      <c r="DT157" s="364"/>
      <c r="DU157" s="364"/>
      <c r="DV157" s="364"/>
      <c r="DW157" s="364"/>
      <c r="DX157" s="364"/>
      <c r="DY157" s="364"/>
      <c r="DZ157" s="364"/>
      <c r="EA157" s="364"/>
      <c r="EB157" s="364"/>
      <c r="EC157" s="364"/>
      <c r="ED157" s="364"/>
      <c r="EE157" s="364"/>
      <c r="EF157" s="364"/>
      <c r="EG157" s="364"/>
      <c r="EH157" s="364"/>
      <c r="EI157" s="364"/>
      <c r="EJ157" s="364"/>
      <c r="EK157" s="364"/>
      <c r="EL157" s="364"/>
      <c r="EM157" s="364"/>
      <c r="EN157" s="364"/>
      <c r="EO157" s="364"/>
      <c r="EP157" s="364"/>
      <c r="EQ157" s="364"/>
      <c r="ER157" s="364"/>
      <c r="ES157" s="364"/>
      <c r="ET157" s="364"/>
      <c r="EU157" s="364"/>
      <c r="EV157" s="364"/>
      <c r="EW157" s="364"/>
      <c r="EX157" s="364"/>
      <c r="EY157" s="364"/>
      <c r="EZ157" s="364"/>
      <c r="FA157" s="364"/>
      <c r="FB157" s="364"/>
      <c r="FC157" s="364"/>
      <c r="FD157" s="364"/>
      <c r="FE157" s="364"/>
      <c r="FF157" s="364"/>
      <c r="FG157" s="364"/>
      <c r="FH157" s="364"/>
      <c r="FI157" s="364"/>
      <c r="FJ157" s="364"/>
      <c r="FK157" s="364"/>
    </row>
    <row r="158" customFormat="false" ht="15.75" hidden="false" customHeight="false" outlineLevel="0" collapsed="false">
      <c r="A158" s="364" t="n">
        <v>304</v>
      </c>
      <c r="B158" s="364" t="n">
        <f aca="false">COUNTA(D158:FK158)</f>
        <v>41</v>
      </c>
      <c r="C158" s="364" t="s">
        <v>910</v>
      </c>
      <c r="D158" s="364" t="s">
        <v>2447</v>
      </c>
      <c r="E158" s="364" t="s">
        <v>2404</v>
      </c>
      <c r="F158" s="364" t="s">
        <v>2312</v>
      </c>
      <c r="G158" s="364" t="s">
        <v>138</v>
      </c>
      <c r="H158" s="364" t="s">
        <v>2465</v>
      </c>
      <c r="I158" s="364" t="s">
        <v>2466</v>
      </c>
      <c r="J158" s="364" t="s">
        <v>2409</v>
      </c>
      <c r="K158" s="364" t="s">
        <v>2358</v>
      </c>
      <c r="L158" s="364" t="s">
        <v>2316</v>
      </c>
      <c r="M158" s="364" t="s">
        <v>2320</v>
      </c>
      <c r="N158" s="364" t="s">
        <v>2367</v>
      </c>
      <c r="O158" s="364" t="s">
        <v>2523</v>
      </c>
      <c r="P158" s="364" t="s">
        <v>2324</v>
      </c>
      <c r="Q158" s="364" t="s">
        <v>2327</v>
      </c>
      <c r="R158" s="364" t="s">
        <v>2328</v>
      </c>
      <c r="S158" s="364" t="s">
        <v>2329</v>
      </c>
      <c r="T158" s="364" t="s">
        <v>2521</v>
      </c>
      <c r="U158" s="364" t="s">
        <v>2485</v>
      </c>
      <c r="V158" s="364" t="s">
        <v>2379</v>
      </c>
      <c r="W158" s="364" t="s">
        <v>2381</v>
      </c>
      <c r="X158" s="261" t="s">
        <v>183</v>
      </c>
      <c r="Y158" s="364" t="s">
        <v>2452</v>
      </c>
      <c r="Z158" s="364" t="s">
        <v>2526</v>
      </c>
      <c r="AA158" s="364" t="s">
        <v>2337</v>
      </c>
      <c r="AB158" s="364" t="s">
        <v>2469</v>
      </c>
      <c r="AC158" s="364" t="s">
        <v>2339</v>
      </c>
      <c r="AD158" s="364" t="s">
        <v>2340</v>
      </c>
      <c r="AE158" s="364" t="s">
        <v>2341</v>
      </c>
      <c r="AF158" s="364" t="s">
        <v>2442</v>
      </c>
      <c r="AG158" s="364" t="s">
        <v>2472</v>
      </c>
      <c r="AH158" s="364" t="s">
        <v>2344</v>
      </c>
      <c r="AI158" s="364" t="s">
        <v>2347</v>
      </c>
      <c r="AJ158" s="364" t="s">
        <v>2473</v>
      </c>
      <c r="AK158" s="364" t="s">
        <v>2474</v>
      </c>
      <c r="AL158" s="364" t="s">
        <v>2348</v>
      </c>
      <c r="AM158" s="364" t="s">
        <v>2349</v>
      </c>
      <c r="AN158" s="364" t="s">
        <v>2445</v>
      </c>
      <c r="AO158" s="364" t="s">
        <v>2456</v>
      </c>
      <c r="AP158" s="364" t="s">
        <v>2488</v>
      </c>
      <c r="AQ158" s="364" t="s">
        <v>2463</v>
      </c>
      <c r="AR158" s="364" t="s">
        <v>2572</v>
      </c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4"/>
      <c r="BE158" s="364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4"/>
      <c r="BW158" s="364"/>
      <c r="BX158" s="364"/>
      <c r="BY158" s="364"/>
      <c r="BZ158" s="364"/>
      <c r="CA158" s="364"/>
      <c r="CB158" s="364"/>
      <c r="CC158" s="364"/>
      <c r="CD158" s="364"/>
      <c r="CE158" s="364"/>
      <c r="CF158" s="364"/>
      <c r="CG158" s="364"/>
      <c r="CH158" s="364"/>
      <c r="CI158" s="364"/>
      <c r="CJ158" s="364"/>
      <c r="CK158" s="364"/>
      <c r="CL158" s="364"/>
      <c r="CM158" s="364"/>
      <c r="CN158" s="364"/>
      <c r="CO158" s="364"/>
      <c r="CP158" s="364"/>
      <c r="CQ158" s="364"/>
      <c r="CR158" s="364"/>
      <c r="CS158" s="364"/>
      <c r="CT158" s="364"/>
      <c r="CU158" s="364"/>
      <c r="CV158" s="364"/>
      <c r="CW158" s="364"/>
      <c r="CX158" s="364"/>
      <c r="CY158" s="364"/>
      <c r="CZ158" s="364"/>
      <c r="DA158" s="364"/>
      <c r="DB158" s="364"/>
      <c r="DC158" s="364"/>
      <c r="DD158" s="364"/>
      <c r="DE158" s="364"/>
      <c r="DF158" s="364"/>
      <c r="DG158" s="364"/>
      <c r="DH158" s="364"/>
      <c r="DI158" s="364"/>
      <c r="DJ158" s="364"/>
      <c r="DK158" s="364"/>
      <c r="DL158" s="364"/>
      <c r="DM158" s="364"/>
      <c r="DN158" s="364"/>
      <c r="DO158" s="364"/>
      <c r="DP158" s="364"/>
      <c r="DQ158" s="364"/>
      <c r="DR158" s="364"/>
      <c r="DS158" s="364"/>
      <c r="DT158" s="364"/>
      <c r="DU158" s="364"/>
      <c r="DV158" s="364"/>
      <c r="DW158" s="364"/>
      <c r="DX158" s="364"/>
      <c r="DY158" s="364"/>
      <c r="DZ158" s="364"/>
      <c r="EA158" s="364"/>
      <c r="EB158" s="364"/>
      <c r="EC158" s="364"/>
      <c r="ED158" s="364"/>
      <c r="EE158" s="364"/>
      <c r="EF158" s="364"/>
      <c r="EG158" s="364"/>
      <c r="EH158" s="364"/>
      <c r="EI158" s="364"/>
      <c r="EJ158" s="364"/>
      <c r="EK158" s="364"/>
      <c r="EL158" s="364"/>
      <c r="EM158" s="364"/>
      <c r="EN158" s="364"/>
      <c r="EO158" s="364"/>
      <c r="EP158" s="364"/>
      <c r="EQ158" s="364"/>
      <c r="ER158" s="364"/>
      <c r="ES158" s="364"/>
      <c r="ET158" s="364"/>
      <c r="EU158" s="364"/>
      <c r="EV158" s="364"/>
      <c r="EW158" s="364"/>
      <c r="EX158" s="364"/>
      <c r="EY158" s="364"/>
      <c r="EZ158" s="364"/>
      <c r="FA158" s="364"/>
      <c r="FB158" s="364"/>
      <c r="FC158" s="364"/>
      <c r="FD158" s="364"/>
      <c r="FE158" s="364"/>
      <c r="FF158" s="364"/>
      <c r="FG158" s="364"/>
      <c r="FH158" s="364"/>
      <c r="FI158" s="364"/>
      <c r="FJ158" s="364"/>
      <c r="FK158" s="364"/>
    </row>
    <row r="159" customFormat="false" ht="15.75" hidden="false" customHeight="false" outlineLevel="0" collapsed="false">
      <c r="A159" s="364" t="n">
        <v>306</v>
      </c>
      <c r="B159" s="364" t="n">
        <f aca="false">COUNTA(D159:FK159)</f>
        <v>49</v>
      </c>
      <c r="C159" s="364" t="s">
        <v>914</v>
      </c>
      <c r="D159" s="364" t="s">
        <v>2405</v>
      </c>
      <c r="E159" s="364" t="s">
        <v>2312</v>
      </c>
      <c r="F159" s="364" t="s">
        <v>2464</v>
      </c>
      <c r="G159" s="364" t="s">
        <v>2465</v>
      </c>
      <c r="H159" s="364" t="s">
        <v>2315</v>
      </c>
      <c r="I159" s="364" t="s">
        <v>2358</v>
      </c>
      <c r="J159" s="364" t="s">
        <v>2316</v>
      </c>
      <c r="K159" s="364" t="s">
        <v>2318</v>
      </c>
      <c r="L159" s="364" t="s">
        <v>2547</v>
      </c>
      <c r="M159" s="364" t="s">
        <v>2320</v>
      </c>
      <c r="N159" s="364" t="s">
        <v>2322</v>
      </c>
      <c r="O159" s="364" t="s">
        <v>2498</v>
      </c>
      <c r="P159" s="364" t="s">
        <v>2324</v>
      </c>
      <c r="Q159" s="364" t="s">
        <v>2325</v>
      </c>
      <c r="R159" s="364" t="s">
        <v>2484</v>
      </c>
      <c r="S159" s="364" t="s">
        <v>2327</v>
      </c>
      <c r="T159" s="364" t="s">
        <v>2328</v>
      </c>
      <c r="U159" s="364" t="s">
        <v>2329</v>
      </c>
      <c r="V159" s="364" t="s">
        <v>2521</v>
      </c>
      <c r="W159" s="364" t="s">
        <v>2415</v>
      </c>
      <c r="X159" s="364" t="s">
        <v>2417</v>
      </c>
      <c r="Y159" s="364" t="s">
        <v>2381</v>
      </c>
      <c r="Z159" s="364" t="s">
        <v>2468</v>
      </c>
      <c r="AA159" s="261" t="s">
        <v>183</v>
      </c>
      <c r="AB159" s="364" t="s">
        <v>2526</v>
      </c>
      <c r="AC159" s="364" t="s">
        <v>2337</v>
      </c>
      <c r="AD159" s="364" t="s">
        <v>2469</v>
      </c>
      <c r="AE159" s="364" t="s">
        <v>2339</v>
      </c>
      <c r="AF159" s="364" t="s">
        <v>2420</v>
      </c>
      <c r="AG159" s="364" t="s">
        <v>2340</v>
      </c>
      <c r="AH159" s="364" t="s">
        <v>2341</v>
      </c>
      <c r="AI159" s="364" t="s">
        <v>2342</v>
      </c>
      <c r="AJ159" s="364" t="s">
        <v>2442</v>
      </c>
      <c r="AK159" s="364" t="s">
        <v>2392</v>
      </c>
      <c r="AL159" s="364" t="s">
        <v>2470</v>
      </c>
      <c r="AM159" s="364" t="s">
        <v>2395</v>
      </c>
      <c r="AN159" s="364" t="s">
        <v>2344</v>
      </c>
      <c r="AO159" s="364" t="s">
        <v>2346</v>
      </c>
      <c r="AP159" s="364" t="s">
        <v>2347</v>
      </c>
      <c r="AQ159" s="364" t="s">
        <v>2474</v>
      </c>
      <c r="AR159" s="364" t="s">
        <v>2424</v>
      </c>
      <c r="AS159" s="364" t="s">
        <v>2398</v>
      </c>
      <c r="AT159" s="364" t="s">
        <v>2348</v>
      </c>
      <c r="AU159" s="364" t="s">
        <v>2445</v>
      </c>
      <c r="AV159" s="364" t="s">
        <v>2456</v>
      </c>
      <c r="AW159" s="364" t="s">
        <v>2475</v>
      </c>
      <c r="AX159" s="364" t="s">
        <v>2476</v>
      </c>
      <c r="AY159" s="364" t="s">
        <v>2428</v>
      </c>
      <c r="AZ159" s="364" t="s">
        <v>2429</v>
      </c>
      <c r="BA159" s="364"/>
      <c r="BB159" s="364"/>
      <c r="BC159" s="364"/>
      <c r="BD159" s="364"/>
      <c r="BE159" s="364"/>
      <c r="BF159" s="364"/>
      <c r="BG159" s="364"/>
      <c r="BH159" s="364"/>
      <c r="BI159" s="364"/>
      <c r="BJ159" s="364"/>
      <c r="BK159" s="364"/>
      <c r="BL159" s="364"/>
      <c r="BM159" s="364"/>
      <c r="BN159" s="364"/>
      <c r="BO159" s="364"/>
      <c r="BP159" s="364"/>
      <c r="BQ159" s="364"/>
      <c r="BR159" s="364"/>
      <c r="BS159" s="364"/>
      <c r="BT159" s="364"/>
      <c r="BU159" s="364"/>
      <c r="BV159" s="364"/>
      <c r="BW159" s="364"/>
      <c r="BX159" s="364"/>
      <c r="BY159" s="364"/>
      <c r="BZ159" s="364"/>
      <c r="CA159" s="364"/>
      <c r="CB159" s="364"/>
      <c r="CC159" s="364"/>
      <c r="CD159" s="364"/>
      <c r="CE159" s="364"/>
      <c r="CF159" s="364"/>
      <c r="CG159" s="364"/>
      <c r="CH159" s="364"/>
      <c r="CI159" s="364"/>
      <c r="CJ159" s="364"/>
      <c r="CK159" s="364"/>
      <c r="CL159" s="364"/>
      <c r="CM159" s="364"/>
      <c r="CN159" s="364"/>
      <c r="CO159" s="364"/>
      <c r="CP159" s="364"/>
      <c r="CQ159" s="364"/>
      <c r="CR159" s="364"/>
      <c r="CS159" s="364"/>
      <c r="CT159" s="364"/>
      <c r="CU159" s="364"/>
      <c r="CV159" s="364"/>
      <c r="CW159" s="364"/>
      <c r="CX159" s="364"/>
      <c r="CY159" s="364"/>
      <c r="CZ159" s="364"/>
      <c r="DA159" s="364"/>
      <c r="DB159" s="364"/>
      <c r="DC159" s="364"/>
      <c r="DD159" s="364"/>
      <c r="DE159" s="364"/>
      <c r="DF159" s="364"/>
      <c r="DG159" s="364"/>
      <c r="DH159" s="364"/>
      <c r="DI159" s="364"/>
      <c r="DJ159" s="364"/>
      <c r="DK159" s="364"/>
      <c r="DL159" s="364"/>
      <c r="DM159" s="364"/>
      <c r="DN159" s="364"/>
      <c r="DO159" s="364"/>
      <c r="DP159" s="364"/>
      <c r="DQ159" s="364"/>
      <c r="DR159" s="364"/>
      <c r="DS159" s="364"/>
      <c r="DT159" s="364"/>
      <c r="DU159" s="364"/>
      <c r="DV159" s="364"/>
      <c r="DW159" s="364"/>
      <c r="DX159" s="364"/>
      <c r="DY159" s="364"/>
      <c r="DZ159" s="364"/>
      <c r="EA159" s="364"/>
      <c r="EB159" s="364"/>
      <c r="EC159" s="364"/>
      <c r="ED159" s="364"/>
      <c r="EE159" s="364"/>
      <c r="EF159" s="364"/>
      <c r="EG159" s="364"/>
      <c r="EH159" s="364"/>
      <c r="EI159" s="364"/>
      <c r="EJ159" s="364"/>
      <c r="EK159" s="364"/>
      <c r="EL159" s="364"/>
      <c r="EM159" s="364"/>
      <c r="EN159" s="364"/>
      <c r="EO159" s="364"/>
      <c r="EP159" s="364"/>
      <c r="EQ159" s="364"/>
      <c r="ER159" s="364"/>
      <c r="ES159" s="364"/>
      <c r="ET159" s="364"/>
      <c r="EU159" s="364"/>
      <c r="EV159" s="364"/>
      <c r="EW159" s="364"/>
      <c r="EX159" s="364"/>
      <c r="EY159" s="364"/>
      <c r="EZ159" s="364"/>
      <c r="FA159" s="364"/>
      <c r="FB159" s="364"/>
      <c r="FC159" s="364"/>
      <c r="FD159" s="364"/>
      <c r="FE159" s="364"/>
      <c r="FF159" s="364"/>
      <c r="FG159" s="364"/>
      <c r="FH159" s="364"/>
      <c r="FI159" s="364"/>
      <c r="FJ159" s="364"/>
      <c r="FK159" s="364"/>
    </row>
    <row r="160" customFormat="false" ht="15.75" hidden="false" customHeight="false" outlineLevel="0" collapsed="false">
      <c r="A160" s="364" t="n">
        <v>309</v>
      </c>
      <c r="B160" s="364" t="n">
        <f aca="false">COUNTA(D160:FK160)</f>
        <v>34</v>
      </c>
      <c r="C160" s="364" t="s">
        <v>920</v>
      </c>
      <c r="D160" s="364" t="s">
        <v>2527</v>
      </c>
      <c r="E160" s="364" t="s">
        <v>2431</v>
      </c>
      <c r="F160" s="364" t="s">
        <v>2352</v>
      </c>
      <c r="G160" s="364" t="s">
        <v>2353</v>
      </c>
      <c r="H160" s="364" t="s">
        <v>2432</v>
      </c>
      <c r="I160" s="364" t="s">
        <v>2433</v>
      </c>
      <c r="J160" s="364" t="s">
        <v>2316</v>
      </c>
      <c r="K160" s="364" t="s">
        <v>2436</v>
      </c>
      <c r="L160" s="364" t="s">
        <v>2319</v>
      </c>
      <c r="M160" s="364" t="s">
        <v>2320</v>
      </c>
      <c r="N160" s="364" t="s">
        <v>2323</v>
      </c>
      <c r="O160" s="364" t="s">
        <v>2324</v>
      </c>
      <c r="P160" s="364" t="s">
        <v>2437</v>
      </c>
      <c r="Q160" s="364" t="s">
        <v>2328</v>
      </c>
      <c r="R160" s="364" t="s">
        <v>2329</v>
      </c>
      <c r="S160" s="364" t="s">
        <v>2438</v>
      </c>
      <c r="T160" s="364" t="s">
        <v>2331</v>
      </c>
      <c r="U160" s="364" t="s">
        <v>2385</v>
      </c>
      <c r="V160" s="364" t="s">
        <v>157</v>
      </c>
      <c r="W160" s="364" t="s">
        <v>2335</v>
      </c>
      <c r="X160" s="364" t="s">
        <v>2337</v>
      </c>
      <c r="Y160" s="364" t="s">
        <v>2340</v>
      </c>
      <c r="Z160" s="364" t="s">
        <v>2341</v>
      </c>
      <c r="AA160" s="364" t="s">
        <v>2442</v>
      </c>
      <c r="AB160" s="364" t="s">
        <v>2422</v>
      </c>
      <c r="AC160" s="364" t="s">
        <v>2443</v>
      </c>
      <c r="AD160" s="364" t="s">
        <v>2344</v>
      </c>
      <c r="AE160" s="364" t="s">
        <v>2345</v>
      </c>
      <c r="AF160" s="364" t="s">
        <v>2444</v>
      </c>
      <c r="AG160" s="364" t="s">
        <v>2398</v>
      </c>
      <c r="AH160" s="364" t="s">
        <v>2445</v>
      </c>
      <c r="AI160" s="364" t="s">
        <v>2400</v>
      </c>
      <c r="AJ160" s="364" t="s">
        <v>2446</v>
      </c>
      <c r="AK160" s="364" t="s">
        <v>2350</v>
      </c>
      <c r="AL160" s="364"/>
      <c r="AM160" s="364"/>
      <c r="AN160" s="364"/>
      <c r="AO160" s="364"/>
      <c r="AP160" s="364"/>
      <c r="AQ160" s="364"/>
      <c r="AR160" s="364"/>
      <c r="AS160" s="364"/>
      <c r="AT160" s="364"/>
      <c r="AU160" s="364"/>
      <c r="AV160" s="364"/>
      <c r="AW160" s="364"/>
      <c r="AX160" s="364"/>
      <c r="AY160" s="364"/>
      <c r="AZ160" s="364"/>
      <c r="BA160" s="364"/>
      <c r="BB160" s="364"/>
      <c r="BC160" s="364"/>
      <c r="BD160" s="364"/>
      <c r="BE160" s="364"/>
      <c r="BF160" s="364"/>
      <c r="BG160" s="364"/>
      <c r="BH160" s="364"/>
      <c r="BI160" s="364"/>
      <c r="BJ160" s="364"/>
      <c r="BK160" s="364"/>
      <c r="BL160" s="364"/>
      <c r="BM160" s="364"/>
      <c r="BN160" s="364"/>
      <c r="BO160" s="364"/>
      <c r="BP160" s="364"/>
      <c r="BQ160" s="364"/>
      <c r="BR160" s="364"/>
      <c r="BS160" s="364"/>
      <c r="BT160" s="364"/>
      <c r="BU160" s="364"/>
      <c r="BV160" s="364"/>
      <c r="BW160" s="364"/>
      <c r="BX160" s="364"/>
      <c r="BY160" s="364"/>
      <c r="BZ160" s="364"/>
      <c r="CA160" s="364"/>
      <c r="CB160" s="364"/>
      <c r="CC160" s="364"/>
      <c r="CD160" s="364"/>
      <c r="CE160" s="364"/>
      <c r="CF160" s="364"/>
      <c r="CG160" s="364"/>
      <c r="CH160" s="364"/>
      <c r="CI160" s="364"/>
      <c r="CJ160" s="364"/>
      <c r="CK160" s="364"/>
      <c r="CL160" s="364"/>
      <c r="CM160" s="364"/>
      <c r="CN160" s="364"/>
      <c r="CO160" s="364"/>
      <c r="CP160" s="364"/>
      <c r="CQ160" s="364"/>
      <c r="CR160" s="364"/>
      <c r="CS160" s="364"/>
      <c r="CT160" s="364"/>
      <c r="CU160" s="364"/>
      <c r="CV160" s="364"/>
      <c r="CW160" s="364"/>
      <c r="CX160" s="364"/>
      <c r="CY160" s="364"/>
      <c r="CZ160" s="364"/>
      <c r="DA160" s="364"/>
      <c r="DB160" s="364"/>
      <c r="DC160" s="364"/>
      <c r="DD160" s="364"/>
      <c r="DE160" s="364"/>
      <c r="DF160" s="364"/>
      <c r="DG160" s="364"/>
      <c r="DH160" s="364"/>
      <c r="DI160" s="364"/>
      <c r="DJ160" s="364"/>
      <c r="DK160" s="364"/>
      <c r="DL160" s="364"/>
      <c r="DM160" s="364"/>
      <c r="DN160" s="364"/>
      <c r="DO160" s="364"/>
      <c r="DP160" s="364"/>
      <c r="DQ160" s="364"/>
      <c r="DR160" s="364"/>
      <c r="DS160" s="364"/>
      <c r="DT160" s="364"/>
      <c r="DU160" s="364"/>
      <c r="DV160" s="364"/>
      <c r="DW160" s="364"/>
      <c r="DX160" s="364"/>
      <c r="DY160" s="364"/>
      <c r="DZ160" s="364"/>
      <c r="EA160" s="364"/>
      <c r="EB160" s="364"/>
      <c r="EC160" s="364"/>
      <c r="ED160" s="364"/>
      <c r="EE160" s="364"/>
      <c r="EF160" s="364"/>
      <c r="EG160" s="364"/>
      <c r="EH160" s="364"/>
      <c r="EI160" s="364"/>
      <c r="EJ160" s="364"/>
      <c r="EK160" s="364"/>
      <c r="EL160" s="364"/>
      <c r="EM160" s="364"/>
      <c r="EN160" s="364"/>
      <c r="EO160" s="364"/>
      <c r="EP160" s="364"/>
      <c r="EQ160" s="364"/>
      <c r="ER160" s="364"/>
      <c r="ES160" s="364"/>
      <c r="ET160" s="364"/>
      <c r="EU160" s="364"/>
      <c r="EV160" s="364"/>
      <c r="EW160" s="364"/>
      <c r="EX160" s="364"/>
      <c r="EY160" s="364"/>
      <c r="EZ160" s="364"/>
      <c r="FA160" s="364"/>
      <c r="FB160" s="364"/>
      <c r="FC160" s="364"/>
      <c r="FD160" s="364"/>
      <c r="FE160" s="364"/>
      <c r="FF160" s="364"/>
      <c r="FG160" s="364"/>
      <c r="FH160" s="364"/>
      <c r="FI160" s="364"/>
      <c r="FJ160" s="364"/>
      <c r="FK160" s="364"/>
    </row>
    <row r="161" customFormat="false" ht="15.75" hidden="false" customHeight="false" outlineLevel="0" collapsed="false">
      <c r="A161" s="364" t="n">
        <v>311</v>
      </c>
      <c r="B161" s="364" t="n">
        <f aca="false">COUNTA(D161:FK161)</f>
        <v>34</v>
      </c>
      <c r="C161" s="364" t="s">
        <v>924</v>
      </c>
      <c r="D161" s="364" t="s">
        <v>2431</v>
      </c>
      <c r="E161" s="364" t="s">
        <v>2352</v>
      </c>
      <c r="F161" s="364" t="s">
        <v>2353</v>
      </c>
      <c r="G161" s="364" t="s">
        <v>2432</v>
      </c>
      <c r="H161" s="364" t="s">
        <v>2433</v>
      </c>
      <c r="I161" s="364" t="s">
        <v>2434</v>
      </c>
      <c r="J161" s="364" t="s">
        <v>2316</v>
      </c>
      <c r="K161" s="364" t="s">
        <v>2436</v>
      </c>
      <c r="L161" s="364" t="s">
        <v>2319</v>
      </c>
      <c r="M161" s="364" t="s">
        <v>2320</v>
      </c>
      <c r="N161" s="364" t="s">
        <v>2323</v>
      </c>
      <c r="O161" s="364" t="s">
        <v>2324</v>
      </c>
      <c r="P161" s="364" t="s">
        <v>2437</v>
      </c>
      <c r="Q161" s="364" t="s">
        <v>2328</v>
      </c>
      <c r="R161" s="364" t="s">
        <v>2329</v>
      </c>
      <c r="S161" s="364" t="s">
        <v>2438</v>
      </c>
      <c r="T161" s="364" t="s">
        <v>2385</v>
      </c>
      <c r="U161" s="364" t="s">
        <v>2439</v>
      </c>
      <c r="V161" s="364" t="s">
        <v>157</v>
      </c>
      <c r="W161" s="364" t="s">
        <v>2337</v>
      </c>
      <c r="X161" s="364" t="s">
        <v>2340</v>
      </c>
      <c r="Y161" s="364" t="s">
        <v>2341</v>
      </c>
      <c r="Z161" s="364" t="s">
        <v>2442</v>
      </c>
      <c r="AA161" s="364" t="s">
        <v>2422</v>
      </c>
      <c r="AB161" s="364" t="s">
        <v>2443</v>
      </c>
      <c r="AC161" s="364" t="s">
        <v>2343</v>
      </c>
      <c r="AD161" s="364" t="s">
        <v>2344</v>
      </c>
      <c r="AE161" s="364" t="s">
        <v>2345</v>
      </c>
      <c r="AF161" s="364" t="s">
        <v>2444</v>
      </c>
      <c r="AG161" s="364" t="s">
        <v>2398</v>
      </c>
      <c r="AH161" s="364" t="s">
        <v>2445</v>
      </c>
      <c r="AI161" s="364" t="s">
        <v>2400</v>
      </c>
      <c r="AJ161" s="364" t="s">
        <v>2446</v>
      </c>
      <c r="AK161" s="364" t="s">
        <v>2350</v>
      </c>
      <c r="AL161" s="364"/>
      <c r="AM161" s="364"/>
      <c r="AN161" s="364"/>
      <c r="AO161" s="364"/>
      <c r="AP161" s="364"/>
      <c r="AQ161" s="364"/>
      <c r="AR161" s="364"/>
      <c r="AS161" s="364"/>
      <c r="AT161" s="364"/>
      <c r="AU161" s="364"/>
      <c r="AV161" s="364"/>
      <c r="AW161" s="364"/>
      <c r="AX161" s="364"/>
      <c r="AY161" s="364"/>
      <c r="AZ161" s="364"/>
      <c r="BA161" s="364"/>
      <c r="BB161" s="364"/>
      <c r="BC161" s="364"/>
      <c r="BD161" s="364"/>
      <c r="BE161" s="364"/>
      <c r="BF161" s="364"/>
      <c r="BG161" s="364"/>
      <c r="BH161" s="364"/>
      <c r="BI161" s="364"/>
      <c r="BJ161" s="364"/>
      <c r="BK161" s="364"/>
      <c r="BL161" s="364"/>
      <c r="BM161" s="364"/>
      <c r="BN161" s="364"/>
      <c r="BO161" s="364"/>
      <c r="BP161" s="364"/>
      <c r="BQ161" s="364"/>
      <c r="BR161" s="364"/>
      <c r="BS161" s="364"/>
      <c r="BT161" s="364"/>
      <c r="BU161" s="364"/>
      <c r="BV161" s="364"/>
      <c r="BW161" s="364"/>
      <c r="BX161" s="364"/>
      <c r="BY161" s="364"/>
      <c r="BZ161" s="364"/>
      <c r="CA161" s="364"/>
      <c r="CB161" s="364"/>
      <c r="CC161" s="364"/>
      <c r="CD161" s="364"/>
      <c r="CE161" s="364"/>
      <c r="CF161" s="364"/>
      <c r="CG161" s="364"/>
      <c r="CH161" s="364"/>
      <c r="CI161" s="364"/>
      <c r="CJ161" s="364"/>
      <c r="CK161" s="364"/>
      <c r="CL161" s="364"/>
      <c r="CM161" s="364"/>
      <c r="CN161" s="364"/>
      <c r="CO161" s="364"/>
      <c r="CP161" s="364"/>
      <c r="CQ161" s="364"/>
      <c r="CR161" s="364"/>
      <c r="CS161" s="364"/>
      <c r="CT161" s="364"/>
      <c r="CU161" s="364"/>
      <c r="CV161" s="364"/>
      <c r="CW161" s="364"/>
      <c r="CX161" s="364"/>
      <c r="CY161" s="364"/>
      <c r="CZ161" s="364"/>
      <c r="DA161" s="364"/>
      <c r="DB161" s="364"/>
      <c r="DC161" s="364"/>
      <c r="DD161" s="364"/>
      <c r="DE161" s="364"/>
      <c r="DF161" s="364"/>
      <c r="DG161" s="364"/>
      <c r="DH161" s="364"/>
      <c r="DI161" s="364"/>
      <c r="DJ161" s="364"/>
      <c r="DK161" s="364"/>
      <c r="DL161" s="364"/>
      <c r="DM161" s="364"/>
      <c r="DN161" s="364"/>
      <c r="DO161" s="364"/>
      <c r="DP161" s="364"/>
      <c r="DQ161" s="364"/>
      <c r="DR161" s="364"/>
      <c r="DS161" s="364"/>
      <c r="DT161" s="364"/>
      <c r="DU161" s="364"/>
      <c r="DV161" s="364"/>
      <c r="DW161" s="364"/>
      <c r="DX161" s="364"/>
      <c r="DY161" s="364"/>
      <c r="DZ161" s="364"/>
      <c r="EA161" s="364"/>
      <c r="EB161" s="364"/>
      <c r="EC161" s="364"/>
      <c r="ED161" s="364"/>
      <c r="EE161" s="364"/>
      <c r="EF161" s="364"/>
      <c r="EG161" s="364"/>
      <c r="EH161" s="364"/>
      <c r="EI161" s="364"/>
      <c r="EJ161" s="364"/>
      <c r="EK161" s="364"/>
      <c r="EL161" s="364"/>
      <c r="EM161" s="364"/>
      <c r="EN161" s="364"/>
      <c r="EO161" s="364"/>
      <c r="EP161" s="364"/>
      <c r="EQ161" s="364"/>
      <c r="ER161" s="364"/>
      <c r="ES161" s="364"/>
      <c r="ET161" s="364"/>
      <c r="EU161" s="364"/>
      <c r="EV161" s="364"/>
      <c r="EW161" s="364"/>
      <c r="EX161" s="364"/>
      <c r="EY161" s="364"/>
      <c r="EZ161" s="364"/>
      <c r="FA161" s="364"/>
      <c r="FB161" s="364"/>
      <c r="FC161" s="364"/>
      <c r="FD161" s="364"/>
      <c r="FE161" s="364"/>
      <c r="FF161" s="364"/>
      <c r="FG161" s="364"/>
      <c r="FH161" s="364"/>
      <c r="FI161" s="364"/>
      <c r="FJ161" s="364"/>
      <c r="FK161" s="364"/>
    </row>
    <row r="162" customFormat="false" ht="15.75" hidden="false" customHeight="false" outlineLevel="0" collapsed="false">
      <c r="A162" s="364" t="n">
        <v>314</v>
      </c>
      <c r="B162" s="364" t="n">
        <f aca="false">COUNTA(D162:FK162)</f>
        <v>54</v>
      </c>
      <c r="C162" s="364" t="s">
        <v>930</v>
      </c>
      <c r="D162" s="364" t="s">
        <v>2527</v>
      </c>
      <c r="E162" s="364" t="s">
        <v>2528</v>
      </c>
      <c r="F162" s="364" t="s">
        <v>2405</v>
      </c>
      <c r="G162" s="364" t="s">
        <v>2312</v>
      </c>
      <c r="H162" s="364" t="s">
        <v>2356</v>
      </c>
      <c r="I162" s="364" t="s">
        <v>2314</v>
      </c>
      <c r="J162" s="364" t="s">
        <v>138</v>
      </c>
      <c r="K162" s="364" t="s">
        <v>2410</v>
      </c>
      <c r="L162" s="364" t="s">
        <v>2316</v>
      </c>
      <c r="M162" s="364" t="s">
        <v>2520</v>
      </c>
      <c r="N162" s="364" t="s">
        <v>2364</v>
      </c>
      <c r="O162" s="364" t="s">
        <v>2318</v>
      </c>
      <c r="P162" s="364" t="s">
        <v>2319</v>
      </c>
      <c r="Q162" s="364" t="s">
        <v>2320</v>
      </c>
      <c r="R162" s="364" t="s">
        <v>2533</v>
      </c>
      <c r="S162" s="364" t="s">
        <v>2369</v>
      </c>
      <c r="T162" s="364" t="s">
        <v>2376</v>
      </c>
      <c r="U162" s="364" t="s">
        <v>2377</v>
      </c>
      <c r="V162" s="364" t="s">
        <v>2323</v>
      </c>
      <c r="W162" s="364" t="s">
        <v>2324</v>
      </c>
      <c r="X162" s="364" t="s">
        <v>2325</v>
      </c>
      <c r="Y162" s="364" t="s">
        <v>2327</v>
      </c>
      <c r="Z162" s="364" t="s">
        <v>2328</v>
      </c>
      <c r="AA162" s="364" t="s">
        <v>2414</v>
      </c>
      <c r="AB162" s="364" t="s">
        <v>2329</v>
      </c>
      <c r="AC162" s="364" t="s">
        <v>2521</v>
      </c>
      <c r="AD162" s="364" t="s">
        <v>2415</v>
      </c>
      <c r="AE162" s="364" t="s">
        <v>2416</v>
      </c>
      <c r="AF162" s="364" t="s">
        <v>2417</v>
      </c>
      <c r="AG162" s="364" t="s">
        <v>2330</v>
      </c>
      <c r="AH162" s="364" t="s">
        <v>2331</v>
      </c>
      <c r="AI162" s="364" t="s">
        <v>2382</v>
      </c>
      <c r="AJ162" s="364" t="s">
        <v>2383</v>
      </c>
      <c r="AK162" s="261" t="s">
        <v>183</v>
      </c>
      <c r="AL162" s="364" t="s">
        <v>2387</v>
      </c>
      <c r="AM162" s="364" t="s">
        <v>2337</v>
      </c>
      <c r="AN162" s="364" t="s">
        <v>2338</v>
      </c>
      <c r="AO162" s="364" t="s">
        <v>2339</v>
      </c>
      <c r="AP162" s="364" t="s">
        <v>2340</v>
      </c>
      <c r="AQ162" s="364" t="s">
        <v>2421</v>
      </c>
      <c r="AR162" s="364" t="s">
        <v>2341</v>
      </c>
      <c r="AS162" s="364" t="s">
        <v>2342</v>
      </c>
      <c r="AT162" s="364" t="s">
        <v>2391</v>
      </c>
      <c r="AU162" s="364" t="s">
        <v>2344</v>
      </c>
      <c r="AV162" s="364" t="s">
        <v>2345</v>
      </c>
      <c r="AW162" s="364" t="s">
        <v>2347</v>
      </c>
      <c r="AX162" s="364" t="s">
        <v>2424</v>
      </c>
      <c r="AY162" s="364" t="s">
        <v>2445</v>
      </c>
      <c r="AZ162" s="364" t="s">
        <v>2399</v>
      </c>
      <c r="BA162" s="364" t="s">
        <v>2463</v>
      </c>
      <c r="BB162" s="364" t="s">
        <v>2425</v>
      </c>
      <c r="BC162" s="364" t="s">
        <v>2428</v>
      </c>
      <c r="BD162" s="364" t="s">
        <v>2429</v>
      </c>
      <c r="BE162" s="364" t="s">
        <v>2430</v>
      </c>
      <c r="BF162" s="364"/>
      <c r="BG162" s="364"/>
      <c r="BH162" s="364"/>
      <c r="BI162" s="364"/>
      <c r="BJ162" s="364"/>
      <c r="BK162" s="364"/>
      <c r="BL162" s="364"/>
      <c r="BM162" s="364"/>
      <c r="BN162" s="364"/>
      <c r="BO162" s="364"/>
      <c r="BP162" s="364"/>
      <c r="BQ162" s="364"/>
      <c r="BR162" s="364"/>
      <c r="BS162" s="364"/>
      <c r="BT162" s="364"/>
      <c r="BU162" s="364"/>
      <c r="BV162" s="364"/>
      <c r="BW162" s="364"/>
      <c r="BX162" s="364"/>
      <c r="BY162" s="364"/>
      <c r="BZ162" s="364"/>
      <c r="CA162" s="364"/>
      <c r="CB162" s="364"/>
      <c r="CC162" s="364"/>
      <c r="CD162" s="364"/>
      <c r="CE162" s="364"/>
      <c r="CF162" s="364"/>
      <c r="CG162" s="364"/>
      <c r="CH162" s="364"/>
      <c r="CI162" s="364"/>
      <c r="CJ162" s="364"/>
      <c r="CK162" s="364"/>
      <c r="CL162" s="364"/>
      <c r="CM162" s="364"/>
      <c r="CN162" s="364"/>
      <c r="CO162" s="364"/>
      <c r="CP162" s="364"/>
      <c r="CQ162" s="364"/>
      <c r="CR162" s="364"/>
      <c r="CS162" s="364"/>
      <c r="CT162" s="364"/>
      <c r="CU162" s="364"/>
      <c r="CV162" s="364"/>
      <c r="CW162" s="364"/>
      <c r="CX162" s="364"/>
      <c r="CY162" s="364"/>
      <c r="CZ162" s="364"/>
      <c r="DA162" s="364"/>
      <c r="DB162" s="364"/>
      <c r="DC162" s="364"/>
      <c r="DD162" s="364"/>
      <c r="DE162" s="364"/>
      <c r="DF162" s="364"/>
      <c r="DG162" s="364"/>
      <c r="DH162" s="364"/>
      <c r="DI162" s="364"/>
      <c r="DJ162" s="364"/>
      <c r="DK162" s="364"/>
      <c r="DL162" s="364"/>
      <c r="DM162" s="364"/>
      <c r="DN162" s="364"/>
      <c r="DO162" s="364"/>
      <c r="DP162" s="364"/>
      <c r="DQ162" s="364"/>
      <c r="DR162" s="364"/>
      <c r="DS162" s="364"/>
      <c r="DT162" s="364"/>
      <c r="DU162" s="364"/>
      <c r="DV162" s="364"/>
      <c r="DW162" s="364"/>
      <c r="DX162" s="364"/>
      <c r="DY162" s="364"/>
      <c r="DZ162" s="364"/>
      <c r="EA162" s="364"/>
      <c r="EB162" s="364"/>
      <c r="EC162" s="364"/>
      <c r="ED162" s="364"/>
      <c r="EE162" s="364"/>
      <c r="EF162" s="364"/>
      <c r="EG162" s="364"/>
      <c r="EH162" s="364"/>
      <c r="EI162" s="364"/>
      <c r="EJ162" s="364"/>
      <c r="EK162" s="364"/>
      <c r="EL162" s="364"/>
      <c r="EM162" s="364"/>
      <c r="EN162" s="364"/>
      <c r="EO162" s="364"/>
      <c r="EP162" s="364"/>
      <c r="EQ162" s="364"/>
      <c r="ER162" s="364"/>
      <c r="ES162" s="364"/>
      <c r="ET162" s="364"/>
      <c r="EU162" s="364"/>
      <c r="EV162" s="364"/>
      <c r="EW162" s="364"/>
      <c r="EX162" s="364"/>
      <c r="EY162" s="364"/>
      <c r="EZ162" s="364"/>
      <c r="FA162" s="364"/>
      <c r="FB162" s="364"/>
      <c r="FC162" s="364"/>
      <c r="FD162" s="364"/>
      <c r="FE162" s="364"/>
      <c r="FF162" s="364"/>
      <c r="FG162" s="364"/>
      <c r="FH162" s="364"/>
      <c r="FI162" s="364"/>
      <c r="FJ162" s="364"/>
      <c r="FK162" s="364"/>
    </row>
    <row r="163" customFormat="false" ht="15.75" hidden="false" customHeight="false" outlineLevel="0" collapsed="false">
      <c r="A163" s="364" t="n">
        <v>317</v>
      </c>
      <c r="B163" s="364" t="n">
        <f aca="false">COUNTA(D163:FK163)</f>
        <v>61</v>
      </c>
      <c r="C163" s="364" t="s">
        <v>936</v>
      </c>
      <c r="D163" s="364" t="s">
        <v>2352</v>
      </c>
      <c r="E163" s="364" t="s">
        <v>2353</v>
      </c>
      <c r="F163" s="364" t="s">
        <v>2312</v>
      </c>
      <c r="G163" s="364" t="s">
        <v>2516</v>
      </c>
      <c r="H163" s="364" t="s">
        <v>2356</v>
      </c>
      <c r="I163" s="364" t="s">
        <v>2357</v>
      </c>
      <c r="J163" s="364" t="s">
        <v>2314</v>
      </c>
      <c r="K163" s="364" t="s">
        <v>2315</v>
      </c>
      <c r="L163" s="364" t="s">
        <v>2409</v>
      </c>
      <c r="M163" s="364" t="s">
        <v>2358</v>
      </c>
      <c r="N163" s="364" t="s">
        <v>2316</v>
      </c>
      <c r="O163" s="364" t="s">
        <v>2319</v>
      </c>
      <c r="P163" s="364" t="s">
        <v>2562</v>
      </c>
      <c r="Q163" s="364" t="s">
        <v>2320</v>
      </c>
      <c r="R163" s="364" t="s">
        <v>2449</v>
      </c>
      <c r="S163" s="364" t="s">
        <v>2535</v>
      </c>
      <c r="T163" s="364" t="s">
        <v>2376</v>
      </c>
      <c r="U163" s="364" t="s">
        <v>2523</v>
      </c>
      <c r="V163" s="364" t="s">
        <v>2322</v>
      </c>
      <c r="W163" s="364" t="s">
        <v>2323</v>
      </c>
      <c r="X163" s="364" t="s">
        <v>2324</v>
      </c>
      <c r="Y163" s="364" t="s">
        <v>2325</v>
      </c>
      <c r="Z163" s="364" t="s">
        <v>2327</v>
      </c>
      <c r="AA163" s="364" t="s">
        <v>2328</v>
      </c>
      <c r="AB163" s="364" t="s">
        <v>2459</v>
      </c>
      <c r="AC163" s="364" t="s">
        <v>2329</v>
      </c>
      <c r="AD163" s="364" t="s">
        <v>2417</v>
      </c>
      <c r="AE163" s="364" t="s">
        <v>2330</v>
      </c>
      <c r="AF163" s="364" t="s">
        <v>2557</v>
      </c>
      <c r="AG163" s="364" t="s">
        <v>2558</v>
      </c>
      <c r="AH163" s="364" t="s">
        <v>2539</v>
      </c>
      <c r="AI163" s="364" t="s">
        <v>2540</v>
      </c>
      <c r="AJ163" s="364" t="s">
        <v>2382</v>
      </c>
      <c r="AK163" s="261" t="s">
        <v>183</v>
      </c>
      <c r="AL163" s="364" t="s">
        <v>2385</v>
      </c>
      <c r="AM163" s="364" t="s">
        <v>2452</v>
      </c>
      <c r="AN163" s="364" t="s">
        <v>2582</v>
      </c>
      <c r="AO163" s="364" t="s">
        <v>2387</v>
      </c>
      <c r="AP163" s="364" t="s">
        <v>2336</v>
      </c>
      <c r="AQ163" s="364" t="s">
        <v>2337</v>
      </c>
      <c r="AR163" s="364" t="s">
        <v>2469</v>
      </c>
      <c r="AS163" s="364" t="s">
        <v>2388</v>
      </c>
      <c r="AT163" s="364" t="s">
        <v>2339</v>
      </c>
      <c r="AU163" s="364" t="s">
        <v>2389</v>
      </c>
      <c r="AV163" s="364" t="s">
        <v>2420</v>
      </c>
      <c r="AW163" s="364" t="s">
        <v>2340</v>
      </c>
      <c r="AX163" s="364" t="s">
        <v>2341</v>
      </c>
      <c r="AY163" s="364" t="s">
        <v>2342</v>
      </c>
      <c r="AZ163" s="364" t="s">
        <v>2566</v>
      </c>
      <c r="BA163" s="364" t="s">
        <v>2442</v>
      </c>
      <c r="BB163" s="364" t="s">
        <v>2443</v>
      </c>
      <c r="BC163" s="364" t="s">
        <v>2472</v>
      </c>
      <c r="BD163" s="364" t="s">
        <v>2344</v>
      </c>
      <c r="BE163" s="364" t="s">
        <v>2345</v>
      </c>
      <c r="BF163" s="364" t="s">
        <v>2347</v>
      </c>
      <c r="BG163" s="364" t="s">
        <v>2473</v>
      </c>
      <c r="BH163" s="364" t="s">
        <v>2398</v>
      </c>
      <c r="BI163" s="364" t="s">
        <v>2445</v>
      </c>
      <c r="BJ163" s="364" t="s">
        <v>2456</v>
      </c>
      <c r="BK163" s="364" t="s">
        <v>2400</v>
      </c>
      <c r="BL163" s="364" t="s">
        <v>2458</v>
      </c>
      <c r="BM163" s="364"/>
      <c r="BN163" s="364"/>
      <c r="BO163" s="364"/>
      <c r="BP163" s="364"/>
      <c r="BQ163" s="364"/>
      <c r="BR163" s="364"/>
      <c r="BS163" s="364"/>
      <c r="BT163" s="364"/>
      <c r="BU163" s="364"/>
      <c r="BV163" s="364"/>
      <c r="BW163" s="364"/>
      <c r="BX163" s="364"/>
      <c r="BY163" s="364"/>
      <c r="BZ163" s="364"/>
      <c r="CA163" s="364"/>
      <c r="CB163" s="364"/>
      <c r="CC163" s="364"/>
      <c r="CD163" s="364"/>
      <c r="CE163" s="364"/>
      <c r="CF163" s="364"/>
      <c r="CG163" s="364"/>
      <c r="CH163" s="364"/>
      <c r="CI163" s="364"/>
      <c r="CJ163" s="364"/>
      <c r="CK163" s="364"/>
      <c r="CL163" s="364"/>
      <c r="CM163" s="364"/>
      <c r="CN163" s="364"/>
      <c r="CO163" s="364"/>
      <c r="CP163" s="364"/>
      <c r="CQ163" s="364"/>
      <c r="CR163" s="364"/>
      <c r="CS163" s="364"/>
      <c r="CT163" s="364"/>
      <c r="CU163" s="364"/>
      <c r="CV163" s="364"/>
      <c r="CW163" s="364"/>
      <c r="CX163" s="364"/>
      <c r="CY163" s="364"/>
      <c r="CZ163" s="364"/>
      <c r="DA163" s="364"/>
      <c r="DB163" s="364"/>
      <c r="DC163" s="364"/>
      <c r="DD163" s="364"/>
      <c r="DE163" s="364"/>
      <c r="DF163" s="364"/>
      <c r="DG163" s="364"/>
      <c r="DH163" s="364"/>
      <c r="DI163" s="364"/>
      <c r="DJ163" s="364"/>
      <c r="DK163" s="364"/>
      <c r="DL163" s="364"/>
      <c r="DM163" s="364"/>
      <c r="DN163" s="364"/>
      <c r="DO163" s="364"/>
      <c r="DP163" s="364"/>
      <c r="DQ163" s="364"/>
      <c r="DR163" s="364"/>
      <c r="DS163" s="364"/>
      <c r="DT163" s="364"/>
      <c r="DU163" s="364"/>
      <c r="DV163" s="364"/>
      <c r="DW163" s="364"/>
      <c r="DX163" s="364"/>
      <c r="DY163" s="364"/>
      <c r="DZ163" s="364"/>
      <c r="EA163" s="364"/>
      <c r="EB163" s="364"/>
      <c r="EC163" s="364"/>
      <c r="ED163" s="364"/>
      <c r="EE163" s="364"/>
      <c r="EF163" s="364"/>
      <c r="EG163" s="364"/>
      <c r="EH163" s="364"/>
      <c r="EI163" s="364"/>
      <c r="EJ163" s="364"/>
      <c r="EK163" s="364"/>
      <c r="EL163" s="364"/>
      <c r="EM163" s="364"/>
      <c r="EN163" s="364"/>
      <c r="EO163" s="364"/>
      <c r="EP163" s="364"/>
      <c r="EQ163" s="364"/>
      <c r="ER163" s="364"/>
      <c r="ES163" s="364"/>
      <c r="ET163" s="364"/>
      <c r="EU163" s="364"/>
      <c r="EV163" s="364"/>
      <c r="EW163" s="364"/>
      <c r="EX163" s="364"/>
      <c r="EY163" s="364"/>
      <c r="EZ163" s="364"/>
      <c r="FA163" s="364"/>
      <c r="FB163" s="364"/>
      <c r="FC163" s="364"/>
      <c r="FD163" s="364"/>
      <c r="FE163" s="364"/>
      <c r="FF163" s="364"/>
      <c r="FG163" s="364"/>
      <c r="FH163" s="364"/>
      <c r="FI163" s="364"/>
      <c r="FJ163" s="364"/>
      <c r="FK163" s="364"/>
    </row>
    <row r="164" customFormat="false" ht="15.75" hidden="false" customHeight="false" outlineLevel="0" collapsed="false">
      <c r="A164" s="364" t="n">
        <v>319</v>
      </c>
      <c r="B164" s="364" t="n">
        <f aca="false">COUNTA(D164:FK164)</f>
        <v>30</v>
      </c>
      <c r="C164" s="364" t="s">
        <v>940</v>
      </c>
      <c r="D164" s="364" t="s">
        <v>2352</v>
      </c>
      <c r="E164" s="364" t="s">
        <v>2353</v>
      </c>
      <c r="F164" s="364" t="s">
        <v>2354</v>
      </c>
      <c r="G164" s="364" t="s">
        <v>2577</v>
      </c>
      <c r="H164" s="364" t="s">
        <v>138</v>
      </c>
      <c r="I164" s="364" t="s">
        <v>2316</v>
      </c>
      <c r="J164" s="364" t="s">
        <v>2318</v>
      </c>
      <c r="K164" s="364" t="s">
        <v>2448</v>
      </c>
      <c r="L164" s="364" t="s">
        <v>2320</v>
      </c>
      <c r="M164" s="364" t="s">
        <v>2375</v>
      </c>
      <c r="N164" s="364" t="s">
        <v>2324</v>
      </c>
      <c r="O164" s="364" t="s">
        <v>2378</v>
      </c>
      <c r="P164" s="364" t="s">
        <v>2328</v>
      </c>
      <c r="Q164" s="364" t="s">
        <v>2329</v>
      </c>
      <c r="R164" s="261" t="s">
        <v>183</v>
      </c>
      <c r="S164" s="364" t="s">
        <v>2385</v>
      </c>
      <c r="T164" s="364" t="s">
        <v>2480</v>
      </c>
      <c r="U164" s="364" t="s">
        <v>2460</v>
      </c>
      <c r="V164" s="364" t="s">
        <v>2461</v>
      </c>
      <c r="W164" s="364" t="s">
        <v>2337</v>
      </c>
      <c r="X164" s="364" t="s">
        <v>2340</v>
      </c>
      <c r="Y164" s="364" t="s">
        <v>2341</v>
      </c>
      <c r="Z164" s="364" t="s">
        <v>2462</v>
      </c>
      <c r="AA164" s="364" t="s">
        <v>2344</v>
      </c>
      <c r="AB164" s="364" t="s">
        <v>2396</v>
      </c>
      <c r="AC164" s="364" t="s">
        <v>2398</v>
      </c>
      <c r="AD164" s="364" t="s">
        <v>2445</v>
      </c>
      <c r="AE164" s="364" t="s">
        <v>2400</v>
      </c>
      <c r="AF164" s="364" t="s">
        <v>2446</v>
      </c>
      <c r="AG164" s="364" t="s">
        <v>2401</v>
      </c>
      <c r="AH164" s="364"/>
      <c r="AI164" s="364"/>
      <c r="AJ164" s="364"/>
      <c r="AK164" s="364"/>
      <c r="AL164" s="364"/>
      <c r="AM164" s="364"/>
      <c r="AN164" s="364"/>
      <c r="AO164" s="364"/>
      <c r="AP164" s="364"/>
      <c r="AQ164" s="364"/>
      <c r="AR164" s="364"/>
      <c r="AS164" s="364"/>
      <c r="AT164" s="364"/>
      <c r="AU164" s="364"/>
      <c r="AV164" s="364"/>
      <c r="AW164" s="364"/>
      <c r="AX164" s="364"/>
      <c r="AY164" s="364"/>
      <c r="AZ164" s="364"/>
      <c r="BA164" s="364"/>
      <c r="BB164" s="364"/>
      <c r="BC164" s="364"/>
      <c r="BD164" s="364"/>
      <c r="BE164" s="364"/>
      <c r="BF164" s="364"/>
      <c r="BG164" s="364"/>
      <c r="BH164" s="364"/>
      <c r="BI164" s="364"/>
      <c r="BJ164" s="364"/>
      <c r="BK164" s="364"/>
      <c r="BL164" s="364"/>
      <c r="BM164" s="364"/>
      <c r="BN164" s="364"/>
      <c r="BO164" s="364"/>
      <c r="BP164" s="364"/>
      <c r="BQ164" s="364"/>
      <c r="BR164" s="364"/>
      <c r="BS164" s="364"/>
      <c r="BT164" s="364"/>
      <c r="BU164" s="364"/>
      <c r="BV164" s="364"/>
      <c r="BW164" s="364"/>
      <c r="BX164" s="364"/>
      <c r="BY164" s="364"/>
      <c r="BZ164" s="364"/>
      <c r="CA164" s="364"/>
      <c r="CB164" s="364"/>
      <c r="CC164" s="364"/>
      <c r="CD164" s="364"/>
      <c r="CE164" s="364"/>
      <c r="CF164" s="364"/>
      <c r="CG164" s="364"/>
      <c r="CH164" s="364"/>
      <c r="CI164" s="364"/>
      <c r="CJ164" s="364"/>
      <c r="CK164" s="364"/>
      <c r="CL164" s="364"/>
      <c r="CM164" s="364"/>
      <c r="CN164" s="364"/>
      <c r="CO164" s="364"/>
      <c r="CP164" s="364"/>
      <c r="CQ164" s="364"/>
      <c r="CR164" s="364"/>
      <c r="CS164" s="364"/>
      <c r="CT164" s="364"/>
      <c r="CU164" s="364"/>
      <c r="CV164" s="364"/>
      <c r="CW164" s="364"/>
      <c r="CX164" s="364"/>
      <c r="CY164" s="364"/>
      <c r="CZ164" s="364"/>
      <c r="DA164" s="364"/>
      <c r="DB164" s="364"/>
      <c r="DC164" s="364"/>
      <c r="DD164" s="364"/>
      <c r="DE164" s="364"/>
      <c r="DF164" s="364"/>
      <c r="DG164" s="364"/>
      <c r="DH164" s="364"/>
      <c r="DI164" s="364"/>
      <c r="DJ164" s="364"/>
      <c r="DK164" s="364"/>
      <c r="DL164" s="364"/>
      <c r="DM164" s="364"/>
      <c r="DN164" s="364"/>
      <c r="DO164" s="364"/>
      <c r="DP164" s="364"/>
      <c r="DQ164" s="364"/>
      <c r="DR164" s="364"/>
      <c r="DS164" s="364"/>
      <c r="DT164" s="364"/>
      <c r="DU164" s="364"/>
      <c r="DV164" s="364"/>
      <c r="DW164" s="364"/>
      <c r="DX164" s="364"/>
      <c r="DY164" s="364"/>
      <c r="DZ164" s="364"/>
      <c r="EA164" s="364"/>
      <c r="EB164" s="364"/>
      <c r="EC164" s="364"/>
      <c r="ED164" s="364"/>
      <c r="EE164" s="364"/>
      <c r="EF164" s="364"/>
      <c r="EG164" s="364"/>
      <c r="EH164" s="364"/>
      <c r="EI164" s="364"/>
      <c r="EJ164" s="364"/>
      <c r="EK164" s="364"/>
      <c r="EL164" s="364"/>
      <c r="EM164" s="364"/>
      <c r="EN164" s="364"/>
      <c r="EO164" s="364"/>
      <c r="EP164" s="364"/>
      <c r="EQ164" s="364"/>
      <c r="ER164" s="364"/>
      <c r="ES164" s="364"/>
      <c r="ET164" s="364"/>
      <c r="EU164" s="364"/>
      <c r="EV164" s="364"/>
      <c r="EW164" s="364"/>
      <c r="EX164" s="364"/>
      <c r="EY164" s="364"/>
      <c r="EZ164" s="364"/>
      <c r="FA164" s="364"/>
      <c r="FB164" s="364"/>
      <c r="FC164" s="364"/>
      <c r="FD164" s="364"/>
      <c r="FE164" s="364"/>
      <c r="FF164" s="364"/>
      <c r="FG164" s="364"/>
      <c r="FH164" s="364"/>
      <c r="FI164" s="364"/>
      <c r="FJ164" s="364"/>
      <c r="FK164" s="364"/>
    </row>
    <row r="165" customFormat="false" ht="15.75" hidden="false" customHeight="false" outlineLevel="0" collapsed="false">
      <c r="A165" s="364" t="n">
        <v>321</v>
      </c>
      <c r="B165" s="364" t="n">
        <f aca="false">COUNTA(D165:FK165)</f>
        <v>42</v>
      </c>
      <c r="C165" s="364" t="s">
        <v>944</v>
      </c>
      <c r="D165" s="364" t="s">
        <v>2352</v>
      </c>
      <c r="E165" s="364" t="s">
        <v>2353</v>
      </c>
      <c r="F165" s="364" t="s">
        <v>2405</v>
      </c>
      <c r="G165" s="364" t="s">
        <v>2406</v>
      </c>
      <c r="H165" s="364" t="s">
        <v>2316</v>
      </c>
      <c r="I165" s="364" t="s">
        <v>2318</v>
      </c>
      <c r="J165" s="364" t="s">
        <v>2320</v>
      </c>
      <c r="K165" s="364" t="s">
        <v>2375</v>
      </c>
      <c r="L165" s="364" t="s">
        <v>2324</v>
      </c>
      <c r="M165" s="364" t="s">
        <v>2484</v>
      </c>
      <c r="N165" s="364" t="s">
        <v>2328</v>
      </c>
      <c r="O165" s="364" t="s">
        <v>2459</v>
      </c>
      <c r="P165" s="364" t="s">
        <v>2414</v>
      </c>
      <c r="Q165" s="364" t="s">
        <v>2329</v>
      </c>
      <c r="R165" s="364" t="s">
        <v>2415</v>
      </c>
      <c r="S165" s="364" t="s">
        <v>2417</v>
      </c>
      <c r="T165" s="364" t="s">
        <v>2330</v>
      </c>
      <c r="U165" s="364" t="s">
        <v>2418</v>
      </c>
      <c r="V165" s="261" t="s">
        <v>183</v>
      </c>
      <c r="W165" s="364" t="s">
        <v>2385</v>
      </c>
      <c r="X165" s="364" t="s">
        <v>2452</v>
      </c>
      <c r="Y165" s="364" t="s">
        <v>2460</v>
      </c>
      <c r="Z165" s="364" t="s">
        <v>2337</v>
      </c>
      <c r="AA165" s="364" t="s">
        <v>2340</v>
      </c>
      <c r="AB165" s="364" t="s">
        <v>2421</v>
      </c>
      <c r="AC165" s="364" t="s">
        <v>2341</v>
      </c>
      <c r="AD165" s="364" t="s">
        <v>2342</v>
      </c>
      <c r="AE165" s="364" t="s">
        <v>2470</v>
      </c>
      <c r="AF165" s="364" t="s">
        <v>2462</v>
      </c>
      <c r="AG165" s="364" t="s">
        <v>2394</v>
      </c>
      <c r="AH165" s="364" t="s">
        <v>2344</v>
      </c>
      <c r="AI165" s="364" t="s">
        <v>2396</v>
      </c>
      <c r="AJ165" s="364" t="s">
        <v>2424</v>
      </c>
      <c r="AK165" s="364" t="s">
        <v>2398</v>
      </c>
      <c r="AL165" s="364" t="s">
        <v>2445</v>
      </c>
      <c r="AM165" s="364" t="s">
        <v>2400</v>
      </c>
      <c r="AN165" s="364" t="s">
        <v>2463</v>
      </c>
      <c r="AO165" s="364" t="s">
        <v>2446</v>
      </c>
      <c r="AP165" s="364" t="s">
        <v>2426</v>
      </c>
      <c r="AQ165" s="364" t="s">
        <v>2428</v>
      </c>
      <c r="AR165" s="364" t="s">
        <v>2429</v>
      </c>
      <c r="AS165" s="364" t="s">
        <v>2401</v>
      </c>
      <c r="AT165" s="364"/>
      <c r="AU165" s="364"/>
      <c r="AV165" s="364"/>
      <c r="AW165" s="364"/>
      <c r="AX165" s="364"/>
      <c r="AY165" s="364"/>
      <c r="AZ165" s="364"/>
      <c r="BA165" s="364"/>
      <c r="BB165" s="364"/>
      <c r="BC165" s="364"/>
      <c r="BD165" s="364"/>
      <c r="BE165" s="364"/>
      <c r="BF165" s="364"/>
      <c r="BG165" s="364"/>
      <c r="BH165" s="364"/>
      <c r="BI165" s="364"/>
      <c r="BJ165" s="364"/>
      <c r="BK165" s="364"/>
      <c r="BL165" s="364"/>
      <c r="BM165" s="364"/>
      <c r="BN165" s="364"/>
      <c r="BO165" s="364"/>
      <c r="BP165" s="364"/>
      <c r="BQ165" s="364"/>
      <c r="BR165" s="364"/>
      <c r="BS165" s="364"/>
      <c r="BT165" s="364"/>
      <c r="BU165" s="364"/>
      <c r="BV165" s="364"/>
      <c r="BW165" s="364"/>
      <c r="BX165" s="364"/>
      <c r="BY165" s="364"/>
      <c r="BZ165" s="364"/>
      <c r="CA165" s="364"/>
      <c r="CB165" s="364"/>
      <c r="CC165" s="364"/>
      <c r="CD165" s="364"/>
      <c r="CE165" s="364"/>
      <c r="CF165" s="364"/>
      <c r="CG165" s="364"/>
      <c r="CH165" s="364"/>
      <c r="CI165" s="364"/>
      <c r="CJ165" s="364"/>
      <c r="CK165" s="364"/>
      <c r="CL165" s="364"/>
      <c r="CM165" s="364"/>
      <c r="CN165" s="364"/>
      <c r="CO165" s="364"/>
      <c r="CP165" s="364"/>
      <c r="CQ165" s="364"/>
      <c r="CR165" s="364"/>
      <c r="CS165" s="364"/>
      <c r="CT165" s="364"/>
      <c r="CU165" s="364"/>
      <c r="CV165" s="364"/>
      <c r="CW165" s="364"/>
      <c r="CX165" s="364"/>
      <c r="CY165" s="364"/>
      <c r="CZ165" s="364"/>
      <c r="DA165" s="364"/>
      <c r="DB165" s="364"/>
      <c r="DC165" s="364"/>
      <c r="DD165" s="364"/>
      <c r="DE165" s="364"/>
      <c r="DF165" s="364"/>
      <c r="DG165" s="364"/>
      <c r="DH165" s="364"/>
      <c r="DI165" s="364"/>
      <c r="DJ165" s="364"/>
      <c r="DK165" s="364"/>
      <c r="DL165" s="364"/>
      <c r="DM165" s="364"/>
      <c r="DN165" s="364"/>
      <c r="DO165" s="364"/>
      <c r="DP165" s="364"/>
      <c r="DQ165" s="364"/>
      <c r="DR165" s="364"/>
      <c r="DS165" s="364"/>
      <c r="DT165" s="364"/>
      <c r="DU165" s="364"/>
      <c r="DV165" s="364"/>
      <c r="DW165" s="364"/>
      <c r="DX165" s="364"/>
      <c r="DY165" s="364"/>
      <c r="DZ165" s="364"/>
      <c r="EA165" s="364"/>
      <c r="EB165" s="364"/>
      <c r="EC165" s="364"/>
      <c r="ED165" s="364"/>
      <c r="EE165" s="364"/>
      <c r="EF165" s="364"/>
      <c r="EG165" s="364"/>
      <c r="EH165" s="364"/>
      <c r="EI165" s="364"/>
      <c r="EJ165" s="364"/>
      <c r="EK165" s="364"/>
      <c r="EL165" s="364"/>
      <c r="EM165" s="364"/>
      <c r="EN165" s="364"/>
      <c r="EO165" s="364"/>
      <c r="EP165" s="364"/>
      <c r="EQ165" s="364"/>
      <c r="ER165" s="364"/>
      <c r="ES165" s="364"/>
      <c r="ET165" s="364"/>
      <c r="EU165" s="364"/>
      <c r="EV165" s="364"/>
      <c r="EW165" s="364"/>
      <c r="EX165" s="364"/>
      <c r="EY165" s="364"/>
      <c r="EZ165" s="364"/>
      <c r="FA165" s="364"/>
      <c r="FB165" s="364"/>
      <c r="FC165" s="364"/>
      <c r="FD165" s="364"/>
      <c r="FE165" s="364"/>
      <c r="FF165" s="364"/>
      <c r="FG165" s="364"/>
      <c r="FH165" s="364"/>
      <c r="FI165" s="364"/>
      <c r="FJ165" s="364"/>
      <c r="FK165" s="364"/>
    </row>
    <row r="166" customFormat="false" ht="15.75" hidden="false" customHeight="false" outlineLevel="0" collapsed="false">
      <c r="A166" s="364" t="n">
        <v>324</v>
      </c>
      <c r="B166" s="364" t="n">
        <f aca="false">COUNTA(D166:FK166)</f>
        <v>40</v>
      </c>
      <c r="C166" s="364" t="s">
        <v>950</v>
      </c>
      <c r="D166" s="364" t="s">
        <v>2312</v>
      </c>
      <c r="E166" s="364" t="s">
        <v>2464</v>
      </c>
      <c r="F166" s="364" t="s">
        <v>2434</v>
      </c>
      <c r="G166" s="364" t="s">
        <v>2517</v>
      </c>
      <c r="H166" s="364" t="s">
        <v>2518</v>
      </c>
      <c r="I166" s="364" t="s">
        <v>2316</v>
      </c>
      <c r="J166" s="364" t="s">
        <v>2624</v>
      </c>
      <c r="K166" s="364" t="s">
        <v>2435</v>
      </c>
      <c r="L166" s="364" t="s">
        <v>2318</v>
      </c>
      <c r="M166" s="364" t="s">
        <v>2319</v>
      </c>
      <c r="N166" s="364" t="s">
        <v>2320</v>
      </c>
      <c r="O166" s="364" t="s">
        <v>2369</v>
      </c>
      <c r="P166" s="364" t="s">
        <v>2376</v>
      </c>
      <c r="Q166" s="364" t="s">
        <v>2550</v>
      </c>
      <c r="R166" s="364" t="s">
        <v>2324</v>
      </c>
      <c r="S166" s="364" t="s">
        <v>2325</v>
      </c>
      <c r="T166" s="364" t="s">
        <v>2327</v>
      </c>
      <c r="U166" s="364" t="s">
        <v>2328</v>
      </c>
      <c r="V166" s="364" t="s">
        <v>2329</v>
      </c>
      <c r="W166" s="364" t="s">
        <v>2521</v>
      </c>
      <c r="X166" s="364" t="s">
        <v>2416</v>
      </c>
      <c r="Y166" s="364" t="s">
        <v>2417</v>
      </c>
      <c r="Z166" s="364" t="s">
        <v>2623</v>
      </c>
      <c r="AA166" s="364" t="s">
        <v>2638</v>
      </c>
      <c r="AB166" s="261" t="s">
        <v>183</v>
      </c>
      <c r="AC166" s="364" t="s">
        <v>157</v>
      </c>
      <c r="AD166" s="364" t="s">
        <v>2495</v>
      </c>
      <c r="AE166" s="364" t="s">
        <v>2337</v>
      </c>
      <c r="AF166" s="364" t="s">
        <v>2340</v>
      </c>
      <c r="AG166" s="364" t="s">
        <v>2341</v>
      </c>
      <c r="AH166" s="364" t="s">
        <v>2442</v>
      </c>
      <c r="AI166" s="364" t="s">
        <v>2470</v>
      </c>
      <c r="AJ166" s="364" t="s">
        <v>2422</v>
      </c>
      <c r="AK166" s="364" t="s">
        <v>2344</v>
      </c>
      <c r="AL166" s="364" t="s">
        <v>2641</v>
      </c>
      <c r="AM166" s="364" t="s">
        <v>2398</v>
      </c>
      <c r="AN166" s="364" t="s">
        <v>2445</v>
      </c>
      <c r="AO166" s="364" t="s">
        <v>2476</v>
      </c>
      <c r="AP166" s="364" t="s">
        <v>2399</v>
      </c>
      <c r="AQ166" s="364" t="s">
        <v>2430</v>
      </c>
      <c r="AR166" s="364"/>
      <c r="AS166" s="364"/>
      <c r="AT166" s="364"/>
      <c r="AU166" s="364"/>
      <c r="AV166" s="364"/>
      <c r="AW166" s="364"/>
      <c r="AX166" s="364"/>
      <c r="AY166" s="364"/>
      <c r="AZ166" s="364"/>
      <c r="BA166" s="364"/>
      <c r="BB166" s="364"/>
      <c r="BC166" s="364"/>
      <c r="BD166" s="364"/>
      <c r="BE166" s="364"/>
      <c r="BF166" s="364"/>
      <c r="BG166" s="364"/>
      <c r="BH166" s="364"/>
      <c r="BI166" s="364"/>
      <c r="BJ166" s="364"/>
      <c r="BK166" s="364"/>
      <c r="BL166" s="364"/>
      <c r="BM166" s="364"/>
      <c r="BN166" s="364"/>
      <c r="BO166" s="364"/>
      <c r="BP166" s="364"/>
      <c r="BQ166" s="364"/>
      <c r="BR166" s="364"/>
      <c r="BS166" s="364"/>
      <c r="BT166" s="364"/>
      <c r="BU166" s="364"/>
      <c r="BV166" s="364"/>
      <c r="BW166" s="364"/>
      <c r="BX166" s="364"/>
      <c r="BY166" s="364"/>
      <c r="BZ166" s="364"/>
      <c r="CA166" s="364"/>
      <c r="CB166" s="364"/>
      <c r="CC166" s="364"/>
      <c r="CD166" s="364"/>
      <c r="CE166" s="364"/>
      <c r="CF166" s="364"/>
      <c r="CG166" s="364"/>
      <c r="CH166" s="364"/>
      <c r="CI166" s="364"/>
      <c r="CJ166" s="364"/>
      <c r="CK166" s="364"/>
      <c r="CL166" s="364"/>
      <c r="CM166" s="364"/>
      <c r="CN166" s="364"/>
      <c r="CO166" s="364"/>
      <c r="CP166" s="364"/>
      <c r="CQ166" s="364"/>
      <c r="CR166" s="364"/>
      <c r="CS166" s="364"/>
      <c r="CT166" s="364"/>
      <c r="CU166" s="364"/>
      <c r="CV166" s="364"/>
      <c r="CW166" s="364"/>
      <c r="CX166" s="364"/>
      <c r="CY166" s="364"/>
      <c r="CZ166" s="364"/>
      <c r="DA166" s="364"/>
      <c r="DB166" s="364"/>
      <c r="DC166" s="364"/>
      <c r="DD166" s="364"/>
      <c r="DE166" s="364"/>
      <c r="DF166" s="364"/>
      <c r="DG166" s="364"/>
      <c r="DH166" s="364"/>
      <c r="DI166" s="364"/>
      <c r="DJ166" s="364"/>
      <c r="DK166" s="364"/>
      <c r="DL166" s="364"/>
      <c r="DM166" s="364"/>
      <c r="DN166" s="364"/>
      <c r="DO166" s="364"/>
      <c r="DP166" s="364"/>
      <c r="DQ166" s="364"/>
      <c r="DR166" s="364"/>
      <c r="DS166" s="364"/>
      <c r="DT166" s="364"/>
      <c r="DU166" s="364"/>
      <c r="DV166" s="364"/>
      <c r="DW166" s="364"/>
      <c r="DX166" s="364"/>
      <c r="DY166" s="364"/>
      <c r="DZ166" s="364"/>
      <c r="EA166" s="364"/>
      <c r="EB166" s="364"/>
      <c r="EC166" s="364"/>
      <c r="ED166" s="364"/>
      <c r="EE166" s="364"/>
      <c r="EF166" s="364"/>
      <c r="EG166" s="364"/>
      <c r="EH166" s="364"/>
      <c r="EI166" s="364"/>
      <c r="EJ166" s="364"/>
      <c r="EK166" s="364"/>
      <c r="EL166" s="364"/>
      <c r="EM166" s="364"/>
      <c r="EN166" s="364"/>
      <c r="EO166" s="364"/>
      <c r="EP166" s="364"/>
      <c r="EQ166" s="364"/>
      <c r="ER166" s="364"/>
      <c r="ES166" s="364"/>
      <c r="ET166" s="364"/>
      <c r="EU166" s="364"/>
      <c r="EV166" s="364"/>
      <c r="EW166" s="364"/>
      <c r="EX166" s="364"/>
      <c r="EY166" s="364"/>
      <c r="EZ166" s="364"/>
      <c r="FA166" s="364"/>
      <c r="FB166" s="364"/>
      <c r="FC166" s="364"/>
      <c r="FD166" s="364"/>
      <c r="FE166" s="364"/>
      <c r="FF166" s="364"/>
      <c r="FG166" s="364"/>
      <c r="FH166" s="364"/>
      <c r="FI166" s="364"/>
      <c r="FJ166" s="364"/>
      <c r="FK166" s="364"/>
    </row>
    <row r="167" customFormat="false" ht="15.75" hidden="false" customHeight="false" outlineLevel="0" collapsed="false">
      <c r="A167" s="364" t="n">
        <v>327</v>
      </c>
      <c r="B167" s="364" t="n">
        <f aca="false">COUNTA(D167:FK167)</f>
        <v>38</v>
      </c>
      <c r="C167" s="364" t="s">
        <v>957</v>
      </c>
      <c r="D167" s="364" t="s">
        <v>2352</v>
      </c>
      <c r="E167" s="364" t="s">
        <v>2353</v>
      </c>
      <c r="F167" s="364" t="s">
        <v>2354</v>
      </c>
      <c r="G167" s="364" t="s">
        <v>2405</v>
      </c>
      <c r="H167" s="364" t="s">
        <v>2407</v>
      </c>
      <c r="I167" s="364" t="s">
        <v>2432</v>
      </c>
      <c r="J167" s="364" t="s">
        <v>2433</v>
      </c>
      <c r="K167" s="364" t="s">
        <v>2316</v>
      </c>
      <c r="L167" s="364" t="s">
        <v>2319</v>
      </c>
      <c r="M167" s="364" t="s">
        <v>2320</v>
      </c>
      <c r="N167" s="364" t="s">
        <v>2323</v>
      </c>
      <c r="O167" s="364" t="s">
        <v>2324</v>
      </c>
      <c r="P167" s="364" t="s">
        <v>2437</v>
      </c>
      <c r="Q167" s="364" t="s">
        <v>2328</v>
      </c>
      <c r="R167" s="364" t="s">
        <v>2414</v>
      </c>
      <c r="S167" s="364" t="s">
        <v>2329</v>
      </c>
      <c r="T167" s="364" t="s">
        <v>2415</v>
      </c>
      <c r="U167" s="364" t="s">
        <v>2417</v>
      </c>
      <c r="V167" s="364" t="s">
        <v>2438</v>
      </c>
      <c r="W167" s="364" t="s">
        <v>2418</v>
      </c>
      <c r="X167" s="261" t="s">
        <v>183</v>
      </c>
      <c r="Y167" s="364" t="s">
        <v>2385</v>
      </c>
      <c r="Z167" s="364" t="s">
        <v>2461</v>
      </c>
      <c r="AA167" s="364" t="s">
        <v>2337</v>
      </c>
      <c r="AB167" s="364" t="s">
        <v>2340</v>
      </c>
      <c r="AC167" s="364" t="s">
        <v>2421</v>
      </c>
      <c r="AD167" s="364" t="s">
        <v>2341</v>
      </c>
      <c r="AE167" s="364" t="s">
        <v>2442</v>
      </c>
      <c r="AF167" s="364" t="s">
        <v>2422</v>
      </c>
      <c r="AG167" s="364" t="s">
        <v>2443</v>
      </c>
      <c r="AH167" s="364" t="s">
        <v>2344</v>
      </c>
      <c r="AI167" s="364" t="s">
        <v>2345</v>
      </c>
      <c r="AJ167" s="364" t="s">
        <v>2444</v>
      </c>
      <c r="AK167" s="364" t="s">
        <v>2398</v>
      </c>
      <c r="AL167" s="364" t="s">
        <v>2445</v>
      </c>
      <c r="AM167" s="364" t="s">
        <v>2400</v>
      </c>
      <c r="AN167" s="364" t="s">
        <v>2446</v>
      </c>
      <c r="AO167" s="364" t="s">
        <v>2428</v>
      </c>
      <c r="AP167" s="364"/>
      <c r="AQ167" s="364"/>
      <c r="AR167" s="364"/>
      <c r="AS167" s="364"/>
      <c r="AT167" s="364"/>
      <c r="AU167" s="364"/>
      <c r="AV167" s="364"/>
      <c r="AW167" s="364"/>
      <c r="AX167" s="364"/>
      <c r="AY167" s="364"/>
      <c r="AZ167" s="364"/>
      <c r="BA167" s="364"/>
      <c r="BB167" s="364"/>
      <c r="BC167" s="364"/>
      <c r="BD167" s="364"/>
      <c r="BE167" s="364"/>
      <c r="BF167" s="364"/>
      <c r="BG167" s="364"/>
      <c r="BH167" s="364"/>
      <c r="BI167" s="364"/>
      <c r="BJ167" s="364"/>
      <c r="BK167" s="364"/>
      <c r="BL167" s="364"/>
      <c r="BM167" s="364"/>
      <c r="BN167" s="364"/>
      <c r="BO167" s="364"/>
      <c r="BP167" s="364"/>
      <c r="BQ167" s="364"/>
      <c r="BR167" s="364"/>
      <c r="BS167" s="364"/>
      <c r="BT167" s="364"/>
      <c r="BU167" s="364"/>
      <c r="BV167" s="364"/>
      <c r="BW167" s="364"/>
      <c r="BX167" s="364"/>
      <c r="BY167" s="364"/>
      <c r="BZ167" s="364"/>
      <c r="CA167" s="364"/>
      <c r="CB167" s="364"/>
      <c r="CC167" s="364"/>
      <c r="CD167" s="364"/>
      <c r="CE167" s="364"/>
      <c r="CF167" s="364"/>
      <c r="CG167" s="364"/>
      <c r="CH167" s="364"/>
      <c r="CI167" s="364"/>
      <c r="CJ167" s="364"/>
      <c r="CK167" s="364"/>
      <c r="CL167" s="364"/>
      <c r="CM167" s="364"/>
      <c r="CN167" s="364"/>
      <c r="CO167" s="364"/>
      <c r="CP167" s="364"/>
      <c r="CQ167" s="364"/>
      <c r="CR167" s="364"/>
      <c r="CS167" s="364"/>
      <c r="CT167" s="364"/>
      <c r="CU167" s="364"/>
      <c r="CV167" s="364"/>
      <c r="CW167" s="364"/>
      <c r="CX167" s="364"/>
      <c r="CY167" s="364"/>
      <c r="CZ167" s="364"/>
      <c r="DA167" s="364"/>
      <c r="DB167" s="364"/>
      <c r="DC167" s="364"/>
      <c r="DD167" s="364"/>
      <c r="DE167" s="364"/>
      <c r="DF167" s="364"/>
      <c r="DG167" s="364"/>
      <c r="DH167" s="364"/>
      <c r="DI167" s="364"/>
      <c r="DJ167" s="364"/>
      <c r="DK167" s="364"/>
      <c r="DL167" s="364"/>
      <c r="DM167" s="364"/>
      <c r="DN167" s="364"/>
      <c r="DO167" s="364"/>
      <c r="DP167" s="364"/>
      <c r="DQ167" s="364"/>
      <c r="DR167" s="364"/>
      <c r="DS167" s="364"/>
      <c r="DT167" s="364"/>
      <c r="DU167" s="364"/>
      <c r="DV167" s="364"/>
      <c r="DW167" s="364"/>
      <c r="DX167" s="364"/>
      <c r="DY167" s="364"/>
      <c r="DZ167" s="364"/>
      <c r="EA167" s="364"/>
      <c r="EB167" s="364"/>
      <c r="EC167" s="364"/>
      <c r="ED167" s="364"/>
      <c r="EE167" s="364"/>
      <c r="EF167" s="364"/>
      <c r="EG167" s="364"/>
      <c r="EH167" s="364"/>
      <c r="EI167" s="364"/>
      <c r="EJ167" s="364"/>
      <c r="EK167" s="364"/>
      <c r="EL167" s="364"/>
      <c r="EM167" s="364"/>
      <c r="EN167" s="364"/>
      <c r="EO167" s="364"/>
      <c r="EP167" s="364"/>
      <c r="EQ167" s="364"/>
      <c r="ER167" s="364"/>
      <c r="ES167" s="364"/>
      <c r="ET167" s="364"/>
      <c r="EU167" s="364"/>
      <c r="EV167" s="364"/>
      <c r="EW167" s="364"/>
      <c r="EX167" s="364"/>
      <c r="EY167" s="364"/>
      <c r="EZ167" s="364"/>
      <c r="FA167" s="364"/>
      <c r="FB167" s="364"/>
      <c r="FC167" s="364"/>
      <c r="FD167" s="364"/>
      <c r="FE167" s="364"/>
      <c r="FF167" s="364"/>
      <c r="FG167" s="364"/>
      <c r="FH167" s="364"/>
      <c r="FI167" s="364"/>
      <c r="FJ167" s="364"/>
      <c r="FK167" s="364"/>
    </row>
    <row r="168" customFormat="false" ht="15.75" hidden="false" customHeight="false" outlineLevel="0" collapsed="false">
      <c r="A168" s="364" t="n">
        <v>329</v>
      </c>
      <c r="B168" s="364" t="n">
        <f aca="false">COUNTA(D168:FK168)</f>
        <v>51</v>
      </c>
      <c r="C168" s="364" t="s">
        <v>961</v>
      </c>
      <c r="D168" s="364" t="s">
        <v>2527</v>
      </c>
      <c r="E168" s="364" t="s">
        <v>2312</v>
      </c>
      <c r="F168" s="364" t="s">
        <v>2356</v>
      </c>
      <c r="G168" s="364" t="s">
        <v>2314</v>
      </c>
      <c r="H168" s="364" t="s">
        <v>138</v>
      </c>
      <c r="I168" s="364" t="s">
        <v>2315</v>
      </c>
      <c r="J168" s="364" t="s">
        <v>2316</v>
      </c>
      <c r="K168" s="364" t="s">
        <v>2520</v>
      </c>
      <c r="L168" s="364" t="s">
        <v>2364</v>
      </c>
      <c r="M168" s="364" t="s">
        <v>2319</v>
      </c>
      <c r="N168" s="364" t="s">
        <v>2320</v>
      </c>
      <c r="O168" s="364" t="s">
        <v>2449</v>
      </c>
      <c r="P168" s="364" t="s">
        <v>2534</v>
      </c>
      <c r="Q168" s="364" t="s">
        <v>2376</v>
      </c>
      <c r="R168" s="364" t="s">
        <v>2377</v>
      </c>
      <c r="S168" s="364" t="s">
        <v>2655</v>
      </c>
      <c r="T168" s="364" t="s">
        <v>2322</v>
      </c>
      <c r="U168" s="364" t="s">
        <v>2323</v>
      </c>
      <c r="V168" s="364" t="s">
        <v>2324</v>
      </c>
      <c r="W168" s="364" t="s">
        <v>2325</v>
      </c>
      <c r="X168" s="364" t="s">
        <v>2327</v>
      </c>
      <c r="Y168" s="364" t="s">
        <v>2328</v>
      </c>
      <c r="Z168" s="364" t="s">
        <v>2329</v>
      </c>
      <c r="AA168" s="364" t="s">
        <v>2381</v>
      </c>
      <c r="AB168" s="364" t="s">
        <v>2540</v>
      </c>
      <c r="AC168" s="364" t="s">
        <v>2610</v>
      </c>
      <c r="AD168" s="364" t="s">
        <v>2331</v>
      </c>
      <c r="AE168" s="364" t="s">
        <v>2382</v>
      </c>
      <c r="AF168" s="364" t="s">
        <v>2383</v>
      </c>
      <c r="AG168" s="261" t="s">
        <v>183</v>
      </c>
      <c r="AH168" s="364" t="s">
        <v>2387</v>
      </c>
      <c r="AI168" s="364" t="s">
        <v>2337</v>
      </c>
      <c r="AJ168" s="364" t="s">
        <v>2469</v>
      </c>
      <c r="AK168" s="364" t="s">
        <v>2388</v>
      </c>
      <c r="AL168" s="364" t="s">
        <v>2339</v>
      </c>
      <c r="AM168" s="364" t="s">
        <v>2389</v>
      </c>
      <c r="AN168" s="364" t="s">
        <v>2340</v>
      </c>
      <c r="AO168" s="364" t="s">
        <v>2341</v>
      </c>
      <c r="AP168" s="364" t="s">
        <v>2342</v>
      </c>
      <c r="AQ168" s="364" t="s">
        <v>2391</v>
      </c>
      <c r="AR168" s="364" t="s">
        <v>2613</v>
      </c>
      <c r="AS168" s="364" t="s">
        <v>2343</v>
      </c>
      <c r="AT168" s="364" t="s">
        <v>2344</v>
      </c>
      <c r="AU168" s="364" t="s">
        <v>2345</v>
      </c>
      <c r="AV168" s="364" t="s">
        <v>2500</v>
      </c>
      <c r="AW168" s="364" t="s">
        <v>2347</v>
      </c>
      <c r="AX168" s="364" t="s">
        <v>2511</v>
      </c>
      <c r="AY168" s="364" t="s">
        <v>2348</v>
      </c>
      <c r="AZ168" s="364" t="s">
        <v>2399</v>
      </c>
      <c r="BA168" s="364" t="s">
        <v>2546</v>
      </c>
      <c r="BB168" s="364" t="s">
        <v>2350</v>
      </c>
      <c r="BC168" s="364"/>
      <c r="BD168" s="364"/>
      <c r="BE168" s="364"/>
      <c r="BF168" s="364"/>
      <c r="BG168" s="364"/>
      <c r="BH168" s="364"/>
      <c r="BI168" s="364"/>
      <c r="BJ168" s="364"/>
      <c r="BK168" s="364"/>
      <c r="BL168" s="364"/>
      <c r="BM168" s="364"/>
      <c r="BN168" s="364"/>
      <c r="BO168" s="364"/>
      <c r="BP168" s="364"/>
      <c r="BQ168" s="364"/>
      <c r="BR168" s="364"/>
      <c r="BS168" s="364"/>
      <c r="BT168" s="364"/>
      <c r="BU168" s="364"/>
      <c r="BV168" s="364"/>
      <c r="BW168" s="364"/>
      <c r="BX168" s="364"/>
      <c r="BY168" s="364"/>
      <c r="BZ168" s="364"/>
      <c r="CA168" s="364"/>
      <c r="CB168" s="364"/>
      <c r="CC168" s="364"/>
      <c r="CD168" s="364"/>
      <c r="CE168" s="364"/>
      <c r="CF168" s="364"/>
      <c r="CG168" s="364"/>
      <c r="CH168" s="364"/>
      <c r="CI168" s="364"/>
      <c r="CJ168" s="364"/>
      <c r="CK168" s="364"/>
      <c r="CL168" s="364"/>
      <c r="CM168" s="364"/>
      <c r="CN168" s="364"/>
      <c r="CO168" s="364"/>
      <c r="CP168" s="364"/>
      <c r="CQ168" s="364"/>
      <c r="CR168" s="364"/>
      <c r="CS168" s="364"/>
      <c r="CT168" s="364"/>
      <c r="CU168" s="364"/>
      <c r="CV168" s="364"/>
      <c r="CW168" s="364"/>
      <c r="CX168" s="364"/>
      <c r="CY168" s="364"/>
      <c r="CZ168" s="364"/>
      <c r="DA168" s="364"/>
      <c r="DB168" s="364"/>
      <c r="DC168" s="364"/>
      <c r="DD168" s="364"/>
      <c r="DE168" s="364"/>
      <c r="DF168" s="364"/>
      <c r="DG168" s="364"/>
      <c r="DH168" s="364"/>
      <c r="DI168" s="364"/>
      <c r="DJ168" s="364"/>
      <c r="DK168" s="364"/>
      <c r="DL168" s="364"/>
      <c r="DM168" s="364"/>
      <c r="DN168" s="364"/>
      <c r="DO168" s="364"/>
      <c r="DP168" s="364"/>
      <c r="DQ168" s="364"/>
      <c r="DR168" s="364"/>
      <c r="DS168" s="364"/>
      <c r="DT168" s="364"/>
      <c r="DU168" s="364"/>
      <c r="DV168" s="364"/>
      <c r="DW168" s="364"/>
      <c r="DX168" s="364"/>
      <c r="DY168" s="364"/>
      <c r="DZ168" s="364"/>
      <c r="EA168" s="364"/>
      <c r="EB168" s="364"/>
      <c r="EC168" s="364"/>
      <c r="ED168" s="364"/>
      <c r="EE168" s="364"/>
      <c r="EF168" s="364"/>
      <c r="EG168" s="364"/>
      <c r="EH168" s="364"/>
      <c r="EI168" s="364"/>
      <c r="EJ168" s="364"/>
      <c r="EK168" s="364"/>
      <c r="EL168" s="364"/>
      <c r="EM168" s="364"/>
      <c r="EN168" s="364"/>
      <c r="EO168" s="364"/>
      <c r="EP168" s="364"/>
      <c r="EQ168" s="364"/>
      <c r="ER168" s="364"/>
      <c r="ES168" s="364"/>
      <c r="ET168" s="364"/>
      <c r="EU168" s="364"/>
      <c r="EV168" s="364"/>
      <c r="EW168" s="364"/>
      <c r="EX168" s="364"/>
      <c r="EY168" s="364"/>
      <c r="EZ168" s="364"/>
      <c r="FA168" s="364"/>
      <c r="FB168" s="364"/>
      <c r="FC168" s="364"/>
      <c r="FD168" s="364"/>
      <c r="FE168" s="364"/>
      <c r="FF168" s="364"/>
      <c r="FG168" s="364"/>
      <c r="FH168" s="364"/>
      <c r="FI168" s="364"/>
      <c r="FJ168" s="364"/>
      <c r="FK168" s="364"/>
    </row>
    <row r="169" customFormat="false" ht="15.75" hidden="false" customHeight="false" outlineLevel="0" collapsed="false">
      <c r="A169" s="364" t="n">
        <v>332</v>
      </c>
      <c r="B169" s="364" t="n">
        <f aca="false">COUNTA(D169:FK169)</f>
        <v>60</v>
      </c>
      <c r="C169" s="364" t="s">
        <v>967</v>
      </c>
      <c r="D169" s="364" t="s">
        <v>2352</v>
      </c>
      <c r="E169" s="364" t="s">
        <v>2405</v>
      </c>
      <c r="F169" s="364" t="s">
        <v>2312</v>
      </c>
      <c r="G169" s="364" t="s">
        <v>2356</v>
      </c>
      <c r="H169" s="364" t="s">
        <v>2313</v>
      </c>
      <c r="I169" s="364" t="s">
        <v>2509</v>
      </c>
      <c r="J169" s="364" t="s">
        <v>138</v>
      </c>
      <c r="K169" s="364" t="s">
        <v>2465</v>
      </c>
      <c r="L169" s="364" t="s">
        <v>2315</v>
      </c>
      <c r="M169" s="364" t="s">
        <v>2316</v>
      </c>
      <c r="N169" s="364" t="s">
        <v>2364</v>
      </c>
      <c r="O169" s="364" t="s">
        <v>2317</v>
      </c>
      <c r="P169" s="364" t="s">
        <v>2320</v>
      </c>
      <c r="Q169" s="364" t="s">
        <v>2535</v>
      </c>
      <c r="R169" s="364" t="s">
        <v>2366</v>
      </c>
      <c r="S169" s="364" t="s">
        <v>2369</v>
      </c>
      <c r="T169" s="364" t="s">
        <v>2373</v>
      </c>
      <c r="U169" s="364" t="s">
        <v>2376</v>
      </c>
      <c r="V169" s="364" t="s">
        <v>2377</v>
      </c>
      <c r="W169" s="364" t="s">
        <v>2322</v>
      </c>
      <c r="X169" s="364" t="s">
        <v>2324</v>
      </c>
      <c r="Y169" s="364" t="s">
        <v>2484</v>
      </c>
      <c r="Z169" s="364" t="s">
        <v>2614</v>
      </c>
      <c r="AA169" s="364" t="s">
        <v>2327</v>
      </c>
      <c r="AB169" s="364" t="s">
        <v>2328</v>
      </c>
      <c r="AC169" s="364" t="s">
        <v>2329</v>
      </c>
      <c r="AD169" s="364" t="s">
        <v>2415</v>
      </c>
      <c r="AE169" s="364" t="s">
        <v>2416</v>
      </c>
      <c r="AF169" s="364" t="s">
        <v>2417</v>
      </c>
      <c r="AG169" s="364" t="s">
        <v>2379</v>
      </c>
      <c r="AH169" s="364" t="s">
        <v>2539</v>
      </c>
      <c r="AI169" s="364" t="s">
        <v>2540</v>
      </c>
      <c r="AJ169" s="364" t="s">
        <v>2382</v>
      </c>
      <c r="AK169" s="364" t="s">
        <v>2383</v>
      </c>
      <c r="AL169" s="261" t="s">
        <v>183</v>
      </c>
      <c r="AM169" s="364" t="s">
        <v>2387</v>
      </c>
      <c r="AN169" s="364" t="s">
        <v>2337</v>
      </c>
      <c r="AO169" s="364" t="s">
        <v>2469</v>
      </c>
      <c r="AP169" s="364" t="s">
        <v>2338</v>
      </c>
      <c r="AQ169" s="364" t="s">
        <v>2388</v>
      </c>
      <c r="AR169" s="364" t="s">
        <v>2339</v>
      </c>
      <c r="AS169" s="364" t="s">
        <v>2389</v>
      </c>
      <c r="AT169" s="364" t="s">
        <v>2340</v>
      </c>
      <c r="AU169" s="364" t="s">
        <v>2390</v>
      </c>
      <c r="AV169" s="364" t="s">
        <v>2341</v>
      </c>
      <c r="AW169" s="364" t="s">
        <v>2391</v>
      </c>
      <c r="AX169" s="364" t="s">
        <v>2442</v>
      </c>
      <c r="AY169" s="364" t="s">
        <v>2392</v>
      </c>
      <c r="AZ169" s="364" t="s">
        <v>2470</v>
      </c>
      <c r="BA169" s="364" t="s">
        <v>2423</v>
      </c>
      <c r="BB169" s="364" t="s">
        <v>2344</v>
      </c>
      <c r="BC169" s="364" t="s">
        <v>2345</v>
      </c>
      <c r="BD169" s="364" t="s">
        <v>2346</v>
      </c>
      <c r="BE169" s="364" t="s">
        <v>2347</v>
      </c>
      <c r="BF169" s="364" t="s">
        <v>2473</v>
      </c>
      <c r="BG169" s="364" t="s">
        <v>2475</v>
      </c>
      <c r="BH169" s="364" t="s">
        <v>2476</v>
      </c>
      <c r="BI169" s="364" t="s">
        <v>2399</v>
      </c>
      <c r="BJ169" s="364" t="s">
        <v>2428</v>
      </c>
      <c r="BK169" s="364" t="s">
        <v>2572</v>
      </c>
      <c r="BL169" s="364"/>
      <c r="BM169" s="364"/>
      <c r="BN169" s="364"/>
      <c r="BO169" s="364"/>
      <c r="BP169" s="364"/>
      <c r="BQ169" s="364"/>
      <c r="BR169" s="364"/>
      <c r="BS169" s="364"/>
      <c r="BT169" s="364"/>
      <c r="BU169" s="364"/>
      <c r="BV169" s="364"/>
      <c r="BW169" s="364"/>
      <c r="BX169" s="364"/>
      <c r="BY169" s="364"/>
      <c r="BZ169" s="364"/>
      <c r="CA169" s="364"/>
      <c r="CB169" s="364"/>
      <c r="CC169" s="364"/>
      <c r="CD169" s="364"/>
      <c r="CE169" s="364"/>
      <c r="CF169" s="364"/>
      <c r="CG169" s="364"/>
      <c r="CH169" s="364"/>
      <c r="CI169" s="364"/>
      <c r="CJ169" s="364"/>
      <c r="CK169" s="364"/>
      <c r="CL169" s="364"/>
      <c r="CM169" s="364"/>
      <c r="CN169" s="364"/>
      <c r="CO169" s="364"/>
      <c r="CP169" s="364"/>
      <c r="CQ169" s="364"/>
      <c r="CR169" s="364"/>
      <c r="CS169" s="364"/>
      <c r="CT169" s="364"/>
      <c r="CU169" s="364"/>
      <c r="CV169" s="364"/>
      <c r="CW169" s="364"/>
      <c r="CX169" s="364"/>
      <c r="CY169" s="364"/>
      <c r="CZ169" s="364"/>
      <c r="DA169" s="364"/>
      <c r="DB169" s="364"/>
      <c r="DC169" s="364"/>
      <c r="DD169" s="364"/>
      <c r="DE169" s="364"/>
      <c r="DF169" s="364"/>
      <c r="DG169" s="364"/>
      <c r="DH169" s="364"/>
      <c r="DI169" s="364"/>
      <c r="DJ169" s="364"/>
      <c r="DK169" s="364"/>
      <c r="DL169" s="364"/>
      <c r="DM169" s="364"/>
      <c r="DN169" s="364"/>
      <c r="DO169" s="364"/>
      <c r="DP169" s="364"/>
      <c r="DQ169" s="364"/>
      <c r="DR169" s="364"/>
      <c r="DS169" s="364"/>
      <c r="DT169" s="364"/>
      <c r="DU169" s="364"/>
      <c r="DV169" s="364"/>
      <c r="DW169" s="364"/>
      <c r="DX169" s="364"/>
      <c r="DY169" s="364"/>
      <c r="DZ169" s="364"/>
      <c r="EA169" s="364"/>
      <c r="EB169" s="364"/>
      <c r="EC169" s="364"/>
      <c r="ED169" s="364"/>
      <c r="EE169" s="364"/>
      <c r="EF169" s="364"/>
      <c r="EG169" s="364"/>
      <c r="EH169" s="364"/>
      <c r="EI169" s="364"/>
      <c r="EJ169" s="364"/>
      <c r="EK169" s="364"/>
      <c r="EL169" s="364"/>
      <c r="EM169" s="364"/>
      <c r="EN169" s="364"/>
      <c r="EO169" s="364"/>
      <c r="EP169" s="364"/>
      <c r="EQ169" s="364"/>
      <c r="ER169" s="364"/>
      <c r="ES169" s="364"/>
      <c r="ET169" s="364"/>
      <c r="EU169" s="364"/>
      <c r="EV169" s="364"/>
      <c r="EW169" s="364"/>
      <c r="EX169" s="364"/>
      <c r="EY169" s="364"/>
      <c r="EZ169" s="364"/>
      <c r="FA169" s="364"/>
      <c r="FB169" s="364"/>
      <c r="FC169" s="364"/>
      <c r="FD169" s="364"/>
      <c r="FE169" s="364"/>
      <c r="FF169" s="364"/>
      <c r="FG169" s="364"/>
      <c r="FH169" s="364"/>
      <c r="FI169" s="364"/>
      <c r="FJ169" s="364"/>
      <c r="FK169" s="364"/>
    </row>
    <row r="170" customFormat="false" ht="15.75" hidden="false" customHeight="false" outlineLevel="0" collapsed="false">
      <c r="A170" s="364" t="n">
        <v>334</v>
      </c>
      <c r="B170" s="364" t="n">
        <f aca="false">COUNTA(D170:FK170)</f>
        <v>33</v>
      </c>
      <c r="C170" s="364" t="s">
        <v>971</v>
      </c>
      <c r="D170" s="364" t="s">
        <v>2527</v>
      </c>
      <c r="E170" s="364" t="s">
        <v>2352</v>
      </c>
      <c r="F170" s="364" t="s">
        <v>2353</v>
      </c>
      <c r="G170" s="364" t="s">
        <v>2432</v>
      </c>
      <c r="H170" s="364" t="s">
        <v>2315</v>
      </c>
      <c r="I170" s="364" t="s">
        <v>2358</v>
      </c>
      <c r="J170" s="364" t="s">
        <v>2316</v>
      </c>
      <c r="K170" s="364" t="s">
        <v>2320</v>
      </c>
      <c r="L170" s="364" t="s">
        <v>2449</v>
      </c>
      <c r="M170" s="364" t="s">
        <v>2322</v>
      </c>
      <c r="N170" s="364" t="s">
        <v>2498</v>
      </c>
      <c r="O170" s="364" t="s">
        <v>2323</v>
      </c>
      <c r="P170" s="364" t="s">
        <v>2324</v>
      </c>
      <c r="Q170" s="364" t="s">
        <v>2328</v>
      </c>
      <c r="R170" s="364" t="s">
        <v>2329</v>
      </c>
      <c r="S170" s="364" t="s">
        <v>2507</v>
      </c>
      <c r="T170" s="261" t="s">
        <v>183</v>
      </c>
      <c r="U170" s="364" t="s">
        <v>2385</v>
      </c>
      <c r="V170" s="364" t="s">
        <v>2337</v>
      </c>
      <c r="W170" s="364" t="s">
        <v>2340</v>
      </c>
      <c r="X170" s="364" t="s">
        <v>2390</v>
      </c>
      <c r="Y170" s="364" t="s">
        <v>2341</v>
      </c>
      <c r="Z170" s="364" t="s">
        <v>2442</v>
      </c>
      <c r="AA170" s="364" t="s">
        <v>2443</v>
      </c>
      <c r="AB170" s="364" t="s">
        <v>2395</v>
      </c>
      <c r="AC170" s="364" t="s">
        <v>2344</v>
      </c>
      <c r="AD170" s="364" t="s">
        <v>2345</v>
      </c>
      <c r="AE170" s="364" t="s">
        <v>2444</v>
      </c>
      <c r="AF170" s="364" t="s">
        <v>2398</v>
      </c>
      <c r="AG170" s="364" t="s">
        <v>2445</v>
      </c>
      <c r="AH170" s="364" t="s">
        <v>2463</v>
      </c>
      <c r="AI170" s="364" t="s">
        <v>2446</v>
      </c>
      <c r="AJ170" s="364" t="s">
        <v>2458</v>
      </c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/>
      <c r="BF170" s="364"/>
      <c r="BG170" s="364"/>
      <c r="BH170" s="364"/>
      <c r="BI170" s="364"/>
      <c r="BJ170" s="364"/>
      <c r="BK170" s="364"/>
      <c r="BL170" s="364"/>
      <c r="BM170" s="364"/>
      <c r="BN170" s="364"/>
      <c r="BO170" s="364"/>
      <c r="BP170" s="364"/>
      <c r="BQ170" s="364"/>
      <c r="BR170" s="364"/>
      <c r="BS170" s="364"/>
      <c r="BT170" s="364"/>
      <c r="BU170" s="364"/>
      <c r="BV170" s="364"/>
      <c r="BW170" s="364"/>
      <c r="BX170" s="364"/>
      <c r="BY170" s="364"/>
      <c r="BZ170" s="364"/>
      <c r="CA170" s="364"/>
      <c r="CB170" s="364"/>
      <c r="CC170" s="364"/>
      <c r="CD170" s="364"/>
      <c r="CE170" s="364"/>
      <c r="CF170" s="364"/>
      <c r="CG170" s="364"/>
      <c r="CH170" s="364"/>
      <c r="CI170" s="364"/>
      <c r="CJ170" s="364"/>
      <c r="CK170" s="364"/>
      <c r="CL170" s="364"/>
      <c r="CM170" s="364"/>
      <c r="CN170" s="364"/>
      <c r="CO170" s="364"/>
      <c r="CP170" s="364"/>
      <c r="CQ170" s="364"/>
      <c r="CR170" s="364"/>
      <c r="CS170" s="364"/>
      <c r="CT170" s="364"/>
      <c r="CU170" s="364"/>
      <c r="CV170" s="364"/>
      <c r="CW170" s="364"/>
      <c r="CX170" s="364"/>
      <c r="CY170" s="364"/>
      <c r="CZ170" s="364"/>
      <c r="DA170" s="364"/>
      <c r="DB170" s="364"/>
      <c r="DC170" s="364"/>
      <c r="DD170" s="364"/>
      <c r="DE170" s="364"/>
      <c r="DF170" s="364"/>
      <c r="DG170" s="364"/>
      <c r="DH170" s="364"/>
      <c r="DI170" s="364"/>
      <c r="DJ170" s="364"/>
      <c r="DK170" s="364"/>
      <c r="DL170" s="364"/>
      <c r="DM170" s="364"/>
      <c r="DN170" s="364"/>
      <c r="DO170" s="364"/>
      <c r="DP170" s="364"/>
      <c r="DQ170" s="364"/>
      <c r="DR170" s="364"/>
      <c r="DS170" s="364"/>
      <c r="DT170" s="364"/>
      <c r="DU170" s="364"/>
      <c r="DV170" s="364"/>
      <c r="DW170" s="364"/>
      <c r="DX170" s="364"/>
      <c r="DY170" s="364"/>
      <c r="DZ170" s="364"/>
      <c r="EA170" s="364"/>
      <c r="EB170" s="364"/>
      <c r="EC170" s="364"/>
      <c r="ED170" s="364"/>
      <c r="EE170" s="364"/>
      <c r="EF170" s="364"/>
      <c r="EG170" s="364"/>
      <c r="EH170" s="364"/>
      <c r="EI170" s="364"/>
      <c r="EJ170" s="364"/>
      <c r="EK170" s="364"/>
      <c r="EL170" s="364"/>
      <c r="EM170" s="364"/>
      <c r="EN170" s="364"/>
      <c r="EO170" s="364"/>
      <c r="EP170" s="364"/>
      <c r="EQ170" s="364"/>
      <c r="ER170" s="364"/>
      <c r="ES170" s="364"/>
      <c r="ET170" s="364"/>
      <c r="EU170" s="364"/>
      <c r="EV170" s="364"/>
      <c r="EW170" s="364"/>
      <c r="EX170" s="364"/>
      <c r="EY170" s="364"/>
      <c r="EZ170" s="364"/>
      <c r="FA170" s="364"/>
      <c r="FB170" s="364"/>
      <c r="FC170" s="364"/>
      <c r="FD170" s="364"/>
      <c r="FE170" s="364"/>
      <c r="FF170" s="364"/>
      <c r="FG170" s="364"/>
      <c r="FH170" s="364"/>
      <c r="FI170" s="364"/>
      <c r="FJ170" s="364"/>
      <c r="FK170" s="364"/>
    </row>
    <row r="171" customFormat="false" ht="15.75" hidden="false" customHeight="false" outlineLevel="0" collapsed="false">
      <c r="A171" s="364" t="n">
        <v>335</v>
      </c>
      <c r="B171" s="364" t="n">
        <f aca="false">COUNTA(D171:FK171)</f>
        <v>32</v>
      </c>
      <c r="C171" s="364" t="s">
        <v>973</v>
      </c>
      <c r="D171" s="364" t="s">
        <v>2527</v>
      </c>
      <c r="E171" s="364" t="s">
        <v>2352</v>
      </c>
      <c r="F171" s="364" t="s">
        <v>2432</v>
      </c>
      <c r="G171" s="364" t="s">
        <v>2315</v>
      </c>
      <c r="H171" s="364" t="s">
        <v>2358</v>
      </c>
      <c r="I171" s="364" t="s">
        <v>2316</v>
      </c>
      <c r="J171" s="364" t="s">
        <v>2435</v>
      </c>
      <c r="K171" s="364" t="s">
        <v>2320</v>
      </c>
      <c r="L171" s="364" t="s">
        <v>2449</v>
      </c>
      <c r="M171" s="364" t="s">
        <v>2322</v>
      </c>
      <c r="N171" s="364" t="s">
        <v>2498</v>
      </c>
      <c r="O171" s="364" t="s">
        <v>2323</v>
      </c>
      <c r="P171" s="364" t="s">
        <v>2324</v>
      </c>
      <c r="Q171" s="364" t="s">
        <v>2328</v>
      </c>
      <c r="R171" s="364" t="s">
        <v>2329</v>
      </c>
      <c r="S171" s="364" t="s">
        <v>2507</v>
      </c>
      <c r="T171" s="261" t="s">
        <v>183</v>
      </c>
      <c r="U171" s="364" t="s">
        <v>2656</v>
      </c>
      <c r="V171" s="364" t="s">
        <v>2337</v>
      </c>
      <c r="W171" s="364" t="s">
        <v>2340</v>
      </c>
      <c r="X171" s="364" t="s">
        <v>2390</v>
      </c>
      <c r="Y171" s="364" t="s">
        <v>2341</v>
      </c>
      <c r="Z171" s="364" t="s">
        <v>2442</v>
      </c>
      <c r="AA171" s="364" t="s">
        <v>2392</v>
      </c>
      <c r="AB171" s="364" t="s">
        <v>2639</v>
      </c>
      <c r="AC171" s="364" t="s">
        <v>2395</v>
      </c>
      <c r="AD171" s="364" t="s">
        <v>2344</v>
      </c>
      <c r="AE171" s="364" t="s">
        <v>2345</v>
      </c>
      <c r="AF171" s="364" t="s">
        <v>2444</v>
      </c>
      <c r="AG171" s="364" t="s">
        <v>2473</v>
      </c>
      <c r="AH171" s="364" t="s">
        <v>2445</v>
      </c>
      <c r="AI171" s="364" t="s">
        <v>2458</v>
      </c>
      <c r="AJ171" s="364"/>
      <c r="AK171" s="364"/>
      <c r="AL171" s="364"/>
      <c r="AM171" s="364"/>
      <c r="AN171" s="364"/>
      <c r="AO171" s="364"/>
      <c r="AP171" s="364"/>
      <c r="AQ171" s="364"/>
      <c r="AR171" s="364"/>
      <c r="AS171" s="364"/>
      <c r="AT171" s="364"/>
      <c r="AU171" s="364"/>
      <c r="AV171" s="364"/>
      <c r="AW171" s="364"/>
      <c r="AX171" s="364"/>
      <c r="AY171" s="364"/>
      <c r="AZ171" s="364"/>
      <c r="BA171" s="364"/>
      <c r="BB171" s="364"/>
      <c r="BC171" s="364"/>
      <c r="BD171" s="364"/>
      <c r="BE171" s="364"/>
      <c r="BF171" s="364"/>
      <c r="BG171" s="364"/>
      <c r="BH171" s="364"/>
      <c r="BI171" s="364"/>
      <c r="BJ171" s="364"/>
      <c r="BK171" s="364"/>
      <c r="BL171" s="364"/>
      <c r="BM171" s="364"/>
      <c r="BN171" s="364"/>
      <c r="BO171" s="364"/>
      <c r="BP171" s="364"/>
      <c r="BQ171" s="364"/>
      <c r="BR171" s="364"/>
      <c r="BS171" s="364"/>
      <c r="BT171" s="364"/>
      <c r="BU171" s="364"/>
      <c r="BV171" s="364"/>
      <c r="BW171" s="364"/>
      <c r="BX171" s="364"/>
      <c r="BY171" s="364"/>
      <c r="BZ171" s="364"/>
      <c r="CA171" s="364"/>
      <c r="CB171" s="364"/>
      <c r="CC171" s="364"/>
      <c r="CD171" s="364"/>
      <c r="CE171" s="364"/>
      <c r="CF171" s="364"/>
      <c r="CG171" s="364"/>
      <c r="CH171" s="364"/>
      <c r="CI171" s="364"/>
      <c r="CJ171" s="364"/>
      <c r="CK171" s="364"/>
      <c r="CL171" s="364"/>
      <c r="CM171" s="364"/>
      <c r="CN171" s="364"/>
      <c r="CO171" s="364"/>
      <c r="CP171" s="364"/>
      <c r="CQ171" s="364"/>
      <c r="CR171" s="364"/>
      <c r="CS171" s="364"/>
      <c r="CT171" s="364"/>
      <c r="CU171" s="364"/>
      <c r="CV171" s="364"/>
      <c r="CW171" s="364"/>
      <c r="CX171" s="364"/>
      <c r="CY171" s="364"/>
      <c r="CZ171" s="364"/>
      <c r="DA171" s="364"/>
      <c r="DB171" s="364"/>
      <c r="DC171" s="364"/>
      <c r="DD171" s="364"/>
      <c r="DE171" s="364"/>
      <c r="DF171" s="364"/>
      <c r="DG171" s="364"/>
      <c r="DH171" s="364"/>
      <c r="DI171" s="364"/>
      <c r="DJ171" s="364"/>
      <c r="DK171" s="364"/>
      <c r="DL171" s="364"/>
      <c r="DM171" s="364"/>
      <c r="DN171" s="364"/>
      <c r="DO171" s="364"/>
      <c r="DP171" s="364"/>
      <c r="DQ171" s="364"/>
      <c r="DR171" s="364"/>
      <c r="DS171" s="364"/>
      <c r="DT171" s="364"/>
      <c r="DU171" s="364"/>
      <c r="DV171" s="364"/>
      <c r="DW171" s="364"/>
      <c r="DX171" s="364"/>
      <c r="DY171" s="364"/>
      <c r="DZ171" s="364"/>
      <c r="EA171" s="364"/>
      <c r="EB171" s="364"/>
      <c r="EC171" s="364"/>
      <c r="ED171" s="364"/>
      <c r="EE171" s="364"/>
      <c r="EF171" s="364"/>
      <c r="EG171" s="364"/>
      <c r="EH171" s="364"/>
      <c r="EI171" s="364"/>
      <c r="EJ171" s="364"/>
      <c r="EK171" s="364"/>
      <c r="EL171" s="364"/>
      <c r="EM171" s="364"/>
      <c r="EN171" s="364"/>
      <c r="EO171" s="364"/>
      <c r="EP171" s="364"/>
      <c r="EQ171" s="364"/>
      <c r="ER171" s="364"/>
      <c r="ES171" s="364"/>
      <c r="ET171" s="364"/>
      <c r="EU171" s="364"/>
      <c r="EV171" s="364"/>
      <c r="EW171" s="364"/>
      <c r="EX171" s="364"/>
      <c r="EY171" s="364"/>
      <c r="EZ171" s="364"/>
      <c r="FA171" s="364"/>
      <c r="FB171" s="364"/>
      <c r="FC171" s="364"/>
      <c r="FD171" s="364"/>
      <c r="FE171" s="364"/>
      <c r="FF171" s="364"/>
      <c r="FG171" s="364"/>
      <c r="FH171" s="364"/>
      <c r="FI171" s="364"/>
      <c r="FJ171" s="364"/>
      <c r="FK171" s="364"/>
    </row>
    <row r="172" customFormat="false" ht="15.75" hidden="false" customHeight="false" outlineLevel="0" collapsed="false">
      <c r="A172" s="364" t="n">
        <v>338</v>
      </c>
      <c r="B172" s="364" t="n">
        <f aca="false">COUNTA(D172:FK172)</f>
        <v>65</v>
      </c>
      <c r="C172" s="364" t="s">
        <v>979</v>
      </c>
      <c r="D172" s="364" t="s">
        <v>2528</v>
      </c>
      <c r="E172" s="364" t="s">
        <v>2403</v>
      </c>
      <c r="F172" s="364" t="s">
        <v>2404</v>
      </c>
      <c r="G172" s="364" t="s">
        <v>2405</v>
      </c>
      <c r="H172" s="364" t="s">
        <v>2312</v>
      </c>
      <c r="I172" s="364" t="s">
        <v>2657</v>
      </c>
      <c r="J172" s="364" t="s">
        <v>2356</v>
      </c>
      <c r="K172" s="364" t="s">
        <v>2313</v>
      </c>
      <c r="L172" s="364" t="s">
        <v>138</v>
      </c>
      <c r="M172" s="364" t="s">
        <v>2466</v>
      </c>
      <c r="N172" s="364" t="s">
        <v>2316</v>
      </c>
      <c r="O172" s="364" t="s">
        <v>2364</v>
      </c>
      <c r="P172" s="364" t="s">
        <v>2317</v>
      </c>
      <c r="Q172" s="364" t="s">
        <v>2318</v>
      </c>
      <c r="R172" s="364" t="s">
        <v>2448</v>
      </c>
      <c r="S172" s="364" t="s">
        <v>2320</v>
      </c>
      <c r="T172" s="364" t="s">
        <v>2366</v>
      </c>
      <c r="U172" s="364" t="s">
        <v>2367</v>
      </c>
      <c r="V172" s="364" t="s">
        <v>2369</v>
      </c>
      <c r="W172" s="364" t="s">
        <v>2373</v>
      </c>
      <c r="X172" s="364" t="s">
        <v>2376</v>
      </c>
      <c r="Y172" s="364" t="s">
        <v>2324</v>
      </c>
      <c r="Z172" s="364" t="s">
        <v>2327</v>
      </c>
      <c r="AA172" s="364" t="s">
        <v>2328</v>
      </c>
      <c r="AB172" s="364" t="s">
        <v>2329</v>
      </c>
      <c r="AC172" s="364" t="s">
        <v>2521</v>
      </c>
      <c r="AD172" s="364" t="s">
        <v>2415</v>
      </c>
      <c r="AE172" s="364" t="s">
        <v>2485</v>
      </c>
      <c r="AF172" s="364" t="s">
        <v>2416</v>
      </c>
      <c r="AG172" s="364" t="s">
        <v>2417</v>
      </c>
      <c r="AH172" s="364" t="s">
        <v>2379</v>
      </c>
      <c r="AI172" s="364" t="s">
        <v>2539</v>
      </c>
      <c r="AJ172" s="364" t="s">
        <v>2382</v>
      </c>
      <c r="AK172" s="364" t="s">
        <v>2383</v>
      </c>
      <c r="AL172" s="261" t="s">
        <v>183</v>
      </c>
      <c r="AM172" s="364" t="s">
        <v>2332</v>
      </c>
      <c r="AN172" s="364" t="s">
        <v>2386</v>
      </c>
      <c r="AO172" s="364" t="s">
        <v>2582</v>
      </c>
      <c r="AP172" s="364" t="s">
        <v>2387</v>
      </c>
      <c r="AQ172" s="364" t="s">
        <v>2337</v>
      </c>
      <c r="AR172" s="364" t="s">
        <v>2469</v>
      </c>
      <c r="AS172" s="364" t="s">
        <v>2338</v>
      </c>
      <c r="AT172" s="364" t="s">
        <v>2388</v>
      </c>
      <c r="AU172" s="364" t="s">
        <v>2339</v>
      </c>
      <c r="AV172" s="364" t="s">
        <v>2389</v>
      </c>
      <c r="AW172" s="364" t="s">
        <v>2420</v>
      </c>
      <c r="AX172" s="364" t="s">
        <v>2340</v>
      </c>
      <c r="AY172" s="364" t="s">
        <v>2341</v>
      </c>
      <c r="AZ172" s="364" t="s">
        <v>2391</v>
      </c>
      <c r="BA172" s="364" t="s">
        <v>2442</v>
      </c>
      <c r="BB172" s="364" t="s">
        <v>2470</v>
      </c>
      <c r="BC172" s="364" t="s">
        <v>2423</v>
      </c>
      <c r="BD172" s="364" t="s">
        <v>2344</v>
      </c>
      <c r="BE172" s="364" t="s">
        <v>2345</v>
      </c>
      <c r="BF172" s="364" t="s">
        <v>2571</v>
      </c>
      <c r="BG172" s="364" t="s">
        <v>2346</v>
      </c>
      <c r="BH172" s="364" t="s">
        <v>2347</v>
      </c>
      <c r="BI172" s="364" t="s">
        <v>2424</v>
      </c>
      <c r="BJ172" s="364" t="s">
        <v>2592</v>
      </c>
      <c r="BK172" s="364" t="s">
        <v>2488</v>
      </c>
      <c r="BL172" s="364" t="s">
        <v>2399</v>
      </c>
      <c r="BM172" s="364" t="s">
        <v>2463</v>
      </c>
      <c r="BN172" s="364" t="s">
        <v>2428</v>
      </c>
      <c r="BO172" s="364" t="s">
        <v>2429</v>
      </c>
      <c r="BP172" s="364" t="s">
        <v>2430</v>
      </c>
      <c r="BQ172" s="364"/>
      <c r="BR172" s="364"/>
      <c r="BS172" s="364"/>
      <c r="BT172" s="364"/>
      <c r="BU172" s="364"/>
      <c r="BV172" s="364"/>
      <c r="BW172" s="364"/>
      <c r="BX172" s="364"/>
      <c r="BY172" s="364"/>
      <c r="BZ172" s="364"/>
      <c r="CA172" s="364"/>
      <c r="CB172" s="364"/>
      <c r="CC172" s="364"/>
      <c r="CD172" s="364"/>
      <c r="CE172" s="364"/>
      <c r="CF172" s="364"/>
      <c r="CG172" s="364"/>
      <c r="CH172" s="364"/>
      <c r="CI172" s="364"/>
      <c r="CJ172" s="364"/>
      <c r="CK172" s="364"/>
      <c r="CL172" s="364"/>
      <c r="CM172" s="364"/>
      <c r="CN172" s="364"/>
      <c r="CO172" s="364"/>
      <c r="CP172" s="364"/>
      <c r="CQ172" s="364"/>
      <c r="CR172" s="364"/>
      <c r="CS172" s="364"/>
      <c r="CT172" s="364"/>
      <c r="CU172" s="364"/>
      <c r="CV172" s="364"/>
      <c r="CW172" s="364"/>
      <c r="CX172" s="364"/>
      <c r="CY172" s="364"/>
      <c r="CZ172" s="364"/>
      <c r="DA172" s="364"/>
      <c r="DB172" s="364"/>
      <c r="DC172" s="364"/>
      <c r="DD172" s="364"/>
      <c r="DE172" s="364"/>
      <c r="DF172" s="364"/>
      <c r="DG172" s="364"/>
      <c r="DH172" s="364"/>
      <c r="DI172" s="364"/>
      <c r="DJ172" s="364"/>
      <c r="DK172" s="364"/>
      <c r="DL172" s="364"/>
      <c r="DM172" s="364"/>
      <c r="DN172" s="364"/>
      <c r="DO172" s="364"/>
      <c r="DP172" s="364"/>
      <c r="DQ172" s="364"/>
      <c r="DR172" s="364"/>
      <c r="DS172" s="364"/>
      <c r="DT172" s="364"/>
      <c r="DU172" s="364"/>
      <c r="DV172" s="364"/>
      <c r="DW172" s="364"/>
      <c r="DX172" s="364"/>
      <c r="DY172" s="364"/>
      <c r="DZ172" s="364"/>
      <c r="EA172" s="364"/>
      <c r="EB172" s="364"/>
      <c r="EC172" s="364"/>
      <c r="ED172" s="364"/>
      <c r="EE172" s="364"/>
      <c r="EF172" s="364"/>
      <c r="EG172" s="364"/>
      <c r="EH172" s="364"/>
      <c r="EI172" s="364"/>
      <c r="EJ172" s="364"/>
      <c r="EK172" s="364"/>
      <c r="EL172" s="364"/>
      <c r="EM172" s="364"/>
      <c r="EN172" s="364"/>
      <c r="EO172" s="364"/>
      <c r="EP172" s="364"/>
      <c r="EQ172" s="364"/>
      <c r="ER172" s="364"/>
      <c r="ES172" s="364"/>
      <c r="ET172" s="364"/>
      <c r="EU172" s="364"/>
      <c r="EV172" s="364"/>
      <c r="EW172" s="364"/>
      <c r="EX172" s="364"/>
      <c r="EY172" s="364"/>
      <c r="EZ172" s="364"/>
      <c r="FA172" s="364"/>
      <c r="FB172" s="364"/>
      <c r="FC172" s="364"/>
      <c r="FD172" s="364"/>
      <c r="FE172" s="364"/>
      <c r="FF172" s="364"/>
      <c r="FG172" s="364"/>
      <c r="FH172" s="364"/>
      <c r="FI172" s="364"/>
      <c r="FJ172" s="364"/>
      <c r="FK172" s="364"/>
    </row>
    <row r="173" customFormat="false" ht="15.75" hidden="false" customHeight="false" outlineLevel="0" collapsed="false">
      <c r="A173" s="364" t="n">
        <v>340</v>
      </c>
      <c r="B173" s="364" t="n">
        <f aca="false">COUNTA(D173:FK173)</f>
        <v>57</v>
      </c>
      <c r="C173" s="364" t="s">
        <v>983</v>
      </c>
      <c r="D173" s="364" t="s">
        <v>2647</v>
      </c>
      <c r="E173" s="364" t="s">
        <v>2312</v>
      </c>
      <c r="F173" s="364" t="s">
        <v>2356</v>
      </c>
      <c r="G173" s="364" t="s">
        <v>2406</v>
      </c>
      <c r="H173" s="364" t="s">
        <v>2313</v>
      </c>
      <c r="I173" s="364" t="s">
        <v>2541</v>
      </c>
      <c r="J173" s="364" t="s">
        <v>138</v>
      </c>
      <c r="K173" s="364" t="s">
        <v>2358</v>
      </c>
      <c r="L173" s="364" t="s">
        <v>2316</v>
      </c>
      <c r="M173" s="364" t="s">
        <v>2364</v>
      </c>
      <c r="N173" s="364" t="s">
        <v>2317</v>
      </c>
      <c r="O173" s="364" t="s">
        <v>2320</v>
      </c>
      <c r="P173" s="364" t="s">
        <v>2533</v>
      </c>
      <c r="Q173" s="364" t="s">
        <v>2369</v>
      </c>
      <c r="R173" s="364" t="s">
        <v>2376</v>
      </c>
      <c r="S173" s="364" t="s">
        <v>2377</v>
      </c>
      <c r="T173" s="364" t="s">
        <v>2655</v>
      </c>
      <c r="U173" s="364" t="s">
        <v>2324</v>
      </c>
      <c r="V173" s="364" t="s">
        <v>2327</v>
      </c>
      <c r="W173" s="364" t="s">
        <v>2563</v>
      </c>
      <c r="X173" s="364" t="s">
        <v>2328</v>
      </c>
      <c r="Y173" s="364" t="s">
        <v>2329</v>
      </c>
      <c r="Z173" s="364" t="s">
        <v>2416</v>
      </c>
      <c r="AA173" s="364" t="s">
        <v>2506</v>
      </c>
      <c r="AB173" s="364" t="s">
        <v>2330</v>
      </c>
      <c r="AC173" s="364" t="s">
        <v>2539</v>
      </c>
      <c r="AD173" s="364" t="s">
        <v>2540</v>
      </c>
      <c r="AE173" s="364" t="s">
        <v>2382</v>
      </c>
      <c r="AF173" s="364" t="s">
        <v>2383</v>
      </c>
      <c r="AG173" s="261" t="s">
        <v>183</v>
      </c>
      <c r="AH173" s="364" t="s">
        <v>2452</v>
      </c>
      <c r="AI173" s="364" t="s">
        <v>2454</v>
      </c>
      <c r="AJ173" s="364" t="s">
        <v>2387</v>
      </c>
      <c r="AK173" s="364" t="s">
        <v>2337</v>
      </c>
      <c r="AL173" s="364" t="s">
        <v>2469</v>
      </c>
      <c r="AM173" s="364" t="s">
        <v>2338</v>
      </c>
      <c r="AN173" s="364" t="s">
        <v>2388</v>
      </c>
      <c r="AO173" s="364" t="s">
        <v>2339</v>
      </c>
      <c r="AP173" s="364" t="s">
        <v>2389</v>
      </c>
      <c r="AQ173" s="364" t="s">
        <v>2340</v>
      </c>
      <c r="AR173" s="364" t="s">
        <v>2341</v>
      </c>
      <c r="AS173" s="364" t="s">
        <v>2391</v>
      </c>
      <c r="AT173" s="364" t="s">
        <v>2423</v>
      </c>
      <c r="AU173" s="364" t="s">
        <v>2617</v>
      </c>
      <c r="AV173" s="364" t="s">
        <v>2344</v>
      </c>
      <c r="AW173" s="364" t="s">
        <v>2346</v>
      </c>
      <c r="AX173" s="364" t="s">
        <v>2500</v>
      </c>
      <c r="AY173" s="364" t="s">
        <v>2347</v>
      </c>
      <c r="AZ173" s="364" t="s">
        <v>2511</v>
      </c>
      <c r="BA173" s="364" t="s">
        <v>2424</v>
      </c>
      <c r="BB173" s="364" t="s">
        <v>2348</v>
      </c>
      <c r="BC173" s="364" t="s">
        <v>2456</v>
      </c>
      <c r="BD173" s="364" t="s">
        <v>2399</v>
      </c>
      <c r="BE173" s="364" t="s">
        <v>2546</v>
      </c>
      <c r="BF173" s="364" t="s">
        <v>2554</v>
      </c>
      <c r="BG173" s="364" t="s">
        <v>2555</v>
      </c>
      <c r="BH173" s="364" t="s">
        <v>2429</v>
      </c>
      <c r="BI173" s="364"/>
      <c r="BJ173" s="364"/>
      <c r="BK173" s="364"/>
      <c r="BL173" s="364"/>
      <c r="BM173" s="364"/>
      <c r="BN173" s="364"/>
      <c r="BO173" s="364"/>
      <c r="BP173" s="364"/>
      <c r="BQ173" s="364"/>
      <c r="BR173" s="364"/>
      <c r="BS173" s="364"/>
      <c r="BT173" s="364"/>
      <c r="BU173" s="364"/>
      <c r="BV173" s="364"/>
      <c r="BW173" s="364"/>
      <c r="BX173" s="364"/>
      <c r="BY173" s="364"/>
      <c r="BZ173" s="364"/>
      <c r="CA173" s="364"/>
      <c r="CB173" s="364"/>
      <c r="CC173" s="364"/>
      <c r="CD173" s="364"/>
      <c r="CE173" s="364"/>
      <c r="CF173" s="364"/>
      <c r="CG173" s="364"/>
      <c r="CH173" s="364"/>
      <c r="CI173" s="364"/>
      <c r="CJ173" s="364"/>
      <c r="CK173" s="364"/>
      <c r="CL173" s="364"/>
      <c r="CM173" s="364"/>
      <c r="CN173" s="364"/>
      <c r="CO173" s="364"/>
      <c r="CP173" s="364"/>
      <c r="CQ173" s="364"/>
      <c r="CR173" s="364"/>
      <c r="CS173" s="364"/>
      <c r="CT173" s="364"/>
      <c r="CU173" s="364"/>
      <c r="CV173" s="364"/>
      <c r="CW173" s="364"/>
      <c r="CX173" s="364"/>
      <c r="CY173" s="364"/>
      <c r="CZ173" s="364"/>
      <c r="DA173" s="364"/>
      <c r="DB173" s="364"/>
      <c r="DC173" s="364"/>
      <c r="DD173" s="364"/>
      <c r="DE173" s="364"/>
      <c r="DF173" s="364"/>
      <c r="DG173" s="364"/>
      <c r="DH173" s="364"/>
      <c r="DI173" s="364"/>
      <c r="DJ173" s="364"/>
      <c r="DK173" s="364"/>
      <c r="DL173" s="364"/>
      <c r="DM173" s="364"/>
      <c r="DN173" s="364"/>
      <c r="DO173" s="364"/>
      <c r="DP173" s="364"/>
      <c r="DQ173" s="364"/>
      <c r="DR173" s="364"/>
      <c r="DS173" s="364"/>
      <c r="DT173" s="364"/>
      <c r="DU173" s="364"/>
      <c r="DV173" s="364"/>
      <c r="DW173" s="364"/>
      <c r="DX173" s="364"/>
      <c r="DY173" s="364"/>
      <c r="DZ173" s="364"/>
      <c r="EA173" s="364"/>
      <c r="EB173" s="364"/>
      <c r="EC173" s="364"/>
      <c r="ED173" s="364"/>
      <c r="EE173" s="364"/>
      <c r="EF173" s="364"/>
      <c r="EG173" s="364"/>
      <c r="EH173" s="364"/>
      <c r="EI173" s="364"/>
      <c r="EJ173" s="364"/>
      <c r="EK173" s="364"/>
      <c r="EL173" s="364"/>
      <c r="EM173" s="364"/>
      <c r="EN173" s="364"/>
      <c r="EO173" s="364"/>
      <c r="EP173" s="364"/>
      <c r="EQ173" s="364"/>
      <c r="ER173" s="364"/>
      <c r="ES173" s="364"/>
      <c r="ET173" s="364"/>
      <c r="EU173" s="364"/>
      <c r="EV173" s="364"/>
      <c r="EW173" s="364"/>
      <c r="EX173" s="364"/>
      <c r="EY173" s="364"/>
      <c r="EZ173" s="364"/>
      <c r="FA173" s="364"/>
      <c r="FB173" s="364"/>
      <c r="FC173" s="364"/>
      <c r="FD173" s="364"/>
      <c r="FE173" s="364"/>
      <c r="FF173" s="364"/>
      <c r="FG173" s="364"/>
      <c r="FH173" s="364"/>
      <c r="FI173" s="364"/>
      <c r="FJ173" s="364"/>
      <c r="FK173" s="364"/>
    </row>
    <row r="174" customFormat="false" ht="15.75" hidden="false" customHeight="false" outlineLevel="0" collapsed="false">
      <c r="A174" s="364" t="n">
        <v>342</v>
      </c>
      <c r="B174" s="364" t="n">
        <f aca="false">COUNTA(D174:FK174)</f>
        <v>40</v>
      </c>
      <c r="C174" s="364" t="s">
        <v>986</v>
      </c>
      <c r="D174" s="364" t="s">
        <v>2561</v>
      </c>
      <c r="E174" s="364" t="s">
        <v>2312</v>
      </c>
      <c r="F174" s="364" t="s">
        <v>2313</v>
      </c>
      <c r="G174" s="364" t="s">
        <v>2517</v>
      </c>
      <c r="H174" s="364" t="s">
        <v>2569</v>
      </c>
      <c r="I174" s="364" t="s">
        <v>2316</v>
      </c>
      <c r="J174" s="364" t="s">
        <v>2364</v>
      </c>
      <c r="K174" s="364" t="s">
        <v>2497</v>
      </c>
      <c r="L174" s="364" t="s">
        <v>2317</v>
      </c>
      <c r="M174" s="364" t="s">
        <v>2562</v>
      </c>
      <c r="N174" s="364" t="s">
        <v>2320</v>
      </c>
      <c r="O174" s="364" t="s">
        <v>2369</v>
      </c>
      <c r="P174" s="364" t="s">
        <v>2327</v>
      </c>
      <c r="Q174" s="364" t="s">
        <v>2328</v>
      </c>
      <c r="R174" s="364" t="s">
        <v>2416</v>
      </c>
      <c r="S174" s="261" t="s">
        <v>183</v>
      </c>
      <c r="T174" s="364" t="s">
        <v>2536</v>
      </c>
      <c r="U174" s="364" t="s">
        <v>2337</v>
      </c>
      <c r="V174" s="364" t="s">
        <v>2564</v>
      </c>
      <c r="W174" s="364" t="s">
        <v>2388</v>
      </c>
      <c r="X174" s="364" t="s">
        <v>2339</v>
      </c>
      <c r="Y174" s="364" t="s">
        <v>2565</v>
      </c>
      <c r="Z174" s="364" t="s">
        <v>2389</v>
      </c>
      <c r="AA174" s="364" t="s">
        <v>2420</v>
      </c>
      <c r="AB174" s="364" t="s">
        <v>2340</v>
      </c>
      <c r="AC174" s="364" t="s">
        <v>2341</v>
      </c>
      <c r="AD174" s="364" t="s">
        <v>2566</v>
      </c>
      <c r="AE174" s="364" t="s">
        <v>2470</v>
      </c>
      <c r="AF174" s="364" t="s">
        <v>2423</v>
      </c>
      <c r="AG174" s="364" t="s">
        <v>2344</v>
      </c>
      <c r="AH174" s="364" t="s">
        <v>2570</v>
      </c>
      <c r="AI174" s="364" t="s">
        <v>2346</v>
      </c>
      <c r="AJ174" s="364" t="s">
        <v>2500</v>
      </c>
      <c r="AK174" s="364" t="s">
        <v>2347</v>
      </c>
      <c r="AL174" s="364" t="s">
        <v>2348</v>
      </c>
      <c r="AM174" s="364" t="s">
        <v>2475</v>
      </c>
      <c r="AN174" s="364" t="s">
        <v>2476</v>
      </c>
      <c r="AO174" s="364" t="s">
        <v>2399</v>
      </c>
      <c r="AP174" s="364" t="s">
        <v>2492</v>
      </c>
      <c r="AQ174" s="364" t="s">
        <v>2493</v>
      </c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/>
      <c r="BF174" s="364"/>
      <c r="BG174" s="364"/>
      <c r="BH174" s="364"/>
      <c r="BI174" s="364"/>
      <c r="BJ174" s="364"/>
      <c r="BK174" s="364"/>
      <c r="BL174" s="364"/>
      <c r="BM174" s="364"/>
      <c r="BN174" s="364"/>
      <c r="BO174" s="364"/>
      <c r="BP174" s="364"/>
      <c r="BQ174" s="364"/>
      <c r="BR174" s="364"/>
      <c r="BS174" s="364"/>
      <c r="BT174" s="364"/>
      <c r="BU174" s="364"/>
      <c r="BV174" s="364"/>
      <c r="BW174" s="364"/>
      <c r="BX174" s="364"/>
      <c r="BY174" s="364"/>
      <c r="BZ174" s="364"/>
      <c r="CA174" s="364"/>
      <c r="CB174" s="364"/>
      <c r="CC174" s="364"/>
      <c r="CD174" s="364"/>
      <c r="CE174" s="364"/>
      <c r="CF174" s="364"/>
      <c r="CG174" s="364"/>
      <c r="CH174" s="364"/>
      <c r="CI174" s="364"/>
      <c r="CJ174" s="364"/>
      <c r="CK174" s="364"/>
      <c r="CL174" s="364"/>
      <c r="CM174" s="364"/>
      <c r="CN174" s="364"/>
      <c r="CO174" s="364"/>
      <c r="CP174" s="364"/>
      <c r="CQ174" s="364"/>
      <c r="CR174" s="364"/>
      <c r="CS174" s="364"/>
      <c r="CT174" s="364"/>
      <c r="CU174" s="364"/>
      <c r="CV174" s="364"/>
      <c r="CW174" s="364"/>
      <c r="CX174" s="364"/>
      <c r="CY174" s="364"/>
      <c r="CZ174" s="364"/>
      <c r="DA174" s="364"/>
      <c r="DB174" s="364"/>
      <c r="DC174" s="364"/>
      <c r="DD174" s="364"/>
      <c r="DE174" s="364"/>
      <c r="DF174" s="364"/>
      <c r="DG174" s="364"/>
      <c r="DH174" s="364"/>
      <c r="DI174" s="364"/>
      <c r="DJ174" s="364"/>
      <c r="DK174" s="364"/>
      <c r="DL174" s="364"/>
      <c r="DM174" s="364"/>
      <c r="DN174" s="364"/>
      <c r="DO174" s="364"/>
      <c r="DP174" s="364"/>
      <c r="DQ174" s="364"/>
      <c r="DR174" s="364"/>
      <c r="DS174" s="364"/>
      <c r="DT174" s="364"/>
      <c r="DU174" s="364"/>
      <c r="DV174" s="364"/>
      <c r="DW174" s="364"/>
      <c r="DX174" s="364"/>
      <c r="DY174" s="364"/>
      <c r="DZ174" s="364"/>
      <c r="EA174" s="364"/>
      <c r="EB174" s="364"/>
      <c r="EC174" s="364"/>
      <c r="ED174" s="364"/>
      <c r="EE174" s="364"/>
      <c r="EF174" s="364"/>
      <c r="EG174" s="364"/>
      <c r="EH174" s="364"/>
      <c r="EI174" s="364"/>
      <c r="EJ174" s="364"/>
      <c r="EK174" s="364"/>
      <c r="EL174" s="364"/>
      <c r="EM174" s="364"/>
      <c r="EN174" s="364"/>
      <c r="EO174" s="364"/>
      <c r="EP174" s="364"/>
      <c r="EQ174" s="364"/>
      <c r="ER174" s="364"/>
      <c r="ES174" s="364"/>
      <c r="ET174" s="364"/>
      <c r="EU174" s="364"/>
      <c r="EV174" s="364"/>
      <c r="EW174" s="364"/>
      <c r="EX174" s="364"/>
      <c r="EY174" s="364"/>
      <c r="EZ174" s="364"/>
      <c r="FA174" s="364"/>
      <c r="FB174" s="364"/>
      <c r="FC174" s="364"/>
      <c r="FD174" s="364"/>
      <c r="FE174" s="364"/>
      <c r="FF174" s="364"/>
      <c r="FG174" s="364"/>
      <c r="FH174" s="364"/>
      <c r="FI174" s="364"/>
      <c r="FJ174" s="364"/>
      <c r="FK174" s="364"/>
    </row>
    <row r="175" customFormat="false" ht="15.75" hidden="false" customHeight="false" outlineLevel="0" collapsed="false">
      <c r="A175" s="364" t="n">
        <v>344</v>
      </c>
      <c r="B175" s="364" t="n">
        <f aca="false">COUNTA(D175:FK175)</f>
        <v>43</v>
      </c>
      <c r="C175" s="364" t="s">
        <v>990</v>
      </c>
      <c r="D175" s="364" t="s">
        <v>2405</v>
      </c>
      <c r="E175" s="364" t="s">
        <v>2312</v>
      </c>
      <c r="F175" s="364" t="s">
        <v>2464</v>
      </c>
      <c r="G175" s="364" t="s">
        <v>2465</v>
      </c>
      <c r="H175" s="364" t="s">
        <v>2358</v>
      </c>
      <c r="I175" s="364" t="s">
        <v>2316</v>
      </c>
      <c r="J175" s="364" t="s">
        <v>2519</v>
      </c>
      <c r="K175" s="364" t="s">
        <v>2435</v>
      </c>
      <c r="L175" s="364" t="s">
        <v>2318</v>
      </c>
      <c r="M175" s="364" t="s">
        <v>2320</v>
      </c>
      <c r="N175" s="364" t="s">
        <v>2533</v>
      </c>
      <c r="O175" s="364" t="s">
        <v>2324</v>
      </c>
      <c r="P175" s="364" t="s">
        <v>2325</v>
      </c>
      <c r="Q175" s="364" t="s">
        <v>2327</v>
      </c>
      <c r="R175" s="364" t="s">
        <v>2328</v>
      </c>
      <c r="S175" s="364" t="s">
        <v>2329</v>
      </c>
      <c r="T175" s="364" t="s">
        <v>2521</v>
      </c>
      <c r="U175" s="364" t="s">
        <v>2415</v>
      </c>
      <c r="V175" s="364" t="s">
        <v>2417</v>
      </c>
      <c r="W175" s="364" t="s">
        <v>2381</v>
      </c>
      <c r="X175" s="364" t="s">
        <v>2468</v>
      </c>
      <c r="Y175" s="261" t="s">
        <v>183</v>
      </c>
      <c r="Z175" s="364" t="s">
        <v>2452</v>
      </c>
      <c r="AA175" s="364" t="s">
        <v>2337</v>
      </c>
      <c r="AB175" s="364" t="s">
        <v>2469</v>
      </c>
      <c r="AC175" s="364" t="s">
        <v>2339</v>
      </c>
      <c r="AD175" s="364" t="s">
        <v>2420</v>
      </c>
      <c r="AE175" s="364" t="s">
        <v>2340</v>
      </c>
      <c r="AF175" s="364" t="s">
        <v>2341</v>
      </c>
      <c r="AG175" s="364" t="s">
        <v>2442</v>
      </c>
      <c r="AH175" s="364" t="s">
        <v>2470</v>
      </c>
      <c r="AI175" s="364" t="s">
        <v>2344</v>
      </c>
      <c r="AJ175" s="364" t="s">
        <v>2345</v>
      </c>
      <c r="AK175" s="364" t="s">
        <v>2346</v>
      </c>
      <c r="AL175" s="364" t="s">
        <v>2347</v>
      </c>
      <c r="AM175" s="364" t="s">
        <v>2473</v>
      </c>
      <c r="AN175" s="364" t="s">
        <v>2398</v>
      </c>
      <c r="AO175" s="364" t="s">
        <v>2475</v>
      </c>
      <c r="AP175" s="364" t="s">
        <v>2476</v>
      </c>
      <c r="AQ175" s="364" t="s">
        <v>2463</v>
      </c>
      <c r="AR175" s="364" t="s">
        <v>2428</v>
      </c>
      <c r="AS175" s="364" t="s">
        <v>2477</v>
      </c>
      <c r="AT175" s="364" t="s">
        <v>2430</v>
      </c>
      <c r="AU175" s="364"/>
      <c r="AV175" s="364"/>
      <c r="AW175" s="364"/>
      <c r="AX175" s="364"/>
      <c r="AY175" s="364"/>
      <c r="AZ175" s="364"/>
      <c r="BA175" s="364"/>
      <c r="BB175" s="364"/>
      <c r="BC175" s="364"/>
      <c r="BD175" s="364"/>
      <c r="BE175" s="364"/>
      <c r="BF175" s="364"/>
      <c r="BG175" s="364"/>
      <c r="BH175" s="364"/>
      <c r="BI175" s="364"/>
      <c r="BJ175" s="364"/>
      <c r="BK175" s="364"/>
      <c r="BL175" s="364"/>
      <c r="BM175" s="364"/>
      <c r="BN175" s="364"/>
      <c r="BO175" s="364"/>
      <c r="BP175" s="364"/>
      <c r="BQ175" s="364"/>
      <c r="BR175" s="364"/>
      <c r="BS175" s="364"/>
      <c r="BT175" s="364"/>
      <c r="BU175" s="364"/>
      <c r="BV175" s="364"/>
      <c r="BW175" s="364"/>
      <c r="BX175" s="364"/>
      <c r="BY175" s="364"/>
      <c r="BZ175" s="364"/>
      <c r="CA175" s="364"/>
      <c r="CB175" s="364"/>
      <c r="CC175" s="364"/>
      <c r="CD175" s="364"/>
      <c r="CE175" s="364"/>
      <c r="CF175" s="364"/>
      <c r="CG175" s="364"/>
      <c r="CH175" s="364"/>
      <c r="CI175" s="364"/>
      <c r="CJ175" s="364"/>
      <c r="CK175" s="364"/>
      <c r="CL175" s="364"/>
      <c r="CM175" s="364"/>
      <c r="CN175" s="364"/>
      <c r="CO175" s="364"/>
      <c r="CP175" s="364"/>
      <c r="CQ175" s="364"/>
      <c r="CR175" s="364"/>
      <c r="CS175" s="364"/>
      <c r="CT175" s="364"/>
      <c r="CU175" s="364"/>
      <c r="CV175" s="364"/>
      <c r="CW175" s="364"/>
      <c r="CX175" s="364"/>
      <c r="CY175" s="364"/>
      <c r="CZ175" s="364"/>
      <c r="DA175" s="364"/>
      <c r="DB175" s="364"/>
      <c r="DC175" s="364"/>
      <c r="DD175" s="364"/>
      <c r="DE175" s="364"/>
      <c r="DF175" s="364"/>
      <c r="DG175" s="364"/>
      <c r="DH175" s="364"/>
      <c r="DI175" s="364"/>
      <c r="DJ175" s="364"/>
      <c r="DK175" s="364"/>
      <c r="DL175" s="364"/>
      <c r="DM175" s="364"/>
      <c r="DN175" s="364"/>
      <c r="DO175" s="364"/>
      <c r="DP175" s="364"/>
      <c r="DQ175" s="364"/>
      <c r="DR175" s="364"/>
      <c r="DS175" s="364"/>
      <c r="DT175" s="364"/>
      <c r="DU175" s="364"/>
      <c r="DV175" s="364"/>
      <c r="DW175" s="364"/>
      <c r="DX175" s="364"/>
      <c r="DY175" s="364"/>
      <c r="DZ175" s="364"/>
      <c r="EA175" s="364"/>
      <c r="EB175" s="364"/>
      <c r="EC175" s="364"/>
      <c r="ED175" s="364"/>
      <c r="EE175" s="364"/>
      <c r="EF175" s="364"/>
      <c r="EG175" s="364"/>
      <c r="EH175" s="364"/>
      <c r="EI175" s="364"/>
      <c r="EJ175" s="364"/>
      <c r="EK175" s="364"/>
      <c r="EL175" s="364"/>
      <c r="EM175" s="364"/>
      <c r="EN175" s="364"/>
      <c r="EO175" s="364"/>
      <c r="EP175" s="364"/>
      <c r="EQ175" s="364"/>
      <c r="ER175" s="364"/>
      <c r="ES175" s="364"/>
      <c r="ET175" s="364"/>
      <c r="EU175" s="364"/>
      <c r="EV175" s="364"/>
      <c r="EW175" s="364"/>
      <c r="EX175" s="364"/>
      <c r="EY175" s="364"/>
      <c r="EZ175" s="364"/>
      <c r="FA175" s="364"/>
      <c r="FB175" s="364"/>
      <c r="FC175" s="364"/>
      <c r="FD175" s="364"/>
      <c r="FE175" s="364"/>
      <c r="FF175" s="364"/>
      <c r="FG175" s="364"/>
      <c r="FH175" s="364"/>
      <c r="FI175" s="364"/>
      <c r="FJ175" s="364"/>
      <c r="FK175" s="364"/>
    </row>
    <row r="176" customFormat="false" ht="15.75" hidden="false" customHeight="false" outlineLevel="0" collapsed="false">
      <c r="A176" s="364" t="n">
        <v>345</v>
      </c>
      <c r="B176" s="364" t="n">
        <f aca="false">COUNTA(D176:FK176)</f>
        <v>61</v>
      </c>
      <c r="C176" s="364" t="s">
        <v>992</v>
      </c>
      <c r="D176" s="364" t="s">
        <v>2352</v>
      </c>
      <c r="E176" s="364" t="s">
        <v>2528</v>
      </c>
      <c r="F176" s="364" t="s">
        <v>2312</v>
      </c>
      <c r="G176" s="364" t="s">
        <v>2356</v>
      </c>
      <c r="H176" s="364" t="s">
        <v>138</v>
      </c>
      <c r="I176" s="364" t="s">
        <v>2315</v>
      </c>
      <c r="J176" s="364" t="s">
        <v>2409</v>
      </c>
      <c r="K176" s="364" t="s">
        <v>2517</v>
      </c>
      <c r="L176" s="364" t="s">
        <v>2358</v>
      </c>
      <c r="M176" s="364" t="s">
        <v>2316</v>
      </c>
      <c r="N176" s="364" t="s">
        <v>2435</v>
      </c>
      <c r="O176" s="364" t="s">
        <v>2364</v>
      </c>
      <c r="P176" s="364" t="s">
        <v>2320</v>
      </c>
      <c r="Q176" s="364" t="s">
        <v>2533</v>
      </c>
      <c r="R176" s="364" t="s">
        <v>2534</v>
      </c>
      <c r="S176" s="364" t="s">
        <v>2535</v>
      </c>
      <c r="T176" s="364" t="s">
        <v>2369</v>
      </c>
      <c r="U176" s="364" t="s">
        <v>2377</v>
      </c>
      <c r="V176" s="364" t="s">
        <v>2523</v>
      </c>
      <c r="W176" s="364" t="s">
        <v>2322</v>
      </c>
      <c r="X176" s="364" t="s">
        <v>2498</v>
      </c>
      <c r="Y176" s="364" t="s">
        <v>2327</v>
      </c>
      <c r="Z176" s="364" t="s">
        <v>2328</v>
      </c>
      <c r="AA176" s="364" t="s">
        <v>2416</v>
      </c>
      <c r="AB176" s="364" t="s">
        <v>2417</v>
      </c>
      <c r="AC176" s="364" t="s">
        <v>2379</v>
      </c>
      <c r="AD176" s="364" t="s">
        <v>2330</v>
      </c>
      <c r="AE176" s="364" t="s">
        <v>2539</v>
      </c>
      <c r="AF176" s="364" t="s">
        <v>2540</v>
      </c>
      <c r="AG176" s="364" t="s">
        <v>2382</v>
      </c>
      <c r="AH176" s="364" t="s">
        <v>2383</v>
      </c>
      <c r="AI176" s="364" t="s">
        <v>2508</v>
      </c>
      <c r="AJ176" s="261" t="s">
        <v>183</v>
      </c>
      <c r="AK176" s="364" t="s">
        <v>2589</v>
      </c>
      <c r="AL176" s="364" t="s">
        <v>2648</v>
      </c>
      <c r="AM176" s="364" t="s">
        <v>2385</v>
      </c>
      <c r="AN176" s="364" t="s">
        <v>2452</v>
      </c>
      <c r="AO176" s="364" t="s">
        <v>2454</v>
      </c>
      <c r="AP176" s="364" t="s">
        <v>2536</v>
      </c>
      <c r="AQ176" s="364" t="s">
        <v>2387</v>
      </c>
      <c r="AR176" s="364" t="s">
        <v>157</v>
      </c>
      <c r="AS176" s="364" t="s">
        <v>2337</v>
      </c>
      <c r="AT176" s="364" t="s">
        <v>2469</v>
      </c>
      <c r="AU176" s="364" t="s">
        <v>2339</v>
      </c>
      <c r="AV176" s="364" t="s">
        <v>2389</v>
      </c>
      <c r="AW176" s="364" t="s">
        <v>2340</v>
      </c>
      <c r="AX176" s="364" t="s">
        <v>2390</v>
      </c>
      <c r="AY176" s="364" t="s">
        <v>2341</v>
      </c>
      <c r="AZ176" s="364" t="s">
        <v>2391</v>
      </c>
      <c r="BA176" s="364" t="s">
        <v>2442</v>
      </c>
      <c r="BB176" s="364" t="s">
        <v>2392</v>
      </c>
      <c r="BC176" s="364" t="s">
        <v>2639</v>
      </c>
      <c r="BD176" s="364" t="s">
        <v>2470</v>
      </c>
      <c r="BE176" s="364" t="s">
        <v>2422</v>
      </c>
      <c r="BF176" s="364" t="s">
        <v>2472</v>
      </c>
      <c r="BG176" s="364" t="s">
        <v>2344</v>
      </c>
      <c r="BH176" s="364" t="s">
        <v>2473</v>
      </c>
      <c r="BI176" s="364" t="s">
        <v>2445</v>
      </c>
      <c r="BJ176" s="364" t="s">
        <v>2399</v>
      </c>
      <c r="BK176" s="364" t="s">
        <v>2428</v>
      </c>
      <c r="BL176" s="364" t="s">
        <v>2430</v>
      </c>
      <c r="BM176" s="364"/>
      <c r="BN176" s="364"/>
      <c r="BO176" s="364"/>
      <c r="BP176" s="364"/>
      <c r="BQ176" s="364"/>
      <c r="BR176" s="364"/>
      <c r="BS176" s="364"/>
      <c r="BT176" s="364"/>
      <c r="BU176" s="364"/>
      <c r="BV176" s="364"/>
      <c r="BW176" s="364"/>
      <c r="BX176" s="364"/>
      <c r="BY176" s="364"/>
      <c r="BZ176" s="364"/>
      <c r="CA176" s="364"/>
      <c r="CB176" s="364"/>
      <c r="CC176" s="364"/>
      <c r="CD176" s="364"/>
      <c r="CE176" s="364"/>
      <c r="CF176" s="364"/>
      <c r="CG176" s="364"/>
      <c r="CH176" s="364"/>
      <c r="CI176" s="364"/>
      <c r="CJ176" s="364"/>
      <c r="CK176" s="364"/>
      <c r="CL176" s="364"/>
      <c r="CM176" s="364"/>
      <c r="CN176" s="364"/>
      <c r="CO176" s="364"/>
      <c r="CP176" s="364"/>
      <c r="CQ176" s="364"/>
      <c r="CR176" s="364"/>
      <c r="CS176" s="364"/>
      <c r="CT176" s="364"/>
      <c r="CU176" s="364"/>
      <c r="CV176" s="364"/>
      <c r="CW176" s="364"/>
      <c r="CX176" s="364"/>
      <c r="CY176" s="364"/>
      <c r="CZ176" s="364"/>
      <c r="DA176" s="364"/>
      <c r="DB176" s="364"/>
      <c r="DC176" s="364"/>
      <c r="DD176" s="364"/>
      <c r="DE176" s="364"/>
      <c r="DF176" s="364"/>
      <c r="DG176" s="364"/>
      <c r="DH176" s="364"/>
      <c r="DI176" s="364"/>
      <c r="DJ176" s="364"/>
      <c r="DK176" s="364"/>
      <c r="DL176" s="364"/>
      <c r="DM176" s="364"/>
      <c r="DN176" s="364"/>
      <c r="DO176" s="364"/>
      <c r="DP176" s="364"/>
      <c r="DQ176" s="364"/>
      <c r="DR176" s="364"/>
      <c r="DS176" s="364"/>
      <c r="DT176" s="364"/>
      <c r="DU176" s="364"/>
      <c r="DV176" s="364"/>
      <c r="DW176" s="364"/>
      <c r="DX176" s="364"/>
      <c r="DY176" s="364"/>
      <c r="DZ176" s="364"/>
      <c r="EA176" s="364"/>
      <c r="EB176" s="364"/>
      <c r="EC176" s="364"/>
      <c r="ED176" s="364"/>
      <c r="EE176" s="364"/>
      <c r="EF176" s="364"/>
      <c r="EG176" s="364"/>
      <c r="EH176" s="364"/>
      <c r="EI176" s="364"/>
      <c r="EJ176" s="364"/>
      <c r="EK176" s="364"/>
      <c r="EL176" s="364"/>
      <c r="EM176" s="364"/>
      <c r="EN176" s="364"/>
      <c r="EO176" s="364"/>
      <c r="EP176" s="364"/>
      <c r="EQ176" s="364"/>
      <c r="ER176" s="364"/>
      <c r="ES176" s="364"/>
      <c r="ET176" s="364"/>
      <c r="EU176" s="364"/>
      <c r="EV176" s="364"/>
      <c r="EW176" s="364"/>
      <c r="EX176" s="364"/>
      <c r="EY176" s="364"/>
      <c r="EZ176" s="364"/>
      <c r="FA176" s="364"/>
      <c r="FB176" s="364"/>
      <c r="FC176" s="364"/>
      <c r="FD176" s="364"/>
      <c r="FE176" s="364"/>
      <c r="FF176" s="364"/>
      <c r="FG176" s="364"/>
      <c r="FH176" s="364"/>
      <c r="FI176" s="364"/>
      <c r="FJ176" s="364"/>
      <c r="FK176" s="364"/>
    </row>
    <row r="177" customFormat="false" ht="15.75" hidden="false" customHeight="false" outlineLevel="0" collapsed="false">
      <c r="A177" s="364" t="n">
        <v>347</v>
      </c>
      <c r="B177" s="364" t="n">
        <f aca="false">COUNTA(D177:FK177)</f>
        <v>62</v>
      </c>
      <c r="C177" s="364" t="s">
        <v>997</v>
      </c>
      <c r="D177" s="364" t="s">
        <v>2561</v>
      </c>
      <c r="E177" s="364" t="s">
        <v>2528</v>
      </c>
      <c r="F177" s="364" t="s">
        <v>2404</v>
      </c>
      <c r="G177" s="364" t="s">
        <v>2312</v>
      </c>
      <c r="H177" s="364" t="s">
        <v>2356</v>
      </c>
      <c r="I177" s="364" t="s">
        <v>2464</v>
      </c>
      <c r="J177" s="364" t="s">
        <v>138</v>
      </c>
      <c r="K177" s="364" t="s">
        <v>2466</v>
      </c>
      <c r="L177" s="364" t="s">
        <v>2409</v>
      </c>
      <c r="M177" s="364" t="s">
        <v>2316</v>
      </c>
      <c r="N177" s="364" t="s">
        <v>2364</v>
      </c>
      <c r="O177" s="364" t="s">
        <v>2320</v>
      </c>
      <c r="P177" s="364" t="s">
        <v>2640</v>
      </c>
      <c r="Q177" s="364" t="s">
        <v>2449</v>
      </c>
      <c r="R177" s="364" t="s">
        <v>2535</v>
      </c>
      <c r="S177" s="364" t="s">
        <v>2366</v>
      </c>
      <c r="T177" s="364" t="s">
        <v>2367</v>
      </c>
      <c r="U177" s="364" t="s">
        <v>2373</v>
      </c>
      <c r="V177" s="364" t="s">
        <v>2411</v>
      </c>
      <c r="W177" s="364" t="s">
        <v>2376</v>
      </c>
      <c r="X177" s="364" t="s">
        <v>2377</v>
      </c>
      <c r="Y177" s="364" t="s">
        <v>2523</v>
      </c>
      <c r="Z177" s="364" t="s">
        <v>2324</v>
      </c>
      <c r="AA177" s="364" t="s">
        <v>2325</v>
      </c>
      <c r="AB177" s="364" t="s">
        <v>2327</v>
      </c>
      <c r="AC177" s="364" t="s">
        <v>2328</v>
      </c>
      <c r="AD177" s="364" t="s">
        <v>2329</v>
      </c>
      <c r="AE177" s="364" t="s">
        <v>2415</v>
      </c>
      <c r="AF177" s="364" t="s">
        <v>2485</v>
      </c>
      <c r="AG177" s="364" t="s">
        <v>2416</v>
      </c>
      <c r="AH177" s="364" t="s">
        <v>2417</v>
      </c>
      <c r="AI177" s="364" t="s">
        <v>2379</v>
      </c>
      <c r="AJ177" s="364" t="s">
        <v>2506</v>
      </c>
      <c r="AK177" s="364" t="s">
        <v>2330</v>
      </c>
      <c r="AL177" s="364" t="s">
        <v>2468</v>
      </c>
      <c r="AM177" s="364" t="s">
        <v>2382</v>
      </c>
      <c r="AN177" s="364" t="s">
        <v>2383</v>
      </c>
      <c r="AO177" s="364" t="s">
        <v>2508</v>
      </c>
      <c r="AP177" s="261" t="s">
        <v>183</v>
      </c>
      <c r="AQ177" s="364" t="s">
        <v>2452</v>
      </c>
      <c r="AR177" s="364" t="s">
        <v>2526</v>
      </c>
      <c r="AS177" s="364" t="s">
        <v>2529</v>
      </c>
      <c r="AT177" s="364" t="s">
        <v>2387</v>
      </c>
      <c r="AU177" s="364" t="s">
        <v>2337</v>
      </c>
      <c r="AV177" s="364" t="s">
        <v>2388</v>
      </c>
      <c r="AW177" s="364" t="s">
        <v>2339</v>
      </c>
      <c r="AX177" s="364" t="s">
        <v>2389</v>
      </c>
      <c r="AY177" s="364" t="s">
        <v>2340</v>
      </c>
      <c r="AZ177" s="364" t="s">
        <v>2341</v>
      </c>
      <c r="BA177" s="364" t="s">
        <v>2391</v>
      </c>
      <c r="BB177" s="364" t="s">
        <v>2442</v>
      </c>
      <c r="BC177" s="364" t="s">
        <v>2591</v>
      </c>
      <c r="BD177" s="364" t="s">
        <v>2343</v>
      </c>
      <c r="BE177" s="364" t="s">
        <v>2344</v>
      </c>
      <c r="BF177" s="364" t="s">
        <v>2345</v>
      </c>
      <c r="BG177" s="364" t="s">
        <v>2500</v>
      </c>
      <c r="BH177" s="364" t="s">
        <v>2347</v>
      </c>
      <c r="BI177" s="364" t="s">
        <v>2473</v>
      </c>
      <c r="BJ177" s="364" t="s">
        <v>2474</v>
      </c>
      <c r="BK177" s="364" t="s">
        <v>2488</v>
      </c>
      <c r="BL177" s="364" t="s">
        <v>2399</v>
      </c>
      <c r="BM177" s="364" t="s">
        <v>2595</v>
      </c>
      <c r="BN177" s="364"/>
      <c r="BO177" s="364"/>
      <c r="BP177" s="364"/>
      <c r="BQ177" s="364"/>
      <c r="BR177" s="364"/>
      <c r="BS177" s="364"/>
      <c r="BT177" s="364"/>
      <c r="BU177" s="364"/>
      <c r="BV177" s="364"/>
      <c r="BW177" s="364"/>
      <c r="BX177" s="364"/>
      <c r="BY177" s="364"/>
      <c r="BZ177" s="364"/>
      <c r="CA177" s="364"/>
      <c r="CB177" s="364"/>
      <c r="CC177" s="364"/>
      <c r="CD177" s="364"/>
      <c r="CE177" s="364"/>
      <c r="CF177" s="364"/>
      <c r="CG177" s="364"/>
      <c r="CH177" s="364"/>
      <c r="CI177" s="364"/>
      <c r="CJ177" s="364"/>
      <c r="CK177" s="364"/>
      <c r="CL177" s="364"/>
      <c r="CM177" s="364"/>
      <c r="CN177" s="364"/>
      <c r="CO177" s="364"/>
      <c r="CP177" s="364"/>
      <c r="CQ177" s="364"/>
      <c r="CR177" s="364"/>
      <c r="CS177" s="364"/>
      <c r="CT177" s="364"/>
      <c r="CU177" s="364"/>
      <c r="CV177" s="364"/>
      <c r="CW177" s="364"/>
      <c r="CX177" s="364"/>
      <c r="CY177" s="364"/>
      <c r="CZ177" s="364"/>
      <c r="DA177" s="364"/>
      <c r="DB177" s="364"/>
      <c r="DC177" s="364"/>
      <c r="DD177" s="364"/>
      <c r="DE177" s="364"/>
      <c r="DF177" s="364"/>
      <c r="DG177" s="364"/>
      <c r="DH177" s="364"/>
      <c r="DI177" s="364"/>
      <c r="DJ177" s="364"/>
      <c r="DK177" s="364"/>
      <c r="DL177" s="364"/>
      <c r="DM177" s="364"/>
      <c r="DN177" s="364"/>
      <c r="DO177" s="364"/>
      <c r="DP177" s="364"/>
      <c r="DQ177" s="364"/>
      <c r="DR177" s="364"/>
      <c r="DS177" s="364"/>
      <c r="DT177" s="364"/>
      <c r="DU177" s="364"/>
      <c r="DV177" s="364"/>
      <c r="DW177" s="364"/>
      <c r="DX177" s="364"/>
      <c r="DY177" s="364"/>
      <c r="DZ177" s="364"/>
      <c r="EA177" s="364"/>
      <c r="EB177" s="364"/>
      <c r="EC177" s="364"/>
      <c r="ED177" s="364"/>
      <c r="EE177" s="364"/>
      <c r="EF177" s="364"/>
      <c r="EG177" s="364"/>
      <c r="EH177" s="364"/>
      <c r="EI177" s="364"/>
      <c r="EJ177" s="364"/>
      <c r="EK177" s="364"/>
      <c r="EL177" s="364"/>
      <c r="EM177" s="364"/>
      <c r="EN177" s="364"/>
      <c r="EO177" s="364"/>
      <c r="EP177" s="364"/>
      <c r="EQ177" s="364"/>
      <c r="ER177" s="364"/>
      <c r="ES177" s="364"/>
      <c r="ET177" s="364"/>
      <c r="EU177" s="364"/>
      <c r="EV177" s="364"/>
      <c r="EW177" s="364"/>
      <c r="EX177" s="364"/>
      <c r="EY177" s="364"/>
      <c r="EZ177" s="364"/>
      <c r="FA177" s="364"/>
      <c r="FB177" s="364"/>
      <c r="FC177" s="364"/>
      <c r="FD177" s="364"/>
      <c r="FE177" s="364"/>
      <c r="FF177" s="364"/>
      <c r="FG177" s="364"/>
      <c r="FH177" s="364"/>
      <c r="FI177" s="364"/>
      <c r="FJ177" s="364"/>
      <c r="FK177" s="364"/>
    </row>
    <row r="178" customFormat="false" ht="15.75" hidden="false" customHeight="false" outlineLevel="0" collapsed="false">
      <c r="A178" s="364" t="n">
        <v>351</v>
      </c>
      <c r="B178" s="364" t="n">
        <f aca="false">COUNTA(D178:FK178)</f>
        <v>78</v>
      </c>
      <c r="C178" s="364" t="s">
        <v>1006</v>
      </c>
      <c r="D178" s="364" t="s">
        <v>2352</v>
      </c>
      <c r="E178" s="364" t="s">
        <v>2561</v>
      </c>
      <c r="F178" s="364" t="s">
        <v>2402</v>
      </c>
      <c r="G178" s="364" t="s">
        <v>2403</v>
      </c>
      <c r="H178" s="364" t="s">
        <v>2405</v>
      </c>
      <c r="I178" s="364" t="s">
        <v>2312</v>
      </c>
      <c r="J178" s="364" t="s">
        <v>2356</v>
      </c>
      <c r="K178" s="364" t="s">
        <v>2357</v>
      </c>
      <c r="L178" s="364" t="s">
        <v>2313</v>
      </c>
      <c r="M178" s="364" t="s">
        <v>138</v>
      </c>
      <c r="N178" s="364" t="s">
        <v>2315</v>
      </c>
      <c r="O178" s="364" t="s">
        <v>2409</v>
      </c>
      <c r="P178" s="364" t="s">
        <v>2358</v>
      </c>
      <c r="Q178" s="364" t="s">
        <v>2316</v>
      </c>
      <c r="R178" s="364" t="s">
        <v>2360</v>
      </c>
      <c r="S178" s="364" t="s">
        <v>2361</v>
      </c>
      <c r="T178" s="364" t="s">
        <v>2363</v>
      </c>
      <c r="U178" s="364" t="s">
        <v>2364</v>
      </c>
      <c r="V178" s="364" t="s">
        <v>2497</v>
      </c>
      <c r="W178" s="364" t="s">
        <v>2317</v>
      </c>
      <c r="X178" s="364" t="s">
        <v>2448</v>
      </c>
      <c r="Y178" s="364" t="s">
        <v>2320</v>
      </c>
      <c r="Z178" s="364" t="s">
        <v>2366</v>
      </c>
      <c r="AA178" s="364" t="s">
        <v>2369</v>
      </c>
      <c r="AB178" s="364" t="s">
        <v>2373</v>
      </c>
      <c r="AC178" s="364" t="s">
        <v>2411</v>
      </c>
      <c r="AD178" s="364" t="s">
        <v>2376</v>
      </c>
      <c r="AE178" s="364" t="s">
        <v>2377</v>
      </c>
      <c r="AF178" s="364" t="s">
        <v>2322</v>
      </c>
      <c r="AG178" s="364" t="s">
        <v>2324</v>
      </c>
      <c r="AH178" s="364" t="s">
        <v>2327</v>
      </c>
      <c r="AI178" s="364" t="s">
        <v>2642</v>
      </c>
      <c r="AJ178" s="364" t="s">
        <v>2563</v>
      </c>
      <c r="AK178" s="364" t="s">
        <v>2328</v>
      </c>
      <c r="AL178" s="364" t="s">
        <v>2329</v>
      </c>
      <c r="AM178" s="364" t="s">
        <v>2415</v>
      </c>
      <c r="AN178" s="364" t="s">
        <v>2416</v>
      </c>
      <c r="AO178" s="364" t="s">
        <v>2417</v>
      </c>
      <c r="AP178" s="364" t="s">
        <v>2379</v>
      </c>
      <c r="AQ178" s="364" t="s">
        <v>2506</v>
      </c>
      <c r="AR178" s="364" t="s">
        <v>2381</v>
      </c>
      <c r="AS178" s="364" t="s">
        <v>2539</v>
      </c>
      <c r="AT178" s="364" t="s">
        <v>2382</v>
      </c>
      <c r="AU178" s="364" t="s">
        <v>2383</v>
      </c>
      <c r="AV178" s="364" t="s">
        <v>2508</v>
      </c>
      <c r="AW178" s="364" t="s">
        <v>2384</v>
      </c>
      <c r="AX178" s="261" t="s">
        <v>183</v>
      </c>
      <c r="AY178" s="364" t="s">
        <v>2332</v>
      </c>
      <c r="AZ178" s="364" t="s">
        <v>2452</v>
      </c>
      <c r="BA178" s="364" t="s">
        <v>2387</v>
      </c>
      <c r="BB178" s="364" t="s">
        <v>2337</v>
      </c>
      <c r="BC178" s="364" t="s">
        <v>2338</v>
      </c>
      <c r="BD178" s="364" t="s">
        <v>2388</v>
      </c>
      <c r="BE178" s="364" t="s">
        <v>2339</v>
      </c>
      <c r="BF178" s="364" t="s">
        <v>2389</v>
      </c>
      <c r="BG178" s="364" t="s">
        <v>2420</v>
      </c>
      <c r="BH178" s="364" t="s">
        <v>2340</v>
      </c>
      <c r="BI178" s="364" t="s">
        <v>2341</v>
      </c>
      <c r="BJ178" s="364" t="s">
        <v>2391</v>
      </c>
      <c r="BK178" s="364" t="s">
        <v>2392</v>
      </c>
      <c r="BL178" s="364" t="s">
        <v>2470</v>
      </c>
      <c r="BM178" s="364" t="s">
        <v>2423</v>
      </c>
      <c r="BN178" s="364" t="s">
        <v>2514</v>
      </c>
      <c r="BO178" s="364" t="s">
        <v>2344</v>
      </c>
      <c r="BP178" s="364" t="s">
        <v>2345</v>
      </c>
      <c r="BQ178" s="364" t="s">
        <v>2346</v>
      </c>
      <c r="BR178" s="364" t="s">
        <v>2500</v>
      </c>
      <c r="BS178" s="364" t="s">
        <v>2347</v>
      </c>
      <c r="BT178" s="364" t="s">
        <v>2511</v>
      </c>
      <c r="BU178" s="364" t="s">
        <v>2424</v>
      </c>
      <c r="BV178" s="364" t="s">
        <v>2348</v>
      </c>
      <c r="BW178" s="364" t="s">
        <v>2349</v>
      </c>
      <c r="BX178" s="364" t="s">
        <v>2475</v>
      </c>
      <c r="BY178" s="364" t="s">
        <v>2476</v>
      </c>
      <c r="BZ178" s="364" t="s">
        <v>2399</v>
      </c>
      <c r="CA178" s="364" t="s">
        <v>2463</v>
      </c>
      <c r="CB178" s="364" t="s">
        <v>2428</v>
      </c>
      <c r="CC178" s="364" t="s">
        <v>2429</v>
      </c>
      <c r="CD178" s="364"/>
      <c r="CE178" s="364"/>
      <c r="CF178" s="364"/>
      <c r="CG178" s="364"/>
      <c r="CH178" s="364"/>
      <c r="CI178" s="364"/>
      <c r="CJ178" s="364"/>
      <c r="CK178" s="364"/>
      <c r="CL178" s="364"/>
      <c r="CM178" s="364"/>
      <c r="CN178" s="364"/>
      <c r="CO178" s="364"/>
      <c r="CP178" s="364"/>
      <c r="CQ178" s="364"/>
      <c r="CR178" s="364"/>
      <c r="CS178" s="364"/>
      <c r="CT178" s="364"/>
      <c r="CU178" s="364"/>
      <c r="CV178" s="364"/>
      <c r="CW178" s="364"/>
      <c r="CX178" s="364"/>
      <c r="CY178" s="364"/>
      <c r="CZ178" s="364"/>
      <c r="DA178" s="364"/>
      <c r="DB178" s="364"/>
      <c r="DC178" s="364"/>
      <c r="DD178" s="364"/>
      <c r="DE178" s="364"/>
      <c r="DF178" s="364"/>
      <c r="DG178" s="364"/>
      <c r="DH178" s="364"/>
      <c r="DI178" s="364"/>
      <c r="DJ178" s="364"/>
      <c r="DK178" s="364"/>
      <c r="DL178" s="364"/>
      <c r="DM178" s="364"/>
      <c r="DN178" s="364"/>
      <c r="DO178" s="364"/>
      <c r="DP178" s="364"/>
      <c r="DQ178" s="364"/>
      <c r="DR178" s="364"/>
      <c r="DS178" s="364"/>
      <c r="DT178" s="364"/>
      <c r="DU178" s="364"/>
      <c r="DV178" s="364"/>
      <c r="DW178" s="364"/>
      <c r="DX178" s="364"/>
      <c r="DY178" s="364"/>
      <c r="DZ178" s="364"/>
      <c r="EA178" s="364"/>
      <c r="EB178" s="364"/>
      <c r="EC178" s="364"/>
      <c r="ED178" s="364"/>
      <c r="EE178" s="364"/>
      <c r="EF178" s="364"/>
      <c r="EG178" s="364"/>
      <c r="EH178" s="364"/>
      <c r="EI178" s="364"/>
      <c r="EJ178" s="364"/>
      <c r="EK178" s="364"/>
      <c r="EL178" s="364"/>
      <c r="EM178" s="364"/>
      <c r="EN178" s="364"/>
      <c r="EO178" s="364"/>
      <c r="EP178" s="364"/>
      <c r="EQ178" s="364"/>
      <c r="ER178" s="364"/>
      <c r="ES178" s="364"/>
      <c r="ET178" s="364"/>
      <c r="EU178" s="364"/>
      <c r="EV178" s="364"/>
      <c r="EW178" s="364"/>
      <c r="EX178" s="364"/>
      <c r="EY178" s="364"/>
      <c r="EZ178" s="364"/>
      <c r="FA178" s="364"/>
      <c r="FB178" s="364"/>
      <c r="FC178" s="364"/>
      <c r="FD178" s="364"/>
      <c r="FE178" s="364"/>
      <c r="FF178" s="364"/>
      <c r="FG178" s="364"/>
      <c r="FH178" s="364"/>
      <c r="FI178" s="364"/>
      <c r="FJ178" s="364"/>
      <c r="FK178" s="364"/>
    </row>
    <row r="179" customFormat="false" ht="15.75" hidden="false" customHeight="false" outlineLevel="0" collapsed="false">
      <c r="A179" s="364" t="n">
        <v>354</v>
      </c>
      <c r="B179" s="364" t="n">
        <f aca="false">COUNTA(D179:FK179)</f>
        <v>48</v>
      </c>
      <c r="C179" s="364" t="s">
        <v>1013</v>
      </c>
      <c r="D179" s="364" t="s">
        <v>2310</v>
      </c>
      <c r="E179" s="364" t="s">
        <v>2312</v>
      </c>
      <c r="F179" s="364" t="s">
        <v>2356</v>
      </c>
      <c r="G179" s="364" t="s">
        <v>2434</v>
      </c>
      <c r="H179" s="364" t="s">
        <v>138</v>
      </c>
      <c r="I179" s="364" t="s">
        <v>2316</v>
      </c>
      <c r="J179" s="364" t="s">
        <v>2520</v>
      </c>
      <c r="K179" s="364" t="s">
        <v>2435</v>
      </c>
      <c r="L179" s="364" t="s">
        <v>2364</v>
      </c>
      <c r="M179" s="364" t="s">
        <v>2319</v>
      </c>
      <c r="N179" s="364" t="s">
        <v>2320</v>
      </c>
      <c r="O179" s="364" t="s">
        <v>2534</v>
      </c>
      <c r="P179" s="364" t="s">
        <v>2369</v>
      </c>
      <c r="Q179" s="364" t="s">
        <v>2376</v>
      </c>
      <c r="R179" s="364" t="s">
        <v>2377</v>
      </c>
      <c r="S179" s="364" t="s">
        <v>2655</v>
      </c>
      <c r="T179" s="364" t="s">
        <v>2324</v>
      </c>
      <c r="U179" s="364" t="s">
        <v>2325</v>
      </c>
      <c r="V179" s="364" t="s">
        <v>2327</v>
      </c>
      <c r="W179" s="364" t="s">
        <v>2328</v>
      </c>
      <c r="X179" s="364" t="s">
        <v>2609</v>
      </c>
      <c r="Y179" s="364" t="s">
        <v>2329</v>
      </c>
      <c r="Z179" s="364" t="s">
        <v>2416</v>
      </c>
      <c r="AA179" s="364" t="s">
        <v>2539</v>
      </c>
      <c r="AB179" s="364" t="s">
        <v>2540</v>
      </c>
      <c r="AC179" s="364" t="s">
        <v>2382</v>
      </c>
      <c r="AD179" s="364" t="s">
        <v>2383</v>
      </c>
      <c r="AE179" s="261" t="s">
        <v>183</v>
      </c>
      <c r="AF179" s="364" t="s">
        <v>2454</v>
      </c>
      <c r="AG179" s="364" t="s">
        <v>2387</v>
      </c>
      <c r="AH179" s="364" t="s">
        <v>157</v>
      </c>
      <c r="AI179" s="364" t="s">
        <v>2495</v>
      </c>
      <c r="AJ179" s="364" t="s">
        <v>2337</v>
      </c>
      <c r="AK179" s="364" t="s">
        <v>2469</v>
      </c>
      <c r="AL179" s="364" t="s">
        <v>2388</v>
      </c>
      <c r="AM179" s="364" t="s">
        <v>2339</v>
      </c>
      <c r="AN179" s="364" t="s">
        <v>2389</v>
      </c>
      <c r="AO179" s="364" t="s">
        <v>2340</v>
      </c>
      <c r="AP179" s="364" t="s">
        <v>2341</v>
      </c>
      <c r="AQ179" s="364" t="s">
        <v>2391</v>
      </c>
      <c r="AR179" s="364" t="s">
        <v>2442</v>
      </c>
      <c r="AS179" s="364" t="s">
        <v>2422</v>
      </c>
      <c r="AT179" s="364" t="s">
        <v>2344</v>
      </c>
      <c r="AU179" s="364" t="s">
        <v>2347</v>
      </c>
      <c r="AV179" s="364" t="s">
        <v>2398</v>
      </c>
      <c r="AW179" s="364" t="s">
        <v>2399</v>
      </c>
      <c r="AX179" s="364" t="s">
        <v>2546</v>
      </c>
      <c r="AY179" s="364" t="s">
        <v>2430</v>
      </c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/>
      <c r="BJ179" s="364"/>
      <c r="BK179" s="364"/>
      <c r="BL179" s="364"/>
      <c r="BM179" s="364"/>
      <c r="BN179" s="364"/>
      <c r="BO179" s="364"/>
      <c r="BP179" s="364"/>
      <c r="BQ179" s="364"/>
      <c r="BR179" s="364"/>
      <c r="BS179" s="364"/>
      <c r="BT179" s="364"/>
      <c r="BU179" s="364"/>
      <c r="BV179" s="364"/>
      <c r="BW179" s="364"/>
      <c r="BX179" s="364"/>
      <c r="BY179" s="364"/>
      <c r="BZ179" s="364"/>
      <c r="CA179" s="364"/>
      <c r="CB179" s="364"/>
      <c r="CC179" s="364"/>
      <c r="CD179" s="364"/>
      <c r="CE179" s="364"/>
      <c r="CF179" s="364"/>
      <c r="CG179" s="364"/>
      <c r="CH179" s="364"/>
      <c r="CI179" s="364"/>
      <c r="CJ179" s="364"/>
      <c r="CK179" s="364"/>
      <c r="CL179" s="364"/>
      <c r="CM179" s="364"/>
      <c r="CN179" s="364"/>
      <c r="CO179" s="364"/>
      <c r="CP179" s="364"/>
      <c r="CQ179" s="364"/>
      <c r="CR179" s="364"/>
      <c r="CS179" s="364"/>
      <c r="CT179" s="364"/>
      <c r="CU179" s="364"/>
      <c r="CV179" s="364"/>
      <c r="CW179" s="364"/>
      <c r="CX179" s="364"/>
      <c r="CY179" s="364"/>
      <c r="CZ179" s="364"/>
      <c r="DA179" s="364"/>
      <c r="DB179" s="364"/>
      <c r="DC179" s="364"/>
      <c r="DD179" s="364"/>
      <c r="DE179" s="364"/>
      <c r="DF179" s="364"/>
      <c r="DG179" s="364"/>
      <c r="DH179" s="364"/>
      <c r="DI179" s="364"/>
      <c r="DJ179" s="364"/>
      <c r="DK179" s="364"/>
      <c r="DL179" s="364"/>
      <c r="DM179" s="364"/>
      <c r="DN179" s="364"/>
      <c r="DO179" s="364"/>
      <c r="DP179" s="364"/>
      <c r="DQ179" s="364"/>
      <c r="DR179" s="364"/>
      <c r="DS179" s="364"/>
      <c r="DT179" s="364"/>
      <c r="DU179" s="364"/>
      <c r="DV179" s="364"/>
      <c r="DW179" s="364"/>
      <c r="DX179" s="364"/>
      <c r="DY179" s="364"/>
      <c r="DZ179" s="364"/>
      <c r="EA179" s="364"/>
      <c r="EB179" s="364"/>
      <c r="EC179" s="364"/>
      <c r="ED179" s="364"/>
      <c r="EE179" s="364"/>
      <c r="EF179" s="364"/>
      <c r="EG179" s="364"/>
      <c r="EH179" s="364"/>
      <c r="EI179" s="364"/>
      <c r="EJ179" s="364"/>
      <c r="EK179" s="364"/>
      <c r="EL179" s="364"/>
      <c r="EM179" s="364"/>
      <c r="EN179" s="364"/>
      <c r="EO179" s="364"/>
      <c r="EP179" s="364"/>
      <c r="EQ179" s="364"/>
      <c r="ER179" s="364"/>
      <c r="ES179" s="364"/>
      <c r="ET179" s="364"/>
      <c r="EU179" s="364"/>
      <c r="EV179" s="364"/>
      <c r="EW179" s="364"/>
      <c r="EX179" s="364"/>
      <c r="EY179" s="364"/>
      <c r="EZ179" s="364"/>
      <c r="FA179" s="364"/>
      <c r="FB179" s="364"/>
      <c r="FC179" s="364"/>
      <c r="FD179" s="364"/>
      <c r="FE179" s="364"/>
      <c r="FF179" s="364"/>
      <c r="FG179" s="364"/>
      <c r="FH179" s="364"/>
      <c r="FI179" s="364"/>
      <c r="FJ179" s="364"/>
      <c r="FK179" s="364"/>
    </row>
    <row r="180" customFormat="false" ht="15.75" hidden="false" customHeight="false" outlineLevel="0" collapsed="false">
      <c r="A180" s="364" t="n">
        <v>357</v>
      </c>
      <c r="B180" s="364" t="n">
        <f aca="false">COUNTA(D180:FK180)</f>
        <v>34</v>
      </c>
      <c r="C180" s="364" t="s">
        <v>1020</v>
      </c>
      <c r="D180" s="364" t="s">
        <v>2404</v>
      </c>
      <c r="E180" s="364" t="s">
        <v>2312</v>
      </c>
      <c r="F180" s="364" t="s">
        <v>2464</v>
      </c>
      <c r="G180" s="364" t="s">
        <v>2569</v>
      </c>
      <c r="H180" s="364" t="s">
        <v>2316</v>
      </c>
      <c r="I180" s="364" t="s">
        <v>2320</v>
      </c>
      <c r="J180" s="364" t="s">
        <v>2367</v>
      </c>
      <c r="K180" s="364" t="s">
        <v>2373</v>
      </c>
      <c r="L180" s="364" t="s">
        <v>2324</v>
      </c>
      <c r="M180" s="364" t="s">
        <v>2327</v>
      </c>
      <c r="N180" s="364" t="s">
        <v>2328</v>
      </c>
      <c r="O180" s="364" t="s">
        <v>2329</v>
      </c>
      <c r="P180" s="364" t="s">
        <v>2381</v>
      </c>
      <c r="Q180" s="261" t="s">
        <v>183</v>
      </c>
      <c r="R180" s="364" t="s">
        <v>2386</v>
      </c>
      <c r="S180" s="364" t="s">
        <v>2461</v>
      </c>
      <c r="T180" s="364" t="s">
        <v>2337</v>
      </c>
      <c r="U180" s="364" t="s">
        <v>2340</v>
      </c>
      <c r="V180" s="364" t="s">
        <v>2341</v>
      </c>
      <c r="W180" s="364" t="s">
        <v>2470</v>
      </c>
      <c r="X180" s="364" t="s">
        <v>2422</v>
      </c>
      <c r="Y180" s="364" t="s">
        <v>2472</v>
      </c>
      <c r="Z180" s="364" t="s">
        <v>2344</v>
      </c>
      <c r="AA180" s="364" t="s">
        <v>2570</v>
      </c>
      <c r="AB180" s="364" t="s">
        <v>2347</v>
      </c>
      <c r="AC180" s="364" t="s">
        <v>2398</v>
      </c>
      <c r="AD180" s="364" t="s">
        <v>2348</v>
      </c>
      <c r="AE180" s="364" t="s">
        <v>2445</v>
      </c>
      <c r="AF180" s="364" t="s">
        <v>2475</v>
      </c>
      <c r="AG180" s="364" t="s">
        <v>2476</v>
      </c>
      <c r="AH180" s="364" t="s">
        <v>2488</v>
      </c>
      <c r="AI180" s="364" t="s">
        <v>2463</v>
      </c>
      <c r="AJ180" s="364" t="s">
        <v>2492</v>
      </c>
      <c r="AK180" s="364" t="s">
        <v>2477</v>
      </c>
      <c r="AL180" s="364"/>
      <c r="AM180" s="364"/>
      <c r="AN180" s="364"/>
      <c r="AO180" s="364"/>
      <c r="AP180" s="364"/>
      <c r="AQ180" s="364"/>
      <c r="AR180" s="364"/>
      <c r="AS180" s="364"/>
      <c r="AT180" s="364"/>
      <c r="AU180" s="364"/>
      <c r="AV180" s="364"/>
      <c r="AW180" s="364"/>
      <c r="AX180" s="364"/>
      <c r="AY180" s="364"/>
      <c r="AZ180" s="364"/>
      <c r="BA180" s="364"/>
      <c r="BB180" s="364"/>
      <c r="BC180" s="364"/>
      <c r="BD180" s="364"/>
      <c r="BE180" s="364"/>
      <c r="BF180" s="364"/>
      <c r="BG180" s="364"/>
      <c r="BH180" s="364"/>
      <c r="BI180" s="364"/>
      <c r="BJ180" s="364"/>
      <c r="BK180" s="364"/>
      <c r="BL180" s="364"/>
      <c r="BM180" s="364"/>
      <c r="BN180" s="364"/>
      <c r="BO180" s="364"/>
      <c r="BP180" s="364"/>
      <c r="BQ180" s="364"/>
      <c r="BR180" s="364"/>
      <c r="BS180" s="364"/>
      <c r="BT180" s="364"/>
      <c r="BU180" s="364"/>
      <c r="BV180" s="364"/>
      <c r="BW180" s="364"/>
      <c r="BX180" s="364"/>
      <c r="BY180" s="364"/>
      <c r="BZ180" s="364"/>
      <c r="CA180" s="364"/>
      <c r="CB180" s="364"/>
      <c r="CC180" s="364"/>
      <c r="CD180" s="364"/>
      <c r="CE180" s="364"/>
      <c r="CF180" s="364"/>
      <c r="CG180" s="364"/>
      <c r="CH180" s="364"/>
      <c r="CI180" s="364"/>
      <c r="CJ180" s="364"/>
      <c r="CK180" s="364"/>
      <c r="CL180" s="364"/>
      <c r="CM180" s="364"/>
      <c r="CN180" s="364"/>
      <c r="CO180" s="364"/>
      <c r="CP180" s="364"/>
      <c r="CQ180" s="364"/>
      <c r="CR180" s="364"/>
      <c r="CS180" s="364"/>
      <c r="CT180" s="364"/>
      <c r="CU180" s="364"/>
      <c r="CV180" s="364"/>
      <c r="CW180" s="364"/>
      <c r="CX180" s="364"/>
      <c r="CY180" s="364"/>
      <c r="CZ180" s="364"/>
      <c r="DA180" s="364"/>
      <c r="DB180" s="364"/>
      <c r="DC180" s="364"/>
      <c r="DD180" s="364"/>
      <c r="DE180" s="364"/>
      <c r="DF180" s="364"/>
      <c r="DG180" s="364"/>
      <c r="DH180" s="364"/>
      <c r="DI180" s="364"/>
      <c r="DJ180" s="364"/>
      <c r="DK180" s="364"/>
      <c r="DL180" s="364"/>
      <c r="DM180" s="364"/>
      <c r="DN180" s="364"/>
      <c r="DO180" s="364"/>
      <c r="DP180" s="364"/>
      <c r="DQ180" s="364"/>
      <c r="DR180" s="364"/>
      <c r="DS180" s="364"/>
      <c r="DT180" s="364"/>
      <c r="DU180" s="364"/>
      <c r="DV180" s="364"/>
      <c r="DW180" s="364"/>
      <c r="DX180" s="364"/>
      <c r="DY180" s="364"/>
      <c r="DZ180" s="364"/>
      <c r="EA180" s="364"/>
      <c r="EB180" s="364"/>
      <c r="EC180" s="364"/>
      <c r="ED180" s="364"/>
      <c r="EE180" s="364"/>
      <c r="EF180" s="364"/>
      <c r="EG180" s="364"/>
      <c r="EH180" s="364"/>
      <c r="EI180" s="364"/>
      <c r="EJ180" s="364"/>
      <c r="EK180" s="364"/>
      <c r="EL180" s="364"/>
      <c r="EM180" s="364"/>
      <c r="EN180" s="364"/>
      <c r="EO180" s="364"/>
      <c r="EP180" s="364"/>
      <c r="EQ180" s="364"/>
      <c r="ER180" s="364"/>
      <c r="ES180" s="364"/>
      <c r="ET180" s="364"/>
      <c r="EU180" s="364"/>
      <c r="EV180" s="364"/>
      <c r="EW180" s="364"/>
      <c r="EX180" s="364"/>
      <c r="EY180" s="364"/>
      <c r="EZ180" s="364"/>
      <c r="FA180" s="364"/>
      <c r="FB180" s="364"/>
      <c r="FC180" s="364"/>
      <c r="FD180" s="364"/>
      <c r="FE180" s="364"/>
      <c r="FF180" s="364"/>
      <c r="FG180" s="364"/>
      <c r="FH180" s="364"/>
      <c r="FI180" s="364"/>
      <c r="FJ180" s="364"/>
      <c r="FK180" s="364"/>
    </row>
    <row r="181" customFormat="false" ht="15.75" hidden="false" customHeight="false" outlineLevel="0" collapsed="false">
      <c r="A181" s="364" t="n">
        <v>359</v>
      </c>
      <c r="B181" s="364" t="n">
        <f aca="false">COUNTA(D181:FK181)</f>
        <v>36</v>
      </c>
      <c r="C181" s="364" t="s">
        <v>1025</v>
      </c>
      <c r="D181" s="364" t="s">
        <v>2312</v>
      </c>
      <c r="E181" s="364" t="s">
        <v>2464</v>
      </c>
      <c r="F181" s="364" t="s">
        <v>138</v>
      </c>
      <c r="G181" s="364" t="s">
        <v>2465</v>
      </c>
      <c r="H181" s="364" t="s">
        <v>2569</v>
      </c>
      <c r="I181" s="364" t="s">
        <v>2316</v>
      </c>
      <c r="J181" s="364" t="s">
        <v>2364</v>
      </c>
      <c r="K181" s="364" t="s">
        <v>2318</v>
      </c>
      <c r="L181" s="364" t="s">
        <v>2436</v>
      </c>
      <c r="M181" s="364" t="s">
        <v>2320</v>
      </c>
      <c r="N181" s="364" t="s">
        <v>2325</v>
      </c>
      <c r="O181" s="364" t="s">
        <v>2327</v>
      </c>
      <c r="P181" s="364" t="s">
        <v>2328</v>
      </c>
      <c r="Q181" s="364" t="s">
        <v>2381</v>
      </c>
      <c r="R181" s="364" t="s">
        <v>2468</v>
      </c>
      <c r="S181" s="364" t="s">
        <v>2382</v>
      </c>
      <c r="T181" s="364" t="s">
        <v>2383</v>
      </c>
      <c r="U181" s="261" t="s">
        <v>183</v>
      </c>
      <c r="V181" s="364" t="s">
        <v>2658</v>
      </c>
      <c r="W181" s="364" t="s">
        <v>2461</v>
      </c>
      <c r="X181" s="364" t="s">
        <v>2337</v>
      </c>
      <c r="Y181" s="364" t="s">
        <v>2420</v>
      </c>
      <c r="Z181" s="364" t="s">
        <v>2340</v>
      </c>
      <c r="AA181" s="364" t="s">
        <v>2341</v>
      </c>
      <c r="AB181" s="364" t="s">
        <v>2391</v>
      </c>
      <c r="AC181" s="364" t="s">
        <v>2470</v>
      </c>
      <c r="AD181" s="364" t="s">
        <v>2422</v>
      </c>
      <c r="AE181" s="364" t="s">
        <v>2344</v>
      </c>
      <c r="AF181" s="364" t="s">
        <v>2570</v>
      </c>
      <c r="AG181" s="364" t="s">
        <v>2398</v>
      </c>
      <c r="AH181" s="364" t="s">
        <v>2475</v>
      </c>
      <c r="AI181" s="364" t="s">
        <v>2476</v>
      </c>
      <c r="AJ181" s="364" t="s">
        <v>2399</v>
      </c>
      <c r="AK181" s="364" t="s">
        <v>2463</v>
      </c>
      <c r="AL181" s="364" t="s">
        <v>2492</v>
      </c>
      <c r="AM181" s="364" t="s">
        <v>2477</v>
      </c>
      <c r="AN181" s="364"/>
      <c r="AO181" s="364"/>
      <c r="AP181" s="364"/>
      <c r="AQ181" s="364"/>
      <c r="AR181" s="364"/>
      <c r="AS181" s="364"/>
      <c r="AT181" s="364"/>
      <c r="AU181" s="364"/>
      <c r="AV181" s="364"/>
      <c r="AW181" s="364"/>
      <c r="AX181" s="364"/>
      <c r="AY181" s="364"/>
      <c r="AZ181" s="364"/>
      <c r="BA181" s="364"/>
      <c r="BB181" s="364"/>
      <c r="BC181" s="364"/>
      <c r="BD181" s="364"/>
      <c r="BE181" s="364"/>
      <c r="BF181" s="364"/>
      <c r="BG181" s="364"/>
      <c r="BH181" s="364"/>
      <c r="BI181" s="364"/>
      <c r="BJ181" s="364"/>
      <c r="BK181" s="364"/>
      <c r="BL181" s="364"/>
      <c r="BM181" s="364"/>
      <c r="BN181" s="364"/>
      <c r="BO181" s="364"/>
      <c r="BP181" s="364"/>
      <c r="BQ181" s="364"/>
      <c r="BR181" s="364"/>
      <c r="BS181" s="364"/>
      <c r="BT181" s="364"/>
      <c r="BU181" s="364"/>
      <c r="BV181" s="364"/>
      <c r="BW181" s="364"/>
      <c r="BX181" s="364"/>
      <c r="BY181" s="364"/>
      <c r="BZ181" s="364"/>
      <c r="CA181" s="364"/>
      <c r="CB181" s="364"/>
      <c r="CC181" s="364"/>
      <c r="CD181" s="364"/>
      <c r="CE181" s="364"/>
      <c r="CF181" s="364"/>
      <c r="CG181" s="364"/>
      <c r="CH181" s="364"/>
      <c r="CI181" s="364"/>
      <c r="CJ181" s="364"/>
      <c r="CK181" s="364"/>
      <c r="CL181" s="364"/>
      <c r="CM181" s="364"/>
      <c r="CN181" s="364"/>
      <c r="CO181" s="364"/>
      <c r="CP181" s="364"/>
      <c r="CQ181" s="364"/>
      <c r="CR181" s="364"/>
      <c r="CS181" s="364"/>
      <c r="CT181" s="364"/>
      <c r="CU181" s="364"/>
      <c r="CV181" s="364"/>
      <c r="CW181" s="364"/>
      <c r="CX181" s="364"/>
      <c r="CY181" s="364"/>
      <c r="CZ181" s="364"/>
      <c r="DA181" s="364"/>
      <c r="DB181" s="364"/>
      <c r="DC181" s="364"/>
      <c r="DD181" s="364"/>
      <c r="DE181" s="364"/>
      <c r="DF181" s="364"/>
      <c r="DG181" s="364"/>
      <c r="DH181" s="364"/>
      <c r="DI181" s="364"/>
      <c r="DJ181" s="364"/>
      <c r="DK181" s="364"/>
      <c r="DL181" s="364"/>
      <c r="DM181" s="364"/>
      <c r="DN181" s="364"/>
      <c r="DO181" s="364"/>
      <c r="DP181" s="364"/>
      <c r="DQ181" s="364"/>
      <c r="DR181" s="364"/>
      <c r="DS181" s="364"/>
      <c r="DT181" s="364"/>
      <c r="DU181" s="364"/>
      <c r="DV181" s="364"/>
      <c r="DW181" s="364"/>
      <c r="DX181" s="364"/>
      <c r="DY181" s="364"/>
      <c r="DZ181" s="364"/>
      <c r="EA181" s="364"/>
      <c r="EB181" s="364"/>
      <c r="EC181" s="364"/>
      <c r="ED181" s="364"/>
      <c r="EE181" s="364"/>
      <c r="EF181" s="364"/>
      <c r="EG181" s="364"/>
      <c r="EH181" s="364"/>
      <c r="EI181" s="364"/>
      <c r="EJ181" s="364"/>
      <c r="EK181" s="364"/>
      <c r="EL181" s="364"/>
      <c r="EM181" s="364"/>
      <c r="EN181" s="364"/>
      <c r="EO181" s="364"/>
      <c r="EP181" s="364"/>
      <c r="EQ181" s="364"/>
      <c r="ER181" s="364"/>
      <c r="ES181" s="364"/>
      <c r="ET181" s="364"/>
      <c r="EU181" s="364"/>
      <c r="EV181" s="364"/>
      <c r="EW181" s="364"/>
      <c r="EX181" s="364"/>
      <c r="EY181" s="364"/>
      <c r="EZ181" s="364"/>
      <c r="FA181" s="364"/>
      <c r="FB181" s="364"/>
      <c r="FC181" s="364"/>
      <c r="FD181" s="364"/>
      <c r="FE181" s="364"/>
      <c r="FF181" s="364"/>
      <c r="FG181" s="364"/>
      <c r="FH181" s="364"/>
      <c r="FI181" s="364"/>
      <c r="FJ181" s="364"/>
      <c r="FK181" s="364"/>
    </row>
    <row r="182" customFormat="false" ht="15.75" hidden="false" customHeight="false" outlineLevel="0" collapsed="false">
      <c r="A182" s="364" t="n">
        <v>360</v>
      </c>
      <c r="B182" s="364" t="n">
        <f aca="false">COUNTA(D182:FK182)</f>
        <v>36</v>
      </c>
      <c r="C182" s="364" t="s">
        <v>1027</v>
      </c>
      <c r="D182" s="364" t="s">
        <v>2312</v>
      </c>
      <c r="E182" s="364" t="s">
        <v>2464</v>
      </c>
      <c r="F182" s="364" t="s">
        <v>138</v>
      </c>
      <c r="G182" s="364" t="s">
        <v>2465</v>
      </c>
      <c r="H182" s="364" t="s">
        <v>2569</v>
      </c>
      <c r="I182" s="364" t="s">
        <v>2316</v>
      </c>
      <c r="J182" s="364" t="s">
        <v>2364</v>
      </c>
      <c r="K182" s="364" t="s">
        <v>2318</v>
      </c>
      <c r="L182" s="364" t="s">
        <v>2436</v>
      </c>
      <c r="M182" s="364" t="s">
        <v>2320</v>
      </c>
      <c r="N182" s="364" t="s">
        <v>2325</v>
      </c>
      <c r="O182" s="364" t="s">
        <v>2327</v>
      </c>
      <c r="P182" s="364" t="s">
        <v>2328</v>
      </c>
      <c r="Q182" s="364" t="s">
        <v>2381</v>
      </c>
      <c r="R182" s="364" t="s">
        <v>2468</v>
      </c>
      <c r="S182" s="364" t="s">
        <v>2382</v>
      </c>
      <c r="T182" s="364" t="s">
        <v>2383</v>
      </c>
      <c r="U182" s="261" t="s">
        <v>183</v>
      </c>
      <c r="V182" s="364" t="s">
        <v>2658</v>
      </c>
      <c r="W182" s="364" t="s">
        <v>2461</v>
      </c>
      <c r="X182" s="364" t="s">
        <v>2337</v>
      </c>
      <c r="Y182" s="364" t="s">
        <v>2420</v>
      </c>
      <c r="Z182" s="364" t="s">
        <v>2340</v>
      </c>
      <c r="AA182" s="364" t="s">
        <v>2341</v>
      </c>
      <c r="AB182" s="364" t="s">
        <v>2391</v>
      </c>
      <c r="AC182" s="364" t="s">
        <v>2470</v>
      </c>
      <c r="AD182" s="364" t="s">
        <v>2422</v>
      </c>
      <c r="AE182" s="364" t="s">
        <v>2344</v>
      </c>
      <c r="AF182" s="364" t="s">
        <v>2570</v>
      </c>
      <c r="AG182" s="364" t="s">
        <v>2398</v>
      </c>
      <c r="AH182" s="364" t="s">
        <v>2475</v>
      </c>
      <c r="AI182" s="364" t="s">
        <v>2476</v>
      </c>
      <c r="AJ182" s="364" t="s">
        <v>2399</v>
      </c>
      <c r="AK182" s="364" t="s">
        <v>2463</v>
      </c>
      <c r="AL182" s="364" t="s">
        <v>2492</v>
      </c>
      <c r="AM182" s="364" t="s">
        <v>2477</v>
      </c>
      <c r="AN182" s="364"/>
      <c r="AO182" s="364"/>
      <c r="AP182" s="364"/>
      <c r="AQ182" s="364"/>
      <c r="AR182" s="364"/>
      <c r="AS182" s="364"/>
      <c r="AT182" s="364"/>
      <c r="AU182" s="364"/>
      <c r="AV182" s="364"/>
      <c r="AW182" s="364"/>
      <c r="AX182" s="364"/>
      <c r="AY182" s="364"/>
      <c r="AZ182" s="364"/>
      <c r="BA182" s="364"/>
      <c r="BB182" s="364"/>
      <c r="BC182" s="364"/>
      <c r="BD182" s="364"/>
      <c r="BE182" s="364"/>
      <c r="BF182" s="364"/>
      <c r="BG182" s="364"/>
      <c r="BH182" s="364"/>
      <c r="BI182" s="364"/>
      <c r="BJ182" s="364"/>
      <c r="BK182" s="364"/>
      <c r="BL182" s="364"/>
      <c r="BM182" s="364"/>
      <c r="BN182" s="364"/>
      <c r="BO182" s="364"/>
      <c r="BP182" s="364"/>
      <c r="BQ182" s="364"/>
      <c r="BR182" s="364"/>
      <c r="BS182" s="364"/>
      <c r="BT182" s="364"/>
      <c r="BU182" s="364"/>
      <c r="BV182" s="364"/>
      <c r="BW182" s="364"/>
      <c r="BX182" s="364"/>
      <c r="BY182" s="364"/>
      <c r="BZ182" s="364"/>
      <c r="CA182" s="364"/>
      <c r="CB182" s="364"/>
      <c r="CC182" s="364"/>
      <c r="CD182" s="364"/>
      <c r="CE182" s="364"/>
      <c r="CF182" s="364"/>
      <c r="CG182" s="364"/>
      <c r="CH182" s="364"/>
      <c r="CI182" s="364"/>
      <c r="CJ182" s="364"/>
      <c r="CK182" s="364"/>
      <c r="CL182" s="364"/>
      <c r="CM182" s="364"/>
      <c r="CN182" s="364"/>
      <c r="CO182" s="364"/>
      <c r="CP182" s="364"/>
      <c r="CQ182" s="364"/>
      <c r="CR182" s="364"/>
      <c r="CS182" s="364"/>
      <c r="CT182" s="364"/>
      <c r="CU182" s="364"/>
      <c r="CV182" s="364"/>
      <c r="CW182" s="364"/>
      <c r="CX182" s="364"/>
      <c r="CY182" s="364"/>
      <c r="CZ182" s="364"/>
      <c r="DA182" s="364"/>
      <c r="DB182" s="364"/>
      <c r="DC182" s="364"/>
      <c r="DD182" s="364"/>
      <c r="DE182" s="364"/>
      <c r="DF182" s="364"/>
      <c r="DG182" s="364"/>
      <c r="DH182" s="364"/>
      <c r="DI182" s="364"/>
      <c r="DJ182" s="364"/>
      <c r="DK182" s="364"/>
      <c r="DL182" s="364"/>
      <c r="DM182" s="364"/>
      <c r="DN182" s="364"/>
      <c r="DO182" s="364"/>
      <c r="DP182" s="364"/>
      <c r="DQ182" s="364"/>
      <c r="DR182" s="364"/>
      <c r="DS182" s="364"/>
      <c r="DT182" s="364"/>
      <c r="DU182" s="364"/>
      <c r="DV182" s="364"/>
      <c r="DW182" s="364"/>
      <c r="DX182" s="364"/>
      <c r="DY182" s="364"/>
      <c r="DZ182" s="364"/>
      <c r="EA182" s="364"/>
      <c r="EB182" s="364"/>
      <c r="EC182" s="364"/>
      <c r="ED182" s="364"/>
      <c r="EE182" s="364"/>
      <c r="EF182" s="364"/>
      <c r="EG182" s="364"/>
      <c r="EH182" s="364"/>
      <c r="EI182" s="364"/>
      <c r="EJ182" s="364"/>
      <c r="EK182" s="364"/>
      <c r="EL182" s="364"/>
      <c r="EM182" s="364"/>
      <c r="EN182" s="364"/>
      <c r="EO182" s="364"/>
      <c r="EP182" s="364"/>
      <c r="EQ182" s="364"/>
      <c r="ER182" s="364"/>
      <c r="ES182" s="364"/>
      <c r="ET182" s="364"/>
      <c r="EU182" s="364"/>
      <c r="EV182" s="364"/>
      <c r="EW182" s="364"/>
      <c r="EX182" s="364"/>
      <c r="EY182" s="364"/>
      <c r="EZ182" s="364"/>
      <c r="FA182" s="364"/>
      <c r="FB182" s="364"/>
      <c r="FC182" s="364"/>
      <c r="FD182" s="364"/>
      <c r="FE182" s="364"/>
      <c r="FF182" s="364"/>
      <c r="FG182" s="364"/>
      <c r="FH182" s="364"/>
      <c r="FI182" s="364"/>
      <c r="FJ182" s="364"/>
      <c r="FK182" s="364"/>
    </row>
    <row r="183" customFormat="false" ht="15.75" hidden="false" customHeight="false" outlineLevel="0" collapsed="false">
      <c r="A183" s="364" t="n">
        <v>361</v>
      </c>
      <c r="B183" s="364" t="n">
        <f aca="false">COUNTA(D183:FK183)</f>
        <v>47</v>
      </c>
      <c r="C183" s="364" t="s">
        <v>1029</v>
      </c>
      <c r="D183" s="364" t="s">
        <v>2431</v>
      </c>
      <c r="E183" s="364" t="s">
        <v>2352</v>
      </c>
      <c r="F183" s="364" t="s">
        <v>2353</v>
      </c>
      <c r="G183" s="364" t="s">
        <v>2312</v>
      </c>
      <c r="H183" s="364" t="s">
        <v>2356</v>
      </c>
      <c r="I183" s="364" t="s">
        <v>2432</v>
      </c>
      <c r="J183" s="364" t="s">
        <v>2433</v>
      </c>
      <c r="K183" s="364" t="s">
        <v>2464</v>
      </c>
      <c r="L183" s="364" t="s">
        <v>138</v>
      </c>
      <c r="M183" s="364" t="s">
        <v>2517</v>
      </c>
      <c r="N183" s="364" t="s">
        <v>2621</v>
      </c>
      <c r="O183" s="364" t="s">
        <v>2316</v>
      </c>
      <c r="P183" s="364" t="s">
        <v>2364</v>
      </c>
      <c r="Q183" s="364" t="s">
        <v>2320</v>
      </c>
      <c r="R183" s="364" t="s">
        <v>2377</v>
      </c>
      <c r="S183" s="364" t="s">
        <v>2323</v>
      </c>
      <c r="T183" s="364" t="s">
        <v>2328</v>
      </c>
      <c r="U183" s="364" t="s">
        <v>2416</v>
      </c>
      <c r="V183" s="364" t="s">
        <v>2438</v>
      </c>
      <c r="W183" s="364" t="s">
        <v>2659</v>
      </c>
      <c r="X183" s="364" t="s">
        <v>2382</v>
      </c>
      <c r="Y183" s="364" t="s">
        <v>2383</v>
      </c>
      <c r="Z183" s="261" t="s">
        <v>183</v>
      </c>
      <c r="AA183" s="364" t="s">
        <v>2385</v>
      </c>
      <c r="AB183" s="364" t="s">
        <v>2526</v>
      </c>
      <c r="AC183" s="364" t="s">
        <v>2387</v>
      </c>
      <c r="AD183" s="364" t="s">
        <v>2461</v>
      </c>
      <c r="AE183" s="364" t="s">
        <v>2337</v>
      </c>
      <c r="AF183" s="364" t="s">
        <v>2340</v>
      </c>
      <c r="AG183" s="364" t="s">
        <v>2341</v>
      </c>
      <c r="AH183" s="364" t="s">
        <v>2391</v>
      </c>
      <c r="AI183" s="364" t="s">
        <v>2442</v>
      </c>
      <c r="AJ183" s="364" t="s">
        <v>2470</v>
      </c>
      <c r="AK183" s="364" t="s">
        <v>2422</v>
      </c>
      <c r="AL183" s="364" t="s">
        <v>2443</v>
      </c>
      <c r="AM183" s="364" t="s">
        <v>2344</v>
      </c>
      <c r="AN183" s="364" t="s">
        <v>2345</v>
      </c>
      <c r="AO183" s="364" t="s">
        <v>2444</v>
      </c>
      <c r="AP183" s="364" t="s">
        <v>2398</v>
      </c>
      <c r="AQ183" s="364" t="s">
        <v>2348</v>
      </c>
      <c r="AR183" s="364" t="s">
        <v>2445</v>
      </c>
      <c r="AS183" s="364" t="s">
        <v>2475</v>
      </c>
      <c r="AT183" s="364" t="s">
        <v>2476</v>
      </c>
      <c r="AU183" s="364" t="s">
        <v>2399</v>
      </c>
      <c r="AV183" s="364" t="s">
        <v>2446</v>
      </c>
      <c r="AW183" s="364" t="s">
        <v>2428</v>
      </c>
      <c r="AX183" s="364" t="s">
        <v>2430</v>
      </c>
      <c r="AY183" s="364"/>
      <c r="AZ183" s="364"/>
      <c r="BA183" s="364"/>
      <c r="BB183" s="364"/>
      <c r="BC183" s="364"/>
      <c r="BD183" s="364"/>
      <c r="BE183" s="364"/>
      <c r="BF183" s="364"/>
      <c r="BG183" s="364"/>
      <c r="BH183" s="364"/>
      <c r="BI183" s="364"/>
      <c r="BJ183" s="364"/>
      <c r="BK183" s="364"/>
      <c r="BL183" s="364"/>
      <c r="BM183" s="364"/>
      <c r="BN183" s="364"/>
      <c r="BO183" s="364"/>
      <c r="BP183" s="364"/>
      <c r="BQ183" s="364"/>
      <c r="BR183" s="364"/>
      <c r="BS183" s="364"/>
      <c r="BT183" s="364"/>
      <c r="BU183" s="364"/>
      <c r="BV183" s="364"/>
      <c r="BW183" s="364"/>
      <c r="BX183" s="364"/>
      <c r="BY183" s="364"/>
      <c r="BZ183" s="364"/>
      <c r="CA183" s="364"/>
      <c r="CB183" s="364"/>
      <c r="CC183" s="364"/>
      <c r="CD183" s="364"/>
      <c r="CE183" s="364"/>
      <c r="CF183" s="364"/>
      <c r="CG183" s="364"/>
      <c r="CH183" s="364"/>
      <c r="CI183" s="364"/>
      <c r="CJ183" s="364"/>
      <c r="CK183" s="364"/>
      <c r="CL183" s="364"/>
      <c r="CM183" s="364"/>
      <c r="CN183" s="364"/>
      <c r="CO183" s="364"/>
      <c r="CP183" s="364"/>
      <c r="CQ183" s="364"/>
      <c r="CR183" s="364"/>
      <c r="CS183" s="364"/>
      <c r="CT183" s="364"/>
      <c r="CU183" s="364"/>
      <c r="CV183" s="364"/>
      <c r="CW183" s="364"/>
      <c r="CX183" s="364"/>
      <c r="CY183" s="364"/>
      <c r="CZ183" s="364"/>
      <c r="DA183" s="364"/>
      <c r="DB183" s="364"/>
      <c r="DC183" s="364"/>
      <c r="DD183" s="364"/>
      <c r="DE183" s="364"/>
      <c r="DF183" s="364"/>
      <c r="DG183" s="364"/>
      <c r="DH183" s="364"/>
      <c r="DI183" s="364"/>
      <c r="DJ183" s="364"/>
      <c r="DK183" s="364"/>
      <c r="DL183" s="364"/>
      <c r="DM183" s="364"/>
      <c r="DN183" s="364"/>
      <c r="DO183" s="364"/>
      <c r="DP183" s="364"/>
      <c r="DQ183" s="364"/>
      <c r="DR183" s="364"/>
      <c r="DS183" s="364"/>
      <c r="DT183" s="364"/>
      <c r="DU183" s="364"/>
      <c r="DV183" s="364"/>
      <c r="DW183" s="364"/>
      <c r="DX183" s="364"/>
      <c r="DY183" s="364"/>
      <c r="DZ183" s="364"/>
      <c r="EA183" s="364"/>
      <c r="EB183" s="364"/>
      <c r="EC183" s="364"/>
      <c r="ED183" s="364"/>
      <c r="EE183" s="364"/>
      <c r="EF183" s="364"/>
      <c r="EG183" s="364"/>
      <c r="EH183" s="364"/>
      <c r="EI183" s="364"/>
      <c r="EJ183" s="364"/>
      <c r="EK183" s="364"/>
      <c r="EL183" s="364"/>
      <c r="EM183" s="364"/>
      <c r="EN183" s="364"/>
      <c r="EO183" s="364"/>
      <c r="EP183" s="364"/>
      <c r="EQ183" s="364"/>
      <c r="ER183" s="364"/>
      <c r="ES183" s="364"/>
      <c r="ET183" s="364"/>
      <c r="EU183" s="364"/>
      <c r="EV183" s="364"/>
      <c r="EW183" s="364"/>
      <c r="EX183" s="364"/>
      <c r="EY183" s="364"/>
      <c r="EZ183" s="364"/>
      <c r="FA183" s="364"/>
      <c r="FB183" s="364"/>
      <c r="FC183" s="364"/>
      <c r="FD183" s="364"/>
      <c r="FE183" s="364"/>
      <c r="FF183" s="364"/>
      <c r="FG183" s="364"/>
      <c r="FH183" s="364"/>
      <c r="FI183" s="364"/>
      <c r="FJ183" s="364"/>
      <c r="FK183" s="364"/>
    </row>
    <row r="184" customFormat="false" ht="15.75" hidden="false" customHeight="false" outlineLevel="0" collapsed="false">
      <c r="A184" s="364" t="n">
        <v>362</v>
      </c>
      <c r="B184" s="364" t="n">
        <f aca="false">COUNTA(D184:FK184)</f>
        <v>45</v>
      </c>
      <c r="C184" s="364" t="s">
        <v>1031</v>
      </c>
      <c r="D184" s="364" t="s">
        <v>2431</v>
      </c>
      <c r="E184" s="364" t="s">
        <v>2352</v>
      </c>
      <c r="F184" s="364" t="s">
        <v>2353</v>
      </c>
      <c r="G184" s="364" t="s">
        <v>2312</v>
      </c>
      <c r="H184" s="364" t="s">
        <v>2356</v>
      </c>
      <c r="I184" s="364" t="s">
        <v>2432</v>
      </c>
      <c r="J184" s="364" t="s">
        <v>2433</v>
      </c>
      <c r="K184" s="364" t="s">
        <v>2464</v>
      </c>
      <c r="L184" s="364" t="s">
        <v>138</v>
      </c>
      <c r="M184" s="364" t="s">
        <v>2465</v>
      </c>
      <c r="N184" s="364" t="s">
        <v>2517</v>
      </c>
      <c r="O184" s="364" t="s">
        <v>2316</v>
      </c>
      <c r="P184" s="364" t="s">
        <v>2364</v>
      </c>
      <c r="Q184" s="364" t="s">
        <v>2320</v>
      </c>
      <c r="R184" s="364" t="s">
        <v>2377</v>
      </c>
      <c r="S184" s="364" t="s">
        <v>2323</v>
      </c>
      <c r="T184" s="364" t="s">
        <v>2328</v>
      </c>
      <c r="U184" s="364" t="s">
        <v>2416</v>
      </c>
      <c r="V184" s="364" t="s">
        <v>2438</v>
      </c>
      <c r="W184" s="364" t="s">
        <v>2382</v>
      </c>
      <c r="X184" s="364" t="s">
        <v>2383</v>
      </c>
      <c r="Y184" s="261" t="s">
        <v>183</v>
      </c>
      <c r="Z184" s="364" t="s">
        <v>2385</v>
      </c>
      <c r="AA184" s="364" t="s">
        <v>2526</v>
      </c>
      <c r="AB184" s="364" t="s">
        <v>2387</v>
      </c>
      <c r="AC184" s="364" t="s">
        <v>2461</v>
      </c>
      <c r="AD184" s="364" t="s">
        <v>2337</v>
      </c>
      <c r="AE184" s="364" t="s">
        <v>2340</v>
      </c>
      <c r="AF184" s="364" t="s">
        <v>2341</v>
      </c>
      <c r="AG184" s="364" t="s">
        <v>2391</v>
      </c>
      <c r="AH184" s="364" t="s">
        <v>2442</v>
      </c>
      <c r="AI184" s="364" t="s">
        <v>2470</v>
      </c>
      <c r="AJ184" s="364" t="s">
        <v>2443</v>
      </c>
      <c r="AK184" s="364" t="s">
        <v>2344</v>
      </c>
      <c r="AL184" s="364" t="s">
        <v>2345</v>
      </c>
      <c r="AM184" s="364" t="s">
        <v>2444</v>
      </c>
      <c r="AN184" s="364" t="s">
        <v>2398</v>
      </c>
      <c r="AO184" s="364" t="s">
        <v>2348</v>
      </c>
      <c r="AP184" s="364" t="s">
        <v>2445</v>
      </c>
      <c r="AQ184" s="364" t="s">
        <v>2475</v>
      </c>
      <c r="AR184" s="364" t="s">
        <v>2476</v>
      </c>
      <c r="AS184" s="364" t="s">
        <v>2399</v>
      </c>
      <c r="AT184" s="364" t="s">
        <v>2446</v>
      </c>
      <c r="AU184" s="364" t="s">
        <v>2428</v>
      </c>
      <c r="AV184" s="364" t="s">
        <v>2430</v>
      </c>
      <c r="AW184" s="364"/>
      <c r="AX184" s="364"/>
      <c r="AY184" s="364"/>
      <c r="AZ184" s="364"/>
      <c r="BA184" s="364"/>
      <c r="BB184" s="364"/>
      <c r="BC184" s="364"/>
      <c r="BD184" s="364"/>
      <c r="BE184" s="364"/>
      <c r="BF184" s="364"/>
      <c r="BG184" s="364"/>
      <c r="BH184" s="364"/>
      <c r="BI184" s="364"/>
      <c r="BJ184" s="364"/>
      <c r="BK184" s="364"/>
      <c r="BL184" s="364"/>
      <c r="BM184" s="364"/>
      <c r="BN184" s="364"/>
      <c r="BO184" s="364"/>
      <c r="BP184" s="364"/>
      <c r="BQ184" s="364"/>
      <c r="BR184" s="364"/>
      <c r="BS184" s="364"/>
      <c r="BT184" s="364"/>
      <c r="BU184" s="364"/>
      <c r="BV184" s="364"/>
      <c r="BW184" s="364"/>
      <c r="BX184" s="364"/>
      <c r="BY184" s="364"/>
      <c r="BZ184" s="364"/>
      <c r="CA184" s="364"/>
      <c r="CB184" s="364"/>
      <c r="CC184" s="364"/>
      <c r="CD184" s="364"/>
      <c r="CE184" s="364"/>
      <c r="CF184" s="364"/>
      <c r="CG184" s="364"/>
      <c r="CH184" s="364"/>
      <c r="CI184" s="364"/>
      <c r="CJ184" s="364"/>
      <c r="CK184" s="364"/>
      <c r="CL184" s="364"/>
      <c r="CM184" s="364"/>
      <c r="CN184" s="364"/>
      <c r="CO184" s="364"/>
      <c r="CP184" s="364"/>
      <c r="CQ184" s="364"/>
      <c r="CR184" s="364"/>
      <c r="CS184" s="364"/>
      <c r="CT184" s="364"/>
      <c r="CU184" s="364"/>
      <c r="CV184" s="364"/>
      <c r="CW184" s="364"/>
      <c r="CX184" s="364"/>
      <c r="CY184" s="364"/>
      <c r="CZ184" s="364"/>
      <c r="DA184" s="364"/>
      <c r="DB184" s="364"/>
      <c r="DC184" s="364"/>
      <c r="DD184" s="364"/>
      <c r="DE184" s="364"/>
      <c r="DF184" s="364"/>
      <c r="DG184" s="364"/>
      <c r="DH184" s="364"/>
      <c r="DI184" s="364"/>
      <c r="DJ184" s="364"/>
      <c r="DK184" s="364"/>
      <c r="DL184" s="364"/>
      <c r="DM184" s="364"/>
      <c r="DN184" s="364"/>
      <c r="DO184" s="364"/>
      <c r="DP184" s="364"/>
      <c r="DQ184" s="364"/>
      <c r="DR184" s="364"/>
      <c r="DS184" s="364"/>
      <c r="DT184" s="364"/>
      <c r="DU184" s="364"/>
      <c r="DV184" s="364"/>
      <c r="DW184" s="364"/>
      <c r="DX184" s="364"/>
      <c r="DY184" s="364"/>
      <c r="DZ184" s="364"/>
      <c r="EA184" s="364"/>
      <c r="EB184" s="364"/>
      <c r="EC184" s="364"/>
      <c r="ED184" s="364"/>
      <c r="EE184" s="364"/>
      <c r="EF184" s="364"/>
      <c r="EG184" s="364"/>
      <c r="EH184" s="364"/>
      <c r="EI184" s="364"/>
      <c r="EJ184" s="364"/>
      <c r="EK184" s="364"/>
      <c r="EL184" s="364"/>
      <c r="EM184" s="364"/>
      <c r="EN184" s="364"/>
      <c r="EO184" s="364"/>
      <c r="EP184" s="364"/>
      <c r="EQ184" s="364"/>
      <c r="ER184" s="364"/>
      <c r="ES184" s="364"/>
      <c r="ET184" s="364"/>
      <c r="EU184" s="364"/>
      <c r="EV184" s="364"/>
      <c r="EW184" s="364"/>
      <c r="EX184" s="364"/>
      <c r="EY184" s="364"/>
      <c r="EZ184" s="364"/>
      <c r="FA184" s="364"/>
      <c r="FB184" s="364"/>
      <c r="FC184" s="364"/>
      <c r="FD184" s="364"/>
      <c r="FE184" s="364"/>
      <c r="FF184" s="364"/>
      <c r="FG184" s="364"/>
      <c r="FH184" s="364"/>
      <c r="FI184" s="364"/>
      <c r="FJ184" s="364"/>
      <c r="FK184" s="364"/>
    </row>
    <row r="185" customFormat="false" ht="15.75" hidden="false" customHeight="false" outlineLevel="0" collapsed="false">
      <c r="A185" s="364" t="n">
        <v>363</v>
      </c>
      <c r="B185" s="364" t="n">
        <f aca="false">COUNTA(D185:FK185)</f>
        <v>34</v>
      </c>
      <c r="C185" s="364" t="s">
        <v>1034</v>
      </c>
      <c r="D185" s="364" t="s">
        <v>2527</v>
      </c>
      <c r="E185" s="364" t="s">
        <v>2312</v>
      </c>
      <c r="F185" s="364" t="s">
        <v>2314</v>
      </c>
      <c r="G185" s="364" t="s">
        <v>2465</v>
      </c>
      <c r="H185" s="364" t="s">
        <v>2315</v>
      </c>
      <c r="I185" s="364" t="s">
        <v>2517</v>
      </c>
      <c r="J185" s="364" t="s">
        <v>2316</v>
      </c>
      <c r="K185" s="364" t="s">
        <v>2319</v>
      </c>
      <c r="L185" s="364" t="s">
        <v>2320</v>
      </c>
      <c r="M185" s="364" t="s">
        <v>2322</v>
      </c>
      <c r="N185" s="364" t="s">
        <v>2323</v>
      </c>
      <c r="O185" s="364" t="s">
        <v>2325</v>
      </c>
      <c r="P185" s="364" t="s">
        <v>2328</v>
      </c>
      <c r="Q185" s="364" t="s">
        <v>2557</v>
      </c>
      <c r="R185" s="364" t="s">
        <v>2623</v>
      </c>
      <c r="S185" s="364" t="s">
        <v>2331</v>
      </c>
      <c r="T185" s="261" t="s">
        <v>183</v>
      </c>
      <c r="U185" s="364" t="s">
        <v>2333</v>
      </c>
      <c r="V185" s="364" t="s">
        <v>2334</v>
      </c>
      <c r="W185" s="364" t="s">
        <v>2453</v>
      </c>
      <c r="X185" s="364" t="s">
        <v>2454</v>
      </c>
      <c r="Y185" s="364" t="s">
        <v>2487</v>
      </c>
      <c r="Z185" s="364" t="s">
        <v>2616</v>
      </c>
      <c r="AA185" s="364" t="s">
        <v>2336</v>
      </c>
      <c r="AB185" s="364" t="s">
        <v>2337</v>
      </c>
      <c r="AC185" s="364" t="s">
        <v>2340</v>
      </c>
      <c r="AD185" s="364" t="s">
        <v>2341</v>
      </c>
      <c r="AE185" s="364" t="s">
        <v>2342</v>
      </c>
      <c r="AF185" s="364" t="s">
        <v>2442</v>
      </c>
      <c r="AG185" s="364" t="s">
        <v>2343</v>
      </c>
      <c r="AH185" s="364" t="s">
        <v>2344</v>
      </c>
      <c r="AI185" s="364" t="s">
        <v>2345</v>
      </c>
      <c r="AJ185" s="364" t="s">
        <v>2398</v>
      </c>
      <c r="AK185" s="364" t="s">
        <v>2350</v>
      </c>
      <c r="AL185" s="364"/>
      <c r="AM185" s="364"/>
      <c r="AN185" s="364"/>
      <c r="AO185" s="364"/>
      <c r="AP185" s="364"/>
      <c r="AQ185" s="364"/>
      <c r="AR185" s="364"/>
      <c r="AS185" s="364"/>
      <c r="AT185" s="364"/>
      <c r="AU185" s="364"/>
      <c r="AV185" s="364"/>
      <c r="AW185" s="364"/>
      <c r="AX185" s="364"/>
      <c r="AY185" s="364"/>
      <c r="AZ185" s="364"/>
      <c r="BA185" s="364"/>
      <c r="BB185" s="364"/>
      <c r="BC185" s="364"/>
      <c r="BD185" s="364"/>
      <c r="BE185" s="364"/>
      <c r="BF185" s="364"/>
      <c r="BG185" s="364"/>
      <c r="BH185" s="364"/>
      <c r="BI185" s="364"/>
      <c r="BJ185" s="364"/>
      <c r="BK185" s="364"/>
      <c r="BL185" s="364"/>
      <c r="BM185" s="364"/>
      <c r="BN185" s="364"/>
      <c r="BO185" s="364"/>
      <c r="BP185" s="364"/>
      <c r="BQ185" s="364"/>
      <c r="BR185" s="364"/>
      <c r="BS185" s="364"/>
      <c r="BT185" s="364"/>
      <c r="BU185" s="364"/>
      <c r="BV185" s="364"/>
      <c r="BW185" s="364"/>
      <c r="BX185" s="364"/>
      <c r="BY185" s="364"/>
      <c r="BZ185" s="364"/>
      <c r="CA185" s="364"/>
      <c r="CB185" s="364"/>
      <c r="CC185" s="364"/>
      <c r="CD185" s="364"/>
      <c r="CE185" s="364"/>
      <c r="CF185" s="364"/>
      <c r="CG185" s="364"/>
      <c r="CH185" s="364"/>
      <c r="CI185" s="364"/>
      <c r="CJ185" s="364"/>
      <c r="CK185" s="364"/>
      <c r="CL185" s="364"/>
      <c r="CM185" s="364"/>
      <c r="CN185" s="364"/>
      <c r="CO185" s="364"/>
      <c r="CP185" s="364"/>
      <c r="CQ185" s="364"/>
      <c r="CR185" s="364"/>
      <c r="CS185" s="364"/>
      <c r="CT185" s="364"/>
      <c r="CU185" s="364"/>
      <c r="CV185" s="364"/>
      <c r="CW185" s="364"/>
      <c r="CX185" s="364"/>
      <c r="CY185" s="364"/>
      <c r="CZ185" s="364"/>
      <c r="DA185" s="364"/>
      <c r="DB185" s="364"/>
      <c r="DC185" s="364"/>
      <c r="DD185" s="364"/>
      <c r="DE185" s="364"/>
      <c r="DF185" s="364"/>
      <c r="DG185" s="364"/>
      <c r="DH185" s="364"/>
      <c r="DI185" s="364"/>
      <c r="DJ185" s="364"/>
      <c r="DK185" s="364"/>
      <c r="DL185" s="364"/>
      <c r="DM185" s="364"/>
      <c r="DN185" s="364"/>
      <c r="DO185" s="364"/>
      <c r="DP185" s="364"/>
      <c r="DQ185" s="364"/>
      <c r="DR185" s="364"/>
      <c r="DS185" s="364"/>
      <c r="DT185" s="364"/>
      <c r="DU185" s="364"/>
      <c r="DV185" s="364"/>
      <c r="DW185" s="364"/>
      <c r="DX185" s="364"/>
      <c r="DY185" s="364"/>
      <c r="DZ185" s="364"/>
      <c r="EA185" s="364"/>
      <c r="EB185" s="364"/>
      <c r="EC185" s="364"/>
      <c r="ED185" s="364"/>
      <c r="EE185" s="364"/>
      <c r="EF185" s="364"/>
      <c r="EG185" s="364"/>
      <c r="EH185" s="364"/>
      <c r="EI185" s="364"/>
      <c r="EJ185" s="364"/>
      <c r="EK185" s="364"/>
      <c r="EL185" s="364"/>
      <c r="EM185" s="364"/>
      <c r="EN185" s="364"/>
      <c r="EO185" s="364"/>
      <c r="EP185" s="364"/>
      <c r="EQ185" s="364"/>
      <c r="ER185" s="364"/>
      <c r="ES185" s="364"/>
      <c r="ET185" s="364"/>
      <c r="EU185" s="364"/>
      <c r="EV185" s="364"/>
      <c r="EW185" s="364"/>
      <c r="EX185" s="364"/>
      <c r="EY185" s="364"/>
      <c r="EZ185" s="364"/>
      <c r="FA185" s="364"/>
      <c r="FB185" s="364"/>
      <c r="FC185" s="364"/>
      <c r="FD185" s="364"/>
      <c r="FE185" s="364"/>
      <c r="FF185" s="364"/>
      <c r="FG185" s="364"/>
      <c r="FH185" s="364"/>
      <c r="FI185" s="364"/>
      <c r="FJ185" s="364"/>
      <c r="FK185" s="364"/>
    </row>
    <row r="186" customFormat="false" ht="15.75" hidden="false" customHeight="false" outlineLevel="0" collapsed="false">
      <c r="A186" s="364" t="n">
        <v>365</v>
      </c>
      <c r="B186" s="364" t="n">
        <f aca="false">COUNTA(D186:FK186)</f>
        <v>44</v>
      </c>
      <c r="C186" s="364" t="s">
        <v>1038</v>
      </c>
      <c r="D186" s="364" t="s">
        <v>2482</v>
      </c>
      <c r="E186" s="364" t="s">
        <v>2483</v>
      </c>
      <c r="F186" s="364" t="s">
        <v>2312</v>
      </c>
      <c r="G186" s="364" t="s">
        <v>2313</v>
      </c>
      <c r="H186" s="364" t="s">
        <v>2314</v>
      </c>
      <c r="I186" s="364" t="s">
        <v>138</v>
      </c>
      <c r="J186" s="364" t="s">
        <v>2316</v>
      </c>
      <c r="K186" s="364" t="s">
        <v>2435</v>
      </c>
      <c r="L186" s="364" t="s">
        <v>2364</v>
      </c>
      <c r="M186" s="364" t="s">
        <v>2317</v>
      </c>
      <c r="N186" s="364" t="s">
        <v>2562</v>
      </c>
      <c r="O186" s="364" t="s">
        <v>2320</v>
      </c>
      <c r="P186" s="364" t="s">
        <v>2369</v>
      </c>
      <c r="Q186" s="364" t="s">
        <v>2323</v>
      </c>
      <c r="R186" s="364" t="s">
        <v>2324</v>
      </c>
      <c r="S186" s="364" t="s">
        <v>2484</v>
      </c>
      <c r="T186" s="364" t="s">
        <v>2327</v>
      </c>
      <c r="U186" s="364" t="s">
        <v>2328</v>
      </c>
      <c r="V186" s="364" t="s">
        <v>2329</v>
      </c>
      <c r="W186" s="364" t="s">
        <v>2415</v>
      </c>
      <c r="X186" s="364" t="s">
        <v>2416</v>
      </c>
      <c r="Y186" s="364" t="s">
        <v>2438</v>
      </c>
      <c r="Z186" s="261" t="s">
        <v>183</v>
      </c>
      <c r="AA186" s="364" t="s">
        <v>2582</v>
      </c>
      <c r="AB186" s="364" t="s">
        <v>2387</v>
      </c>
      <c r="AC186" s="364" t="s">
        <v>2337</v>
      </c>
      <c r="AD186" s="364" t="s">
        <v>2339</v>
      </c>
      <c r="AE186" s="364" t="s">
        <v>2420</v>
      </c>
      <c r="AF186" s="364" t="s">
        <v>2340</v>
      </c>
      <c r="AG186" s="364" t="s">
        <v>2341</v>
      </c>
      <c r="AH186" s="364" t="s">
        <v>2342</v>
      </c>
      <c r="AI186" s="364" t="s">
        <v>2566</v>
      </c>
      <c r="AJ186" s="364" t="s">
        <v>2442</v>
      </c>
      <c r="AK186" s="364" t="s">
        <v>2470</v>
      </c>
      <c r="AL186" s="364" t="s">
        <v>2583</v>
      </c>
      <c r="AM186" s="364" t="s">
        <v>2343</v>
      </c>
      <c r="AN186" s="364" t="s">
        <v>2471</v>
      </c>
      <c r="AO186" s="364" t="s">
        <v>2344</v>
      </c>
      <c r="AP186" s="364" t="s">
        <v>2345</v>
      </c>
      <c r="AQ186" s="364" t="s">
        <v>2347</v>
      </c>
      <c r="AR186" s="364" t="s">
        <v>2399</v>
      </c>
      <c r="AS186" s="364" t="s">
        <v>2350</v>
      </c>
      <c r="AT186" s="364" t="s">
        <v>2428</v>
      </c>
      <c r="AU186" s="364" t="s">
        <v>2572</v>
      </c>
      <c r="AV186" s="364"/>
      <c r="AW186" s="364"/>
      <c r="AX186" s="364"/>
      <c r="AY186" s="364"/>
      <c r="AZ186" s="364"/>
      <c r="BA186" s="364"/>
      <c r="BB186" s="364"/>
      <c r="BC186" s="364"/>
      <c r="BD186" s="364"/>
      <c r="BE186" s="364"/>
      <c r="BF186" s="364"/>
      <c r="BG186" s="364"/>
      <c r="BH186" s="364"/>
      <c r="BI186" s="364"/>
      <c r="BJ186" s="364"/>
      <c r="BK186" s="364"/>
      <c r="BL186" s="364"/>
      <c r="BM186" s="364"/>
      <c r="BN186" s="364"/>
      <c r="BO186" s="364"/>
      <c r="BP186" s="364"/>
      <c r="BQ186" s="364"/>
      <c r="BR186" s="364"/>
      <c r="BS186" s="364"/>
      <c r="BT186" s="364"/>
      <c r="BU186" s="364"/>
      <c r="BV186" s="364"/>
      <c r="BW186" s="364"/>
      <c r="BX186" s="364"/>
      <c r="BY186" s="364"/>
      <c r="BZ186" s="364"/>
      <c r="CA186" s="364"/>
      <c r="CB186" s="364"/>
      <c r="CC186" s="364"/>
      <c r="CD186" s="364"/>
      <c r="CE186" s="364"/>
      <c r="CF186" s="364"/>
      <c r="CG186" s="364"/>
      <c r="CH186" s="364"/>
      <c r="CI186" s="364"/>
      <c r="CJ186" s="364"/>
      <c r="CK186" s="364"/>
      <c r="CL186" s="364"/>
      <c r="CM186" s="364"/>
      <c r="CN186" s="364"/>
      <c r="CO186" s="364"/>
      <c r="CP186" s="364"/>
      <c r="CQ186" s="364"/>
      <c r="CR186" s="364"/>
      <c r="CS186" s="364"/>
      <c r="CT186" s="364"/>
      <c r="CU186" s="364"/>
      <c r="CV186" s="364"/>
      <c r="CW186" s="364"/>
      <c r="CX186" s="364"/>
      <c r="CY186" s="364"/>
      <c r="CZ186" s="364"/>
      <c r="DA186" s="364"/>
      <c r="DB186" s="364"/>
      <c r="DC186" s="364"/>
      <c r="DD186" s="364"/>
      <c r="DE186" s="364"/>
      <c r="DF186" s="364"/>
      <c r="DG186" s="364"/>
      <c r="DH186" s="364"/>
      <c r="DI186" s="364"/>
      <c r="DJ186" s="364"/>
      <c r="DK186" s="364"/>
      <c r="DL186" s="364"/>
      <c r="DM186" s="364"/>
      <c r="DN186" s="364"/>
      <c r="DO186" s="364"/>
      <c r="DP186" s="364"/>
      <c r="DQ186" s="364"/>
      <c r="DR186" s="364"/>
      <c r="DS186" s="364"/>
      <c r="DT186" s="364"/>
      <c r="DU186" s="364"/>
      <c r="DV186" s="364"/>
      <c r="DW186" s="364"/>
      <c r="DX186" s="364"/>
      <c r="DY186" s="364"/>
      <c r="DZ186" s="364"/>
      <c r="EA186" s="364"/>
      <c r="EB186" s="364"/>
      <c r="EC186" s="364"/>
      <c r="ED186" s="364"/>
      <c r="EE186" s="364"/>
      <c r="EF186" s="364"/>
      <c r="EG186" s="364"/>
      <c r="EH186" s="364"/>
      <c r="EI186" s="364"/>
      <c r="EJ186" s="364"/>
      <c r="EK186" s="364"/>
      <c r="EL186" s="364"/>
      <c r="EM186" s="364"/>
      <c r="EN186" s="364"/>
      <c r="EO186" s="364"/>
      <c r="EP186" s="364"/>
      <c r="EQ186" s="364"/>
      <c r="ER186" s="364"/>
      <c r="ES186" s="364"/>
      <c r="ET186" s="364"/>
      <c r="EU186" s="364"/>
      <c r="EV186" s="364"/>
      <c r="EW186" s="364"/>
      <c r="EX186" s="364"/>
      <c r="EY186" s="364"/>
      <c r="EZ186" s="364"/>
      <c r="FA186" s="364"/>
      <c r="FB186" s="364"/>
      <c r="FC186" s="364"/>
      <c r="FD186" s="364"/>
      <c r="FE186" s="364"/>
      <c r="FF186" s="364"/>
      <c r="FG186" s="364"/>
      <c r="FH186" s="364"/>
      <c r="FI186" s="364"/>
      <c r="FJ186" s="364"/>
      <c r="FK186" s="364"/>
    </row>
    <row r="187" customFormat="false" ht="15.75" hidden="false" customHeight="false" outlineLevel="0" collapsed="false">
      <c r="A187" s="364" t="n">
        <v>367</v>
      </c>
      <c r="B187" s="364" t="n">
        <f aca="false">COUNTA(D187:FK187)</f>
        <v>51</v>
      </c>
      <c r="C187" s="364" t="s">
        <v>1042</v>
      </c>
      <c r="D187" s="364" t="s">
        <v>2561</v>
      </c>
      <c r="E187" s="364" t="s">
        <v>2538</v>
      </c>
      <c r="F187" s="364" t="s">
        <v>2447</v>
      </c>
      <c r="G187" s="364" t="s">
        <v>2403</v>
      </c>
      <c r="H187" s="364" t="s">
        <v>2404</v>
      </c>
      <c r="I187" s="364" t="s">
        <v>2405</v>
      </c>
      <c r="J187" s="364" t="s">
        <v>2516</v>
      </c>
      <c r="K187" s="364" t="s">
        <v>2406</v>
      </c>
      <c r="L187" s="364" t="s">
        <v>2313</v>
      </c>
      <c r="M187" s="364" t="s">
        <v>2466</v>
      </c>
      <c r="N187" s="364" t="s">
        <v>2409</v>
      </c>
      <c r="O187" s="364" t="s">
        <v>2410</v>
      </c>
      <c r="P187" s="364" t="s">
        <v>2316</v>
      </c>
      <c r="Q187" s="364" t="s">
        <v>2317</v>
      </c>
      <c r="R187" s="364" t="s">
        <v>2320</v>
      </c>
      <c r="S187" s="364" t="s">
        <v>2534</v>
      </c>
      <c r="T187" s="364" t="s">
        <v>2322</v>
      </c>
      <c r="U187" s="364" t="s">
        <v>2324</v>
      </c>
      <c r="V187" s="364" t="s">
        <v>2328</v>
      </c>
      <c r="W187" s="364" t="s">
        <v>2329</v>
      </c>
      <c r="X187" s="364" t="s">
        <v>2415</v>
      </c>
      <c r="Y187" s="364" t="s">
        <v>2485</v>
      </c>
      <c r="Z187" s="364" t="s">
        <v>2417</v>
      </c>
      <c r="AA187" s="364" t="s">
        <v>2418</v>
      </c>
      <c r="AB187" s="261" t="s">
        <v>183</v>
      </c>
      <c r="AC187" s="364" t="s">
        <v>2531</v>
      </c>
      <c r="AD187" s="364" t="s">
        <v>2452</v>
      </c>
      <c r="AE187" s="364" t="s">
        <v>2529</v>
      </c>
      <c r="AF187" s="364" t="s">
        <v>2454</v>
      </c>
      <c r="AG187" s="364" t="s">
        <v>2335</v>
      </c>
      <c r="AH187" s="364" t="s">
        <v>2337</v>
      </c>
      <c r="AI187" s="364" t="s">
        <v>2469</v>
      </c>
      <c r="AJ187" s="364" t="s">
        <v>2339</v>
      </c>
      <c r="AK187" s="364" t="s">
        <v>2389</v>
      </c>
      <c r="AL187" s="364" t="s">
        <v>2340</v>
      </c>
      <c r="AM187" s="364" t="s">
        <v>2421</v>
      </c>
      <c r="AN187" s="364" t="s">
        <v>2341</v>
      </c>
      <c r="AO187" s="364" t="s">
        <v>2393</v>
      </c>
      <c r="AP187" s="364" t="s">
        <v>2395</v>
      </c>
      <c r="AQ187" s="364" t="s">
        <v>2472</v>
      </c>
      <c r="AR187" s="364" t="s">
        <v>2344</v>
      </c>
      <c r="AS187" s="364" t="s">
        <v>2347</v>
      </c>
      <c r="AT187" s="364" t="s">
        <v>2474</v>
      </c>
      <c r="AU187" s="364" t="s">
        <v>2424</v>
      </c>
      <c r="AV187" s="364" t="s">
        <v>2398</v>
      </c>
      <c r="AW187" s="364" t="s">
        <v>2445</v>
      </c>
      <c r="AX187" s="364" t="s">
        <v>2463</v>
      </c>
      <c r="AY187" s="364" t="s">
        <v>2425</v>
      </c>
      <c r="AZ187" s="364" t="s">
        <v>2428</v>
      </c>
      <c r="BA187" s="364" t="s">
        <v>2429</v>
      </c>
      <c r="BB187" s="364" t="s">
        <v>2430</v>
      </c>
      <c r="BC187" s="364"/>
      <c r="BD187" s="364"/>
      <c r="BE187" s="364"/>
      <c r="BF187" s="364"/>
      <c r="BG187" s="364"/>
      <c r="BH187" s="364"/>
      <c r="BI187" s="364"/>
      <c r="BJ187" s="364"/>
      <c r="BK187" s="364"/>
      <c r="BL187" s="364"/>
      <c r="BM187" s="364"/>
      <c r="BN187" s="364"/>
      <c r="BO187" s="364"/>
      <c r="BP187" s="364"/>
      <c r="BQ187" s="364"/>
      <c r="BR187" s="364"/>
      <c r="BS187" s="364"/>
      <c r="BT187" s="364"/>
      <c r="BU187" s="364"/>
      <c r="BV187" s="364"/>
      <c r="BW187" s="364"/>
      <c r="BX187" s="364"/>
      <c r="BY187" s="364"/>
      <c r="BZ187" s="364"/>
      <c r="CA187" s="364"/>
      <c r="CB187" s="364"/>
      <c r="CC187" s="364"/>
      <c r="CD187" s="364"/>
      <c r="CE187" s="364"/>
      <c r="CF187" s="364"/>
      <c r="CG187" s="364"/>
      <c r="CH187" s="364"/>
      <c r="CI187" s="364"/>
      <c r="CJ187" s="364"/>
      <c r="CK187" s="364"/>
      <c r="CL187" s="364"/>
      <c r="CM187" s="364"/>
      <c r="CN187" s="364"/>
      <c r="CO187" s="364"/>
      <c r="CP187" s="364"/>
      <c r="CQ187" s="364"/>
      <c r="CR187" s="364"/>
      <c r="CS187" s="364"/>
      <c r="CT187" s="364"/>
      <c r="CU187" s="364"/>
      <c r="CV187" s="364"/>
      <c r="CW187" s="364"/>
      <c r="CX187" s="364"/>
      <c r="CY187" s="364"/>
      <c r="CZ187" s="364"/>
      <c r="DA187" s="364"/>
      <c r="DB187" s="364"/>
      <c r="DC187" s="364"/>
      <c r="DD187" s="364"/>
      <c r="DE187" s="364"/>
      <c r="DF187" s="364"/>
      <c r="DG187" s="364"/>
      <c r="DH187" s="364"/>
      <c r="DI187" s="364"/>
      <c r="DJ187" s="364"/>
      <c r="DK187" s="364"/>
      <c r="DL187" s="364"/>
      <c r="DM187" s="364"/>
      <c r="DN187" s="364"/>
      <c r="DO187" s="364"/>
      <c r="DP187" s="364"/>
      <c r="DQ187" s="364"/>
      <c r="DR187" s="364"/>
      <c r="DS187" s="364"/>
      <c r="DT187" s="364"/>
      <c r="DU187" s="364"/>
      <c r="DV187" s="364"/>
      <c r="DW187" s="364"/>
      <c r="DX187" s="364"/>
      <c r="DY187" s="364"/>
      <c r="DZ187" s="364"/>
      <c r="EA187" s="364"/>
      <c r="EB187" s="364"/>
      <c r="EC187" s="364"/>
      <c r="ED187" s="364"/>
      <c r="EE187" s="364"/>
      <c r="EF187" s="364"/>
      <c r="EG187" s="364"/>
      <c r="EH187" s="364"/>
      <c r="EI187" s="364"/>
      <c r="EJ187" s="364"/>
      <c r="EK187" s="364"/>
      <c r="EL187" s="364"/>
      <c r="EM187" s="364"/>
      <c r="EN187" s="364"/>
      <c r="EO187" s="364"/>
      <c r="EP187" s="364"/>
      <c r="EQ187" s="364"/>
      <c r="ER187" s="364"/>
      <c r="ES187" s="364"/>
      <c r="ET187" s="364"/>
      <c r="EU187" s="364"/>
      <c r="EV187" s="364"/>
      <c r="EW187" s="364"/>
      <c r="EX187" s="364"/>
      <c r="EY187" s="364"/>
      <c r="EZ187" s="364"/>
      <c r="FA187" s="364"/>
      <c r="FB187" s="364"/>
      <c r="FC187" s="364"/>
      <c r="FD187" s="364"/>
      <c r="FE187" s="364"/>
      <c r="FF187" s="364"/>
      <c r="FG187" s="364"/>
      <c r="FH187" s="364"/>
      <c r="FI187" s="364"/>
      <c r="FJ187" s="364"/>
      <c r="FK187" s="364"/>
    </row>
    <row r="188" customFormat="false" ht="15.75" hidden="false" customHeight="false" outlineLevel="0" collapsed="false">
      <c r="A188" s="364" t="n">
        <v>370</v>
      </c>
      <c r="B188" s="364" t="n">
        <f aca="false">COUNTA(D188:FK188)</f>
        <v>41</v>
      </c>
      <c r="C188" s="364" t="s">
        <v>1049</v>
      </c>
      <c r="D188" s="364" t="s">
        <v>2528</v>
      </c>
      <c r="E188" s="364" t="s">
        <v>2403</v>
      </c>
      <c r="F188" s="364" t="s">
        <v>2405</v>
      </c>
      <c r="G188" s="364" t="s">
        <v>2312</v>
      </c>
      <c r="H188" s="364" t="s">
        <v>2516</v>
      </c>
      <c r="I188" s="364" t="s">
        <v>2406</v>
      </c>
      <c r="J188" s="364" t="s">
        <v>2313</v>
      </c>
      <c r="K188" s="364" t="s">
        <v>2410</v>
      </c>
      <c r="L188" s="364" t="s">
        <v>2316</v>
      </c>
      <c r="M188" s="364" t="s">
        <v>2317</v>
      </c>
      <c r="N188" s="364" t="s">
        <v>2318</v>
      </c>
      <c r="O188" s="364" t="s">
        <v>2320</v>
      </c>
      <c r="P188" s="364" t="s">
        <v>2324</v>
      </c>
      <c r="Q188" s="364" t="s">
        <v>2327</v>
      </c>
      <c r="R188" s="364" t="s">
        <v>2563</v>
      </c>
      <c r="S188" s="364" t="s">
        <v>2328</v>
      </c>
      <c r="T188" s="364" t="s">
        <v>2414</v>
      </c>
      <c r="U188" s="364" t="s">
        <v>2329</v>
      </c>
      <c r="V188" s="364" t="s">
        <v>2521</v>
      </c>
      <c r="W188" s="364" t="s">
        <v>2415</v>
      </c>
      <c r="X188" s="364" t="s">
        <v>2417</v>
      </c>
      <c r="Y188" s="364" t="s">
        <v>2506</v>
      </c>
      <c r="Z188" s="364" t="s">
        <v>2418</v>
      </c>
      <c r="AA188" s="364" t="s">
        <v>2337</v>
      </c>
      <c r="AB188" s="364" t="s">
        <v>2339</v>
      </c>
      <c r="AC188" s="364" t="s">
        <v>2389</v>
      </c>
      <c r="AD188" s="364" t="s">
        <v>2420</v>
      </c>
      <c r="AE188" s="364" t="s">
        <v>2340</v>
      </c>
      <c r="AF188" s="364" t="s">
        <v>2421</v>
      </c>
      <c r="AG188" s="364" t="s">
        <v>2341</v>
      </c>
      <c r="AH188" s="364" t="s">
        <v>2566</v>
      </c>
      <c r="AI188" s="364" t="s">
        <v>2344</v>
      </c>
      <c r="AJ188" s="364" t="s">
        <v>2643</v>
      </c>
      <c r="AK188" s="364" t="s">
        <v>2347</v>
      </c>
      <c r="AL188" s="364" t="s">
        <v>2424</v>
      </c>
      <c r="AM188" s="364" t="s">
        <v>2425</v>
      </c>
      <c r="AN188" s="364" t="s">
        <v>2426</v>
      </c>
      <c r="AO188" s="364" t="s">
        <v>2428</v>
      </c>
      <c r="AP188" s="364" t="s">
        <v>2660</v>
      </c>
      <c r="AQ188" s="364" t="s">
        <v>2429</v>
      </c>
      <c r="AR188" s="364" t="s">
        <v>2430</v>
      </c>
      <c r="AS188" s="364"/>
      <c r="AT188" s="364"/>
      <c r="AU188" s="364"/>
      <c r="AV188" s="364"/>
      <c r="AW188" s="364"/>
      <c r="AX188" s="364"/>
      <c r="AY188" s="364"/>
      <c r="AZ188" s="364"/>
      <c r="BA188" s="364"/>
      <c r="BB188" s="364"/>
      <c r="BC188" s="364"/>
      <c r="BD188" s="364"/>
      <c r="BE188" s="364"/>
      <c r="BF188" s="364"/>
      <c r="BG188" s="364"/>
      <c r="BH188" s="364"/>
      <c r="BI188" s="364"/>
      <c r="BJ188" s="364"/>
      <c r="BK188" s="364"/>
      <c r="BL188" s="364"/>
      <c r="BM188" s="364"/>
      <c r="BN188" s="364"/>
      <c r="BO188" s="364"/>
      <c r="BP188" s="364"/>
      <c r="BQ188" s="364"/>
      <c r="BR188" s="364"/>
      <c r="BS188" s="364"/>
      <c r="BT188" s="364"/>
      <c r="BU188" s="364"/>
      <c r="BV188" s="364"/>
      <c r="BW188" s="364"/>
      <c r="BX188" s="364"/>
      <c r="BY188" s="364"/>
      <c r="BZ188" s="364"/>
      <c r="CA188" s="364"/>
      <c r="CB188" s="364"/>
      <c r="CC188" s="364"/>
      <c r="CD188" s="364"/>
      <c r="CE188" s="364"/>
      <c r="CF188" s="364"/>
      <c r="CG188" s="364"/>
      <c r="CH188" s="364"/>
      <c r="CI188" s="364"/>
      <c r="CJ188" s="364"/>
      <c r="CK188" s="364"/>
      <c r="CL188" s="364"/>
      <c r="CM188" s="364"/>
      <c r="CN188" s="364"/>
      <c r="CO188" s="364"/>
      <c r="CP188" s="364"/>
      <c r="CQ188" s="364"/>
      <c r="CR188" s="364"/>
      <c r="CS188" s="364"/>
      <c r="CT188" s="364"/>
      <c r="CU188" s="364"/>
      <c r="CV188" s="364"/>
      <c r="CW188" s="364"/>
      <c r="CX188" s="364"/>
      <c r="CY188" s="364"/>
      <c r="CZ188" s="364"/>
      <c r="DA188" s="364"/>
      <c r="DB188" s="364"/>
      <c r="DC188" s="364"/>
      <c r="DD188" s="364"/>
      <c r="DE188" s="364"/>
      <c r="DF188" s="364"/>
      <c r="DG188" s="364"/>
      <c r="DH188" s="364"/>
      <c r="DI188" s="364"/>
      <c r="DJ188" s="364"/>
      <c r="DK188" s="364"/>
      <c r="DL188" s="364"/>
      <c r="DM188" s="364"/>
      <c r="DN188" s="364"/>
      <c r="DO188" s="364"/>
      <c r="DP188" s="364"/>
      <c r="DQ188" s="364"/>
      <c r="DR188" s="364"/>
      <c r="DS188" s="364"/>
      <c r="DT188" s="364"/>
      <c r="DU188" s="364"/>
      <c r="DV188" s="364"/>
      <c r="DW188" s="364"/>
      <c r="DX188" s="364"/>
      <c r="DY188" s="364"/>
      <c r="DZ188" s="364"/>
      <c r="EA188" s="364"/>
      <c r="EB188" s="364"/>
      <c r="EC188" s="364"/>
      <c r="ED188" s="364"/>
      <c r="EE188" s="364"/>
      <c r="EF188" s="364"/>
      <c r="EG188" s="364"/>
      <c r="EH188" s="364"/>
      <c r="EI188" s="364"/>
      <c r="EJ188" s="364"/>
      <c r="EK188" s="364"/>
      <c r="EL188" s="364"/>
      <c r="EM188" s="364"/>
      <c r="EN188" s="364"/>
      <c r="EO188" s="364"/>
      <c r="EP188" s="364"/>
      <c r="EQ188" s="364"/>
      <c r="ER188" s="364"/>
      <c r="ES188" s="364"/>
      <c r="ET188" s="364"/>
      <c r="EU188" s="364"/>
      <c r="EV188" s="364"/>
      <c r="EW188" s="364"/>
      <c r="EX188" s="364"/>
      <c r="EY188" s="364"/>
      <c r="EZ188" s="364"/>
      <c r="FA188" s="364"/>
      <c r="FB188" s="364"/>
      <c r="FC188" s="364"/>
      <c r="FD188" s="364"/>
      <c r="FE188" s="364"/>
      <c r="FF188" s="364"/>
      <c r="FG188" s="364"/>
      <c r="FH188" s="364"/>
      <c r="FI188" s="364"/>
      <c r="FJ188" s="364"/>
      <c r="FK188" s="364"/>
    </row>
    <row r="189" customFormat="false" ht="15.75" hidden="false" customHeight="false" outlineLevel="0" collapsed="false">
      <c r="A189" s="364" t="n">
        <v>372</v>
      </c>
      <c r="B189" s="364" t="n">
        <f aca="false">COUNTA(D189:FK189)</f>
        <v>42</v>
      </c>
      <c r="C189" s="364" t="s">
        <v>1053</v>
      </c>
      <c r="D189" s="364" t="s">
        <v>2312</v>
      </c>
      <c r="E189" s="364" t="s">
        <v>2313</v>
      </c>
      <c r="F189" s="364" t="s">
        <v>2358</v>
      </c>
      <c r="G189" s="364" t="s">
        <v>2316</v>
      </c>
      <c r="H189" s="364" t="s">
        <v>2497</v>
      </c>
      <c r="I189" s="364" t="s">
        <v>2317</v>
      </c>
      <c r="J189" s="364" t="s">
        <v>2318</v>
      </c>
      <c r="K189" s="364" t="s">
        <v>2365</v>
      </c>
      <c r="L189" s="364" t="s">
        <v>2637</v>
      </c>
      <c r="M189" s="364" t="s">
        <v>2562</v>
      </c>
      <c r="N189" s="364" t="s">
        <v>2320</v>
      </c>
      <c r="O189" s="364" t="s">
        <v>2366</v>
      </c>
      <c r="P189" s="364" t="s">
        <v>2371</v>
      </c>
      <c r="Q189" s="364" t="s">
        <v>2372</v>
      </c>
      <c r="R189" s="364" t="s">
        <v>2373</v>
      </c>
      <c r="S189" s="364" t="s">
        <v>2411</v>
      </c>
      <c r="T189" s="364" t="s">
        <v>2324</v>
      </c>
      <c r="U189" s="364" t="s">
        <v>2327</v>
      </c>
      <c r="V189" s="364" t="s">
        <v>2378</v>
      </c>
      <c r="W189" s="364" t="s">
        <v>2328</v>
      </c>
      <c r="X189" s="364" t="s">
        <v>2329</v>
      </c>
      <c r="Y189" s="364" t="s">
        <v>2379</v>
      </c>
      <c r="Z189" s="364" t="s">
        <v>2506</v>
      </c>
      <c r="AA189" s="364" t="s">
        <v>2627</v>
      </c>
      <c r="AB189" s="261" t="s">
        <v>183</v>
      </c>
      <c r="AC189" s="364" t="s">
        <v>2386</v>
      </c>
      <c r="AD189" s="364" t="s">
        <v>2337</v>
      </c>
      <c r="AE189" s="364" t="s">
        <v>2388</v>
      </c>
      <c r="AF189" s="364" t="s">
        <v>2339</v>
      </c>
      <c r="AG189" s="364" t="s">
        <v>2389</v>
      </c>
      <c r="AH189" s="364" t="s">
        <v>2420</v>
      </c>
      <c r="AI189" s="364" t="s">
        <v>2340</v>
      </c>
      <c r="AJ189" s="364" t="s">
        <v>2341</v>
      </c>
      <c r="AK189" s="364" t="s">
        <v>2566</v>
      </c>
      <c r="AL189" s="364" t="s">
        <v>2344</v>
      </c>
      <c r="AM189" s="364" t="s">
        <v>2345</v>
      </c>
      <c r="AN189" s="364" t="s">
        <v>2346</v>
      </c>
      <c r="AO189" s="364" t="s">
        <v>2500</v>
      </c>
      <c r="AP189" s="364" t="s">
        <v>2347</v>
      </c>
      <c r="AQ189" s="364" t="s">
        <v>2348</v>
      </c>
      <c r="AR189" s="364" t="s">
        <v>2349</v>
      </c>
      <c r="AS189" s="364" t="s">
        <v>2572</v>
      </c>
      <c r="AT189" s="364"/>
      <c r="AU189" s="364"/>
      <c r="AV189" s="364"/>
      <c r="AW189" s="364"/>
      <c r="AX189" s="364"/>
      <c r="AY189" s="364"/>
      <c r="AZ189" s="364"/>
      <c r="BA189" s="364"/>
      <c r="BB189" s="364"/>
      <c r="BC189" s="364"/>
      <c r="BD189" s="364"/>
      <c r="BE189" s="364"/>
      <c r="BF189" s="364"/>
      <c r="BG189" s="364"/>
      <c r="BH189" s="364"/>
      <c r="BI189" s="364"/>
      <c r="BJ189" s="364"/>
      <c r="BK189" s="364"/>
      <c r="BL189" s="364"/>
      <c r="BM189" s="364"/>
      <c r="BN189" s="364"/>
      <c r="BO189" s="364"/>
      <c r="BP189" s="364"/>
      <c r="BQ189" s="364"/>
      <c r="BR189" s="364"/>
      <c r="BS189" s="364"/>
      <c r="BT189" s="364"/>
      <c r="BU189" s="364"/>
      <c r="BV189" s="364"/>
      <c r="BW189" s="364"/>
      <c r="BX189" s="364"/>
      <c r="BY189" s="364"/>
      <c r="BZ189" s="364"/>
      <c r="CA189" s="364"/>
      <c r="CB189" s="364"/>
      <c r="CC189" s="364"/>
      <c r="CD189" s="364"/>
      <c r="CE189" s="364"/>
      <c r="CF189" s="364"/>
      <c r="CG189" s="364"/>
      <c r="CH189" s="364"/>
      <c r="CI189" s="364"/>
      <c r="CJ189" s="364"/>
      <c r="CK189" s="364"/>
      <c r="CL189" s="364"/>
      <c r="CM189" s="364"/>
      <c r="CN189" s="364"/>
      <c r="CO189" s="364"/>
      <c r="CP189" s="364"/>
      <c r="CQ189" s="364"/>
      <c r="CR189" s="364"/>
      <c r="CS189" s="364"/>
      <c r="CT189" s="364"/>
      <c r="CU189" s="364"/>
      <c r="CV189" s="364"/>
      <c r="CW189" s="364"/>
      <c r="CX189" s="364"/>
      <c r="CY189" s="364"/>
      <c r="CZ189" s="364"/>
      <c r="DA189" s="364"/>
      <c r="DB189" s="364"/>
      <c r="DC189" s="364"/>
      <c r="DD189" s="364"/>
      <c r="DE189" s="364"/>
      <c r="DF189" s="364"/>
      <c r="DG189" s="364"/>
      <c r="DH189" s="364"/>
      <c r="DI189" s="364"/>
      <c r="DJ189" s="364"/>
      <c r="DK189" s="364"/>
      <c r="DL189" s="364"/>
      <c r="DM189" s="364"/>
      <c r="DN189" s="364"/>
      <c r="DO189" s="364"/>
      <c r="DP189" s="364"/>
      <c r="DQ189" s="364"/>
      <c r="DR189" s="364"/>
      <c r="DS189" s="364"/>
      <c r="DT189" s="364"/>
      <c r="DU189" s="364"/>
      <c r="DV189" s="364"/>
      <c r="DW189" s="364"/>
      <c r="DX189" s="364"/>
      <c r="DY189" s="364"/>
      <c r="DZ189" s="364"/>
      <c r="EA189" s="364"/>
      <c r="EB189" s="364"/>
      <c r="EC189" s="364"/>
      <c r="ED189" s="364"/>
      <c r="EE189" s="364"/>
      <c r="EF189" s="364"/>
      <c r="EG189" s="364"/>
      <c r="EH189" s="364"/>
      <c r="EI189" s="364"/>
      <c r="EJ189" s="364"/>
      <c r="EK189" s="364"/>
      <c r="EL189" s="364"/>
      <c r="EM189" s="364"/>
      <c r="EN189" s="364"/>
      <c r="EO189" s="364"/>
      <c r="EP189" s="364"/>
      <c r="EQ189" s="364"/>
      <c r="ER189" s="364"/>
      <c r="ES189" s="364"/>
      <c r="ET189" s="364"/>
      <c r="EU189" s="364"/>
      <c r="EV189" s="364"/>
      <c r="EW189" s="364"/>
      <c r="EX189" s="364"/>
      <c r="EY189" s="364"/>
      <c r="EZ189" s="364"/>
      <c r="FA189" s="364"/>
      <c r="FB189" s="364"/>
      <c r="FC189" s="364"/>
      <c r="FD189" s="364"/>
      <c r="FE189" s="364"/>
      <c r="FF189" s="364"/>
      <c r="FG189" s="364"/>
      <c r="FH189" s="364"/>
      <c r="FI189" s="364"/>
      <c r="FJ189" s="364"/>
      <c r="FK189" s="364"/>
    </row>
    <row r="190" customFormat="false" ht="15.75" hidden="false" customHeight="false" outlineLevel="0" collapsed="false">
      <c r="A190" s="364" t="n">
        <v>374</v>
      </c>
      <c r="B190" s="364" t="n">
        <f aca="false">COUNTA(D190:FK190)</f>
        <v>47</v>
      </c>
      <c r="C190" s="364" t="s">
        <v>1058</v>
      </c>
      <c r="D190" s="364" t="s">
        <v>2312</v>
      </c>
      <c r="E190" s="364" t="s">
        <v>2313</v>
      </c>
      <c r="F190" s="364" t="s">
        <v>2618</v>
      </c>
      <c r="G190" s="364" t="s">
        <v>2316</v>
      </c>
      <c r="H190" s="364" t="s">
        <v>2497</v>
      </c>
      <c r="I190" s="364" t="s">
        <v>2317</v>
      </c>
      <c r="J190" s="364" t="s">
        <v>2365</v>
      </c>
      <c r="K190" s="364" t="s">
        <v>2637</v>
      </c>
      <c r="L190" s="364" t="s">
        <v>2562</v>
      </c>
      <c r="M190" s="364" t="s">
        <v>2320</v>
      </c>
      <c r="N190" s="364" t="s">
        <v>2366</v>
      </c>
      <c r="O190" s="364" t="s">
        <v>2370</v>
      </c>
      <c r="P190" s="364" t="s">
        <v>2371</v>
      </c>
      <c r="Q190" s="364" t="s">
        <v>2372</v>
      </c>
      <c r="R190" s="364" t="s">
        <v>2373</v>
      </c>
      <c r="S190" s="364" t="s">
        <v>2548</v>
      </c>
      <c r="T190" s="364" t="s">
        <v>2324</v>
      </c>
      <c r="U190" s="364" t="s">
        <v>2412</v>
      </c>
      <c r="V190" s="364" t="s">
        <v>2327</v>
      </c>
      <c r="W190" s="364" t="s">
        <v>2378</v>
      </c>
      <c r="X190" s="364" t="s">
        <v>2328</v>
      </c>
      <c r="Y190" s="364" t="s">
        <v>2329</v>
      </c>
      <c r="Z190" s="364" t="s">
        <v>2379</v>
      </c>
      <c r="AA190" s="364" t="s">
        <v>2380</v>
      </c>
      <c r="AB190" s="364" t="s">
        <v>2381</v>
      </c>
      <c r="AC190" s="364" t="s">
        <v>2627</v>
      </c>
      <c r="AD190" s="261" t="s">
        <v>183</v>
      </c>
      <c r="AE190" s="364" t="s">
        <v>2386</v>
      </c>
      <c r="AF190" s="364" t="s">
        <v>2419</v>
      </c>
      <c r="AG190" s="364" t="s">
        <v>2337</v>
      </c>
      <c r="AH190" s="364" t="s">
        <v>2388</v>
      </c>
      <c r="AI190" s="364" t="s">
        <v>2339</v>
      </c>
      <c r="AJ190" s="364" t="s">
        <v>2389</v>
      </c>
      <c r="AK190" s="364" t="s">
        <v>2420</v>
      </c>
      <c r="AL190" s="364" t="s">
        <v>2340</v>
      </c>
      <c r="AM190" s="364" t="s">
        <v>2341</v>
      </c>
      <c r="AN190" s="364" t="s">
        <v>2566</v>
      </c>
      <c r="AO190" s="364" t="s">
        <v>2393</v>
      </c>
      <c r="AP190" s="364" t="s">
        <v>2343</v>
      </c>
      <c r="AQ190" s="364" t="s">
        <v>2619</v>
      </c>
      <c r="AR190" s="364" t="s">
        <v>2344</v>
      </c>
      <c r="AS190" s="364" t="s">
        <v>2345</v>
      </c>
      <c r="AT190" s="364" t="s">
        <v>2346</v>
      </c>
      <c r="AU190" s="364" t="s">
        <v>2500</v>
      </c>
      <c r="AV190" s="364" t="s">
        <v>2347</v>
      </c>
      <c r="AW190" s="364" t="s">
        <v>2511</v>
      </c>
      <c r="AX190" s="364" t="s">
        <v>2572</v>
      </c>
      <c r="AY190" s="364"/>
      <c r="AZ190" s="364"/>
      <c r="BA190" s="364"/>
      <c r="BB190" s="364"/>
      <c r="BC190" s="364"/>
      <c r="BD190" s="364"/>
      <c r="BE190" s="364"/>
      <c r="BF190" s="364"/>
      <c r="BG190" s="364"/>
      <c r="BH190" s="364"/>
      <c r="BI190" s="364"/>
      <c r="BJ190" s="364"/>
      <c r="BK190" s="364"/>
      <c r="BL190" s="364"/>
      <c r="BM190" s="364"/>
      <c r="BN190" s="364"/>
      <c r="BO190" s="364"/>
      <c r="BP190" s="364"/>
      <c r="BQ190" s="364"/>
      <c r="BR190" s="364"/>
      <c r="BS190" s="364"/>
      <c r="BT190" s="364"/>
      <c r="BU190" s="364"/>
      <c r="BV190" s="364"/>
      <c r="BW190" s="364"/>
      <c r="BX190" s="364"/>
      <c r="BY190" s="364"/>
      <c r="BZ190" s="364"/>
      <c r="CA190" s="364"/>
      <c r="CB190" s="364"/>
      <c r="CC190" s="364"/>
      <c r="CD190" s="364"/>
      <c r="CE190" s="364"/>
      <c r="CF190" s="364"/>
      <c r="CG190" s="364"/>
      <c r="CH190" s="364"/>
      <c r="CI190" s="364"/>
      <c r="CJ190" s="364"/>
      <c r="CK190" s="364"/>
      <c r="CL190" s="364"/>
      <c r="CM190" s="364"/>
      <c r="CN190" s="364"/>
      <c r="CO190" s="364"/>
      <c r="CP190" s="364"/>
      <c r="CQ190" s="364"/>
      <c r="CR190" s="364"/>
      <c r="CS190" s="364"/>
      <c r="CT190" s="364"/>
      <c r="CU190" s="364"/>
      <c r="CV190" s="364"/>
      <c r="CW190" s="364"/>
      <c r="CX190" s="364"/>
      <c r="CY190" s="364"/>
      <c r="CZ190" s="364"/>
      <c r="DA190" s="364"/>
      <c r="DB190" s="364"/>
      <c r="DC190" s="364"/>
      <c r="DD190" s="364"/>
      <c r="DE190" s="364"/>
      <c r="DF190" s="364"/>
      <c r="DG190" s="364"/>
      <c r="DH190" s="364"/>
      <c r="DI190" s="364"/>
      <c r="DJ190" s="364"/>
      <c r="DK190" s="364"/>
      <c r="DL190" s="364"/>
      <c r="DM190" s="364"/>
      <c r="DN190" s="364"/>
      <c r="DO190" s="364"/>
      <c r="DP190" s="364"/>
      <c r="DQ190" s="364"/>
      <c r="DR190" s="364"/>
      <c r="DS190" s="364"/>
      <c r="DT190" s="364"/>
      <c r="DU190" s="364"/>
      <c r="DV190" s="364"/>
      <c r="DW190" s="364"/>
      <c r="DX190" s="364"/>
      <c r="DY190" s="364"/>
      <c r="DZ190" s="364"/>
      <c r="EA190" s="364"/>
      <c r="EB190" s="364"/>
      <c r="EC190" s="364"/>
      <c r="ED190" s="364"/>
      <c r="EE190" s="364"/>
      <c r="EF190" s="364"/>
      <c r="EG190" s="364"/>
      <c r="EH190" s="364"/>
      <c r="EI190" s="364"/>
      <c r="EJ190" s="364"/>
      <c r="EK190" s="364"/>
      <c r="EL190" s="364"/>
      <c r="EM190" s="364"/>
      <c r="EN190" s="364"/>
      <c r="EO190" s="364"/>
      <c r="EP190" s="364"/>
      <c r="EQ190" s="364"/>
      <c r="ER190" s="364"/>
      <c r="ES190" s="364"/>
      <c r="ET190" s="364"/>
      <c r="EU190" s="364"/>
      <c r="EV190" s="364"/>
      <c r="EW190" s="364"/>
      <c r="EX190" s="364"/>
      <c r="EY190" s="364"/>
      <c r="EZ190" s="364"/>
      <c r="FA190" s="364"/>
      <c r="FB190" s="364"/>
      <c r="FC190" s="364"/>
      <c r="FD190" s="364"/>
      <c r="FE190" s="364"/>
      <c r="FF190" s="364"/>
      <c r="FG190" s="364"/>
      <c r="FH190" s="364"/>
      <c r="FI190" s="364"/>
      <c r="FJ190" s="364"/>
      <c r="FK190" s="364"/>
    </row>
    <row r="191" customFormat="false" ht="15.75" hidden="false" customHeight="false" outlineLevel="0" collapsed="false">
      <c r="A191" s="364" t="n">
        <v>376</v>
      </c>
      <c r="B191" s="364" t="n">
        <f aca="false">COUNTA(D191:FK191)</f>
        <v>48</v>
      </c>
      <c r="C191" s="364" t="s">
        <v>1062</v>
      </c>
      <c r="D191" s="364" t="s">
        <v>2483</v>
      </c>
      <c r="E191" s="364" t="s">
        <v>2312</v>
      </c>
      <c r="F191" s="364" t="s">
        <v>2516</v>
      </c>
      <c r="G191" s="364" t="s">
        <v>2356</v>
      </c>
      <c r="H191" s="364" t="s">
        <v>2313</v>
      </c>
      <c r="I191" s="364" t="s">
        <v>2464</v>
      </c>
      <c r="J191" s="364" t="s">
        <v>138</v>
      </c>
      <c r="K191" s="364" t="s">
        <v>2465</v>
      </c>
      <c r="L191" s="364" t="s">
        <v>2316</v>
      </c>
      <c r="M191" s="364" t="s">
        <v>2520</v>
      </c>
      <c r="N191" s="364" t="s">
        <v>2435</v>
      </c>
      <c r="O191" s="364" t="s">
        <v>2364</v>
      </c>
      <c r="P191" s="364" t="s">
        <v>2319</v>
      </c>
      <c r="Q191" s="364" t="s">
        <v>2320</v>
      </c>
      <c r="R191" s="364" t="s">
        <v>2369</v>
      </c>
      <c r="S191" s="364" t="s">
        <v>2376</v>
      </c>
      <c r="T191" s="364" t="s">
        <v>2377</v>
      </c>
      <c r="U191" s="364" t="s">
        <v>2324</v>
      </c>
      <c r="V191" s="364" t="s">
        <v>2325</v>
      </c>
      <c r="W191" s="364" t="s">
        <v>2327</v>
      </c>
      <c r="X191" s="364" t="s">
        <v>2328</v>
      </c>
      <c r="Y191" s="364" t="s">
        <v>2329</v>
      </c>
      <c r="Z191" s="364" t="s">
        <v>2416</v>
      </c>
      <c r="AA191" s="364" t="s">
        <v>2417</v>
      </c>
      <c r="AB191" s="364" t="s">
        <v>2381</v>
      </c>
      <c r="AC191" s="364" t="s">
        <v>2382</v>
      </c>
      <c r="AD191" s="364" t="s">
        <v>2383</v>
      </c>
      <c r="AE191" s="261" t="s">
        <v>183</v>
      </c>
      <c r="AF191" s="364" t="s">
        <v>2452</v>
      </c>
      <c r="AG191" s="364" t="s">
        <v>2536</v>
      </c>
      <c r="AH191" s="364" t="s">
        <v>2387</v>
      </c>
      <c r="AI191" s="364" t="s">
        <v>2439</v>
      </c>
      <c r="AJ191" s="364" t="s">
        <v>157</v>
      </c>
      <c r="AK191" s="364" t="s">
        <v>2495</v>
      </c>
      <c r="AL191" s="364" t="s">
        <v>2440</v>
      </c>
      <c r="AM191" s="364" t="s">
        <v>2337</v>
      </c>
      <c r="AN191" s="364" t="s">
        <v>2340</v>
      </c>
      <c r="AO191" s="364" t="s">
        <v>2341</v>
      </c>
      <c r="AP191" s="364" t="s">
        <v>2391</v>
      </c>
      <c r="AQ191" s="364" t="s">
        <v>2442</v>
      </c>
      <c r="AR191" s="364" t="s">
        <v>2470</v>
      </c>
      <c r="AS191" s="364" t="s">
        <v>2422</v>
      </c>
      <c r="AT191" s="364" t="s">
        <v>2344</v>
      </c>
      <c r="AU191" s="364" t="s">
        <v>2643</v>
      </c>
      <c r="AV191" s="364" t="s">
        <v>2398</v>
      </c>
      <c r="AW191" s="364" t="s">
        <v>2445</v>
      </c>
      <c r="AX191" s="364" t="s">
        <v>2399</v>
      </c>
      <c r="AY191" s="364" t="s">
        <v>2430</v>
      </c>
      <c r="AZ191" s="364"/>
      <c r="BA191" s="364"/>
      <c r="BB191" s="364"/>
      <c r="BC191" s="364"/>
      <c r="BD191" s="364"/>
      <c r="BE191" s="364"/>
      <c r="BF191" s="364"/>
      <c r="BG191" s="364"/>
      <c r="BH191" s="364"/>
      <c r="BI191" s="364"/>
      <c r="BJ191" s="364"/>
      <c r="BK191" s="364"/>
      <c r="BL191" s="364"/>
      <c r="BM191" s="364"/>
      <c r="BN191" s="364"/>
      <c r="BO191" s="364"/>
      <c r="BP191" s="364"/>
      <c r="BQ191" s="364"/>
      <c r="BR191" s="364"/>
      <c r="BS191" s="364"/>
      <c r="BT191" s="364"/>
      <c r="BU191" s="364"/>
      <c r="BV191" s="364"/>
      <c r="BW191" s="364"/>
      <c r="BX191" s="364"/>
      <c r="BY191" s="364"/>
      <c r="BZ191" s="364"/>
      <c r="CA191" s="364"/>
      <c r="CB191" s="364"/>
      <c r="CC191" s="364"/>
      <c r="CD191" s="364"/>
      <c r="CE191" s="364"/>
      <c r="CF191" s="364"/>
      <c r="CG191" s="364"/>
      <c r="CH191" s="364"/>
      <c r="CI191" s="364"/>
      <c r="CJ191" s="364"/>
      <c r="CK191" s="364"/>
      <c r="CL191" s="364"/>
      <c r="CM191" s="364"/>
      <c r="CN191" s="364"/>
      <c r="CO191" s="364"/>
      <c r="CP191" s="364"/>
      <c r="CQ191" s="364"/>
      <c r="CR191" s="364"/>
      <c r="CS191" s="364"/>
      <c r="CT191" s="364"/>
      <c r="CU191" s="364"/>
      <c r="CV191" s="364"/>
      <c r="CW191" s="364"/>
      <c r="CX191" s="364"/>
      <c r="CY191" s="364"/>
      <c r="CZ191" s="364"/>
      <c r="DA191" s="364"/>
      <c r="DB191" s="364"/>
      <c r="DC191" s="364"/>
      <c r="DD191" s="364"/>
      <c r="DE191" s="364"/>
      <c r="DF191" s="364"/>
      <c r="DG191" s="364"/>
      <c r="DH191" s="364"/>
      <c r="DI191" s="364"/>
      <c r="DJ191" s="364"/>
      <c r="DK191" s="364"/>
      <c r="DL191" s="364"/>
      <c r="DM191" s="364"/>
      <c r="DN191" s="364"/>
      <c r="DO191" s="364"/>
      <c r="DP191" s="364"/>
      <c r="DQ191" s="364"/>
      <c r="DR191" s="364"/>
      <c r="DS191" s="364"/>
      <c r="DT191" s="364"/>
      <c r="DU191" s="364"/>
      <c r="DV191" s="364"/>
      <c r="DW191" s="364"/>
      <c r="DX191" s="364"/>
      <c r="DY191" s="364"/>
      <c r="DZ191" s="364"/>
      <c r="EA191" s="364"/>
      <c r="EB191" s="364"/>
      <c r="EC191" s="364"/>
      <c r="ED191" s="364"/>
      <c r="EE191" s="364"/>
      <c r="EF191" s="364"/>
      <c r="EG191" s="364"/>
      <c r="EH191" s="364"/>
      <c r="EI191" s="364"/>
      <c r="EJ191" s="364"/>
      <c r="EK191" s="364"/>
      <c r="EL191" s="364"/>
      <c r="EM191" s="364"/>
      <c r="EN191" s="364"/>
      <c r="EO191" s="364"/>
      <c r="EP191" s="364"/>
      <c r="EQ191" s="364"/>
      <c r="ER191" s="364"/>
      <c r="ES191" s="364"/>
      <c r="ET191" s="364"/>
      <c r="EU191" s="364"/>
      <c r="EV191" s="364"/>
      <c r="EW191" s="364"/>
      <c r="EX191" s="364"/>
      <c r="EY191" s="364"/>
      <c r="EZ191" s="364"/>
      <c r="FA191" s="364"/>
      <c r="FB191" s="364"/>
      <c r="FC191" s="364"/>
      <c r="FD191" s="364"/>
      <c r="FE191" s="364"/>
      <c r="FF191" s="364"/>
      <c r="FG191" s="364"/>
      <c r="FH191" s="364"/>
      <c r="FI191" s="364"/>
      <c r="FJ191" s="364"/>
      <c r="FK191" s="364"/>
    </row>
    <row r="192" customFormat="false" ht="15.75" hidden="false" customHeight="false" outlineLevel="0" collapsed="false">
      <c r="A192" s="364" t="n">
        <v>377</v>
      </c>
      <c r="B192" s="364" t="n">
        <f aca="false">COUNTA(D192:FK192)</f>
        <v>56</v>
      </c>
      <c r="C192" s="364" t="s">
        <v>1064</v>
      </c>
      <c r="D192" s="364" t="s">
        <v>2312</v>
      </c>
      <c r="E192" s="364" t="s">
        <v>2356</v>
      </c>
      <c r="F192" s="364" t="s">
        <v>138</v>
      </c>
      <c r="G192" s="364" t="s">
        <v>2465</v>
      </c>
      <c r="H192" s="364" t="s">
        <v>2358</v>
      </c>
      <c r="I192" s="364" t="s">
        <v>2621</v>
      </c>
      <c r="J192" s="364" t="s">
        <v>2316</v>
      </c>
      <c r="K192" s="364" t="s">
        <v>2520</v>
      </c>
      <c r="L192" s="364" t="s">
        <v>2435</v>
      </c>
      <c r="M192" s="364" t="s">
        <v>2364</v>
      </c>
      <c r="N192" s="364" t="s">
        <v>2320</v>
      </c>
      <c r="O192" s="364" t="s">
        <v>2533</v>
      </c>
      <c r="P192" s="364" t="s">
        <v>2535</v>
      </c>
      <c r="Q192" s="364" t="s">
        <v>2369</v>
      </c>
      <c r="R192" s="364" t="s">
        <v>2377</v>
      </c>
      <c r="S192" s="364" t="s">
        <v>2327</v>
      </c>
      <c r="T192" s="364" t="s">
        <v>2328</v>
      </c>
      <c r="U192" s="364" t="s">
        <v>2521</v>
      </c>
      <c r="V192" s="364" t="s">
        <v>2416</v>
      </c>
      <c r="W192" s="364" t="s">
        <v>2417</v>
      </c>
      <c r="X192" s="364" t="s">
        <v>2468</v>
      </c>
      <c r="Y192" s="364" t="s">
        <v>2539</v>
      </c>
      <c r="Z192" s="364" t="s">
        <v>2382</v>
      </c>
      <c r="AA192" s="364" t="s">
        <v>2383</v>
      </c>
      <c r="AB192" s="261" t="s">
        <v>183</v>
      </c>
      <c r="AC192" s="364" t="s">
        <v>2387</v>
      </c>
      <c r="AD192" s="364" t="s">
        <v>2439</v>
      </c>
      <c r="AE192" s="364" t="s">
        <v>157</v>
      </c>
      <c r="AF192" s="364" t="s">
        <v>2551</v>
      </c>
      <c r="AG192" s="364" t="s">
        <v>2419</v>
      </c>
      <c r="AH192" s="364" t="s">
        <v>2337</v>
      </c>
      <c r="AI192" s="364" t="s">
        <v>2469</v>
      </c>
      <c r="AJ192" s="364" t="s">
        <v>2388</v>
      </c>
      <c r="AK192" s="364" t="s">
        <v>2339</v>
      </c>
      <c r="AL192" s="364" t="s">
        <v>2389</v>
      </c>
      <c r="AM192" s="364" t="s">
        <v>2420</v>
      </c>
      <c r="AN192" s="364" t="s">
        <v>2340</v>
      </c>
      <c r="AO192" s="364" t="s">
        <v>2341</v>
      </c>
      <c r="AP192" s="364" t="s">
        <v>2391</v>
      </c>
      <c r="AQ192" s="364" t="s">
        <v>2442</v>
      </c>
      <c r="AR192" s="364" t="s">
        <v>2470</v>
      </c>
      <c r="AS192" s="364" t="s">
        <v>2617</v>
      </c>
      <c r="AT192" s="364" t="s">
        <v>2344</v>
      </c>
      <c r="AU192" s="364" t="s">
        <v>2346</v>
      </c>
      <c r="AV192" s="364" t="s">
        <v>2347</v>
      </c>
      <c r="AW192" s="364" t="s">
        <v>2473</v>
      </c>
      <c r="AX192" s="364" t="s">
        <v>2511</v>
      </c>
      <c r="AY192" s="364" t="s">
        <v>2398</v>
      </c>
      <c r="AZ192" s="364" t="s">
        <v>2348</v>
      </c>
      <c r="BA192" s="364" t="s">
        <v>2445</v>
      </c>
      <c r="BB192" s="364" t="s">
        <v>2515</v>
      </c>
      <c r="BC192" s="364" t="s">
        <v>2399</v>
      </c>
      <c r="BD192" s="364" t="s">
        <v>2463</v>
      </c>
      <c r="BE192" s="364" t="s">
        <v>2428</v>
      </c>
      <c r="BF192" s="364" t="s">
        <v>2477</v>
      </c>
      <c r="BG192" s="364" t="s">
        <v>2430</v>
      </c>
      <c r="BH192" s="364"/>
      <c r="BI192" s="364"/>
      <c r="BJ192" s="364"/>
      <c r="BK192" s="364"/>
      <c r="BL192" s="364"/>
      <c r="BM192" s="364"/>
      <c r="BN192" s="364"/>
      <c r="BO192" s="364"/>
      <c r="BP192" s="364"/>
      <c r="BQ192" s="364"/>
      <c r="BR192" s="364"/>
      <c r="BS192" s="364"/>
      <c r="BT192" s="364"/>
      <c r="BU192" s="364"/>
      <c r="BV192" s="364"/>
      <c r="BW192" s="364"/>
      <c r="BX192" s="364"/>
      <c r="BY192" s="364"/>
      <c r="BZ192" s="364"/>
      <c r="CA192" s="364"/>
      <c r="CB192" s="364"/>
      <c r="CC192" s="364"/>
      <c r="CD192" s="364"/>
      <c r="CE192" s="364"/>
      <c r="CF192" s="364"/>
      <c r="CG192" s="364"/>
      <c r="CH192" s="364"/>
      <c r="CI192" s="364"/>
      <c r="CJ192" s="364"/>
      <c r="CK192" s="364"/>
      <c r="CL192" s="364"/>
      <c r="CM192" s="364"/>
      <c r="CN192" s="364"/>
      <c r="CO192" s="364"/>
      <c r="CP192" s="364"/>
      <c r="CQ192" s="364"/>
      <c r="CR192" s="364"/>
      <c r="CS192" s="364"/>
      <c r="CT192" s="364"/>
      <c r="CU192" s="364"/>
      <c r="CV192" s="364"/>
      <c r="CW192" s="364"/>
      <c r="CX192" s="364"/>
      <c r="CY192" s="364"/>
      <c r="CZ192" s="364"/>
      <c r="DA192" s="364"/>
      <c r="DB192" s="364"/>
      <c r="DC192" s="364"/>
      <c r="DD192" s="364"/>
      <c r="DE192" s="364"/>
      <c r="DF192" s="364"/>
      <c r="DG192" s="364"/>
      <c r="DH192" s="364"/>
      <c r="DI192" s="364"/>
      <c r="DJ192" s="364"/>
      <c r="DK192" s="364"/>
      <c r="DL192" s="364"/>
      <c r="DM192" s="364"/>
      <c r="DN192" s="364"/>
      <c r="DO192" s="364"/>
      <c r="DP192" s="364"/>
      <c r="DQ192" s="364"/>
      <c r="DR192" s="364"/>
      <c r="DS192" s="364"/>
      <c r="DT192" s="364"/>
      <c r="DU192" s="364"/>
      <c r="DV192" s="364"/>
      <c r="DW192" s="364"/>
      <c r="DX192" s="364"/>
      <c r="DY192" s="364"/>
      <c r="DZ192" s="364"/>
      <c r="EA192" s="364"/>
      <c r="EB192" s="364"/>
      <c r="EC192" s="364"/>
      <c r="ED192" s="364"/>
      <c r="EE192" s="364"/>
      <c r="EF192" s="364"/>
      <c r="EG192" s="364"/>
      <c r="EH192" s="364"/>
      <c r="EI192" s="364"/>
      <c r="EJ192" s="364"/>
      <c r="EK192" s="364"/>
      <c r="EL192" s="364"/>
      <c r="EM192" s="364"/>
      <c r="EN192" s="364"/>
      <c r="EO192" s="364"/>
      <c r="EP192" s="364"/>
      <c r="EQ192" s="364"/>
      <c r="ER192" s="364"/>
      <c r="ES192" s="364"/>
      <c r="ET192" s="364"/>
      <c r="EU192" s="364"/>
      <c r="EV192" s="364"/>
      <c r="EW192" s="364"/>
      <c r="EX192" s="364"/>
      <c r="EY192" s="364"/>
      <c r="EZ192" s="364"/>
      <c r="FA192" s="364"/>
      <c r="FB192" s="364"/>
      <c r="FC192" s="364"/>
      <c r="FD192" s="364"/>
      <c r="FE192" s="364"/>
      <c r="FF192" s="364"/>
      <c r="FG192" s="364"/>
      <c r="FH192" s="364"/>
      <c r="FI192" s="364"/>
      <c r="FJ192" s="364"/>
      <c r="FK192" s="364"/>
    </row>
    <row r="193" customFormat="false" ht="15.75" hidden="false" customHeight="false" outlineLevel="0" collapsed="false">
      <c r="A193" s="364" t="n">
        <v>380</v>
      </c>
      <c r="B193" s="364" t="n">
        <f aca="false">COUNTA(D193:FK193)</f>
        <v>61</v>
      </c>
      <c r="C193" s="364" t="s">
        <v>1070</v>
      </c>
      <c r="D193" s="364" t="s">
        <v>2352</v>
      </c>
      <c r="E193" s="364" t="s">
        <v>2353</v>
      </c>
      <c r="F193" s="364" t="s">
        <v>2310</v>
      </c>
      <c r="G193" s="364" t="s">
        <v>2404</v>
      </c>
      <c r="H193" s="364" t="s">
        <v>2312</v>
      </c>
      <c r="I193" s="364" t="s">
        <v>2357</v>
      </c>
      <c r="J193" s="364" t="s">
        <v>2432</v>
      </c>
      <c r="K193" s="364" t="s">
        <v>2313</v>
      </c>
      <c r="L193" s="364" t="s">
        <v>2466</v>
      </c>
      <c r="M193" s="364" t="s">
        <v>2358</v>
      </c>
      <c r="N193" s="364" t="s">
        <v>2316</v>
      </c>
      <c r="O193" s="364" t="s">
        <v>2601</v>
      </c>
      <c r="P193" s="364" t="s">
        <v>2359</v>
      </c>
      <c r="Q193" s="364" t="s">
        <v>2360</v>
      </c>
      <c r="R193" s="364" t="s">
        <v>2361</v>
      </c>
      <c r="S193" s="364" t="s">
        <v>2634</v>
      </c>
      <c r="T193" s="364" t="s">
        <v>2363</v>
      </c>
      <c r="U193" s="364" t="s">
        <v>2497</v>
      </c>
      <c r="V193" s="364" t="s">
        <v>2317</v>
      </c>
      <c r="W193" s="364" t="s">
        <v>2320</v>
      </c>
      <c r="X193" s="364" t="s">
        <v>2535</v>
      </c>
      <c r="Y193" s="364" t="s">
        <v>2366</v>
      </c>
      <c r="Z193" s="364" t="s">
        <v>2369</v>
      </c>
      <c r="AA193" s="364" t="s">
        <v>2373</v>
      </c>
      <c r="AB193" s="364" t="s">
        <v>2375</v>
      </c>
      <c r="AC193" s="364" t="s">
        <v>2322</v>
      </c>
      <c r="AD193" s="364" t="s">
        <v>2323</v>
      </c>
      <c r="AE193" s="364" t="s">
        <v>2324</v>
      </c>
      <c r="AF193" s="364" t="s">
        <v>2327</v>
      </c>
      <c r="AG193" s="364" t="s">
        <v>2378</v>
      </c>
      <c r="AH193" s="364" t="s">
        <v>2328</v>
      </c>
      <c r="AI193" s="364" t="s">
        <v>2329</v>
      </c>
      <c r="AJ193" s="364" t="s">
        <v>2379</v>
      </c>
      <c r="AK193" s="364" t="s">
        <v>2381</v>
      </c>
      <c r="AL193" s="261" t="s">
        <v>183</v>
      </c>
      <c r="AM193" s="364" t="s">
        <v>2385</v>
      </c>
      <c r="AN193" s="364" t="s">
        <v>2332</v>
      </c>
      <c r="AO193" s="364" t="s">
        <v>2387</v>
      </c>
      <c r="AP193" s="364" t="s">
        <v>2337</v>
      </c>
      <c r="AQ193" s="364" t="s">
        <v>2388</v>
      </c>
      <c r="AR193" s="364" t="s">
        <v>2339</v>
      </c>
      <c r="AS193" s="364" t="s">
        <v>2389</v>
      </c>
      <c r="AT193" s="364" t="s">
        <v>2340</v>
      </c>
      <c r="AU193" s="364" t="s">
        <v>2499</v>
      </c>
      <c r="AV193" s="364" t="s">
        <v>2341</v>
      </c>
      <c r="AW193" s="364" t="s">
        <v>2422</v>
      </c>
      <c r="AX193" s="364" t="s">
        <v>2443</v>
      </c>
      <c r="AY193" s="364" t="s">
        <v>2344</v>
      </c>
      <c r="AZ193" s="364" t="s">
        <v>2345</v>
      </c>
      <c r="BA193" s="364" t="s">
        <v>2575</v>
      </c>
      <c r="BB193" s="364" t="s">
        <v>2396</v>
      </c>
      <c r="BC193" s="364" t="s">
        <v>2500</v>
      </c>
      <c r="BD193" s="364" t="s">
        <v>2347</v>
      </c>
      <c r="BE193" s="364" t="s">
        <v>2444</v>
      </c>
      <c r="BF193" s="364" t="s">
        <v>2511</v>
      </c>
      <c r="BG193" s="364" t="s">
        <v>2398</v>
      </c>
      <c r="BH193" s="364" t="s">
        <v>2456</v>
      </c>
      <c r="BI193" s="364" t="s">
        <v>2399</v>
      </c>
      <c r="BJ193" s="364" t="s">
        <v>2400</v>
      </c>
      <c r="BK193" s="364" t="s">
        <v>2463</v>
      </c>
      <c r="BL193" s="364" t="s">
        <v>2446</v>
      </c>
      <c r="BM193" s="364"/>
      <c r="BN193" s="364"/>
      <c r="BO193" s="364"/>
      <c r="BP193" s="364"/>
      <c r="BQ193" s="364"/>
      <c r="BR193" s="364"/>
      <c r="BS193" s="364"/>
      <c r="BT193" s="364"/>
      <c r="BU193" s="364"/>
      <c r="BV193" s="364"/>
      <c r="BW193" s="364"/>
      <c r="BX193" s="364"/>
      <c r="BY193" s="364"/>
      <c r="BZ193" s="364"/>
      <c r="CA193" s="364"/>
      <c r="CB193" s="364"/>
      <c r="CC193" s="364"/>
      <c r="CD193" s="364"/>
      <c r="CE193" s="364"/>
      <c r="CF193" s="364"/>
      <c r="CG193" s="364"/>
      <c r="CH193" s="364"/>
      <c r="CI193" s="364"/>
      <c r="CJ193" s="364"/>
      <c r="CK193" s="364"/>
      <c r="CL193" s="364"/>
      <c r="CM193" s="364"/>
      <c r="CN193" s="364"/>
      <c r="CO193" s="364"/>
      <c r="CP193" s="364"/>
      <c r="CQ193" s="364"/>
      <c r="CR193" s="364"/>
      <c r="CS193" s="364"/>
      <c r="CT193" s="364"/>
      <c r="CU193" s="364"/>
      <c r="CV193" s="364"/>
      <c r="CW193" s="364"/>
      <c r="CX193" s="364"/>
      <c r="CY193" s="364"/>
      <c r="CZ193" s="364"/>
      <c r="DA193" s="364"/>
      <c r="DB193" s="364"/>
      <c r="DC193" s="364"/>
      <c r="DD193" s="364"/>
      <c r="DE193" s="364"/>
      <c r="DF193" s="364"/>
      <c r="DG193" s="364"/>
      <c r="DH193" s="364"/>
      <c r="DI193" s="364"/>
      <c r="DJ193" s="364"/>
      <c r="DK193" s="364"/>
      <c r="DL193" s="364"/>
      <c r="DM193" s="364"/>
      <c r="DN193" s="364"/>
      <c r="DO193" s="364"/>
      <c r="DP193" s="364"/>
      <c r="DQ193" s="364"/>
      <c r="DR193" s="364"/>
      <c r="DS193" s="364"/>
      <c r="DT193" s="364"/>
      <c r="DU193" s="364"/>
      <c r="DV193" s="364"/>
      <c r="DW193" s="364"/>
      <c r="DX193" s="364"/>
      <c r="DY193" s="364"/>
      <c r="DZ193" s="364"/>
      <c r="EA193" s="364"/>
      <c r="EB193" s="364"/>
      <c r="EC193" s="364"/>
      <c r="ED193" s="364"/>
      <c r="EE193" s="364"/>
      <c r="EF193" s="364"/>
      <c r="EG193" s="364"/>
      <c r="EH193" s="364"/>
      <c r="EI193" s="364"/>
      <c r="EJ193" s="364"/>
      <c r="EK193" s="364"/>
      <c r="EL193" s="364"/>
      <c r="EM193" s="364"/>
      <c r="EN193" s="364"/>
      <c r="EO193" s="364"/>
      <c r="EP193" s="364"/>
      <c r="EQ193" s="364"/>
      <c r="ER193" s="364"/>
      <c r="ES193" s="364"/>
      <c r="ET193" s="364"/>
      <c r="EU193" s="364"/>
      <c r="EV193" s="364"/>
      <c r="EW193" s="364"/>
      <c r="EX193" s="364"/>
      <c r="EY193" s="364"/>
      <c r="EZ193" s="364"/>
      <c r="FA193" s="364"/>
      <c r="FB193" s="364"/>
      <c r="FC193" s="364"/>
      <c r="FD193" s="364"/>
      <c r="FE193" s="364"/>
      <c r="FF193" s="364"/>
      <c r="FG193" s="364"/>
      <c r="FH193" s="364"/>
      <c r="FI193" s="364"/>
      <c r="FJ193" s="364"/>
      <c r="FK193" s="364"/>
    </row>
    <row r="194" customFormat="false" ht="15.75" hidden="false" customHeight="false" outlineLevel="0" collapsed="false">
      <c r="A194" s="364" t="n">
        <v>382</v>
      </c>
      <c r="B194" s="364" t="n">
        <f aca="false">COUNTA(D194:FK194)</f>
        <v>48</v>
      </c>
      <c r="C194" s="364" t="s">
        <v>1074</v>
      </c>
      <c r="D194" s="364" t="s">
        <v>2527</v>
      </c>
      <c r="E194" s="364" t="s">
        <v>2312</v>
      </c>
      <c r="F194" s="364" t="s">
        <v>2356</v>
      </c>
      <c r="G194" s="364" t="s">
        <v>2314</v>
      </c>
      <c r="H194" s="364" t="s">
        <v>138</v>
      </c>
      <c r="I194" s="364" t="s">
        <v>2315</v>
      </c>
      <c r="J194" s="364" t="s">
        <v>2409</v>
      </c>
      <c r="K194" s="364" t="s">
        <v>2316</v>
      </c>
      <c r="L194" s="364" t="s">
        <v>2520</v>
      </c>
      <c r="M194" s="364" t="s">
        <v>2364</v>
      </c>
      <c r="N194" s="364" t="s">
        <v>2319</v>
      </c>
      <c r="O194" s="364" t="s">
        <v>2320</v>
      </c>
      <c r="P194" s="364" t="s">
        <v>2535</v>
      </c>
      <c r="Q194" s="364" t="s">
        <v>2376</v>
      </c>
      <c r="R194" s="364" t="s">
        <v>2377</v>
      </c>
      <c r="S194" s="364" t="s">
        <v>2523</v>
      </c>
      <c r="T194" s="364" t="s">
        <v>2322</v>
      </c>
      <c r="U194" s="364" t="s">
        <v>2323</v>
      </c>
      <c r="V194" s="364" t="s">
        <v>2324</v>
      </c>
      <c r="W194" s="364" t="s">
        <v>2325</v>
      </c>
      <c r="X194" s="364" t="s">
        <v>2327</v>
      </c>
      <c r="Y194" s="364" t="s">
        <v>2328</v>
      </c>
      <c r="Z194" s="364" t="s">
        <v>2329</v>
      </c>
      <c r="AA194" s="364" t="s">
        <v>2539</v>
      </c>
      <c r="AB194" s="364" t="s">
        <v>2382</v>
      </c>
      <c r="AC194" s="364" t="s">
        <v>2383</v>
      </c>
      <c r="AD194" s="261" t="s">
        <v>183</v>
      </c>
      <c r="AE194" s="364" t="s">
        <v>2661</v>
      </c>
      <c r="AF194" s="364" t="s">
        <v>2452</v>
      </c>
      <c r="AG194" s="364" t="s">
        <v>2453</v>
      </c>
      <c r="AH194" s="364" t="s">
        <v>2454</v>
      </c>
      <c r="AI194" s="364" t="s">
        <v>2487</v>
      </c>
      <c r="AJ194" s="364" t="s">
        <v>2387</v>
      </c>
      <c r="AK194" s="364" t="s">
        <v>2337</v>
      </c>
      <c r="AL194" s="364" t="s">
        <v>2469</v>
      </c>
      <c r="AM194" s="364" t="s">
        <v>2553</v>
      </c>
      <c r="AN194" s="364" t="s">
        <v>2340</v>
      </c>
      <c r="AO194" s="364" t="s">
        <v>2341</v>
      </c>
      <c r="AP194" s="364" t="s">
        <v>2342</v>
      </c>
      <c r="AQ194" s="364" t="s">
        <v>2391</v>
      </c>
      <c r="AR194" s="364" t="s">
        <v>2344</v>
      </c>
      <c r="AS194" s="364" t="s">
        <v>2345</v>
      </c>
      <c r="AT194" s="364" t="s">
        <v>2346</v>
      </c>
      <c r="AU194" s="364" t="s">
        <v>2347</v>
      </c>
      <c r="AV194" s="364" t="s">
        <v>2473</v>
      </c>
      <c r="AW194" s="364" t="s">
        <v>2511</v>
      </c>
      <c r="AX194" s="364" t="s">
        <v>2399</v>
      </c>
      <c r="AY194" s="364" t="s">
        <v>2350</v>
      </c>
      <c r="AZ194" s="364"/>
      <c r="BA194" s="364"/>
      <c r="BB194" s="364"/>
      <c r="BC194" s="364"/>
      <c r="BD194" s="364"/>
      <c r="BE194" s="364"/>
      <c r="BF194" s="364"/>
      <c r="BG194" s="364"/>
      <c r="BH194" s="364"/>
      <c r="BI194" s="364"/>
      <c r="BJ194" s="364"/>
      <c r="BK194" s="364"/>
      <c r="BL194" s="364"/>
      <c r="BM194" s="364"/>
      <c r="BN194" s="364"/>
      <c r="BO194" s="364"/>
      <c r="BP194" s="364"/>
      <c r="BQ194" s="364"/>
      <c r="BR194" s="364"/>
      <c r="BS194" s="364"/>
      <c r="BT194" s="364"/>
      <c r="BU194" s="364"/>
      <c r="BV194" s="364"/>
      <c r="BW194" s="364"/>
      <c r="BX194" s="364"/>
      <c r="BY194" s="364"/>
      <c r="BZ194" s="364"/>
      <c r="CA194" s="364"/>
      <c r="CB194" s="364"/>
      <c r="CC194" s="364"/>
      <c r="CD194" s="364"/>
      <c r="CE194" s="364"/>
      <c r="CF194" s="364"/>
      <c r="CG194" s="364"/>
      <c r="CH194" s="364"/>
      <c r="CI194" s="364"/>
      <c r="CJ194" s="364"/>
      <c r="CK194" s="364"/>
      <c r="CL194" s="364"/>
      <c r="CM194" s="364"/>
      <c r="CN194" s="364"/>
      <c r="CO194" s="364"/>
      <c r="CP194" s="364"/>
      <c r="CQ194" s="364"/>
      <c r="CR194" s="364"/>
      <c r="CS194" s="364"/>
      <c r="CT194" s="364"/>
      <c r="CU194" s="364"/>
      <c r="CV194" s="364"/>
      <c r="CW194" s="364"/>
      <c r="CX194" s="364"/>
      <c r="CY194" s="364"/>
      <c r="CZ194" s="364"/>
      <c r="DA194" s="364"/>
      <c r="DB194" s="364"/>
      <c r="DC194" s="364"/>
      <c r="DD194" s="364"/>
      <c r="DE194" s="364"/>
      <c r="DF194" s="364"/>
      <c r="DG194" s="364"/>
      <c r="DH194" s="364"/>
      <c r="DI194" s="364"/>
      <c r="DJ194" s="364"/>
      <c r="DK194" s="364"/>
      <c r="DL194" s="364"/>
      <c r="DM194" s="364"/>
      <c r="DN194" s="364"/>
      <c r="DO194" s="364"/>
      <c r="DP194" s="364"/>
      <c r="DQ194" s="364"/>
      <c r="DR194" s="364"/>
      <c r="DS194" s="364"/>
      <c r="DT194" s="364"/>
      <c r="DU194" s="364"/>
      <c r="DV194" s="364"/>
      <c r="DW194" s="364"/>
      <c r="DX194" s="364"/>
      <c r="DY194" s="364"/>
      <c r="DZ194" s="364"/>
      <c r="EA194" s="364"/>
      <c r="EB194" s="364"/>
      <c r="EC194" s="364"/>
      <c r="ED194" s="364"/>
      <c r="EE194" s="364"/>
      <c r="EF194" s="364"/>
      <c r="EG194" s="364"/>
      <c r="EH194" s="364"/>
      <c r="EI194" s="364"/>
      <c r="EJ194" s="364"/>
      <c r="EK194" s="364"/>
      <c r="EL194" s="364"/>
      <c r="EM194" s="364"/>
      <c r="EN194" s="364"/>
      <c r="EO194" s="364"/>
      <c r="EP194" s="364"/>
      <c r="EQ194" s="364"/>
      <c r="ER194" s="364"/>
      <c r="ES194" s="364"/>
      <c r="ET194" s="364"/>
      <c r="EU194" s="364"/>
      <c r="EV194" s="364"/>
      <c r="EW194" s="364"/>
      <c r="EX194" s="364"/>
      <c r="EY194" s="364"/>
      <c r="EZ194" s="364"/>
      <c r="FA194" s="364"/>
      <c r="FB194" s="364"/>
      <c r="FC194" s="364"/>
      <c r="FD194" s="364"/>
      <c r="FE194" s="364"/>
      <c r="FF194" s="364"/>
      <c r="FG194" s="364"/>
      <c r="FH194" s="364"/>
      <c r="FI194" s="364"/>
      <c r="FJ194" s="364"/>
      <c r="FK194" s="364"/>
    </row>
    <row r="195" customFormat="false" ht="15.75" hidden="false" customHeight="false" outlineLevel="0" collapsed="false">
      <c r="A195" s="364" t="n">
        <v>384</v>
      </c>
      <c r="B195" s="364" t="n">
        <f aca="false">COUNTA(D195:FK195)</f>
        <v>48</v>
      </c>
      <c r="C195" s="364" t="s">
        <v>1078</v>
      </c>
      <c r="D195" s="364" t="s">
        <v>2352</v>
      </c>
      <c r="E195" s="364" t="s">
        <v>2353</v>
      </c>
      <c r="F195" s="364" t="s">
        <v>2528</v>
      </c>
      <c r="G195" s="364" t="s">
        <v>2312</v>
      </c>
      <c r="H195" s="364" t="s">
        <v>2313</v>
      </c>
      <c r="I195" s="364" t="s">
        <v>2517</v>
      </c>
      <c r="J195" s="364" t="s">
        <v>2518</v>
      </c>
      <c r="K195" s="364" t="s">
        <v>2316</v>
      </c>
      <c r="L195" s="364" t="s">
        <v>2601</v>
      </c>
      <c r="M195" s="364" t="s">
        <v>2359</v>
      </c>
      <c r="N195" s="364" t="s">
        <v>2360</v>
      </c>
      <c r="O195" s="364" t="s">
        <v>2361</v>
      </c>
      <c r="P195" s="364" t="s">
        <v>2435</v>
      </c>
      <c r="Q195" s="364" t="s">
        <v>2317</v>
      </c>
      <c r="R195" s="364" t="s">
        <v>2318</v>
      </c>
      <c r="S195" s="364" t="s">
        <v>2320</v>
      </c>
      <c r="T195" s="364" t="s">
        <v>2449</v>
      </c>
      <c r="U195" s="364" t="s">
        <v>2366</v>
      </c>
      <c r="V195" s="364" t="s">
        <v>2373</v>
      </c>
      <c r="W195" s="364" t="s">
        <v>2375</v>
      </c>
      <c r="X195" s="364" t="s">
        <v>2451</v>
      </c>
      <c r="Y195" s="364" t="s">
        <v>2324</v>
      </c>
      <c r="Z195" s="364" t="s">
        <v>2378</v>
      </c>
      <c r="AA195" s="364" t="s">
        <v>2328</v>
      </c>
      <c r="AB195" s="364" t="s">
        <v>2329</v>
      </c>
      <c r="AC195" s="364" t="s">
        <v>2521</v>
      </c>
      <c r="AD195" s="364" t="s">
        <v>2415</v>
      </c>
      <c r="AE195" s="364" t="s">
        <v>2379</v>
      </c>
      <c r="AF195" s="364" t="s">
        <v>2381</v>
      </c>
      <c r="AG195" s="364" t="s">
        <v>2638</v>
      </c>
      <c r="AH195" s="261" t="s">
        <v>183</v>
      </c>
      <c r="AI195" s="364" t="s">
        <v>2385</v>
      </c>
      <c r="AJ195" s="364" t="s">
        <v>2332</v>
      </c>
      <c r="AK195" s="364" t="s">
        <v>2480</v>
      </c>
      <c r="AL195" s="364" t="s">
        <v>2460</v>
      </c>
      <c r="AM195" s="364" t="s">
        <v>2337</v>
      </c>
      <c r="AN195" s="364" t="s">
        <v>2339</v>
      </c>
      <c r="AO195" s="364" t="s">
        <v>2340</v>
      </c>
      <c r="AP195" s="364" t="s">
        <v>2341</v>
      </c>
      <c r="AQ195" s="364" t="s">
        <v>2462</v>
      </c>
      <c r="AR195" s="364" t="s">
        <v>2344</v>
      </c>
      <c r="AS195" s="364" t="s">
        <v>2345</v>
      </c>
      <c r="AT195" s="364" t="s">
        <v>2396</v>
      </c>
      <c r="AU195" s="364" t="s">
        <v>2398</v>
      </c>
      <c r="AV195" s="364" t="s">
        <v>2349</v>
      </c>
      <c r="AW195" s="364" t="s">
        <v>2445</v>
      </c>
      <c r="AX195" s="364" t="s">
        <v>2400</v>
      </c>
      <c r="AY195" s="364" t="s">
        <v>2463</v>
      </c>
      <c r="AZ195" s="364"/>
      <c r="BA195" s="364"/>
      <c r="BB195" s="364"/>
      <c r="BC195" s="364"/>
      <c r="BD195" s="364"/>
      <c r="BE195" s="364"/>
      <c r="BF195" s="364"/>
      <c r="BG195" s="364"/>
      <c r="BH195" s="364"/>
      <c r="BI195" s="364"/>
      <c r="BJ195" s="364"/>
      <c r="BK195" s="364"/>
      <c r="BL195" s="364"/>
      <c r="BM195" s="364"/>
      <c r="BN195" s="364"/>
      <c r="BO195" s="364"/>
      <c r="BP195" s="364"/>
      <c r="BQ195" s="364"/>
      <c r="BR195" s="364"/>
      <c r="BS195" s="364"/>
      <c r="BT195" s="364"/>
      <c r="BU195" s="364"/>
      <c r="BV195" s="364"/>
      <c r="BW195" s="364"/>
      <c r="BX195" s="364"/>
      <c r="BY195" s="364"/>
      <c r="BZ195" s="364"/>
      <c r="CA195" s="364"/>
      <c r="CB195" s="364"/>
      <c r="CC195" s="364"/>
      <c r="CD195" s="364"/>
      <c r="CE195" s="364"/>
      <c r="CF195" s="364"/>
      <c r="CG195" s="364"/>
      <c r="CH195" s="364"/>
      <c r="CI195" s="364"/>
      <c r="CJ195" s="364"/>
      <c r="CK195" s="364"/>
      <c r="CL195" s="364"/>
      <c r="CM195" s="364"/>
      <c r="CN195" s="364"/>
      <c r="CO195" s="364"/>
      <c r="CP195" s="364"/>
      <c r="CQ195" s="364"/>
      <c r="CR195" s="364"/>
      <c r="CS195" s="364"/>
      <c r="CT195" s="364"/>
      <c r="CU195" s="364"/>
      <c r="CV195" s="364"/>
      <c r="CW195" s="364"/>
      <c r="CX195" s="364"/>
      <c r="CY195" s="364"/>
      <c r="CZ195" s="364"/>
      <c r="DA195" s="364"/>
      <c r="DB195" s="364"/>
      <c r="DC195" s="364"/>
      <c r="DD195" s="364"/>
      <c r="DE195" s="364"/>
      <c r="DF195" s="364"/>
      <c r="DG195" s="364"/>
      <c r="DH195" s="364"/>
      <c r="DI195" s="364"/>
      <c r="DJ195" s="364"/>
      <c r="DK195" s="364"/>
      <c r="DL195" s="364"/>
      <c r="DM195" s="364"/>
      <c r="DN195" s="364"/>
      <c r="DO195" s="364"/>
      <c r="DP195" s="364"/>
      <c r="DQ195" s="364"/>
      <c r="DR195" s="364"/>
      <c r="DS195" s="364"/>
      <c r="DT195" s="364"/>
      <c r="DU195" s="364"/>
      <c r="DV195" s="364"/>
      <c r="DW195" s="364"/>
      <c r="DX195" s="364"/>
      <c r="DY195" s="364"/>
      <c r="DZ195" s="364"/>
      <c r="EA195" s="364"/>
      <c r="EB195" s="364"/>
      <c r="EC195" s="364"/>
      <c r="ED195" s="364"/>
      <c r="EE195" s="364"/>
      <c r="EF195" s="364"/>
      <c r="EG195" s="364"/>
      <c r="EH195" s="364"/>
      <c r="EI195" s="364"/>
      <c r="EJ195" s="364"/>
      <c r="EK195" s="364"/>
      <c r="EL195" s="364"/>
      <c r="EM195" s="364"/>
      <c r="EN195" s="364"/>
      <c r="EO195" s="364"/>
      <c r="EP195" s="364"/>
      <c r="EQ195" s="364"/>
      <c r="ER195" s="364"/>
      <c r="ES195" s="364"/>
      <c r="ET195" s="364"/>
      <c r="EU195" s="364"/>
      <c r="EV195" s="364"/>
      <c r="EW195" s="364"/>
      <c r="EX195" s="364"/>
      <c r="EY195" s="364"/>
      <c r="EZ195" s="364"/>
      <c r="FA195" s="364"/>
      <c r="FB195" s="364"/>
      <c r="FC195" s="364"/>
      <c r="FD195" s="364"/>
      <c r="FE195" s="364"/>
      <c r="FF195" s="364"/>
      <c r="FG195" s="364"/>
      <c r="FH195" s="364"/>
      <c r="FI195" s="364"/>
      <c r="FJ195" s="364"/>
      <c r="FK195" s="364"/>
    </row>
    <row r="196" customFormat="false" ht="15.75" hidden="false" customHeight="false" outlineLevel="0" collapsed="false">
      <c r="A196" s="364" t="n">
        <v>386</v>
      </c>
      <c r="B196" s="364" t="n">
        <f aca="false">COUNTA(D196:FK196)</f>
        <v>73</v>
      </c>
      <c r="C196" s="364" t="s">
        <v>1083</v>
      </c>
      <c r="D196" s="364" t="s">
        <v>2352</v>
      </c>
      <c r="E196" s="364" t="s">
        <v>2405</v>
      </c>
      <c r="F196" s="364" t="s">
        <v>2312</v>
      </c>
      <c r="G196" s="364" t="s">
        <v>2356</v>
      </c>
      <c r="H196" s="364" t="s">
        <v>2541</v>
      </c>
      <c r="I196" s="364" t="s">
        <v>138</v>
      </c>
      <c r="J196" s="364" t="s">
        <v>2496</v>
      </c>
      <c r="K196" s="364" t="s">
        <v>2358</v>
      </c>
      <c r="L196" s="364" t="s">
        <v>2316</v>
      </c>
      <c r="M196" s="364" t="s">
        <v>2579</v>
      </c>
      <c r="N196" s="364" t="s">
        <v>2510</v>
      </c>
      <c r="O196" s="364" t="s">
        <v>2364</v>
      </c>
      <c r="P196" s="364" t="s">
        <v>2448</v>
      </c>
      <c r="Q196" s="364" t="s">
        <v>2320</v>
      </c>
      <c r="R196" s="364" t="s">
        <v>2449</v>
      </c>
      <c r="S196" s="364" t="s">
        <v>2534</v>
      </c>
      <c r="T196" s="364" t="s">
        <v>2544</v>
      </c>
      <c r="U196" s="364" t="s">
        <v>2366</v>
      </c>
      <c r="V196" s="364" t="s">
        <v>2369</v>
      </c>
      <c r="W196" s="364" t="s">
        <v>2373</v>
      </c>
      <c r="X196" s="364" t="s">
        <v>2376</v>
      </c>
      <c r="Y196" s="364" t="s">
        <v>2377</v>
      </c>
      <c r="Z196" s="364" t="s">
        <v>2322</v>
      </c>
      <c r="AA196" s="364" t="s">
        <v>2498</v>
      </c>
      <c r="AB196" s="364" t="s">
        <v>2323</v>
      </c>
      <c r="AC196" s="364" t="s">
        <v>2327</v>
      </c>
      <c r="AD196" s="364" t="s">
        <v>2328</v>
      </c>
      <c r="AE196" s="364" t="s">
        <v>2415</v>
      </c>
      <c r="AF196" s="364" t="s">
        <v>2416</v>
      </c>
      <c r="AG196" s="364" t="s">
        <v>2417</v>
      </c>
      <c r="AH196" s="364" t="s">
        <v>2379</v>
      </c>
      <c r="AI196" s="364" t="s">
        <v>2381</v>
      </c>
      <c r="AJ196" s="364" t="s">
        <v>2330</v>
      </c>
      <c r="AK196" s="364" t="s">
        <v>2468</v>
      </c>
      <c r="AL196" s="364" t="s">
        <v>2539</v>
      </c>
      <c r="AM196" s="364" t="s">
        <v>2382</v>
      </c>
      <c r="AN196" s="364" t="s">
        <v>2383</v>
      </c>
      <c r="AO196" s="364" t="s">
        <v>2384</v>
      </c>
      <c r="AP196" s="261" t="s">
        <v>183</v>
      </c>
      <c r="AQ196" s="364" t="s">
        <v>2531</v>
      </c>
      <c r="AR196" s="364" t="s">
        <v>2452</v>
      </c>
      <c r="AS196" s="364" t="s">
        <v>2454</v>
      </c>
      <c r="AT196" s="364" t="s">
        <v>2387</v>
      </c>
      <c r="AU196" s="364" t="s">
        <v>2455</v>
      </c>
      <c r="AV196" s="364" t="s">
        <v>2461</v>
      </c>
      <c r="AW196" s="364" t="s">
        <v>2441</v>
      </c>
      <c r="AX196" s="364" t="s">
        <v>2337</v>
      </c>
      <c r="AY196" s="364" t="s">
        <v>2469</v>
      </c>
      <c r="AZ196" s="364" t="s">
        <v>2553</v>
      </c>
      <c r="BA196" s="364" t="s">
        <v>2338</v>
      </c>
      <c r="BB196" s="364" t="s">
        <v>2388</v>
      </c>
      <c r="BC196" s="364" t="s">
        <v>2339</v>
      </c>
      <c r="BD196" s="364" t="s">
        <v>2389</v>
      </c>
      <c r="BE196" s="364" t="s">
        <v>2420</v>
      </c>
      <c r="BF196" s="364" t="s">
        <v>2340</v>
      </c>
      <c r="BG196" s="364" t="s">
        <v>2390</v>
      </c>
      <c r="BH196" s="364" t="s">
        <v>2341</v>
      </c>
      <c r="BI196" s="364" t="s">
        <v>2391</v>
      </c>
      <c r="BJ196" s="364" t="s">
        <v>2442</v>
      </c>
      <c r="BK196" s="364" t="s">
        <v>2392</v>
      </c>
      <c r="BL196" s="364" t="s">
        <v>2470</v>
      </c>
      <c r="BM196" s="364" t="s">
        <v>2395</v>
      </c>
      <c r="BN196" s="364" t="s">
        <v>2344</v>
      </c>
      <c r="BO196" s="364" t="s">
        <v>2345</v>
      </c>
      <c r="BP196" s="364" t="s">
        <v>2347</v>
      </c>
      <c r="BQ196" s="364" t="s">
        <v>2398</v>
      </c>
      <c r="BR196" s="364" t="s">
        <v>2445</v>
      </c>
      <c r="BS196" s="364" t="s">
        <v>2456</v>
      </c>
      <c r="BT196" s="364" t="s">
        <v>2475</v>
      </c>
      <c r="BU196" s="364" t="s">
        <v>2476</v>
      </c>
      <c r="BV196" s="364" t="s">
        <v>2399</v>
      </c>
      <c r="BW196" s="364" t="s">
        <v>2428</v>
      </c>
      <c r="BX196" s="364" t="s">
        <v>2458</v>
      </c>
      <c r="BY196" s="364"/>
      <c r="BZ196" s="364"/>
      <c r="CA196" s="364"/>
      <c r="CB196" s="364"/>
      <c r="CC196" s="364"/>
      <c r="CD196" s="364"/>
      <c r="CE196" s="364"/>
      <c r="CF196" s="364"/>
      <c r="CG196" s="364"/>
      <c r="CH196" s="364"/>
      <c r="CI196" s="364"/>
      <c r="CJ196" s="364"/>
      <c r="CK196" s="364"/>
      <c r="CL196" s="364"/>
      <c r="CM196" s="364"/>
      <c r="CN196" s="364"/>
      <c r="CO196" s="364"/>
      <c r="CP196" s="364"/>
      <c r="CQ196" s="364"/>
      <c r="CR196" s="364"/>
      <c r="CS196" s="364"/>
      <c r="CT196" s="364"/>
      <c r="CU196" s="364"/>
      <c r="CV196" s="364"/>
      <c r="CW196" s="364"/>
      <c r="CX196" s="364"/>
      <c r="CY196" s="364"/>
      <c r="CZ196" s="364"/>
      <c r="DA196" s="364"/>
      <c r="DB196" s="364"/>
      <c r="DC196" s="364"/>
      <c r="DD196" s="364"/>
      <c r="DE196" s="364"/>
      <c r="DF196" s="364"/>
      <c r="DG196" s="364"/>
      <c r="DH196" s="364"/>
      <c r="DI196" s="364"/>
      <c r="DJ196" s="364"/>
      <c r="DK196" s="364"/>
      <c r="DL196" s="364"/>
      <c r="DM196" s="364"/>
      <c r="DN196" s="364"/>
      <c r="DO196" s="364"/>
      <c r="DP196" s="364"/>
      <c r="DQ196" s="364"/>
      <c r="DR196" s="364"/>
      <c r="DS196" s="364"/>
      <c r="DT196" s="364"/>
      <c r="DU196" s="364"/>
      <c r="DV196" s="364"/>
      <c r="DW196" s="364"/>
      <c r="DX196" s="364"/>
      <c r="DY196" s="364"/>
      <c r="DZ196" s="364"/>
      <c r="EA196" s="364"/>
      <c r="EB196" s="364"/>
      <c r="EC196" s="364"/>
      <c r="ED196" s="364"/>
      <c r="EE196" s="364"/>
      <c r="EF196" s="364"/>
      <c r="EG196" s="364"/>
      <c r="EH196" s="364"/>
      <c r="EI196" s="364"/>
      <c r="EJ196" s="364"/>
      <c r="EK196" s="364"/>
      <c r="EL196" s="364"/>
      <c r="EM196" s="364"/>
      <c r="EN196" s="364"/>
      <c r="EO196" s="364"/>
      <c r="EP196" s="364"/>
      <c r="EQ196" s="364"/>
      <c r="ER196" s="364"/>
      <c r="ES196" s="364"/>
      <c r="ET196" s="364"/>
      <c r="EU196" s="364"/>
      <c r="EV196" s="364"/>
      <c r="EW196" s="364"/>
      <c r="EX196" s="364"/>
      <c r="EY196" s="364"/>
      <c r="EZ196" s="364"/>
      <c r="FA196" s="364"/>
      <c r="FB196" s="364"/>
      <c r="FC196" s="364"/>
      <c r="FD196" s="364"/>
      <c r="FE196" s="364"/>
      <c r="FF196" s="364"/>
      <c r="FG196" s="364"/>
      <c r="FH196" s="364"/>
      <c r="FI196" s="364"/>
      <c r="FJ196" s="364"/>
      <c r="FK196" s="364"/>
    </row>
    <row r="197" customFormat="false" ht="15.75" hidden="false" customHeight="false" outlineLevel="0" collapsed="false">
      <c r="A197" s="364" t="n">
        <v>387</v>
      </c>
      <c r="B197" s="364" t="n">
        <f aca="false">COUNTA(D197:FK197)</f>
        <v>48</v>
      </c>
      <c r="C197" s="364" t="s">
        <v>1085</v>
      </c>
      <c r="D197" s="364" t="s">
        <v>2402</v>
      </c>
      <c r="E197" s="364" t="s">
        <v>2447</v>
      </c>
      <c r="F197" s="364" t="s">
        <v>2483</v>
      </c>
      <c r="G197" s="364" t="s">
        <v>2311</v>
      </c>
      <c r="H197" s="364" t="s">
        <v>2404</v>
      </c>
      <c r="I197" s="364" t="s">
        <v>2312</v>
      </c>
      <c r="J197" s="364" t="s">
        <v>2357</v>
      </c>
      <c r="K197" s="364" t="s">
        <v>2313</v>
      </c>
      <c r="L197" s="364" t="s">
        <v>2466</v>
      </c>
      <c r="M197" s="364" t="s">
        <v>2409</v>
      </c>
      <c r="N197" s="364" t="s">
        <v>2358</v>
      </c>
      <c r="O197" s="364" t="s">
        <v>2316</v>
      </c>
      <c r="P197" s="364" t="s">
        <v>2363</v>
      </c>
      <c r="Q197" s="364" t="s">
        <v>2317</v>
      </c>
      <c r="R197" s="364" t="s">
        <v>2320</v>
      </c>
      <c r="S197" s="364" t="s">
        <v>2534</v>
      </c>
      <c r="T197" s="364" t="s">
        <v>2544</v>
      </c>
      <c r="U197" s="364" t="s">
        <v>2373</v>
      </c>
      <c r="V197" s="364" t="s">
        <v>2322</v>
      </c>
      <c r="W197" s="364" t="s">
        <v>2323</v>
      </c>
      <c r="X197" s="364" t="s">
        <v>2327</v>
      </c>
      <c r="Y197" s="364" t="s">
        <v>2328</v>
      </c>
      <c r="Z197" s="364" t="s">
        <v>2438</v>
      </c>
      <c r="AA197" s="364" t="s">
        <v>2381</v>
      </c>
      <c r="AB197" s="364" t="s">
        <v>2330</v>
      </c>
      <c r="AC197" s="364" t="s">
        <v>2588</v>
      </c>
      <c r="AD197" s="261" t="s">
        <v>183</v>
      </c>
      <c r="AE197" s="364" t="s">
        <v>2531</v>
      </c>
      <c r="AF197" s="364" t="s">
        <v>2452</v>
      </c>
      <c r="AG197" s="364" t="s">
        <v>2529</v>
      </c>
      <c r="AH197" s="364" t="s">
        <v>2454</v>
      </c>
      <c r="AI197" s="364" t="s">
        <v>2646</v>
      </c>
      <c r="AJ197" s="364" t="s">
        <v>2337</v>
      </c>
      <c r="AK197" s="364" t="s">
        <v>2469</v>
      </c>
      <c r="AL197" s="364" t="s">
        <v>2339</v>
      </c>
      <c r="AM197" s="364" t="s">
        <v>2340</v>
      </c>
      <c r="AN197" s="364" t="s">
        <v>2341</v>
      </c>
      <c r="AO197" s="364" t="s">
        <v>2343</v>
      </c>
      <c r="AP197" s="364" t="s">
        <v>2471</v>
      </c>
      <c r="AQ197" s="364" t="s">
        <v>2344</v>
      </c>
      <c r="AR197" s="364" t="s">
        <v>2347</v>
      </c>
      <c r="AS197" s="364" t="s">
        <v>2473</v>
      </c>
      <c r="AT197" s="364" t="s">
        <v>2398</v>
      </c>
      <c r="AU197" s="364" t="s">
        <v>2445</v>
      </c>
      <c r="AV197" s="364" t="s">
        <v>2456</v>
      </c>
      <c r="AW197" s="364" t="s">
        <v>2350</v>
      </c>
      <c r="AX197" s="364" t="s">
        <v>2489</v>
      </c>
      <c r="AY197" s="364" t="s">
        <v>2458</v>
      </c>
      <c r="AZ197" s="364"/>
      <c r="BA197" s="364"/>
      <c r="BB197" s="364"/>
      <c r="BC197" s="364"/>
      <c r="BD197" s="364"/>
      <c r="BE197" s="364"/>
      <c r="BF197" s="364"/>
      <c r="BG197" s="364"/>
      <c r="BH197" s="364"/>
      <c r="BI197" s="364"/>
      <c r="BJ197" s="364"/>
      <c r="BK197" s="364"/>
      <c r="BL197" s="364"/>
      <c r="BM197" s="364"/>
      <c r="BN197" s="364"/>
      <c r="BO197" s="364"/>
      <c r="BP197" s="364"/>
      <c r="BQ197" s="364"/>
      <c r="BR197" s="364"/>
      <c r="BS197" s="364"/>
      <c r="BT197" s="364"/>
      <c r="BU197" s="364"/>
      <c r="BV197" s="364"/>
      <c r="BW197" s="364"/>
      <c r="BX197" s="364"/>
      <c r="BY197" s="364"/>
      <c r="BZ197" s="364"/>
      <c r="CA197" s="364"/>
      <c r="CB197" s="364"/>
      <c r="CC197" s="364"/>
      <c r="CD197" s="364"/>
      <c r="CE197" s="364"/>
      <c r="CF197" s="364"/>
      <c r="CG197" s="364"/>
      <c r="CH197" s="364"/>
      <c r="CI197" s="364"/>
      <c r="CJ197" s="364"/>
      <c r="CK197" s="364"/>
      <c r="CL197" s="364"/>
      <c r="CM197" s="364"/>
      <c r="CN197" s="364"/>
      <c r="CO197" s="364"/>
      <c r="CP197" s="364"/>
      <c r="CQ197" s="364"/>
      <c r="CR197" s="364"/>
      <c r="CS197" s="364"/>
      <c r="CT197" s="364"/>
      <c r="CU197" s="364"/>
      <c r="CV197" s="364"/>
      <c r="CW197" s="364"/>
      <c r="CX197" s="364"/>
      <c r="CY197" s="364"/>
      <c r="CZ197" s="364"/>
      <c r="DA197" s="364"/>
      <c r="DB197" s="364"/>
      <c r="DC197" s="364"/>
      <c r="DD197" s="364"/>
      <c r="DE197" s="364"/>
      <c r="DF197" s="364"/>
      <c r="DG197" s="364"/>
      <c r="DH197" s="364"/>
      <c r="DI197" s="364"/>
      <c r="DJ197" s="364"/>
      <c r="DK197" s="364"/>
      <c r="DL197" s="364"/>
      <c r="DM197" s="364"/>
      <c r="DN197" s="364"/>
      <c r="DO197" s="364"/>
      <c r="DP197" s="364"/>
      <c r="DQ197" s="364"/>
      <c r="DR197" s="364"/>
      <c r="DS197" s="364"/>
      <c r="DT197" s="364"/>
      <c r="DU197" s="364"/>
      <c r="DV197" s="364"/>
      <c r="DW197" s="364"/>
      <c r="DX197" s="364"/>
      <c r="DY197" s="364"/>
      <c r="DZ197" s="364"/>
      <c r="EA197" s="364"/>
      <c r="EB197" s="364"/>
      <c r="EC197" s="364"/>
      <c r="ED197" s="364"/>
      <c r="EE197" s="364"/>
      <c r="EF197" s="364"/>
      <c r="EG197" s="364"/>
      <c r="EH197" s="364"/>
      <c r="EI197" s="364"/>
      <c r="EJ197" s="364"/>
      <c r="EK197" s="364"/>
      <c r="EL197" s="364"/>
      <c r="EM197" s="364"/>
      <c r="EN197" s="364"/>
      <c r="EO197" s="364"/>
      <c r="EP197" s="364"/>
      <c r="EQ197" s="364"/>
      <c r="ER197" s="364"/>
      <c r="ES197" s="364"/>
      <c r="ET197" s="364"/>
      <c r="EU197" s="364"/>
      <c r="EV197" s="364"/>
      <c r="EW197" s="364"/>
      <c r="EX197" s="364"/>
      <c r="EY197" s="364"/>
      <c r="EZ197" s="364"/>
      <c r="FA197" s="364"/>
      <c r="FB197" s="364"/>
      <c r="FC197" s="364"/>
      <c r="FD197" s="364"/>
      <c r="FE197" s="364"/>
      <c r="FF197" s="364"/>
      <c r="FG197" s="364"/>
      <c r="FH197" s="364"/>
      <c r="FI197" s="364"/>
      <c r="FJ197" s="364"/>
      <c r="FK197" s="364"/>
    </row>
    <row r="198" customFormat="false" ht="15.75" hidden="false" customHeight="false" outlineLevel="0" collapsed="false">
      <c r="A198" s="364" t="n">
        <v>388</v>
      </c>
      <c r="B198" s="364" t="n">
        <f aca="false">COUNTA(D198:FK198)</f>
        <v>44</v>
      </c>
      <c r="C198" s="364" t="s">
        <v>1087</v>
      </c>
      <c r="D198" s="364" t="s">
        <v>2431</v>
      </c>
      <c r="E198" s="364" t="s">
        <v>2561</v>
      </c>
      <c r="F198" s="364" t="s">
        <v>2405</v>
      </c>
      <c r="G198" s="364" t="s">
        <v>2312</v>
      </c>
      <c r="H198" s="364" t="s">
        <v>2313</v>
      </c>
      <c r="I198" s="364" t="s">
        <v>2464</v>
      </c>
      <c r="J198" s="364" t="s">
        <v>2434</v>
      </c>
      <c r="K198" s="364" t="s">
        <v>2316</v>
      </c>
      <c r="L198" s="364" t="s">
        <v>2435</v>
      </c>
      <c r="M198" s="364" t="s">
        <v>2497</v>
      </c>
      <c r="N198" s="364" t="s">
        <v>2317</v>
      </c>
      <c r="O198" s="364" t="s">
        <v>2562</v>
      </c>
      <c r="P198" s="364" t="s">
        <v>2320</v>
      </c>
      <c r="Q198" s="364" t="s">
        <v>2550</v>
      </c>
      <c r="R198" s="364" t="s">
        <v>2324</v>
      </c>
      <c r="S198" s="364" t="s">
        <v>2325</v>
      </c>
      <c r="T198" s="364" t="s">
        <v>2412</v>
      </c>
      <c r="U198" s="364" t="s">
        <v>2328</v>
      </c>
      <c r="V198" s="364" t="s">
        <v>2329</v>
      </c>
      <c r="W198" s="364" t="s">
        <v>2415</v>
      </c>
      <c r="X198" s="364" t="s">
        <v>2417</v>
      </c>
      <c r="Y198" s="364" t="s">
        <v>2506</v>
      </c>
      <c r="Z198" s="364" t="s">
        <v>2638</v>
      </c>
      <c r="AA198" s="364" t="s">
        <v>2536</v>
      </c>
      <c r="AB198" s="364" t="s">
        <v>157</v>
      </c>
      <c r="AC198" s="364" t="s">
        <v>2495</v>
      </c>
      <c r="AD198" s="364" t="s">
        <v>2440</v>
      </c>
      <c r="AE198" s="364" t="s">
        <v>2337</v>
      </c>
      <c r="AF198" s="364" t="s">
        <v>2388</v>
      </c>
      <c r="AG198" s="364" t="s">
        <v>2565</v>
      </c>
      <c r="AH198" s="364" t="s">
        <v>2389</v>
      </c>
      <c r="AI198" s="364" t="s">
        <v>2420</v>
      </c>
      <c r="AJ198" s="364" t="s">
        <v>2340</v>
      </c>
      <c r="AK198" s="364" t="s">
        <v>2341</v>
      </c>
      <c r="AL198" s="364" t="s">
        <v>2566</v>
      </c>
      <c r="AM198" s="364" t="s">
        <v>2442</v>
      </c>
      <c r="AN198" s="364" t="s">
        <v>2422</v>
      </c>
      <c r="AO198" s="364" t="s">
        <v>2423</v>
      </c>
      <c r="AP198" s="364" t="s">
        <v>2344</v>
      </c>
      <c r="AQ198" s="364" t="s">
        <v>2346</v>
      </c>
      <c r="AR198" s="364" t="s">
        <v>2500</v>
      </c>
      <c r="AS198" s="364" t="s">
        <v>2398</v>
      </c>
      <c r="AT198" s="364" t="s">
        <v>2348</v>
      </c>
      <c r="AU198" s="364" t="s">
        <v>2430</v>
      </c>
      <c r="AV198" s="364"/>
      <c r="AW198" s="364"/>
      <c r="AX198" s="364"/>
      <c r="AY198" s="364"/>
      <c r="AZ198" s="364"/>
      <c r="BA198" s="364"/>
      <c r="BB198" s="364"/>
      <c r="BC198" s="364"/>
      <c r="BD198" s="364"/>
      <c r="BE198" s="364"/>
      <c r="BF198" s="364"/>
      <c r="BG198" s="364"/>
      <c r="BH198" s="364"/>
      <c r="BI198" s="364"/>
      <c r="BJ198" s="364"/>
      <c r="BK198" s="364"/>
      <c r="BL198" s="364"/>
      <c r="BM198" s="364"/>
      <c r="BN198" s="364"/>
      <c r="BO198" s="364"/>
      <c r="BP198" s="364"/>
      <c r="BQ198" s="364"/>
      <c r="BR198" s="364"/>
      <c r="BS198" s="364"/>
      <c r="BT198" s="364"/>
      <c r="BU198" s="364"/>
      <c r="BV198" s="364"/>
      <c r="BW198" s="364"/>
      <c r="BX198" s="364"/>
      <c r="BY198" s="364"/>
      <c r="BZ198" s="364"/>
      <c r="CA198" s="364"/>
      <c r="CB198" s="364"/>
      <c r="CC198" s="364"/>
      <c r="CD198" s="364"/>
      <c r="CE198" s="364"/>
      <c r="CF198" s="364"/>
      <c r="CG198" s="364"/>
      <c r="CH198" s="364"/>
      <c r="CI198" s="364"/>
      <c r="CJ198" s="364"/>
      <c r="CK198" s="364"/>
      <c r="CL198" s="364"/>
      <c r="CM198" s="364"/>
      <c r="CN198" s="364"/>
      <c r="CO198" s="364"/>
      <c r="CP198" s="364"/>
      <c r="CQ198" s="364"/>
      <c r="CR198" s="364"/>
      <c r="CS198" s="364"/>
      <c r="CT198" s="364"/>
      <c r="CU198" s="364"/>
      <c r="CV198" s="364"/>
      <c r="CW198" s="364"/>
      <c r="CX198" s="364"/>
      <c r="CY198" s="364"/>
      <c r="CZ198" s="364"/>
      <c r="DA198" s="364"/>
      <c r="DB198" s="364"/>
      <c r="DC198" s="364"/>
      <c r="DD198" s="364"/>
      <c r="DE198" s="364"/>
      <c r="DF198" s="364"/>
      <c r="DG198" s="364"/>
      <c r="DH198" s="364"/>
      <c r="DI198" s="364"/>
      <c r="DJ198" s="364"/>
      <c r="DK198" s="364"/>
      <c r="DL198" s="364"/>
      <c r="DM198" s="364"/>
      <c r="DN198" s="364"/>
      <c r="DO198" s="364"/>
      <c r="DP198" s="364"/>
      <c r="DQ198" s="364"/>
      <c r="DR198" s="364"/>
      <c r="DS198" s="364"/>
      <c r="DT198" s="364"/>
      <c r="DU198" s="364"/>
      <c r="DV198" s="364"/>
      <c r="DW198" s="364"/>
      <c r="DX198" s="364"/>
      <c r="DY198" s="364"/>
      <c r="DZ198" s="364"/>
      <c r="EA198" s="364"/>
      <c r="EB198" s="364"/>
      <c r="EC198" s="364"/>
      <c r="ED198" s="364"/>
      <c r="EE198" s="364"/>
      <c r="EF198" s="364"/>
      <c r="EG198" s="364"/>
      <c r="EH198" s="364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</row>
    <row r="199" customFormat="false" ht="15.75" hidden="false" customHeight="false" outlineLevel="0" collapsed="false">
      <c r="A199" s="364" t="n">
        <v>389</v>
      </c>
      <c r="B199" s="364" t="n">
        <f aca="false">COUNTA(D199:FK199)</f>
        <v>46</v>
      </c>
      <c r="C199" s="364" t="s">
        <v>1089</v>
      </c>
      <c r="D199" s="364" t="s">
        <v>2431</v>
      </c>
      <c r="E199" s="364" t="s">
        <v>2561</v>
      </c>
      <c r="F199" s="364" t="s">
        <v>2312</v>
      </c>
      <c r="G199" s="364" t="s">
        <v>2313</v>
      </c>
      <c r="H199" s="364" t="s">
        <v>2464</v>
      </c>
      <c r="I199" s="364" t="s">
        <v>2434</v>
      </c>
      <c r="J199" s="364" t="s">
        <v>2316</v>
      </c>
      <c r="K199" s="364" t="s">
        <v>2435</v>
      </c>
      <c r="L199" s="364" t="s">
        <v>2497</v>
      </c>
      <c r="M199" s="364" t="s">
        <v>2317</v>
      </c>
      <c r="N199" s="364" t="s">
        <v>2562</v>
      </c>
      <c r="O199" s="364" t="s">
        <v>2320</v>
      </c>
      <c r="P199" s="364" t="s">
        <v>2366</v>
      </c>
      <c r="Q199" s="364" t="s">
        <v>2370</v>
      </c>
      <c r="R199" s="364" t="s">
        <v>2373</v>
      </c>
      <c r="S199" s="364" t="s">
        <v>2374</v>
      </c>
      <c r="T199" s="364" t="s">
        <v>2324</v>
      </c>
      <c r="U199" s="364" t="s">
        <v>2325</v>
      </c>
      <c r="V199" s="364" t="s">
        <v>2412</v>
      </c>
      <c r="W199" s="364" t="s">
        <v>2378</v>
      </c>
      <c r="X199" s="364" t="s">
        <v>2328</v>
      </c>
      <c r="Y199" s="364" t="s">
        <v>2329</v>
      </c>
      <c r="Z199" s="364" t="s">
        <v>2379</v>
      </c>
      <c r="AA199" s="364" t="s">
        <v>2506</v>
      </c>
      <c r="AB199" s="364" t="s">
        <v>2386</v>
      </c>
      <c r="AC199" s="364" t="s">
        <v>157</v>
      </c>
      <c r="AD199" s="364" t="s">
        <v>2495</v>
      </c>
      <c r="AE199" s="364" t="s">
        <v>2440</v>
      </c>
      <c r="AF199" s="364" t="s">
        <v>2337</v>
      </c>
      <c r="AG199" s="364" t="s">
        <v>2388</v>
      </c>
      <c r="AH199" s="364" t="s">
        <v>2565</v>
      </c>
      <c r="AI199" s="364" t="s">
        <v>2389</v>
      </c>
      <c r="AJ199" s="364" t="s">
        <v>2420</v>
      </c>
      <c r="AK199" s="364" t="s">
        <v>2340</v>
      </c>
      <c r="AL199" s="364" t="s">
        <v>2341</v>
      </c>
      <c r="AM199" s="364" t="s">
        <v>2566</v>
      </c>
      <c r="AN199" s="364" t="s">
        <v>2442</v>
      </c>
      <c r="AO199" s="364" t="s">
        <v>2422</v>
      </c>
      <c r="AP199" s="364" t="s">
        <v>2423</v>
      </c>
      <c r="AQ199" s="364" t="s">
        <v>2344</v>
      </c>
      <c r="AR199" s="364" t="s">
        <v>2345</v>
      </c>
      <c r="AS199" s="364" t="s">
        <v>2346</v>
      </c>
      <c r="AT199" s="364" t="s">
        <v>2500</v>
      </c>
      <c r="AU199" s="364" t="s">
        <v>2398</v>
      </c>
      <c r="AV199" s="364" t="s">
        <v>2348</v>
      </c>
      <c r="AW199" s="364" t="s">
        <v>2430</v>
      </c>
      <c r="AX199" s="364"/>
      <c r="AY199" s="364"/>
      <c r="AZ199" s="364"/>
      <c r="BA199" s="364"/>
      <c r="BB199" s="364"/>
      <c r="BC199" s="364"/>
      <c r="BD199" s="364"/>
      <c r="BE199" s="364"/>
      <c r="BF199" s="364"/>
      <c r="BG199" s="364"/>
      <c r="BH199" s="364"/>
      <c r="BI199" s="364"/>
      <c r="BJ199" s="364"/>
      <c r="BK199" s="364"/>
      <c r="BL199" s="364"/>
      <c r="BM199" s="364"/>
      <c r="BN199" s="364"/>
      <c r="BO199" s="364"/>
      <c r="BP199" s="364"/>
      <c r="BQ199" s="364"/>
      <c r="BR199" s="364"/>
      <c r="BS199" s="364"/>
      <c r="BT199" s="364"/>
      <c r="BU199" s="364"/>
      <c r="BV199" s="364"/>
      <c r="BW199" s="364"/>
      <c r="BX199" s="364"/>
      <c r="BY199" s="364"/>
      <c r="BZ199" s="364"/>
      <c r="CA199" s="364"/>
      <c r="CB199" s="364"/>
      <c r="CC199" s="364"/>
      <c r="CD199" s="364"/>
      <c r="CE199" s="364"/>
      <c r="CF199" s="364"/>
      <c r="CG199" s="364"/>
      <c r="CH199" s="364"/>
      <c r="CI199" s="364"/>
      <c r="CJ199" s="364"/>
      <c r="CK199" s="364"/>
      <c r="CL199" s="364"/>
      <c r="CM199" s="364"/>
      <c r="CN199" s="364"/>
      <c r="CO199" s="364"/>
      <c r="CP199" s="364"/>
      <c r="CQ199" s="364"/>
      <c r="CR199" s="364"/>
      <c r="CS199" s="364"/>
      <c r="CT199" s="364"/>
      <c r="CU199" s="364"/>
      <c r="CV199" s="364"/>
      <c r="CW199" s="364"/>
      <c r="CX199" s="364"/>
      <c r="CY199" s="364"/>
      <c r="CZ199" s="364"/>
      <c r="DA199" s="364"/>
      <c r="DB199" s="364"/>
      <c r="DC199" s="364"/>
      <c r="DD199" s="364"/>
      <c r="DE199" s="364"/>
      <c r="DF199" s="364"/>
      <c r="DG199" s="364"/>
      <c r="DH199" s="364"/>
      <c r="DI199" s="364"/>
      <c r="DJ199" s="364"/>
      <c r="DK199" s="364"/>
      <c r="DL199" s="364"/>
      <c r="DM199" s="364"/>
      <c r="DN199" s="364"/>
      <c r="DO199" s="364"/>
      <c r="DP199" s="364"/>
      <c r="DQ199" s="364"/>
      <c r="DR199" s="364"/>
      <c r="DS199" s="364"/>
      <c r="DT199" s="364"/>
      <c r="DU199" s="364"/>
      <c r="DV199" s="364"/>
      <c r="DW199" s="364"/>
      <c r="DX199" s="364"/>
      <c r="DY199" s="364"/>
      <c r="DZ199" s="364"/>
      <c r="EA199" s="364"/>
      <c r="EB199" s="364"/>
      <c r="EC199" s="364"/>
      <c r="ED199" s="364"/>
      <c r="EE199" s="364"/>
      <c r="EF199" s="364"/>
      <c r="EG199" s="364"/>
      <c r="EH199" s="364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</row>
    <row r="200" customFormat="false" ht="15.75" hidden="false" customHeight="false" outlineLevel="0" collapsed="false">
      <c r="A200" s="364" t="n">
        <v>391</v>
      </c>
      <c r="B200" s="364" t="n">
        <f aca="false">COUNTA(D200:FK200)</f>
        <v>38</v>
      </c>
      <c r="C200" s="364" t="s">
        <v>1093</v>
      </c>
      <c r="D200" s="364" t="s">
        <v>2402</v>
      </c>
      <c r="E200" s="364" t="s">
        <v>2483</v>
      </c>
      <c r="F200" s="364" t="s">
        <v>2405</v>
      </c>
      <c r="G200" s="364" t="s">
        <v>2516</v>
      </c>
      <c r="H200" s="364" t="s">
        <v>2313</v>
      </c>
      <c r="I200" s="364" t="s">
        <v>2410</v>
      </c>
      <c r="J200" s="364" t="s">
        <v>2316</v>
      </c>
      <c r="K200" s="364" t="s">
        <v>2497</v>
      </c>
      <c r="L200" s="364" t="s">
        <v>2317</v>
      </c>
      <c r="M200" s="364" t="s">
        <v>2320</v>
      </c>
      <c r="N200" s="364" t="s">
        <v>2550</v>
      </c>
      <c r="O200" s="364" t="s">
        <v>2324</v>
      </c>
      <c r="P200" s="364" t="s">
        <v>2327</v>
      </c>
      <c r="Q200" s="364" t="s">
        <v>2328</v>
      </c>
      <c r="R200" s="364" t="s">
        <v>2329</v>
      </c>
      <c r="S200" s="364" t="s">
        <v>2415</v>
      </c>
      <c r="T200" s="364" t="s">
        <v>2417</v>
      </c>
      <c r="U200" s="364" t="s">
        <v>2486</v>
      </c>
      <c r="V200" s="364" t="s">
        <v>2615</v>
      </c>
      <c r="W200" s="261" t="s">
        <v>183</v>
      </c>
      <c r="X200" s="364" t="s">
        <v>2337</v>
      </c>
      <c r="Y200" s="364" t="s">
        <v>2388</v>
      </c>
      <c r="Z200" s="364" t="s">
        <v>2339</v>
      </c>
      <c r="AA200" s="364" t="s">
        <v>2389</v>
      </c>
      <c r="AB200" s="364" t="s">
        <v>2340</v>
      </c>
      <c r="AC200" s="364" t="s">
        <v>2421</v>
      </c>
      <c r="AD200" s="364" t="s">
        <v>2341</v>
      </c>
      <c r="AE200" s="364" t="s">
        <v>2344</v>
      </c>
      <c r="AF200" s="364" t="s">
        <v>2346</v>
      </c>
      <c r="AG200" s="364" t="s">
        <v>2500</v>
      </c>
      <c r="AH200" s="364" t="s">
        <v>2347</v>
      </c>
      <c r="AI200" s="364" t="s">
        <v>2424</v>
      </c>
      <c r="AJ200" s="364" t="s">
        <v>2515</v>
      </c>
      <c r="AK200" s="364" t="s">
        <v>2425</v>
      </c>
      <c r="AL200" s="364" t="s">
        <v>2426</v>
      </c>
      <c r="AM200" s="364" t="s">
        <v>2428</v>
      </c>
      <c r="AN200" s="364" t="s">
        <v>2429</v>
      </c>
      <c r="AO200" s="364" t="s">
        <v>2430</v>
      </c>
      <c r="AP200" s="364"/>
      <c r="AQ200" s="364"/>
      <c r="AR200" s="364"/>
      <c r="AS200" s="364"/>
      <c r="AT200" s="364"/>
      <c r="AU200" s="364"/>
      <c r="AV200" s="364"/>
      <c r="AW200" s="364"/>
      <c r="AX200" s="364"/>
      <c r="AY200" s="364"/>
      <c r="AZ200" s="364"/>
      <c r="BA200" s="364"/>
      <c r="BB200" s="364"/>
      <c r="BC200" s="364"/>
      <c r="BD200" s="364"/>
      <c r="BE200" s="364"/>
      <c r="BF200" s="364"/>
      <c r="BG200" s="364"/>
      <c r="BH200" s="364"/>
      <c r="BI200" s="364"/>
      <c r="BJ200" s="364"/>
      <c r="BK200" s="364"/>
      <c r="BL200" s="364"/>
      <c r="BM200" s="364"/>
      <c r="BN200" s="364"/>
      <c r="BO200" s="364"/>
      <c r="BP200" s="364"/>
      <c r="BQ200" s="364"/>
      <c r="BR200" s="364"/>
      <c r="BS200" s="364"/>
      <c r="BT200" s="364"/>
      <c r="BU200" s="364"/>
      <c r="BV200" s="364"/>
      <c r="BW200" s="364"/>
      <c r="BX200" s="364"/>
      <c r="BY200" s="364"/>
      <c r="BZ200" s="364"/>
      <c r="CA200" s="364"/>
      <c r="CB200" s="364"/>
      <c r="CC200" s="364"/>
      <c r="CD200" s="364"/>
      <c r="CE200" s="364"/>
      <c r="CF200" s="364"/>
      <c r="CG200" s="364"/>
      <c r="CH200" s="364"/>
      <c r="CI200" s="364"/>
      <c r="CJ200" s="364"/>
      <c r="CK200" s="364"/>
      <c r="CL200" s="364"/>
      <c r="CM200" s="364"/>
      <c r="CN200" s="364"/>
      <c r="CO200" s="364"/>
      <c r="CP200" s="364"/>
      <c r="CQ200" s="364"/>
      <c r="CR200" s="364"/>
      <c r="CS200" s="364"/>
      <c r="CT200" s="364"/>
      <c r="CU200" s="364"/>
      <c r="CV200" s="364"/>
      <c r="CW200" s="364"/>
      <c r="CX200" s="364"/>
      <c r="CY200" s="364"/>
      <c r="CZ200" s="364"/>
      <c r="DA200" s="364"/>
      <c r="DB200" s="364"/>
      <c r="DC200" s="364"/>
      <c r="DD200" s="364"/>
      <c r="DE200" s="364"/>
      <c r="DF200" s="364"/>
      <c r="DG200" s="364"/>
      <c r="DH200" s="364"/>
      <c r="DI200" s="364"/>
      <c r="DJ200" s="364"/>
      <c r="DK200" s="364"/>
      <c r="DL200" s="364"/>
      <c r="DM200" s="364"/>
      <c r="DN200" s="364"/>
      <c r="DO200" s="364"/>
      <c r="DP200" s="364"/>
      <c r="DQ200" s="364"/>
      <c r="DR200" s="364"/>
      <c r="DS200" s="364"/>
      <c r="DT200" s="364"/>
      <c r="DU200" s="364"/>
      <c r="DV200" s="364"/>
      <c r="DW200" s="364"/>
      <c r="DX200" s="364"/>
      <c r="DY200" s="364"/>
      <c r="DZ200" s="364"/>
      <c r="EA200" s="364"/>
      <c r="EB200" s="364"/>
      <c r="EC200" s="364"/>
      <c r="ED200" s="364"/>
      <c r="EE200" s="364"/>
      <c r="EF200" s="364"/>
      <c r="EG200" s="364"/>
      <c r="EH200" s="364"/>
      <c r="EI200" s="364"/>
      <c r="EJ200" s="364"/>
      <c r="EK200" s="364"/>
      <c r="EL200" s="364"/>
      <c r="EM200" s="364"/>
      <c r="EN200" s="364"/>
      <c r="EO200" s="364"/>
      <c r="EP200" s="364"/>
      <c r="EQ200" s="364"/>
      <c r="ER200" s="364"/>
      <c r="ES200" s="364"/>
      <c r="ET200" s="364"/>
      <c r="EU200" s="364"/>
      <c r="EV200" s="364"/>
      <c r="EW200" s="364"/>
      <c r="EX200" s="364"/>
      <c r="EY200" s="364"/>
      <c r="EZ200" s="364"/>
      <c r="FA200" s="364"/>
      <c r="FB200" s="364"/>
      <c r="FC200" s="364"/>
      <c r="FD200" s="364"/>
      <c r="FE200" s="364"/>
      <c r="FF200" s="364"/>
      <c r="FG200" s="364"/>
      <c r="FH200" s="364"/>
      <c r="FI200" s="364"/>
      <c r="FJ200" s="364"/>
      <c r="FK200" s="364"/>
    </row>
    <row r="201" customFormat="false" ht="15.75" hidden="false" customHeight="false" outlineLevel="0" collapsed="false">
      <c r="A201" s="364" t="n">
        <v>393</v>
      </c>
      <c r="B201" s="364" t="n">
        <f aca="false">COUNTA(D201:FK201)</f>
        <v>53</v>
      </c>
      <c r="C201" s="364" t="s">
        <v>1097</v>
      </c>
      <c r="D201" s="364" t="s">
        <v>2352</v>
      </c>
      <c r="E201" s="364" t="s">
        <v>2561</v>
      </c>
      <c r="F201" s="364" t="s">
        <v>2403</v>
      </c>
      <c r="G201" s="364" t="s">
        <v>2405</v>
      </c>
      <c r="H201" s="364" t="s">
        <v>2312</v>
      </c>
      <c r="I201" s="364" t="s">
        <v>2356</v>
      </c>
      <c r="J201" s="364" t="s">
        <v>2407</v>
      </c>
      <c r="K201" s="364" t="s">
        <v>2408</v>
      </c>
      <c r="L201" s="364" t="s">
        <v>138</v>
      </c>
      <c r="M201" s="364" t="s">
        <v>2593</v>
      </c>
      <c r="N201" s="364" t="s">
        <v>2466</v>
      </c>
      <c r="O201" s="364" t="s">
        <v>2315</v>
      </c>
      <c r="P201" s="364" t="s">
        <v>2409</v>
      </c>
      <c r="Q201" s="364" t="s">
        <v>2358</v>
      </c>
      <c r="R201" s="364" t="s">
        <v>2410</v>
      </c>
      <c r="S201" s="364" t="s">
        <v>2316</v>
      </c>
      <c r="T201" s="364" t="s">
        <v>2579</v>
      </c>
      <c r="U201" s="364" t="s">
        <v>2448</v>
      </c>
      <c r="V201" s="364" t="s">
        <v>2320</v>
      </c>
      <c r="W201" s="364" t="s">
        <v>2449</v>
      </c>
      <c r="X201" s="364" t="s">
        <v>2322</v>
      </c>
      <c r="Y201" s="364" t="s">
        <v>2324</v>
      </c>
      <c r="Z201" s="364" t="s">
        <v>2328</v>
      </c>
      <c r="AA201" s="364" t="s">
        <v>2329</v>
      </c>
      <c r="AB201" s="364" t="s">
        <v>2415</v>
      </c>
      <c r="AC201" s="364" t="s">
        <v>2417</v>
      </c>
      <c r="AD201" s="364" t="s">
        <v>2330</v>
      </c>
      <c r="AE201" s="364" t="s">
        <v>2418</v>
      </c>
      <c r="AF201" s="261" t="s">
        <v>183</v>
      </c>
      <c r="AG201" s="364" t="s">
        <v>2531</v>
      </c>
      <c r="AH201" s="364" t="s">
        <v>2452</v>
      </c>
      <c r="AI201" s="364" t="s">
        <v>2586</v>
      </c>
      <c r="AJ201" s="364" t="s">
        <v>2337</v>
      </c>
      <c r="AK201" s="364" t="s">
        <v>2469</v>
      </c>
      <c r="AL201" s="364" t="s">
        <v>2388</v>
      </c>
      <c r="AM201" s="364" t="s">
        <v>2339</v>
      </c>
      <c r="AN201" s="364" t="s">
        <v>2389</v>
      </c>
      <c r="AO201" s="364" t="s">
        <v>2340</v>
      </c>
      <c r="AP201" s="364" t="s">
        <v>2421</v>
      </c>
      <c r="AQ201" s="364" t="s">
        <v>2341</v>
      </c>
      <c r="AR201" s="364" t="s">
        <v>2343</v>
      </c>
      <c r="AS201" s="364" t="s">
        <v>2471</v>
      </c>
      <c r="AT201" s="364" t="s">
        <v>2472</v>
      </c>
      <c r="AU201" s="364" t="s">
        <v>2344</v>
      </c>
      <c r="AV201" s="364" t="s">
        <v>2347</v>
      </c>
      <c r="AW201" s="364" t="s">
        <v>2511</v>
      </c>
      <c r="AX201" s="364" t="s">
        <v>2424</v>
      </c>
      <c r="AY201" s="364" t="s">
        <v>2398</v>
      </c>
      <c r="AZ201" s="364" t="s">
        <v>2595</v>
      </c>
      <c r="BA201" s="364" t="s">
        <v>2425</v>
      </c>
      <c r="BB201" s="364" t="s">
        <v>2428</v>
      </c>
      <c r="BC201" s="364" t="s">
        <v>2429</v>
      </c>
      <c r="BD201" s="364" t="s">
        <v>2458</v>
      </c>
      <c r="BE201" s="364"/>
      <c r="BF201" s="364"/>
      <c r="BG201" s="364"/>
      <c r="BH201" s="364"/>
      <c r="BI201" s="364"/>
      <c r="BJ201" s="364"/>
      <c r="BK201" s="364"/>
      <c r="BL201" s="364"/>
      <c r="BM201" s="364"/>
      <c r="BN201" s="364"/>
      <c r="BO201" s="364"/>
      <c r="BP201" s="364"/>
      <c r="BQ201" s="364"/>
      <c r="BR201" s="364"/>
      <c r="BS201" s="364"/>
      <c r="BT201" s="364"/>
      <c r="BU201" s="364"/>
      <c r="BV201" s="364"/>
      <c r="BW201" s="364"/>
      <c r="BX201" s="364"/>
      <c r="BY201" s="364"/>
      <c r="BZ201" s="364"/>
      <c r="CA201" s="364"/>
      <c r="CB201" s="364"/>
      <c r="CC201" s="364"/>
      <c r="CD201" s="364"/>
      <c r="CE201" s="364"/>
      <c r="CF201" s="364"/>
      <c r="CG201" s="364"/>
      <c r="CH201" s="364"/>
      <c r="CI201" s="364"/>
      <c r="CJ201" s="364"/>
      <c r="CK201" s="364"/>
      <c r="CL201" s="364"/>
      <c r="CM201" s="364"/>
      <c r="CN201" s="364"/>
      <c r="CO201" s="364"/>
      <c r="CP201" s="364"/>
      <c r="CQ201" s="364"/>
      <c r="CR201" s="364"/>
      <c r="CS201" s="364"/>
      <c r="CT201" s="364"/>
      <c r="CU201" s="364"/>
      <c r="CV201" s="364"/>
      <c r="CW201" s="364"/>
      <c r="CX201" s="364"/>
      <c r="CY201" s="364"/>
      <c r="CZ201" s="364"/>
      <c r="DA201" s="364"/>
      <c r="DB201" s="364"/>
      <c r="DC201" s="364"/>
      <c r="DD201" s="364"/>
      <c r="DE201" s="364"/>
      <c r="DF201" s="364"/>
      <c r="DG201" s="364"/>
      <c r="DH201" s="364"/>
      <c r="DI201" s="364"/>
      <c r="DJ201" s="364"/>
      <c r="DK201" s="364"/>
      <c r="DL201" s="364"/>
      <c r="DM201" s="364"/>
      <c r="DN201" s="364"/>
      <c r="DO201" s="364"/>
      <c r="DP201" s="364"/>
      <c r="DQ201" s="364"/>
      <c r="DR201" s="364"/>
      <c r="DS201" s="364"/>
      <c r="DT201" s="364"/>
      <c r="DU201" s="364"/>
      <c r="DV201" s="364"/>
      <c r="DW201" s="364"/>
      <c r="DX201" s="364"/>
      <c r="DY201" s="364"/>
      <c r="DZ201" s="364"/>
      <c r="EA201" s="364"/>
      <c r="EB201" s="364"/>
      <c r="EC201" s="364"/>
      <c r="ED201" s="364"/>
      <c r="EE201" s="364"/>
      <c r="EF201" s="364"/>
      <c r="EG201" s="364"/>
      <c r="EH201" s="364"/>
      <c r="EI201" s="364"/>
      <c r="EJ201" s="364"/>
      <c r="EK201" s="364"/>
      <c r="EL201" s="364"/>
      <c r="EM201" s="364"/>
      <c r="EN201" s="364"/>
      <c r="EO201" s="364"/>
      <c r="EP201" s="364"/>
      <c r="EQ201" s="364"/>
      <c r="ER201" s="364"/>
      <c r="ES201" s="364"/>
      <c r="ET201" s="364"/>
      <c r="EU201" s="364"/>
      <c r="EV201" s="364"/>
      <c r="EW201" s="364"/>
      <c r="EX201" s="364"/>
      <c r="EY201" s="364"/>
      <c r="EZ201" s="364"/>
      <c r="FA201" s="364"/>
      <c r="FB201" s="364"/>
      <c r="FC201" s="364"/>
      <c r="FD201" s="364"/>
      <c r="FE201" s="364"/>
      <c r="FF201" s="364"/>
      <c r="FG201" s="364"/>
      <c r="FH201" s="364"/>
      <c r="FI201" s="364"/>
      <c r="FJ201" s="364"/>
      <c r="FK201" s="364"/>
    </row>
    <row r="202" customFormat="false" ht="15.75" hidden="false" customHeight="false" outlineLevel="0" collapsed="false">
      <c r="A202" s="364" t="n">
        <v>395</v>
      </c>
      <c r="B202" s="364" t="n">
        <f aca="false">COUNTA(D202:FK202)</f>
        <v>41</v>
      </c>
      <c r="C202" s="364" t="s">
        <v>1101</v>
      </c>
      <c r="D202" s="364" t="s">
        <v>2561</v>
      </c>
      <c r="E202" s="364" t="s">
        <v>2313</v>
      </c>
      <c r="F202" s="364" t="s">
        <v>2464</v>
      </c>
      <c r="G202" s="364" t="s">
        <v>2434</v>
      </c>
      <c r="H202" s="364" t="s">
        <v>2517</v>
      </c>
      <c r="I202" s="364" t="s">
        <v>2358</v>
      </c>
      <c r="J202" s="364" t="s">
        <v>2316</v>
      </c>
      <c r="K202" s="364" t="s">
        <v>2435</v>
      </c>
      <c r="L202" s="364" t="s">
        <v>184</v>
      </c>
      <c r="M202" s="364" t="s">
        <v>2497</v>
      </c>
      <c r="N202" s="364" t="s">
        <v>2317</v>
      </c>
      <c r="O202" s="364" t="s">
        <v>2562</v>
      </c>
      <c r="P202" s="364" t="s">
        <v>2632</v>
      </c>
      <c r="Q202" s="364" t="s">
        <v>2320</v>
      </c>
      <c r="R202" s="364" t="s">
        <v>2324</v>
      </c>
      <c r="S202" s="364" t="s">
        <v>2325</v>
      </c>
      <c r="T202" s="364" t="s">
        <v>2412</v>
      </c>
      <c r="U202" s="364" t="s">
        <v>2327</v>
      </c>
      <c r="V202" s="364" t="s">
        <v>2328</v>
      </c>
      <c r="W202" s="364" t="s">
        <v>2329</v>
      </c>
      <c r="X202" s="364" t="s">
        <v>2415</v>
      </c>
      <c r="Y202" s="261" t="s">
        <v>183</v>
      </c>
      <c r="Z202" s="364" t="s">
        <v>2439</v>
      </c>
      <c r="AA202" s="364" t="s">
        <v>157</v>
      </c>
      <c r="AB202" s="364" t="s">
        <v>2495</v>
      </c>
      <c r="AC202" s="364" t="s">
        <v>2419</v>
      </c>
      <c r="AD202" s="364" t="s">
        <v>2337</v>
      </c>
      <c r="AE202" s="364" t="s">
        <v>2388</v>
      </c>
      <c r="AF202" s="364" t="s">
        <v>2339</v>
      </c>
      <c r="AG202" s="364" t="s">
        <v>2389</v>
      </c>
      <c r="AH202" s="364" t="s">
        <v>2340</v>
      </c>
      <c r="AI202" s="364" t="s">
        <v>2341</v>
      </c>
      <c r="AJ202" s="364" t="s">
        <v>2566</v>
      </c>
      <c r="AK202" s="364" t="s">
        <v>2442</v>
      </c>
      <c r="AL202" s="364" t="s">
        <v>2422</v>
      </c>
      <c r="AM202" s="364" t="s">
        <v>2423</v>
      </c>
      <c r="AN202" s="364" t="s">
        <v>2344</v>
      </c>
      <c r="AO202" s="364" t="s">
        <v>2345</v>
      </c>
      <c r="AP202" s="364" t="s">
        <v>2500</v>
      </c>
      <c r="AQ202" s="364" t="s">
        <v>2347</v>
      </c>
      <c r="AR202" s="364" t="s">
        <v>2430</v>
      </c>
      <c r="AS202" s="364"/>
      <c r="AT202" s="364"/>
      <c r="AU202" s="364"/>
      <c r="AV202" s="364"/>
      <c r="AW202" s="364"/>
      <c r="AX202" s="364"/>
      <c r="AY202" s="364"/>
      <c r="AZ202" s="364"/>
      <c r="BA202" s="364"/>
      <c r="BB202" s="364"/>
      <c r="BC202" s="364"/>
      <c r="BD202" s="364"/>
      <c r="BE202" s="364"/>
      <c r="BF202" s="364"/>
      <c r="BG202" s="364"/>
      <c r="BH202" s="364"/>
      <c r="BI202" s="364"/>
      <c r="BJ202" s="364"/>
      <c r="BK202" s="364"/>
      <c r="BL202" s="364"/>
      <c r="BM202" s="364"/>
      <c r="BN202" s="364"/>
      <c r="BO202" s="364"/>
      <c r="BP202" s="364"/>
      <c r="BQ202" s="364"/>
      <c r="BR202" s="364"/>
      <c r="BS202" s="364"/>
      <c r="BT202" s="364"/>
      <c r="BU202" s="364"/>
      <c r="BV202" s="364"/>
      <c r="BW202" s="364"/>
      <c r="BX202" s="364"/>
      <c r="BY202" s="364"/>
      <c r="BZ202" s="364"/>
      <c r="CA202" s="364"/>
      <c r="CB202" s="364"/>
      <c r="CC202" s="364"/>
      <c r="CD202" s="364"/>
      <c r="CE202" s="364"/>
      <c r="CF202" s="364"/>
      <c r="CG202" s="364"/>
      <c r="CH202" s="364"/>
      <c r="CI202" s="364"/>
      <c r="CJ202" s="364"/>
      <c r="CK202" s="364"/>
      <c r="CL202" s="364"/>
      <c r="CM202" s="364"/>
      <c r="CN202" s="364"/>
      <c r="CO202" s="364"/>
      <c r="CP202" s="364"/>
      <c r="CQ202" s="364"/>
      <c r="CR202" s="364"/>
      <c r="CS202" s="364"/>
      <c r="CT202" s="364"/>
      <c r="CU202" s="364"/>
      <c r="CV202" s="364"/>
      <c r="CW202" s="364"/>
      <c r="CX202" s="364"/>
      <c r="CY202" s="364"/>
      <c r="CZ202" s="364"/>
      <c r="DA202" s="364"/>
      <c r="DB202" s="364"/>
      <c r="DC202" s="364"/>
      <c r="DD202" s="364"/>
      <c r="DE202" s="364"/>
      <c r="DF202" s="364"/>
      <c r="DG202" s="364"/>
      <c r="DH202" s="364"/>
      <c r="DI202" s="364"/>
      <c r="DJ202" s="364"/>
      <c r="DK202" s="364"/>
      <c r="DL202" s="364"/>
      <c r="DM202" s="364"/>
      <c r="DN202" s="364"/>
      <c r="DO202" s="364"/>
      <c r="DP202" s="364"/>
      <c r="DQ202" s="364"/>
      <c r="DR202" s="364"/>
      <c r="DS202" s="364"/>
      <c r="DT202" s="364"/>
      <c r="DU202" s="364"/>
      <c r="DV202" s="364"/>
      <c r="DW202" s="364"/>
      <c r="DX202" s="364"/>
      <c r="DY202" s="364"/>
      <c r="DZ202" s="364"/>
      <c r="EA202" s="364"/>
      <c r="EB202" s="364"/>
      <c r="EC202" s="364"/>
      <c r="ED202" s="364"/>
      <c r="EE202" s="364"/>
      <c r="EF202" s="364"/>
      <c r="EG202" s="364"/>
      <c r="EH202" s="364"/>
      <c r="EI202" s="364"/>
      <c r="EJ202" s="364"/>
      <c r="EK202" s="364"/>
      <c r="EL202" s="364"/>
      <c r="EM202" s="364"/>
      <c r="EN202" s="364"/>
      <c r="EO202" s="364"/>
      <c r="EP202" s="364"/>
      <c r="EQ202" s="364"/>
      <c r="ER202" s="364"/>
      <c r="ES202" s="364"/>
      <c r="ET202" s="364"/>
      <c r="EU202" s="364"/>
      <c r="EV202" s="364"/>
      <c r="EW202" s="364"/>
      <c r="EX202" s="364"/>
      <c r="EY202" s="364"/>
      <c r="EZ202" s="364"/>
      <c r="FA202" s="364"/>
      <c r="FB202" s="364"/>
      <c r="FC202" s="364"/>
      <c r="FD202" s="364"/>
      <c r="FE202" s="364"/>
      <c r="FF202" s="364"/>
      <c r="FG202" s="364"/>
      <c r="FH202" s="364"/>
      <c r="FI202" s="364"/>
      <c r="FJ202" s="364"/>
      <c r="FK202" s="364"/>
    </row>
    <row r="203" customFormat="false" ht="15.75" hidden="false" customHeight="false" outlineLevel="0" collapsed="false">
      <c r="A203" s="364" t="n">
        <v>397</v>
      </c>
      <c r="B203" s="364" t="n">
        <f aca="false">COUNTA(D203:FK203)</f>
        <v>36</v>
      </c>
      <c r="C203" s="364" t="s">
        <v>1105</v>
      </c>
      <c r="D203" s="364" t="s">
        <v>2481</v>
      </c>
      <c r="E203" s="364" t="s">
        <v>2561</v>
      </c>
      <c r="F203" s="364" t="s">
        <v>2528</v>
      </c>
      <c r="G203" s="364" t="s">
        <v>2311</v>
      </c>
      <c r="H203" s="364" t="s">
        <v>2312</v>
      </c>
      <c r="I203" s="364" t="s">
        <v>2406</v>
      </c>
      <c r="J203" s="364" t="s">
        <v>2313</v>
      </c>
      <c r="K203" s="364" t="s">
        <v>2314</v>
      </c>
      <c r="L203" s="364" t="s">
        <v>2559</v>
      </c>
      <c r="M203" s="364" t="s">
        <v>2316</v>
      </c>
      <c r="N203" s="364" t="s">
        <v>2497</v>
      </c>
      <c r="O203" s="364" t="s">
        <v>2317</v>
      </c>
      <c r="P203" s="364" t="s">
        <v>2319</v>
      </c>
      <c r="Q203" s="364" t="s">
        <v>2320</v>
      </c>
      <c r="R203" s="364" t="s">
        <v>2323</v>
      </c>
      <c r="S203" s="364" t="s">
        <v>2324</v>
      </c>
      <c r="T203" s="364" t="s">
        <v>2325</v>
      </c>
      <c r="U203" s="364" t="s">
        <v>2327</v>
      </c>
      <c r="V203" s="364" t="s">
        <v>2328</v>
      </c>
      <c r="W203" s="364" t="s">
        <v>2329</v>
      </c>
      <c r="X203" s="364" t="s">
        <v>2438</v>
      </c>
      <c r="Y203" s="261" t="s">
        <v>183</v>
      </c>
      <c r="Z203" s="364" t="s">
        <v>2337</v>
      </c>
      <c r="AA203" s="364" t="s">
        <v>2388</v>
      </c>
      <c r="AB203" s="364" t="s">
        <v>2339</v>
      </c>
      <c r="AC203" s="364" t="s">
        <v>2389</v>
      </c>
      <c r="AD203" s="364" t="s">
        <v>2340</v>
      </c>
      <c r="AE203" s="364" t="s">
        <v>2341</v>
      </c>
      <c r="AF203" s="364" t="s">
        <v>2342</v>
      </c>
      <c r="AG203" s="364" t="s">
        <v>2343</v>
      </c>
      <c r="AH203" s="364" t="s">
        <v>2471</v>
      </c>
      <c r="AI203" s="364" t="s">
        <v>2423</v>
      </c>
      <c r="AJ203" s="364" t="s">
        <v>2344</v>
      </c>
      <c r="AK203" s="364" t="s">
        <v>2345</v>
      </c>
      <c r="AL203" s="364" t="s">
        <v>2500</v>
      </c>
      <c r="AM203" s="364" t="s">
        <v>2347</v>
      </c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/>
      <c r="BB203" s="364"/>
      <c r="BC203" s="364"/>
      <c r="BD203" s="364"/>
      <c r="BE203" s="364"/>
      <c r="BF203" s="364"/>
      <c r="BG203" s="364"/>
      <c r="BH203" s="364"/>
      <c r="BI203" s="364"/>
      <c r="BJ203" s="364"/>
      <c r="BK203" s="364"/>
      <c r="BL203" s="364"/>
      <c r="BM203" s="364"/>
      <c r="BN203" s="364"/>
      <c r="BO203" s="364"/>
      <c r="BP203" s="364"/>
      <c r="BQ203" s="364"/>
      <c r="BR203" s="364"/>
      <c r="BS203" s="364"/>
      <c r="BT203" s="364"/>
      <c r="BU203" s="364"/>
      <c r="BV203" s="364"/>
      <c r="BW203" s="364"/>
      <c r="BX203" s="364"/>
      <c r="BY203" s="364"/>
      <c r="BZ203" s="364"/>
      <c r="CA203" s="364"/>
      <c r="CB203" s="364"/>
      <c r="CC203" s="364"/>
      <c r="CD203" s="364"/>
      <c r="CE203" s="364"/>
      <c r="CF203" s="364"/>
      <c r="CG203" s="364"/>
      <c r="CH203" s="364"/>
      <c r="CI203" s="364"/>
      <c r="CJ203" s="364"/>
      <c r="CK203" s="364"/>
      <c r="CL203" s="364"/>
      <c r="CM203" s="364"/>
      <c r="CN203" s="364"/>
      <c r="CO203" s="364"/>
      <c r="CP203" s="364"/>
      <c r="CQ203" s="364"/>
      <c r="CR203" s="364"/>
      <c r="CS203" s="364"/>
      <c r="CT203" s="364"/>
      <c r="CU203" s="364"/>
      <c r="CV203" s="364"/>
      <c r="CW203" s="364"/>
      <c r="CX203" s="364"/>
      <c r="CY203" s="364"/>
      <c r="CZ203" s="364"/>
      <c r="DA203" s="364"/>
      <c r="DB203" s="364"/>
      <c r="DC203" s="364"/>
      <c r="DD203" s="364"/>
      <c r="DE203" s="364"/>
      <c r="DF203" s="364"/>
      <c r="DG203" s="364"/>
      <c r="DH203" s="364"/>
      <c r="DI203" s="364"/>
      <c r="DJ203" s="364"/>
      <c r="DK203" s="364"/>
      <c r="DL203" s="364"/>
      <c r="DM203" s="364"/>
      <c r="DN203" s="364"/>
      <c r="DO203" s="364"/>
      <c r="DP203" s="364"/>
      <c r="DQ203" s="364"/>
      <c r="DR203" s="364"/>
      <c r="DS203" s="364"/>
      <c r="DT203" s="364"/>
      <c r="DU203" s="364"/>
      <c r="DV203" s="364"/>
      <c r="DW203" s="364"/>
      <c r="DX203" s="364"/>
      <c r="DY203" s="364"/>
      <c r="DZ203" s="364"/>
      <c r="EA203" s="364"/>
      <c r="EB203" s="364"/>
      <c r="EC203" s="364"/>
      <c r="ED203" s="364"/>
      <c r="EE203" s="364"/>
      <c r="EF203" s="364"/>
      <c r="EG203" s="364"/>
      <c r="EH203" s="364"/>
      <c r="EI203" s="364"/>
      <c r="EJ203" s="364"/>
      <c r="EK203" s="364"/>
      <c r="EL203" s="364"/>
      <c r="EM203" s="364"/>
      <c r="EN203" s="364"/>
      <c r="EO203" s="364"/>
      <c r="EP203" s="364"/>
      <c r="EQ203" s="364"/>
      <c r="ER203" s="364"/>
      <c r="ES203" s="364"/>
      <c r="ET203" s="364"/>
      <c r="EU203" s="364"/>
      <c r="EV203" s="364"/>
      <c r="EW203" s="364"/>
      <c r="EX203" s="364"/>
      <c r="EY203" s="364"/>
      <c r="EZ203" s="364"/>
      <c r="FA203" s="364"/>
      <c r="FB203" s="364"/>
      <c r="FC203" s="364"/>
      <c r="FD203" s="364"/>
      <c r="FE203" s="364"/>
      <c r="FF203" s="364"/>
      <c r="FG203" s="364"/>
      <c r="FH203" s="364"/>
      <c r="FI203" s="364"/>
      <c r="FJ203" s="364"/>
      <c r="FK203" s="364"/>
    </row>
    <row r="204" customFormat="false" ht="15.75" hidden="false" customHeight="false" outlineLevel="0" collapsed="false">
      <c r="A204" s="364" t="n">
        <v>399</v>
      </c>
      <c r="B204" s="364" t="n">
        <f aca="false">COUNTA(D204:FK204)</f>
        <v>49</v>
      </c>
      <c r="C204" s="364" t="s">
        <v>1109</v>
      </c>
      <c r="D204" s="364" t="s">
        <v>2352</v>
      </c>
      <c r="E204" s="364" t="s">
        <v>2561</v>
      </c>
      <c r="F204" s="364" t="s">
        <v>2402</v>
      </c>
      <c r="G204" s="364" t="s">
        <v>2312</v>
      </c>
      <c r="H204" s="364" t="s">
        <v>2356</v>
      </c>
      <c r="I204" s="364" t="s">
        <v>2406</v>
      </c>
      <c r="J204" s="364" t="s">
        <v>2357</v>
      </c>
      <c r="K204" s="364" t="s">
        <v>2432</v>
      </c>
      <c r="L204" s="364" t="s">
        <v>2313</v>
      </c>
      <c r="M204" s="364" t="s">
        <v>2496</v>
      </c>
      <c r="N204" s="364" t="s">
        <v>2315</v>
      </c>
      <c r="O204" s="364" t="s">
        <v>2358</v>
      </c>
      <c r="P204" s="364" t="s">
        <v>2316</v>
      </c>
      <c r="Q204" s="364" t="s">
        <v>2497</v>
      </c>
      <c r="R204" s="364" t="s">
        <v>2317</v>
      </c>
      <c r="S204" s="364" t="s">
        <v>2320</v>
      </c>
      <c r="T204" s="364" t="s">
        <v>2449</v>
      </c>
      <c r="U204" s="364" t="s">
        <v>2411</v>
      </c>
      <c r="V204" s="364" t="s">
        <v>2322</v>
      </c>
      <c r="W204" s="364" t="s">
        <v>2324</v>
      </c>
      <c r="X204" s="364" t="s">
        <v>2327</v>
      </c>
      <c r="Y204" s="364" t="s">
        <v>2328</v>
      </c>
      <c r="Z204" s="364" t="s">
        <v>2329</v>
      </c>
      <c r="AA204" s="364" t="s">
        <v>2381</v>
      </c>
      <c r="AB204" s="364" t="s">
        <v>2330</v>
      </c>
      <c r="AC204" s="364" t="s">
        <v>2418</v>
      </c>
      <c r="AD204" s="364" t="s">
        <v>2539</v>
      </c>
      <c r="AE204" s="364" t="s">
        <v>2384</v>
      </c>
      <c r="AF204" s="261" t="s">
        <v>183</v>
      </c>
      <c r="AG204" s="364" t="s">
        <v>2337</v>
      </c>
      <c r="AH204" s="364" t="s">
        <v>2564</v>
      </c>
      <c r="AI204" s="364" t="s">
        <v>2388</v>
      </c>
      <c r="AJ204" s="364" t="s">
        <v>2339</v>
      </c>
      <c r="AK204" s="364" t="s">
        <v>2389</v>
      </c>
      <c r="AL204" s="364" t="s">
        <v>2340</v>
      </c>
      <c r="AM204" s="364" t="s">
        <v>2390</v>
      </c>
      <c r="AN204" s="364" t="s">
        <v>2341</v>
      </c>
      <c r="AO204" s="364" t="s">
        <v>2391</v>
      </c>
      <c r="AP204" s="364" t="s">
        <v>2395</v>
      </c>
      <c r="AQ204" s="364" t="s">
        <v>2423</v>
      </c>
      <c r="AR204" s="364" t="s">
        <v>2344</v>
      </c>
      <c r="AS204" s="364" t="s">
        <v>2346</v>
      </c>
      <c r="AT204" s="364" t="s">
        <v>2500</v>
      </c>
      <c r="AU204" s="364" t="s">
        <v>2347</v>
      </c>
      <c r="AV204" s="364" t="s">
        <v>2444</v>
      </c>
      <c r="AW204" s="364" t="s">
        <v>2511</v>
      </c>
      <c r="AX204" s="364" t="s">
        <v>2426</v>
      </c>
      <c r="AY204" s="364" t="s">
        <v>2428</v>
      </c>
      <c r="AZ204" s="364" t="s">
        <v>2458</v>
      </c>
      <c r="BA204" s="364"/>
      <c r="BB204" s="364"/>
      <c r="BC204" s="364"/>
      <c r="BD204" s="364"/>
      <c r="BE204" s="364"/>
      <c r="BF204" s="364"/>
      <c r="BG204" s="364"/>
      <c r="BH204" s="364"/>
      <c r="BI204" s="364"/>
      <c r="BJ204" s="364"/>
      <c r="BK204" s="364"/>
      <c r="BL204" s="364"/>
      <c r="BM204" s="364"/>
      <c r="BN204" s="364"/>
      <c r="BO204" s="364"/>
      <c r="BP204" s="364"/>
      <c r="BQ204" s="364"/>
      <c r="BR204" s="364"/>
      <c r="BS204" s="364"/>
      <c r="BT204" s="364"/>
      <c r="BU204" s="364"/>
      <c r="BV204" s="364"/>
      <c r="BW204" s="364"/>
      <c r="BX204" s="364"/>
      <c r="BY204" s="364"/>
      <c r="BZ204" s="364"/>
      <c r="CA204" s="364"/>
      <c r="CB204" s="364"/>
      <c r="CC204" s="364"/>
      <c r="CD204" s="364"/>
      <c r="CE204" s="364"/>
      <c r="CF204" s="364"/>
      <c r="CG204" s="364"/>
      <c r="CH204" s="364"/>
      <c r="CI204" s="364"/>
      <c r="CJ204" s="364"/>
      <c r="CK204" s="364"/>
      <c r="CL204" s="364"/>
      <c r="CM204" s="364"/>
      <c r="CN204" s="364"/>
      <c r="CO204" s="364"/>
      <c r="CP204" s="364"/>
      <c r="CQ204" s="364"/>
      <c r="CR204" s="364"/>
      <c r="CS204" s="364"/>
      <c r="CT204" s="364"/>
      <c r="CU204" s="364"/>
      <c r="CV204" s="364"/>
      <c r="CW204" s="364"/>
      <c r="CX204" s="364"/>
      <c r="CY204" s="364"/>
      <c r="CZ204" s="364"/>
      <c r="DA204" s="364"/>
      <c r="DB204" s="364"/>
      <c r="DC204" s="364"/>
      <c r="DD204" s="364"/>
      <c r="DE204" s="364"/>
      <c r="DF204" s="364"/>
      <c r="DG204" s="364"/>
      <c r="DH204" s="364"/>
      <c r="DI204" s="364"/>
      <c r="DJ204" s="364"/>
      <c r="DK204" s="364"/>
      <c r="DL204" s="364"/>
      <c r="DM204" s="364"/>
      <c r="DN204" s="364"/>
      <c r="DO204" s="364"/>
      <c r="DP204" s="364"/>
      <c r="DQ204" s="364"/>
      <c r="DR204" s="364"/>
      <c r="DS204" s="364"/>
      <c r="DT204" s="364"/>
      <c r="DU204" s="364"/>
      <c r="DV204" s="364"/>
      <c r="DW204" s="364"/>
      <c r="DX204" s="364"/>
      <c r="DY204" s="364"/>
      <c r="DZ204" s="364"/>
      <c r="EA204" s="364"/>
      <c r="EB204" s="364"/>
      <c r="EC204" s="364"/>
      <c r="ED204" s="364"/>
      <c r="EE204" s="364"/>
      <c r="EF204" s="364"/>
      <c r="EG204" s="364"/>
      <c r="EH204" s="364"/>
      <c r="EI204" s="364"/>
      <c r="EJ204" s="364"/>
      <c r="EK204" s="364"/>
      <c r="EL204" s="364"/>
      <c r="EM204" s="364"/>
      <c r="EN204" s="364"/>
      <c r="EO204" s="364"/>
      <c r="EP204" s="364"/>
      <c r="EQ204" s="364"/>
      <c r="ER204" s="364"/>
      <c r="ES204" s="364"/>
      <c r="ET204" s="364"/>
      <c r="EU204" s="364"/>
      <c r="EV204" s="364"/>
      <c r="EW204" s="364"/>
      <c r="EX204" s="364"/>
      <c r="EY204" s="364"/>
      <c r="EZ204" s="364"/>
      <c r="FA204" s="364"/>
      <c r="FB204" s="364"/>
      <c r="FC204" s="364"/>
      <c r="FD204" s="364"/>
      <c r="FE204" s="364"/>
      <c r="FF204" s="364"/>
      <c r="FG204" s="364"/>
      <c r="FH204" s="364"/>
      <c r="FI204" s="364"/>
      <c r="FJ204" s="364"/>
      <c r="FK204" s="364"/>
    </row>
    <row r="205" customFormat="false" ht="15.75" hidden="false" customHeight="false" outlineLevel="0" collapsed="false">
      <c r="A205" s="364" t="n">
        <v>401</v>
      </c>
      <c r="B205" s="364" t="n">
        <f aca="false">COUNTA(D205:FK205)</f>
        <v>36</v>
      </c>
      <c r="C205" s="364" t="s">
        <v>1114</v>
      </c>
      <c r="D205" s="364" t="s">
        <v>2402</v>
      </c>
      <c r="E205" s="364" t="s">
        <v>2403</v>
      </c>
      <c r="F205" s="364" t="s">
        <v>2311</v>
      </c>
      <c r="G205" s="364" t="s">
        <v>2405</v>
      </c>
      <c r="H205" s="364" t="s">
        <v>2312</v>
      </c>
      <c r="I205" s="364" t="s">
        <v>2357</v>
      </c>
      <c r="J205" s="364" t="s">
        <v>2313</v>
      </c>
      <c r="K205" s="364" t="s">
        <v>2518</v>
      </c>
      <c r="L205" s="364" t="s">
        <v>2410</v>
      </c>
      <c r="M205" s="364" t="s">
        <v>2316</v>
      </c>
      <c r="N205" s="364" t="s">
        <v>2361</v>
      </c>
      <c r="O205" s="364" t="s">
        <v>2363</v>
      </c>
      <c r="P205" s="364" t="s">
        <v>2320</v>
      </c>
      <c r="Q205" s="364" t="s">
        <v>2324</v>
      </c>
      <c r="R205" s="364" t="s">
        <v>2328</v>
      </c>
      <c r="S205" s="364" t="s">
        <v>2414</v>
      </c>
      <c r="T205" s="364" t="s">
        <v>2329</v>
      </c>
      <c r="U205" s="364" t="s">
        <v>2415</v>
      </c>
      <c r="V205" s="364" t="s">
        <v>2417</v>
      </c>
      <c r="W205" s="364" t="s">
        <v>2506</v>
      </c>
      <c r="X205" s="364" t="s">
        <v>2381</v>
      </c>
      <c r="Y205" s="364" t="s">
        <v>2596</v>
      </c>
      <c r="Z205" s="261" t="s">
        <v>183</v>
      </c>
      <c r="AA205" s="364" t="s">
        <v>2337</v>
      </c>
      <c r="AB205" s="364" t="s">
        <v>2340</v>
      </c>
      <c r="AC205" s="364" t="s">
        <v>2421</v>
      </c>
      <c r="AD205" s="364" t="s">
        <v>2341</v>
      </c>
      <c r="AE205" s="364" t="s">
        <v>2344</v>
      </c>
      <c r="AF205" s="364" t="s">
        <v>2424</v>
      </c>
      <c r="AG205" s="364" t="s">
        <v>2398</v>
      </c>
      <c r="AH205" s="364" t="s">
        <v>2400</v>
      </c>
      <c r="AI205" s="364" t="s">
        <v>2425</v>
      </c>
      <c r="AJ205" s="364" t="s">
        <v>2426</v>
      </c>
      <c r="AK205" s="364" t="s">
        <v>2428</v>
      </c>
      <c r="AL205" s="364" t="s">
        <v>2429</v>
      </c>
      <c r="AM205" s="364" t="s">
        <v>2489</v>
      </c>
      <c r="AN205" s="364"/>
      <c r="AO205" s="364"/>
      <c r="AP205" s="364"/>
      <c r="AQ205" s="364"/>
      <c r="AR205" s="364"/>
      <c r="AS205" s="364"/>
      <c r="AT205" s="364"/>
      <c r="AU205" s="364"/>
      <c r="AV205" s="364"/>
      <c r="AW205" s="364"/>
      <c r="AX205" s="364"/>
      <c r="AY205" s="364"/>
      <c r="AZ205" s="364"/>
      <c r="BA205" s="364"/>
      <c r="BB205" s="364"/>
      <c r="BC205" s="364"/>
      <c r="BD205" s="364"/>
      <c r="BE205" s="364"/>
      <c r="BF205" s="364"/>
      <c r="BG205" s="364"/>
      <c r="BH205" s="364"/>
      <c r="BI205" s="364"/>
      <c r="BJ205" s="364"/>
      <c r="BK205" s="364"/>
      <c r="BL205" s="364"/>
      <c r="BM205" s="364"/>
      <c r="BN205" s="364"/>
      <c r="BO205" s="364"/>
      <c r="BP205" s="364"/>
      <c r="BQ205" s="364"/>
      <c r="BR205" s="364"/>
      <c r="BS205" s="364"/>
      <c r="BT205" s="364"/>
      <c r="BU205" s="364"/>
      <c r="BV205" s="364"/>
      <c r="BW205" s="364"/>
      <c r="BX205" s="364"/>
      <c r="BY205" s="364"/>
      <c r="BZ205" s="364"/>
      <c r="CA205" s="364"/>
      <c r="CB205" s="364"/>
      <c r="CC205" s="364"/>
      <c r="CD205" s="364"/>
      <c r="CE205" s="364"/>
      <c r="CF205" s="364"/>
      <c r="CG205" s="364"/>
      <c r="CH205" s="364"/>
      <c r="CI205" s="364"/>
      <c r="CJ205" s="364"/>
      <c r="CK205" s="364"/>
      <c r="CL205" s="364"/>
      <c r="CM205" s="364"/>
      <c r="CN205" s="364"/>
      <c r="CO205" s="364"/>
      <c r="CP205" s="364"/>
      <c r="CQ205" s="364"/>
      <c r="CR205" s="364"/>
      <c r="CS205" s="364"/>
      <c r="CT205" s="364"/>
      <c r="CU205" s="364"/>
      <c r="CV205" s="364"/>
      <c r="CW205" s="364"/>
      <c r="CX205" s="364"/>
      <c r="CY205" s="364"/>
      <c r="CZ205" s="364"/>
      <c r="DA205" s="364"/>
      <c r="DB205" s="364"/>
      <c r="DC205" s="364"/>
      <c r="DD205" s="364"/>
      <c r="DE205" s="364"/>
      <c r="DF205" s="364"/>
      <c r="DG205" s="364"/>
      <c r="DH205" s="364"/>
      <c r="DI205" s="364"/>
      <c r="DJ205" s="364"/>
      <c r="DK205" s="364"/>
      <c r="DL205" s="364"/>
      <c r="DM205" s="364"/>
      <c r="DN205" s="364"/>
      <c r="DO205" s="364"/>
      <c r="DP205" s="364"/>
      <c r="DQ205" s="364"/>
      <c r="DR205" s="364"/>
      <c r="DS205" s="364"/>
      <c r="DT205" s="364"/>
      <c r="DU205" s="364"/>
      <c r="DV205" s="364"/>
      <c r="DW205" s="364"/>
      <c r="DX205" s="364"/>
      <c r="DY205" s="364"/>
      <c r="DZ205" s="364"/>
      <c r="EA205" s="364"/>
      <c r="EB205" s="364"/>
      <c r="EC205" s="364"/>
      <c r="ED205" s="364"/>
      <c r="EE205" s="364"/>
      <c r="EF205" s="364"/>
      <c r="EG205" s="364"/>
      <c r="EH205" s="364"/>
      <c r="EI205" s="364"/>
      <c r="EJ205" s="364"/>
      <c r="EK205" s="364"/>
      <c r="EL205" s="364"/>
      <c r="EM205" s="364"/>
      <c r="EN205" s="364"/>
      <c r="EO205" s="364"/>
      <c r="EP205" s="364"/>
      <c r="EQ205" s="364"/>
      <c r="ER205" s="364"/>
      <c r="ES205" s="364"/>
      <c r="ET205" s="364"/>
      <c r="EU205" s="364"/>
      <c r="EV205" s="364"/>
      <c r="EW205" s="364"/>
      <c r="EX205" s="364"/>
      <c r="EY205" s="364"/>
      <c r="EZ205" s="364"/>
      <c r="FA205" s="364"/>
      <c r="FB205" s="364"/>
      <c r="FC205" s="364"/>
      <c r="FD205" s="364"/>
      <c r="FE205" s="364"/>
      <c r="FF205" s="364"/>
      <c r="FG205" s="364"/>
      <c r="FH205" s="364"/>
      <c r="FI205" s="364"/>
      <c r="FJ205" s="364"/>
      <c r="FK205" s="364"/>
    </row>
    <row r="206" customFormat="false" ht="15.75" hidden="false" customHeight="false" outlineLevel="0" collapsed="false">
      <c r="A206" s="364" t="n">
        <v>402</v>
      </c>
      <c r="B206" s="364" t="n">
        <f aca="false">COUNTA(D206:FK206)</f>
        <v>39</v>
      </c>
      <c r="C206" s="364" t="s">
        <v>1116</v>
      </c>
      <c r="D206" s="364" t="s">
        <v>2403</v>
      </c>
      <c r="E206" s="364" t="s">
        <v>2405</v>
      </c>
      <c r="F206" s="364" t="s">
        <v>2312</v>
      </c>
      <c r="G206" s="364" t="s">
        <v>2618</v>
      </c>
      <c r="H206" s="364" t="s">
        <v>2316</v>
      </c>
      <c r="I206" s="364" t="s">
        <v>2365</v>
      </c>
      <c r="J206" s="364" t="s">
        <v>2319</v>
      </c>
      <c r="K206" s="364" t="s">
        <v>2320</v>
      </c>
      <c r="L206" s="364" t="s">
        <v>2366</v>
      </c>
      <c r="M206" s="364" t="s">
        <v>2373</v>
      </c>
      <c r="N206" s="364" t="s">
        <v>2550</v>
      </c>
      <c r="O206" s="364" t="s">
        <v>2327</v>
      </c>
      <c r="P206" s="364" t="s">
        <v>2560</v>
      </c>
      <c r="Q206" s="364" t="s">
        <v>2328</v>
      </c>
      <c r="R206" s="364" t="s">
        <v>2459</v>
      </c>
      <c r="S206" s="364" t="s">
        <v>2414</v>
      </c>
      <c r="T206" s="364" t="s">
        <v>2415</v>
      </c>
      <c r="U206" s="364" t="s">
        <v>2417</v>
      </c>
      <c r="V206" s="364" t="s">
        <v>2379</v>
      </c>
      <c r="W206" s="364" t="s">
        <v>2468</v>
      </c>
      <c r="X206" s="364" t="s">
        <v>2385</v>
      </c>
      <c r="Y206" s="364" t="s">
        <v>2626</v>
      </c>
      <c r="Z206" s="364" t="s">
        <v>2337</v>
      </c>
      <c r="AA206" s="364" t="s">
        <v>2469</v>
      </c>
      <c r="AB206" s="364" t="s">
        <v>2340</v>
      </c>
      <c r="AC206" s="364" t="s">
        <v>2421</v>
      </c>
      <c r="AD206" s="364" t="s">
        <v>2341</v>
      </c>
      <c r="AE206" s="364" t="s">
        <v>2442</v>
      </c>
      <c r="AF206" s="364" t="s">
        <v>2470</v>
      </c>
      <c r="AG206" s="364" t="s">
        <v>2344</v>
      </c>
      <c r="AH206" s="364" t="s">
        <v>2345</v>
      </c>
      <c r="AI206" s="364" t="s">
        <v>2398</v>
      </c>
      <c r="AJ206" s="364" t="s">
        <v>2348</v>
      </c>
      <c r="AK206" s="364" t="s">
        <v>2445</v>
      </c>
      <c r="AL206" s="364" t="s">
        <v>2475</v>
      </c>
      <c r="AM206" s="364" t="s">
        <v>2476</v>
      </c>
      <c r="AN206" s="364" t="s">
        <v>2426</v>
      </c>
      <c r="AO206" s="364" t="s">
        <v>2428</v>
      </c>
      <c r="AP206" s="364" t="s">
        <v>2650</v>
      </c>
      <c r="AQ206" s="364"/>
      <c r="AR206" s="364"/>
      <c r="AS206" s="364"/>
      <c r="AT206" s="364"/>
      <c r="AU206" s="364"/>
      <c r="AV206" s="364"/>
      <c r="AW206" s="364"/>
      <c r="AX206" s="364"/>
      <c r="AY206" s="364"/>
      <c r="AZ206" s="364"/>
      <c r="BA206" s="364"/>
      <c r="BB206" s="364"/>
      <c r="BC206" s="364"/>
      <c r="BD206" s="364"/>
      <c r="BE206" s="364"/>
      <c r="BF206" s="364"/>
      <c r="BG206" s="364"/>
      <c r="BH206" s="364"/>
      <c r="BI206" s="364"/>
      <c r="BJ206" s="364"/>
      <c r="BK206" s="364"/>
      <c r="BL206" s="364"/>
      <c r="BM206" s="364"/>
      <c r="BN206" s="364"/>
      <c r="BO206" s="364"/>
      <c r="BP206" s="364"/>
      <c r="BQ206" s="364"/>
      <c r="BR206" s="364"/>
      <c r="BS206" s="364"/>
      <c r="BT206" s="364"/>
      <c r="BU206" s="364"/>
      <c r="BV206" s="364"/>
      <c r="BW206" s="364"/>
      <c r="BX206" s="364"/>
      <c r="BY206" s="364"/>
      <c r="BZ206" s="364"/>
      <c r="CA206" s="364"/>
      <c r="CB206" s="364"/>
      <c r="CC206" s="364"/>
      <c r="CD206" s="364"/>
      <c r="CE206" s="364"/>
      <c r="CF206" s="364"/>
      <c r="CG206" s="364"/>
      <c r="CH206" s="364"/>
      <c r="CI206" s="364"/>
      <c r="CJ206" s="364"/>
      <c r="CK206" s="364"/>
      <c r="CL206" s="364"/>
      <c r="CM206" s="364"/>
      <c r="CN206" s="364"/>
      <c r="CO206" s="364"/>
      <c r="CP206" s="364"/>
      <c r="CQ206" s="364"/>
      <c r="CR206" s="364"/>
      <c r="CS206" s="364"/>
      <c r="CT206" s="364"/>
      <c r="CU206" s="364"/>
      <c r="CV206" s="364"/>
      <c r="CW206" s="364"/>
      <c r="CX206" s="364"/>
      <c r="CY206" s="364"/>
      <c r="CZ206" s="364"/>
      <c r="DA206" s="364"/>
      <c r="DB206" s="364"/>
      <c r="DC206" s="364"/>
      <c r="DD206" s="364"/>
      <c r="DE206" s="364"/>
      <c r="DF206" s="364"/>
      <c r="DG206" s="364"/>
      <c r="DH206" s="364"/>
      <c r="DI206" s="364"/>
      <c r="DJ206" s="364"/>
      <c r="DK206" s="364"/>
      <c r="DL206" s="364"/>
      <c r="DM206" s="364"/>
      <c r="DN206" s="364"/>
      <c r="DO206" s="364"/>
      <c r="DP206" s="364"/>
      <c r="DQ206" s="364"/>
      <c r="DR206" s="364"/>
      <c r="DS206" s="364"/>
      <c r="DT206" s="364"/>
      <c r="DU206" s="364"/>
      <c r="DV206" s="364"/>
      <c r="DW206" s="364"/>
      <c r="DX206" s="364"/>
      <c r="DY206" s="364"/>
      <c r="DZ206" s="364"/>
      <c r="EA206" s="364"/>
      <c r="EB206" s="364"/>
      <c r="EC206" s="364"/>
      <c r="ED206" s="364"/>
      <c r="EE206" s="364"/>
      <c r="EF206" s="364"/>
      <c r="EG206" s="364"/>
      <c r="EH206" s="364"/>
      <c r="EI206" s="364"/>
      <c r="EJ206" s="364"/>
      <c r="EK206" s="364"/>
      <c r="EL206" s="364"/>
      <c r="EM206" s="364"/>
      <c r="EN206" s="364"/>
      <c r="EO206" s="364"/>
      <c r="EP206" s="364"/>
      <c r="EQ206" s="364"/>
      <c r="ER206" s="364"/>
      <c r="ES206" s="364"/>
      <c r="ET206" s="364"/>
      <c r="EU206" s="364"/>
      <c r="EV206" s="364"/>
      <c r="EW206" s="364"/>
      <c r="EX206" s="364"/>
      <c r="EY206" s="364"/>
      <c r="EZ206" s="364"/>
      <c r="FA206" s="364"/>
      <c r="FB206" s="364"/>
      <c r="FC206" s="364"/>
      <c r="FD206" s="364"/>
      <c r="FE206" s="364"/>
      <c r="FF206" s="364"/>
      <c r="FG206" s="364"/>
      <c r="FH206" s="364"/>
      <c r="FI206" s="364"/>
      <c r="FJ206" s="364"/>
      <c r="FK206" s="364"/>
    </row>
    <row r="207" customFormat="false" ht="15.75" hidden="false" customHeight="false" outlineLevel="0" collapsed="false">
      <c r="A207" s="364" t="n">
        <v>406</v>
      </c>
      <c r="B207" s="364" t="n">
        <f aca="false">COUNTA(D207:FK207)</f>
        <v>70</v>
      </c>
      <c r="C207" s="364" t="s">
        <v>1127</v>
      </c>
      <c r="D207" s="364" t="s">
        <v>2352</v>
      </c>
      <c r="E207" s="364" t="s">
        <v>2561</v>
      </c>
      <c r="F207" s="364" t="s">
        <v>2402</v>
      </c>
      <c r="G207" s="364" t="s">
        <v>2528</v>
      </c>
      <c r="H207" s="364" t="s">
        <v>2311</v>
      </c>
      <c r="I207" s="364" t="s">
        <v>2405</v>
      </c>
      <c r="J207" s="364" t="s">
        <v>2312</v>
      </c>
      <c r="K207" s="364" t="s">
        <v>2356</v>
      </c>
      <c r="L207" s="364" t="s">
        <v>2464</v>
      </c>
      <c r="M207" s="364" t="s">
        <v>138</v>
      </c>
      <c r="N207" s="364" t="s">
        <v>2315</v>
      </c>
      <c r="O207" s="364" t="s">
        <v>2358</v>
      </c>
      <c r="P207" s="364" t="s">
        <v>2621</v>
      </c>
      <c r="Q207" s="364" t="s">
        <v>2316</v>
      </c>
      <c r="R207" s="364" t="s">
        <v>2520</v>
      </c>
      <c r="S207" s="364" t="s">
        <v>2364</v>
      </c>
      <c r="T207" s="364" t="s">
        <v>2320</v>
      </c>
      <c r="U207" s="364" t="s">
        <v>2533</v>
      </c>
      <c r="V207" s="364" t="s">
        <v>2534</v>
      </c>
      <c r="W207" s="364" t="s">
        <v>2535</v>
      </c>
      <c r="X207" s="364" t="s">
        <v>2366</v>
      </c>
      <c r="Y207" s="364" t="s">
        <v>2369</v>
      </c>
      <c r="Z207" s="364" t="s">
        <v>2373</v>
      </c>
      <c r="AA207" s="364" t="s">
        <v>2377</v>
      </c>
      <c r="AB207" s="364" t="s">
        <v>2523</v>
      </c>
      <c r="AC207" s="364" t="s">
        <v>2322</v>
      </c>
      <c r="AD207" s="364" t="s">
        <v>2498</v>
      </c>
      <c r="AE207" s="364" t="s">
        <v>2325</v>
      </c>
      <c r="AF207" s="364" t="s">
        <v>2327</v>
      </c>
      <c r="AG207" s="364" t="s">
        <v>2328</v>
      </c>
      <c r="AH207" s="364" t="s">
        <v>2415</v>
      </c>
      <c r="AI207" s="364" t="s">
        <v>2416</v>
      </c>
      <c r="AJ207" s="364" t="s">
        <v>2417</v>
      </c>
      <c r="AK207" s="364" t="s">
        <v>2379</v>
      </c>
      <c r="AL207" s="364" t="s">
        <v>2381</v>
      </c>
      <c r="AM207" s="364" t="s">
        <v>2330</v>
      </c>
      <c r="AN207" s="364" t="s">
        <v>2468</v>
      </c>
      <c r="AO207" s="364" t="s">
        <v>2588</v>
      </c>
      <c r="AP207" s="364" t="s">
        <v>2539</v>
      </c>
      <c r="AQ207" s="364" t="s">
        <v>2382</v>
      </c>
      <c r="AR207" s="364" t="s">
        <v>2383</v>
      </c>
      <c r="AS207" s="261" t="s">
        <v>183</v>
      </c>
      <c r="AT207" s="364" t="s">
        <v>2387</v>
      </c>
      <c r="AU207" s="364" t="s">
        <v>2439</v>
      </c>
      <c r="AV207" s="364" t="s">
        <v>2337</v>
      </c>
      <c r="AW207" s="364" t="s">
        <v>2469</v>
      </c>
      <c r="AX207" s="364" t="s">
        <v>2388</v>
      </c>
      <c r="AY207" s="364" t="s">
        <v>2339</v>
      </c>
      <c r="AZ207" s="364" t="s">
        <v>2389</v>
      </c>
      <c r="BA207" s="364" t="s">
        <v>2420</v>
      </c>
      <c r="BB207" s="364" t="s">
        <v>2340</v>
      </c>
      <c r="BC207" s="364" t="s">
        <v>2390</v>
      </c>
      <c r="BD207" s="364" t="s">
        <v>2341</v>
      </c>
      <c r="BE207" s="364" t="s">
        <v>2391</v>
      </c>
      <c r="BF207" s="364" t="s">
        <v>2442</v>
      </c>
      <c r="BG207" s="364" t="s">
        <v>2392</v>
      </c>
      <c r="BH207" s="364" t="s">
        <v>2639</v>
      </c>
      <c r="BI207" s="364" t="s">
        <v>2470</v>
      </c>
      <c r="BJ207" s="364" t="s">
        <v>2395</v>
      </c>
      <c r="BK207" s="364" t="s">
        <v>2344</v>
      </c>
      <c r="BL207" s="364" t="s">
        <v>2345</v>
      </c>
      <c r="BM207" s="364" t="s">
        <v>2347</v>
      </c>
      <c r="BN207" s="364" t="s">
        <v>2473</v>
      </c>
      <c r="BO207" s="364" t="s">
        <v>2398</v>
      </c>
      <c r="BP207" s="364" t="s">
        <v>2592</v>
      </c>
      <c r="BQ207" s="364" t="s">
        <v>2445</v>
      </c>
      <c r="BR207" s="364" t="s">
        <v>2475</v>
      </c>
      <c r="BS207" s="364" t="s">
        <v>2476</v>
      </c>
      <c r="BT207" s="364" t="s">
        <v>2399</v>
      </c>
      <c r="BU207" s="364" t="s">
        <v>2428</v>
      </c>
      <c r="BV207" s="364"/>
      <c r="BW207" s="364"/>
      <c r="BX207" s="364"/>
      <c r="BY207" s="364"/>
      <c r="BZ207" s="364"/>
      <c r="CA207" s="364"/>
      <c r="CB207" s="364"/>
      <c r="CC207" s="364"/>
      <c r="CD207" s="364"/>
      <c r="CE207" s="364"/>
      <c r="CF207" s="364"/>
      <c r="CG207" s="364"/>
      <c r="CH207" s="364"/>
      <c r="CI207" s="364"/>
      <c r="CJ207" s="364"/>
      <c r="CK207" s="364"/>
      <c r="CL207" s="364"/>
      <c r="CM207" s="364"/>
      <c r="CN207" s="364"/>
      <c r="CO207" s="364"/>
      <c r="CP207" s="364"/>
      <c r="CQ207" s="364"/>
      <c r="CR207" s="364"/>
      <c r="CS207" s="364"/>
      <c r="CT207" s="364"/>
      <c r="CU207" s="364"/>
      <c r="CV207" s="364"/>
      <c r="CW207" s="364"/>
      <c r="CX207" s="364"/>
      <c r="CY207" s="364"/>
      <c r="CZ207" s="364"/>
      <c r="DA207" s="364"/>
      <c r="DB207" s="364"/>
      <c r="DC207" s="364"/>
      <c r="DD207" s="364"/>
      <c r="DE207" s="364"/>
      <c r="DF207" s="364"/>
      <c r="DG207" s="364"/>
      <c r="DH207" s="364"/>
      <c r="DI207" s="364"/>
      <c r="DJ207" s="364"/>
      <c r="DK207" s="364"/>
      <c r="DL207" s="364"/>
      <c r="DM207" s="364"/>
      <c r="DN207" s="364"/>
      <c r="DO207" s="364"/>
      <c r="DP207" s="364"/>
      <c r="DQ207" s="364"/>
      <c r="DR207" s="364"/>
      <c r="DS207" s="364"/>
      <c r="DT207" s="364"/>
      <c r="DU207" s="364"/>
      <c r="DV207" s="364"/>
      <c r="DW207" s="364"/>
      <c r="DX207" s="364"/>
      <c r="DY207" s="364"/>
      <c r="DZ207" s="364"/>
      <c r="EA207" s="364"/>
      <c r="EB207" s="364"/>
      <c r="EC207" s="364"/>
      <c r="ED207" s="364"/>
      <c r="EE207" s="364"/>
      <c r="EF207" s="364"/>
      <c r="EG207" s="364"/>
      <c r="EH207" s="364"/>
      <c r="EI207" s="364"/>
      <c r="EJ207" s="364"/>
      <c r="EK207" s="364"/>
      <c r="EL207" s="364"/>
      <c r="EM207" s="364"/>
      <c r="EN207" s="364"/>
      <c r="EO207" s="364"/>
      <c r="EP207" s="364"/>
      <c r="EQ207" s="364"/>
      <c r="ER207" s="364"/>
      <c r="ES207" s="364"/>
      <c r="ET207" s="364"/>
      <c r="EU207" s="364"/>
      <c r="EV207" s="364"/>
      <c r="EW207" s="364"/>
      <c r="EX207" s="364"/>
      <c r="EY207" s="364"/>
      <c r="EZ207" s="364"/>
      <c r="FA207" s="364"/>
      <c r="FB207" s="364"/>
      <c r="FC207" s="364"/>
      <c r="FD207" s="364"/>
      <c r="FE207" s="364"/>
      <c r="FF207" s="364"/>
      <c r="FG207" s="364"/>
      <c r="FH207" s="364"/>
      <c r="FI207" s="364"/>
      <c r="FJ207" s="364"/>
      <c r="FK207" s="364"/>
    </row>
    <row r="208" customFormat="false" ht="15.75" hidden="false" customHeight="false" outlineLevel="0" collapsed="false">
      <c r="A208" s="364" t="n">
        <v>408</v>
      </c>
      <c r="B208" s="364" t="n">
        <f aca="false">COUNTA(D208:FK208)</f>
        <v>37</v>
      </c>
      <c r="C208" s="364" t="s">
        <v>1131</v>
      </c>
      <c r="D208" s="364" t="s">
        <v>2312</v>
      </c>
      <c r="E208" s="364" t="s">
        <v>2464</v>
      </c>
      <c r="F208" s="364" t="s">
        <v>2409</v>
      </c>
      <c r="G208" s="364" t="s">
        <v>2517</v>
      </c>
      <c r="H208" s="364" t="s">
        <v>2316</v>
      </c>
      <c r="I208" s="364" t="s">
        <v>2435</v>
      </c>
      <c r="J208" s="364" t="s">
        <v>2320</v>
      </c>
      <c r="K208" s="364" t="s">
        <v>2535</v>
      </c>
      <c r="L208" s="364" t="s">
        <v>2523</v>
      </c>
      <c r="M208" s="364" t="s">
        <v>2324</v>
      </c>
      <c r="N208" s="364" t="s">
        <v>2484</v>
      </c>
      <c r="O208" s="364" t="s">
        <v>2327</v>
      </c>
      <c r="P208" s="364" t="s">
        <v>2560</v>
      </c>
      <c r="Q208" s="364" t="s">
        <v>2328</v>
      </c>
      <c r="R208" s="364" t="s">
        <v>2329</v>
      </c>
      <c r="S208" s="364" t="s">
        <v>2417</v>
      </c>
      <c r="T208" s="364" t="s">
        <v>2438</v>
      </c>
      <c r="U208" s="364" t="s">
        <v>2330</v>
      </c>
      <c r="V208" s="261" t="s">
        <v>183</v>
      </c>
      <c r="W208" s="364" t="s">
        <v>2589</v>
      </c>
      <c r="X208" s="364" t="s">
        <v>2385</v>
      </c>
      <c r="Y208" s="364" t="s">
        <v>2452</v>
      </c>
      <c r="Z208" s="364" t="s">
        <v>2656</v>
      </c>
      <c r="AA208" s="364" t="s">
        <v>157</v>
      </c>
      <c r="AB208" s="364" t="s">
        <v>2337</v>
      </c>
      <c r="AC208" s="364" t="s">
        <v>2340</v>
      </c>
      <c r="AD208" s="364" t="s">
        <v>2341</v>
      </c>
      <c r="AE208" s="364" t="s">
        <v>2442</v>
      </c>
      <c r="AF208" s="364" t="s">
        <v>2392</v>
      </c>
      <c r="AG208" s="364" t="s">
        <v>2639</v>
      </c>
      <c r="AH208" s="364" t="s">
        <v>2470</v>
      </c>
      <c r="AI208" s="364" t="s">
        <v>2344</v>
      </c>
      <c r="AJ208" s="364" t="s">
        <v>2473</v>
      </c>
      <c r="AK208" s="364" t="s">
        <v>2445</v>
      </c>
      <c r="AL208" s="364" t="s">
        <v>2456</v>
      </c>
      <c r="AM208" s="364" t="s">
        <v>2475</v>
      </c>
      <c r="AN208" s="364" t="s">
        <v>2476</v>
      </c>
      <c r="AO208" s="364"/>
      <c r="AP208" s="364"/>
      <c r="AQ208" s="364"/>
      <c r="AR208" s="364"/>
      <c r="AS208" s="364"/>
      <c r="AT208" s="364"/>
      <c r="AU208" s="364"/>
      <c r="AV208" s="364"/>
      <c r="AW208" s="364"/>
      <c r="AX208" s="364"/>
      <c r="AY208" s="364"/>
      <c r="AZ208" s="364"/>
      <c r="BA208" s="364"/>
      <c r="BB208" s="364"/>
      <c r="BC208" s="364"/>
      <c r="BD208" s="364"/>
      <c r="BE208" s="364"/>
      <c r="BF208" s="364"/>
      <c r="BG208" s="364"/>
      <c r="BH208" s="364"/>
      <c r="BI208" s="364"/>
      <c r="BJ208" s="364"/>
      <c r="BK208" s="364"/>
      <c r="BL208" s="364"/>
      <c r="BM208" s="364"/>
      <c r="BN208" s="364"/>
      <c r="BO208" s="364"/>
      <c r="BP208" s="364"/>
      <c r="BQ208" s="364"/>
      <c r="BR208" s="364"/>
      <c r="BS208" s="364"/>
      <c r="BT208" s="364"/>
      <c r="BU208" s="364"/>
      <c r="BV208" s="364"/>
      <c r="BW208" s="364"/>
      <c r="BX208" s="364"/>
      <c r="BY208" s="364"/>
      <c r="BZ208" s="364"/>
      <c r="CA208" s="364"/>
      <c r="CB208" s="364"/>
      <c r="CC208" s="364"/>
      <c r="CD208" s="364"/>
      <c r="CE208" s="364"/>
      <c r="CF208" s="364"/>
      <c r="CG208" s="364"/>
      <c r="CH208" s="364"/>
      <c r="CI208" s="364"/>
      <c r="CJ208" s="364"/>
      <c r="CK208" s="364"/>
      <c r="CL208" s="364"/>
      <c r="CM208" s="364"/>
      <c r="CN208" s="364"/>
      <c r="CO208" s="364"/>
      <c r="CP208" s="364"/>
      <c r="CQ208" s="364"/>
      <c r="CR208" s="364"/>
      <c r="CS208" s="364"/>
      <c r="CT208" s="364"/>
      <c r="CU208" s="364"/>
      <c r="CV208" s="364"/>
      <c r="CW208" s="364"/>
      <c r="CX208" s="364"/>
      <c r="CY208" s="364"/>
      <c r="CZ208" s="364"/>
      <c r="DA208" s="364"/>
      <c r="DB208" s="364"/>
      <c r="DC208" s="364"/>
      <c r="DD208" s="364"/>
      <c r="DE208" s="364"/>
      <c r="DF208" s="364"/>
      <c r="DG208" s="364"/>
      <c r="DH208" s="364"/>
      <c r="DI208" s="364"/>
      <c r="DJ208" s="364"/>
      <c r="DK208" s="364"/>
      <c r="DL208" s="364"/>
      <c r="DM208" s="364"/>
      <c r="DN208" s="364"/>
      <c r="DO208" s="364"/>
      <c r="DP208" s="364"/>
      <c r="DQ208" s="364"/>
      <c r="DR208" s="364"/>
      <c r="DS208" s="364"/>
      <c r="DT208" s="364"/>
      <c r="DU208" s="364"/>
      <c r="DV208" s="364"/>
      <c r="DW208" s="364"/>
      <c r="DX208" s="364"/>
      <c r="DY208" s="364"/>
      <c r="DZ208" s="364"/>
      <c r="EA208" s="364"/>
      <c r="EB208" s="364"/>
      <c r="EC208" s="364"/>
      <c r="ED208" s="364"/>
      <c r="EE208" s="364"/>
      <c r="EF208" s="364"/>
      <c r="EG208" s="364"/>
      <c r="EH208" s="364"/>
      <c r="EI208" s="364"/>
      <c r="EJ208" s="364"/>
      <c r="EK208" s="364"/>
      <c r="EL208" s="364"/>
      <c r="EM208" s="364"/>
      <c r="EN208" s="364"/>
      <c r="EO208" s="364"/>
      <c r="EP208" s="364"/>
      <c r="EQ208" s="364"/>
      <c r="ER208" s="364"/>
      <c r="ES208" s="364"/>
      <c r="ET208" s="364"/>
      <c r="EU208" s="364"/>
      <c r="EV208" s="364"/>
      <c r="EW208" s="364"/>
      <c r="EX208" s="364"/>
      <c r="EY208" s="364"/>
      <c r="EZ208" s="364"/>
      <c r="FA208" s="364"/>
      <c r="FB208" s="364"/>
      <c r="FC208" s="364"/>
      <c r="FD208" s="364"/>
      <c r="FE208" s="364"/>
      <c r="FF208" s="364"/>
      <c r="FG208" s="364"/>
      <c r="FH208" s="364"/>
      <c r="FI208" s="364"/>
      <c r="FJ208" s="364"/>
      <c r="FK208" s="364"/>
    </row>
    <row r="209" customFormat="false" ht="15.75" hidden="false" customHeight="false" outlineLevel="0" collapsed="false">
      <c r="A209" s="364" t="n">
        <v>411</v>
      </c>
      <c r="B209" s="364" t="n">
        <f aca="false">COUNTA(D209:FK209)</f>
        <v>50</v>
      </c>
      <c r="C209" s="364" t="s">
        <v>1138</v>
      </c>
      <c r="D209" s="364" t="s">
        <v>2528</v>
      </c>
      <c r="E209" s="364" t="s">
        <v>2311</v>
      </c>
      <c r="F209" s="364" t="s">
        <v>2405</v>
      </c>
      <c r="G209" s="364" t="s">
        <v>2312</v>
      </c>
      <c r="H209" s="364" t="s">
        <v>2356</v>
      </c>
      <c r="I209" s="364" t="s">
        <v>2313</v>
      </c>
      <c r="J209" s="364" t="s">
        <v>2464</v>
      </c>
      <c r="K209" s="364" t="s">
        <v>138</v>
      </c>
      <c r="L209" s="364" t="s">
        <v>2409</v>
      </c>
      <c r="M209" s="364" t="s">
        <v>2316</v>
      </c>
      <c r="N209" s="364" t="s">
        <v>2435</v>
      </c>
      <c r="O209" s="364" t="s">
        <v>2364</v>
      </c>
      <c r="P209" s="364" t="s">
        <v>2317</v>
      </c>
      <c r="Q209" s="364" t="s">
        <v>2320</v>
      </c>
      <c r="R209" s="364" t="s">
        <v>2369</v>
      </c>
      <c r="S209" s="364" t="s">
        <v>2377</v>
      </c>
      <c r="T209" s="364" t="s">
        <v>2550</v>
      </c>
      <c r="U209" s="364" t="s">
        <v>2324</v>
      </c>
      <c r="V209" s="364" t="s">
        <v>2327</v>
      </c>
      <c r="W209" s="364" t="s">
        <v>2560</v>
      </c>
      <c r="X209" s="364" t="s">
        <v>2328</v>
      </c>
      <c r="Y209" s="364" t="s">
        <v>2329</v>
      </c>
      <c r="Z209" s="364" t="s">
        <v>2415</v>
      </c>
      <c r="AA209" s="364" t="s">
        <v>2416</v>
      </c>
      <c r="AB209" s="364" t="s">
        <v>2417</v>
      </c>
      <c r="AC209" s="364" t="s">
        <v>2438</v>
      </c>
      <c r="AD209" s="364" t="s">
        <v>2382</v>
      </c>
      <c r="AE209" s="364" t="s">
        <v>2383</v>
      </c>
      <c r="AF209" s="261" t="s">
        <v>183</v>
      </c>
      <c r="AG209" s="364" t="s">
        <v>2589</v>
      </c>
      <c r="AH209" s="364" t="s">
        <v>2385</v>
      </c>
      <c r="AI209" s="364" t="s">
        <v>2452</v>
      </c>
      <c r="AJ209" s="364" t="s">
        <v>2387</v>
      </c>
      <c r="AK209" s="364" t="s">
        <v>157</v>
      </c>
      <c r="AL209" s="364" t="s">
        <v>2455</v>
      </c>
      <c r="AM209" s="364" t="s">
        <v>2337</v>
      </c>
      <c r="AN209" s="364" t="s">
        <v>2388</v>
      </c>
      <c r="AO209" s="364" t="s">
        <v>2339</v>
      </c>
      <c r="AP209" s="364" t="s">
        <v>2389</v>
      </c>
      <c r="AQ209" s="364" t="s">
        <v>2340</v>
      </c>
      <c r="AR209" s="364" t="s">
        <v>2341</v>
      </c>
      <c r="AS209" s="364" t="s">
        <v>2391</v>
      </c>
      <c r="AT209" s="364" t="s">
        <v>2442</v>
      </c>
      <c r="AU209" s="364" t="s">
        <v>2590</v>
      </c>
      <c r="AV209" s="364" t="s">
        <v>2639</v>
      </c>
      <c r="AW209" s="364" t="s">
        <v>2344</v>
      </c>
      <c r="AX209" s="364" t="s">
        <v>2347</v>
      </c>
      <c r="AY209" s="364" t="s">
        <v>2473</v>
      </c>
      <c r="AZ209" s="364" t="s">
        <v>2445</v>
      </c>
      <c r="BA209" s="364" t="s">
        <v>2399</v>
      </c>
      <c r="BB209" s="364"/>
      <c r="BC209" s="364"/>
      <c r="BD209" s="364"/>
      <c r="BE209" s="364"/>
      <c r="BF209" s="364"/>
      <c r="BG209" s="364"/>
      <c r="BH209" s="364"/>
      <c r="BI209" s="364"/>
      <c r="BJ209" s="364"/>
      <c r="BK209" s="364"/>
      <c r="BL209" s="364"/>
      <c r="BM209" s="364"/>
      <c r="BN209" s="364"/>
      <c r="BO209" s="364"/>
      <c r="BP209" s="364"/>
      <c r="BQ209" s="364"/>
      <c r="BR209" s="364"/>
      <c r="BS209" s="364"/>
      <c r="BT209" s="364"/>
      <c r="BU209" s="364"/>
      <c r="BV209" s="364"/>
      <c r="BW209" s="364"/>
      <c r="BX209" s="364"/>
      <c r="BY209" s="364"/>
      <c r="BZ209" s="364"/>
      <c r="CA209" s="364"/>
      <c r="CB209" s="364"/>
      <c r="CC209" s="364"/>
      <c r="CD209" s="364"/>
      <c r="CE209" s="364"/>
      <c r="CF209" s="364"/>
      <c r="CG209" s="364"/>
      <c r="CH209" s="364"/>
      <c r="CI209" s="364"/>
      <c r="CJ209" s="364"/>
      <c r="CK209" s="364"/>
      <c r="CL209" s="364"/>
      <c r="CM209" s="364"/>
      <c r="CN209" s="364"/>
      <c r="CO209" s="364"/>
      <c r="CP209" s="364"/>
      <c r="CQ209" s="364"/>
      <c r="CR209" s="364"/>
      <c r="CS209" s="364"/>
      <c r="CT209" s="364"/>
      <c r="CU209" s="364"/>
      <c r="CV209" s="364"/>
      <c r="CW209" s="364"/>
      <c r="CX209" s="364"/>
      <c r="CY209" s="364"/>
      <c r="CZ209" s="364"/>
      <c r="DA209" s="364"/>
      <c r="DB209" s="364"/>
      <c r="DC209" s="364"/>
      <c r="DD209" s="364"/>
      <c r="DE209" s="364"/>
      <c r="DF209" s="364"/>
      <c r="DG209" s="364"/>
      <c r="DH209" s="364"/>
      <c r="DI209" s="364"/>
      <c r="DJ209" s="364"/>
      <c r="DK209" s="364"/>
      <c r="DL209" s="364"/>
      <c r="DM209" s="364"/>
      <c r="DN209" s="364"/>
      <c r="DO209" s="364"/>
      <c r="DP209" s="364"/>
      <c r="DQ209" s="364"/>
      <c r="DR209" s="364"/>
      <c r="DS209" s="364"/>
      <c r="DT209" s="364"/>
      <c r="DU209" s="364"/>
      <c r="DV209" s="364"/>
      <c r="DW209" s="364"/>
      <c r="DX209" s="364"/>
      <c r="DY209" s="364"/>
      <c r="DZ209" s="364"/>
      <c r="EA209" s="364"/>
      <c r="EB209" s="364"/>
      <c r="EC209" s="364"/>
      <c r="ED209" s="364"/>
      <c r="EE209" s="364"/>
      <c r="EF209" s="364"/>
      <c r="EG209" s="364"/>
      <c r="EH209" s="364"/>
      <c r="EI209" s="364"/>
      <c r="EJ209" s="364"/>
      <c r="EK209" s="364"/>
      <c r="EL209" s="364"/>
      <c r="EM209" s="364"/>
      <c r="EN209" s="364"/>
      <c r="EO209" s="364"/>
      <c r="EP209" s="364"/>
      <c r="EQ209" s="364"/>
      <c r="ER209" s="364"/>
      <c r="ES209" s="364"/>
      <c r="ET209" s="364"/>
      <c r="EU209" s="364"/>
      <c r="EV209" s="364"/>
      <c r="EW209" s="364"/>
      <c r="EX209" s="364"/>
      <c r="EY209" s="364"/>
      <c r="EZ209" s="364"/>
      <c r="FA209" s="364"/>
      <c r="FB209" s="364"/>
      <c r="FC209" s="364"/>
      <c r="FD209" s="364"/>
      <c r="FE209" s="364"/>
      <c r="FF209" s="364"/>
      <c r="FG209" s="364"/>
      <c r="FH209" s="364"/>
      <c r="FI209" s="364"/>
      <c r="FJ209" s="364"/>
      <c r="FK209" s="364"/>
    </row>
    <row r="210" customFormat="false" ht="15.75" hidden="false" customHeight="false" outlineLevel="0" collapsed="false">
      <c r="A210" s="364" t="n">
        <v>412</v>
      </c>
      <c r="B210" s="364" t="n">
        <f aca="false">COUNTA(D210:FK210)</f>
        <v>46</v>
      </c>
      <c r="C210" s="364" t="s">
        <v>1140</v>
      </c>
      <c r="D210" s="364" t="s">
        <v>2352</v>
      </c>
      <c r="E210" s="364" t="s">
        <v>2353</v>
      </c>
      <c r="F210" s="364" t="s">
        <v>2354</v>
      </c>
      <c r="G210" s="364" t="s">
        <v>2312</v>
      </c>
      <c r="H210" s="364" t="s">
        <v>2357</v>
      </c>
      <c r="I210" s="364" t="s">
        <v>2313</v>
      </c>
      <c r="J210" s="364" t="s">
        <v>2314</v>
      </c>
      <c r="K210" s="364" t="s">
        <v>2315</v>
      </c>
      <c r="L210" s="364" t="s">
        <v>2316</v>
      </c>
      <c r="M210" s="364" t="s">
        <v>2602</v>
      </c>
      <c r="N210" s="364" t="s">
        <v>2361</v>
      </c>
      <c r="O210" s="364" t="s">
        <v>2317</v>
      </c>
      <c r="P210" s="364" t="s">
        <v>2319</v>
      </c>
      <c r="Q210" s="364" t="s">
        <v>2320</v>
      </c>
      <c r="R210" s="364" t="s">
        <v>2375</v>
      </c>
      <c r="S210" s="364" t="s">
        <v>2322</v>
      </c>
      <c r="T210" s="364" t="s">
        <v>2323</v>
      </c>
      <c r="U210" s="364" t="s">
        <v>2324</v>
      </c>
      <c r="V210" s="364" t="s">
        <v>2325</v>
      </c>
      <c r="W210" s="364" t="s">
        <v>2437</v>
      </c>
      <c r="X210" s="364" t="s">
        <v>2327</v>
      </c>
      <c r="Y210" s="364" t="s">
        <v>2328</v>
      </c>
      <c r="Z210" s="364" t="s">
        <v>2329</v>
      </c>
      <c r="AA210" s="364" t="s">
        <v>2556</v>
      </c>
      <c r="AB210" s="364" t="s">
        <v>2557</v>
      </c>
      <c r="AC210" s="364" t="s">
        <v>2558</v>
      </c>
      <c r="AD210" s="364" t="s">
        <v>2623</v>
      </c>
      <c r="AE210" s="261" t="s">
        <v>183</v>
      </c>
      <c r="AF210" s="364" t="s">
        <v>2385</v>
      </c>
      <c r="AG210" s="364" t="s">
        <v>2332</v>
      </c>
      <c r="AH210" s="364" t="s">
        <v>2336</v>
      </c>
      <c r="AI210" s="364" t="s">
        <v>2441</v>
      </c>
      <c r="AJ210" s="364" t="s">
        <v>2337</v>
      </c>
      <c r="AK210" s="364" t="s">
        <v>2339</v>
      </c>
      <c r="AL210" s="364" t="s">
        <v>2340</v>
      </c>
      <c r="AM210" s="364" t="s">
        <v>2341</v>
      </c>
      <c r="AN210" s="364" t="s">
        <v>2342</v>
      </c>
      <c r="AO210" s="364" t="s">
        <v>2443</v>
      </c>
      <c r="AP210" s="364" t="s">
        <v>2591</v>
      </c>
      <c r="AQ210" s="364" t="s">
        <v>2344</v>
      </c>
      <c r="AR210" s="364" t="s">
        <v>2345</v>
      </c>
      <c r="AS210" s="364" t="s">
        <v>2396</v>
      </c>
      <c r="AT210" s="364" t="s">
        <v>2571</v>
      </c>
      <c r="AU210" s="364" t="s">
        <v>2346</v>
      </c>
      <c r="AV210" s="364" t="s">
        <v>2347</v>
      </c>
      <c r="AW210" s="364" t="s">
        <v>2400</v>
      </c>
      <c r="AX210" s="364"/>
      <c r="AY210" s="364"/>
      <c r="AZ210" s="364"/>
      <c r="BA210" s="364"/>
      <c r="BB210" s="364"/>
      <c r="BC210" s="364"/>
      <c r="BD210" s="364"/>
      <c r="BE210" s="364"/>
      <c r="BF210" s="364"/>
      <c r="BG210" s="364"/>
      <c r="BH210" s="364"/>
      <c r="BI210" s="364"/>
      <c r="BJ210" s="364"/>
      <c r="BK210" s="364"/>
      <c r="BL210" s="364"/>
      <c r="BM210" s="364"/>
      <c r="BN210" s="364"/>
      <c r="BO210" s="364"/>
      <c r="BP210" s="364"/>
      <c r="BQ210" s="364"/>
      <c r="BR210" s="364"/>
      <c r="BS210" s="364"/>
      <c r="BT210" s="364"/>
      <c r="BU210" s="364"/>
      <c r="BV210" s="364"/>
      <c r="BW210" s="364"/>
      <c r="BX210" s="364"/>
      <c r="BY210" s="364"/>
      <c r="BZ210" s="364"/>
      <c r="CA210" s="364"/>
      <c r="CB210" s="364"/>
      <c r="CC210" s="364"/>
      <c r="CD210" s="364"/>
      <c r="CE210" s="364"/>
      <c r="CF210" s="364"/>
      <c r="CG210" s="364"/>
      <c r="CH210" s="364"/>
      <c r="CI210" s="364"/>
      <c r="CJ210" s="364"/>
      <c r="CK210" s="364"/>
      <c r="CL210" s="364"/>
      <c r="CM210" s="364"/>
      <c r="CN210" s="364"/>
      <c r="CO210" s="364"/>
      <c r="CP210" s="364"/>
      <c r="CQ210" s="364"/>
      <c r="CR210" s="364"/>
      <c r="CS210" s="364"/>
      <c r="CT210" s="364"/>
      <c r="CU210" s="364"/>
      <c r="CV210" s="364"/>
      <c r="CW210" s="364"/>
      <c r="CX210" s="364"/>
      <c r="CY210" s="364"/>
      <c r="CZ210" s="364"/>
      <c r="DA210" s="364"/>
      <c r="DB210" s="364"/>
      <c r="DC210" s="364"/>
      <c r="DD210" s="364"/>
      <c r="DE210" s="364"/>
      <c r="DF210" s="364"/>
      <c r="DG210" s="364"/>
      <c r="DH210" s="364"/>
      <c r="DI210" s="364"/>
      <c r="DJ210" s="364"/>
      <c r="DK210" s="364"/>
      <c r="DL210" s="364"/>
      <c r="DM210" s="364"/>
      <c r="DN210" s="364"/>
      <c r="DO210" s="364"/>
      <c r="DP210" s="364"/>
      <c r="DQ210" s="364"/>
      <c r="DR210" s="364"/>
      <c r="DS210" s="364"/>
      <c r="DT210" s="364"/>
      <c r="DU210" s="364"/>
      <c r="DV210" s="364"/>
      <c r="DW210" s="364"/>
      <c r="DX210" s="364"/>
      <c r="DY210" s="364"/>
      <c r="DZ210" s="364"/>
      <c r="EA210" s="364"/>
      <c r="EB210" s="364"/>
      <c r="EC210" s="364"/>
      <c r="ED210" s="364"/>
      <c r="EE210" s="364"/>
      <c r="EF210" s="364"/>
      <c r="EG210" s="364"/>
      <c r="EH210" s="364"/>
      <c r="EI210" s="364"/>
      <c r="EJ210" s="364"/>
      <c r="EK210" s="364"/>
      <c r="EL210" s="364"/>
      <c r="EM210" s="364"/>
      <c r="EN210" s="364"/>
      <c r="EO210" s="364"/>
      <c r="EP210" s="364"/>
      <c r="EQ210" s="364"/>
      <c r="ER210" s="364"/>
      <c r="ES210" s="364"/>
      <c r="ET210" s="364"/>
      <c r="EU210" s="364"/>
      <c r="EV210" s="364"/>
      <c r="EW210" s="364"/>
      <c r="EX210" s="364"/>
      <c r="EY210" s="364"/>
      <c r="EZ210" s="364"/>
      <c r="FA210" s="364"/>
      <c r="FB210" s="364"/>
      <c r="FC210" s="364"/>
      <c r="FD210" s="364"/>
      <c r="FE210" s="364"/>
      <c r="FF210" s="364"/>
      <c r="FG210" s="364"/>
      <c r="FH210" s="364"/>
      <c r="FI210" s="364"/>
      <c r="FJ210" s="364"/>
      <c r="FK210" s="364"/>
    </row>
    <row r="211" customFormat="false" ht="15.75" hidden="false" customHeight="false" outlineLevel="0" collapsed="false">
      <c r="A211" s="364" t="n">
        <v>413</v>
      </c>
      <c r="B211" s="364" t="n">
        <f aca="false">COUNTA(D211:FK211)</f>
        <v>36</v>
      </c>
      <c r="C211" s="364" t="s">
        <v>1143</v>
      </c>
      <c r="D211" s="364" t="s">
        <v>2528</v>
      </c>
      <c r="E211" s="364" t="s">
        <v>2311</v>
      </c>
      <c r="F211" s="364" t="s">
        <v>2464</v>
      </c>
      <c r="G211" s="364" t="s">
        <v>2434</v>
      </c>
      <c r="H211" s="364" t="s">
        <v>2517</v>
      </c>
      <c r="I211" s="364" t="s">
        <v>2316</v>
      </c>
      <c r="J211" s="364" t="s">
        <v>2435</v>
      </c>
      <c r="K211" s="364" t="s">
        <v>2318</v>
      </c>
      <c r="L211" s="364" t="s">
        <v>2319</v>
      </c>
      <c r="M211" s="364" t="s">
        <v>2632</v>
      </c>
      <c r="N211" s="364" t="s">
        <v>2320</v>
      </c>
      <c r="O211" s="364" t="s">
        <v>2550</v>
      </c>
      <c r="P211" s="364" t="s">
        <v>2325</v>
      </c>
      <c r="Q211" s="364" t="s">
        <v>2328</v>
      </c>
      <c r="R211" s="364" t="s">
        <v>2521</v>
      </c>
      <c r="S211" s="364" t="s">
        <v>2417</v>
      </c>
      <c r="T211" s="364" t="s">
        <v>2330</v>
      </c>
      <c r="U211" s="364" t="s">
        <v>2468</v>
      </c>
      <c r="V211" s="364" t="s">
        <v>157</v>
      </c>
      <c r="W211" s="364" t="s">
        <v>2495</v>
      </c>
      <c r="X211" s="364" t="s">
        <v>2440</v>
      </c>
      <c r="Y211" s="364" t="s">
        <v>2337</v>
      </c>
      <c r="Z211" s="364" t="s">
        <v>2420</v>
      </c>
      <c r="AA211" s="364" t="s">
        <v>2340</v>
      </c>
      <c r="AB211" s="364" t="s">
        <v>2341</v>
      </c>
      <c r="AC211" s="364" t="s">
        <v>2442</v>
      </c>
      <c r="AD211" s="364" t="s">
        <v>2470</v>
      </c>
      <c r="AE211" s="364" t="s">
        <v>2422</v>
      </c>
      <c r="AF211" s="364" t="s">
        <v>2344</v>
      </c>
      <c r="AG211" s="364" t="s">
        <v>2641</v>
      </c>
      <c r="AH211" s="364" t="s">
        <v>2592</v>
      </c>
      <c r="AI211" s="364" t="s">
        <v>2349</v>
      </c>
      <c r="AJ211" s="364" t="s">
        <v>2463</v>
      </c>
      <c r="AK211" s="364" t="s">
        <v>2489</v>
      </c>
      <c r="AL211" s="364" t="s">
        <v>2572</v>
      </c>
      <c r="AM211" s="364" t="s">
        <v>2430</v>
      </c>
      <c r="AN211" s="364"/>
      <c r="AO211" s="364"/>
      <c r="AP211" s="364"/>
      <c r="AQ211" s="364"/>
      <c r="AR211" s="364"/>
      <c r="AS211" s="364"/>
      <c r="AT211" s="364"/>
      <c r="AU211" s="364"/>
      <c r="AV211" s="364"/>
      <c r="AW211" s="364"/>
      <c r="AX211" s="364"/>
      <c r="AY211" s="364"/>
      <c r="AZ211" s="364"/>
      <c r="BA211" s="364"/>
      <c r="BB211" s="364"/>
      <c r="BC211" s="364"/>
      <c r="BD211" s="364"/>
      <c r="BE211" s="364"/>
      <c r="BF211" s="364"/>
      <c r="BG211" s="364"/>
      <c r="BH211" s="364"/>
      <c r="BI211" s="364"/>
      <c r="BJ211" s="364"/>
      <c r="BK211" s="364"/>
      <c r="BL211" s="364"/>
      <c r="BM211" s="364"/>
      <c r="BN211" s="364"/>
      <c r="BO211" s="364"/>
      <c r="BP211" s="364"/>
      <c r="BQ211" s="364"/>
      <c r="BR211" s="364"/>
      <c r="BS211" s="364"/>
      <c r="BT211" s="364"/>
      <c r="BU211" s="364"/>
      <c r="BV211" s="364"/>
      <c r="BW211" s="364"/>
      <c r="BX211" s="364"/>
      <c r="BY211" s="364"/>
      <c r="BZ211" s="364"/>
      <c r="CA211" s="364"/>
      <c r="CB211" s="364"/>
      <c r="CC211" s="364"/>
      <c r="CD211" s="364"/>
      <c r="CE211" s="364"/>
      <c r="CF211" s="364"/>
      <c r="CG211" s="364"/>
      <c r="CH211" s="364"/>
      <c r="CI211" s="364"/>
      <c r="CJ211" s="364"/>
      <c r="CK211" s="364"/>
      <c r="CL211" s="364"/>
      <c r="CM211" s="364"/>
      <c r="CN211" s="364"/>
      <c r="CO211" s="364"/>
      <c r="CP211" s="364"/>
      <c r="CQ211" s="364"/>
      <c r="CR211" s="364"/>
      <c r="CS211" s="364"/>
      <c r="CT211" s="364"/>
      <c r="CU211" s="364"/>
      <c r="CV211" s="364"/>
      <c r="CW211" s="364"/>
      <c r="CX211" s="364"/>
      <c r="CY211" s="364"/>
      <c r="CZ211" s="364"/>
      <c r="DA211" s="364"/>
      <c r="DB211" s="364"/>
      <c r="DC211" s="364"/>
      <c r="DD211" s="364"/>
      <c r="DE211" s="364"/>
      <c r="DF211" s="364"/>
      <c r="DG211" s="364"/>
      <c r="DH211" s="364"/>
      <c r="DI211" s="364"/>
      <c r="DJ211" s="364"/>
      <c r="DK211" s="364"/>
      <c r="DL211" s="364"/>
      <c r="DM211" s="364"/>
      <c r="DN211" s="364"/>
      <c r="DO211" s="364"/>
      <c r="DP211" s="364"/>
      <c r="DQ211" s="364"/>
      <c r="DR211" s="364"/>
      <c r="DS211" s="364"/>
      <c r="DT211" s="364"/>
      <c r="DU211" s="364"/>
      <c r="DV211" s="364"/>
      <c r="DW211" s="364"/>
      <c r="DX211" s="364"/>
      <c r="DY211" s="364"/>
      <c r="DZ211" s="364"/>
      <c r="EA211" s="364"/>
      <c r="EB211" s="364"/>
      <c r="EC211" s="364"/>
      <c r="ED211" s="364"/>
      <c r="EE211" s="364"/>
      <c r="EF211" s="364"/>
      <c r="EG211" s="364"/>
      <c r="EH211" s="364"/>
      <c r="EI211" s="364"/>
      <c r="EJ211" s="364"/>
      <c r="EK211" s="364"/>
      <c r="EL211" s="364"/>
      <c r="EM211" s="364"/>
      <c r="EN211" s="364"/>
      <c r="EO211" s="364"/>
      <c r="EP211" s="364"/>
      <c r="EQ211" s="364"/>
      <c r="ER211" s="364"/>
      <c r="ES211" s="364"/>
      <c r="ET211" s="364"/>
      <c r="EU211" s="364"/>
      <c r="EV211" s="364"/>
      <c r="EW211" s="364"/>
      <c r="EX211" s="364"/>
      <c r="EY211" s="364"/>
      <c r="EZ211" s="364"/>
      <c r="FA211" s="364"/>
      <c r="FB211" s="364"/>
      <c r="FC211" s="364"/>
      <c r="FD211" s="364"/>
      <c r="FE211" s="364"/>
      <c r="FF211" s="364"/>
      <c r="FG211" s="364"/>
      <c r="FH211" s="364"/>
      <c r="FI211" s="364"/>
      <c r="FJ211" s="364"/>
      <c r="FK211" s="364"/>
    </row>
    <row r="212" customFormat="false" ht="15.75" hidden="false" customHeight="false" outlineLevel="0" collapsed="false">
      <c r="A212" s="364" t="n">
        <v>414</v>
      </c>
      <c r="B212" s="364" t="n">
        <f aca="false">COUNTA(D212:FK212)</f>
        <v>68</v>
      </c>
      <c r="C212" s="364" t="s">
        <v>1145</v>
      </c>
      <c r="D212" s="364" t="s">
        <v>2352</v>
      </c>
      <c r="E212" s="364" t="s">
        <v>2447</v>
      </c>
      <c r="F212" s="364" t="s">
        <v>2404</v>
      </c>
      <c r="G212" s="364" t="s">
        <v>2405</v>
      </c>
      <c r="H212" s="364" t="s">
        <v>2312</v>
      </c>
      <c r="I212" s="364" t="s">
        <v>2516</v>
      </c>
      <c r="J212" s="364" t="s">
        <v>2357</v>
      </c>
      <c r="K212" s="364" t="s">
        <v>2464</v>
      </c>
      <c r="L212" s="364" t="s">
        <v>138</v>
      </c>
      <c r="M212" s="364" t="s">
        <v>2315</v>
      </c>
      <c r="N212" s="364" t="s">
        <v>2409</v>
      </c>
      <c r="O212" s="364" t="s">
        <v>2316</v>
      </c>
      <c r="P212" s="364" t="s">
        <v>2435</v>
      </c>
      <c r="Q212" s="364" t="s">
        <v>2318</v>
      </c>
      <c r="R212" s="364" t="s">
        <v>2320</v>
      </c>
      <c r="S212" s="364" t="s">
        <v>2449</v>
      </c>
      <c r="T212" s="364" t="s">
        <v>2534</v>
      </c>
      <c r="U212" s="364" t="s">
        <v>2535</v>
      </c>
      <c r="V212" s="364" t="s">
        <v>2366</v>
      </c>
      <c r="W212" s="364" t="s">
        <v>2373</v>
      </c>
      <c r="X212" s="364" t="s">
        <v>2523</v>
      </c>
      <c r="Y212" s="364" t="s">
        <v>2322</v>
      </c>
      <c r="Z212" s="364" t="s">
        <v>2550</v>
      </c>
      <c r="AA212" s="364" t="s">
        <v>2324</v>
      </c>
      <c r="AB212" s="364" t="s">
        <v>2327</v>
      </c>
      <c r="AC212" s="364" t="s">
        <v>2560</v>
      </c>
      <c r="AD212" s="364" t="s">
        <v>2328</v>
      </c>
      <c r="AE212" s="364" t="s">
        <v>2329</v>
      </c>
      <c r="AF212" s="364" t="s">
        <v>2415</v>
      </c>
      <c r="AG212" s="364" t="s">
        <v>2417</v>
      </c>
      <c r="AH212" s="364" t="s">
        <v>2379</v>
      </c>
      <c r="AI212" s="364" t="s">
        <v>2381</v>
      </c>
      <c r="AJ212" s="364" t="s">
        <v>2330</v>
      </c>
      <c r="AK212" s="364" t="s">
        <v>2513</v>
      </c>
      <c r="AL212" s="261" t="s">
        <v>183</v>
      </c>
      <c r="AM212" s="364" t="s">
        <v>2531</v>
      </c>
      <c r="AN212" s="364" t="s">
        <v>2452</v>
      </c>
      <c r="AO212" s="364" t="s">
        <v>2526</v>
      </c>
      <c r="AP212" s="364" t="s">
        <v>2551</v>
      </c>
      <c r="AQ212" s="364" t="s">
        <v>2455</v>
      </c>
      <c r="AR212" s="364" t="s">
        <v>2461</v>
      </c>
      <c r="AS212" s="364" t="s">
        <v>2441</v>
      </c>
      <c r="AT212" s="364" t="s">
        <v>2337</v>
      </c>
      <c r="AU212" s="364" t="s">
        <v>2469</v>
      </c>
      <c r="AV212" s="364" t="s">
        <v>2388</v>
      </c>
      <c r="AW212" s="364" t="s">
        <v>2339</v>
      </c>
      <c r="AX212" s="364" t="s">
        <v>2389</v>
      </c>
      <c r="AY212" s="364" t="s">
        <v>2340</v>
      </c>
      <c r="AZ212" s="364" t="s">
        <v>2390</v>
      </c>
      <c r="BA212" s="364" t="s">
        <v>2341</v>
      </c>
      <c r="BB212" s="364" t="s">
        <v>2442</v>
      </c>
      <c r="BC212" s="364" t="s">
        <v>2392</v>
      </c>
      <c r="BD212" s="364" t="s">
        <v>2470</v>
      </c>
      <c r="BE212" s="364" t="s">
        <v>2395</v>
      </c>
      <c r="BF212" s="364" t="s">
        <v>2472</v>
      </c>
      <c r="BG212" s="364" t="s">
        <v>2344</v>
      </c>
      <c r="BH212" s="364" t="s">
        <v>2500</v>
      </c>
      <c r="BI212" s="364" t="s">
        <v>2347</v>
      </c>
      <c r="BJ212" s="364" t="s">
        <v>2473</v>
      </c>
      <c r="BK212" s="364" t="s">
        <v>2511</v>
      </c>
      <c r="BL212" s="364" t="s">
        <v>2398</v>
      </c>
      <c r="BM212" s="364" t="s">
        <v>2445</v>
      </c>
      <c r="BN212" s="364" t="s">
        <v>2456</v>
      </c>
      <c r="BO212" s="364" t="s">
        <v>2475</v>
      </c>
      <c r="BP212" s="364" t="s">
        <v>2476</v>
      </c>
      <c r="BQ212" s="364" t="s">
        <v>2428</v>
      </c>
      <c r="BR212" s="364" t="s">
        <v>2458</v>
      </c>
      <c r="BS212" s="364" t="s">
        <v>2430</v>
      </c>
      <c r="BT212" s="364"/>
      <c r="BU212" s="364"/>
      <c r="BV212" s="364"/>
      <c r="BW212" s="364"/>
      <c r="BX212" s="364"/>
      <c r="BY212" s="364"/>
      <c r="BZ212" s="364"/>
      <c r="CA212" s="364"/>
      <c r="CB212" s="364"/>
      <c r="CC212" s="364"/>
      <c r="CD212" s="364"/>
      <c r="CE212" s="364"/>
      <c r="CF212" s="364"/>
      <c r="CG212" s="364"/>
      <c r="CH212" s="364"/>
      <c r="CI212" s="364"/>
      <c r="CJ212" s="364"/>
      <c r="CK212" s="364"/>
      <c r="CL212" s="364"/>
      <c r="CM212" s="364"/>
      <c r="CN212" s="364"/>
      <c r="CO212" s="364"/>
      <c r="CP212" s="364"/>
      <c r="CQ212" s="364"/>
      <c r="CR212" s="364"/>
      <c r="CS212" s="364"/>
      <c r="CT212" s="364"/>
      <c r="CU212" s="364"/>
      <c r="CV212" s="364"/>
      <c r="CW212" s="364"/>
      <c r="CX212" s="364"/>
      <c r="CY212" s="364"/>
      <c r="CZ212" s="364"/>
      <c r="DA212" s="364"/>
      <c r="DB212" s="364"/>
      <c r="DC212" s="364"/>
      <c r="DD212" s="364"/>
      <c r="DE212" s="364"/>
      <c r="DF212" s="364"/>
      <c r="DG212" s="364"/>
      <c r="DH212" s="364"/>
      <c r="DI212" s="364"/>
      <c r="DJ212" s="364"/>
      <c r="DK212" s="364"/>
      <c r="DL212" s="364"/>
      <c r="DM212" s="364"/>
      <c r="DN212" s="364"/>
      <c r="DO212" s="364"/>
      <c r="DP212" s="364"/>
      <c r="DQ212" s="364"/>
      <c r="DR212" s="364"/>
      <c r="DS212" s="364"/>
      <c r="DT212" s="364"/>
      <c r="DU212" s="364"/>
      <c r="DV212" s="364"/>
      <c r="DW212" s="364"/>
      <c r="DX212" s="364"/>
      <c r="DY212" s="364"/>
      <c r="DZ212" s="364"/>
      <c r="EA212" s="364"/>
      <c r="EB212" s="364"/>
      <c r="EC212" s="364"/>
      <c r="ED212" s="364"/>
      <c r="EE212" s="364"/>
      <c r="EF212" s="364"/>
      <c r="EG212" s="364"/>
      <c r="EH212" s="364"/>
      <c r="EI212" s="364"/>
      <c r="EJ212" s="364"/>
      <c r="EK212" s="364"/>
      <c r="EL212" s="364"/>
      <c r="EM212" s="364"/>
      <c r="EN212" s="364"/>
      <c r="EO212" s="364"/>
      <c r="EP212" s="364"/>
      <c r="EQ212" s="364"/>
      <c r="ER212" s="364"/>
      <c r="ES212" s="364"/>
      <c r="ET212" s="364"/>
      <c r="EU212" s="364"/>
      <c r="EV212" s="364"/>
      <c r="EW212" s="364"/>
      <c r="EX212" s="364"/>
      <c r="EY212" s="364"/>
      <c r="EZ212" s="364"/>
      <c r="FA212" s="364"/>
      <c r="FB212" s="364"/>
      <c r="FC212" s="364"/>
      <c r="FD212" s="364"/>
      <c r="FE212" s="364"/>
      <c r="FF212" s="364"/>
      <c r="FG212" s="364"/>
      <c r="FH212" s="364"/>
      <c r="FI212" s="364"/>
      <c r="FJ212" s="364"/>
      <c r="FK212" s="364"/>
    </row>
    <row r="213" customFormat="false" ht="15.75" hidden="false" customHeight="false" outlineLevel="0" collapsed="false">
      <c r="A213" s="364" t="n">
        <v>418</v>
      </c>
      <c r="B213" s="364" t="n">
        <f aca="false">COUNTA(D213:FK213)</f>
        <v>35</v>
      </c>
      <c r="C213" s="364" t="s">
        <v>1153</v>
      </c>
      <c r="D213" s="364" t="s">
        <v>2403</v>
      </c>
      <c r="E213" s="364" t="s">
        <v>2404</v>
      </c>
      <c r="F213" s="364" t="s">
        <v>2405</v>
      </c>
      <c r="G213" s="364" t="s">
        <v>2312</v>
      </c>
      <c r="H213" s="364" t="s">
        <v>2313</v>
      </c>
      <c r="I213" s="364" t="s">
        <v>2466</v>
      </c>
      <c r="J213" s="364" t="s">
        <v>2409</v>
      </c>
      <c r="K213" s="364" t="s">
        <v>2316</v>
      </c>
      <c r="L213" s="364" t="s">
        <v>2317</v>
      </c>
      <c r="M213" s="364" t="s">
        <v>2562</v>
      </c>
      <c r="N213" s="364" t="s">
        <v>2320</v>
      </c>
      <c r="O213" s="364" t="s">
        <v>2629</v>
      </c>
      <c r="P213" s="364" t="s">
        <v>2502</v>
      </c>
      <c r="Q213" s="364" t="s">
        <v>2324</v>
      </c>
      <c r="R213" s="364" t="s">
        <v>2412</v>
      </c>
      <c r="S213" s="364" t="s">
        <v>2327</v>
      </c>
      <c r="T213" s="364" t="s">
        <v>2328</v>
      </c>
      <c r="U213" s="364" t="s">
        <v>2329</v>
      </c>
      <c r="V213" s="364" t="s">
        <v>2415</v>
      </c>
      <c r="W213" s="364" t="s">
        <v>2485</v>
      </c>
      <c r="X213" s="364" t="s">
        <v>2525</v>
      </c>
      <c r="Y213" s="364" t="s">
        <v>2417</v>
      </c>
      <c r="Z213" s="364" t="s">
        <v>2506</v>
      </c>
      <c r="AA213" s="364" t="s">
        <v>2452</v>
      </c>
      <c r="AB213" s="364" t="s">
        <v>2626</v>
      </c>
      <c r="AC213" s="364" t="s">
        <v>2337</v>
      </c>
      <c r="AD213" s="364" t="s">
        <v>2420</v>
      </c>
      <c r="AE213" s="364" t="s">
        <v>2340</v>
      </c>
      <c r="AF213" s="364" t="s">
        <v>2341</v>
      </c>
      <c r="AG213" s="364" t="s">
        <v>2566</v>
      </c>
      <c r="AH213" s="364" t="s">
        <v>2442</v>
      </c>
      <c r="AI213" s="364" t="s">
        <v>2422</v>
      </c>
      <c r="AJ213" s="364" t="s">
        <v>2344</v>
      </c>
      <c r="AK213" s="364" t="s">
        <v>2474</v>
      </c>
      <c r="AL213" s="364" t="s">
        <v>2428</v>
      </c>
      <c r="AM213" s="364"/>
      <c r="AN213" s="364"/>
      <c r="AO213" s="364"/>
      <c r="AP213" s="364"/>
      <c r="AQ213" s="364"/>
      <c r="AR213" s="364"/>
      <c r="AS213" s="364"/>
      <c r="AT213" s="364"/>
      <c r="AU213" s="364"/>
      <c r="AV213" s="364"/>
      <c r="AW213" s="364"/>
      <c r="AX213" s="364"/>
      <c r="AY213" s="364"/>
      <c r="AZ213" s="364"/>
      <c r="BA213" s="364"/>
      <c r="BB213" s="364"/>
      <c r="BC213" s="364"/>
      <c r="BD213" s="364"/>
      <c r="BE213" s="364"/>
      <c r="BF213" s="364"/>
      <c r="BG213" s="364"/>
      <c r="BH213" s="364"/>
      <c r="BI213" s="364"/>
      <c r="BJ213" s="364"/>
      <c r="BK213" s="364"/>
      <c r="BL213" s="364"/>
      <c r="BM213" s="364"/>
      <c r="BN213" s="364"/>
      <c r="BO213" s="364"/>
      <c r="BP213" s="364"/>
      <c r="BQ213" s="364"/>
      <c r="BR213" s="364"/>
      <c r="BS213" s="364"/>
      <c r="BT213" s="364"/>
      <c r="BU213" s="364"/>
      <c r="BV213" s="364"/>
      <c r="BW213" s="364"/>
      <c r="BX213" s="364"/>
      <c r="BY213" s="364"/>
      <c r="BZ213" s="364"/>
      <c r="CA213" s="364"/>
      <c r="CB213" s="364"/>
      <c r="CC213" s="364"/>
      <c r="CD213" s="364"/>
      <c r="CE213" s="364"/>
      <c r="CF213" s="364"/>
      <c r="CG213" s="364"/>
      <c r="CH213" s="364"/>
      <c r="CI213" s="364"/>
      <c r="CJ213" s="364"/>
      <c r="CK213" s="364"/>
      <c r="CL213" s="364"/>
      <c r="CM213" s="364"/>
      <c r="CN213" s="364"/>
      <c r="CO213" s="364"/>
      <c r="CP213" s="364"/>
      <c r="CQ213" s="364"/>
      <c r="CR213" s="364"/>
      <c r="CS213" s="364"/>
      <c r="CT213" s="364"/>
      <c r="CU213" s="364"/>
      <c r="CV213" s="364"/>
      <c r="CW213" s="364"/>
      <c r="CX213" s="364"/>
      <c r="CY213" s="364"/>
      <c r="CZ213" s="364"/>
      <c r="DA213" s="364"/>
      <c r="DB213" s="364"/>
      <c r="DC213" s="364"/>
      <c r="DD213" s="364"/>
      <c r="DE213" s="364"/>
      <c r="DF213" s="364"/>
      <c r="DG213" s="364"/>
      <c r="DH213" s="364"/>
      <c r="DI213" s="364"/>
      <c r="DJ213" s="364"/>
      <c r="DK213" s="364"/>
      <c r="DL213" s="364"/>
      <c r="DM213" s="364"/>
      <c r="DN213" s="364"/>
      <c r="DO213" s="364"/>
      <c r="DP213" s="364"/>
      <c r="DQ213" s="364"/>
      <c r="DR213" s="364"/>
      <c r="DS213" s="364"/>
      <c r="DT213" s="364"/>
      <c r="DU213" s="364"/>
      <c r="DV213" s="364"/>
      <c r="DW213" s="364"/>
      <c r="DX213" s="364"/>
      <c r="DY213" s="364"/>
      <c r="DZ213" s="364"/>
      <c r="EA213" s="364"/>
      <c r="EB213" s="364"/>
      <c r="EC213" s="364"/>
      <c r="ED213" s="364"/>
      <c r="EE213" s="364"/>
      <c r="EF213" s="364"/>
      <c r="EG213" s="364"/>
      <c r="EH213" s="364"/>
      <c r="EI213" s="364"/>
      <c r="EJ213" s="364"/>
      <c r="EK213" s="364"/>
      <c r="EL213" s="364"/>
      <c r="EM213" s="364"/>
      <c r="EN213" s="364"/>
      <c r="EO213" s="364"/>
      <c r="EP213" s="364"/>
      <c r="EQ213" s="364"/>
      <c r="ER213" s="364"/>
      <c r="ES213" s="364"/>
      <c r="ET213" s="364"/>
      <c r="EU213" s="364"/>
      <c r="EV213" s="364"/>
      <c r="EW213" s="364"/>
      <c r="EX213" s="364"/>
      <c r="EY213" s="364"/>
      <c r="EZ213" s="364"/>
      <c r="FA213" s="364"/>
      <c r="FB213" s="364"/>
      <c r="FC213" s="364"/>
      <c r="FD213" s="364"/>
      <c r="FE213" s="364"/>
      <c r="FF213" s="364"/>
      <c r="FG213" s="364"/>
      <c r="FH213" s="364"/>
      <c r="FI213" s="364"/>
      <c r="FJ213" s="364"/>
      <c r="FK213" s="364"/>
    </row>
    <row r="214" customFormat="false" ht="15.75" hidden="false" customHeight="false" outlineLevel="0" collapsed="false">
      <c r="A214" s="364" t="n">
        <v>422</v>
      </c>
      <c r="B214" s="364" t="n">
        <f aca="false">COUNTA(D214:FK214)</f>
        <v>44</v>
      </c>
      <c r="C214" s="364" t="s">
        <v>1162</v>
      </c>
      <c r="D214" s="364" t="s">
        <v>2402</v>
      </c>
      <c r="E214" s="364" t="s">
        <v>2581</v>
      </c>
      <c r="F214" s="364" t="s">
        <v>2403</v>
      </c>
      <c r="G214" s="364" t="s">
        <v>2405</v>
      </c>
      <c r="H214" s="364" t="s">
        <v>2312</v>
      </c>
      <c r="I214" s="364" t="s">
        <v>2406</v>
      </c>
      <c r="J214" s="364" t="s">
        <v>2313</v>
      </c>
      <c r="K214" s="364" t="s">
        <v>2466</v>
      </c>
      <c r="L214" s="364" t="s">
        <v>2410</v>
      </c>
      <c r="M214" s="364" t="s">
        <v>2316</v>
      </c>
      <c r="N214" s="364" t="s">
        <v>2317</v>
      </c>
      <c r="O214" s="364" t="s">
        <v>2318</v>
      </c>
      <c r="P214" s="364" t="s">
        <v>2320</v>
      </c>
      <c r="Q214" s="364" t="s">
        <v>2502</v>
      </c>
      <c r="R214" s="364" t="s">
        <v>2322</v>
      </c>
      <c r="S214" s="364" t="s">
        <v>2324</v>
      </c>
      <c r="T214" s="364" t="s">
        <v>2327</v>
      </c>
      <c r="U214" s="364" t="s">
        <v>2328</v>
      </c>
      <c r="V214" s="364" t="s">
        <v>2329</v>
      </c>
      <c r="W214" s="364" t="s">
        <v>2503</v>
      </c>
      <c r="X214" s="364" t="s">
        <v>2415</v>
      </c>
      <c r="Y214" s="364" t="s">
        <v>2485</v>
      </c>
      <c r="Z214" s="364" t="s">
        <v>2417</v>
      </c>
      <c r="AA214" s="364" t="s">
        <v>2506</v>
      </c>
      <c r="AB214" s="364" t="s">
        <v>2381</v>
      </c>
      <c r="AC214" s="261" t="s">
        <v>183</v>
      </c>
      <c r="AD214" s="364" t="s">
        <v>2626</v>
      </c>
      <c r="AE214" s="364" t="s">
        <v>2337</v>
      </c>
      <c r="AF214" s="364" t="s">
        <v>2388</v>
      </c>
      <c r="AG214" s="364" t="s">
        <v>2339</v>
      </c>
      <c r="AH214" s="364" t="s">
        <v>2389</v>
      </c>
      <c r="AI214" s="364" t="s">
        <v>2420</v>
      </c>
      <c r="AJ214" s="364" t="s">
        <v>2340</v>
      </c>
      <c r="AK214" s="364" t="s">
        <v>2341</v>
      </c>
      <c r="AL214" s="364" t="s">
        <v>2422</v>
      </c>
      <c r="AM214" s="364" t="s">
        <v>2344</v>
      </c>
      <c r="AN214" s="364" t="s">
        <v>2346</v>
      </c>
      <c r="AO214" s="364" t="s">
        <v>2347</v>
      </c>
      <c r="AP214" s="364" t="s">
        <v>2474</v>
      </c>
      <c r="AQ214" s="364" t="s">
        <v>2424</v>
      </c>
      <c r="AR214" s="364" t="s">
        <v>2425</v>
      </c>
      <c r="AS214" s="364" t="s">
        <v>2426</v>
      </c>
      <c r="AT214" s="364" t="s">
        <v>2428</v>
      </c>
      <c r="AU214" s="364" t="s">
        <v>2429</v>
      </c>
      <c r="AV214" s="364"/>
      <c r="AW214" s="364"/>
      <c r="AX214" s="364"/>
      <c r="AY214" s="364"/>
      <c r="AZ214" s="364"/>
      <c r="BA214" s="364"/>
      <c r="BB214" s="364"/>
      <c r="BC214" s="364"/>
      <c r="BD214" s="364"/>
      <c r="BE214" s="364"/>
      <c r="BF214" s="364"/>
      <c r="BG214" s="364"/>
      <c r="BH214" s="364"/>
      <c r="BI214" s="364"/>
      <c r="BJ214" s="364"/>
      <c r="BK214" s="364"/>
      <c r="BL214" s="364"/>
      <c r="BM214" s="364"/>
      <c r="BN214" s="364"/>
      <c r="BO214" s="364"/>
      <c r="BP214" s="364"/>
      <c r="BQ214" s="364"/>
      <c r="BR214" s="364"/>
      <c r="BS214" s="364"/>
      <c r="BT214" s="364"/>
      <c r="BU214" s="364"/>
      <c r="BV214" s="364"/>
      <c r="BW214" s="364"/>
      <c r="BX214" s="364"/>
      <c r="BY214" s="364"/>
      <c r="BZ214" s="364"/>
      <c r="CA214" s="364"/>
      <c r="CB214" s="364"/>
      <c r="CC214" s="364"/>
      <c r="CD214" s="364"/>
      <c r="CE214" s="364"/>
      <c r="CF214" s="364"/>
      <c r="CG214" s="364"/>
      <c r="CH214" s="364"/>
      <c r="CI214" s="364"/>
      <c r="CJ214" s="364"/>
      <c r="CK214" s="364"/>
      <c r="CL214" s="364"/>
      <c r="CM214" s="364"/>
      <c r="CN214" s="364"/>
      <c r="CO214" s="364"/>
      <c r="CP214" s="364"/>
      <c r="CQ214" s="364"/>
      <c r="CR214" s="364"/>
      <c r="CS214" s="364"/>
      <c r="CT214" s="364"/>
      <c r="CU214" s="364"/>
      <c r="CV214" s="364"/>
      <c r="CW214" s="364"/>
      <c r="CX214" s="364"/>
      <c r="CY214" s="364"/>
      <c r="CZ214" s="364"/>
      <c r="DA214" s="364"/>
      <c r="DB214" s="364"/>
      <c r="DC214" s="364"/>
      <c r="DD214" s="364"/>
      <c r="DE214" s="364"/>
      <c r="DF214" s="364"/>
      <c r="DG214" s="364"/>
      <c r="DH214" s="364"/>
      <c r="DI214" s="364"/>
      <c r="DJ214" s="364"/>
      <c r="DK214" s="364"/>
      <c r="DL214" s="364"/>
      <c r="DM214" s="364"/>
      <c r="DN214" s="364"/>
      <c r="DO214" s="364"/>
      <c r="DP214" s="364"/>
      <c r="DQ214" s="364"/>
      <c r="DR214" s="364"/>
      <c r="DS214" s="364"/>
      <c r="DT214" s="364"/>
      <c r="DU214" s="364"/>
      <c r="DV214" s="364"/>
      <c r="DW214" s="364"/>
      <c r="DX214" s="364"/>
      <c r="DY214" s="364"/>
      <c r="DZ214" s="364"/>
      <c r="EA214" s="364"/>
      <c r="EB214" s="364"/>
      <c r="EC214" s="364"/>
      <c r="ED214" s="364"/>
      <c r="EE214" s="364"/>
      <c r="EF214" s="364"/>
      <c r="EG214" s="364"/>
      <c r="EH214" s="364"/>
      <c r="EI214" s="364"/>
      <c r="EJ214" s="364"/>
      <c r="EK214" s="364"/>
      <c r="EL214" s="364"/>
      <c r="EM214" s="364"/>
      <c r="EN214" s="364"/>
      <c r="EO214" s="364"/>
      <c r="EP214" s="364"/>
      <c r="EQ214" s="364"/>
      <c r="ER214" s="364"/>
      <c r="ES214" s="364"/>
      <c r="ET214" s="364"/>
      <c r="EU214" s="364"/>
      <c r="EV214" s="364"/>
      <c r="EW214" s="364"/>
      <c r="EX214" s="364"/>
      <c r="EY214" s="364"/>
      <c r="EZ214" s="364"/>
      <c r="FA214" s="364"/>
      <c r="FB214" s="364"/>
      <c r="FC214" s="364"/>
      <c r="FD214" s="364"/>
      <c r="FE214" s="364"/>
      <c r="FF214" s="364"/>
      <c r="FG214" s="364"/>
      <c r="FH214" s="364"/>
      <c r="FI214" s="364"/>
      <c r="FJ214" s="364"/>
      <c r="FK214" s="364"/>
    </row>
    <row r="215" customFormat="false" ht="15.75" hidden="false" customHeight="false" outlineLevel="0" collapsed="false">
      <c r="A215" s="364" t="n">
        <v>424</v>
      </c>
      <c r="B215" s="364" t="n">
        <f aca="false">COUNTA(D215:FK215)</f>
        <v>34</v>
      </c>
      <c r="C215" s="364" t="s">
        <v>1166</v>
      </c>
      <c r="D215" s="364" t="s">
        <v>2402</v>
      </c>
      <c r="E215" s="364" t="s">
        <v>2311</v>
      </c>
      <c r="F215" s="364" t="s">
        <v>2404</v>
      </c>
      <c r="G215" s="364" t="s">
        <v>2405</v>
      </c>
      <c r="H215" s="364" t="s">
        <v>2312</v>
      </c>
      <c r="I215" s="364" t="s">
        <v>2516</v>
      </c>
      <c r="J215" s="364" t="s">
        <v>2406</v>
      </c>
      <c r="K215" s="364" t="s">
        <v>2466</v>
      </c>
      <c r="L215" s="364" t="s">
        <v>2410</v>
      </c>
      <c r="M215" s="364" t="s">
        <v>2316</v>
      </c>
      <c r="N215" s="364" t="s">
        <v>2320</v>
      </c>
      <c r="O215" s="364" t="s">
        <v>2535</v>
      </c>
      <c r="P215" s="364" t="s">
        <v>2324</v>
      </c>
      <c r="Q215" s="364" t="s">
        <v>2328</v>
      </c>
      <c r="R215" s="364" t="s">
        <v>2414</v>
      </c>
      <c r="S215" s="364" t="s">
        <v>2329</v>
      </c>
      <c r="T215" s="364" t="s">
        <v>2415</v>
      </c>
      <c r="U215" s="364" t="s">
        <v>2485</v>
      </c>
      <c r="V215" s="364" t="s">
        <v>2417</v>
      </c>
      <c r="W215" s="364" t="s">
        <v>2438</v>
      </c>
      <c r="X215" s="261" t="s">
        <v>183</v>
      </c>
      <c r="Y215" s="364" t="s">
        <v>2337</v>
      </c>
      <c r="Z215" s="364" t="s">
        <v>2389</v>
      </c>
      <c r="AA215" s="364" t="s">
        <v>2340</v>
      </c>
      <c r="AB215" s="364" t="s">
        <v>2421</v>
      </c>
      <c r="AC215" s="364" t="s">
        <v>2341</v>
      </c>
      <c r="AD215" s="364" t="s">
        <v>2344</v>
      </c>
      <c r="AE215" s="364" t="s">
        <v>2473</v>
      </c>
      <c r="AF215" s="364" t="s">
        <v>2474</v>
      </c>
      <c r="AG215" s="364" t="s">
        <v>2424</v>
      </c>
      <c r="AH215" s="364" t="s">
        <v>2398</v>
      </c>
      <c r="AI215" s="364" t="s">
        <v>2425</v>
      </c>
      <c r="AJ215" s="364" t="s">
        <v>2428</v>
      </c>
      <c r="AK215" s="364" t="s">
        <v>2429</v>
      </c>
      <c r="AL215" s="364"/>
      <c r="AM215" s="364"/>
      <c r="AN215" s="364"/>
      <c r="AO215" s="364"/>
      <c r="AP215" s="364"/>
      <c r="AQ215" s="364"/>
      <c r="AR215" s="364"/>
      <c r="AS215" s="364"/>
      <c r="AT215" s="364"/>
      <c r="AU215" s="364"/>
      <c r="AV215" s="364"/>
      <c r="AW215" s="364"/>
      <c r="AX215" s="364"/>
      <c r="AY215" s="364"/>
      <c r="AZ215" s="364"/>
      <c r="BA215" s="364"/>
      <c r="BB215" s="364"/>
      <c r="BC215" s="364"/>
      <c r="BD215" s="364"/>
      <c r="BE215" s="364"/>
      <c r="BF215" s="364"/>
      <c r="BG215" s="364"/>
      <c r="BH215" s="364"/>
      <c r="BI215" s="364"/>
      <c r="BJ215" s="364"/>
      <c r="BK215" s="364"/>
      <c r="BL215" s="364"/>
      <c r="BM215" s="364"/>
      <c r="BN215" s="364"/>
      <c r="BO215" s="364"/>
      <c r="BP215" s="364"/>
      <c r="BQ215" s="364"/>
      <c r="BR215" s="364"/>
      <c r="BS215" s="364"/>
      <c r="BT215" s="364"/>
      <c r="BU215" s="364"/>
      <c r="BV215" s="364"/>
      <c r="BW215" s="364"/>
      <c r="BX215" s="364"/>
      <c r="BY215" s="364"/>
      <c r="BZ215" s="364"/>
      <c r="CA215" s="364"/>
      <c r="CB215" s="364"/>
      <c r="CC215" s="364"/>
      <c r="CD215" s="364"/>
      <c r="CE215" s="364"/>
      <c r="CF215" s="364"/>
      <c r="CG215" s="364"/>
      <c r="CH215" s="364"/>
      <c r="CI215" s="364"/>
      <c r="CJ215" s="364"/>
      <c r="CK215" s="364"/>
      <c r="CL215" s="364"/>
      <c r="CM215" s="364"/>
      <c r="CN215" s="364"/>
      <c r="CO215" s="364"/>
      <c r="CP215" s="364"/>
      <c r="CQ215" s="364"/>
      <c r="CR215" s="364"/>
      <c r="CS215" s="364"/>
      <c r="CT215" s="364"/>
      <c r="CU215" s="364"/>
      <c r="CV215" s="364"/>
      <c r="CW215" s="364"/>
      <c r="CX215" s="364"/>
      <c r="CY215" s="364"/>
      <c r="CZ215" s="364"/>
      <c r="DA215" s="364"/>
      <c r="DB215" s="364"/>
      <c r="DC215" s="364"/>
      <c r="DD215" s="364"/>
      <c r="DE215" s="364"/>
      <c r="DF215" s="364"/>
      <c r="DG215" s="364"/>
      <c r="DH215" s="364"/>
      <c r="DI215" s="364"/>
      <c r="DJ215" s="364"/>
      <c r="DK215" s="364"/>
      <c r="DL215" s="364"/>
      <c r="DM215" s="364"/>
      <c r="DN215" s="364"/>
      <c r="DO215" s="364"/>
      <c r="DP215" s="364"/>
      <c r="DQ215" s="364"/>
      <c r="DR215" s="364"/>
      <c r="DS215" s="364"/>
      <c r="DT215" s="364"/>
      <c r="DU215" s="364"/>
      <c r="DV215" s="364"/>
      <c r="DW215" s="364"/>
      <c r="DX215" s="364"/>
      <c r="DY215" s="364"/>
      <c r="DZ215" s="364"/>
      <c r="EA215" s="364"/>
      <c r="EB215" s="364"/>
      <c r="EC215" s="364"/>
      <c r="ED215" s="364"/>
      <c r="EE215" s="364"/>
      <c r="EF215" s="364"/>
      <c r="EG215" s="364"/>
      <c r="EH215" s="364"/>
      <c r="EI215" s="364"/>
      <c r="EJ215" s="364"/>
      <c r="EK215" s="364"/>
      <c r="EL215" s="364"/>
      <c r="EM215" s="364"/>
      <c r="EN215" s="364"/>
      <c r="EO215" s="364"/>
      <c r="EP215" s="364"/>
      <c r="EQ215" s="364"/>
      <c r="ER215" s="364"/>
      <c r="ES215" s="364"/>
      <c r="ET215" s="364"/>
      <c r="EU215" s="364"/>
      <c r="EV215" s="364"/>
      <c r="EW215" s="364"/>
      <c r="EX215" s="364"/>
      <c r="EY215" s="364"/>
      <c r="EZ215" s="364"/>
      <c r="FA215" s="364"/>
      <c r="FB215" s="364"/>
      <c r="FC215" s="364"/>
      <c r="FD215" s="364"/>
      <c r="FE215" s="364"/>
      <c r="FF215" s="364"/>
      <c r="FG215" s="364"/>
      <c r="FH215" s="364"/>
      <c r="FI215" s="364"/>
      <c r="FJ215" s="364"/>
      <c r="FK215" s="364"/>
    </row>
    <row r="216" customFormat="false" ht="15.75" hidden="false" customHeight="false" outlineLevel="0" collapsed="false">
      <c r="A216" s="364" t="n">
        <v>425</v>
      </c>
      <c r="B216" s="364" t="n">
        <f aca="false">COUNTA(D216:FK216)</f>
        <v>32</v>
      </c>
      <c r="C216" s="364" t="s">
        <v>1168</v>
      </c>
      <c r="D216" s="364" t="s">
        <v>2402</v>
      </c>
      <c r="E216" s="364" t="s">
        <v>2311</v>
      </c>
      <c r="F216" s="364" t="s">
        <v>2405</v>
      </c>
      <c r="G216" s="364" t="s">
        <v>2312</v>
      </c>
      <c r="H216" s="364" t="s">
        <v>2516</v>
      </c>
      <c r="I216" s="364" t="s">
        <v>2406</v>
      </c>
      <c r="J216" s="364" t="s">
        <v>2434</v>
      </c>
      <c r="K216" s="364" t="s">
        <v>2410</v>
      </c>
      <c r="L216" s="364" t="s">
        <v>2316</v>
      </c>
      <c r="M216" s="364" t="s">
        <v>2624</v>
      </c>
      <c r="N216" s="364" t="s">
        <v>2320</v>
      </c>
      <c r="O216" s="364" t="s">
        <v>2324</v>
      </c>
      <c r="P216" s="364" t="s">
        <v>2328</v>
      </c>
      <c r="Q216" s="364" t="s">
        <v>2414</v>
      </c>
      <c r="R216" s="364" t="s">
        <v>2329</v>
      </c>
      <c r="S216" s="364" t="s">
        <v>2415</v>
      </c>
      <c r="T216" s="364" t="s">
        <v>2417</v>
      </c>
      <c r="U216" s="364" t="s">
        <v>2438</v>
      </c>
      <c r="V216" s="261" t="s">
        <v>183</v>
      </c>
      <c r="W216" s="364" t="s">
        <v>157</v>
      </c>
      <c r="X216" s="364" t="s">
        <v>2337</v>
      </c>
      <c r="Y216" s="364" t="s">
        <v>2340</v>
      </c>
      <c r="Z216" s="364" t="s">
        <v>2421</v>
      </c>
      <c r="AA216" s="364" t="s">
        <v>2341</v>
      </c>
      <c r="AB216" s="364" t="s">
        <v>2442</v>
      </c>
      <c r="AC216" s="364" t="s">
        <v>2422</v>
      </c>
      <c r="AD216" s="364" t="s">
        <v>2344</v>
      </c>
      <c r="AE216" s="364" t="s">
        <v>2424</v>
      </c>
      <c r="AF216" s="364" t="s">
        <v>2398</v>
      </c>
      <c r="AG216" s="364" t="s">
        <v>2425</v>
      </c>
      <c r="AH216" s="364" t="s">
        <v>2428</v>
      </c>
      <c r="AI216" s="364" t="s">
        <v>2429</v>
      </c>
      <c r="AJ216" s="364"/>
      <c r="AK216" s="364"/>
      <c r="AL216" s="364"/>
      <c r="AM216" s="364"/>
      <c r="AN216" s="364"/>
      <c r="AO216" s="364"/>
      <c r="AP216" s="364"/>
      <c r="AQ216" s="364"/>
      <c r="AR216" s="364"/>
      <c r="AS216" s="364"/>
      <c r="AT216" s="364"/>
      <c r="AU216" s="364"/>
      <c r="AV216" s="364"/>
      <c r="AW216" s="364"/>
      <c r="AX216" s="364"/>
      <c r="AY216" s="364"/>
      <c r="AZ216" s="364"/>
      <c r="BA216" s="364"/>
      <c r="BB216" s="364"/>
      <c r="BC216" s="364"/>
      <c r="BD216" s="364"/>
      <c r="BE216" s="364"/>
      <c r="BF216" s="364"/>
      <c r="BG216" s="364"/>
      <c r="BH216" s="364"/>
      <c r="BI216" s="364"/>
      <c r="BJ216" s="364"/>
      <c r="BK216" s="364"/>
      <c r="BL216" s="364"/>
      <c r="BM216" s="364"/>
      <c r="BN216" s="364"/>
      <c r="BO216" s="364"/>
      <c r="BP216" s="364"/>
      <c r="BQ216" s="364"/>
      <c r="BR216" s="364"/>
      <c r="BS216" s="364"/>
      <c r="BT216" s="364"/>
      <c r="BU216" s="364"/>
      <c r="BV216" s="364"/>
      <c r="BW216" s="364"/>
      <c r="BX216" s="364"/>
      <c r="BY216" s="364"/>
      <c r="BZ216" s="364"/>
      <c r="CA216" s="364"/>
      <c r="CB216" s="364"/>
      <c r="CC216" s="364"/>
      <c r="CD216" s="364"/>
      <c r="CE216" s="364"/>
      <c r="CF216" s="364"/>
      <c r="CG216" s="364"/>
      <c r="CH216" s="364"/>
      <c r="CI216" s="364"/>
      <c r="CJ216" s="364"/>
      <c r="CK216" s="364"/>
      <c r="CL216" s="364"/>
      <c r="CM216" s="364"/>
      <c r="CN216" s="364"/>
      <c r="CO216" s="364"/>
      <c r="CP216" s="364"/>
      <c r="CQ216" s="364"/>
      <c r="CR216" s="364"/>
      <c r="CS216" s="364"/>
      <c r="CT216" s="364"/>
      <c r="CU216" s="364"/>
      <c r="CV216" s="364"/>
      <c r="CW216" s="364"/>
      <c r="CX216" s="364"/>
      <c r="CY216" s="364"/>
      <c r="CZ216" s="364"/>
      <c r="DA216" s="364"/>
      <c r="DB216" s="364"/>
      <c r="DC216" s="364"/>
      <c r="DD216" s="364"/>
      <c r="DE216" s="364"/>
      <c r="DF216" s="364"/>
      <c r="DG216" s="364"/>
      <c r="DH216" s="364"/>
      <c r="DI216" s="364"/>
      <c r="DJ216" s="364"/>
      <c r="DK216" s="364"/>
      <c r="DL216" s="364"/>
      <c r="DM216" s="364"/>
      <c r="DN216" s="364"/>
      <c r="DO216" s="364"/>
      <c r="DP216" s="364"/>
      <c r="DQ216" s="364"/>
      <c r="DR216" s="364"/>
      <c r="DS216" s="364"/>
      <c r="DT216" s="364"/>
      <c r="DU216" s="364"/>
      <c r="DV216" s="364"/>
      <c r="DW216" s="364"/>
      <c r="DX216" s="364"/>
      <c r="DY216" s="364"/>
      <c r="DZ216" s="364"/>
      <c r="EA216" s="364"/>
      <c r="EB216" s="364"/>
      <c r="EC216" s="364"/>
      <c r="ED216" s="364"/>
      <c r="EE216" s="364"/>
      <c r="EF216" s="364"/>
      <c r="EG216" s="364"/>
      <c r="EH216" s="364"/>
      <c r="EI216" s="364"/>
      <c r="EJ216" s="364"/>
      <c r="EK216" s="364"/>
      <c r="EL216" s="364"/>
      <c r="EM216" s="364"/>
      <c r="EN216" s="364"/>
      <c r="EO216" s="364"/>
      <c r="EP216" s="364"/>
      <c r="EQ216" s="364"/>
      <c r="ER216" s="364"/>
      <c r="ES216" s="364"/>
      <c r="ET216" s="364"/>
      <c r="EU216" s="364"/>
      <c r="EV216" s="364"/>
      <c r="EW216" s="364"/>
      <c r="EX216" s="364"/>
      <c r="EY216" s="364"/>
      <c r="EZ216" s="364"/>
      <c r="FA216" s="364"/>
      <c r="FB216" s="364"/>
      <c r="FC216" s="364"/>
      <c r="FD216" s="364"/>
      <c r="FE216" s="364"/>
      <c r="FF216" s="364"/>
      <c r="FG216" s="364"/>
      <c r="FH216" s="364"/>
      <c r="FI216" s="364"/>
      <c r="FJ216" s="364"/>
      <c r="FK216" s="364"/>
    </row>
    <row r="217" customFormat="false" ht="15.75" hidden="false" customHeight="false" outlineLevel="0" collapsed="false">
      <c r="A217" s="364" t="n">
        <v>426</v>
      </c>
      <c r="B217" s="364" t="n">
        <f aca="false">COUNTA(D217:FK217)</f>
        <v>44</v>
      </c>
      <c r="C217" s="364" t="s">
        <v>1170</v>
      </c>
      <c r="D217" s="364" t="s">
        <v>2561</v>
      </c>
      <c r="E217" s="364" t="s">
        <v>2402</v>
      </c>
      <c r="F217" s="364" t="s">
        <v>2405</v>
      </c>
      <c r="G217" s="364" t="s">
        <v>2312</v>
      </c>
      <c r="H217" s="364" t="s">
        <v>2516</v>
      </c>
      <c r="I217" s="364" t="s">
        <v>2406</v>
      </c>
      <c r="J217" s="364" t="s">
        <v>2313</v>
      </c>
      <c r="K217" s="364" t="s">
        <v>2410</v>
      </c>
      <c r="L217" s="364" t="s">
        <v>2316</v>
      </c>
      <c r="M217" s="364" t="s">
        <v>2497</v>
      </c>
      <c r="N217" s="364" t="s">
        <v>2317</v>
      </c>
      <c r="O217" s="364" t="s">
        <v>2320</v>
      </c>
      <c r="P217" s="364" t="s">
        <v>2324</v>
      </c>
      <c r="Q217" s="364" t="s">
        <v>2327</v>
      </c>
      <c r="R217" s="364" t="s">
        <v>2642</v>
      </c>
      <c r="S217" s="364" t="s">
        <v>2328</v>
      </c>
      <c r="T217" s="364" t="s">
        <v>2414</v>
      </c>
      <c r="U217" s="364" t="s">
        <v>2329</v>
      </c>
      <c r="V217" s="364" t="s">
        <v>2415</v>
      </c>
      <c r="W217" s="364" t="s">
        <v>2417</v>
      </c>
      <c r="X217" s="364" t="s">
        <v>2615</v>
      </c>
      <c r="Y217" s="364" t="s">
        <v>2594</v>
      </c>
      <c r="Z217" s="261" t="s">
        <v>183</v>
      </c>
      <c r="AA217" s="364" t="s">
        <v>2337</v>
      </c>
      <c r="AB217" s="364" t="s">
        <v>2388</v>
      </c>
      <c r="AC217" s="364" t="s">
        <v>2339</v>
      </c>
      <c r="AD217" s="364" t="s">
        <v>2389</v>
      </c>
      <c r="AE217" s="364" t="s">
        <v>2340</v>
      </c>
      <c r="AF217" s="364" t="s">
        <v>2421</v>
      </c>
      <c r="AG217" s="364" t="s">
        <v>2341</v>
      </c>
      <c r="AH217" s="364" t="s">
        <v>2393</v>
      </c>
      <c r="AI217" s="364" t="s">
        <v>2423</v>
      </c>
      <c r="AJ217" s="364" t="s">
        <v>2344</v>
      </c>
      <c r="AK217" s="364" t="s">
        <v>2346</v>
      </c>
      <c r="AL217" s="364" t="s">
        <v>2500</v>
      </c>
      <c r="AM217" s="364" t="s">
        <v>2424</v>
      </c>
      <c r="AN217" s="364" t="s">
        <v>2348</v>
      </c>
      <c r="AO217" s="364" t="s">
        <v>2349</v>
      </c>
      <c r="AP217" s="364" t="s">
        <v>2425</v>
      </c>
      <c r="AQ217" s="364" t="s">
        <v>2426</v>
      </c>
      <c r="AR217" s="364" t="s">
        <v>2428</v>
      </c>
      <c r="AS217" s="364" t="s">
        <v>2429</v>
      </c>
      <c r="AT217" s="364" t="s">
        <v>2572</v>
      </c>
      <c r="AU217" s="364" t="s">
        <v>2430</v>
      </c>
      <c r="AV217" s="364"/>
      <c r="AW217" s="364"/>
      <c r="AX217" s="364"/>
      <c r="AY217" s="364"/>
      <c r="AZ217" s="364"/>
      <c r="BA217" s="364"/>
      <c r="BB217" s="364"/>
      <c r="BC217" s="364"/>
      <c r="BD217" s="364"/>
      <c r="BE217" s="364"/>
      <c r="BF217" s="364"/>
      <c r="BG217" s="364"/>
      <c r="BH217" s="364"/>
      <c r="BI217" s="364"/>
      <c r="BJ217" s="364"/>
      <c r="BK217" s="364"/>
      <c r="BL217" s="364"/>
      <c r="BM217" s="364"/>
      <c r="BN217" s="364"/>
      <c r="BO217" s="364"/>
      <c r="BP217" s="364"/>
      <c r="BQ217" s="364"/>
      <c r="BR217" s="364"/>
      <c r="BS217" s="364"/>
      <c r="BT217" s="364"/>
      <c r="BU217" s="364"/>
      <c r="BV217" s="364"/>
      <c r="BW217" s="364"/>
      <c r="BX217" s="364"/>
      <c r="BY217" s="364"/>
      <c r="BZ217" s="364"/>
      <c r="CA217" s="364"/>
      <c r="CB217" s="364"/>
      <c r="CC217" s="364"/>
      <c r="CD217" s="364"/>
      <c r="CE217" s="364"/>
      <c r="CF217" s="364"/>
      <c r="CG217" s="364"/>
      <c r="CH217" s="364"/>
      <c r="CI217" s="364"/>
      <c r="CJ217" s="364"/>
      <c r="CK217" s="364"/>
      <c r="CL217" s="364"/>
      <c r="CM217" s="364"/>
      <c r="CN217" s="364"/>
      <c r="CO217" s="364"/>
      <c r="CP217" s="364"/>
      <c r="CQ217" s="364"/>
      <c r="CR217" s="364"/>
      <c r="CS217" s="364"/>
      <c r="CT217" s="364"/>
      <c r="CU217" s="364"/>
      <c r="CV217" s="364"/>
      <c r="CW217" s="364"/>
      <c r="CX217" s="364"/>
      <c r="CY217" s="364"/>
      <c r="CZ217" s="364"/>
      <c r="DA217" s="364"/>
      <c r="DB217" s="364"/>
      <c r="DC217" s="364"/>
      <c r="DD217" s="364"/>
      <c r="DE217" s="364"/>
      <c r="DF217" s="364"/>
      <c r="DG217" s="364"/>
      <c r="DH217" s="364"/>
      <c r="DI217" s="364"/>
      <c r="DJ217" s="364"/>
      <c r="DK217" s="364"/>
      <c r="DL217" s="364"/>
      <c r="DM217" s="364"/>
      <c r="DN217" s="364"/>
      <c r="DO217" s="364"/>
      <c r="DP217" s="364"/>
      <c r="DQ217" s="364"/>
      <c r="DR217" s="364"/>
      <c r="DS217" s="364"/>
      <c r="DT217" s="364"/>
      <c r="DU217" s="364"/>
      <c r="DV217" s="364"/>
      <c r="DW217" s="364"/>
      <c r="DX217" s="364"/>
      <c r="DY217" s="364"/>
      <c r="DZ217" s="364"/>
      <c r="EA217" s="364"/>
      <c r="EB217" s="364"/>
      <c r="EC217" s="364"/>
      <c r="ED217" s="364"/>
      <c r="EE217" s="364"/>
      <c r="EF217" s="364"/>
      <c r="EG217" s="364"/>
      <c r="EH217" s="364"/>
      <c r="EI217" s="364"/>
      <c r="EJ217" s="364"/>
      <c r="EK217" s="364"/>
      <c r="EL217" s="364"/>
      <c r="EM217" s="364"/>
      <c r="EN217" s="364"/>
      <c r="EO217" s="364"/>
      <c r="EP217" s="364"/>
      <c r="EQ217" s="364"/>
      <c r="ER217" s="364"/>
      <c r="ES217" s="364"/>
      <c r="ET217" s="364"/>
      <c r="EU217" s="364"/>
      <c r="EV217" s="364"/>
      <c r="EW217" s="364"/>
      <c r="EX217" s="364"/>
      <c r="EY217" s="364"/>
      <c r="EZ217" s="364"/>
      <c r="FA217" s="364"/>
      <c r="FB217" s="364"/>
      <c r="FC217" s="364"/>
      <c r="FD217" s="364"/>
      <c r="FE217" s="364"/>
      <c r="FF217" s="364"/>
      <c r="FG217" s="364"/>
      <c r="FH217" s="364"/>
      <c r="FI217" s="364"/>
      <c r="FJ217" s="364"/>
      <c r="FK217" s="364"/>
    </row>
    <row r="218" customFormat="false" ht="15.75" hidden="false" customHeight="false" outlineLevel="0" collapsed="false">
      <c r="A218" s="364" t="n">
        <v>427</v>
      </c>
      <c r="B218" s="364" t="n">
        <f aca="false">COUNTA(D218:FK218)</f>
        <v>28</v>
      </c>
      <c r="C218" s="364" t="s">
        <v>1172</v>
      </c>
      <c r="D218" s="364" t="s">
        <v>2538</v>
      </c>
      <c r="E218" s="364" t="s">
        <v>2405</v>
      </c>
      <c r="F218" s="364" t="s">
        <v>2516</v>
      </c>
      <c r="G218" s="364" t="s">
        <v>2406</v>
      </c>
      <c r="H218" s="364" t="s">
        <v>2410</v>
      </c>
      <c r="I218" s="364" t="s">
        <v>2316</v>
      </c>
      <c r="J218" s="364" t="s">
        <v>2624</v>
      </c>
      <c r="K218" s="364" t="s">
        <v>2320</v>
      </c>
      <c r="L218" s="364" t="s">
        <v>2625</v>
      </c>
      <c r="M218" s="364" t="s">
        <v>2328</v>
      </c>
      <c r="N218" s="364" t="s">
        <v>2414</v>
      </c>
      <c r="O218" s="364" t="s">
        <v>2415</v>
      </c>
      <c r="P218" s="364" t="s">
        <v>2417</v>
      </c>
      <c r="Q218" s="364" t="s">
        <v>2418</v>
      </c>
      <c r="R218" s="364" t="s">
        <v>2337</v>
      </c>
      <c r="S218" s="364" t="s">
        <v>2340</v>
      </c>
      <c r="T218" s="364" t="s">
        <v>2421</v>
      </c>
      <c r="U218" s="364" t="s">
        <v>2341</v>
      </c>
      <c r="V218" s="364" t="s">
        <v>2344</v>
      </c>
      <c r="W218" s="364" t="s">
        <v>2643</v>
      </c>
      <c r="X218" s="364" t="s">
        <v>2424</v>
      </c>
      <c r="Y218" s="364" t="s">
        <v>2398</v>
      </c>
      <c r="Z218" s="364" t="s">
        <v>2348</v>
      </c>
      <c r="AA218" s="364" t="s">
        <v>2349</v>
      </c>
      <c r="AB218" s="364" t="s">
        <v>2425</v>
      </c>
      <c r="AC218" s="364" t="s">
        <v>2426</v>
      </c>
      <c r="AD218" s="364" t="s">
        <v>2428</v>
      </c>
      <c r="AE218" s="364" t="s">
        <v>2429</v>
      </c>
      <c r="AF218" s="364"/>
      <c r="AG218" s="364"/>
      <c r="AH218" s="364"/>
      <c r="AI218" s="364"/>
      <c r="AJ218" s="364"/>
      <c r="AK218" s="364"/>
      <c r="AL218" s="364"/>
      <c r="AM218" s="364"/>
      <c r="AN218" s="364"/>
      <c r="AO218" s="364"/>
      <c r="AP218" s="364"/>
      <c r="AQ218" s="364"/>
      <c r="AR218" s="364"/>
      <c r="AS218" s="364"/>
      <c r="AT218" s="364"/>
      <c r="AU218" s="364"/>
      <c r="AV218" s="364"/>
      <c r="AW218" s="364"/>
      <c r="AX218" s="364"/>
      <c r="AY218" s="364"/>
      <c r="AZ218" s="364"/>
      <c r="BA218" s="364"/>
      <c r="BB218" s="364"/>
      <c r="BC218" s="364"/>
      <c r="BD218" s="364"/>
      <c r="BE218" s="364"/>
      <c r="BF218" s="364"/>
      <c r="BG218" s="364"/>
      <c r="BH218" s="364"/>
      <c r="BI218" s="364"/>
      <c r="BJ218" s="364"/>
      <c r="BK218" s="364"/>
      <c r="BL218" s="364"/>
      <c r="BM218" s="364"/>
      <c r="BN218" s="364"/>
      <c r="BO218" s="364"/>
      <c r="BP218" s="364"/>
      <c r="BQ218" s="364"/>
      <c r="BR218" s="364"/>
      <c r="BS218" s="364"/>
      <c r="BT218" s="364"/>
      <c r="BU218" s="364"/>
      <c r="BV218" s="364"/>
      <c r="BW218" s="364"/>
      <c r="BX218" s="364"/>
      <c r="BY218" s="364"/>
      <c r="BZ218" s="364"/>
      <c r="CA218" s="364"/>
      <c r="CB218" s="364"/>
      <c r="CC218" s="364"/>
      <c r="CD218" s="364"/>
      <c r="CE218" s="364"/>
      <c r="CF218" s="364"/>
      <c r="CG218" s="364"/>
      <c r="CH218" s="364"/>
      <c r="CI218" s="364"/>
      <c r="CJ218" s="364"/>
      <c r="CK218" s="364"/>
      <c r="CL218" s="364"/>
      <c r="CM218" s="364"/>
      <c r="CN218" s="364"/>
      <c r="CO218" s="364"/>
      <c r="CP218" s="364"/>
      <c r="CQ218" s="364"/>
      <c r="CR218" s="364"/>
      <c r="CS218" s="364"/>
      <c r="CT218" s="364"/>
      <c r="CU218" s="364"/>
      <c r="CV218" s="364"/>
      <c r="CW218" s="364"/>
      <c r="CX218" s="364"/>
      <c r="CY218" s="364"/>
      <c r="CZ218" s="364"/>
      <c r="DA218" s="364"/>
      <c r="DB218" s="364"/>
      <c r="DC218" s="364"/>
      <c r="DD218" s="364"/>
      <c r="DE218" s="364"/>
      <c r="DF218" s="364"/>
      <c r="DG218" s="364"/>
      <c r="DH218" s="364"/>
      <c r="DI218" s="364"/>
      <c r="DJ218" s="364"/>
      <c r="DK218" s="364"/>
      <c r="DL218" s="364"/>
      <c r="DM218" s="364"/>
      <c r="DN218" s="364"/>
      <c r="DO218" s="364"/>
      <c r="DP218" s="364"/>
      <c r="DQ218" s="364"/>
      <c r="DR218" s="364"/>
      <c r="DS218" s="364"/>
      <c r="DT218" s="364"/>
      <c r="DU218" s="364"/>
      <c r="DV218" s="364"/>
      <c r="DW218" s="364"/>
      <c r="DX218" s="364"/>
      <c r="DY218" s="364"/>
      <c r="DZ218" s="364"/>
      <c r="EA218" s="364"/>
      <c r="EB218" s="364"/>
      <c r="EC218" s="364"/>
      <c r="ED218" s="364"/>
      <c r="EE218" s="364"/>
      <c r="EF218" s="364"/>
      <c r="EG218" s="364"/>
      <c r="EH218" s="364"/>
      <c r="EI218" s="364"/>
      <c r="EJ218" s="364"/>
      <c r="EK218" s="364"/>
      <c r="EL218" s="364"/>
      <c r="EM218" s="364"/>
      <c r="EN218" s="364"/>
      <c r="EO218" s="364"/>
      <c r="EP218" s="364"/>
      <c r="EQ218" s="364"/>
      <c r="ER218" s="364"/>
      <c r="ES218" s="364"/>
      <c r="ET218" s="364"/>
      <c r="EU218" s="364"/>
      <c r="EV218" s="364"/>
      <c r="EW218" s="364"/>
      <c r="EX218" s="364"/>
      <c r="EY218" s="364"/>
      <c r="EZ218" s="364"/>
      <c r="FA218" s="364"/>
      <c r="FB218" s="364"/>
      <c r="FC218" s="364"/>
      <c r="FD218" s="364"/>
      <c r="FE218" s="364"/>
      <c r="FF218" s="364"/>
      <c r="FG218" s="364"/>
      <c r="FH218" s="364"/>
      <c r="FI218" s="364"/>
      <c r="FJ218" s="364"/>
      <c r="FK218" s="364"/>
    </row>
    <row r="219" customFormat="false" ht="15.75" hidden="false" customHeight="false" outlineLevel="0" collapsed="false">
      <c r="A219" s="364" t="n">
        <v>430</v>
      </c>
      <c r="B219" s="364" t="n">
        <f aca="false">COUNTA(D219:FK219)</f>
        <v>53</v>
      </c>
      <c r="C219" s="364" t="s">
        <v>1178</v>
      </c>
      <c r="D219" s="364" t="s">
        <v>2352</v>
      </c>
      <c r="E219" s="364" t="s">
        <v>2353</v>
      </c>
      <c r="F219" s="364" t="s">
        <v>2402</v>
      </c>
      <c r="G219" s="364" t="s">
        <v>2404</v>
      </c>
      <c r="H219" s="364" t="s">
        <v>2312</v>
      </c>
      <c r="I219" s="364" t="s">
        <v>2356</v>
      </c>
      <c r="J219" s="364" t="s">
        <v>2357</v>
      </c>
      <c r="K219" s="364" t="s">
        <v>2313</v>
      </c>
      <c r="L219" s="364" t="s">
        <v>2466</v>
      </c>
      <c r="M219" s="364" t="s">
        <v>2315</v>
      </c>
      <c r="N219" s="364" t="s">
        <v>2316</v>
      </c>
      <c r="O219" s="364" t="s">
        <v>2601</v>
      </c>
      <c r="P219" s="364" t="s">
        <v>2359</v>
      </c>
      <c r="Q219" s="364" t="s">
        <v>2360</v>
      </c>
      <c r="R219" s="364" t="s">
        <v>2361</v>
      </c>
      <c r="S219" s="364" t="s">
        <v>2363</v>
      </c>
      <c r="T219" s="364" t="s">
        <v>2317</v>
      </c>
      <c r="U219" s="364" t="s">
        <v>2365</v>
      </c>
      <c r="V219" s="364" t="s">
        <v>2320</v>
      </c>
      <c r="W219" s="364" t="s">
        <v>2366</v>
      </c>
      <c r="X219" s="364" t="s">
        <v>2367</v>
      </c>
      <c r="Y219" s="364" t="s">
        <v>2373</v>
      </c>
      <c r="Z219" s="364" t="s">
        <v>2375</v>
      </c>
      <c r="AA219" s="364" t="s">
        <v>2322</v>
      </c>
      <c r="AB219" s="364" t="s">
        <v>2324</v>
      </c>
      <c r="AC219" s="364" t="s">
        <v>2327</v>
      </c>
      <c r="AD219" s="364" t="s">
        <v>2378</v>
      </c>
      <c r="AE219" s="364" t="s">
        <v>2328</v>
      </c>
      <c r="AF219" s="364" t="s">
        <v>2414</v>
      </c>
      <c r="AG219" s="364" t="s">
        <v>2329</v>
      </c>
      <c r="AH219" s="364" t="s">
        <v>2521</v>
      </c>
      <c r="AI219" s="364" t="s">
        <v>2379</v>
      </c>
      <c r="AJ219" s="364" t="s">
        <v>2381</v>
      </c>
      <c r="AK219" s="261" t="s">
        <v>183</v>
      </c>
      <c r="AL219" s="364" t="s">
        <v>2385</v>
      </c>
      <c r="AM219" s="364" t="s">
        <v>2332</v>
      </c>
      <c r="AN219" s="364" t="s">
        <v>2335</v>
      </c>
      <c r="AO219" s="364" t="s">
        <v>2337</v>
      </c>
      <c r="AP219" s="364" t="s">
        <v>2388</v>
      </c>
      <c r="AQ219" s="364" t="s">
        <v>2339</v>
      </c>
      <c r="AR219" s="364" t="s">
        <v>2389</v>
      </c>
      <c r="AS219" s="364" t="s">
        <v>2420</v>
      </c>
      <c r="AT219" s="364" t="s">
        <v>2340</v>
      </c>
      <c r="AU219" s="364" t="s">
        <v>2341</v>
      </c>
      <c r="AV219" s="364" t="s">
        <v>2392</v>
      </c>
      <c r="AW219" s="364" t="s">
        <v>2344</v>
      </c>
      <c r="AX219" s="364" t="s">
        <v>2396</v>
      </c>
      <c r="AY219" s="364" t="s">
        <v>2500</v>
      </c>
      <c r="AZ219" s="364" t="s">
        <v>2347</v>
      </c>
      <c r="BA219" s="364" t="s">
        <v>2398</v>
      </c>
      <c r="BB219" s="364" t="s">
        <v>2488</v>
      </c>
      <c r="BC219" s="364" t="s">
        <v>2400</v>
      </c>
      <c r="BD219" s="364" t="s">
        <v>2430</v>
      </c>
      <c r="BE219" s="364"/>
      <c r="BF219" s="364"/>
      <c r="BG219" s="364"/>
      <c r="BH219" s="364"/>
      <c r="BI219" s="364"/>
      <c r="BJ219" s="364"/>
      <c r="BK219" s="364"/>
      <c r="BL219" s="364"/>
      <c r="BM219" s="364"/>
      <c r="BN219" s="364"/>
      <c r="BO219" s="364"/>
      <c r="BP219" s="364"/>
      <c r="BQ219" s="364"/>
      <c r="BR219" s="364"/>
      <c r="BS219" s="364"/>
      <c r="BT219" s="364"/>
      <c r="BU219" s="364"/>
      <c r="BV219" s="364"/>
      <c r="BW219" s="364"/>
      <c r="BX219" s="364"/>
      <c r="BY219" s="364"/>
      <c r="BZ219" s="364"/>
      <c r="CA219" s="364"/>
      <c r="CB219" s="364"/>
      <c r="CC219" s="364"/>
      <c r="CD219" s="364"/>
      <c r="CE219" s="364"/>
      <c r="CF219" s="364"/>
      <c r="CG219" s="364"/>
      <c r="CH219" s="364"/>
      <c r="CI219" s="364"/>
      <c r="CJ219" s="364"/>
      <c r="CK219" s="364"/>
      <c r="CL219" s="364"/>
      <c r="CM219" s="364"/>
      <c r="CN219" s="364"/>
      <c r="CO219" s="364"/>
      <c r="CP219" s="364"/>
      <c r="CQ219" s="364"/>
      <c r="CR219" s="364"/>
      <c r="CS219" s="364"/>
      <c r="CT219" s="364"/>
      <c r="CU219" s="364"/>
      <c r="CV219" s="364"/>
      <c r="CW219" s="364"/>
      <c r="CX219" s="364"/>
      <c r="CY219" s="364"/>
      <c r="CZ219" s="364"/>
      <c r="DA219" s="364"/>
      <c r="DB219" s="364"/>
      <c r="DC219" s="364"/>
      <c r="DD219" s="364"/>
      <c r="DE219" s="364"/>
      <c r="DF219" s="364"/>
      <c r="DG219" s="364"/>
      <c r="DH219" s="364"/>
      <c r="DI219" s="364"/>
      <c r="DJ219" s="364"/>
      <c r="DK219" s="364"/>
      <c r="DL219" s="364"/>
      <c r="DM219" s="364"/>
      <c r="DN219" s="364"/>
      <c r="DO219" s="364"/>
      <c r="DP219" s="364"/>
      <c r="DQ219" s="364"/>
      <c r="DR219" s="364"/>
      <c r="DS219" s="364"/>
      <c r="DT219" s="364"/>
      <c r="DU219" s="364"/>
      <c r="DV219" s="364"/>
      <c r="DW219" s="364"/>
      <c r="DX219" s="364"/>
      <c r="DY219" s="364"/>
      <c r="DZ219" s="364"/>
      <c r="EA219" s="364"/>
      <c r="EB219" s="364"/>
      <c r="EC219" s="364"/>
      <c r="ED219" s="364"/>
      <c r="EE219" s="364"/>
      <c r="EF219" s="364"/>
      <c r="EG219" s="364"/>
      <c r="EH219" s="364"/>
      <c r="EI219" s="364"/>
      <c r="EJ219" s="364"/>
      <c r="EK219" s="364"/>
      <c r="EL219" s="364"/>
      <c r="EM219" s="364"/>
      <c r="EN219" s="364"/>
      <c r="EO219" s="364"/>
      <c r="EP219" s="364"/>
      <c r="EQ219" s="364"/>
      <c r="ER219" s="364"/>
      <c r="ES219" s="364"/>
      <c r="ET219" s="364"/>
      <c r="EU219" s="364"/>
      <c r="EV219" s="364"/>
      <c r="EW219" s="364"/>
      <c r="EX219" s="364"/>
      <c r="EY219" s="364"/>
      <c r="EZ219" s="364"/>
      <c r="FA219" s="364"/>
      <c r="FB219" s="364"/>
      <c r="FC219" s="364"/>
      <c r="FD219" s="364"/>
      <c r="FE219" s="364"/>
      <c r="FF219" s="364"/>
      <c r="FG219" s="364"/>
      <c r="FH219" s="364"/>
      <c r="FI219" s="364"/>
      <c r="FJ219" s="364"/>
      <c r="FK219" s="364"/>
    </row>
    <row r="220" customFormat="false" ht="15.75" hidden="false" customHeight="false" outlineLevel="0" collapsed="false">
      <c r="A220" s="364" t="n">
        <v>434</v>
      </c>
      <c r="B220" s="364" t="n">
        <f aca="false">COUNTA(D220:FK220)</f>
        <v>49</v>
      </c>
      <c r="C220" s="364" t="s">
        <v>1187</v>
      </c>
      <c r="D220" s="364" t="s">
        <v>2352</v>
      </c>
      <c r="E220" s="364" t="s">
        <v>2312</v>
      </c>
      <c r="F220" s="364" t="s">
        <v>2356</v>
      </c>
      <c r="G220" s="364" t="s">
        <v>2313</v>
      </c>
      <c r="H220" s="364" t="s">
        <v>2552</v>
      </c>
      <c r="I220" s="364" t="s">
        <v>2434</v>
      </c>
      <c r="J220" s="364" t="s">
        <v>2315</v>
      </c>
      <c r="K220" s="364" t="s">
        <v>2316</v>
      </c>
      <c r="L220" s="364" t="s">
        <v>2364</v>
      </c>
      <c r="M220" s="364" t="s">
        <v>2317</v>
      </c>
      <c r="N220" s="364" t="s">
        <v>2562</v>
      </c>
      <c r="O220" s="364" t="s">
        <v>2320</v>
      </c>
      <c r="P220" s="364" t="s">
        <v>2411</v>
      </c>
      <c r="Q220" s="364" t="s">
        <v>2322</v>
      </c>
      <c r="R220" s="364" t="s">
        <v>2324</v>
      </c>
      <c r="S220" s="364" t="s">
        <v>2325</v>
      </c>
      <c r="T220" s="364" t="s">
        <v>2412</v>
      </c>
      <c r="U220" s="364" t="s">
        <v>2614</v>
      </c>
      <c r="V220" s="364" t="s">
        <v>2327</v>
      </c>
      <c r="W220" s="364" t="s">
        <v>2328</v>
      </c>
      <c r="X220" s="364" t="s">
        <v>2329</v>
      </c>
      <c r="Y220" s="364" t="s">
        <v>2416</v>
      </c>
      <c r="Z220" s="364" t="s">
        <v>2417</v>
      </c>
      <c r="AA220" s="364" t="s">
        <v>2506</v>
      </c>
      <c r="AB220" s="364" t="s">
        <v>2384</v>
      </c>
      <c r="AC220" s="364" t="s">
        <v>2662</v>
      </c>
      <c r="AD220" s="261" t="s">
        <v>183</v>
      </c>
      <c r="AE220" s="364" t="s">
        <v>2387</v>
      </c>
      <c r="AF220" s="364" t="s">
        <v>157</v>
      </c>
      <c r="AG220" s="364" t="s">
        <v>2495</v>
      </c>
      <c r="AH220" s="364" t="s">
        <v>2455</v>
      </c>
      <c r="AI220" s="364" t="s">
        <v>2337</v>
      </c>
      <c r="AJ220" s="364" t="s">
        <v>2388</v>
      </c>
      <c r="AK220" s="364" t="s">
        <v>2339</v>
      </c>
      <c r="AL220" s="364" t="s">
        <v>2389</v>
      </c>
      <c r="AM220" s="364" t="s">
        <v>2420</v>
      </c>
      <c r="AN220" s="364" t="s">
        <v>2340</v>
      </c>
      <c r="AO220" s="364" t="s">
        <v>2341</v>
      </c>
      <c r="AP220" s="364" t="s">
        <v>2566</v>
      </c>
      <c r="AQ220" s="364" t="s">
        <v>2442</v>
      </c>
      <c r="AR220" s="364" t="s">
        <v>2422</v>
      </c>
      <c r="AS220" s="364" t="s">
        <v>2343</v>
      </c>
      <c r="AT220" s="364" t="s">
        <v>2344</v>
      </c>
      <c r="AU220" s="364" t="s">
        <v>2346</v>
      </c>
      <c r="AV220" s="364" t="s">
        <v>2347</v>
      </c>
      <c r="AW220" s="364" t="s">
        <v>2398</v>
      </c>
      <c r="AX220" s="364" t="s">
        <v>2349</v>
      </c>
      <c r="AY220" s="364" t="s">
        <v>2399</v>
      </c>
      <c r="AZ220" s="364" t="s">
        <v>2430</v>
      </c>
      <c r="BA220" s="364"/>
      <c r="BB220" s="364"/>
      <c r="BC220" s="364"/>
      <c r="BD220" s="364"/>
      <c r="BE220" s="364"/>
      <c r="BF220" s="364"/>
      <c r="BG220" s="364"/>
      <c r="BH220" s="364"/>
      <c r="BI220" s="364"/>
      <c r="BJ220" s="364"/>
      <c r="BK220" s="364"/>
      <c r="BL220" s="364"/>
      <c r="BM220" s="364"/>
      <c r="BN220" s="364"/>
      <c r="BO220" s="364"/>
      <c r="BP220" s="364"/>
      <c r="BQ220" s="364"/>
      <c r="BR220" s="364"/>
      <c r="BS220" s="364"/>
      <c r="BT220" s="364"/>
      <c r="BU220" s="364"/>
      <c r="BV220" s="364"/>
      <c r="BW220" s="364"/>
      <c r="BX220" s="364"/>
      <c r="BY220" s="364"/>
      <c r="BZ220" s="364"/>
      <c r="CA220" s="364"/>
      <c r="CB220" s="364"/>
      <c r="CC220" s="364"/>
      <c r="CD220" s="364"/>
      <c r="CE220" s="364"/>
      <c r="CF220" s="364"/>
      <c r="CG220" s="364"/>
      <c r="CH220" s="364"/>
      <c r="CI220" s="364"/>
      <c r="CJ220" s="364"/>
      <c r="CK220" s="364"/>
      <c r="CL220" s="364"/>
      <c r="CM220" s="364"/>
      <c r="CN220" s="364"/>
      <c r="CO220" s="364"/>
      <c r="CP220" s="364"/>
      <c r="CQ220" s="364"/>
      <c r="CR220" s="364"/>
      <c r="CS220" s="364"/>
      <c r="CT220" s="364"/>
      <c r="CU220" s="364"/>
      <c r="CV220" s="364"/>
      <c r="CW220" s="364"/>
      <c r="CX220" s="364"/>
      <c r="CY220" s="364"/>
      <c r="CZ220" s="364"/>
      <c r="DA220" s="364"/>
      <c r="DB220" s="364"/>
      <c r="DC220" s="364"/>
      <c r="DD220" s="364"/>
      <c r="DE220" s="364"/>
      <c r="DF220" s="364"/>
      <c r="DG220" s="364"/>
      <c r="DH220" s="364"/>
      <c r="DI220" s="364"/>
      <c r="DJ220" s="364"/>
      <c r="DK220" s="364"/>
      <c r="DL220" s="364"/>
      <c r="DM220" s="364"/>
      <c r="DN220" s="364"/>
      <c r="DO220" s="364"/>
      <c r="DP220" s="364"/>
      <c r="DQ220" s="364"/>
      <c r="DR220" s="364"/>
      <c r="DS220" s="364"/>
      <c r="DT220" s="364"/>
      <c r="DU220" s="364"/>
      <c r="DV220" s="364"/>
      <c r="DW220" s="364"/>
      <c r="DX220" s="364"/>
      <c r="DY220" s="364"/>
      <c r="DZ220" s="364"/>
      <c r="EA220" s="364"/>
      <c r="EB220" s="364"/>
      <c r="EC220" s="364"/>
      <c r="ED220" s="364"/>
      <c r="EE220" s="364"/>
      <c r="EF220" s="364"/>
      <c r="EG220" s="364"/>
      <c r="EH220" s="364"/>
      <c r="EI220" s="364"/>
      <c r="EJ220" s="364"/>
      <c r="EK220" s="364"/>
      <c r="EL220" s="364"/>
      <c r="EM220" s="364"/>
      <c r="EN220" s="364"/>
      <c r="EO220" s="364"/>
      <c r="EP220" s="364"/>
      <c r="EQ220" s="364"/>
      <c r="ER220" s="364"/>
      <c r="ES220" s="364"/>
      <c r="ET220" s="364"/>
      <c r="EU220" s="364"/>
      <c r="EV220" s="364"/>
      <c r="EW220" s="364"/>
      <c r="EX220" s="364"/>
      <c r="EY220" s="364"/>
      <c r="EZ220" s="364"/>
      <c r="FA220" s="364"/>
      <c r="FB220" s="364"/>
      <c r="FC220" s="364"/>
      <c r="FD220" s="364"/>
      <c r="FE220" s="364"/>
      <c r="FF220" s="364"/>
      <c r="FG220" s="364"/>
      <c r="FH220" s="364"/>
      <c r="FI220" s="364"/>
      <c r="FJ220" s="364"/>
      <c r="FK220" s="364"/>
    </row>
    <row r="221" customFormat="false" ht="15.75" hidden="false" customHeight="false" outlineLevel="0" collapsed="false">
      <c r="A221" s="364" t="n">
        <v>436</v>
      </c>
      <c r="B221" s="364" t="n">
        <f aca="false">COUNTA(D221:FK221)</f>
        <v>51</v>
      </c>
      <c r="C221" s="364" t="s">
        <v>1192</v>
      </c>
      <c r="D221" s="364" t="s">
        <v>2561</v>
      </c>
      <c r="E221" s="364" t="s">
        <v>2312</v>
      </c>
      <c r="F221" s="364" t="s">
        <v>2356</v>
      </c>
      <c r="G221" s="364" t="s">
        <v>2313</v>
      </c>
      <c r="H221" s="364" t="s">
        <v>2464</v>
      </c>
      <c r="I221" s="364" t="s">
        <v>138</v>
      </c>
      <c r="J221" s="364" t="s">
        <v>2358</v>
      </c>
      <c r="K221" s="364" t="s">
        <v>2316</v>
      </c>
      <c r="L221" s="364" t="s">
        <v>2520</v>
      </c>
      <c r="M221" s="364" t="s">
        <v>2364</v>
      </c>
      <c r="N221" s="364" t="s">
        <v>2497</v>
      </c>
      <c r="O221" s="364" t="s">
        <v>2317</v>
      </c>
      <c r="P221" s="364" t="s">
        <v>2562</v>
      </c>
      <c r="Q221" s="364" t="s">
        <v>2320</v>
      </c>
      <c r="R221" s="364" t="s">
        <v>2369</v>
      </c>
      <c r="S221" s="364" t="s">
        <v>2376</v>
      </c>
      <c r="T221" s="364" t="s">
        <v>2377</v>
      </c>
      <c r="U221" s="364" t="s">
        <v>2324</v>
      </c>
      <c r="V221" s="364" t="s">
        <v>2614</v>
      </c>
      <c r="W221" s="364" t="s">
        <v>2327</v>
      </c>
      <c r="X221" s="364" t="s">
        <v>2328</v>
      </c>
      <c r="Y221" s="364" t="s">
        <v>2329</v>
      </c>
      <c r="Z221" s="364" t="s">
        <v>2416</v>
      </c>
      <c r="AA221" s="364" t="s">
        <v>2506</v>
      </c>
      <c r="AB221" s="364" t="s">
        <v>2382</v>
      </c>
      <c r="AC221" s="364" t="s">
        <v>2383</v>
      </c>
      <c r="AD221" s="261" t="s">
        <v>183</v>
      </c>
      <c r="AE221" s="364" t="s">
        <v>2387</v>
      </c>
      <c r="AF221" s="364" t="s">
        <v>2337</v>
      </c>
      <c r="AG221" s="364" t="s">
        <v>2338</v>
      </c>
      <c r="AH221" s="364" t="s">
        <v>2388</v>
      </c>
      <c r="AI221" s="364" t="s">
        <v>2339</v>
      </c>
      <c r="AJ221" s="364" t="s">
        <v>2565</v>
      </c>
      <c r="AK221" s="364" t="s">
        <v>2389</v>
      </c>
      <c r="AL221" s="364" t="s">
        <v>2420</v>
      </c>
      <c r="AM221" s="364" t="s">
        <v>2340</v>
      </c>
      <c r="AN221" s="364" t="s">
        <v>2341</v>
      </c>
      <c r="AO221" s="364" t="s">
        <v>2391</v>
      </c>
      <c r="AP221" s="364" t="s">
        <v>2566</v>
      </c>
      <c r="AQ221" s="364" t="s">
        <v>2470</v>
      </c>
      <c r="AR221" s="364" t="s">
        <v>2423</v>
      </c>
      <c r="AS221" s="364" t="s">
        <v>2344</v>
      </c>
      <c r="AT221" s="364" t="s">
        <v>2571</v>
      </c>
      <c r="AU221" s="364" t="s">
        <v>2346</v>
      </c>
      <c r="AV221" s="364" t="s">
        <v>2500</v>
      </c>
      <c r="AW221" s="364" t="s">
        <v>2347</v>
      </c>
      <c r="AX221" s="364" t="s">
        <v>2511</v>
      </c>
      <c r="AY221" s="364" t="s">
        <v>2475</v>
      </c>
      <c r="AZ221" s="364" t="s">
        <v>2476</v>
      </c>
      <c r="BA221" s="364" t="s">
        <v>2399</v>
      </c>
      <c r="BB221" s="364" t="s">
        <v>2493</v>
      </c>
      <c r="BC221" s="364"/>
      <c r="BD221" s="364"/>
      <c r="BE221" s="364"/>
      <c r="BF221" s="364"/>
      <c r="BG221" s="364"/>
      <c r="BH221" s="364"/>
      <c r="BI221" s="364"/>
      <c r="BJ221" s="364"/>
      <c r="BK221" s="364"/>
      <c r="BL221" s="364"/>
      <c r="BM221" s="364"/>
      <c r="BN221" s="364"/>
      <c r="BO221" s="364"/>
      <c r="BP221" s="364"/>
      <c r="BQ221" s="364"/>
      <c r="BR221" s="364"/>
      <c r="BS221" s="364"/>
      <c r="BT221" s="364"/>
      <c r="BU221" s="364"/>
      <c r="BV221" s="364"/>
      <c r="BW221" s="364"/>
      <c r="BX221" s="364"/>
      <c r="BY221" s="364"/>
      <c r="BZ221" s="364"/>
      <c r="CA221" s="364"/>
      <c r="CB221" s="364"/>
      <c r="CC221" s="364"/>
      <c r="CD221" s="364"/>
      <c r="CE221" s="364"/>
      <c r="CF221" s="364"/>
      <c r="CG221" s="364"/>
      <c r="CH221" s="364"/>
      <c r="CI221" s="364"/>
      <c r="CJ221" s="364"/>
      <c r="CK221" s="364"/>
      <c r="CL221" s="364"/>
      <c r="CM221" s="364"/>
      <c r="CN221" s="364"/>
      <c r="CO221" s="364"/>
      <c r="CP221" s="364"/>
      <c r="CQ221" s="364"/>
      <c r="CR221" s="364"/>
      <c r="CS221" s="364"/>
      <c r="CT221" s="364"/>
      <c r="CU221" s="364"/>
      <c r="CV221" s="364"/>
      <c r="CW221" s="364"/>
      <c r="CX221" s="364"/>
      <c r="CY221" s="364"/>
      <c r="CZ221" s="364"/>
      <c r="DA221" s="364"/>
      <c r="DB221" s="364"/>
      <c r="DC221" s="364"/>
      <c r="DD221" s="364"/>
      <c r="DE221" s="364"/>
      <c r="DF221" s="364"/>
      <c r="DG221" s="364"/>
      <c r="DH221" s="364"/>
      <c r="DI221" s="364"/>
      <c r="DJ221" s="364"/>
      <c r="DK221" s="364"/>
      <c r="DL221" s="364"/>
      <c r="DM221" s="364"/>
      <c r="DN221" s="364"/>
      <c r="DO221" s="364"/>
      <c r="DP221" s="364"/>
      <c r="DQ221" s="364"/>
      <c r="DR221" s="364"/>
      <c r="DS221" s="364"/>
      <c r="DT221" s="364"/>
      <c r="DU221" s="364"/>
      <c r="DV221" s="364"/>
      <c r="DW221" s="364"/>
      <c r="DX221" s="364"/>
      <c r="DY221" s="364"/>
      <c r="DZ221" s="364"/>
      <c r="EA221" s="364"/>
      <c r="EB221" s="364"/>
      <c r="EC221" s="364"/>
      <c r="ED221" s="364"/>
      <c r="EE221" s="364"/>
      <c r="EF221" s="364"/>
      <c r="EG221" s="364"/>
      <c r="EH221" s="364"/>
      <c r="EI221" s="364"/>
      <c r="EJ221" s="364"/>
      <c r="EK221" s="364"/>
      <c r="EL221" s="364"/>
      <c r="EM221" s="364"/>
      <c r="EN221" s="364"/>
      <c r="EO221" s="364"/>
      <c r="EP221" s="364"/>
      <c r="EQ221" s="364"/>
      <c r="ER221" s="364"/>
      <c r="ES221" s="364"/>
      <c r="ET221" s="364"/>
      <c r="EU221" s="364"/>
      <c r="EV221" s="364"/>
      <c r="EW221" s="364"/>
      <c r="EX221" s="364"/>
      <c r="EY221" s="364"/>
      <c r="EZ221" s="364"/>
      <c r="FA221" s="364"/>
      <c r="FB221" s="364"/>
      <c r="FC221" s="364"/>
      <c r="FD221" s="364"/>
      <c r="FE221" s="364"/>
      <c r="FF221" s="364"/>
      <c r="FG221" s="364"/>
      <c r="FH221" s="364"/>
      <c r="FI221" s="364"/>
      <c r="FJ221" s="364"/>
      <c r="FK221" s="364"/>
    </row>
    <row r="222" customFormat="false" ht="15.75" hidden="false" customHeight="false" outlineLevel="0" collapsed="false">
      <c r="A222" s="364" t="n">
        <v>437</v>
      </c>
      <c r="B222" s="364" t="n">
        <f aca="false">COUNTA(D222:FK222)</f>
        <v>51</v>
      </c>
      <c r="C222" s="364" t="s">
        <v>1194</v>
      </c>
      <c r="D222" s="364" t="s">
        <v>2561</v>
      </c>
      <c r="E222" s="364" t="s">
        <v>2403</v>
      </c>
      <c r="F222" s="364" t="s">
        <v>2405</v>
      </c>
      <c r="G222" s="364" t="s">
        <v>2312</v>
      </c>
      <c r="H222" s="364" t="s">
        <v>2356</v>
      </c>
      <c r="I222" s="364" t="s">
        <v>2313</v>
      </c>
      <c r="J222" s="364" t="s">
        <v>2464</v>
      </c>
      <c r="K222" s="364" t="s">
        <v>138</v>
      </c>
      <c r="L222" s="364" t="s">
        <v>2316</v>
      </c>
      <c r="M222" s="364" t="s">
        <v>2364</v>
      </c>
      <c r="N222" s="364" t="s">
        <v>2317</v>
      </c>
      <c r="O222" s="364" t="s">
        <v>2562</v>
      </c>
      <c r="P222" s="364" t="s">
        <v>2320</v>
      </c>
      <c r="Q222" s="364" t="s">
        <v>2411</v>
      </c>
      <c r="R222" s="364" t="s">
        <v>2376</v>
      </c>
      <c r="S222" s="364" t="s">
        <v>2377</v>
      </c>
      <c r="T222" s="364" t="s">
        <v>2502</v>
      </c>
      <c r="U222" s="364" t="s">
        <v>2324</v>
      </c>
      <c r="V222" s="364" t="s">
        <v>2614</v>
      </c>
      <c r="W222" s="364" t="s">
        <v>2327</v>
      </c>
      <c r="X222" s="364" t="s">
        <v>2328</v>
      </c>
      <c r="Y222" s="364" t="s">
        <v>2329</v>
      </c>
      <c r="Z222" s="364" t="s">
        <v>2415</v>
      </c>
      <c r="AA222" s="364" t="s">
        <v>2416</v>
      </c>
      <c r="AB222" s="364" t="s">
        <v>2417</v>
      </c>
      <c r="AC222" s="364" t="s">
        <v>2506</v>
      </c>
      <c r="AD222" s="364" t="s">
        <v>2382</v>
      </c>
      <c r="AE222" s="364" t="s">
        <v>2383</v>
      </c>
      <c r="AF222" s="261" t="s">
        <v>183</v>
      </c>
      <c r="AG222" s="364" t="s">
        <v>2387</v>
      </c>
      <c r="AH222" s="364" t="s">
        <v>2337</v>
      </c>
      <c r="AI222" s="364" t="s">
        <v>2338</v>
      </c>
      <c r="AJ222" s="364" t="s">
        <v>2388</v>
      </c>
      <c r="AK222" s="364" t="s">
        <v>2339</v>
      </c>
      <c r="AL222" s="364" t="s">
        <v>2389</v>
      </c>
      <c r="AM222" s="364" t="s">
        <v>2420</v>
      </c>
      <c r="AN222" s="364" t="s">
        <v>2340</v>
      </c>
      <c r="AO222" s="364" t="s">
        <v>2341</v>
      </c>
      <c r="AP222" s="364" t="s">
        <v>2391</v>
      </c>
      <c r="AQ222" s="364" t="s">
        <v>2566</v>
      </c>
      <c r="AR222" s="364" t="s">
        <v>2470</v>
      </c>
      <c r="AS222" s="364" t="s">
        <v>2422</v>
      </c>
      <c r="AT222" s="364" t="s">
        <v>2344</v>
      </c>
      <c r="AU222" s="364" t="s">
        <v>2571</v>
      </c>
      <c r="AV222" s="364" t="s">
        <v>2346</v>
      </c>
      <c r="AW222" s="364" t="s">
        <v>2347</v>
      </c>
      <c r="AX222" s="364" t="s">
        <v>2511</v>
      </c>
      <c r="AY222" s="364" t="s">
        <v>2475</v>
      </c>
      <c r="AZ222" s="364" t="s">
        <v>2476</v>
      </c>
      <c r="BA222" s="364" t="s">
        <v>2399</v>
      </c>
      <c r="BB222" s="364" t="s">
        <v>2493</v>
      </c>
      <c r="BC222" s="364"/>
      <c r="BD222" s="364"/>
      <c r="BE222" s="364"/>
      <c r="BF222" s="364"/>
      <c r="BG222" s="364"/>
      <c r="BH222" s="364"/>
      <c r="BI222" s="364"/>
      <c r="BJ222" s="364"/>
      <c r="BK222" s="364"/>
      <c r="BL222" s="364"/>
      <c r="BM222" s="364"/>
      <c r="BN222" s="364"/>
      <c r="BO222" s="364"/>
      <c r="BP222" s="364"/>
      <c r="BQ222" s="364"/>
      <c r="BR222" s="364"/>
      <c r="BS222" s="364"/>
      <c r="BT222" s="364"/>
      <c r="BU222" s="364"/>
      <c r="BV222" s="364"/>
      <c r="BW222" s="364"/>
      <c r="BX222" s="364"/>
      <c r="BY222" s="364"/>
      <c r="BZ222" s="364"/>
      <c r="CA222" s="364"/>
      <c r="CB222" s="364"/>
      <c r="CC222" s="364"/>
      <c r="CD222" s="364"/>
      <c r="CE222" s="364"/>
      <c r="CF222" s="364"/>
      <c r="CG222" s="364"/>
      <c r="CH222" s="364"/>
      <c r="CI222" s="364"/>
      <c r="CJ222" s="364"/>
      <c r="CK222" s="364"/>
      <c r="CL222" s="364"/>
      <c r="CM222" s="364"/>
      <c r="CN222" s="364"/>
      <c r="CO222" s="364"/>
      <c r="CP222" s="364"/>
      <c r="CQ222" s="364"/>
      <c r="CR222" s="364"/>
      <c r="CS222" s="364"/>
      <c r="CT222" s="364"/>
      <c r="CU222" s="364"/>
      <c r="CV222" s="364"/>
      <c r="CW222" s="364"/>
      <c r="CX222" s="364"/>
      <c r="CY222" s="364"/>
      <c r="CZ222" s="364"/>
      <c r="DA222" s="364"/>
      <c r="DB222" s="364"/>
      <c r="DC222" s="364"/>
      <c r="DD222" s="364"/>
      <c r="DE222" s="364"/>
      <c r="DF222" s="364"/>
      <c r="DG222" s="364"/>
      <c r="DH222" s="364"/>
      <c r="DI222" s="364"/>
      <c r="DJ222" s="364"/>
      <c r="DK222" s="364"/>
      <c r="DL222" s="364"/>
      <c r="DM222" s="364"/>
      <c r="DN222" s="364"/>
      <c r="DO222" s="364"/>
      <c r="DP222" s="364"/>
      <c r="DQ222" s="364"/>
      <c r="DR222" s="364"/>
      <c r="DS222" s="364"/>
      <c r="DT222" s="364"/>
      <c r="DU222" s="364"/>
      <c r="DV222" s="364"/>
      <c r="DW222" s="364"/>
      <c r="DX222" s="364"/>
      <c r="DY222" s="364"/>
      <c r="DZ222" s="364"/>
      <c r="EA222" s="364"/>
      <c r="EB222" s="364"/>
      <c r="EC222" s="364"/>
      <c r="ED222" s="364"/>
      <c r="EE222" s="364"/>
      <c r="EF222" s="364"/>
      <c r="EG222" s="364"/>
      <c r="EH222" s="364"/>
      <c r="EI222" s="364"/>
      <c r="EJ222" s="364"/>
      <c r="EK222" s="364"/>
      <c r="EL222" s="364"/>
      <c r="EM222" s="364"/>
      <c r="EN222" s="364"/>
      <c r="EO222" s="364"/>
      <c r="EP222" s="364"/>
      <c r="EQ222" s="364"/>
      <c r="ER222" s="364"/>
      <c r="ES222" s="364"/>
      <c r="ET222" s="364"/>
      <c r="EU222" s="364"/>
      <c r="EV222" s="364"/>
      <c r="EW222" s="364"/>
      <c r="EX222" s="364"/>
      <c r="EY222" s="364"/>
      <c r="EZ222" s="364"/>
      <c r="FA222" s="364"/>
      <c r="FB222" s="364"/>
      <c r="FC222" s="364"/>
      <c r="FD222" s="364"/>
      <c r="FE222" s="364"/>
      <c r="FF222" s="364"/>
      <c r="FG222" s="364"/>
      <c r="FH222" s="364"/>
      <c r="FI222" s="364"/>
      <c r="FJ222" s="364"/>
      <c r="FK222" s="364"/>
    </row>
    <row r="223" customFormat="false" ht="15.75" hidden="false" customHeight="false" outlineLevel="0" collapsed="false">
      <c r="A223" s="364" t="n">
        <v>438</v>
      </c>
      <c r="B223" s="364" t="n">
        <f aca="false">COUNTA(D223:FK223)</f>
        <v>48</v>
      </c>
      <c r="C223" s="364" t="s">
        <v>1196</v>
      </c>
      <c r="D223" s="364" t="s">
        <v>2352</v>
      </c>
      <c r="E223" s="364" t="s">
        <v>2561</v>
      </c>
      <c r="F223" s="364" t="s">
        <v>2312</v>
      </c>
      <c r="G223" s="364" t="s">
        <v>2356</v>
      </c>
      <c r="H223" s="364" t="s">
        <v>2313</v>
      </c>
      <c r="I223" s="364" t="s">
        <v>2464</v>
      </c>
      <c r="J223" s="364" t="s">
        <v>138</v>
      </c>
      <c r="K223" s="364" t="s">
        <v>2316</v>
      </c>
      <c r="L223" s="364" t="s">
        <v>2364</v>
      </c>
      <c r="M223" s="364" t="s">
        <v>2317</v>
      </c>
      <c r="N223" s="364" t="s">
        <v>2562</v>
      </c>
      <c r="O223" s="364" t="s">
        <v>2320</v>
      </c>
      <c r="P223" s="364" t="s">
        <v>2411</v>
      </c>
      <c r="Q223" s="364" t="s">
        <v>2376</v>
      </c>
      <c r="R223" s="364" t="s">
        <v>2377</v>
      </c>
      <c r="S223" s="364" t="s">
        <v>2324</v>
      </c>
      <c r="T223" s="364" t="s">
        <v>2614</v>
      </c>
      <c r="U223" s="364" t="s">
        <v>2327</v>
      </c>
      <c r="V223" s="364" t="s">
        <v>2328</v>
      </c>
      <c r="W223" s="364" t="s">
        <v>2329</v>
      </c>
      <c r="X223" s="364" t="s">
        <v>2416</v>
      </c>
      <c r="Y223" s="364" t="s">
        <v>2506</v>
      </c>
      <c r="Z223" s="364" t="s">
        <v>2382</v>
      </c>
      <c r="AA223" s="364" t="s">
        <v>2383</v>
      </c>
      <c r="AB223" s="364" t="s">
        <v>2384</v>
      </c>
      <c r="AC223" s="261" t="s">
        <v>183</v>
      </c>
      <c r="AD223" s="364" t="s">
        <v>2387</v>
      </c>
      <c r="AE223" s="364" t="s">
        <v>2337</v>
      </c>
      <c r="AF223" s="364" t="s">
        <v>2338</v>
      </c>
      <c r="AG223" s="364" t="s">
        <v>2388</v>
      </c>
      <c r="AH223" s="364" t="s">
        <v>2339</v>
      </c>
      <c r="AI223" s="364" t="s">
        <v>2389</v>
      </c>
      <c r="AJ223" s="364" t="s">
        <v>2420</v>
      </c>
      <c r="AK223" s="364" t="s">
        <v>2340</v>
      </c>
      <c r="AL223" s="364" t="s">
        <v>2341</v>
      </c>
      <c r="AM223" s="364" t="s">
        <v>2391</v>
      </c>
      <c r="AN223" s="364" t="s">
        <v>2566</v>
      </c>
      <c r="AO223" s="364" t="s">
        <v>2392</v>
      </c>
      <c r="AP223" s="364" t="s">
        <v>2470</v>
      </c>
      <c r="AQ223" s="364" t="s">
        <v>2344</v>
      </c>
      <c r="AR223" s="364" t="s">
        <v>2571</v>
      </c>
      <c r="AS223" s="364" t="s">
        <v>2346</v>
      </c>
      <c r="AT223" s="364" t="s">
        <v>2347</v>
      </c>
      <c r="AU223" s="364" t="s">
        <v>2511</v>
      </c>
      <c r="AV223" s="364" t="s">
        <v>2475</v>
      </c>
      <c r="AW223" s="364" t="s">
        <v>2476</v>
      </c>
      <c r="AX223" s="364" t="s">
        <v>2399</v>
      </c>
      <c r="AY223" s="364" t="s">
        <v>2493</v>
      </c>
      <c r="AZ223" s="364"/>
      <c r="BA223" s="364"/>
      <c r="BB223" s="364"/>
      <c r="BC223" s="364"/>
      <c r="BD223" s="364"/>
      <c r="BE223" s="364"/>
      <c r="BF223" s="364"/>
      <c r="BG223" s="364"/>
      <c r="BH223" s="364"/>
      <c r="BI223" s="364"/>
      <c r="BJ223" s="364"/>
      <c r="BK223" s="364"/>
      <c r="BL223" s="364"/>
      <c r="BM223" s="364"/>
      <c r="BN223" s="364"/>
      <c r="BO223" s="364"/>
      <c r="BP223" s="364"/>
      <c r="BQ223" s="364"/>
      <c r="BR223" s="364"/>
      <c r="BS223" s="364"/>
      <c r="BT223" s="364"/>
      <c r="BU223" s="364"/>
      <c r="BV223" s="364"/>
      <c r="BW223" s="364"/>
      <c r="BX223" s="364"/>
      <c r="BY223" s="364"/>
      <c r="BZ223" s="364"/>
      <c r="CA223" s="364"/>
      <c r="CB223" s="364"/>
      <c r="CC223" s="364"/>
      <c r="CD223" s="364"/>
      <c r="CE223" s="364"/>
      <c r="CF223" s="364"/>
      <c r="CG223" s="364"/>
      <c r="CH223" s="364"/>
      <c r="CI223" s="364"/>
      <c r="CJ223" s="364"/>
      <c r="CK223" s="364"/>
      <c r="CL223" s="364"/>
      <c r="CM223" s="364"/>
      <c r="CN223" s="364"/>
      <c r="CO223" s="364"/>
      <c r="CP223" s="364"/>
      <c r="CQ223" s="364"/>
      <c r="CR223" s="364"/>
      <c r="CS223" s="364"/>
      <c r="CT223" s="364"/>
      <c r="CU223" s="364"/>
      <c r="CV223" s="364"/>
      <c r="CW223" s="364"/>
      <c r="CX223" s="364"/>
      <c r="CY223" s="364"/>
      <c r="CZ223" s="364"/>
      <c r="DA223" s="364"/>
      <c r="DB223" s="364"/>
      <c r="DC223" s="364"/>
      <c r="DD223" s="364"/>
      <c r="DE223" s="364"/>
      <c r="DF223" s="364"/>
      <c r="DG223" s="364"/>
      <c r="DH223" s="364"/>
      <c r="DI223" s="364"/>
      <c r="DJ223" s="364"/>
      <c r="DK223" s="364"/>
      <c r="DL223" s="364"/>
      <c r="DM223" s="364"/>
      <c r="DN223" s="364"/>
      <c r="DO223" s="364"/>
      <c r="DP223" s="364"/>
      <c r="DQ223" s="364"/>
      <c r="DR223" s="364"/>
      <c r="DS223" s="364"/>
      <c r="DT223" s="364"/>
      <c r="DU223" s="364"/>
      <c r="DV223" s="364"/>
      <c r="DW223" s="364"/>
      <c r="DX223" s="364"/>
      <c r="DY223" s="364"/>
      <c r="DZ223" s="364"/>
      <c r="EA223" s="364"/>
      <c r="EB223" s="364"/>
      <c r="EC223" s="364"/>
      <c r="ED223" s="364"/>
      <c r="EE223" s="364"/>
      <c r="EF223" s="364"/>
      <c r="EG223" s="364"/>
      <c r="EH223" s="364"/>
      <c r="EI223" s="364"/>
      <c r="EJ223" s="364"/>
      <c r="EK223" s="364"/>
      <c r="EL223" s="364"/>
      <c r="EM223" s="364"/>
      <c r="EN223" s="364"/>
      <c r="EO223" s="364"/>
      <c r="EP223" s="364"/>
      <c r="EQ223" s="364"/>
      <c r="ER223" s="364"/>
      <c r="ES223" s="364"/>
      <c r="ET223" s="364"/>
      <c r="EU223" s="364"/>
      <c r="EV223" s="364"/>
      <c r="EW223" s="364"/>
      <c r="EX223" s="364"/>
      <c r="EY223" s="364"/>
      <c r="EZ223" s="364"/>
      <c r="FA223" s="364"/>
      <c r="FB223" s="364"/>
      <c r="FC223" s="364"/>
      <c r="FD223" s="364"/>
      <c r="FE223" s="364"/>
      <c r="FF223" s="364"/>
      <c r="FG223" s="364"/>
      <c r="FH223" s="364"/>
      <c r="FI223" s="364"/>
      <c r="FJ223" s="364"/>
      <c r="FK223" s="364"/>
    </row>
    <row r="224" customFormat="false" ht="15.75" hidden="false" customHeight="false" outlineLevel="0" collapsed="false">
      <c r="A224" s="364" t="n">
        <v>439</v>
      </c>
      <c r="B224" s="364" t="n">
        <f aca="false">COUNTA(D224:FK224)</f>
        <v>52</v>
      </c>
      <c r="C224" s="364" t="s">
        <v>1199</v>
      </c>
      <c r="D224" s="364" t="s">
        <v>2352</v>
      </c>
      <c r="E224" s="364" t="s">
        <v>2312</v>
      </c>
      <c r="F224" s="364" t="s">
        <v>2313</v>
      </c>
      <c r="G224" s="364" t="s">
        <v>2464</v>
      </c>
      <c r="H224" s="364" t="s">
        <v>2465</v>
      </c>
      <c r="I224" s="364" t="s">
        <v>2315</v>
      </c>
      <c r="J224" s="364" t="s">
        <v>2410</v>
      </c>
      <c r="K224" s="364" t="s">
        <v>2316</v>
      </c>
      <c r="L224" s="364" t="s">
        <v>2601</v>
      </c>
      <c r="M224" s="364" t="s">
        <v>2359</v>
      </c>
      <c r="N224" s="364" t="s">
        <v>2360</v>
      </c>
      <c r="O224" s="364" t="s">
        <v>2361</v>
      </c>
      <c r="P224" s="364" t="s">
        <v>2435</v>
      </c>
      <c r="Q224" s="364" t="s">
        <v>2317</v>
      </c>
      <c r="R224" s="364" t="s">
        <v>2319</v>
      </c>
      <c r="S224" s="364" t="s">
        <v>2320</v>
      </c>
      <c r="T224" s="364" t="s">
        <v>2375</v>
      </c>
      <c r="U224" s="364" t="s">
        <v>2322</v>
      </c>
      <c r="V224" s="364" t="s">
        <v>2324</v>
      </c>
      <c r="W224" s="364" t="s">
        <v>2325</v>
      </c>
      <c r="X224" s="364" t="s">
        <v>2328</v>
      </c>
      <c r="Y224" s="364" t="s">
        <v>2329</v>
      </c>
      <c r="Z224" s="364" t="s">
        <v>2415</v>
      </c>
      <c r="AA224" s="364" t="s">
        <v>2417</v>
      </c>
      <c r="AB224" s="364" t="s">
        <v>2468</v>
      </c>
      <c r="AC224" s="364" t="s">
        <v>2663</v>
      </c>
      <c r="AD224" s="261" t="s">
        <v>183</v>
      </c>
      <c r="AE224" s="364" t="s">
        <v>2332</v>
      </c>
      <c r="AF224" s="364" t="s">
        <v>157</v>
      </c>
      <c r="AG224" s="364" t="s">
        <v>2495</v>
      </c>
      <c r="AH224" s="364" t="s">
        <v>2440</v>
      </c>
      <c r="AI224" s="364" t="s">
        <v>2337</v>
      </c>
      <c r="AJ224" s="364" t="s">
        <v>2469</v>
      </c>
      <c r="AK224" s="364" t="s">
        <v>2340</v>
      </c>
      <c r="AL224" s="364" t="s">
        <v>2341</v>
      </c>
      <c r="AM224" s="364" t="s">
        <v>2442</v>
      </c>
      <c r="AN224" s="364" t="s">
        <v>2392</v>
      </c>
      <c r="AO224" s="364" t="s">
        <v>2470</v>
      </c>
      <c r="AP224" s="364" t="s">
        <v>2344</v>
      </c>
      <c r="AQ224" s="364" t="s">
        <v>2345</v>
      </c>
      <c r="AR224" s="364" t="s">
        <v>2396</v>
      </c>
      <c r="AS224" s="364" t="s">
        <v>2641</v>
      </c>
      <c r="AT224" s="364" t="s">
        <v>2473</v>
      </c>
      <c r="AU224" s="364" t="s">
        <v>2424</v>
      </c>
      <c r="AV224" s="364" t="s">
        <v>2398</v>
      </c>
      <c r="AW224" s="364" t="s">
        <v>2475</v>
      </c>
      <c r="AX224" s="364" t="s">
        <v>2476</v>
      </c>
      <c r="AY224" s="364" t="s">
        <v>2400</v>
      </c>
      <c r="AZ224" s="364" t="s">
        <v>2425</v>
      </c>
      <c r="BA224" s="364" t="s">
        <v>2428</v>
      </c>
      <c r="BB224" s="364" t="s">
        <v>2429</v>
      </c>
      <c r="BC224" s="364" t="s">
        <v>2430</v>
      </c>
      <c r="BD224" s="364"/>
      <c r="BE224" s="364"/>
      <c r="BF224" s="364"/>
      <c r="BG224" s="364"/>
      <c r="BH224" s="364"/>
      <c r="BI224" s="364"/>
      <c r="BJ224" s="364"/>
      <c r="BK224" s="364"/>
      <c r="BL224" s="364"/>
      <c r="BM224" s="364"/>
      <c r="BN224" s="364"/>
      <c r="BO224" s="364"/>
      <c r="BP224" s="364"/>
      <c r="BQ224" s="364"/>
      <c r="BR224" s="364"/>
      <c r="BS224" s="364"/>
      <c r="BT224" s="364"/>
      <c r="BU224" s="364"/>
      <c r="BV224" s="364"/>
      <c r="BW224" s="364"/>
      <c r="BX224" s="364"/>
      <c r="BY224" s="364"/>
      <c r="BZ224" s="364"/>
      <c r="CA224" s="364"/>
      <c r="CB224" s="364"/>
      <c r="CC224" s="364"/>
      <c r="CD224" s="364"/>
      <c r="CE224" s="364"/>
      <c r="CF224" s="364"/>
      <c r="CG224" s="364"/>
      <c r="CH224" s="364"/>
      <c r="CI224" s="364"/>
      <c r="CJ224" s="364"/>
      <c r="CK224" s="364"/>
      <c r="CL224" s="364"/>
      <c r="CM224" s="364"/>
      <c r="CN224" s="364"/>
      <c r="CO224" s="364"/>
      <c r="CP224" s="364"/>
      <c r="CQ224" s="364"/>
      <c r="CR224" s="364"/>
      <c r="CS224" s="364"/>
      <c r="CT224" s="364"/>
      <c r="CU224" s="364"/>
      <c r="CV224" s="364"/>
      <c r="CW224" s="364"/>
      <c r="CX224" s="364"/>
      <c r="CY224" s="364"/>
      <c r="CZ224" s="364"/>
      <c r="DA224" s="364"/>
      <c r="DB224" s="364"/>
      <c r="DC224" s="364"/>
      <c r="DD224" s="364"/>
      <c r="DE224" s="364"/>
      <c r="DF224" s="364"/>
      <c r="DG224" s="364"/>
      <c r="DH224" s="364"/>
      <c r="DI224" s="364"/>
      <c r="DJ224" s="364"/>
      <c r="DK224" s="364"/>
      <c r="DL224" s="364"/>
      <c r="DM224" s="364"/>
      <c r="DN224" s="364"/>
      <c r="DO224" s="364"/>
      <c r="DP224" s="364"/>
      <c r="DQ224" s="364"/>
      <c r="DR224" s="364"/>
      <c r="DS224" s="364"/>
      <c r="DT224" s="364"/>
      <c r="DU224" s="364"/>
      <c r="DV224" s="364"/>
      <c r="DW224" s="364"/>
      <c r="DX224" s="364"/>
      <c r="DY224" s="364"/>
      <c r="DZ224" s="364"/>
      <c r="EA224" s="364"/>
      <c r="EB224" s="364"/>
      <c r="EC224" s="364"/>
      <c r="ED224" s="364"/>
      <c r="EE224" s="364"/>
      <c r="EF224" s="364"/>
      <c r="EG224" s="364"/>
      <c r="EH224" s="364"/>
      <c r="EI224" s="364"/>
      <c r="EJ224" s="364"/>
      <c r="EK224" s="364"/>
      <c r="EL224" s="364"/>
      <c r="EM224" s="364"/>
      <c r="EN224" s="364"/>
      <c r="EO224" s="364"/>
      <c r="EP224" s="364"/>
      <c r="EQ224" s="364"/>
      <c r="ER224" s="364"/>
      <c r="ES224" s="364"/>
      <c r="ET224" s="364"/>
      <c r="EU224" s="364"/>
      <c r="EV224" s="364"/>
      <c r="EW224" s="364"/>
      <c r="EX224" s="364"/>
      <c r="EY224" s="364"/>
      <c r="EZ224" s="364"/>
      <c r="FA224" s="364"/>
      <c r="FB224" s="364"/>
      <c r="FC224" s="364"/>
      <c r="FD224" s="364"/>
      <c r="FE224" s="364"/>
      <c r="FF224" s="364"/>
      <c r="FG224" s="364"/>
      <c r="FH224" s="364"/>
      <c r="FI224" s="364"/>
      <c r="FJ224" s="364"/>
      <c r="FK224" s="364"/>
    </row>
    <row r="225" customFormat="false" ht="15.75" hidden="false" customHeight="false" outlineLevel="0" collapsed="false">
      <c r="A225" s="364" t="n">
        <v>441</v>
      </c>
      <c r="B225" s="364" t="n">
        <f aca="false">COUNTA(D225:FK225)</f>
        <v>50</v>
      </c>
      <c r="C225" s="364" t="s">
        <v>1204</v>
      </c>
      <c r="D225" s="364" t="s">
        <v>2352</v>
      </c>
      <c r="E225" s="364" t="s">
        <v>2312</v>
      </c>
      <c r="F225" s="364" t="s">
        <v>2313</v>
      </c>
      <c r="G225" s="364" t="s">
        <v>2464</v>
      </c>
      <c r="H225" s="364" t="s">
        <v>2315</v>
      </c>
      <c r="I225" s="364" t="s">
        <v>2410</v>
      </c>
      <c r="J225" s="364" t="s">
        <v>2316</v>
      </c>
      <c r="K225" s="364" t="s">
        <v>2601</v>
      </c>
      <c r="L225" s="364" t="s">
        <v>2359</v>
      </c>
      <c r="M225" s="364" t="s">
        <v>2360</v>
      </c>
      <c r="N225" s="364" t="s">
        <v>2361</v>
      </c>
      <c r="O225" s="364" t="s">
        <v>2435</v>
      </c>
      <c r="P225" s="364" t="s">
        <v>2317</v>
      </c>
      <c r="Q225" s="364" t="s">
        <v>2319</v>
      </c>
      <c r="R225" s="364" t="s">
        <v>2320</v>
      </c>
      <c r="S225" s="364" t="s">
        <v>2375</v>
      </c>
      <c r="T225" s="364" t="s">
        <v>2322</v>
      </c>
      <c r="U225" s="364" t="s">
        <v>2324</v>
      </c>
      <c r="V225" s="364" t="s">
        <v>2325</v>
      </c>
      <c r="W225" s="364" t="s">
        <v>2328</v>
      </c>
      <c r="X225" s="364" t="s">
        <v>2329</v>
      </c>
      <c r="Y225" s="364" t="s">
        <v>2415</v>
      </c>
      <c r="Z225" s="364" t="s">
        <v>2417</v>
      </c>
      <c r="AA225" s="364" t="s">
        <v>2468</v>
      </c>
      <c r="AB225" s="364" t="s">
        <v>2664</v>
      </c>
      <c r="AC225" s="261" t="s">
        <v>183</v>
      </c>
      <c r="AD225" s="364" t="s">
        <v>2332</v>
      </c>
      <c r="AE225" s="364" t="s">
        <v>157</v>
      </c>
      <c r="AF225" s="364" t="s">
        <v>2495</v>
      </c>
      <c r="AG225" s="364" t="s">
        <v>2440</v>
      </c>
      <c r="AH225" s="364" t="s">
        <v>2337</v>
      </c>
      <c r="AI225" s="364" t="s">
        <v>2469</v>
      </c>
      <c r="AJ225" s="364" t="s">
        <v>2340</v>
      </c>
      <c r="AK225" s="364" t="s">
        <v>2341</v>
      </c>
      <c r="AL225" s="364" t="s">
        <v>2442</v>
      </c>
      <c r="AM225" s="364" t="s">
        <v>2392</v>
      </c>
      <c r="AN225" s="364" t="s">
        <v>2470</v>
      </c>
      <c r="AO225" s="364" t="s">
        <v>2344</v>
      </c>
      <c r="AP225" s="364" t="s">
        <v>2345</v>
      </c>
      <c r="AQ225" s="364" t="s">
        <v>2396</v>
      </c>
      <c r="AR225" s="364" t="s">
        <v>2641</v>
      </c>
      <c r="AS225" s="364" t="s">
        <v>2424</v>
      </c>
      <c r="AT225" s="364" t="s">
        <v>2398</v>
      </c>
      <c r="AU225" s="364" t="s">
        <v>2475</v>
      </c>
      <c r="AV225" s="364" t="s">
        <v>2476</v>
      </c>
      <c r="AW225" s="364" t="s">
        <v>2400</v>
      </c>
      <c r="AX225" s="364" t="s">
        <v>2425</v>
      </c>
      <c r="AY225" s="364" t="s">
        <v>2428</v>
      </c>
      <c r="AZ225" s="364" t="s">
        <v>2429</v>
      </c>
      <c r="BA225" s="364" t="s">
        <v>2430</v>
      </c>
      <c r="BB225" s="364"/>
      <c r="BC225" s="364"/>
      <c r="BD225" s="364"/>
      <c r="BE225" s="364"/>
      <c r="BF225" s="364"/>
      <c r="BG225" s="364"/>
      <c r="BH225" s="364"/>
      <c r="BI225" s="364"/>
      <c r="BJ225" s="364"/>
      <c r="BK225" s="364"/>
      <c r="BL225" s="364"/>
      <c r="BM225" s="364"/>
      <c r="BN225" s="364"/>
      <c r="BO225" s="364"/>
      <c r="BP225" s="364"/>
      <c r="BQ225" s="364"/>
      <c r="BR225" s="364"/>
      <c r="BS225" s="364"/>
      <c r="BT225" s="364"/>
      <c r="BU225" s="364"/>
      <c r="BV225" s="364"/>
      <c r="BW225" s="364"/>
      <c r="BX225" s="364"/>
      <c r="BY225" s="364"/>
      <c r="BZ225" s="364"/>
      <c r="CA225" s="364"/>
      <c r="CB225" s="364"/>
      <c r="CC225" s="364"/>
      <c r="CD225" s="364"/>
      <c r="CE225" s="364"/>
      <c r="CF225" s="364"/>
      <c r="CG225" s="364"/>
      <c r="CH225" s="364"/>
      <c r="CI225" s="364"/>
      <c r="CJ225" s="364"/>
      <c r="CK225" s="364"/>
      <c r="CL225" s="364"/>
      <c r="CM225" s="364"/>
      <c r="CN225" s="364"/>
      <c r="CO225" s="364"/>
      <c r="CP225" s="364"/>
      <c r="CQ225" s="364"/>
      <c r="CR225" s="364"/>
      <c r="CS225" s="364"/>
      <c r="CT225" s="364"/>
      <c r="CU225" s="364"/>
      <c r="CV225" s="364"/>
      <c r="CW225" s="364"/>
      <c r="CX225" s="364"/>
      <c r="CY225" s="364"/>
      <c r="CZ225" s="364"/>
      <c r="DA225" s="364"/>
      <c r="DB225" s="364"/>
      <c r="DC225" s="364"/>
      <c r="DD225" s="364"/>
      <c r="DE225" s="364"/>
      <c r="DF225" s="364"/>
      <c r="DG225" s="364"/>
      <c r="DH225" s="364"/>
      <c r="DI225" s="364"/>
      <c r="DJ225" s="364"/>
      <c r="DK225" s="364"/>
      <c r="DL225" s="364"/>
      <c r="DM225" s="364"/>
      <c r="DN225" s="364"/>
      <c r="DO225" s="364"/>
      <c r="DP225" s="364"/>
      <c r="DQ225" s="364"/>
      <c r="DR225" s="364"/>
      <c r="DS225" s="364"/>
      <c r="DT225" s="364"/>
      <c r="DU225" s="364"/>
      <c r="DV225" s="364"/>
      <c r="DW225" s="364"/>
      <c r="DX225" s="364"/>
      <c r="DY225" s="364"/>
      <c r="DZ225" s="364"/>
      <c r="EA225" s="364"/>
      <c r="EB225" s="364"/>
      <c r="EC225" s="364"/>
      <c r="ED225" s="364"/>
      <c r="EE225" s="364"/>
      <c r="EF225" s="364"/>
      <c r="EG225" s="364"/>
      <c r="EH225" s="364"/>
      <c r="EI225" s="364"/>
      <c r="EJ225" s="364"/>
      <c r="EK225" s="364"/>
      <c r="EL225" s="364"/>
      <c r="EM225" s="364"/>
      <c r="EN225" s="364"/>
      <c r="EO225" s="364"/>
      <c r="EP225" s="364"/>
      <c r="EQ225" s="364"/>
      <c r="ER225" s="364"/>
      <c r="ES225" s="364"/>
      <c r="ET225" s="364"/>
      <c r="EU225" s="364"/>
      <c r="EV225" s="364"/>
      <c r="EW225" s="364"/>
      <c r="EX225" s="364"/>
      <c r="EY225" s="364"/>
      <c r="EZ225" s="364"/>
      <c r="FA225" s="364"/>
      <c r="FB225" s="364"/>
      <c r="FC225" s="364"/>
      <c r="FD225" s="364"/>
      <c r="FE225" s="364"/>
      <c r="FF225" s="364"/>
      <c r="FG225" s="364"/>
      <c r="FH225" s="364"/>
      <c r="FI225" s="364"/>
      <c r="FJ225" s="364"/>
      <c r="FK225" s="364"/>
    </row>
    <row r="226" customFormat="false" ht="15.75" hidden="false" customHeight="false" outlineLevel="0" collapsed="false">
      <c r="A226" s="364" t="n">
        <v>443</v>
      </c>
      <c r="B226" s="364" t="n">
        <f aca="false">COUNTA(D226:FK226)</f>
        <v>44</v>
      </c>
      <c r="C226" s="364" t="s">
        <v>1209</v>
      </c>
      <c r="D226" s="364" t="s">
        <v>2561</v>
      </c>
      <c r="E226" s="364" t="s">
        <v>2402</v>
      </c>
      <c r="F226" s="364" t="s">
        <v>2403</v>
      </c>
      <c r="G226" s="364" t="s">
        <v>2405</v>
      </c>
      <c r="H226" s="364" t="s">
        <v>2312</v>
      </c>
      <c r="I226" s="364" t="s">
        <v>2356</v>
      </c>
      <c r="J226" s="364" t="s">
        <v>2406</v>
      </c>
      <c r="K226" s="364" t="s">
        <v>2313</v>
      </c>
      <c r="L226" s="364" t="s">
        <v>2410</v>
      </c>
      <c r="M226" s="364" t="s">
        <v>2316</v>
      </c>
      <c r="N226" s="364" t="s">
        <v>2317</v>
      </c>
      <c r="O226" s="364" t="s">
        <v>2320</v>
      </c>
      <c r="P226" s="364" t="s">
        <v>2324</v>
      </c>
      <c r="Q226" s="364" t="s">
        <v>2327</v>
      </c>
      <c r="R226" s="364" t="s">
        <v>2328</v>
      </c>
      <c r="S226" s="364" t="s">
        <v>2414</v>
      </c>
      <c r="T226" s="364" t="s">
        <v>2329</v>
      </c>
      <c r="U226" s="364" t="s">
        <v>2415</v>
      </c>
      <c r="V226" s="364" t="s">
        <v>2417</v>
      </c>
      <c r="W226" s="364" t="s">
        <v>2506</v>
      </c>
      <c r="X226" s="364" t="s">
        <v>2418</v>
      </c>
      <c r="Y226" s="364" t="s">
        <v>2615</v>
      </c>
      <c r="Z226" s="261" t="s">
        <v>183</v>
      </c>
      <c r="AA226" s="364" t="s">
        <v>2665</v>
      </c>
      <c r="AB226" s="364" t="s">
        <v>2337</v>
      </c>
      <c r="AC226" s="364" t="s">
        <v>2388</v>
      </c>
      <c r="AD226" s="364" t="s">
        <v>2339</v>
      </c>
      <c r="AE226" s="364" t="s">
        <v>2389</v>
      </c>
      <c r="AF226" s="364" t="s">
        <v>2340</v>
      </c>
      <c r="AG226" s="364" t="s">
        <v>2421</v>
      </c>
      <c r="AH226" s="364" t="s">
        <v>2341</v>
      </c>
      <c r="AI226" s="364" t="s">
        <v>2470</v>
      </c>
      <c r="AJ226" s="364" t="s">
        <v>2422</v>
      </c>
      <c r="AK226" s="364" t="s">
        <v>2344</v>
      </c>
      <c r="AL226" s="364" t="s">
        <v>2347</v>
      </c>
      <c r="AM226" s="364" t="s">
        <v>2424</v>
      </c>
      <c r="AN226" s="364" t="s">
        <v>2398</v>
      </c>
      <c r="AO226" s="364" t="s">
        <v>2475</v>
      </c>
      <c r="AP226" s="364" t="s">
        <v>2476</v>
      </c>
      <c r="AQ226" s="364" t="s">
        <v>2463</v>
      </c>
      <c r="AR226" s="364" t="s">
        <v>2425</v>
      </c>
      <c r="AS226" s="364" t="s">
        <v>2428</v>
      </c>
      <c r="AT226" s="364" t="s">
        <v>2660</v>
      </c>
      <c r="AU226" s="364" t="s">
        <v>2429</v>
      </c>
      <c r="AV226" s="364"/>
      <c r="AW226" s="364"/>
      <c r="AX226" s="364"/>
      <c r="AY226" s="364"/>
      <c r="AZ226" s="364"/>
      <c r="BA226" s="364"/>
      <c r="BB226" s="364"/>
      <c r="BC226" s="364"/>
      <c r="BD226" s="364"/>
      <c r="BE226" s="364"/>
      <c r="BF226" s="364"/>
      <c r="BG226" s="364"/>
      <c r="BH226" s="364"/>
      <c r="BI226" s="364"/>
      <c r="BJ226" s="364"/>
      <c r="BK226" s="364"/>
      <c r="BL226" s="364"/>
      <c r="BM226" s="364"/>
      <c r="BN226" s="364"/>
      <c r="BO226" s="364"/>
      <c r="BP226" s="364"/>
      <c r="BQ226" s="364"/>
      <c r="BR226" s="364"/>
      <c r="BS226" s="364"/>
      <c r="BT226" s="364"/>
      <c r="BU226" s="364"/>
      <c r="BV226" s="364"/>
      <c r="BW226" s="364"/>
      <c r="BX226" s="364"/>
      <c r="BY226" s="364"/>
      <c r="BZ226" s="364"/>
      <c r="CA226" s="364"/>
      <c r="CB226" s="364"/>
      <c r="CC226" s="364"/>
      <c r="CD226" s="364"/>
      <c r="CE226" s="364"/>
      <c r="CF226" s="364"/>
      <c r="CG226" s="364"/>
      <c r="CH226" s="364"/>
      <c r="CI226" s="364"/>
      <c r="CJ226" s="364"/>
      <c r="CK226" s="364"/>
      <c r="CL226" s="364"/>
      <c r="CM226" s="364"/>
      <c r="CN226" s="364"/>
      <c r="CO226" s="364"/>
      <c r="CP226" s="364"/>
      <c r="CQ226" s="364"/>
      <c r="CR226" s="364"/>
      <c r="CS226" s="364"/>
      <c r="CT226" s="364"/>
      <c r="CU226" s="364"/>
      <c r="CV226" s="364"/>
      <c r="CW226" s="364"/>
      <c r="CX226" s="364"/>
      <c r="CY226" s="364"/>
      <c r="CZ226" s="364"/>
      <c r="DA226" s="364"/>
      <c r="DB226" s="364"/>
      <c r="DC226" s="364"/>
      <c r="DD226" s="364"/>
      <c r="DE226" s="364"/>
      <c r="DF226" s="364"/>
      <c r="DG226" s="364"/>
      <c r="DH226" s="364"/>
      <c r="DI226" s="364"/>
      <c r="DJ226" s="364"/>
      <c r="DK226" s="364"/>
      <c r="DL226" s="364"/>
      <c r="DM226" s="364"/>
      <c r="DN226" s="364"/>
      <c r="DO226" s="364"/>
      <c r="DP226" s="364"/>
      <c r="DQ226" s="364"/>
      <c r="DR226" s="364"/>
      <c r="DS226" s="364"/>
      <c r="DT226" s="364"/>
      <c r="DU226" s="364"/>
      <c r="DV226" s="364"/>
      <c r="DW226" s="364"/>
      <c r="DX226" s="364"/>
      <c r="DY226" s="364"/>
      <c r="DZ226" s="364"/>
      <c r="EA226" s="364"/>
      <c r="EB226" s="364"/>
      <c r="EC226" s="364"/>
      <c r="ED226" s="364"/>
      <c r="EE226" s="364"/>
      <c r="EF226" s="364"/>
      <c r="EG226" s="364"/>
      <c r="EH226" s="364"/>
      <c r="EI226" s="364"/>
      <c r="EJ226" s="364"/>
      <c r="EK226" s="364"/>
      <c r="EL226" s="364"/>
      <c r="EM226" s="364"/>
      <c r="EN226" s="364"/>
      <c r="EO226" s="364"/>
      <c r="EP226" s="364"/>
      <c r="EQ226" s="364"/>
      <c r="ER226" s="364"/>
      <c r="ES226" s="364"/>
      <c r="ET226" s="364"/>
      <c r="EU226" s="364"/>
      <c r="EV226" s="364"/>
      <c r="EW226" s="364"/>
      <c r="EX226" s="364"/>
      <c r="EY226" s="364"/>
      <c r="EZ226" s="364"/>
      <c r="FA226" s="364"/>
      <c r="FB226" s="364"/>
      <c r="FC226" s="364"/>
      <c r="FD226" s="364"/>
      <c r="FE226" s="364"/>
      <c r="FF226" s="364"/>
      <c r="FG226" s="364"/>
      <c r="FH226" s="364"/>
      <c r="FI226" s="364"/>
      <c r="FJ226" s="364"/>
      <c r="FK226" s="364"/>
    </row>
    <row r="227" customFormat="false" ht="15.75" hidden="false" customHeight="false" outlineLevel="0" collapsed="false">
      <c r="A227" s="364" t="n">
        <v>445</v>
      </c>
      <c r="B227" s="364" t="n">
        <f aca="false">COUNTA(D227:FK227)</f>
        <v>62</v>
      </c>
      <c r="C227" s="364" t="s">
        <v>1214</v>
      </c>
      <c r="D227" s="364" t="s">
        <v>2352</v>
      </c>
      <c r="E227" s="364" t="s">
        <v>2561</v>
      </c>
      <c r="F227" s="364" t="s">
        <v>2312</v>
      </c>
      <c r="G227" s="364" t="s">
        <v>2356</v>
      </c>
      <c r="H227" s="364" t="s">
        <v>2357</v>
      </c>
      <c r="I227" s="364" t="s">
        <v>2313</v>
      </c>
      <c r="J227" s="364" t="s">
        <v>138</v>
      </c>
      <c r="K227" s="364" t="s">
        <v>2315</v>
      </c>
      <c r="L227" s="364" t="s">
        <v>2358</v>
      </c>
      <c r="M227" s="364" t="s">
        <v>2316</v>
      </c>
      <c r="N227" s="364" t="s">
        <v>2360</v>
      </c>
      <c r="O227" s="364" t="s">
        <v>2361</v>
      </c>
      <c r="P227" s="364" t="s">
        <v>2363</v>
      </c>
      <c r="Q227" s="364" t="s">
        <v>2364</v>
      </c>
      <c r="R227" s="364" t="s">
        <v>2497</v>
      </c>
      <c r="S227" s="364" t="s">
        <v>2317</v>
      </c>
      <c r="T227" s="364" t="s">
        <v>2637</v>
      </c>
      <c r="U227" s="364" t="s">
        <v>2320</v>
      </c>
      <c r="V227" s="364" t="s">
        <v>2366</v>
      </c>
      <c r="W227" s="364" t="s">
        <v>2369</v>
      </c>
      <c r="X227" s="364" t="s">
        <v>2373</v>
      </c>
      <c r="Y227" s="364" t="s">
        <v>2376</v>
      </c>
      <c r="Z227" s="364" t="s">
        <v>2322</v>
      </c>
      <c r="AA227" s="364" t="s">
        <v>2324</v>
      </c>
      <c r="AB227" s="364" t="s">
        <v>2614</v>
      </c>
      <c r="AC227" s="364" t="s">
        <v>2327</v>
      </c>
      <c r="AD227" s="364" t="s">
        <v>2328</v>
      </c>
      <c r="AE227" s="364" t="s">
        <v>2329</v>
      </c>
      <c r="AF227" s="364" t="s">
        <v>2379</v>
      </c>
      <c r="AG227" s="364" t="s">
        <v>2506</v>
      </c>
      <c r="AH227" s="364" t="s">
        <v>2381</v>
      </c>
      <c r="AI227" s="364" t="s">
        <v>2627</v>
      </c>
      <c r="AJ227" s="364" t="s">
        <v>2382</v>
      </c>
      <c r="AK227" s="364" t="s">
        <v>2383</v>
      </c>
      <c r="AL227" s="364" t="s">
        <v>2594</v>
      </c>
      <c r="AM227" s="261" t="s">
        <v>183</v>
      </c>
      <c r="AN227" s="364" t="s">
        <v>2386</v>
      </c>
      <c r="AO227" s="364" t="s">
        <v>2387</v>
      </c>
      <c r="AP227" s="364" t="s">
        <v>2666</v>
      </c>
      <c r="AQ227" s="364" t="s">
        <v>2337</v>
      </c>
      <c r="AR227" s="364" t="s">
        <v>2338</v>
      </c>
      <c r="AS227" s="364" t="s">
        <v>2388</v>
      </c>
      <c r="AT227" s="364" t="s">
        <v>2339</v>
      </c>
      <c r="AU227" s="364" t="s">
        <v>2389</v>
      </c>
      <c r="AV227" s="364" t="s">
        <v>2420</v>
      </c>
      <c r="AW227" s="364" t="s">
        <v>2340</v>
      </c>
      <c r="AX227" s="364" t="s">
        <v>2341</v>
      </c>
      <c r="AY227" s="364" t="s">
        <v>2391</v>
      </c>
      <c r="AZ227" s="364" t="s">
        <v>2392</v>
      </c>
      <c r="BA227" s="364" t="s">
        <v>2470</v>
      </c>
      <c r="BB227" s="364" t="s">
        <v>2395</v>
      </c>
      <c r="BC227" s="364" t="s">
        <v>2423</v>
      </c>
      <c r="BD227" s="364" t="s">
        <v>2344</v>
      </c>
      <c r="BE227" s="364" t="s">
        <v>2345</v>
      </c>
      <c r="BF227" s="364" t="s">
        <v>2346</v>
      </c>
      <c r="BG227" s="364" t="s">
        <v>2500</v>
      </c>
      <c r="BH227" s="364" t="s">
        <v>2347</v>
      </c>
      <c r="BI227" s="364" t="s">
        <v>2398</v>
      </c>
      <c r="BJ227" s="364" t="s">
        <v>2475</v>
      </c>
      <c r="BK227" s="364" t="s">
        <v>2476</v>
      </c>
      <c r="BL227" s="364" t="s">
        <v>2399</v>
      </c>
      <c r="BM227" s="364" t="s">
        <v>2463</v>
      </c>
      <c r="BN227" s="364"/>
      <c r="BO227" s="364"/>
      <c r="BP227" s="364"/>
      <c r="BQ227" s="364"/>
      <c r="BR227" s="364"/>
      <c r="BS227" s="364"/>
      <c r="BT227" s="364"/>
      <c r="BU227" s="364"/>
      <c r="BV227" s="364"/>
      <c r="BW227" s="364"/>
      <c r="BX227" s="364"/>
      <c r="BY227" s="364"/>
      <c r="BZ227" s="364"/>
      <c r="CA227" s="364"/>
      <c r="CB227" s="364"/>
      <c r="CC227" s="364"/>
      <c r="CD227" s="364"/>
      <c r="CE227" s="364"/>
      <c r="CF227" s="364"/>
      <c r="CG227" s="364"/>
      <c r="CH227" s="364"/>
      <c r="CI227" s="364"/>
      <c r="CJ227" s="364"/>
      <c r="CK227" s="364"/>
      <c r="CL227" s="364"/>
      <c r="CM227" s="364"/>
      <c r="CN227" s="364"/>
      <c r="CO227" s="364"/>
      <c r="CP227" s="364"/>
      <c r="CQ227" s="364"/>
      <c r="CR227" s="364"/>
      <c r="CS227" s="364"/>
      <c r="CT227" s="364"/>
      <c r="CU227" s="364"/>
      <c r="CV227" s="364"/>
      <c r="CW227" s="364"/>
      <c r="CX227" s="364"/>
      <c r="CY227" s="364"/>
      <c r="CZ227" s="364"/>
      <c r="DA227" s="364"/>
      <c r="DB227" s="364"/>
      <c r="DC227" s="364"/>
      <c r="DD227" s="364"/>
      <c r="DE227" s="364"/>
      <c r="DF227" s="364"/>
      <c r="DG227" s="364"/>
      <c r="DH227" s="364"/>
      <c r="DI227" s="364"/>
      <c r="DJ227" s="364"/>
      <c r="DK227" s="364"/>
      <c r="DL227" s="364"/>
      <c r="DM227" s="364"/>
      <c r="DN227" s="364"/>
      <c r="DO227" s="364"/>
      <c r="DP227" s="364"/>
      <c r="DQ227" s="364"/>
      <c r="DR227" s="364"/>
      <c r="DS227" s="364"/>
      <c r="DT227" s="364"/>
      <c r="DU227" s="364"/>
      <c r="DV227" s="364"/>
      <c r="DW227" s="364"/>
      <c r="DX227" s="364"/>
      <c r="DY227" s="364"/>
      <c r="DZ227" s="364"/>
      <c r="EA227" s="364"/>
      <c r="EB227" s="364"/>
      <c r="EC227" s="364"/>
      <c r="ED227" s="364"/>
      <c r="EE227" s="364"/>
      <c r="EF227" s="364"/>
      <c r="EG227" s="364"/>
      <c r="EH227" s="364"/>
      <c r="EI227" s="364"/>
      <c r="EJ227" s="364"/>
      <c r="EK227" s="364"/>
      <c r="EL227" s="364"/>
      <c r="EM227" s="364"/>
      <c r="EN227" s="364"/>
      <c r="EO227" s="364"/>
      <c r="EP227" s="364"/>
      <c r="EQ227" s="364"/>
      <c r="ER227" s="364"/>
      <c r="ES227" s="364"/>
      <c r="ET227" s="364"/>
      <c r="EU227" s="364"/>
      <c r="EV227" s="364"/>
      <c r="EW227" s="364"/>
      <c r="EX227" s="364"/>
      <c r="EY227" s="364"/>
      <c r="EZ227" s="364"/>
      <c r="FA227" s="364"/>
      <c r="FB227" s="364"/>
      <c r="FC227" s="364"/>
      <c r="FD227" s="364"/>
      <c r="FE227" s="364"/>
      <c r="FF227" s="364"/>
      <c r="FG227" s="364"/>
      <c r="FH227" s="364"/>
      <c r="FI227" s="364"/>
      <c r="FJ227" s="364"/>
      <c r="FK227" s="364"/>
    </row>
    <row r="228" customFormat="false" ht="15.75" hidden="false" customHeight="false" outlineLevel="0" collapsed="false">
      <c r="A228" s="364" t="n">
        <v>447</v>
      </c>
      <c r="B228" s="364" t="n">
        <f aca="false">COUNTA(D228:FK228)</f>
        <v>67</v>
      </c>
      <c r="C228" s="364" t="s">
        <v>1219</v>
      </c>
      <c r="D228" s="364" t="s">
        <v>2352</v>
      </c>
      <c r="E228" s="364" t="s">
        <v>2354</v>
      </c>
      <c r="F228" s="364" t="s">
        <v>2561</v>
      </c>
      <c r="G228" s="364" t="s">
        <v>2402</v>
      </c>
      <c r="H228" s="364" t="s">
        <v>2403</v>
      </c>
      <c r="I228" s="364" t="s">
        <v>2311</v>
      </c>
      <c r="J228" s="364" t="s">
        <v>2405</v>
      </c>
      <c r="K228" s="364" t="s">
        <v>2312</v>
      </c>
      <c r="L228" s="364" t="s">
        <v>2356</v>
      </c>
      <c r="M228" s="364" t="s">
        <v>2357</v>
      </c>
      <c r="N228" s="364" t="s">
        <v>2313</v>
      </c>
      <c r="O228" s="364" t="s">
        <v>2466</v>
      </c>
      <c r="P228" s="364" t="s">
        <v>2410</v>
      </c>
      <c r="Q228" s="364" t="s">
        <v>2316</v>
      </c>
      <c r="R228" s="364" t="s">
        <v>2601</v>
      </c>
      <c r="S228" s="364" t="s">
        <v>2667</v>
      </c>
      <c r="T228" s="364" t="s">
        <v>2360</v>
      </c>
      <c r="U228" s="364" t="s">
        <v>2361</v>
      </c>
      <c r="V228" s="364" t="s">
        <v>2363</v>
      </c>
      <c r="W228" s="364" t="s">
        <v>2497</v>
      </c>
      <c r="X228" s="364" t="s">
        <v>2317</v>
      </c>
      <c r="Y228" s="364" t="s">
        <v>2318</v>
      </c>
      <c r="Z228" s="364" t="s">
        <v>2319</v>
      </c>
      <c r="AA228" s="364" t="s">
        <v>2547</v>
      </c>
      <c r="AB228" s="364" t="s">
        <v>2320</v>
      </c>
      <c r="AC228" s="364" t="s">
        <v>2366</v>
      </c>
      <c r="AD228" s="364" t="s">
        <v>2373</v>
      </c>
      <c r="AE228" s="364" t="s">
        <v>2375</v>
      </c>
      <c r="AF228" s="364" t="s">
        <v>2376</v>
      </c>
      <c r="AG228" s="364" t="s">
        <v>2322</v>
      </c>
      <c r="AH228" s="364" t="s">
        <v>2324</v>
      </c>
      <c r="AI228" s="364" t="s">
        <v>2412</v>
      </c>
      <c r="AJ228" s="364" t="s">
        <v>2327</v>
      </c>
      <c r="AK228" s="364" t="s">
        <v>2328</v>
      </c>
      <c r="AL228" s="364" t="s">
        <v>2329</v>
      </c>
      <c r="AM228" s="364" t="s">
        <v>2521</v>
      </c>
      <c r="AN228" s="364" t="s">
        <v>2415</v>
      </c>
      <c r="AO228" s="364" t="s">
        <v>2417</v>
      </c>
      <c r="AP228" s="364" t="s">
        <v>2379</v>
      </c>
      <c r="AQ228" s="364" t="s">
        <v>2506</v>
      </c>
      <c r="AR228" s="364" t="s">
        <v>2381</v>
      </c>
      <c r="AS228" s="261" t="s">
        <v>183</v>
      </c>
      <c r="AT228" s="364" t="s">
        <v>2332</v>
      </c>
      <c r="AU228" s="364" t="s">
        <v>2386</v>
      </c>
      <c r="AV228" s="364" t="s">
        <v>2337</v>
      </c>
      <c r="AW228" s="364" t="s">
        <v>2388</v>
      </c>
      <c r="AX228" s="364" t="s">
        <v>2339</v>
      </c>
      <c r="AY228" s="364" t="s">
        <v>2389</v>
      </c>
      <c r="AZ228" s="364" t="s">
        <v>2340</v>
      </c>
      <c r="BA228" s="364" t="s">
        <v>2341</v>
      </c>
      <c r="BB228" s="364" t="s">
        <v>2392</v>
      </c>
      <c r="BC228" s="364" t="s">
        <v>2470</v>
      </c>
      <c r="BD228" s="364" t="s">
        <v>2394</v>
      </c>
      <c r="BE228" s="364" t="s">
        <v>2344</v>
      </c>
      <c r="BF228" s="364" t="s">
        <v>2345</v>
      </c>
      <c r="BG228" s="364" t="s">
        <v>2500</v>
      </c>
      <c r="BH228" s="364" t="s">
        <v>2347</v>
      </c>
      <c r="BI228" s="364" t="s">
        <v>2424</v>
      </c>
      <c r="BJ228" s="364" t="s">
        <v>2398</v>
      </c>
      <c r="BK228" s="364" t="s">
        <v>2475</v>
      </c>
      <c r="BL228" s="364" t="s">
        <v>2476</v>
      </c>
      <c r="BM228" s="364" t="s">
        <v>2400</v>
      </c>
      <c r="BN228" s="364" t="s">
        <v>2463</v>
      </c>
      <c r="BO228" s="364" t="s">
        <v>2668</v>
      </c>
      <c r="BP228" s="364" t="s">
        <v>2425</v>
      </c>
      <c r="BQ228" s="364" t="s">
        <v>2428</v>
      </c>
      <c r="BR228" s="364" t="s">
        <v>2429</v>
      </c>
      <c r="BS228" s="364"/>
      <c r="BT228" s="364"/>
      <c r="BU228" s="364"/>
      <c r="BV228" s="364"/>
      <c r="BW228" s="364"/>
      <c r="BX228" s="364"/>
      <c r="BY228" s="364"/>
      <c r="BZ228" s="364"/>
      <c r="CA228" s="364"/>
      <c r="CB228" s="364"/>
      <c r="CC228" s="364"/>
      <c r="CD228" s="364"/>
      <c r="CE228" s="364"/>
      <c r="CF228" s="364"/>
      <c r="CG228" s="364"/>
      <c r="CH228" s="364"/>
      <c r="CI228" s="364"/>
      <c r="CJ228" s="364"/>
      <c r="CK228" s="364"/>
      <c r="CL228" s="364"/>
      <c r="CM228" s="364"/>
      <c r="CN228" s="364"/>
      <c r="CO228" s="364"/>
      <c r="CP228" s="364"/>
      <c r="CQ228" s="364"/>
      <c r="CR228" s="364"/>
      <c r="CS228" s="364"/>
      <c r="CT228" s="364"/>
      <c r="CU228" s="364"/>
      <c r="CV228" s="364"/>
      <c r="CW228" s="364"/>
      <c r="CX228" s="364"/>
      <c r="CY228" s="364"/>
      <c r="CZ228" s="364"/>
      <c r="DA228" s="364"/>
      <c r="DB228" s="364"/>
      <c r="DC228" s="364"/>
      <c r="DD228" s="364"/>
      <c r="DE228" s="364"/>
      <c r="DF228" s="364"/>
      <c r="DG228" s="364"/>
      <c r="DH228" s="364"/>
      <c r="DI228" s="364"/>
      <c r="DJ228" s="364"/>
      <c r="DK228" s="364"/>
      <c r="DL228" s="364"/>
      <c r="DM228" s="364"/>
      <c r="DN228" s="364"/>
      <c r="DO228" s="364"/>
      <c r="DP228" s="364"/>
      <c r="DQ228" s="364"/>
      <c r="DR228" s="364"/>
      <c r="DS228" s="364"/>
      <c r="DT228" s="364"/>
      <c r="DU228" s="364"/>
      <c r="DV228" s="364"/>
      <c r="DW228" s="364"/>
      <c r="DX228" s="364"/>
      <c r="DY228" s="364"/>
      <c r="DZ228" s="364"/>
      <c r="EA228" s="364"/>
      <c r="EB228" s="364"/>
      <c r="EC228" s="364"/>
      <c r="ED228" s="364"/>
      <c r="EE228" s="364"/>
      <c r="EF228" s="364"/>
      <c r="EG228" s="364"/>
      <c r="EH228" s="364"/>
      <c r="EI228" s="364"/>
      <c r="EJ228" s="364"/>
      <c r="EK228" s="364"/>
      <c r="EL228" s="364"/>
      <c r="EM228" s="364"/>
      <c r="EN228" s="364"/>
      <c r="EO228" s="364"/>
      <c r="EP228" s="364"/>
      <c r="EQ228" s="364"/>
      <c r="ER228" s="364"/>
      <c r="ES228" s="364"/>
      <c r="ET228" s="364"/>
      <c r="EU228" s="364"/>
      <c r="EV228" s="364"/>
      <c r="EW228" s="364"/>
      <c r="EX228" s="364"/>
      <c r="EY228" s="364"/>
      <c r="EZ228" s="364"/>
      <c r="FA228" s="364"/>
      <c r="FB228" s="364"/>
      <c r="FC228" s="364"/>
      <c r="FD228" s="364"/>
      <c r="FE228" s="364"/>
      <c r="FF228" s="364"/>
      <c r="FG228" s="364"/>
      <c r="FH228" s="364"/>
      <c r="FI228" s="364"/>
      <c r="FJ228" s="364"/>
      <c r="FK228" s="364"/>
    </row>
    <row r="229" customFormat="false" ht="15.75" hidden="false" customHeight="false" outlineLevel="0" collapsed="false">
      <c r="A229" s="364" t="n">
        <v>449</v>
      </c>
      <c r="B229" s="364" t="n">
        <f aca="false">COUNTA(D229:FK229)</f>
        <v>49</v>
      </c>
      <c r="C229" s="364" t="s">
        <v>1224</v>
      </c>
      <c r="D229" s="364" t="s">
        <v>2352</v>
      </c>
      <c r="E229" s="364" t="s">
        <v>2561</v>
      </c>
      <c r="F229" s="364" t="s">
        <v>2312</v>
      </c>
      <c r="G229" s="364" t="s">
        <v>2464</v>
      </c>
      <c r="H229" s="364" t="s">
        <v>2434</v>
      </c>
      <c r="I229" s="364" t="s">
        <v>2517</v>
      </c>
      <c r="J229" s="364" t="s">
        <v>2669</v>
      </c>
      <c r="K229" s="364" t="s">
        <v>2316</v>
      </c>
      <c r="L229" s="364" t="s">
        <v>2601</v>
      </c>
      <c r="M229" s="364" t="s">
        <v>2520</v>
      </c>
      <c r="N229" s="364" t="s">
        <v>2435</v>
      </c>
      <c r="O229" s="364" t="s">
        <v>2364</v>
      </c>
      <c r="P229" s="364" t="s">
        <v>2319</v>
      </c>
      <c r="Q229" s="364" t="s">
        <v>2320</v>
      </c>
      <c r="R229" s="364" t="s">
        <v>2369</v>
      </c>
      <c r="S229" s="364" t="s">
        <v>2411</v>
      </c>
      <c r="T229" s="364" t="s">
        <v>2550</v>
      </c>
      <c r="U229" s="364" t="s">
        <v>2324</v>
      </c>
      <c r="V229" s="364" t="s">
        <v>2325</v>
      </c>
      <c r="W229" s="364" t="s">
        <v>2327</v>
      </c>
      <c r="X229" s="364" t="s">
        <v>2625</v>
      </c>
      <c r="Y229" s="364" t="s">
        <v>2328</v>
      </c>
      <c r="Z229" s="364" t="s">
        <v>2329</v>
      </c>
      <c r="AA229" s="364" t="s">
        <v>2416</v>
      </c>
      <c r="AB229" s="364" t="s">
        <v>2417</v>
      </c>
      <c r="AC229" s="364" t="s">
        <v>2506</v>
      </c>
      <c r="AD229" s="364" t="s">
        <v>2468</v>
      </c>
      <c r="AE229" s="364" t="s">
        <v>2662</v>
      </c>
      <c r="AF229" s="364" t="s">
        <v>2638</v>
      </c>
      <c r="AG229" s="261" t="s">
        <v>183</v>
      </c>
      <c r="AH229" s="364" t="s">
        <v>2526</v>
      </c>
      <c r="AI229" s="364" t="s">
        <v>2387</v>
      </c>
      <c r="AJ229" s="364" t="s">
        <v>157</v>
      </c>
      <c r="AK229" s="364" t="s">
        <v>2495</v>
      </c>
      <c r="AL229" s="364" t="s">
        <v>2337</v>
      </c>
      <c r="AM229" s="364" t="s">
        <v>2340</v>
      </c>
      <c r="AN229" s="364" t="s">
        <v>2341</v>
      </c>
      <c r="AO229" s="364" t="s">
        <v>2442</v>
      </c>
      <c r="AP229" s="364" t="s">
        <v>2470</v>
      </c>
      <c r="AQ229" s="364" t="s">
        <v>2422</v>
      </c>
      <c r="AR229" s="364" t="s">
        <v>2344</v>
      </c>
      <c r="AS229" s="364" t="s">
        <v>2398</v>
      </c>
      <c r="AT229" s="364" t="s">
        <v>2475</v>
      </c>
      <c r="AU229" s="364" t="s">
        <v>2476</v>
      </c>
      <c r="AV229" s="364" t="s">
        <v>2399</v>
      </c>
      <c r="AW229" s="364" t="s">
        <v>2463</v>
      </c>
      <c r="AX229" s="364" t="s">
        <v>2446</v>
      </c>
      <c r="AY229" s="364" t="s">
        <v>2428</v>
      </c>
      <c r="AZ229" s="364" t="s">
        <v>2430</v>
      </c>
      <c r="BA229" s="364"/>
      <c r="BB229" s="364"/>
      <c r="BC229" s="364"/>
      <c r="BD229" s="364"/>
      <c r="BE229" s="364"/>
      <c r="BF229" s="364"/>
      <c r="BG229" s="364"/>
      <c r="BH229" s="364"/>
      <c r="BI229" s="364"/>
      <c r="BJ229" s="364"/>
      <c r="BK229" s="364"/>
      <c r="BL229" s="364"/>
      <c r="BM229" s="364"/>
      <c r="BN229" s="364"/>
      <c r="BO229" s="364"/>
      <c r="BP229" s="364"/>
      <c r="BQ229" s="364"/>
      <c r="BR229" s="364"/>
      <c r="BS229" s="364"/>
      <c r="BT229" s="364"/>
      <c r="BU229" s="364"/>
      <c r="BV229" s="364"/>
      <c r="BW229" s="364"/>
      <c r="BX229" s="364"/>
      <c r="BY229" s="364"/>
      <c r="BZ229" s="364"/>
      <c r="CA229" s="364"/>
      <c r="CB229" s="364"/>
      <c r="CC229" s="364"/>
      <c r="CD229" s="364"/>
      <c r="CE229" s="364"/>
      <c r="CF229" s="364"/>
      <c r="CG229" s="364"/>
      <c r="CH229" s="364"/>
      <c r="CI229" s="364"/>
      <c r="CJ229" s="364"/>
      <c r="CK229" s="364"/>
      <c r="CL229" s="364"/>
      <c r="CM229" s="364"/>
      <c r="CN229" s="364"/>
      <c r="CO229" s="364"/>
      <c r="CP229" s="364"/>
      <c r="CQ229" s="364"/>
      <c r="CR229" s="364"/>
      <c r="CS229" s="364"/>
      <c r="CT229" s="364"/>
      <c r="CU229" s="364"/>
      <c r="CV229" s="364"/>
      <c r="CW229" s="364"/>
      <c r="CX229" s="364"/>
      <c r="CY229" s="364"/>
      <c r="CZ229" s="364"/>
      <c r="DA229" s="364"/>
      <c r="DB229" s="364"/>
      <c r="DC229" s="364"/>
      <c r="DD229" s="364"/>
      <c r="DE229" s="364"/>
      <c r="DF229" s="364"/>
      <c r="DG229" s="364"/>
      <c r="DH229" s="364"/>
      <c r="DI229" s="364"/>
      <c r="DJ229" s="364"/>
      <c r="DK229" s="364"/>
      <c r="DL229" s="364"/>
      <c r="DM229" s="364"/>
      <c r="DN229" s="364"/>
      <c r="DO229" s="364"/>
      <c r="DP229" s="364"/>
      <c r="DQ229" s="364"/>
      <c r="DR229" s="364"/>
      <c r="DS229" s="364"/>
      <c r="DT229" s="364"/>
      <c r="DU229" s="364"/>
      <c r="DV229" s="364"/>
      <c r="DW229" s="364"/>
      <c r="DX229" s="364"/>
      <c r="DY229" s="364"/>
      <c r="DZ229" s="364"/>
      <c r="EA229" s="364"/>
      <c r="EB229" s="364"/>
      <c r="EC229" s="364"/>
      <c r="ED229" s="364"/>
      <c r="EE229" s="364"/>
      <c r="EF229" s="364"/>
      <c r="EG229" s="364"/>
      <c r="EH229" s="364"/>
      <c r="EI229" s="364"/>
      <c r="EJ229" s="364"/>
      <c r="EK229" s="364"/>
      <c r="EL229" s="364"/>
      <c r="EM229" s="364"/>
      <c r="EN229" s="364"/>
      <c r="EO229" s="364"/>
      <c r="EP229" s="364"/>
      <c r="EQ229" s="364"/>
      <c r="ER229" s="364"/>
      <c r="ES229" s="364"/>
      <c r="ET229" s="364"/>
      <c r="EU229" s="364"/>
      <c r="EV229" s="364"/>
      <c r="EW229" s="364"/>
      <c r="EX229" s="364"/>
      <c r="EY229" s="364"/>
      <c r="EZ229" s="364"/>
      <c r="FA229" s="364"/>
      <c r="FB229" s="364"/>
      <c r="FC229" s="364"/>
      <c r="FD229" s="364"/>
      <c r="FE229" s="364"/>
      <c r="FF229" s="364"/>
      <c r="FG229" s="364"/>
      <c r="FH229" s="364"/>
      <c r="FI229" s="364"/>
      <c r="FJ229" s="364"/>
      <c r="FK229" s="364"/>
    </row>
    <row r="230" customFormat="false" ht="15.75" hidden="false" customHeight="false" outlineLevel="0" collapsed="false">
      <c r="A230" s="364" t="n">
        <v>450</v>
      </c>
      <c r="B230" s="364" t="n">
        <f aca="false">COUNTA(D230:FK230)</f>
        <v>68</v>
      </c>
      <c r="C230" s="364" t="s">
        <v>1226</v>
      </c>
      <c r="D230" s="364" t="s">
        <v>2352</v>
      </c>
      <c r="E230" s="364" t="s">
        <v>2403</v>
      </c>
      <c r="F230" s="364" t="s">
        <v>2311</v>
      </c>
      <c r="G230" s="364" t="s">
        <v>2312</v>
      </c>
      <c r="H230" s="364" t="s">
        <v>2356</v>
      </c>
      <c r="I230" s="364" t="s">
        <v>2357</v>
      </c>
      <c r="J230" s="364" t="s">
        <v>2464</v>
      </c>
      <c r="K230" s="364" t="s">
        <v>138</v>
      </c>
      <c r="L230" s="364" t="s">
        <v>2315</v>
      </c>
      <c r="M230" s="364" t="s">
        <v>2409</v>
      </c>
      <c r="N230" s="364" t="s">
        <v>2316</v>
      </c>
      <c r="O230" s="364" t="s">
        <v>2520</v>
      </c>
      <c r="P230" s="364" t="s">
        <v>2435</v>
      </c>
      <c r="Q230" s="364" t="s">
        <v>2364</v>
      </c>
      <c r="R230" s="364" t="s">
        <v>2319</v>
      </c>
      <c r="S230" s="364" t="s">
        <v>2547</v>
      </c>
      <c r="T230" s="364" t="s">
        <v>2320</v>
      </c>
      <c r="U230" s="364" t="s">
        <v>2369</v>
      </c>
      <c r="V230" s="364" t="s">
        <v>2411</v>
      </c>
      <c r="W230" s="364" t="s">
        <v>2376</v>
      </c>
      <c r="X230" s="364" t="s">
        <v>2377</v>
      </c>
      <c r="Y230" s="364" t="s">
        <v>2324</v>
      </c>
      <c r="Z230" s="364" t="s">
        <v>2325</v>
      </c>
      <c r="AA230" s="364" t="s">
        <v>2327</v>
      </c>
      <c r="AB230" s="364" t="s">
        <v>2328</v>
      </c>
      <c r="AC230" s="364" t="s">
        <v>2329</v>
      </c>
      <c r="AD230" s="364" t="s">
        <v>2415</v>
      </c>
      <c r="AE230" s="364" t="s">
        <v>2416</v>
      </c>
      <c r="AF230" s="364" t="s">
        <v>2417</v>
      </c>
      <c r="AG230" s="364" t="s">
        <v>2330</v>
      </c>
      <c r="AH230" s="364" t="s">
        <v>2539</v>
      </c>
      <c r="AI230" s="364" t="s">
        <v>2540</v>
      </c>
      <c r="AJ230" s="364" t="s">
        <v>2382</v>
      </c>
      <c r="AK230" s="364" t="s">
        <v>2383</v>
      </c>
      <c r="AL230" s="364" t="s">
        <v>2662</v>
      </c>
      <c r="AM230" s="364" t="s">
        <v>2596</v>
      </c>
      <c r="AN230" s="261" t="s">
        <v>183</v>
      </c>
      <c r="AO230" s="364" t="s">
        <v>2589</v>
      </c>
      <c r="AP230" s="364" t="s">
        <v>2454</v>
      </c>
      <c r="AQ230" s="364" t="s">
        <v>2387</v>
      </c>
      <c r="AR230" s="364" t="s">
        <v>157</v>
      </c>
      <c r="AS230" s="364" t="s">
        <v>2653</v>
      </c>
      <c r="AT230" s="364" t="s">
        <v>2495</v>
      </c>
      <c r="AU230" s="364" t="s">
        <v>2455</v>
      </c>
      <c r="AV230" s="364" t="s">
        <v>2337</v>
      </c>
      <c r="AW230" s="364" t="s">
        <v>2388</v>
      </c>
      <c r="AX230" s="364" t="s">
        <v>2339</v>
      </c>
      <c r="AY230" s="364" t="s">
        <v>2389</v>
      </c>
      <c r="AZ230" s="364" t="s">
        <v>2340</v>
      </c>
      <c r="BA230" s="364" t="s">
        <v>2341</v>
      </c>
      <c r="BB230" s="364" t="s">
        <v>2391</v>
      </c>
      <c r="BC230" s="364" t="s">
        <v>2442</v>
      </c>
      <c r="BD230" s="364" t="s">
        <v>2470</v>
      </c>
      <c r="BE230" s="364" t="s">
        <v>2422</v>
      </c>
      <c r="BF230" s="364" t="s">
        <v>2344</v>
      </c>
      <c r="BG230" s="364" t="s">
        <v>2345</v>
      </c>
      <c r="BH230" s="364" t="s">
        <v>2346</v>
      </c>
      <c r="BI230" s="364" t="s">
        <v>2347</v>
      </c>
      <c r="BJ230" s="364" t="s">
        <v>2511</v>
      </c>
      <c r="BK230" s="364" t="s">
        <v>2398</v>
      </c>
      <c r="BL230" s="364" t="s">
        <v>2456</v>
      </c>
      <c r="BM230" s="364" t="s">
        <v>2475</v>
      </c>
      <c r="BN230" s="364" t="s">
        <v>2476</v>
      </c>
      <c r="BO230" s="364" t="s">
        <v>2399</v>
      </c>
      <c r="BP230" s="364" t="s">
        <v>2428</v>
      </c>
      <c r="BQ230" s="364" t="s">
        <v>2489</v>
      </c>
      <c r="BR230" s="364" t="s">
        <v>2493</v>
      </c>
      <c r="BS230" s="364" t="s">
        <v>2430</v>
      </c>
      <c r="BT230" s="364"/>
      <c r="BU230" s="364"/>
      <c r="BV230" s="364"/>
      <c r="BW230" s="364"/>
      <c r="BX230" s="364"/>
      <c r="BY230" s="364"/>
      <c r="BZ230" s="364"/>
      <c r="CA230" s="364"/>
      <c r="CB230" s="364"/>
      <c r="CC230" s="364"/>
      <c r="CD230" s="364"/>
      <c r="CE230" s="364"/>
      <c r="CF230" s="364"/>
      <c r="CG230" s="364"/>
      <c r="CH230" s="364"/>
      <c r="CI230" s="364"/>
      <c r="CJ230" s="364"/>
      <c r="CK230" s="364"/>
      <c r="CL230" s="364"/>
      <c r="CM230" s="364"/>
      <c r="CN230" s="364"/>
      <c r="CO230" s="364"/>
      <c r="CP230" s="364"/>
      <c r="CQ230" s="364"/>
      <c r="CR230" s="364"/>
      <c r="CS230" s="364"/>
      <c r="CT230" s="364"/>
      <c r="CU230" s="364"/>
      <c r="CV230" s="364"/>
      <c r="CW230" s="364"/>
      <c r="CX230" s="364"/>
      <c r="CY230" s="364"/>
      <c r="CZ230" s="364"/>
      <c r="DA230" s="364"/>
      <c r="DB230" s="364"/>
      <c r="DC230" s="364"/>
      <c r="DD230" s="364"/>
      <c r="DE230" s="364"/>
      <c r="DF230" s="364"/>
      <c r="DG230" s="364"/>
      <c r="DH230" s="364"/>
      <c r="DI230" s="364"/>
      <c r="DJ230" s="364"/>
      <c r="DK230" s="364"/>
      <c r="DL230" s="364"/>
      <c r="DM230" s="364"/>
      <c r="DN230" s="364"/>
      <c r="DO230" s="364"/>
      <c r="DP230" s="364"/>
      <c r="DQ230" s="364"/>
      <c r="DR230" s="364"/>
      <c r="DS230" s="364"/>
      <c r="DT230" s="364"/>
      <c r="DU230" s="364"/>
      <c r="DV230" s="364"/>
      <c r="DW230" s="364"/>
      <c r="DX230" s="364"/>
      <c r="DY230" s="364"/>
      <c r="DZ230" s="364"/>
      <c r="EA230" s="364"/>
      <c r="EB230" s="364"/>
      <c r="EC230" s="364"/>
      <c r="ED230" s="364"/>
      <c r="EE230" s="364"/>
      <c r="EF230" s="364"/>
      <c r="EG230" s="364"/>
      <c r="EH230" s="364"/>
      <c r="EI230" s="364"/>
      <c r="EJ230" s="364"/>
      <c r="EK230" s="364"/>
      <c r="EL230" s="364"/>
      <c r="EM230" s="364"/>
      <c r="EN230" s="364"/>
      <c r="EO230" s="364"/>
      <c r="EP230" s="364"/>
      <c r="EQ230" s="364"/>
      <c r="ER230" s="364"/>
      <c r="ES230" s="364"/>
      <c r="ET230" s="364"/>
      <c r="EU230" s="364"/>
      <c r="EV230" s="364"/>
      <c r="EW230" s="364"/>
      <c r="EX230" s="364"/>
      <c r="EY230" s="364"/>
      <c r="EZ230" s="364"/>
      <c r="FA230" s="364"/>
      <c r="FB230" s="364"/>
      <c r="FC230" s="364"/>
      <c r="FD230" s="364"/>
      <c r="FE230" s="364"/>
      <c r="FF230" s="364"/>
      <c r="FG230" s="364"/>
      <c r="FH230" s="364"/>
      <c r="FI230" s="364"/>
      <c r="FJ230" s="364"/>
      <c r="FK230" s="364"/>
    </row>
    <row r="231" customFormat="false" ht="15.75" hidden="false" customHeight="false" outlineLevel="0" collapsed="false">
      <c r="A231" s="364" t="n">
        <v>456</v>
      </c>
      <c r="B231" s="364" t="n">
        <f aca="false">COUNTA(D231:FK231)</f>
        <v>41</v>
      </c>
      <c r="C231" s="364" t="s">
        <v>1242</v>
      </c>
      <c r="D231" s="364" t="s">
        <v>2527</v>
      </c>
      <c r="E231" s="364" t="s">
        <v>2404</v>
      </c>
      <c r="F231" s="364" t="s">
        <v>2313</v>
      </c>
      <c r="G231" s="364" t="s">
        <v>2314</v>
      </c>
      <c r="H231" s="364" t="s">
        <v>2466</v>
      </c>
      <c r="I231" s="364" t="s">
        <v>2315</v>
      </c>
      <c r="J231" s="364" t="s">
        <v>2497</v>
      </c>
      <c r="K231" s="364" t="s">
        <v>2317</v>
      </c>
      <c r="L231" s="364" t="s">
        <v>2319</v>
      </c>
      <c r="M231" s="364" t="s">
        <v>2320</v>
      </c>
      <c r="N231" s="364" t="s">
        <v>2321</v>
      </c>
      <c r="O231" s="364" t="s">
        <v>2323</v>
      </c>
      <c r="P231" s="364" t="s">
        <v>2324</v>
      </c>
      <c r="Q231" s="364" t="s">
        <v>2325</v>
      </c>
      <c r="R231" s="364" t="s">
        <v>2326</v>
      </c>
      <c r="S231" s="364" t="s">
        <v>2327</v>
      </c>
      <c r="T231" s="364" t="s">
        <v>2328</v>
      </c>
      <c r="U231" s="364" t="s">
        <v>2329</v>
      </c>
      <c r="V231" s="364" t="s">
        <v>2506</v>
      </c>
      <c r="W231" s="364" t="s">
        <v>2381</v>
      </c>
      <c r="X231" s="364" t="s">
        <v>2557</v>
      </c>
      <c r="Y231" s="364" t="s">
        <v>2331</v>
      </c>
      <c r="Z231" s="261" t="s">
        <v>183</v>
      </c>
      <c r="AA231" s="364" t="s">
        <v>2332</v>
      </c>
      <c r="AB231" s="364" t="s">
        <v>2336</v>
      </c>
      <c r="AC231" s="364" t="s">
        <v>2337</v>
      </c>
      <c r="AD231" s="364" t="s">
        <v>2338</v>
      </c>
      <c r="AE231" s="364" t="s">
        <v>2388</v>
      </c>
      <c r="AF231" s="364" t="s">
        <v>2339</v>
      </c>
      <c r="AG231" s="364" t="s">
        <v>2389</v>
      </c>
      <c r="AH231" s="364" t="s">
        <v>2340</v>
      </c>
      <c r="AI231" s="364" t="s">
        <v>2341</v>
      </c>
      <c r="AJ231" s="364" t="s">
        <v>2342</v>
      </c>
      <c r="AK231" s="364" t="s">
        <v>2344</v>
      </c>
      <c r="AL231" s="364" t="s">
        <v>2345</v>
      </c>
      <c r="AM231" s="364" t="s">
        <v>2346</v>
      </c>
      <c r="AN231" s="364" t="s">
        <v>2500</v>
      </c>
      <c r="AO231" s="364" t="s">
        <v>2347</v>
      </c>
      <c r="AP231" s="364" t="s">
        <v>2511</v>
      </c>
      <c r="AQ231" s="364" t="s">
        <v>2348</v>
      </c>
      <c r="AR231" s="364" t="s">
        <v>2599</v>
      </c>
      <c r="AS231" s="364"/>
      <c r="AT231" s="364"/>
      <c r="AU231" s="364"/>
      <c r="AV231" s="364"/>
      <c r="AW231" s="364"/>
      <c r="AX231" s="364"/>
      <c r="AY231" s="364"/>
      <c r="AZ231" s="364"/>
      <c r="BA231" s="364"/>
      <c r="BB231" s="364"/>
      <c r="BC231" s="364"/>
      <c r="BD231" s="364"/>
      <c r="BE231" s="364"/>
      <c r="BF231" s="364"/>
      <c r="BG231" s="364"/>
      <c r="BH231" s="364"/>
      <c r="BI231" s="364"/>
      <c r="BJ231" s="364"/>
      <c r="BK231" s="364"/>
      <c r="BL231" s="364"/>
      <c r="BM231" s="364"/>
      <c r="BN231" s="364"/>
      <c r="BO231" s="364"/>
      <c r="BP231" s="364"/>
      <c r="BQ231" s="364"/>
      <c r="BR231" s="364"/>
      <c r="BS231" s="364"/>
      <c r="BT231" s="364"/>
      <c r="BU231" s="364"/>
      <c r="BV231" s="364"/>
      <c r="BW231" s="364"/>
      <c r="BX231" s="364"/>
      <c r="BY231" s="364"/>
      <c r="BZ231" s="364"/>
      <c r="CA231" s="364"/>
      <c r="CB231" s="364"/>
      <c r="CC231" s="364"/>
      <c r="CD231" s="364"/>
      <c r="CE231" s="364"/>
      <c r="CF231" s="364"/>
      <c r="CG231" s="364"/>
      <c r="CH231" s="364"/>
      <c r="CI231" s="364"/>
      <c r="CJ231" s="364"/>
      <c r="CK231" s="364"/>
      <c r="CL231" s="364"/>
      <c r="CM231" s="364"/>
      <c r="CN231" s="364"/>
      <c r="CO231" s="364"/>
      <c r="CP231" s="364"/>
      <c r="CQ231" s="364"/>
      <c r="CR231" s="364"/>
      <c r="CS231" s="364"/>
      <c r="CT231" s="364"/>
      <c r="CU231" s="364"/>
      <c r="CV231" s="364"/>
      <c r="CW231" s="364"/>
      <c r="CX231" s="364"/>
      <c r="CY231" s="364"/>
      <c r="CZ231" s="364"/>
      <c r="DA231" s="364"/>
      <c r="DB231" s="364"/>
      <c r="DC231" s="364"/>
      <c r="DD231" s="364"/>
      <c r="DE231" s="364"/>
      <c r="DF231" s="364"/>
      <c r="DG231" s="364"/>
      <c r="DH231" s="364"/>
      <c r="DI231" s="364"/>
      <c r="DJ231" s="364"/>
      <c r="DK231" s="364"/>
      <c r="DL231" s="364"/>
      <c r="DM231" s="364"/>
      <c r="DN231" s="364"/>
      <c r="DO231" s="364"/>
      <c r="DP231" s="364"/>
      <c r="DQ231" s="364"/>
      <c r="DR231" s="364"/>
      <c r="DS231" s="364"/>
      <c r="DT231" s="364"/>
      <c r="DU231" s="364"/>
      <c r="DV231" s="364"/>
      <c r="DW231" s="364"/>
      <c r="DX231" s="364"/>
      <c r="DY231" s="364"/>
      <c r="DZ231" s="364"/>
      <c r="EA231" s="364"/>
      <c r="EB231" s="364"/>
      <c r="EC231" s="364"/>
      <c r="ED231" s="364"/>
      <c r="EE231" s="364"/>
      <c r="EF231" s="364"/>
      <c r="EG231" s="364"/>
      <c r="EH231" s="364"/>
      <c r="EI231" s="364"/>
      <c r="EJ231" s="364"/>
      <c r="EK231" s="364"/>
      <c r="EL231" s="364"/>
      <c r="EM231" s="364"/>
      <c r="EN231" s="364"/>
      <c r="EO231" s="364"/>
      <c r="EP231" s="364"/>
      <c r="EQ231" s="364"/>
      <c r="ER231" s="364"/>
      <c r="ES231" s="364"/>
      <c r="ET231" s="364"/>
      <c r="EU231" s="364"/>
      <c r="EV231" s="364"/>
      <c r="EW231" s="364"/>
      <c r="EX231" s="364"/>
      <c r="EY231" s="364"/>
      <c r="EZ231" s="364"/>
      <c r="FA231" s="364"/>
      <c r="FB231" s="364"/>
      <c r="FC231" s="364"/>
      <c r="FD231" s="364"/>
      <c r="FE231" s="364"/>
      <c r="FF231" s="364"/>
      <c r="FG231" s="364"/>
      <c r="FH231" s="364"/>
      <c r="FI231" s="364"/>
      <c r="FJ231" s="364"/>
      <c r="FK231" s="364"/>
    </row>
    <row r="232" customFormat="false" ht="15.75" hidden="false" customHeight="false" outlineLevel="0" collapsed="false">
      <c r="A232" s="364" t="n">
        <v>459</v>
      </c>
      <c r="B232" s="364" t="n">
        <f aca="false">COUNTA(D232:FK232)</f>
        <v>61</v>
      </c>
      <c r="C232" s="364" t="s">
        <v>1248</v>
      </c>
      <c r="D232" s="364" t="s">
        <v>2431</v>
      </c>
      <c r="E232" s="364" t="s">
        <v>2352</v>
      </c>
      <c r="F232" s="364" t="s">
        <v>2355</v>
      </c>
      <c r="G232" s="364" t="s">
        <v>2356</v>
      </c>
      <c r="H232" s="364" t="s">
        <v>2313</v>
      </c>
      <c r="I232" s="364" t="s">
        <v>2541</v>
      </c>
      <c r="J232" s="364" t="s">
        <v>2465</v>
      </c>
      <c r="K232" s="364" t="s">
        <v>2315</v>
      </c>
      <c r="L232" s="364" t="s">
        <v>2358</v>
      </c>
      <c r="M232" s="364" t="s">
        <v>2543</v>
      </c>
      <c r="N232" s="364" t="s">
        <v>2317</v>
      </c>
      <c r="O232" s="364" t="s">
        <v>2365</v>
      </c>
      <c r="P232" s="364" t="s">
        <v>2448</v>
      </c>
      <c r="Q232" s="364" t="s">
        <v>2320</v>
      </c>
      <c r="R232" s="364" t="s">
        <v>2534</v>
      </c>
      <c r="S232" s="364" t="s">
        <v>2366</v>
      </c>
      <c r="T232" s="364" t="s">
        <v>2368</v>
      </c>
      <c r="U232" s="364" t="s">
        <v>2369</v>
      </c>
      <c r="V232" s="364" t="s">
        <v>2370</v>
      </c>
      <c r="W232" s="364" t="s">
        <v>2372</v>
      </c>
      <c r="X232" s="364" t="s">
        <v>2373</v>
      </c>
      <c r="Y232" s="364" t="s">
        <v>2548</v>
      </c>
      <c r="Z232" s="364" t="s">
        <v>2374</v>
      </c>
      <c r="AA232" s="364" t="s">
        <v>2376</v>
      </c>
      <c r="AB232" s="364" t="s">
        <v>2377</v>
      </c>
      <c r="AC232" s="364" t="s">
        <v>2498</v>
      </c>
      <c r="AD232" s="364" t="s">
        <v>2324</v>
      </c>
      <c r="AE232" s="364" t="s">
        <v>2325</v>
      </c>
      <c r="AF232" s="364" t="s">
        <v>2484</v>
      </c>
      <c r="AG232" s="364" t="s">
        <v>2327</v>
      </c>
      <c r="AH232" s="364" t="s">
        <v>2378</v>
      </c>
      <c r="AI232" s="364" t="s">
        <v>2328</v>
      </c>
      <c r="AJ232" s="364" t="s">
        <v>2329</v>
      </c>
      <c r="AK232" s="364" t="s">
        <v>2379</v>
      </c>
      <c r="AL232" s="364" t="s">
        <v>2381</v>
      </c>
      <c r="AM232" s="364" t="s">
        <v>2539</v>
      </c>
      <c r="AN232" s="364" t="s">
        <v>2540</v>
      </c>
      <c r="AO232" s="364" t="s">
        <v>2610</v>
      </c>
      <c r="AP232" s="261" t="s">
        <v>183</v>
      </c>
      <c r="AQ232" s="364" t="s">
        <v>2386</v>
      </c>
      <c r="AR232" s="364" t="s">
        <v>2454</v>
      </c>
      <c r="AS232" s="364" t="s">
        <v>2387</v>
      </c>
      <c r="AT232" s="364" t="s">
        <v>2337</v>
      </c>
      <c r="AU232" s="364" t="s">
        <v>2469</v>
      </c>
      <c r="AV232" s="364" t="s">
        <v>2338</v>
      </c>
      <c r="AW232" s="364" t="s">
        <v>2388</v>
      </c>
      <c r="AX232" s="364" t="s">
        <v>2339</v>
      </c>
      <c r="AY232" s="364" t="s">
        <v>2389</v>
      </c>
      <c r="AZ232" s="364" t="s">
        <v>2420</v>
      </c>
      <c r="BA232" s="364" t="s">
        <v>2340</v>
      </c>
      <c r="BB232" s="364" t="s">
        <v>2390</v>
      </c>
      <c r="BC232" s="364" t="s">
        <v>2341</v>
      </c>
      <c r="BD232" s="364" t="s">
        <v>2392</v>
      </c>
      <c r="BE232" s="364" t="s">
        <v>2344</v>
      </c>
      <c r="BF232" s="364" t="s">
        <v>2345</v>
      </c>
      <c r="BG232" s="364" t="s">
        <v>2500</v>
      </c>
      <c r="BH232" s="364" t="s">
        <v>2347</v>
      </c>
      <c r="BI232" s="364" t="s">
        <v>2398</v>
      </c>
      <c r="BJ232" s="364" t="s">
        <v>2399</v>
      </c>
      <c r="BK232" s="364" t="s">
        <v>2446</v>
      </c>
      <c r="BL232" s="364" t="s">
        <v>2546</v>
      </c>
      <c r="BM232" s="364"/>
      <c r="BN232" s="364"/>
      <c r="BO232" s="364"/>
      <c r="BP232" s="364"/>
      <c r="BQ232" s="364"/>
      <c r="BR232" s="364"/>
      <c r="BS232" s="364"/>
      <c r="BT232" s="364"/>
      <c r="BU232" s="364"/>
      <c r="BV232" s="364"/>
      <c r="BW232" s="364"/>
      <c r="BX232" s="364"/>
      <c r="BY232" s="364"/>
      <c r="BZ232" s="364"/>
      <c r="CA232" s="364"/>
      <c r="CB232" s="364"/>
      <c r="CC232" s="364"/>
      <c r="CD232" s="364"/>
      <c r="CE232" s="364"/>
      <c r="CF232" s="364"/>
      <c r="CG232" s="364"/>
      <c r="CH232" s="364"/>
      <c r="CI232" s="364"/>
      <c r="CJ232" s="364"/>
      <c r="CK232" s="364"/>
      <c r="CL232" s="364"/>
      <c r="CM232" s="364"/>
      <c r="CN232" s="364"/>
      <c r="CO232" s="364"/>
      <c r="CP232" s="364"/>
      <c r="CQ232" s="364"/>
      <c r="CR232" s="364"/>
      <c r="CS232" s="364"/>
      <c r="CT232" s="364"/>
      <c r="CU232" s="364"/>
      <c r="CV232" s="364"/>
      <c r="CW232" s="364"/>
      <c r="CX232" s="364"/>
      <c r="CY232" s="364"/>
      <c r="CZ232" s="364"/>
      <c r="DA232" s="364"/>
      <c r="DB232" s="364"/>
      <c r="DC232" s="364"/>
      <c r="DD232" s="364"/>
      <c r="DE232" s="364"/>
      <c r="DF232" s="364"/>
      <c r="DG232" s="364"/>
      <c r="DH232" s="364"/>
      <c r="DI232" s="364"/>
      <c r="DJ232" s="364"/>
      <c r="DK232" s="364"/>
      <c r="DL232" s="364"/>
      <c r="DM232" s="364"/>
      <c r="DN232" s="364"/>
      <c r="DO232" s="364"/>
      <c r="DP232" s="364"/>
      <c r="DQ232" s="364"/>
      <c r="DR232" s="364"/>
      <c r="DS232" s="364"/>
      <c r="DT232" s="364"/>
      <c r="DU232" s="364"/>
      <c r="DV232" s="364"/>
      <c r="DW232" s="364"/>
      <c r="DX232" s="364"/>
      <c r="DY232" s="364"/>
      <c r="DZ232" s="364"/>
      <c r="EA232" s="364"/>
      <c r="EB232" s="364"/>
      <c r="EC232" s="364"/>
      <c r="ED232" s="364"/>
      <c r="EE232" s="364"/>
      <c r="EF232" s="364"/>
      <c r="EG232" s="364"/>
      <c r="EH232" s="364"/>
      <c r="EI232" s="364"/>
      <c r="EJ232" s="364"/>
      <c r="EK232" s="364"/>
      <c r="EL232" s="364"/>
      <c r="EM232" s="364"/>
      <c r="EN232" s="364"/>
      <c r="EO232" s="364"/>
      <c r="EP232" s="364"/>
      <c r="EQ232" s="364"/>
      <c r="ER232" s="364"/>
      <c r="ES232" s="364"/>
      <c r="ET232" s="364"/>
      <c r="EU232" s="364"/>
      <c r="EV232" s="364"/>
      <c r="EW232" s="364"/>
      <c r="EX232" s="364"/>
      <c r="EY232" s="364"/>
      <c r="EZ232" s="364"/>
      <c r="FA232" s="364"/>
      <c r="FB232" s="364"/>
      <c r="FC232" s="364"/>
      <c r="FD232" s="364"/>
      <c r="FE232" s="364"/>
      <c r="FF232" s="364"/>
      <c r="FG232" s="364"/>
      <c r="FH232" s="364"/>
      <c r="FI232" s="364"/>
      <c r="FJ232" s="364"/>
      <c r="FK232" s="364"/>
    </row>
    <row r="233" customFormat="false" ht="15.75" hidden="false" customHeight="false" outlineLevel="0" collapsed="false">
      <c r="A233" s="364" t="n">
        <v>462</v>
      </c>
      <c r="B233" s="364" t="n">
        <f aca="false">COUNTA(D233:FK233)</f>
        <v>55</v>
      </c>
      <c r="C233" s="364" t="s">
        <v>1254</v>
      </c>
      <c r="D233" s="364" t="s">
        <v>2352</v>
      </c>
      <c r="E233" s="364" t="s">
        <v>2538</v>
      </c>
      <c r="F233" s="364" t="s">
        <v>2403</v>
      </c>
      <c r="G233" s="364" t="s">
        <v>2405</v>
      </c>
      <c r="H233" s="364" t="s">
        <v>2356</v>
      </c>
      <c r="I233" s="364" t="s">
        <v>2406</v>
      </c>
      <c r="J233" s="364" t="s">
        <v>2407</v>
      </c>
      <c r="K233" s="364" t="s">
        <v>2408</v>
      </c>
      <c r="L233" s="364" t="s">
        <v>2313</v>
      </c>
      <c r="M233" s="364" t="s">
        <v>2465</v>
      </c>
      <c r="N233" s="364" t="s">
        <v>2315</v>
      </c>
      <c r="O233" s="364" t="s">
        <v>2358</v>
      </c>
      <c r="P233" s="364" t="s">
        <v>2410</v>
      </c>
      <c r="Q233" s="364" t="s">
        <v>2479</v>
      </c>
      <c r="R233" s="364" t="s">
        <v>2317</v>
      </c>
      <c r="S233" s="364" t="s">
        <v>2318</v>
      </c>
      <c r="T233" s="364" t="s">
        <v>2320</v>
      </c>
      <c r="U233" s="364" t="s">
        <v>2411</v>
      </c>
      <c r="V233" s="364" t="s">
        <v>2451</v>
      </c>
      <c r="W233" s="364" t="s">
        <v>2322</v>
      </c>
      <c r="X233" s="364" t="s">
        <v>2324</v>
      </c>
      <c r="Y233" s="364" t="s">
        <v>2325</v>
      </c>
      <c r="Z233" s="364" t="s">
        <v>2327</v>
      </c>
      <c r="AA233" s="364" t="s">
        <v>2328</v>
      </c>
      <c r="AB233" s="364" t="s">
        <v>2413</v>
      </c>
      <c r="AC233" s="364" t="s">
        <v>2414</v>
      </c>
      <c r="AD233" s="364" t="s">
        <v>2329</v>
      </c>
      <c r="AE233" s="364" t="s">
        <v>2415</v>
      </c>
      <c r="AF233" s="364" t="s">
        <v>2417</v>
      </c>
      <c r="AG233" s="364" t="s">
        <v>2330</v>
      </c>
      <c r="AH233" s="364" t="s">
        <v>2418</v>
      </c>
      <c r="AI233" s="364" t="s">
        <v>2384</v>
      </c>
      <c r="AJ233" s="261" t="s">
        <v>183</v>
      </c>
      <c r="AK233" s="364" t="s">
        <v>2480</v>
      </c>
      <c r="AL233" s="364" t="s">
        <v>2460</v>
      </c>
      <c r="AM233" s="364" t="s">
        <v>2337</v>
      </c>
      <c r="AN233" s="364" t="s">
        <v>2338</v>
      </c>
      <c r="AO233" s="364" t="s">
        <v>2388</v>
      </c>
      <c r="AP233" s="364" t="s">
        <v>2339</v>
      </c>
      <c r="AQ233" s="364" t="s">
        <v>2389</v>
      </c>
      <c r="AR233" s="364" t="s">
        <v>2340</v>
      </c>
      <c r="AS233" s="364" t="s">
        <v>2421</v>
      </c>
      <c r="AT233" s="364" t="s">
        <v>2341</v>
      </c>
      <c r="AU233" s="364" t="s">
        <v>2392</v>
      </c>
      <c r="AV233" s="364" t="s">
        <v>2422</v>
      </c>
      <c r="AW233" s="364" t="s">
        <v>2344</v>
      </c>
      <c r="AX233" s="364" t="s">
        <v>2396</v>
      </c>
      <c r="AY233" s="364" t="s">
        <v>2347</v>
      </c>
      <c r="AZ233" s="364" t="s">
        <v>2424</v>
      </c>
      <c r="BA233" s="364" t="s">
        <v>2348</v>
      </c>
      <c r="BB233" s="364" t="s">
        <v>2456</v>
      </c>
      <c r="BC233" s="364" t="s">
        <v>2425</v>
      </c>
      <c r="BD233" s="364" t="s">
        <v>2427</v>
      </c>
      <c r="BE233" s="364" t="s">
        <v>2428</v>
      </c>
      <c r="BF233" s="364" t="s">
        <v>2429</v>
      </c>
      <c r="BG233" s="364"/>
      <c r="BH233" s="364"/>
      <c r="BI233" s="364"/>
      <c r="BJ233" s="364"/>
      <c r="BK233" s="364"/>
      <c r="BL233" s="364"/>
      <c r="BM233" s="364"/>
      <c r="BN233" s="364"/>
      <c r="BO233" s="364"/>
      <c r="BP233" s="364"/>
      <c r="BQ233" s="364"/>
      <c r="BR233" s="364"/>
      <c r="BS233" s="364"/>
      <c r="BT233" s="364"/>
      <c r="BU233" s="364"/>
      <c r="BV233" s="364"/>
      <c r="BW233" s="364"/>
      <c r="BX233" s="364"/>
      <c r="BY233" s="364"/>
      <c r="BZ233" s="364"/>
      <c r="CA233" s="364"/>
      <c r="CB233" s="364"/>
      <c r="CC233" s="364"/>
      <c r="CD233" s="364"/>
      <c r="CE233" s="364"/>
      <c r="CF233" s="364"/>
      <c r="CG233" s="364"/>
      <c r="CH233" s="364"/>
      <c r="CI233" s="364"/>
      <c r="CJ233" s="364"/>
      <c r="CK233" s="364"/>
      <c r="CL233" s="364"/>
      <c r="CM233" s="364"/>
      <c r="CN233" s="364"/>
      <c r="CO233" s="364"/>
      <c r="CP233" s="364"/>
      <c r="CQ233" s="364"/>
      <c r="CR233" s="364"/>
      <c r="CS233" s="364"/>
      <c r="CT233" s="364"/>
      <c r="CU233" s="364"/>
      <c r="CV233" s="364"/>
      <c r="CW233" s="364"/>
      <c r="CX233" s="364"/>
      <c r="CY233" s="364"/>
      <c r="CZ233" s="364"/>
      <c r="DA233" s="364"/>
      <c r="DB233" s="364"/>
      <c r="DC233" s="364"/>
      <c r="DD233" s="364"/>
      <c r="DE233" s="364"/>
      <c r="DF233" s="364"/>
      <c r="DG233" s="364"/>
      <c r="DH233" s="364"/>
      <c r="DI233" s="364"/>
      <c r="DJ233" s="364"/>
      <c r="DK233" s="364"/>
      <c r="DL233" s="364"/>
      <c r="DM233" s="364"/>
      <c r="DN233" s="364"/>
      <c r="DO233" s="364"/>
      <c r="DP233" s="364"/>
      <c r="DQ233" s="364"/>
      <c r="DR233" s="364"/>
      <c r="DS233" s="364"/>
      <c r="DT233" s="364"/>
      <c r="DU233" s="364"/>
      <c r="DV233" s="364"/>
      <c r="DW233" s="364"/>
      <c r="DX233" s="364"/>
      <c r="DY233" s="364"/>
      <c r="DZ233" s="364"/>
      <c r="EA233" s="364"/>
      <c r="EB233" s="364"/>
      <c r="EC233" s="364"/>
      <c r="ED233" s="364"/>
      <c r="EE233" s="364"/>
      <c r="EF233" s="364"/>
      <c r="EG233" s="364"/>
      <c r="EH233" s="364"/>
      <c r="EI233" s="364"/>
      <c r="EJ233" s="364"/>
      <c r="EK233" s="364"/>
      <c r="EL233" s="364"/>
      <c r="EM233" s="364"/>
      <c r="EN233" s="364"/>
      <c r="EO233" s="364"/>
      <c r="EP233" s="364"/>
      <c r="EQ233" s="364"/>
      <c r="ER233" s="364"/>
      <c r="ES233" s="364"/>
      <c r="ET233" s="364"/>
      <c r="EU233" s="364"/>
      <c r="EV233" s="364"/>
      <c r="EW233" s="364"/>
      <c r="EX233" s="364"/>
      <c r="EY233" s="364"/>
      <c r="EZ233" s="364"/>
      <c r="FA233" s="364"/>
      <c r="FB233" s="364"/>
      <c r="FC233" s="364"/>
      <c r="FD233" s="364"/>
      <c r="FE233" s="364"/>
      <c r="FF233" s="364"/>
      <c r="FG233" s="364"/>
      <c r="FH233" s="364"/>
      <c r="FI233" s="364"/>
      <c r="FJ233" s="364"/>
      <c r="FK233" s="364"/>
    </row>
    <row r="234" customFormat="false" ht="15.75" hidden="false" customHeight="false" outlineLevel="0" collapsed="false">
      <c r="A234" s="364" t="n">
        <v>465</v>
      </c>
      <c r="B234" s="364" t="n">
        <f aca="false">COUNTA(D234:FK234)</f>
        <v>32</v>
      </c>
      <c r="C234" s="364" t="s">
        <v>1260</v>
      </c>
      <c r="D234" s="364" t="s">
        <v>2352</v>
      </c>
      <c r="E234" s="364" t="s">
        <v>2353</v>
      </c>
      <c r="F234" s="364" t="s">
        <v>2577</v>
      </c>
      <c r="G234" s="364" t="s">
        <v>2541</v>
      </c>
      <c r="H234" s="364" t="s">
        <v>2318</v>
      </c>
      <c r="I234" s="364" t="s">
        <v>2448</v>
      </c>
      <c r="J234" s="364" t="s">
        <v>2320</v>
      </c>
      <c r="K234" s="364" t="s">
        <v>2544</v>
      </c>
      <c r="L234" s="364" t="s">
        <v>2375</v>
      </c>
      <c r="M234" s="364" t="s">
        <v>2324</v>
      </c>
      <c r="N234" s="364" t="s">
        <v>2378</v>
      </c>
      <c r="O234" s="364" t="s">
        <v>2328</v>
      </c>
      <c r="P234" s="364" t="s">
        <v>2329</v>
      </c>
      <c r="Q234" s="261" t="s">
        <v>183</v>
      </c>
      <c r="R234" s="364" t="s">
        <v>2385</v>
      </c>
      <c r="S234" s="364" t="s">
        <v>2460</v>
      </c>
      <c r="T234" s="364" t="s">
        <v>2461</v>
      </c>
      <c r="U234" s="364" t="s">
        <v>2337</v>
      </c>
      <c r="V234" s="364" t="s">
        <v>2469</v>
      </c>
      <c r="W234" s="364" t="s">
        <v>2340</v>
      </c>
      <c r="X234" s="364" t="s">
        <v>2341</v>
      </c>
      <c r="Y234" s="364" t="s">
        <v>2462</v>
      </c>
      <c r="Z234" s="364" t="s">
        <v>2344</v>
      </c>
      <c r="AA234" s="364" t="s">
        <v>2396</v>
      </c>
      <c r="AB234" s="364" t="s">
        <v>2398</v>
      </c>
      <c r="AC234" s="364" t="s">
        <v>2348</v>
      </c>
      <c r="AD234" s="364" t="s">
        <v>2349</v>
      </c>
      <c r="AE234" s="364" t="s">
        <v>2445</v>
      </c>
      <c r="AF234" s="364" t="s">
        <v>2400</v>
      </c>
      <c r="AG234" s="364" t="s">
        <v>2463</v>
      </c>
      <c r="AH234" s="364" t="s">
        <v>2446</v>
      </c>
      <c r="AI234" s="364" t="s">
        <v>2401</v>
      </c>
      <c r="AJ234" s="364"/>
      <c r="AK234" s="364"/>
      <c r="AL234" s="364"/>
      <c r="AM234" s="364"/>
      <c r="AN234" s="364"/>
      <c r="AO234" s="364"/>
      <c r="AP234" s="364"/>
      <c r="AQ234" s="364"/>
      <c r="AR234" s="364"/>
      <c r="AS234" s="364"/>
      <c r="AT234" s="364"/>
      <c r="AU234" s="364"/>
      <c r="AV234" s="364"/>
      <c r="AW234" s="364"/>
      <c r="AX234" s="364"/>
      <c r="AY234" s="364"/>
      <c r="AZ234" s="364"/>
      <c r="BA234" s="364"/>
      <c r="BB234" s="364"/>
      <c r="BC234" s="364"/>
      <c r="BD234" s="364"/>
      <c r="BE234" s="364"/>
      <c r="BF234" s="364"/>
      <c r="BG234" s="364"/>
      <c r="BH234" s="364"/>
      <c r="BI234" s="364"/>
      <c r="BJ234" s="364"/>
      <c r="BK234" s="364"/>
      <c r="BL234" s="364"/>
      <c r="BM234" s="364"/>
      <c r="BN234" s="364"/>
      <c r="BO234" s="364"/>
      <c r="BP234" s="364"/>
      <c r="BQ234" s="364"/>
      <c r="BR234" s="364"/>
      <c r="BS234" s="364"/>
      <c r="BT234" s="364"/>
      <c r="BU234" s="364"/>
      <c r="BV234" s="364"/>
      <c r="BW234" s="364"/>
      <c r="BX234" s="364"/>
      <c r="BY234" s="364"/>
      <c r="BZ234" s="364"/>
      <c r="CA234" s="364"/>
      <c r="CB234" s="364"/>
      <c r="CC234" s="364"/>
      <c r="CD234" s="364"/>
      <c r="CE234" s="364"/>
      <c r="CF234" s="364"/>
      <c r="CG234" s="364"/>
      <c r="CH234" s="364"/>
      <c r="CI234" s="364"/>
      <c r="CJ234" s="364"/>
      <c r="CK234" s="364"/>
      <c r="CL234" s="364"/>
      <c r="CM234" s="364"/>
      <c r="CN234" s="364"/>
      <c r="CO234" s="364"/>
      <c r="CP234" s="364"/>
      <c r="CQ234" s="364"/>
      <c r="CR234" s="364"/>
      <c r="CS234" s="364"/>
      <c r="CT234" s="364"/>
      <c r="CU234" s="364"/>
      <c r="CV234" s="364"/>
      <c r="CW234" s="364"/>
      <c r="CX234" s="364"/>
      <c r="CY234" s="364"/>
      <c r="CZ234" s="364"/>
      <c r="DA234" s="364"/>
      <c r="DB234" s="364"/>
      <c r="DC234" s="364"/>
      <c r="DD234" s="364"/>
      <c r="DE234" s="364"/>
      <c r="DF234" s="364"/>
      <c r="DG234" s="364"/>
      <c r="DH234" s="364"/>
      <c r="DI234" s="364"/>
      <c r="DJ234" s="364"/>
      <c r="DK234" s="364"/>
      <c r="DL234" s="364"/>
      <c r="DM234" s="364"/>
      <c r="DN234" s="364"/>
      <c r="DO234" s="364"/>
      <c r="DP234" s="364"/>
      <c r="DQ234" s="364"/>
      <c r="DR234" s="364"/>
      <c r="DS234" s="364"/>
      <c r="DT234" s="364"/>
      <c r="DU234" s="364"/>
      <c r="DV234" s="364"/>
      <c r="DW234" s="364"/>
      <c r="DX234" s="364"/>
      <c r="DY234" s="364"/>
      <c r="DZ234" s="364"/>
      <c r="EA234" s="364"/>
      <c r="EB234" s="364"/>
      <c r="EC234" s="364"/>
      <c r="ED234" s="364"/>
      <c r="EE234" s="364"/>
      <c r="EF234" s="364"/>
      <c r="EG234" s="364"/>
      <c r="EH234" s="364"/>
      <c r="EI234" s="364"/>
      <c r="EJ234" s="364"/>
      <c r="EK234" s="364"/>
      <c r="EL234" s="364"/>
      <c r="EM234" s="364"/>
      <c r="EN234" s="364"/>
      <c r="EO234" s="364"/>
      <c r="EP234" s="364"/>
      <c r="EQ234" s="364"/>
      <c r="ER234" s="364"/>
      <c r="ES234" s="364"/>
      <c r="ET234" s="364"/>
      <c r="EU234" s="364"/>
      <c r="EV234" s="364"/>
      <c r="EW234" s="364"/>
      <c r="EX234" s="364"/>
      <c r="EY234" s="364"/>
      <c r="EZ234" s="364"/>
      <c r="FA234" s="364"/>
      <c r="FB234" s="364"/>
      <c r="FC234" s="364"/>
      <c r="FD234" s="364"/>
      <c r="FE234" s="364"/>
      <c r="FF234" s="364"/>
      <c r="FG234" s="364"/>
      <c r="FH234" s="364"/>
      <c r="FI234" s="364"/>
      <c r="FJ234" s="364"/>
      <c r="FK234" s="364"/>
    </row>
    <row r="235" customFormat="false" ht="15.75" hidden="false" customHeight="false" outlineLevel="0" collapsed="false">
      <c r="A235" s="364" t="n">
        <v>467</v>
      </c>
      <c r="B235" s="364" t="n">
        <f aca="false">COUNTA(D235:FK235)</f>
        <v>54</v>
      </c>
      <c r="C235" s="364" t="s">
        <v>1264</v>
      </c>
      <c r="D235" s="364" t="s">
        <v>2538</v>
      </c>
      <c r="E235" s="364" t="s">
        <v>2402</v>
      </c>
      <c r="F235" s="364" t="s">
        <v>2405</v>
      </c>
      <c r="G235" s="364" t="s">
        <v>2313</v>
      </c>
      <c r="H235" s="364" t="s">
        <v>2464</v>
      </c>
      <c r="I235" s="364" t="s">
        <v>2465</v>
      </c>
      <c r="J235" s="364" t="s">
        <v>2466</v>
      </c>
      <c r="K235" s="364" t="s">
        <v>2315</v>
      </c>
      <c r="L235" s="364" t="s">
        <v>2358</v>
      </c>
      <c r="M235" s="364" t="s">
        <v>2410</v>
      </c>
      <c r="N235" s="364" t="s">
        <v>2318</v>
      </c>
      <c r="O235" s="364" t="s">
        <v>2320</v>
      </c>
      <c r="P235" s="364" t="s">
        <v>2377</v>
      </c>
      <c r="Q235" s="364" t="s">
        <v>2322</v>
      </c>
      <c r="R235" s="364" t="s">
        <v>2324</v>
      </c>
      <c r="S235" s="364" t="s">
        <v>2325</v>
      </c>
      <c r="T235" s="364" t="s">
        <v>2327</v>
      </c>
      <c r="U235" s="364" t="s">
        <v>2328</v>
      </c>
      <c r="V235" s="364" t="s">
        <v>2329</v>
      </c>
      <c r="W235" s="364" t="s">
        <v>2467</v>
      </c>
      <c r="X235" s="364" t="s">
        <v>2415</v>
      </c>
      <c r="Y235" s="364" t="s">
        <v>2417</v>
      </c>
      <c r="Z235" s="364" t="s">
        <v>2381</v>
      </c>
      <c r="AA235" s="364" t="s">
        <v>2468</v>
      </c>
      <c r="AB235" s="364" t="s">
        <v>2418</v>
      </c>
      <c r="AC235" s="261" t="s">
        <v>183</v>
      </c>
      <c r="AD235" s="364" t="s">
        <v>2460</v>
      </c>
      <c r="AE235" s="364" t="s">
        <v>2337</v>
      </c>
      <c r="AF235" s="364" t="s">
        <v>2469</v>
      </c>
      <c r="AG235" s="364" t="s">
        <v>2338</v>
      </c>
      <c r="AH235" s="364" t="s">
        <v>2339</v>
      </c>
      <c r="AI235" s="364" t="s">
        <v>2420</v>
      </c>
      <c r="AJ235" s="364" t="s">
        <v>2340</v>
      </c>
      <c r="AK235" s="364" t="s">
        <v>2421</v>
      </c>
      <c r="AL235" s="364" t="s">
        <v>2341</v>
      </c>
      <c r="AM235" s="364" t="s">
        <v>2442</v>
      </c>
      <c r="AN235" s="364" t="s">
        <v>2470</v>
      </c>
      <c r="AO235" s="364" t="s">
        <v>2344</v>
      </c>
      <c r="AP235" s="364" t="s">
        <v>2346</v>
      </c>
      <c r="AQ235" s="364" t="s">
        <v>2347</v>
      </c>
      <c r="AR235" s="364" t="s">
        <v>2474</v>
      </c>
      <c r="AS235" s="364" t="s">
        <v>2511</v>
      </c>
      <c r="AT235" s="364" t="s">
        <v>2424</v>
      </c>
      <c r="AU235" s="364" t="s">
        <v>2398</v>
      </c>
      <c r="AV235" s="364" t="s">
        <v>2348</v>
      </c>
      <c r="AW235" s="364" t="s">
        <v>2349</v>
      </c>
      <c r="AX235" s="364" t="s">
        <v>2445</v>
      </c>
      <c r="AY235" s="364" t="s">
        <v>2475</v>
      </c>
      <c r="AZ235" s="364" t="s">
        <v>2476</v>
      </c>
      <c r="BA235" s="364" t="s">
        <v>2425</v>
      </c>
      <c r="BB235" s="364" t="s">
        <v>2426</v>
      </c>
      <c r="BC235" s="364" t="s">
        <v>2428</v>
      </c>
      <c r="BD235" s="364" t="s">
        <v>2429</v>
      </c>
      <c r="BE235" s="364" t="s">
        <v>2572</v>
      </c>
      <c r="BF235" s="364"/>
      <c r="BG235" s="364"/>
      <c r="BH235" s="364"/>
      <c r="BI235" s="364"/>
      <c r="BJ235" s="364"/>
      <c r="BK235" s="364"/>
      <c r="BL235" s="364"/>
      <c r="BM235" s="364"/>
      <c r="BN235" s="364"/>
      <c r="BO235" s="364"/>
      <c r="BP235" s="364"/>
      <c r="BQ235" s="364"/>
      <c r="BR235" s="364"/>
      <c r="BS235" s="364"/>
      <c r="BT235" s="364"/>
      <c r="BU235" s="364"/>
      <c r="BV235" s="364"/>
      <c r="BW235" s="364"/>
      <c r="BX235" s="364"/>
      <c r="BY235" s="364"/>
      <c r="BZ235" s="364"/>
      <c r="CA235" s="364"/>
      <c r="CB235" s="364"/>
      <c r="CC235" s="364"/>
      <c r="CD235" s="364"/>
      <c r="CE235" s="364"/>
      <c r="CF235" s="364"/>
      <c r="CG235" s="364"/>
      <c r="CH235" s="364"/>
      <c r="CI235" s="364"/>
      <c r="CJ235" s="364"/>
      <c r="CK235" s="364"/>
      <c r="CL235" s="364"/>
      <c r="CM235" s="364"/>
      <c r="CN235" s="364"/>
      <c r="CO235" s="364"/>
      <c r="CP235" s="364"/>
      <c r="CQ235" s="364"/>
      <c r="CR235" s="364"/>
      <c r="CS235" s="364"/>
      <c r="CT235" s="364"/>
      <c r="CU235" s="364"/>
      <c r="CV235" s="364"/>
      <c r="CW235" s="364"/>
      <c r="CX235" s="364"/>
      <c r="CY235" s="364"/>
      <c r="CZ235" s="364"/>
      <c r="DA235" s="364"/>
      <c r="DB235" s="364"/>
      <c r="DC235" s="364"/>
      <c r="DD235" s="364"/>
      <c r="DE235" s="364"/>
      <c r="DF235" s="364"/>
      <c r="DG235" s="364"/>
      <c r="DH235" s="364"/>
      <c r="DI235" s="364"/>
      <c r="DJ235" s="364"/>
      <c r="DK235" s="364"/>
      <c r="DL235" s="364"/>
      <c r="DM235" s="364"/>
      <c r="DN235" s="364"/>
      <c r="DO235" s="364"/>
      <c r="DP235" s="364"/>
      <c r="DQ235" s="364"/>
      <c r="DR235" s="364"/>
      <c r="DS235" s="364"/>
      <c r="DT235" s="364"/>
      <c r="DU235" s="364"/>
      <c r="DV235" s="364"/>
      <c r="DW235" s="364"/>
      <c r="DX235" s="364"/>
      <c r="DY235" s="364"/>
      <c r="DZ235" s="364"/>
      <c r="EA235" s="364"/>
      <c r="EB235" s="364"/>
      <c r="EC235" s="364"/>
      <c r="ED235" s="364"/>
      <c r="EE235" s="364"/>
      <c r="EF235" s="364"/>
      <c r="EG235" s="364"/>
      <c r="EH235" s="364"/>
      <c r="EI235" s="364"/>
      <c r="EJ235" s="364"/>
      <c r="EK235" s="364"/>
      <c r="EL235" s="364"/>
      <c r="EM235" s="364"/>
      <c r="EN235" s="364"/>
      <c r="EO235" s="364"/>
      <c r="EP235" s="364"/>
      <c r="EQ235" s="364"/>
      <c r="ER235" s="364"/>
      <c r="ES235" s="364"/>
      <c r="ET235" s="364"/>
      <c r="EU235" s="364"/>
      <c r="EV235" s="364"/>
      <c r="EW235" s="364"/>
      <c r="EX235" s="364"/>
      <c r="EY235" s="364"/>
      <c r="EZ235" s="364"/>
      <c r="FA235" s="364"/>
      <c r="FB235" s="364"/>
      <c r="FC235" s="364"/>
      <c r="FD235" s="364"/>
      <c r="FE235" s="364"/>
      <c r="FF235" s="364"/>
      <c r="FG235" s="364"/>
      <c r="FH235" s="364"/>
      <c r="FI235" s="364"/>
      <c r="FJ235" s="364"/>
      <c r="FK235" s="364"/>
    </row>
    <row r="236" customFormat="false" ht="15.75" hidden="false" customHeight="false" outlineLevel="0" collapsed="false">
      <c r="A236" s="364" t="n">
        <v>469</v>
      </c>
      <c r="B236" s="364" t="n">
        <f aca="false">COUNTA(D236:FK236)</f>
        <v>35</v>
      </c>
      <c r="C236" s="364" t="s">
        <v>1268</v>
      </c>
      <c r="D236" s="364" t="s">
        <v>2527</v>
      </c>
      <c r="E236" s="364" t="s">
        <v>2352</v>
      </c>
      <c r="F236" s="364" t="s">
        <v>2310</v>
      </c>
      <c r="G236" s="364" t="s">
        <v>2356</v>
      </c>
      <c r="H236" s="364" t="s">
        <v>2432</v>
      </c>
      <c r="I236" s="364" t="s">
        <v>2433</v>
      </c>
      <c r="J236" s="364" t="s">
        <v>2315</v>
      </c>
      <c r="K236" s="364" t="s">
        <v>2318</v>
      </c>
      <c r="L236" s="364" t="s">
        <v>2448</v>
      </c>
      <c r="M236" s="364" t="s">
        <v>2320</v>
      </c>
      <c r="N236" s="364" t="s">
        <v>2449</v>
      </c>
      <c r="O236" s="364" t="s">
        <v>2450</v>
      </c>
      <c r="P236" s="364" t="s">
        <v>2322</v>
      </c>
      <c r="Q236" s="364" t="s">
        <v>2324</v>
      </c>
      <c r="R236" s="364" t="s">
        <v>2328</v>
      </c>
      <c r="S236" s="364" t="s">
        <v>2329</v>
      </c>
      <c r="T236" s="364" t="s">
        <v>2521</v>
      </c>
      <c r="U236" s="364" t="s">
        <v>2438</v>
      </c>
      <c r="V236" s="364" t="s">
        <v>2330</v>
      </c>
      <c r="W236" s="364" t="s">
        <v>2507</v>
      </c>
      <c r="X236" s="261" t="s">
        <v>183</v>
      </c>
      <c r="Y236" s="364" t="s">
        <v>2531</v>
      </c>
      <c r="Z236" s="364" t="s">
        <v>2387</v>
      </c>
      <c r="AA236" s="364" t="s">
        <v>2337</v>
      </c>
      <c r="AB236" s="364" t="s">
        <v>2339</v>
      </c>
      <c r="AC236" s="364" t="s">
        <v>2340</v>
      </c>
      <c r="AD236" s="364" t="s">
        <v>2341</v>
      </c>
      <c r="AE236" s="364" t="s">
        <v>2443</v>
      </c>
      <c r="AF236" s="364" t="s">
        <v>2395</v>
      </c>
      <c r="AG236" s="364" t="s">
        <v>2344</v>
      </c>
      <c r="AH236" s="364" t="s">
        <v>2347</v>
      </c>
      <c r="AI236" s="364" t="s">
        <v>2444</v>
      </c>
      <c r="AJ236" s="364" t="s">
        <v>2456</v>
      </c>
      <c r="AK236" s="364" t="s">
        <v>2463</v>
      </c>
      <c r="AL236" s="364" t="s">
        <v>2458</v>
      </c>
      <c r="AM236" s="364"/>
      <c r="AN236" s="364"/>
      <c r="AO236" s="364"/>
      <c r="AP236" s="364"/>
      <c r="AQ236" s="364"/>
      <c r="AR236" s="364"/>
      <c r="AS236" s="364"/>
      <c r="AT236" s="364"/>
      <c r="AU236" s="364"/>
      <c r="AV236" s="364"/>
      <c r="AW236" s="364"/>
      <c r="AX236" s="364"/>
      <c r="AY236" s="364"/>
      <c r="AZ236" s="364"/>
      <c r="BA236" s="364"/>
      <c r="BB236" s="364"/>
      <c r="BC236" s="364"/>
      <c r="BD236" s="364"/>
      <c r="BE236" s="364"/>
      <c r="BF236" s="364"/>
      <c r="BG236" s="364"/>
      <c r="BH236" s="364"/>
      <c r="BI236" s="364"/>
      <c r="BJ236" s="364"/>
      <c r="BK236" s="364"/>
      <c r="BL236" s="364"/>
      <c r="BM236" s="364"/>
      <c r="BN236" s="364"/>
      <c r="BO236" s="364"/>
      <c r="BP236" s="364"/>
      <c r="BQ236" s="364"/>
      <c r="BR236" s="364"/>
      <c r="BS236" s="364"/>
      <c r="BT236" s="364"/>
      <c r="BU236" s="364"/>
      <c r="BV236" s="364"/>
      <c r="BW236" s="364"/>
      <c r="BX236" s="364"/>
      <c r="BY236" s="364"/>
      <c r="BZ236" s="364"/>
      <c r="CA236" s="364"/>
      <c r="CB236" s="364"/>
      <c r="CC236" s="364"/>
      <c r="CD236" s="364"/>
      <c r="CE236" s="364"/>
      <c r="CF236" s="364"/>
      <c r="CG236" s="364"/>
      <c r="CH236" s="364"/>
      <c r="CI236" s="364"/>
      <c r="CJ236" s="364"/>
      <c r="CK236" s="364"/>
      <c r="CL236" s="364"/>
      <c r="CM236" s="364"/>
      <c r="CN236" s="364"/>
      <c r="CO236" s="364"/>
      <c r="CP236" s="364"/>
      <c r="CQ236" s="364"/>
      <c r="CR236" s="364"/>
      <c r="CS236" s="364"/>
      <c r="CT236" s="364"/>
      <c r="CU236" s="364"/>
      <c r="CV236" s="364"/>
      <c r="CW236" s="364"/>
      <c r="CX236" s="364"/>
      <c r="CY236" s="364"/>
      <c r="CZ236" s="364"/>
      <c r="DA236" s="364"/>
      <c r="DB236" s="364"/>
      <c r="DC236" s="364"/>
      <c r="DD236" s="364"/>
      <c r="DE236" s="364"/>
      <c r="DF236" s="364"/>
      <c r="DG236" s="364"/>
      <c r="DH236" s="364"/>
      <c r="DI236" s="364"/>
      <c r="DJ236" s="364"/>
      <c r="DK236" s="364"/>
      <c r="DL236" s="364"/>
      <c r="DM236" s="364"/>
      <c r="DN236" s="364"/>
      <c r="DO236" s="364"/>
      <c r="DP236" s="364"/>
      <c r="DQ236" s="364"/>
      <c r="DR236" s="364"/>
      <c r="DS236" s="364"/>
      <c r="DT236" s="364"/>
      <c r="DU236" s="364"/>
      <c r="DV236" s="364"/>
      <c r="DW236" s="364"/>
      <c r="DX236" s="364"/>
      <c r="DY236" s="364"/>
      <c r="DZ236" s="364"/>
      <c r="EA236" s="364"/>
      <c r="EB236" s="364"/>
      <c r="EC236" s="364"/>
      <c r="ED236" s="364"/>
      <c r="EE236" s="364"/>
      <c r="EF236" s="364"/>
      <c r="EG236" s="364"/>
      <c r="EH236" s="364"/>
      <c r="EI236" s="364"/>
      <c r="EJ236" s="364"/>
      <c r="EK236" s="364"/>
      <c r="EL236" s="364"/>
      <c r="EM236" s="364"/>
      <c r="EN236" s="364"/>
      <c r="EO236" s="364"/>
      <c r="EP236" s="364"/>
      <c r="EQ236" s="364"/>
      <c r="ER236" s="364"/>
      <c r="ES236" s="364"/>
      <c r="ET236" s="364"/>
      <c r="EU236" s="364"/>
      <c r="EV236" s="364"/>
      <c r="EW236" s="364"/>
      <c r="EX236" s="364"/>
      <c r="EY236" s="364"/>
      <c r="EZ236" s="364"/>
      <c r="FA236" s="364"/>
      <c r="FB236" s="364"/>
      <c r="FC236" s="364"/>
      <c r="FD236" s="364"/>
      <c r="FE236" s="364"/>
      <c r="FF236" s="364"/>
      <c r="FG236" s="364"/>
      <c r="FH236" s="364"/>
      <c r="FI236" s="364"/>
      <c r="FJ236" s="364"/>
      <c r="FK236" s="364"/>
    </row>
    <row r="237" customFormat="false" ht="15.75" hidden="false" customHeight="false" outlineLevel="0" collapsed="false">
      <c r="A237" s="364" t="n">
        <v>472</v>
      </c>
      <c r="B237" s="364" t="n">
        <f aca="false">COUNTA(D237:FK237)</f>
        <v>31</v>
      </c>
      <c r="C237" s="364" t="s">
        <v>1274</v>
      </c>
      <c r="D237" s="364" t="s">
        <v>2404</v>
      </c>
      <c r="E237" s="364" t="s">
        <v>2464</v>
      </c>
      <c r="F237" s="364" t="s">
        <v>2466</v>
      </c>
      <c r="G237" s="364" t="s">
        <v>2569</v>
      </c>
      <c r="H237" s="364" t="s">
        <v>2320</v>
      </c>
      <c r="I237" s="364" t="s">
        <v>2322</v>
      </c>
      <c r="J237" s="364" t="s">
        <v>2324</v>
      </c>
      <c r="K237" s="364" t="s">
        <v>2327</v>
      </c>
      <c r="L237" s="364" t="s">
        <v>2328</v>
      </c>
      <c r="M237" s="364" t="s">
        <v>2329</v>
      </c>
      <c r="N237" s="364" t="s">
        <v>2381</v>
      </c>
      <c r="O237" s="261" t="s">
        <v>183</v>
      </c>
      <c r="P237" s="364" t="s">
        <v>2337</v>
      </c>
      <c r="Q237" s="364" t="s">
        <v>2340</v>
      </c>
      <c r="R237" s="364" t="s">
        <v>2341</v>
      </c>
      <c r="S237" s="364" t="s">
        <v>2470</v>
      </c>
      <c r="T237" s="364" t="s">
        <v>2422</v>
      </c>
      <c r="U237" s="364" t="s">
        <v>2472</v>
      </c>
      <c r="V237" s="364" t="s">
        <v>2344</v>
      </c>
      <c r="W237" s="364" t="s">
        <v>2570</v>
      </c>
      <c r="X237" s="364" t="s">
        <v>2347</v>
      </c>
      <c r="Y237" s="364" t="s">
        <v>2511</v>
      </c>
      <c r="Z237" s="364" t="s">
        <v>2398</v>
      </c>
      <c r="AA237" s="364" t="s">
        <v>2348</v>
      </c>
      <c r="AB237" s="364" t="s">
        <v>2445</v>
      </c>
      <c r="AC237" s="364" t="s">
        <v>2456</v>
      </c>
      <c r="AD237" s="364" t="s">
        <v>2475</v>
      </c>
      <c r="AE237" s="364" t="s">
        <v>2476</v>
      </c>
      <c r="AF237" s="364" t="s">
        <v>2488</v>
      </c>
      <c r="AG237" s="364" t="s">
        <v>2492</v>
      </c>
      <c r="AH237" s="364" t="s">
        <v>2477</v>
      </c>
      <c r="AI237" s="364"/>
      <c r="AJ237" s="364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/>
      <c r="BJ237" s="364"/>
      <c r="BK237" s="364"/>
      <c r="BL237" s="364"/>
      <c r="BM237" s="364"/>
      <c r="BN237" s="364"/>
      <c r="BO237" s="364"/>
      <c r="BP237" s="364"/>
      <c r="BQ237" s="364"/>
      <c r="BR237" s="364"/>
      <c r="BS237" s="364"/>
      <c r="BT237" s="364"/>
      <c r="BU237" s="364"/>
      <c r="BV237" s="364"/>
      <c r="BW237" s="364"/>
      <c r="BX237" s="364"/>
      <c r="BY237" s="364"/>
      <c r="BZ237" s="364"/>
      <c r="CA237" s="364"/>
      <c r="CB237" s="364"/>
      <c r="CC237" s="364"/>
      <c r="CD237" s="364"/>
      <c r="CE237" s="364"/>
      <c r="CF237" s="364"/>
      <c r="CG237" s="364"/>
      <c r="CH237" s="364"/>
      <c r="CI237" s="364"/>
      <c r="CJ237" s="364"/>
      <c r="CK237" s="364"/>
      <c r="CL237" s="364"/>
      <c r="CM237" s="364"/>
      <c r="CN237" s="364"/>
      <c r="CO237" s="364"/>
      <c r="CP237" s="364"/>
      <c r="CQ237" s="364"/>
      <c r="CR237" s="364"/>
      <c r="CS237" s="364"/>
      <c r="CT237" s="364"/>
      <c r="CU237" s="364"/>
      <c r="CV237" s="364"/>
      <c r="CW237" s="364"/>
      <c r="CX237" s="364"/>
      <c r="CY237" s="364"/>
      <c r="CZ237" s="364"/>
      <c r="DA237" s="364"/>
      <c r="DB237" s="364"/>
      <c r="DC237" s="364"/>
      <c r="DD237" s="364"/>
      <c r="DE237" s="364"/>
      <c r="DF237" s="364"/>
      <c r="DG237" s="364"/>
      <c r="DH237" s="364"/>
      <c r="DI237" s="364"/>
      <c r="DJ237" s="364"/>
      <c r="DK237" s="364"/>
      <c r="DL237" s="364"/>
      <c r="DM237" s="364"/>
      <c r="DN237" s="364"/>
      <c r="DO237" s="364"/>
      <c r="DP237" s="364"/>
      <c r="DQ237" s="364"/>
      <c r="DR237" s="364"/>
      <c r="DS237" s="364"/>
      <c r="DT237" s="364"/>
      <c r="DU237" s="364"/>
      <c r="DV237" s="364"/>
      <c r="DW237" s="364"/>
      <c r="DX237" s="364"/>
      <c r="DY237" s="364"/>
      <c r="DZ237" s="364"/>
      <c r="EA237" s="364"/>
      <c r="EB237" s="364"/>
      <c r="EC237" s="364"/>
      <c r="ED237" s="364"/>
      <c r="EE237" s="364"/>
      <c r="EF237" s="364"/>
      <c r="EG237" s="364"/>
      <c r="EH237" s="364"/>
      <c r="EI237" s="364"/>
      <c r="EJ237" s="364"/>
      <c r="EK237" s="364"/>
      <c r="EL237" s="364"/>
      <c r="EM237" s="364"/>
      <c r="EN237" s="364"/>
      <c r="EO237" s="364"/>
      <c r="EP237" s="364"/>
      <c r="EQ237" s="364"/>
      <c r="ER237" s="364"/>
      <c r="ES237" s="364"/>
      <c r="ET237" s="364"/>
      <c r="EU237" s="364"/>
      <c r="EV237" s="364"/>
      <c r="EW237" s="364"/>
      <c r="EX237" s="364"/>
      <c r="EY237" s="364"/>
      <c r="EZ237" s="364"/>
      <c r="FA237" s="364"/>
      <c r="FB237" s="364"/>
      <c r="FC237" s="364"/>
      <c r="FD237" s="364"/>
      <c r="FE237" s="364"/>
      <c r="FF237" s="364"/>
      <c r="FG237" s="364"/>
      <c r="FH237" s="364"/>
      <c r="FI237" s="364"/>
      <c r="FJ237" s="364"/>
      <c r="FK237" s="364"/>
    </row>
    <row r="238" customFormat="false" ht="15.75" hidden="false" customHeight="false" outlineLevel="0" collapsed="false">
      <c r="A238" s="364" t="n">
        <v>474</v>
      </c>
      <c r="B238" s="364" t="n">
        <f aca="false">COUNTA(D238:FK238)</f>
        <v>37</v>
      </c>
      <c r="C238" s="364" t="s">
        <v>1277</v>
      </c>
      <c r="D238" s="364" t="s">
        <v>2314</v>
      </c>
      <c r="E238" s="364" t="s">
        <v>2465</v>
      </c>
      <c r="F238" s="364" t="s">
        <v>2315</v>
      </c>
      <c r="G238" s="364" t="s">
        <v>2517</v>
      </c>
      <c r="H238" s="364" t="s">
        <v>2319</v>
      </c>
      <c r="I238" s="364" t="s">
        <v>2320</v>
      </c>
      <c r="J238" s="364" t="s">
        <v>2322</v>
      </c>
      <c r="K238" s="364" t="s">
        <v>2323</v>
      </c>
      <c r="L238" s="364" t="s">
        <v>2324</v>
      </c>
      <c r="M238" s="364" t="s">
        <v>2325</v>
      </c>
      <c r="N238" s="364" t="s">
        <v>2328</v>
      </c>
      <c r="O238" s="364" t="s">
        <v>2329</v>
      </c>
      <c r="P238" s="364" t="s">
        <v>2623</v>
      </c>
      <c r="Q238" s="364" t="s">
        <v>2331</v>
      </c>
      <c r="R238" s="261" t="s">
        <v>183</v>
      </c>
      <c r="S238" s="364" t="s">
        <v>2454</v>
      </c>
      <c r="T238" s="364" t="s">
        <v>2487</v>
      </c>
      <c r="U238" s="364" t="s">
        <v>2337</v>
      </c>
      <c r="V238" s="364" t="s">
        <v>2340</v>
      </c>
      <c r="W238" s="364" t="s">
        <v>2341</v>
      </c>
      <c r="X238" s="364" t="s">
        <v>2342</v>
      </c>
      <c r="Y238" s="364" t="s">
        <v>2442</v>
      </c>
      <c r="Z238" s="364" t="s">
        <v>2343</v>
      </c>
      <c r="AA238" s="364" t="s">
        <v>2344</v>
      </c>
      <c r="AB238" s="364" t="s">
        <v>2345</v>
      </c>
      <c r="AC238" s="364" t="s">
        <v>2398</v>
      </c>
      <c r="AD238" s="364" t="s">
        <v>2350</v>
      </c>
      <c r="AE238" s="364" t="s">
        <v>2650</v>
      </c>
      <c r="AF238" s="261" t="s">
        <v>2527</v>
      </c>
      <c r="AG238" s="261" t="s">
        <v>2312</v>
      </c>
      <c r="AH238" s="261" t="s">
        <v>2316</v>
      </c>
      <c r="AI238" s="261" t="s">
        <v>2557</v>
      </c>
      <c r="AJ238" s="261" t="s">
        <v>2333</v>
      </c>
      <c r="AK238" s="261" t="s">
        <v>2334</v>
      </c>
      <c r="AL238" s="261" t="s">
        <v>2453</v>
      </c>
      <c r="AM238" s="261" t="s">
        <v>2616</v>
      </c>
      <c r="AN238" s="261" t="s">
        <v>2336</v>
      </c>
      <c r="AO238" s="364"/>
      <c r="AP238" s="364"/>
      <c r="AQ238" s="364"/>
      <c r="AR238" s="364"/>
      <c r="AS238" s="364"/>
      <c r="AT238" s="364"/>
      <c r="AU238" s="364"/>
      <c r="AV238" s="364"/>
      <c r="AW238" s="364"/>
      <c r="AX238" s="364"/>
      <c r="AY238" s="364"/>
      <c r="AZ238" s="364"/>
      <c r="BA238" s="364"/>
      <c r="BB238" s="364"/>
      <c r="BC238" s="364"/>
      <c r="BD238" s="364"/>
      <c r="BE238" s="364"/>
      <c r="BF238" s="364"/>
      <c r="BG238" s="364"/>
      <c r="BH238" s="364"/>
      <c r="BI238" s="364"/>
      <c r="BJ238" s="364"/>
      <c r="BK238" s="364"/>
      <c r="BL238" s="364"/>
      <c r="BM238" s="364"/>
      <c r="BN238" s="364"/>
      <c r="BO238" s="364"/>
      <c r="BP238" s="364"/>
      <c r="BQ238" s="364"/>
      <c r="BR238" s="364"/>
      <c r="BS238" s="364"/>
      <c r="BT238" s="364"/>
      <c r="BU238" s="364"/>
      <c r="BV238" s="364"/>
      <c r="BW238" s="364"/>
      <c r="BX238" s="364"/>
      <c r="BY238" s="364"/>
      <c r="BZ238" s="364"/>
      <c r="CA238" s="364"/>
      <c r="CB238" s="364"/>
      <c r="CC238" s="364"/>
      <c r="CD238" s="364"/>
      <c r="CE238" s="364"/>
      <c r="CF238" s="364"/>
      <c r="CG238" s="364"/>
      <c r="CH238" s="364"/>
      <c r="CI238" s="364"/>
      <c r="CJ238" s="364"/>
      <c r="CK238" s="364"/>
      <c r="CL238" s="364"/>
      <c r="CM238" s="364"/>
      <c r="CN238" s="364"/>
      <c r="CO238" s="364"/>
      <c r="CP238" s="364"/>
      <c r="CQ238" s="364"/>
      <c r="CR238" s="364"/>
      <c r="CS238" s="364"/>
      <c r="CT238" s="364"/>
      <c r="CU238" s="364"/>
      <c r="CV238" s="364"/>
      <c r="CW238" s="364"/>
      <c r="CX238" s="364"/>
      <c r="CY238" s="364"/>
      <c r="CZ238" s="364"/>
      <c r="DA238" s="364"/>
      <c r="DB238" s="364"/>
      <c r="DC238" s="364"/>
      <c r="DD238" s="364"/>
      <c r="DE238" s="364"/>
      <c r="DF238" s="364"/>
      <c r="DG238" s="364"/>
      <c r="DH238" s="364"/>
      <c r="DI238" s="364"/>
      <c r="DJ238" s="364"/>
      <c r="DK238" s="364"/>
      <c r="DL238" s="364"/>
      <c r="DM238" s="364"/>
      <c r="DN238" s="364"/>
      <c r="DO238" s="364"/>
      <c r="DP238" s="364"/>
      <c r="DQ238" s="364"/>
      <c r="DR238" s="364"/>
      <c r="DS238" s="364"/>
      <c r="DT238" s="364"/>
      <c r="DU238" s="364"/>
      <c r="DV238" s="364"/>
      <c r="DW238" s="364"/>
      <c r="DX238" s="364"/>
      <c r="DY238" s="364"/>
      <c r="DZ238" s="364"/>
      <c r="EA238" s="364"/>
      <c r="EB238" s="364"/>
      <c r="EC238" s="364"/>
      <c r="ED238" s="364"/>
      <c r="EE238" s="364"/>
      <c r="EF238" s="364"/>
      <c r="EG238" s="364"/>
      <c r="EH238" s="364"/>
      <c r="EI238" s="364"/>
      <c r="EJ238" s="364"/>
      <c r="EK238" s="364"/>
      <c r="EL238" s="364"/>
      <c r="EM238" s="364"/>
      <c r="EN238" s="364"/>
      <c r="EO238" s="364"/>
      <c r="EP238" s="364"/>
      <c r="EQ238" s="364"/>
      <c r="ER238" s="364"/>
      <c r="ES238" s="364"/>
      <c r="ET238" s="364"/>
      <c r="EU238" s="364"/>
      <c r="EV238" s="364"/>
      <c r="EW238" s="364"/>
      <c r="EX238" s="364"/>
      <c r="EY238" s="364"/>
      <c r="EZ238" s="364"/>
      <c r="FA238" s="364"/>
      <c r="FB238" s="364"/>
      <c r="FC238" s="364"/>
      <c r="FD238" s="364"/>
      <c r="FE238" s="364"/>
      <c r="FF238" s="364"/>
      <c r="FG238" s="364"/>
      <c r="FH238" s="364"/>
      <c r="FI238" s="364"/>
      <c r="FJ238" s="364"/>
      <c r="FK238" s="364"/>
    </row>
    <row r="239" customFormat="false" ht="15.75" hidden="false" customHeight="false" outlineLevel="0" collapsed="false">
      <c r="A239" s="364" t="n">
        <v>476</v>
      </c>
      <c r="B239" s="364" t="n">
        <f aca="false">COUNTA(D239:FK239)</f>
        <v>57</v>
      </c>
      <c r="C239" s="364" t="s">
        <v>1281</v>
      </c>
      <c r="D239" s="364" t="s">
        <v>2561</v>
      </c>
      <c r="E239" s="364" t="s">
        <v>2447</v>
      </c>
      <c r="F239" s="364" t="s">
        <v>2403</v>
      </c>
      <c r="G239" s="364" t="s">
        <v>2405</v>
      </c>
      <c r="H239" s="364" t="s">
        <v>2356</v>
      </c>
      <c r="I239" s="364" t="s">
        <v>2313</v>
      </c>
      <c r="J239" s="364" t="s">
        <v>2509</v>
      </c>
      <c r="K239" s="364" t="s">
        <v>2315</v>
      </c>
      <c r="L239" s="364" t="s">
        <v>2358</v>
      </c>
      <c r="M239" s="364" t="s">
        <v>2361</v>
      </c>
      <c r="N239" s="364" t="s">
        <v>2363</v>
      </c>
      <c r="O239" s="364" t="s">
        <v>2497</v>
      </c>
      <c r="P239" s="364" t="s">
        <v>2317</v>
      </c>
      <c r="Q239" s="364" t="s">
        <v>2448</v>
      </c>
      <c r="R239" s="364" t="s">
        <v>2320</v>
      </c>
      <c r="S239" s="364" t="s">
        <v>2366</v>
      </c>
      <c r="T239" s="364" t="s">
        <v>2369</v>
      </c>
      <c r="U239" s="364" t="s">
        <v>2373</v>
      </c>
      <c r="V239" s="364" t="s">
        <v>2376</v>
      </c>
      <c r="W239" s="364" t="s">
        <v>2377</v>
      </c>
      <c r="X239" s="364" t="s">
        <v>2324</v>
      </c>
      <c r="Y239" s="364" t="s">
        <v>2327</v>
      </c>
      <c r="Z239" s="364" t="s">
        <v>2642</v>
      </c>
      <c r="AA239" s="364" t="s">
        <v>2328</v>
      </c>
      <c r="AB239" s="364" t="s">
        <v>2329</v>
      </c>
      <c r="AC239" s="364" t="s">
        <v>2415</v>
      </c>
      <c r="AD239" s="364" t="s">
        <v>2379</v>
      </c>
      <c r="AE239" s="364" t="s">
        <v>2506</v>
      </c>
      <c r="AF239" s="364" t="s">
        <v>2381</v>
      </c>
      <c r="AG239" s="261" t="s">
        <v>183</v>
      </c>
      <c r="AH239" s="364" t="s">
        <v>2332</v>
      </c>
      <c r="AI239" s="364" t="s">
        <v>2452</v>
      </c>
      <c r="AJ239" s="364" t="s">
        <v>2387</v>
      </c>
      <c r="AK239" s="364" t="s">
        <v>2455</v>
      </c>
      <c r="AL239" s="364" t="s">
        <v>2337</v>
      </c>
      <c r="AM239" s="364" t="s">
        <v>2338</v>
      </c>
      <c r="AN239" s="364" t="s">
        <v>2388</v>
      </c>
      <c r="AO239" s="364" t="s">
        <v>2339</v>
      </c>
      <c r="AP239" s="364" t="s">
        <v>2389</v>
      </c>
      <c r="AQ239" s="364" t="s">
        <v>2340</v>
      </c>
      <c r="AR239" s="364" t="s">
        <v>2341</v>
      </c>
      <c r="AS239" s="364" t="s">
        <v>2470</v>
      </c>
      <c r="AT239" s="364" t="s">
        <v>2423</v>
      </c>
      <c r="AU239" s="364" t="s">
        <v>2344</v>
      </c>
      <c r="AV239" s="364" t="s">
        <v>2346</v>
      </c>
      <c r="AW239" s="364" t="s">
        <v>2500</v>
      </c>
      <c r="AX239" s="364" t="s">
        <v>2347</v>
      </c>
      <c r="AY239" s="364" t="s">
        <v>2511</v>
      </c>
      <c r="AZ239" s="364" t="s">
        <v>2424</v>
      </c>
      <c r="BA239" s="364" t="s">
        <v>2349</v>
      </c>
      <c r="BB239" s="364" t="s">
        <v>2445</v>
      </c>
      <c r="BC239" s="364" t="s">
        <v>2475</v>
      </c>
      <c r="BD239" s="364" t="s">
        <v>2476</v>
      </c>
      <c r="BE239" s="364" t="s">
        <v>2399</v>
      </c>
      <c r="BF239" s="364" t="s">
        <v>2463</v>
      </c>
      <c r="BG239" s="364" t="s">
        <v>2429</v>
      </c>
      <c r="BH239" s="364" t="s">
        <v>2430</v>
      </c>
      <c r="BI239" s="364"/>
      <c r="BJ239" s="364"/>
      <c r="BK239" s="364"/>
      <c r="BL239" s="364"/>
      <c r="BM239" s="364"/>
      <c r="BN239" s="364"/>
      <c r="BO239" s="364"/>
      <c r="BP239" s="364"/>
      <c r="BQ239" s="364"/>
      <c r="BR239" s="364"/>
      <c r="BS239" s="364"/>
      <c r="BT239" s="364"/>
      <c r="BU239" s="364"/>
      <c r="BV239" s="364"/>
      <c r="BW239" s="364"/>
      <c r="BX239" s="364"/>
      <c r="BY239" s="364"/>
      <c r="BZ239" s="364"/>
      <c r="CA239" s="364"/>
      <c r="CB239" s="364"/>
      <c r="CC239" s="364"/>
      <c r="CD239" s="364"/>
      <c r="CE239" s="364"/>
      <c r="CF239" s="364"/>
      <c r="CG239" s="364"/>
      <c r="CH239" s="364"/>
      <c r="CI239" s="364"/>
      <c r="CJ239" s="364"/>
      <c r="CK239" s="364"/>
      <c r="CL239" s="364"/>
      <c r="CM239" s="364"/>
      <c r="CN239" s="364"/>
      <c r="CO239" s="364"/>
      <c r="CP239" s="364"/>
      <c r="CQ239" s="364"/>
      <c r="CR239" s="364"/>
      <c r="CS239" s="364"/>
      <c r="CT239" s="364"/>
      <c r="CU239" s="364"/>
      <c r="CV239" s="364"/>
      <c r="CW239" s="364"/>
      <c r="CX239" s="364"/>
      <c r="CY239" s="364"/>
      <c r="CZ239" s="364"/>
      <c r="DA239" s="364"/>
      <c r="DB239" s="364"/>
      <c r="DC239" s="364"/>
      <c r="DD239" s="364"/>
      <c r="DE239" s="364"/>
      <c r="DF239" s="364"/>
      <c r="DG239" s="364"/>
      <c r="DH239" s="364"/>
      <c r="DI239" s="364"/>
      <c r="DJ239" s="364"/>
      <c r="DK239" s="364"/>
      <c r="DL239" s="364"/>
      <c r="DM239" s="364"/>
      <c r="DN239" s="364"/>
      <c r="DO239" s="364"/>
      <c r="DP239" s="364"/>
      <c r="DQ239" s="364"/>
      <c r="DR239" s="364"/>
      <c r="DS239" s="364"/>
      <c r="DT239" s="364"/>
      <c r="DU239" s="364"/>
      <c r="DV239" s="364"/>
      <c r="DW239" s="364"/>
      <c r="DX239" s="364"/>
      <c r="DY239" s="364"/>
      <c r="DZ239" s="364"/>
      <c r="EA239" s="364"/>
      <c r="EB239" s="364"/>
      <c r="EC239" s="364"/>
      <c r="ED239" s="364"/>
      <c r="EE239" s="364"/>
      <c r="EF239" s="364"/>
      <c r="EG239" s="364"/>
      <c r="EH239" s="364"/>
      <c r="EI239" s="364"/>
      <c r="EJ239" s="364"/>
      <c r="EK239" s="364"/>
      <c r="EL239" s="364"/>
      <c r="EM239" s="364"/>
      <c r="EN239" s="364"/>
      <c r="EO239" s="364"/>
      <c r="EP239" s="364"/>
      <c r="EQ239" s="364"/>
      <c r="ER239" s="364"/>
      <c r="ES239" s="364"/>
      <c r="ET239" s="364"/>
      <c r="EU239" s="364"/>
      <c r="EV239" s="364"/>
      <c r="EW239" s="364"/>
      <c r="EX239" s="364"/>
      <c r="EY239" s="364"/>
      <c r="EZ239" s="364"/>
      <c r="FA239" s="364"/>
      <c r="FB239" s="364"/>
      <c r="FC239" s="364"/>
      <c r="FD239" s="364"/>
      <c r="FE239" s="364"/>
      <c r="FF239" s="364"/>
      <c r="FG239" s="364"/>
      <c r="FH239" s="364"/>
      <c r="FI239" s="364"/>
      <c r="FJ239" s="364"/>
      <c r="FK239" s="364"/>
    </row>
    <row r="240" customFormat="false" ht="15.75" hidden="false" customHeight="false" outlineLevel="0" collapsed="false">
      <c r="A240" s="364" t="n">
        <v>478</v>
      </c>
      <c r="B240" s="364" t="n">
        <f aca="false">COUNTA(D240:FK240)</f>
        <v>39</v>
      </c>
      <c r="C240" s="364" t="s">
        <v>1285</v>
      </c>
      <c r="D240" s="364" t="s">
        <v>2561</v>
      </c>
      <c r="E240" s="364" t="s">
        <v>2403</v>
      </c>
      <c r="F240" s="364" t="s">
        <v>2405</v>
      </c>
      <c r="G240" s="364" t="s">
        <v>2313</v>
      </c>
      <c r="H240" s="364" t="s">
        <v>2358</v>
      </c>
      <c r="I240" s="364" t="s">
        <v>2497</v>
      </c>
      <c r="J240" s="364" t="s">
        <v>2317</v>
      </c>
      <c r="K240" s="364" t="s">
        <v>2320</v>
      </c>
      <c r="L240" s="364" t="s">
        <v>2366</v>
      </c>
      <c r="M240" s="364" t="s">
        <v>2373</v>
      </c>
      <c r="N240" s="364" t="s">
        <v>2411</v>
      </c>
      <c r="O240" s="364" t="s">
        <v>2324</v>
      </c>
      <c r="P240" s="364" t="s">
        <v>2327</v>
      </c>
      <c r="Q240" s="364" t="s">
        <v>2563</v>
      </c>
      <c r="R240" s="364" t="s">
        <v>2328</v>
      </c>
      <c r="S240" s="364" t="s">
        <v>2329</v>
      </c>
      <c r="T240" s="364" t="s">
        <v>2415</v>
      </c>
      <c r="U240" s="364" t="s">
        <v>2379</v>
      </c>
      <c r="V240" s="364" t="s">
        <v>2506</v>
      </c>
      <c r="W240" s="364" t="s">
        <v>2381</v>
      </c>
      <c r="X240" s="364" t="s">
        <v>2508</v>
      </c>
      <c r="Y240" s="261" t="s">
        <v>183</v>
      </c>
      <c r="Z240" s="364" t="s">
        <v>2332</v>
      </c>
      <c r="AA240" s="364" t="s">
        <v>2337</v>
      </c>
      <c r="AB240" s="364" t="s">
        <v>2388</v>
      </c>
      <c r="AC240" s="364" t="s">
        <v>2339</v>
      </c>
      <c r="AD240" s="364" t="s">
        <v>2389</v>
      </c>
      <c r="AE240" s="364" t="s">
        <v>2340</v>
      </c>
      <c r="AF240" s="364" t="s">
        <v>2341</v>
      </c>
      <c r="AG240" s="364" t="s">
        <v>2470</v>
      </c>
      <c r="AH240" s="364" t="s">
        <v>2423</v>
      </c>
      <c r="AI240" s="364" t="s">
        <v>2344</v>
      </c>
      <c r="AJ240" s="364" t="s">
        <v>2346</v>
      </c>
      <c r="AK240" s="364" t="s">
        <v>2500</v>
      </c>
      <c r="AL240" s="364" t="s">
        <v>2347</v>
      </c>
      <c r="AM240" s="364" t="s">
        <v>2348</v>
      </c>
      <c r="AN240" s="364" t="s">
        <v>2349</v>
      </c>
      <c r="AO240" s="364" t="s">
        <v>2475</v>
      </c>
      <c r="AP240" s="364" t="s">
        <v>2476</v>
      </c>
      <c r="AQ240" s="364"/>
      <c r="AR240" s="364"/>
      <c r="AS240" s="364"/>
      <c r="AT240" s="364"/>
      <c r="AU240" s="364"/>
      <c r="AV240" s="364"/>
      <c r="AW240" s="364"/>
      <c r="AX240" s="364"/>
      <c r="AY240" s="364"/>
      <c r="AZ240" s="364"/>
      <c r="BA240" s="364"/>
      <c r="BB240" s="364"/>
      <c r="BC240" s="364"/>
      <c r="BD240" s="364"/>
      <c r="BE240" s="364"/>
      <c r="BF240" s="364"/>
      <c r="BG240" s="364"/>
      <c r="BH240" s="364"/>
      <c r="BI240" s="364"/>
      <c r="BJ240" s="364"/>
      <c r="BK240" s="364"/>
      <c r="BL240" s="364"/>
      <c r="BM240" s="364"/>
      <c r="BN240" s="364"/>
      <c r="BO240" s="364"/>
      <c r="BP240" s="364"/>
      <c r="BQ240" s="364"/>
      <c r="BR240" s="364"/>
      <c r="BS240" s="364"/>
      <c r="BT240" s="364"/>
      <c r="BU240" s="364"/>
      <c r="BV240" s="364"/>
      <c r="BW240" s="364"/>
      <c r="BX240" s="364"/>
      <c r="BY240" s="364"/>
      <c r="BZ240" s="364"/>
      <c r="CA240" s="364"/>
      <c r="CB240" s="364"/>
      <c r="CC240" s="364"/>
      <c r="CD240" s="364"/>
      <c r="CE240" s="364"/>
      <c r="CF240" s="364"/>
      <c r="CG240" s="364"/>
      <c r="CH240" s="364"/>
      <c r="CI240" s="364"/>
      <c r="CJ240" s="364"/>
      <c r="CK240" s="364"/>
      <c r="CL240" s="364"/>
      <c r="CM240" s="364"/>
      <c r="CN240" s="364"/>
      <c r="CO240" s="364"/>
      <c r="CP240" s="364"/>
      <c r="CQ240" s="364"/>
      <c r="CR240" s="364"/>
      <c r="CS240" s="364"/>
      <c r="CT240" s="364"/>
      <c r="CU240" s="364"/>
      <c r="CV240" s="364"/>
      <c r="CW240" s="364"/>
      <c r="CX240" s="364"/>
      <c r="CY240" s="364"/>
      <c r="CZ240" s="364"/>
      <c r="DA240" s="364"/>
      <c r="DB240" s="364"/>
      <c r="DC240" s="364"/>
      <c r="DD240" s="364"/>
      <c r="DE240" s="364"/>
      <c r="DF240" s="364"/>
      <c r="DG240" s="364"/>
      <c r="DH240" s="364"/>
      <c r="DI240" s="364"/>
      <c r="DJ240" s="364"/>
      <c r="DK240" s="364"/>
      <c r="DL240" s="364"/>
      <c r="DM240" s="364"/>
      <c r="DN240" s="364"/>
      <c r="DO240" s="364"/>
      <c r="DP240" s="364"/>
      <c r="DQ240" s="364"/>
      <c r="DR240" s="364"/>
      <c r="DS240" s="364"/>
      <c r="DT240" s="364"/>
      <c r="DU240" s="364"/>
      <c r="DV240" s="364"/>
      <c r="DW240" s="364"/>
      <c r="DX240" s="364"/>
      <c r="DY240" s="364"/>
      <c r="DZ240" s="364"/>
      <c r="EA240" s="364"/>
      <c r="EB240" s="364"/>
      <c r="EC240" s="364"/>
      <c r="ED240" s="364"/>
      <c r="EE240" s="364"/>
      <c r="EF240" s="364"/>
      <c r="EG240" s="364"/>
      <c r="EH240" s="364"/>
      <c r="EI240" s="364"/>
      <c r="EJ240" s="364"/>
      <c r="EK240" s="364"/>
      <c r="EL240" s="364"/>
      <c r="EM240" s="364"/>
      <c r="EN240" s="364"/>
      <c r="EO240" s="364"/>
      <c r="EP240" s="364"/>
      <c r="EQ240" s="364"/>
      <c r="ER240" s="364"/>
      <c r="ES240" s="364"/>
      <c r="ET240" s="364"/>
      <c r="EU240" s="364"/>
      <c r="EV240" s="364"/>
      <c r="EW240" s="364"/>
      <c r="EX240" s="364"/>
      <c r="EY240" s="364"/>
      <c r="EZ240" s="364"/>
      <c r="FA240" s="364"/>
      <c r="FB240" s="364"/>
      <c r="FC240" s="364"/>
      <c r="FD240" s="364"/>
      <c r="FE240" s="364"/>
      <c r="FF240" s="364"/>
      <c r="FG240" s="364"/>
      <c r="FH240" s="364"/>
      <c r="FI240" s="364"/>
      <c r="FJ240" s="364"/>
      <c r="FK240" s="364"/>
    </row>
    <row r="241" customFormat="false" ht="15.75" hidden="false" customHeight="false" outlineLevel="0" collapsed="false">
      <c r="A241" s="364" t="n">
        <v>480</v>
      </c>
      <c r="B241" s="364" t="n">
        <f aca="false">COUNTA(D241:FK241)</f>
        <v>33</v>
      </c>
      <c r="C241" s="364" t="s">
        <v>1292</v>
      </c>
      <c r="D241" s="364" t="s">
        <v>2432</v>
      </c>
      <c r="E241" s="364" t="s">
        <v>2433</v>
      </c>
      <c r="F241" s="364" t="s">
        <v>2314</v>
      </c>
      <c r="G241" s="364" t="s">
        <v>2434</v>
      </c>
      <c r="H241" s="364" t="s">
        <v>2435</v>
      </c>
      <c r="I241" s="364" t="s">
        <v>2436</v>
      </c>
      <c r="J241" s="364" t="s">
        <v>2448</v>
      </c>
      <c r="K241" s="364" t="s">
        <v>2319</v>
      </c>
      <c r="L241" s="364" t="s">
        <v>2320</v>
      </c>
      <c r="M241" s="364" t="s">
        <v>2323</v>
      </c>
      <c r="N241" s="364" t="s">
        <v>2324</v>
      </c>
      <c r="O241" s="364" t="s">
        <v>2325</v>
      </c>
      <c r="P241" s="364" t="s">
        <v>2328</v>
      </c>
      <c r="Q241" s="364" t="s">
        <v>2329</v>
      </c>
      <c r="R241" s="364" t="s">
        <v>2438</v>
      </c>
      <c r="S241" s="364" t="s">
        <v>2557</v>
      </c>
      <c r="T241" s="364" t="s">
        <v>2439</v>
      </c>
      <c r="U241" s="364" t="s">
        <v>157</v>
      </c>
      <c r="V241" s="364" t="s">
        <v>2336</v>
      </c>
      <c r="W241" s="364" t="s">
        <v>2337</v>
      </c>
      <c r="X241" s="364" t="s">
        <v>2340</v>
      </c>
      <c r="Y241" s="364" t="s">
        <v>2341</v>
      </c>
      <c r="Z241" s="364" t="s">
        <v>2342</v>
      </c>
      <c r="AA241" s="364" t="s">
        <v>2442</v>
      </c>
      <c r="AB241" s="364" t="s">
        <v>2422</v>
      </c>
      <c r="AC241" s="364" t="s">
        <v>2344</v>
      </c>
      <c r="AD241" s="364" t="s">
        <v>2345</v>
      </c>
      <c r="AE241" s="364" t="s">
        <v>2444</v>
      </c>
      <c r="AF241" s="364" t="s">
        <v>2473</v>
      </c>
      <c r="AG241" s="364" t="s">
        <v>2348</v>
      </c>
      <c r="AH241" s="364" t="s">
        <v>2445</v>
      </c>
      <c r="AI241" s="364" t="s">
        <v>2463</v>
      </c>
      <c r="AJ241" s="364" t="s">
        <v>2350</v>
      </c>
      <c r="AK241" s="364"/>
      <c r="AL241" s="364"/>
      <c r="AM241" s="364"/>
      <c r="AN241" s="364"/>
      <c r="AO241" s="364"/>
      <c r="AP241" s="364"/>
      <c r="AQ241" s="364"/>
      <c r="AR241" s="364"/>
      <c r="AS241" s="364"/>
      <c r="AT241" s="364"/>
      <c r="AU241" s="364"/>
      <c r="AV241" s="364"/>
      <c r="AW241" s="364"/>
      <c r="AX241" s="364"/>
      <c r="AY241" s="364"/>
      <c r="AZ241" s="364"/>
      <c r="BA241" s="364"/>
      <c r="BB241" s="364"/>
      <c r="BC241" s="364"/>
      <c r="BD241" s="364"/>
      <c r="BE241" s="364"/>
      <c r="BF241" s="364"/>
      <c r="BG241" s="364"/>
      <c r="BH241" s="364"/>
      <c r="BI241" s="364"/>
      <c r="BJ241" s="364"/>
      <c r="BK241" s="364"/>
      <c r="BL241" s="364"/>
      <c r="BM241" s="364"/>
      <c r="BN241" s="364"/>
      <c r="BO241" s="364"/>
      <c r="BP241" s="364"/>
      <c r="BQ241" s="364"/>
      <c r="BR241" s="364"/>
      <c r="BS241" s="364"/>
      <c r="BT241" s="364"/>
      <c r="BU241" s="364"/>
      <c r="BV241" s="364"/>
      <c r="BW241" s="364"/>
      <c r="BX241" s="364"/>
      <c r="BY241" s="364"/>
      <c r="BZ241" s="364"/>
      <c r="CA241" s="364"/>
      <c r="CB241" s="364"/>
      <c r="CC241" s="364"/>
      <c r="CD241" s="364"/>
      <c r="CE241" s="364"/>
      <c r="CF241" s="364"/>
      <c r="CG241" s="364"/>
      <c r="CH241" s="364"/>
      <c r="CI241" s="364"/>
      <c r="CJ241" s="364"/>
      <c r="CK241" s="364"/>
      <c r="CL241" s="364"/>
      <c r="CM241" s="364"/>
      <c r="CN241" s="364"/>
      <c r="CO241" s="364"/>
      <c r="CP241" s="364"/>
      <c r="CQ241" s="364"/>
      <c r="CR241" s="364"/>
      <c r="CS241" s="364"/>
      <c r="CT241" s="364"/>
      <c r="CU241" s="364"/>
      <c r="CV241" s="364"/>
      <c r="CW241" s="364"/>
      <c r="CX241" s="364"/>
      <c r="CY241" s="364"/>
      <c r="CZ241" s="364"/>
      <c r="DA241" s="364"/>
      <c r="DB241" s="364"/>
      <c r="DC241" s="364"/>
      <c r="DD241" s="364"/>
      <c r="DE241" s="364"/>
      <c r="DF241" s="364"/>
      <c r="DG241" s="364"/>
      <c r="DH241" s="364"/>
      <c r="DI241" s="364"/>
      <c r="DJ241" s="364"/>
      <c r="DK241" s="364"/>
      <c r="DL241" s="364"/>
      <c r="DM241" s="364"/>
      <c r="DN241" s="364"/>
      <c r="DO241" s="364"/>
      <c r="DP241" s="364"/>
      <c r="DQ241" s="364"/>
      <c r="DR241" s="364"/>
      <c r="DS241" s="364"/>
      <c r="DT241" s="364"/>
      <c r="DU241" s="364"/>
      <c r="DV241" s="364"/>
      <c r="DW241" s="364"/>
      <c r="DX241" s="364"/>
      <c r="DY241" s="364"/>
      <c r="DZ241" s="364"/>
      <c r="EA241" s="364"/>
      <c r="EB241" s="364"/>
      <c r="EC241" s="364"/>
      <c r="ED241" s="364"/>
      <c r="EE241" s="364"/>
      <c r="EF241" s="364"/>
      <c r="EG241" s="364"/>
      <c r="EH241" s="364"/>
      <c r="EI241" s="364"/>
      <c r="EJ241" s="364"/>
      <c r="EK241" s="364"/>
      <c r="EL241" s="364"/>
      <c r="EM241" s="364"/>
      <c r="EN241" s="364"/>
      <c r="EO241" s="364"/>
      <c r="EP241" s="364"/>
      <c r="EQ241" s="364"/>
      <c r="ER241" s="364"/>
      <c r="ES241" s="364"/>
      <c r="ET241" s="364"/>
      <c r="EU241" s="364"/>
      <c r="EV241" s="364"/>
      <c r="EW241" s="364"/>
      <c r="EX241" s="364"/>
      <c r="EY241" s="364"/>
      <c r="EZ241" s="364"/>
      <c r="FA241" s="364"/>
      <c r="FB241" s="364"/>
      <c r="FC241" s="364"/>
      <c r="FD241" s="364"/>
      <c r="FE241" s="364"/>
      <c r="FF241" s="364"/>
      <c r="FG241" s="364"/>
      <c r="FH241" s="364"/>
      <c r="FI241" s="364"/>
      <c r="FJ241" s="364"/>
      <c r="FK241" s="364"/>
    </row>
    <row r="242" customFormat="false" ht="15.75" hidden="false" customHeight="false" outlineLevel="0" collapsed="false">
      <c r="A242" s="364" t="n">
        <v>481</v>
      </c>
      <c r="B242" s="364" t="n">
        <f aca="false">COUNTA(D242:FK242)</f>
        <v>33</v>
      </c>
      <c r="C242" s="364" t="s">
        <v>2670</v>
      </c>
      <c r="D242" s="364" t="s">
        <v>2432</v>
      </c>
      <c r="E242" s="364" t="s">
        <v>2433</v>
      </c>
      <c r="F242" s="364" t="s">
        <v>2313</v>
      </c>
      <c r="G242" s="364" t="s">
        <v>2434</v>
      </c>
      <c r="H242" s="364" t="s">
        <v>2358</v>
      </c>
      <c r="I242" s="364" t="s">
        <v>2435</v>
      </c>
      <c r="J242" s="364" t="s">
        <v>2497</v>
      </c>
      <c r="K242" s="364" t="s">
        <v>2317</v>
      </c>
      <c r="L242" s="364" t="s">
        <v>2436</v>
      </c>
      <c r="M242" s="364" t="s">
        <v>2448</v>
      </c>
      <c r="N242" s="364" t="s">
        <v>2320</v>
      </c>
      <c r="O242" s="364" t="s">
        <v>2324</v>
      </c>
      <c r="P242" s="364" t="s">
        <v>2328</v>
      </c>
      <c r="Q242" s="364" t="s">
        <v>2329</v>
      </c>
      <c r="R242" s="364" t="s">
        <v>2438</v>
      </c>
      <c r="S242" s="261" t="s">
        <v>183</v>
      </c>
      <c r="T242" s="364" t="s">
        <v>2439</v>
      </c>
      <c r="U242" s="364" t="s">
        <v>157</v>
      </c>
      <c r="V242" s="364" t="s">
        <v>2337</v>
      </c>
      <c r="W242" s="364" t="s">
        <v>2564</v>
      </c>
      <c r="X242" s="364" t="s">
        <v>2389</v>
      </c>
      <c r="Y242" s="364" t="s">
        <v>2420</v>
      </c>
      <c r="Z242" s="364" t="s">
        <v>2340</v>
      </c>
      <c r="AA242" s="364" t="s">
        <v>2341</v>
      </c>
      <c r="AB242" s="364" t="s">
        <v>2442</v>
      </c>
      <c r="AC242" s="364" t="s">
        <v>2422</v>
      </c>
      <c r="AD242" s="364" t="s">
        <v>2344</v>
      </c>
      <c r="AE242" s="364" t="s">
        <v>2444</v>
      </c>
      <c r="AF242" s="364" t="s">
        <v>2473</v>
      </c>
      <c r="AG242" s="364" t="s">
        <v>2348</v>
      </c>
      <c r="AH242" s="364" t="s">
        <v>2445</v>
      </c>
      <c r="AI242" s="364" t="s">
        <v>2463</v>
      </c>
      <c r="AJ242" s="364" t="s">
        <v>2350</v>
      </c>
      <c r="AK242" s="364"/>
      <c r="AL242" s="364"/>
      <c r="AM242" s="364"/>
      <c r="AN242" s="364"/>
      <c r="AO242" s="364"/>
      <c r="AP242" s="364"/>
      <c r="AQ242" s="364"/>
      <c r="AR242" s="364"/>
      <c r="AS242" s="364"/>
      <c r="AT242" s="364"/>
      <c r="AU242" s="364"/>
      <c r="AV242" s="364"/>
      <c r="AW242" s="364"/>
      <c r="AX242" s="364"/>
      <c r="AY242" s="364"/>
      <c r="AZ242" s="364"/>
      <c r="BA242" s="364"/>
      <c r="BB242" s="364"/>
      <c r="BC242" s="364"/>
      <c r="BD242" s="364"/>
      <c r="BE242" s="364"/>
      <c r="BF242" s="364"/>
      <c r="BG242" s="364"/>
      <c r="BH242" s="364"/>
      <c r="BI242" s="364"/>
      <c r="BJ242" s="364"/>
      <c r="BK242" s="364"/>
      <c r="BL242" s="364"/>
      <c r="BM242" s="364"/>
      <c r="BN242" s="364"/>
      <c r="BO242" s="364"/>
      <c r="BP242" s="364"/>
      <c r="BQ242" s="364"/>
      <c r="BR242" s="364"/>
      <c r="BS242" s="364"/>
      <c r="BT242" s="364"/>
      <c r="BU242" s="364"/>
      <c r="BV242" s="364"/>
      <c r="BW242" s="364"/>
      <c r="BX242" s="364"/>
      <c r="BY242" s="364"/>
      <c r="BZ242" s="364"/>
      <c r="CA242" s="364"/>
      <c r="CB242" s="364"/>
      <c r="CC242" s="364"/>
      <c r="CD242" s="364"/>
      <c r="CE242" s="364"/>
      <c r="CF242" s="364"/>
      <c r="CG242" s="364"/>
      <c r="CH242" s="364"/>
      <c r="CI242" s="364"/>
      <c r="CJ242" s="364"/>
      <c r="CK242" s="364"/>
      <c r="CL242" s="364"/>
      <c r="CM242" s="364"/>
      <c r="CN242" s="364"/>
      <c r="CO242" s="364"/>
      <c r="CP242" s="364"/>
      <c r="CQ242" s="364"/>
      <c r="CR242" s="364"/>
      <c r="CS242" s="364"/>
      <c r="CT242" s="364"/>
      <c r="CU242" s="364"/>
      <c r="CV242" s="364"/>
      <c r="CW242" s="364"/>
      <c r="CX242" s="364"/>
      <c r="CY242" s="364"/>
      <c r="CZ242" s="364"/>
      <c r="DA242" s="364"/>
      <c r="DB242" s="364"/>
      <c r="DC242" s="364"/>
      <c r="DD242" s="364"/>
      <c r="DE242" s="364"/>
      <c r="DF242" s="364"/>
      <c r="DG242" s="364"/>
      <c r="DH242" s="364"/>
      <c r="DI242" s="364"/>
      <c r="DJ242" s="364"/>
      <c r="DK242" s="364"/>
      <c r="DL242" s="364"/>
      <c r="DM242" s="364"/>
      <c r="DN242" s="364"/>
      <c r="DO242" s="364"/>
      <c r="DP242" s="364"/>
      <c r="DQ242" s="364"/>
      <c r="DR242" s="364"/>
      <c r="DS242" s="364"/>
      <c r="DT242" s="364"/>
      <c r="DU242" s="364"/>
      <c r="DV242" s="364"/>
      <c r="DW242" s="364"/>
      <c r="DX242" s="364"/>
      <c r="DY242" s="364"/>
      <c r="DZ242" s="364"/>
      <c r="EA242" s="364"/>
      <c r="EB242" s="364"/>
      <c r="EC242" s="364"/>
      <c r="ED242" s="364"/>
      <c r="EE242" s="364"/>
      <c r="EF242" s="364"/>
      <c r="EG242" s="364"/>
      <c r="EH242" s="364"/>
      <c r="EI242" s="364"/>
      <c r="EJ242" s="364"/>
      <c r="EK242" s="364"/>
      <c r="EL242" s="364"/>
      <c r="EM242" s="364"/>
      <c r="EN242" s="364"/>
      <c r="EO242" s="364"/>
      <c r="EP242" s="364"/>
      <c r="EQ242" s="364"/>
      <c r="ER242" s="364"/>
      <c r="ES242" s="364"/>
      <c r="ET242" s="364"/>
      <c r="EU242" s="364"/>
      <c r="EV242" s="364"/>
      <c r="EW242" s="364"/>
      <c r="EX242" s="364"/>
      <c r="EY242" s="364"/>
      <c r="EZ242" s="364"/>
      <c r="FA242" s="364"/>
      <c r="FB242" s="364"/>
      <c r="FC242" s="364"/>
      <c r="FD242" s="364"/>
      <c r="FE242" s="364"/>
      <c r="FF242" s="364"/>
      <c r="FG242" s="364"/>
      <c r="FH242" s="364"/>
      <c r="FI242" s="364"/>
      <c r="FJ242" s="364"/>
      <c r="FK242" s="364"/>
    </row>
    <row r="243" customFormat="false" ht="15.75" hidden="false" customHeight="false" outlineLevel="0" collapsed="false">
      <c r="A243" s="364" t="n">
        <v>482</v>
      </c>
      <c r="B243" s="364" t="n">
        <f aca="false">COUNTA(D243:FK243)</f>
        <v>31</v>
      </c>
      <c r="C243" s="364" t="s">
        <v>2671</v>
      </c>
      <c r="D243" s="364" t="s">
        <v>2432</v>
      </c>
      <c r="E243" s="364" t="s">
        <v>2433</v>
      </c>
      <c r="F243" s="364" t="s">
        <v>2434</v>
      </c>
      <c r="G243" s="364" t="s">
        <v>2435</v>
      </c>
      <c r="H243" s="364" t="s">
        <v>2436</v>
      </c>
      <c r="I243" s="364" t="s">
        <v>2448</v>
      </c>
      <c r="J243" s="364" t="s">
        <v>2320</v>
      </c>
      <c r="K243" s="364" t="s">
        <v>2411</v>
      </c>
      <c r="L243" s="364" t="s">
        <v>2324</v>
      </c>
      <c r="M243" s="364" t="s">
        <v>2484</v>
      </c>
      <c r="N243" s="364" t="s">
        <v>2412</v>
      </c>
      <c r="O243" s="364" t="s">
        <v>2328</v>
      </c>
      <c r="P243" s="364" t="s">
        <v>2329</v>
      </c>
      <c r="Q243" s="364" t="s">
        <v>2438</v>
      </c>
      <c r="R243" s="364" t="s">
        <v>2506</v>
      </c>
      <c r="S243" s="364" t="s">
        <v>2508</v>
      </c>
      <c r="T243" s="364" t="s">
        <v>2574</v>
      </c>
      <c r="U243" s="364" t="s">
        <v>2439</v>
      </c>
      <c r="V243" s="364" t="s">
        <v>157</v>
      </c>
      <c r="W243" s="364" t="s">
        <v>2337</v>
      </c>
      <c r="X243" s="364" t="s">
        <v>2340</v>
      </c>
      <c r="Y243" s="364" t="s">
        <v>2341</v>
      </c>
      <c r="Z243" s="364" t="s">
        <v>2442</v>
      </c>
      <c r="AA243" s="364" t="s">
        <v>2422</v>
      </c>
      <c r="AB243" s="364" t="s">
        <v>2344</v>
      </c>
      <c r="AC243" s="364" t="s">
        <v>2444</v>
      </c>
      <c r="AD243" s="364" t="s">
        <v>2473</v>
      </c>
      <c r="AE243" s="364" t="s">
        <v>2348</v>
      </c>
      <c r="AF243" s="364" t="s">
        <v>2445</v>
      </c>
      <c r="AG243" s="364" t="s">
        <v>2463</v>
      </c>
      <c r="AH243" s="364" t="s">
        <v>2350</v>
      </c>
      <c r="AI243" s="364"/>
      <c r="AJ243" s="364"/>
      <c r="AK243" s="364"/>
      <c r="AL243" s="364"/>
      <c r="AM243" s="364"/>
      <c r="AN243" s="364"/>
      <c r="AO243" s="364"/>
      <c r="AP243" s="364"/>
      <c r="AQ243" s="364"/>
      <c r="AR243" s="364"/>
      <c r="AS243" s="364"/>
      <c r="AT243" s="364"/>
      <c r="AU243" s="364"/>
      <c r="AV243" s="364"/>
      <c r="AW243" s="364"/>
      <c r="AX243" s="364"/>
      <c r="AY243" s="364"/>
      <c r="AZ243" s="364"/>
      <c r="BA243" s="364"/>
      <c r="BB243" s="364"/>
      <c r="BC243" s="364"/>
      <c r="BD243" s="364"/>
      <c r="BE243" s="364"/>
      <c r="BF243" s="364"/>
      <c r="BG243" s="364"/>
      <c r="BH243" s="364"/>
      <c r="BI243" s="364"/>
      <c r="BJ243" s="364"/>
      <c r="BK243" s="364"/>
      <c r="BL243" s="364"/>
      <c r="BM243" s="364"/>
      <c r="BN243" s="364"/>
      <c r="BO243" s="364"/>
      <c r="BP243" s="364"/>
      <c r="BQ243" s="364"/>
      <c r="BR243" s="364"/>
      <c r="BS243" s="364"/>
      <c r="BT243" s="364"/>
      <c r="BU243" s="364"/>
      <c r="BV243" s="364"/>
      <c r="BW243" s="364"/>
      <c r="BX243" s="364"/>
      <c r="BY243" s="364"/>
      <c r="BZ243" s="364"/>
      <c r="CA243" s="364"/>
      <c r="CB243" s="364"/>
      <c r="CC243" s="364"/>
      <c r="CD243" s="364"/>
      <c r="CE243" s="364"/>
      <c r="CF243" s="364"/>
      <c r="CG243" s="364"/>
      <c r="CH243" s="364"/>
      <c r="CI243" s="364"/>
      <c r="CJ243" s="364"/>
      <c r="CK243" s="364"/>
      <c r="CL243" s="364"/>
      <c r="CM243" s="364"/>
      <c r="CN243" s="364"/>
      <c r="CO243" s="364"/>
      <c r="CP243" s="364"/>
      <c r="CQ243" s="364"/>
      <c r="CR243" s="364"/>
      <c r="CS243" s="364"/>
      <c r="CT243" s="364"/>
      <c r="CU243" s="364"/>
      <c r="CV243" s="364"/>
      <c r="CW243" s="364"/>
      <c r="CX243" s="364"/>
      <c r="CY243" s="364"/>
      <c r="CZ243" s="364"/>
      <c r="DA243" s="364"/>
      <c r="DB243" s="364"/>
      <c r="DC243" s="364"/>
      <c r="DD243" s="364"/>
      <c r="DE243" s="364"/>
      <c r="DF243" s="364"/>
      <c r="DG243" s="364"/>
      <c r="DH243" s="364"/>
      <c r="DI243" s="364"/>
      <c r="DJ243" s="364"/>
      <c r="DK243" s="364"/>
      <c r="DL243" s="364"/>
      <c r="DM243" s="364"/>
      <c r="DN243" s="364"/>
      <c r="DO243" s="364"/>
      <c r="DP243" s="364"/>
      <c r="DQ243" s="364"/>
      <c r="DR243" s="364"/>
      <c r="DS243" s="364"/>
      <c r="DT243" s="364"/>
      <c r="DU243" s="364"/>
      <c r="DV243" s="364"/>
      <c r="DW243" s="364"/>
      <c r="DX243" s="364"/>
      <c r="DY243" s="364"/>
      <c r="DZ243" s="364"/>
      <c r="EA243" s="364"/>
      <c r="EB243" s="364"/>
      <c r="EC243" s="364"/>
      <c r="ED243" s="364"/>
      <c r="EE243" s="364"/>
      <c r="EF243" s="364"/>
      <c r="EG243" s="364"/>
      <c r="EH243" s="364"/>
      <c r="EI243" s="364"/>
      <c r="EJ243" s="364"/>
      <c r="EK243" s="364"/>
      <c r="EL243" s="364"/>
      <c r="EM243" s="364"/>
      <c r="EN243" s="364"/>
      <c r="EO243" s="364"/>
      <c r="EP243" s="364"/>
      <c r="EQ243" s="364"/>
      <c r="ER243" s="364"/>
      <c r="ES243" s="364"/>
      <c r="ET243" s="364"/>
      <c r="EU243" s="364"/>
      <c r="EV243" s="364"/>
      <c r="EW243" s="364"/>
      <c r="EX243" s="364"/>
      <c r="EY243" s="364"/>
      <c r="EZ243" s="364"/>
      <c r="FA243" s="364"/>
      <c r="FB243" s="364"/>
      <c r="FC243" s="364"/>
      <c r="FD243" s="364"/>
      <c r="FE243" s="364"/>
      <c r="FF243" s="364"/>
      <c r="FG243" s="364"/>
      <c r="FH243" s="364"/>
      <c r="FI243" s="364"/>
      <c r="FJ243" s="364"/>
      <c r="FK243" s="364"/>
    </row>
    <row r="244" customFormat="false" ht="15.75" hidden="false" customHeight="false" outlineLevel="0" collapsed="false">
      <c r="A244" s="364" t="n">
        <v>483</v>
      </c>
      <c r="B244" s="364" t="n">
        <f aca="false">COUNTA(D244:FK244)</f>
        <v>37</v>
      </c>
      <c r="C244" s="364" t="s">
        <v>1300</v>
      </c>
      <c r="D244" s="364" t="s">
        <v>2431</v>
      </c>
      <c r="E244" s="364" t="s">
        <v>2352</v>
      </c>
      <c r="F244" s="364" t="s">
        <v>2353</v>
      </c>
      <c r="G244" s="364" t="s">
        <v>2354</v>
      </c>
      <c r="H244" s="364" t="s">
        <v>2432</v>
      </c>
      <c r="I244" s="364" t="s">
        <v>2433</v>
      </c>
      <c r="J244" s="364" t="s">
        <v>2434</v>
      </c>
      <c r="K244" s="364" t="s">
        <v>2435</v>
      </c>
      <c r="L244" s="364" t="s">
        <v>2436</v>
      </c>
      <c r="M244" s="364" t="s">
        <v>2319</v>
      </c>
      <c r="N244" s="364" t="s">
        <v>2320</v>
      </c>
      <c r="O244" s="364" t="s">
        <v>2323</v>
      </c>
      <c r="P244" s="364" t="s">
        <v>2324</v>
      </c>
      <c r="Q244" s="364" t="s">
        <v>2437</v>
      </c>
      <c r="R244" s="364" t="s">
        <v>2328</v>
      </c>
      <c r="S244" s="364" t="s">
        <v>2329</v>
      </c>
      <c r="T244" s="364" t="s">
        <v>2438</v>
      </c>
      <c r="U244" s="364" t="s">
        <v>2659</v>
      </c>
      <c r="V244" s="261" t="s">
        <v>183</v>
      </c>
      <c r="W244" s="364" t="s">
        <v>2385</v>
      </c>
      <c r="X244" s="364" t="s">
        <v>2439</v>
      </c>
      <c r="Y244" s="364" t="s">
        <v>157</v>
      </c>
      <c r="Z244" s="364" t="s">
        <v>2337</v>
      </c>
      <c r="AA244" s="364" t="s">
        <v>2340</v>
      </c>
      <c r="AB244" s="364" t="s">
        <v>2341</v>
      </c>
      <c r="AC244" s="364" t="s">
        <v>2442</v>
      </c>
      <c r="AD244" s="364" t="s">
        <v>2422</v>
      </c>
      <c r="AE244" s="364" t="s">
        <v>2443</v>
      </c>
      <c r="AF244" s="364" t="s">
        <v>2344</v>
      </c>
      <c r="AG244" s="364" t="s">
        <v>2345</v>
      </c>
      <c r="AH244" s="364" t="s">
        <v>2444</v>
      </c>
      <c r="AI244" s="364" t="s">
        <v>2398</v>
      </c>
      <c r="AJ244" s="364" t="s">
        <v>2348</v>
      </c>
      <c r="AK244" s="364" t="s">
        <v>2445</v>
      </c>
      <c r="AL244" s="364" t="s">
        <v>2400</v>
      </c>
      <c r="AM244" s="364" t="s">
        <v>2446</v>
      </c>
      <c r="AN244" s="364" t="s">
        <v>2350</v>
      </c>
      <c r="AO244" s="364"/>
      <c r="AP244" s="364"/>
      <c r="AQ244" s="364"/>
      <c r="AR244" s="364"/>
      <c r="AS244" s="364"/>
      <c r="AT244" s="364"/>
      <c r="AU244" s="364"/>
      <c r="AV244" s="364"/>
      <c r="AW244" s="364"/>
      <c r="AX244" s="364"/>
      <c r="AY244" s="364"/>
      <c r="AZ244" s="364"/>
      <c r="BA244" s="364"/>
      <c r="BB244" s="364"/>
      <c r="BC244" s="364"/>
      <c r="BD244" s="364"/>
      <c r="BE244" s="364"/>
      <c r="BF244" s="364"/>
      <c r="BG244" s="364"/>
      <c r="BH244" s="364"/>
      <c r="BI244" s="364"/>
      <c r="BJ244" s="364"/>
      <c r="BK244" s="364"/>
      <c r="BL244" s="364"/>
      <c r="BM244" s="364"/>
      <c r="BN244" s="364"/>
      <c r="BO244" s="364"/>
      <c r="BP244" s="364"/>
      <c r="BQ244" s="364"/>
      <c r="BR244" s="364"/>
      <c r="BS244" s="364"/>
      <c r="BT244" s="364"/>
      <c r="BU244" s="364"/>
      <c r="BV244" s="364"/>
      <c r="BW244" s="364"/>
      <c r="BX244" s="364"/>
      <c r="BY244" s="364"/>
      <c r="BZ244" s="364"/>
      <c r="CA244" s="364"/>
      <c r="CB244" s="364"/>
      <c r="CC244" s="364"/>
      <c r="CD244" s="364"/>
      <c r="CE244" s="364"/>
      <c r="CF244" s="364"/>
      <c r="CG244" s="364"/>
      <c r="CH244" s="364"/>
      <c r="CI244" s="364"/>
      <c r="CJ244" s="364"/>
      <c r="CK244" s="364"/>
      <c r="CL244" s="364"/>
      <c r="CM244" s="364"/>
      <c r="CN244" s="364"/>
      <c r="CO244" s="364"/>
      <c r="CP244" s="364"/>
      <c r="CQ244" s="364"/>
      <c r="CR244" s="364"/>
      <c r="CS244" s="364"/>
      <c r="CT244" s="364"/>
      <c r="CU244" s="364"/>
      <c r="CV244" s="364"/>
      <c r="CW244" s="364"/>
      <c r="CX244" s="364"/>
      <c r="CY244" s="364"/>
      <c r="CZ244" s="364"/>
      <c r="DA244" s="364"/>
      <c r="DB244" s="364"/>
      <c r="DC244" s="364"/>
      <c r="DD244" s="364"/>
      <c r="DE244" s="364"/>
      <c r="DF244" s="364"/>
      <c r="DG244" s="364"/>
      <c r="DH244" s="364"/>
      <c r="DI244" s="364"/>
      <c r="DJ244" s="364"/>
      <c r="DK244" s="364"/>
      <c r="DL244" s="364"/>
      <c r="DM244" s="364"/>
      <c r="DN244" s="364"/>
      <c r="DO244" s="364"/>
      <c r="DP244" s="364"/>
      <c r="DQ244" s="364"/>
      <c r="DR244" s="364"/>
      <c r="DS244" s="364"/>
      <c r="DT244" s="364"/>
      <c r="DU244" s="364"/>
      <c r="DV244" s="364"/>
      <c r="DW244" s="364"/>
      <c r="DX244" s="364"/>
      <c r="DY244" s="364"/>
      <c r="DZ244" s="364"/>
      <c r="EA244" s="364"/>
      <c r="EB244" s="364"/>
      <c r="EC244" s="364"/>
      <c r="ED244" s="364"/>
      <c r="EE244" s="364"/>
      <c r="EF244" s="364"/>
      <c r="EG244" s="364"/>
      <c r="EH244" s="364"/>
      <c r="EI244" s="364"/>
      <c r="EJ244" s="364"/>
      <c r="EK244" s="364"/>
      <c r="EL244" s="364"/>
      <c r="EM244" s="364"/>
      <c r="EN244" s="364"/>
      <c r="EO244" s="364"/>
      <c r="EP244" s="364"/>
      <c r="EQ244" s="364"/>
      <c r="ER244" s="364"/>
      <c r="ES244" s="364"/>
      <c r="ET244" s="364"/>
      <c r="EU244" s="364"/>
      <c r="EV244" s="364"/>
      <c r="EW244" s="364"/>
      <c r="EX244" s="364"/>
      <c r="EY244" s="364"/>
      <c r="EZ244" s="364"/>
      <c r="FA244" s="364"/>
      <c r="FB244" s="364"/>
      <c r="FC244" s="364"/>
      <c r="FD244" s="364"/>
      <c r="FE244" s="364"/>
      <c r="FF244" s="364"/>
      <c r="FG244" s="364"/>
      <c r="FH244" s="364"/>
      <c r="FI244" s="364"/>
      <c r="FJ244" s="364"/>
      <c r="FK244" s="364"/>
    </row>
    <row r="245" customFormat="false" ht="15.75" hidden="false" customHeight="false" outlineLevel="0" collapsed="false">
      <c r="A245" s="364" t="n">
        <v>485</v>
      </c>
      <c r="B245" s="364" t="n">
        <f aca="false">COUNTA(D245:FK245)</f>
        <v>36</v>
      </c>
      <c r="C245" s="364" t="s">
        <v>1304</v>
      </c>
      <c r="D245" s="364" t="s">
        <v>2431</v>
      </c>
      <c r="E245" s="364" t="s">
        <v>2352</v>
      </c>
      <c r="F245" s="364" t="s">
        <v>2353</v>
      </c>
      <c r="G245" s="364" t="s">
        <v>2354</v>
      </c>
      <c r="H245" s="364" t="s">
        <v>2672</v>
      </c>
      <c r="I245" s="364" t="s">
        <v>2432</v>
      </c>
      <c r="J245" s="364" t="s">
        <v>2315</v>
      </c>
      <c r="K245" s="364" t="s">
        <v>2448</v>
      </c>
      <c r="L245" s="364" t="s">
        <v>2320</v>
      </c>
      <c r="M245" s="364" t="s">
        <v>2450</v>
      </c>
      <c r="N245" s="364" t="s">
        <v>2322</v>
      </c>
      <c r="O245" s="364" t="s">
        <v>2498</v>
      </c>
      <c r="P245" s="364" t="s">
        <v>2324</v>
      </c>
      <c r="Q245" s="364" t="s">
        <v>2437</v>
      </c>
      <c r="R245" s="364" t="s">
        <v>2328</v>
      </c>
      <c r="S245" s="364" t="s">
        <v>2329</v>
      </c>
      <c r="T245" s="364" t="s">
        <v>2438</v>
      </c>
      <c r="U245" s="261" t="s">
        <v>183</v>
      </c>
      <c r="V245" s="364" t="s">
        <v>2385</v>
      </c>
      <c r="W245" s="364" t="s">
        <v>2487</v>
      </c>
      <c r="X245" s="364" t="s">
        <v>2536</v>
      </c>
      <c r="Y245" s="364" t="s">
        <v>2455</v>
      </c>
      <c r="Z245" s="364" t="s">
        <v>2337</v>
      </c>
      <c r="AA245" s="364" t="s">
        <v>2340</v>
      </c>
      <c r="AB245" s="364" t="s">
        <v>2341</v>
      </c>
      <c r="AC245" s="364" t="s">
        <v>2422</v>
      </c>
      <c r="AD245" s="364" t="s">
        <v>2443</v>
      </c>
      <c r="AE245" s="364" t="s">
        <v>2395</v>
      </c>
      <c r="AF245" s="364" t="s">
        <v>2343</v>
      </c>
      <c r="AG245" s="364" t="s">
        <v>2344</v>
      </c>
      <c r="AH245" s="364" t="s">
        <v>2444</v>
      </c>
      <c r="AI245" s="364" t="s">
        <v>2398</v>
      </c>
      <c r="AJ245" s="364" t="s">
        <v>2445</v>
      </c>
      <c r="AK245" s="364" t="s">
        <v>2446</v>
      </c>
      <c r="AL245" s="364" t="s">
        <v>2350</v>
      </c>
      <c r="AM245" s="364" t="s">
        <v>2458</v>
      </c>
      <c r="AN245" s="364"/>
      <c r="AO245" s="364"/>
      <c r="AP245" s="364"/>
      <c r="AQ245" s="364"/>
      <c r="AR245" s="364"/>
      <c r="AS245" s="364"/>
      <c r="AT245" s="364"/>
      <c r="AU245" s="364"/>
      <c r="AV245" s="364"/>
      <c r="AW245" s="364"/>
      <c r="AX245" s="364"/>
      <c r="AY245" s="364"/>
      <c r="AZ245" s="364"/>
      <c r="BA245" s="364"/>
      <c r="BB245" s="364"/>
      <c r="BC245" s="364"/>
      <c r="BD245" s="364"/>
      <c r="BE245" s="364"/>
      <c r="BF245" s="364"/>
      <c r="BG245" s="364"/>
      <c r="BH245" s="364"/>
      <c r="BI245" s="364"/>
      <c r="BJ245" s="364"/>
      <c r="BK245" s="364"/>
      <c r="BL245" s="364"/>
      <c r="BM245" s="364"/>
      <c r="BN245" s="364"/>
      <c r="BO245" s="364"/>
      <c r="BP245" s="364"/>
      <c r="BQ245" s="364"/>
      <c r="BR245" s="364"/>
      <c r="BS245" s="364"/>
      <c r="BT245" s="364"/>
      <c r="BU245" s="364"/>
      <c r="BV245" s="364"/>
      <c r="BW245" s="364"/>
      <c r="BX245" s="364"/>
      <c r="BY245" s="364"/>
      <c r="BZ245" s="364"/>
      <c r="CA245" s="364"/>
      <c r="CB245" s="364"/>
      <c r="CC245" s="364"/>
      <c r="CD245" s="364"/>
      <c r="CE245" s="364"/>
      <c r="CF245" s="364"/>
      <c r="CG245" s="364"/>
      <c r="CH245" s="364"/>
      <c r="CI245" s="364"/>
      <c r="CJ245" s="364"/>
      <c r="CK245" s="364"/>
      <c r="CL245" s="364"/>
      <c r="CM245" s="364"/>
      <c r="CN245" s="364"/>
      <c r="CO245" s="364"/>
      <c r="CP245" s="364"/>
      <c r="CQ245" s="364"/>
      <c r="CR245" s="364"/>
      <c r="CS245" s="364"/>
      <c r="CT245" s="364"/>
      <c r="CU245" s="364"/>
      <c r="CV245" s="364"/>
      <c r="CW245" s="364"/>
      <c r="CX245" s="364"/>
      <c r="CY245" s="364"/>
      <c r="CZ245" s="364"/>
      <c r="DA245" s="364"/>
      <c r="DB245" s="364"/>
      <c r="DC245" s="364"/>
      <c r="DD245" s="364"/>
      <c r="DE245" s="364"/>
      <c r="DF245" s="364"/>
      <c r="DG245" s="364"/>
      <c r="DH245" s="364"/>
      <c r="DI245" s="364"/>
      <c r="DJ245" s="364"/>
      <c r="DK245" s="364"/>
      <c r="DL245" s="364"/>
      <c r="DM245" s="364"/>
      <c r="DN245" s="364"/>
      <c r="DO245" s="364"/>
      <c r="DP245" s="364"/>
      <c r="DQ245" s="364"/>
      <c r="DR245" s="364"/>
      <c r="DS245" s="364"/>
      <c r="DT245" s="364"/>
      <c r="DU245" s="364"/>
      <c r="DV245" s="364"/>
      <c r="DW245" s="364"/>
      <c r="DX245" s="364"/>
      <c r="DY245" s="364"/>
      <c r="DZ245" s="364"/>
      <c r="EA245" s="364"/>
      <c r="EB245" s="364"/>
      <c r="EC245" s="364"/>
      <c r="ED245" s="364"/>
      <c r="EE245" s="364"/>
      <c r="EF245" s="364"/>
      <c r="EG245" s="364"/>
      <c r="EH245" s="364"/>
      <c r="EI245" s="364"/>
      <c r="EJ245" s="364"/>
      <c r="EK245" s="364"/>
      <c r="EL245" s="364"/>
      <c r="EM245" s="364"/>
      <c r="EN245" s="364"/>
      <c r="EO245" s="364"/>
      <c r="EP245" s="364"/>
      <c r="EQ245" s="364"/>
      <c r="ER245" s="364"/>
      <c r="ES245" s="364"/>
      <c r="ET245" s="364"/>
      <c r="EU245" s="364"/>
      <c r="EV245" s="364"/>
      <c r="EW245" s="364"/>
      <c r="EX245" s="364"/>
      <c r="EY245" s="364"/>
      <c r="EZ245" s="364"/>
      <c r="FA245" s="364"/>
      <c r="FB245" s="364"/>
      <c r="FC245" s="364"/>
      <c r="FD245" s="364"/>
      <c r="FE245" s="364"/>
      <c r="FF245" s="364"/>
      <c r="FG245" s="364"/>
      <c r="FH245" s="364"/>
      <c r="FI245" s="364"/>
      <c r="FJ245" s="364"/>
      <c r="FK245" s="364"/>
    </row>
    <row r="246" customFormat="false" ht="15.75" hidden="false" customHeight="false" outlineLevel="0" collapsed="false">
      <c r="A246" s="364" t="n">
        <v>486</v>
      </c>
      <c r="B246" s="364" t="n">
        <f aca="false">COUNTA(D246:FK246)</f>
        <v>36</v>
      </c>
      <c r="C246" s="364" t="s">
        <v>1306</v>
      </c>
      <c r="D246" s="364" t="s">
        <v>2310</v>
      </c>
      <c r="E246" s="364" t="s">
        <v>2404</v>
      </c>
      <c r="F246" s="364" t="s">
        <v>2464</v>
      </c>
      <c r="G246" s="364" t="s">
        <v>2465</v>
      </c>
      <c r="H246" s="364" t="s">
        <v>2315</v>
      </c>
      <c r="I246" s="364" t="s">
        <v>2358</v>
      </c>
      <c r="J246" s="364" t="s">
        <v>2569</v>
      </c>
      <c r="K246" s="364" t="s">
        <v>2318</v>
      </c>
      <c r="L246" s="364" t="s">
        <v>2436</v>
      </c>
      <c r="M246" s="364" t="s">
        <v>2320</v>
      </c>
      <c r="N246" s="364" t="s">
        <v>2325</v>
      </c>
      <c r="O246" s="364" t="s">
        <v>2484</v>
      </c>
      <c r="P246" s="364" t="s">
        <v>2327</v>
      </c>
      <c r="Q246" s="364" t="s">
        <v>2328</v>
      </c>
      <c r="R246" s="364" t="s">
        <v>2467</v>
      </c>
      <c r="S246" s="364" t="s">
        <v>2381</v>
      </c>
      <c r="T246" s="364" t="s">
        <v>2468</v>
      </c>
      <c r="U246" s="261" t="s">
        <v>183</v>
      </c>
      <c r="V246" s="364" t="s">
        <v>2658</v>
      </c>
      <c r="W246" s="364" t="s">
        <v>2461</v>
      </c>
      <c r="X246" s="364" t="s">
        <v>2337</v>
      </c>
      <c r="Y246" s="364" t="s">
        <v>2420</v>
      </c>
      <c r="Z246" s="364" t="s">
        <v>2340</v>
      </c>
      <c r="AA246" s="364" t="s">
        <v>2341</v>
      </c>
      <c r="AB246" s="364" t="s">
        <v>2342</v>
      </c>
      <c r="AC246" s="364" t="s">
        <v>2470</v>
      </c>
      <c r="AD246" s="364" t="s">
        <v>2344</v>
      </c>
      <c r="AE246" s="364" t="s">
        <v>2570</v>
      </c>
      <c r="AF246" s="364" t="s">
        <v>2474</v>
      </c>
      <c r="AG246" s="364" t="s">
        <v>2398</v>
      </c>
      <c r="AH246" s="364" t="s">
        <v>2475</v>
      </c>
      <c r="AI246" s="364" t="s">
        <v>2476</v>
      </c>
      <c r="AJ246" s="364" t="s">
        <v>2399</v>
      </c>
      <c r="AK246" s="364" t="s">
        <v>2463</v>
      </c>
      <c r="AL246" s="364" t="s">
        <v>2446</v>
      </c>
      <c r="AM246" s="364" t="s">
        <v>2492</v>
      </c>
      <c r="AN246" s="364"/>
      <c r="AO246" s="364"/>
      <c r="AP246" s="364"/>
      <c r="AQ246" s="364"/>
      <c r="AR246" s="364"/>
      <c r="AS246" s="364"/>
      <c r="AT246" s="364"/>
      <c r="AU246" s="364"/>
      <c r="AV246" s="364"/>
      <c r="AW246" s="364"/>
      <c r="AX246" s="364"/>
      <c r="AY246" s="364"/>
      <c r="AZ246" s="364"/>
      <c r="BA246" s="364"/>
      <c r="BB246" s="364"/>
      <c r="BC246" s="364"/>
      <c r="BD246" s="364"/>
      <c r="BE246" s="364"/>
      <c r="BF246" s="364"/>
      <c r="BG246" s="364"/>
      <c r="BH246" s="364"/>
      <c r="BI246" s="364"/>
      <c r="BJ246" s="364"/>
      <c r="BK246" s="364"/>
      <c r="BL246" s="364"/>
      <c r="BM246" s="364"/>
      <c r="BN246" s="364"/>
      <c r="BO246" s="364"/>
      <c r="BP246" s="364"/>
      <c r="BQ246" s="364"/>
      <c r="BR246" s="364"/>
      <c r="BS246" s="364"/>
      <c r="BT246" s="364"/>
      <c r="BU246" s="364"/>
      <c r="BV246" s="364"/>
      <c r="BW246" s="364"/>
      <c r="BX246" s="364"/>
      <c r="BY246" s="364"/>
      <c r="BZ246" s="364"/>
      <c r="CA246" s="364"/>
      <c r="CB246" s="364"/>
      <c r="CC246" s="364"/>
      <c r="CD246" s="364"/>
      <c r="CE246" s="364"/>
      <c r="CF246" s="364"/>
      <c r="CG246" s="364"/>
      <c r="CH246" s="364"/>
      <c r="CI246" s="364"/>
      <c r="CJ246" s="364"/>
      <c r="CK246" s="364"/>
      <c r="CL246" s="364"/>
      <c r="CM246" s="364"/>
      <c r="CN246" s="364"/>
      <c r="CO246" s="364"/>
      <c r="CP246" s="364"/>
      <c r="CQ246" s="364"/>
      <c r="CR246" s="364"/>
      <c r="CS246" s="364"/>
      <c r="CT246" s="364"/>
      <c r="CU246" s="364"/>
      <c r="CV246" s="364"/>
      <c r="CW246" s="364"/>
      <c r="CX246" s="364"/>
      <c r="CY246" s="364"/>
      <c r="CZ246" s="364"/>
      <c r="DA246" s="364"/>
      <c r="DB246" s="364"/>
      <c r="DC246" s="364"/>
      <c r="DD246" s="364"/>
      <c r="DE246" s="364"/>
      <c r="DF246" s="364"/>
      <c r="DG246" s="364"/>
      <c r="DH246" s="364"/>
      <c r="DI246" s="364"/>
      <c r="DJ246" s="364"/>
      <c r="DK246" s="364"/>
      <c r="DL246" s="364"/>
      <c r="DM246" s="364"/>
      <c r="DN246" s="364"/>
      <c r="DO246" s="364"/>
      <c r="DP246" s="364"/>
      <c r="DQ246" s="364"/>
      <c r="DR246" s="364"/>
      <c r="DS246" s="364"/>
      <c r="DT246" s="364"/>
      <c r="DU246" s="364"/>
      <c r="DV246" s="364"/>
      <c r="DW246" s="364"/>
      <c r="DX246" s="364"/>
      <c r="DY246" s="364"/>
      <c r="DZ246" s="364"/>
      <c r="EA246" s="364"/>
      <c r="EB246" s="364"/>
      <c r="EC246" s="364"/>
      <c r="ED246" s="364"/>
      <c r="EE246" s="364"/>
      <c r="EF246" s="364"/>
      <c r="EG246" s="364"/>
      <c r="EH246" s="364"/>
      <c r="EI246" s="364"/>
      <c r="EJ246" s="364"/>
      <c r="EK246" s="364"/>
      <c r="EL246" s="364"/>
      <c r="EM246" s="364"/>
      <c r="EN246" s="364"/>
      <c r="EO246" s="364"/>
      <c r="EP246" s="364"/>
      <c r="EQ246" s="364"/>
      <c r="ER246" s="364"/>
      <c r="ES246" s="364"/>
      <c r="ET246" s="364"/>
      <c r="EU246" s="364"/>
      <c r="EV246" s="364"/>
      <c r="EW246" s="364"/>
      <c r="EX246" s="364"/>
      <c r="EY246" s="364"/>
      <c r="EZ246" s="364"/>
      <c r="FA246" s="364"/>
      <c r="FB246" s="364"/>
      <c r="FC246" s="364"/>
      <c r="FD246" s="364"/>
      <c r="FE246" s="364"/>
      <c r="FF246" s="364"/>
      <c r="FG246" s="364"/>
      <c r="FH246" s="364"/>
      <c r="FI246" s="364"/>
      <c r="FJ246" s="364"/>
      <c r="FK246" s="364"/>
    </row>
    <row r="247" customFormat="false" ht="15.75" hidden="false" customHeight="false" outlineLevel="0" collapsed="false">
      <c r="A247" s="364" t="n">
        <v>488</v>
      </c>
      <c r="B247" s="364" t="n">
        <f aca="false">COUNTA(D247:FK247)</f>
        <v>46</v>
      </c>
      <c r="C247" s="364" t="s">
        <v>1310</v>
      </c>
      <c r="D247" s="364" t="s">
        <v>2538</v>
      </c>
      <c r="E247" s="364" t="s">
        <v>2402</v>
      </c>
      <c r="F247" s="364" t="s">
        <v>2405</v>
      </c>
      <c r="G247" s="364" t="s">
        <v>2356</v>
      </c>
      <c r="H247" s="364" t="s">
        <v>2406</v>
      </c>
      <c r="I247" s="364" t="s">
        <v>2466</v>
      </c>
      <c r="J247" s="364" t="s">
        <v>2358</v>
      </c>
      <c r="K247" s="364" t="s">
        <v>2410</v>
      </c>
      <c r="L247" s="364" t="s">
        <v>2579</v>
      </c>
      <c r="M247" s="364" t="s">
        <v>2318</v>
      </c>
      <c r="N247" s="364" t="s">
        <v>2320</v>
      </c>
      <c r="O247" s="364" t="s">
        <v>2376</v>
      </c>
      <c r="P247" s="364" t="s">
        <v>2377</v>
      </c>
      <c r="Q247" s="364" t="s">
        <v>2324</v>
      </c>
      <c r="R247" s="364" t="s">
        <v>2327</v>
      </c>
      <c r="S247" s="364" t="s">
        <v>2328</v>
      </c>
      <c r="T247" s="364" t="s">
        <v>2414</v>
      </c>
      <c r="U247" s="364" t="s">
        <v>2329</v>
      </c>
      <c r="V247" s="364" t="s">
        <v>2415</v>
      </c>
      <c r="W247" s="364" t="s">
        <v>2485</v>
      </c>
      <c r="X247" s="364" t="s">
        <v>2416</v>
      </c>
      <c r="Y247" s="364" t="s">
        <v>2417</v>
      </c>
      <c r="Z247" s="364" t="s">
        <v>2381</v>
      </c>
      <c r="AA247" s="364" t="s">
        <v>2418</v>
      </c>
      <c r="AB247" s="364" t="s">
        <v>2539</v>
      </c>
      <c r="AC247" s="261" t="s">
        <v>183</v>
      </c>
      <c r="AD247" s="364" t="s">
        <v>2452</v>
      </c>
      <c r="AE247" s="364" t="s">
        <v>2387</v>
      </c>
      <c r="AF247" s="364" t="s">
        <v>2455</v>
      </c>
      <c r="AG247" s="364" t="s">
        <v>2461</v>
      </c>
      <c r="AH247" s="364" t="s">
        <v>2441</v>
      </c>
      <c r="AI247" s="364" t="s">
        <v>2337</v>
      </c>
      <c r="AJ247" s="364" t="s">
        <v>2339</v>
      </c>
      <c r="AK247" s="364" t="s">
        <v>2389</v>
      </c>
      <c r="AL247" s="364" t="s">
        <v>2340</v>
      </c>
      <c r="AM247" s="364" t="s">
        <v>2421</v>
      </c>
      <c r="AN247" s="364" t="s">
        <v>2341</v>
      </c>
      <c r="AO247" s="364" t="s">
        <v>2344</v>
      </c>
      <c r="AP247" s="364" t="s">
        <v>2575</v>
      </c>
      <c r="AQ247" s="364" t="s">
        <v>2347</v>
      </c>
      <c r="AR247" s="364" t="s">
        <v>2424</v>
      </c>
      <c r="AS247" s="364" t="s">
        <v>2398</v>
      </c>
      <c r="AT247" s="364" t="s">
        <v>2425</v>
      </c>
      <c r="AU247" s="364" t="s">
        <v>2426</v>
      </c>
      <c r="AV247" s="364" t="s">
        <v>2428</v>
      </c>
      <c r="AW247" s="364" t="s">
        <v>2429</v>
      </c>
      <c r="AX247" s="364"/>
      <c r="AY247" s="364"/>
      <c r="AZ247" s="364"/>
      <c r="BA247" s="364"/>
      <c r="BB247" s="364"/>
      <c r="BC247" s="364"/>
      <c r="BD247" s="364"/>
      <c r="BE247" s="364"/>
      <c r="BF247" s="364"/>
      <c r="BG247" s="364"/>
      <c r="BH247" s="364"/>
      <c r="BI247" s="364"/>
      <c r="BJ247" s="364"/>
      <c r="BK247" s="364"/>
      <c r="BL247" s="364"/>
      <c r="BM247" s="364"/>
      <c r="BN247" s="364"/>
      <c r="BO247" s="364"/>
      <c r="BP247" s="364"/>
      <c r="BQ247" s="364"/>
      <c r="BR247" s="364"/>
      <c r="BS247" s="364"/>
      <c r="BT247" s="364"/>
      <c r="BU247" s="364"/>
      <c r="BV247" s="364"/>
      <c r="BW247" s="364"/>
      <c r="BX247" s="364"/>
      <c r="BY247" s="364"/>
      <c r="BZ247" s="364"/>
      <c r="CA247" s="364"/>
      <c r="CB247" s="364"/>
      <c r="CC247" s="364"/>
      <c r="CD247" s="364"/>
      <c r="CE247" s="364"/>
      <c r="CF247" s="364"/>
      <c r="CG247" s="364"/>
      <c r="CH247" s="364"/>
      <c r="CI247" s="364"/>
      <c r="CJ247" s="364"/>
      <c r="CK247" s="364"/>
      <c r="CL247" s="364"/>
      <c r="CM247" s="364"/>
      <c r="CN247" s="364"/>
      <c r="CO247" s="364"/>
      <c r="CP247" s="364"/>
      <c r="CQ247" s="364"/>
      <c r="CR247" s="364"/>
      <c r="CS247" s="364"/>
      <c r="CT247" s="364"/>
      <c r="CU247" s="364"/>
      <c r="CV247" s="364"/>
      <c r="CW247" s="364"/>
      <c r="CX247" s="364"/>
      <c r="CY247" s="364"/>
      <c r="CZ247" s="364"/>
      <c r="DA247" s="364"/>
      <c r="DB247" s="364"/>
      <c r="DC247" s="364"/>
      <c r="DD247" s="364"/>
      <c r="DE247" s="364"/>
      <c r="DF247" s="364"/>
      <c r="DG247" s="364"/>
      <c r="DH247" s="364"/>
      <c r="DI247" s="364"/>
      <c r="DJ247" s="364"/>
      <c r="DK247" s="364"/>
      <c r="DL247" s="364"/>
      <c r="DM247" s="364"/>
      <c r="DN247" s="364"/>
      <c r="DO247" s="364"/>
      <c r="DP247" s="364"/>
      <c r="DQ247" s="364"/>
      <c r="DR247" s="364"/>
      <c r="DS247" s="364"/>
      <c r="DT247" s="364"/>
      <c r="DU247" s="364"/>
      <c r="DV247" s="364"/>
      <c r="DW247" s="364"/>
      <c r="DX247" s="364"/>
      <c r="DY247" s="364"/>
      <c r="DZ247" s="364"/>
      <c r="EA247" s="364"/>
      <c r="EB247" s="364"/>
      <c r="EC247" s="364"/>
      <c r="ED247" s="364"/>
      <c r="EE247" s="364"/>
      <c r="EF247" s="364"/>
      <c r="EG247" s="364"/>
      <c r="EH247" s="364"/>
      <c r="EI247" s="364"/>
      <c r="EJ247" s="364"/>
      <c r="EK247" s="364"/>
      <c r="EL247" s="364"/>
      <c r="EM247" s="364"/>
      <c r="EN247" s="364"/>
      <c r="EO247" s="364"/>
      <c r="EP247" s="364"/>
      <c r="EQ247" s="364"/>
      <c r="ER247" s="364"/>
      <c r="ES247" s="364"/>
      <c r="ET247" s="364"/>
      <c r="EU247" s="364"/>
      <c r="EV247" s="364"/>
      <c r="EW247" s="364"/>
      <c r="EX247" s="364"/>
      <c r="EY247" s="364"/>
      <c r="EZ247" s="364"/>
      <c r="FA247" s="364"/>
      <c r="FB247" s="364"/>
      <c r="FC247" s="364"/>
      <c r="FD247" s="364"/>
      <c r="FE247" s="364"/>
      <c r="FF247" s="364"/>
      <c r="FG247" s="364"/>
      <c r="FH247" s="364"/>
      <c r="FI247" s="364"/>
      <c r="FJ247" s="364"/>
      <c r="FK247" s="364"/>
    </row>
    <row r="248" customFormat="false" ht="15.75" hidden="false" customHeight="false" outlineLevel="0" collapsed="false">
      <c r="A248" s="364" t="n">
        <v>490</v>
      </c>
      <c r="B248" s="364" t="n">
        <f aca="false">COUNTA(D248:FK248)</f>
        <v>21</v>
      </c>
      <c r="C248" s="364" t="s">
        <v>1314</v>
      </c>
      <c r="D248" s="364" t="s">
        <v>2314</v>
      </c>
      <c r="E248" s="364" t="s">
        <v>2517</v>
      </c>
      <c r="F248" s="364" t="s">
        <v>2319</v>
      </c>
      <c r="G248" s="364" t="s">
        <v>2320</v>
      </c>
      <c r="H248" s="364" t="s">
        <v>2323</v>
      </c>
      <c r="I248" s="364" t="s">
        <v>2324</v>
      </c>
      <c r="J248" s="364" t="s">
        <v>2325</v>
      </c>
      <c r="K248" s="364" t="s">
        <v>2328</v>
      </c>
      <c r="L248" s="364" t="s">
        <v>2329</v>
      </c>
      <c r="M248" s="364" t="s">
        <v>2623</v>
      </c>
      <c r="N248" s="364" t="s">
        <v>2333</v>
      </c>
      <c r="O248" s="364" t="s">
        <v>2334</v>
      </c>
      <c r="P248" s="364" t="s">
        <v>2337</v>
      </c>
      <c r="Q248" s="364" t="s">
        <v>2420</v>
      </c>
      <c r="R248" s="364" t="s">
        <v>2340</v>
      </c>
      <c r="S248" s="364" t="s">
        <v>2341</v>
      </c>
      <c r="T248" s="364" t="s">
        <v>2342</v>
      </c>
      <c r="U248" s="364" t="s">
        <v>2344</v>
      </c>
      <c r="V248" s="364" t="s">
        <v>2345</v>
      </c>
      <c r="W248" s="364" t="s">
        <v>2348</v>
      </c>
      <c r="X248" s="364" t="s">
        <v>2349</v>
      </c>
      <c r="Y248" s="364"/>
      <c r="Z248" s="364"/>
      <c r="AA248" s="364"/>
      <c r="AB248" s="364"/>
      <c r="AC248" s="364"/>
      <c r="AD248" s="364"/>
      <c r="AE248" s="364"/>
      <c r="AF248" s="364"/>
      <c r="AG248" s="364"/>
      <c r="AH248" s="364"/>
      <c r="AI248" s="364"/>
      <c r="AJ248" s="364"/>
      <c r="AK248" s="364"/>
      <c r="AL248" s="364"/>
      <c r="AM248" s="364"/>
      <c r="AN248" s="364"/>
      <c r="AO248" s="364"/>
      <c r="AP248" s="364"/>
      <c r="AQ248" s="364"/>
      <c r="AR248" s="364"/>
      <c r="AS248" s="364"/>
      <c r="AT248" s="364"/>
      <c r="AU248" s="364"/>
      <c r="AV248" s="364"/>
      <c r="AW248" s="364"/>
      <c r="AX248" s="364"/>
      <c r="AY248" s="364"/>
      <c r="AZ248" s="364"/>
      <c r="BA248" s="364"/>
      <c r="BB248" s="364"/>
      <c r="BC248" s="364"/>
      <c r="BD248" s="364"/>
      <c r="BE248" s="364"/>
      <c r="BF248" s="364"/>
      <c r="BG248" s="364"/>
      <c r="BH248" s="364"/>
      <c r="BI248" s="364"/>
      <c r="BJ248" s="364"/>
      <c r="BK248" s="364"/>
      <c r="BL248" s="364"/>
      <c r="BM248" s="364"/>
      <c r="BN248" s="364"/>
      <c r="BO248" s="364"/>
      <c r="BP248" s="364"/>
      <c r="BQ248" s="364"/>
      <c r="BR248" s="364"/>
      <c r="BS248" s="364"/>
      <c r="BT248" s="364"/>
      <c r="BU248" s="364"/>
      <c r="BV248" s="364"/>
      <c r="BW248" s="364"/>
      <c r="BX248" s="364"/>
      <c r="BY248" s="364"/>
      <c r="BZ248" s="364"/>
      <c r="CA248" s="364"/>
      <c r="CB248" s="364"/>
      <c r="CC248" s="364"/>
      <c r="CD248" s="364"/>
      <c r="CE248" s="364"/>
      <c r="CF248" s="364"/>
      <c r="CG248" s="364"/>
      <c r="CH248" s="364"/>
      <c r="CI248" s="364"/>
      <c r="CJ248" s="364"/>
      <c r="CK248" s="364"/>
      <c r="CL248" s="364"/>
      <c r="CM248" s="364"/>
      <c r="CN248" s="364"/>
      <c r="CO248" s="364"/>
      <c r="CP248" s="364"/>
      <c r="CQ248" s="364"/>
      <c r="CR248" s="364"/>
      <c r="CS248" s="364"/>
      <c r="CT248" s="364"/>
      <c r="CU248" s="364"/>
      <c r="CV248" s="364"/>
      <c r="CW248" s="364"/>
      <c r="CX248" s="364"/>
      <c r="CY248" s="364"/>
      <c r="CZ248" s="364"/>
      <c r="DA248" s="364"/>
      <c r="DB248" s="364"/>
      <c r="DC248" s="364"/>
      <c r="DD248" s="364"/>
      <c r="DE248" s="364"/>
      <c r="DF248" s="364"/>
      <c r="DG248" s="364"/>
      <c r="DH248" s="364"/>
      <c r="DI248" s="364"/>
      <c r="DJ248" s="364"/>
      <c r="DK248" s="364"/>
      <c r="DL248" s="364"/>
      <c r="DM248" s="364"/>
      <c r="DN248" s="364"/>
      <c r="DO248" s="364"/>
      <c r="DP248" s="364"/>
      <c r="DQ248" s="364"/>
      <c r="DR248" s="364"/>
      <c r="DS248" s="364"/>
      <c r="DT248" s="364"/>
      <c r="DU248" s="364"/>
      <c r="DV248" s="364"/>
      <c r="DW248" s="364"/>
      <c r="DX248" s="364"/>
      <c r="DY248" s="364"/>
      <c r="DZ248" s="364"/>
      <c r="EA248" s="364"/>
      <c r="EB248" s="364"/>
      <c r="EC248" s="364"/>
      <c r="ED248" s="364"/>
      <c r="EE248" s="364"/>
      <c r="EF248" s="364"/>
      <c r="EG248" s="364"/>
      <c r="EH248" s="364"/>
      <c r="EI248" s="364"/>
      <c r="EJ248" s="364"/>
      <c r="EK248" s="364"/>
      <c r="EL248" s="364"/>
      <c r="EM248" s="364"/>
      <c r="EN248" s="364"/>
      <c r="EO248" s="364"/>
      <c r="EP248" s="364"/>
      <c r="EQ248" s="364"/>
      <c r="ER248" s="364"/>
      <c r="ES248" s="364"/>
      <c r="ET248" s="364"/>
      <c r="EU248" s="364"/>
      <c r="EV248" s="364"/>
      <c r="EW248" s="364"/>
      <c r="EX248" s="364"/>
      <c r="EY248" s="364"/>
      <c r="EZ248" s="364"/>
      <c r="FA248" s="364"/>
      <c r="FB248" s="364"/>
      <c r="FC248" s="364"/>
      <c r="FD248" s="364"/>
      <c r="FE248" s="364"/>
      <c r="FF248" s="364"/>
      <c r="FG248" s="364"/>
      <c r="FH248" s="364"/>
      <c r="FI248" s="364"/>
      <c r="FJ248" s="364"/>
      <c r="FK248" s="364"/>
    </row>
    <row r="249" customFormat="false" ht="15.75" hidden="false" customHeight="false" outlineLevel="0" collapsed="false">
      <c r="A249" s="364" t="n">
        <v>492</v>
      </c>
      <c r="B249" s="364" t="n">
        <f aca="false">COUNTA(D249:FK249)</f>
        <v>37</v>
      </c>
      <c r="C249" s="364" t="s">
        <v>1318</v>
      </c>
      <c r="D249" s="364" t="s">
        <v>2561</v>
      </c>
      <c r="E249" s="364" t="s">
        <v>2405</v>
      </c>
      <c r="F249" s="364" t="s">
        <v>2312</v>
      </c>
      <c r="G249" s="364" t="s">
        <v>2406</v>
      </c>
      <c r="H249" s="364" t="s">
        <v>2313</v>
      </c>
      <c r="I249" s="364" t="s">
        <v>2358</v>
      </c>
      <c r="J249" s="364" t="s">
        <v>2410</v>
      </c>
      <c r="K249" s="364" t="s">
        <v>2497</v>
      </c>
      <c r="L249" s="364" t="s">
        <v>2317</v>
      </c>
      <c r="M249" s="364" t="s">
        <v>2320</v>
      </c>
      <c r="N249" s="364" t="s">
        <v>2324</v>
      </c>
      <c r="O249" s="364" t="s">
        <v>2327</v>
      </c>
      <c r="P249" s="364" t="s">
        <v>2328</v>
      </c>
      <c r="Q249" s="364" t="s">
        <v>2329</v>
      </c>
      <c r="R249" s="364" t="s">
        <v>2415</v>
      </c>
      <c r="S249" s="364" t="s">
        <v>2417</v>
      </c>
      <c r="T249" s="364" t="s">
        <v>2438</v>
      </c>
      <c r="U249" s="364" t="s">
        <v>2486</v>
      </c>
      <c r="V249" s="364" t="s">
        <v>2615</v>
      </c>
      <c r="W249" s="261" t="s">
        <v>183</v>
      </c>
      <c r="X249" s="364" t="s">
        <v>2337</v>
      </c>
      <c r="Y249" s="364" t="s">
        <v>2388</v>
      </c>
      <c r="Z249" s="364" t="s">
        <v>2339</v>
      </c>
      <c r="AA249" s="364" t="s">
        <v>2389</v>
      </c>
      <c r="AB249" s="364" t="s">
        <v>2340</v>
      </c>
      <c r="AC249" s="364" t="s">
        <v>2421</v>
      </c>
      <c r="AD249" s="364" t="s">
        <v>2341</v>
      </c>
      <c r="AE249" s="364" t="s">
        <v>2343</v>
      </c>
      <c r="AF249" s="364" t="s">
        <v>2471</v>
      </c>
      <c r="AG249" s="364" t="s">
        <v>2344</v>
      </c>
      <c r="AH249" s="364" t="s">
        <v>2346</v>
      </c>
      <c r="AI249" s="364" t="s">
        <v>2500</v>
      </c>
      <c r="AJ249" s="364" t="s">
        <v>2347</v>
      </c>
      <c r="AK249" s="364" t="s">
        <v>2424</v>
      </c>
      <c r="AL249" s="364" t="s">
        <v>2425</v>
      </c>
      <c r="AM249" s="364" t="s">
        <v>2428</v>
      </c>
      <c r="AN249" s="364" t="s">
        <v>2429</v>
      </c>
      <c r="AO249" s="364"/>
      <c r="AP249" s="364"/>
      <c r="AQ249" s="364"/>
      <c r="AR249" s="364"/>
      <c r="AS249" s="364"/>
      <c r="AT249" s="364"/>
      <c r="AU249" s="364"/>
      <c r="AV249" s="364"/>
      <c r="AW249" s="364"/>
      <c r="AX249" s="364"/>
      <c r="AY249" s="364"/>
      <c r="AZ249" s="364"/>
      <c r="BA249" s="364"/>
      <c r="BB249" s="364"/>
      <c r="BC249" s="364"/>
      <c r="BD249" s="364"/>
      <c r="BE249" s="364"/>
      <c r="BF249" s="364"/>
      <c r="BG249" s="364"/>
      <c r="BH249" s="364"/>
      <c r="BI249" s="364"/>
      <c r="BJ249" s="364"/>
      <c r="BK249" s="364"/>
      <c r="BL249" s="364"/>
      <c r="BM249" s="364"/>
      <c r="BN249" s="364"/>
      <c r="BO249" s="364"/>
      <c r="BP249" s="364"/>
      <c r="BQ249" s="364"/>
      <c r="BR249" s="364"/>
      <c r="BS249" s="364"/>
      <c r="BT249" s="364"/>
      <c r="BU249" s="364"/>
      <c r="BV249" s="364"/>
      <c r="BW249" s="364"/>
      <c r="BX249" s="364"/>
      <c r="BY249" s="364"/>
      <c r="BZ249" s="364"/>
      <c r="CA249" s="364"/>
      <c r="CB249" s="364"/>
      <c r="CC249" s="364"/>
      <c r="CD249" s="364"/>
      <c r="CE249" s="364"/>
      <c r="CF249" s="364"/>
      <c r="CG249" s="364"/>
      <c r="CH249" s="364"/>
      <c r="CI249" s="364"/>
      <c r="CJ249" s="364"/>
      <c r="CK249" s="364"/>
      <c r="CL249" s="364"/>
      <c r="CM249" s="364"/>
      <c r="CN249" s="364"/>
      <c r="CO249" s="364"/>
      <c r="CP249" s="364"/>
      <c r="CQ249" s="364"/>
      <c r="CR249" s="364"/>
      <c r="CS249" s="364"/>
      <c r="CT249" s="364"/>
      <c r="CU249" s="364"/>
      <c r="CV249" s="364"/>
      <c r="CW249" s="364"/>
      <c r="CX249" s="364"/>
      <c r="CY249" s="364"/>
      <c r="CZ249" s="364"/>
      <c r="DA249" s="364"/>
      <c r="DB249" s="364"/>
      <c r="DC249" s="364"/>
      <c r="DD249" s="364"/>
      <c r="DE249" s="364"/>
      <c r="DF249" s="364"/>
      <c r="DG249" s="364"/>
      <c r="DH249" s="364"/>
      <c r="DI249" s="364"/>
      <c r="DJ249" s="364"/>
      <c r="DK249" s="364"/>
      <c r="DL249" s="364"/>
      <c r="DM249" s="364"/>
      <c r="DN249" s="364"/>
      <c r="DO249" s="364"/>
      <c r="DP249" s="364"/>
      <c r="DQ249" s="364"/>
      <c r="DR249" s="364"/>
      <c r="DS249" s="364"/>
      <c r="DT249" s="364"/>
      <c r="DU249" s="364"/>
      <c r="DV249" s="364"/>
      <c r="DW249" s="364"/>
      <c r="DX249" s="364"/>
      <c r="DY249" s="364"/>
      <c r="DZ249" s="364"/>
      <c r="EA249" s="364"/>
      <c r="EB249" s="364"/>
      <c r="EC249" s="364"/>
      <c r="ED249" s="364"/>
      <c r="EE249" s="364"/>
      <c r="EF249" s="364"/>
      <c r="EG249" s="364"/>
      <c r="EH249" s="364"/>
      <c r="EI249" s="364"/>
      <c r="EJ249" s="364"/>
      <c r="EK249" s="364"/>
      <c r="EL249" s="364"/>
      <c r="EM249" s="364"/>
      <c r="EN249" s="364"/>
      <c r="EO249" s="364"/>
      <c r="EP249" s="364"/>
      <c r="EQ249" s="364"/>
      <c r="ER249" s="364"/>
      <c r="ES249" s="364"/>
      <c r="ET249" s="364"/>
      <c r="EU249" s="364"/>
      <c r="EV249" s="364"/>
      <c r="EW249" s="364"/>
      <c r="EX249" s="364"/>
      <c r="EY249" s="364"/>
      <c r="EZ249" s="364"/>
      <c r="FA249" s="364"/>
      <c r="FB249" s="364"/>
      <c r="FC249" s="364"/>
      <c r="FD249" s="364"/>
      <c r="FE249" s="364"/>
      <c r="FF249" s="364"/>
      <c r="FG249" s="364"/>
      <c r="FH249" s="364"/>
      <c r="FI249" s="364"/>
      <c r="FJ249" s="364"/>
      <c r="FK249" s="364"/>
    </row>
    <row r="250" customFormat="false" ht="15.75" hidden="false" customHeight="false" outlineLevel="0" collapsed="false">
      <c r="A250" s="364" t="n">
        <v>493</v>
      </c>
      <c r="B250" s="364" t="n">
        <f aca="false">COUNTA(D250:FK250)</f>
        <v>67</v>
      </c>
      <c r="C250" s="364" t="s">
        <v>1320</v>
      </c>
      <c r="D250" s="364" t="s">
        <v>2431</v>
      </c>
      <c r="E250" s="364" t="s">
        <v>2352</v>
      </c>
      <c r="F250" s="364" t="s">
        <v>2528</v>
      </c>
      <c r="G250" s="364" t="s">
        <v>2516</v>
      </c>
      <c r="H250" s="364" t="s">
        <v>2356</v>
      </c>
      <c r="I250" s="364" t="s">
        <v>2465</v>
      </c>
      <c r="J250" s="364" t="s">
        <v>2315</v>
      </c>
      <c r="K250" s="364" t="s">
        <v>2358</v>
      </c>
      <c r="L250" s="364" t="s">
        <v>2579</v>
      </c>
      <c r="M250" s="364" t="s">
        <v>2435</v>
      </c>
      <c r="N250" s="364" t="s">
        <v>2543</v>
      </c>
      <c r="O250" s="364" t="s">
        <v>2320</v>
      </c>
      <c r="P250" s="364" t="s">
        <v>2369</v>
      </c>
      <c r="Q250" s="364" t="s">
        <v>2377</v>
      </c>
      <c r="R250" s="364" t="s">
        <v>2523</v>
      </c>
      <c r="S250" s="364" t="s">
        <v>2322</v>
      </c>
      <c r="T250" s="364" t="s">
        <v>2498</v>
      </c>
      <c r="U250" s="364" t="s">
        <v>2324</v>
      </c>
      <c r="V250" s="364" t="s">
        <v>2325</v>
      </c>
      <c r="W250" s="364" t="s">
        <v>2484</v>
      </c>
      <c r="X250" s="364" t="s">
        <v>2327</v>
      </c>
      <c r="Y250" s="364" t="s">
        <v>2328</v>
      </c>
      <c r="Z250" s="364" t="s">
        <v>2329</v>
      </c>
      <c r="AA250" s="364" t="s">
        <v>2416</v>
      </c>
      <c r="AB250" s="364" t="s">
        <v>2381</v>
      </c>
      <c r="AC250" s="364" t="s">
        <v>2330</v>
      </c>
      <c r="AD250" s="364" t="s">
        <v>2468</v>
      </c>
      <c r="AE250" s="364" t="s">
        <v>2539</v>
      </c>
      <c r="AF250" s="364" t="s">
        <v>2540</v>
      </c>
      <c r="AG250" s="261" t="s">
        <v>183</v>
      </c>
      <c r="AH250" s="364" t="s">
        <v>2452</v>
      </c>
      <c r="AI250" s="364" t="s">
        <v>2387</v>
      </c>
      <c r="AJ250" s="364" t="s">
        <v>2337</v>
      </c>
      <c r="AK250" s="364" t="s">
        <v>2469</v>
      </c>
      <c r="AL250" s="364" t="s">
        <v>2339</v>
      </c>
      <c r="AM250" s="364" t="s">
        <v>2340</v>
      </c>
      <c r="AN250" s="364" t="s">
        <v>2390</v>
      </c>
      <c r="AO250" s="364" t="s">
        <v>2341</v>
      </c>
      <c r="AP250" s="364" t="s">
        <v>2342</v>
      </c>
      <c r="AQ250" s="364" t="s">
        <v>2442</v>
      </c>
      <c r="AR250" s="364" t="s">
        <v>2392</v>
      </c>
      <c r="AS250" s="364" t="s">
        <v>2470</v>
      </c>
      <c r="AT250" s="364" t="s">
        <v>2344</v>
      </c>
      <c r="AU250" s="364" t="s">
        <v>2345</v>
      </c>
      <c r="AV250" s="364" t="s">
        <v>2347</v>
      </c>
      <c r="AW250" s="364" t="s">
        <v>2398</v>
      </c>
      <c r="AX250" s="364" t="s">
        <v>2445</v>
      </c>
      <c r="AY250" s="364" t="s">
        <v>2475</v>
      </c>
      <c r="AZ250" s="364" t="s">
        <v>2476</v>
      </c>
      <c r="BA250" s="364" t="s">
        <v>2399</v>
      </c>
      <c r="BB250" s="364" t="s">
        <v>2463</v>
      </c>
      <c r="BC250" s="364" t="s">
        <v>2446</v>
      </c>
      <c r="BD250" s="364" t="s">
        <v>2428</v>
      </c>
      <c r="BE250" s="261" t="s">
        <v>2312</v>
      </c>
      <c r="BF250" s="261" t="s">
        <v>138</v>
      </c>
      <c r="BG250" s="261" t="s">
        <v>2316</v>
      </c>
      <c r="BH250" s="261" t="s">
        <v>2519</v>
      </c>
      <c r="BI250" s="261" t="s">
        <v>2364</v>
      </c>
      <c r="BJ250" s="261" t="s">
        <v>2533</v>
      </c>
      <c r="BK250" s="261" t="s">
        <v>2382</v>
      </c>
      <c r="BL250" s="261" t="s">
        <v>2383</v>
      </c>
      <c r="BM250" s="261" t="s">
        <v>2455</v>
      </c>
      <c r="BN250" s="261" t="s">
        <v>2553</v>
      </c>
      <c r="BO250" s="261" t="s">
        <v>2391</v>
      </c>
      <c r="BP250" s="261" t="s">
        <v>2591</v>
      </c>
      <c r="BQ250" s="261" t="s">
        <v>2644</v>
      </c>
      <c r="BR250" s="261" t="s">
        <v>2493</v>
      </c>
      <c r="BS250" s="364"/>
      <c r="BT250" s="364"/>
      <c r="BU250" s="364"/>
      <c r="BV250" s="364"/>
      <c r="BW250" s="364"/>
      <c r="BX250" s="364"/>
      <c r="BY250" s="364"/>
      <c r="BZ250" s="364"/>
      <c r="CA250" s="364"/>
      <c r="CB250" s="364"/>
      <c r="CC250" s="364"/>
      <c r="CD250" s="364"/>
      <c r="CE250" s="364"/>
      <c r="CF250" s="364"/>
      <c r="CG250" s="364"/>
      <c r="CH250" s="364"/>
      <c r="CI250" s="364"/>
      <c r="CJ250" s="364"/>
      <c r="CK250" s="364"/>
      <c r="CL250" s="364"/>
      <c r="CM250" s="364"/>
      <c r="CN250" s="364"/>
      <c r="CO250" s="364"/>
      <c r="CP250" s="364"/>
      <c r="CQ250" s="364"/>
      <c r="CR250" s="364"/>
      <c r="CS250" s="364"/>
      <c r="CT250" s="364"/>
      <c r="CU250" s="364"/>
      <c r="CV250" s="364"/>
      <c r="CW250" s="364"/>
      <c r="CX250" s="364"/>
      <c r="CY250" s="364"/>
      <c r="CZ250" s="364"/>
      <c r="DA250" s="364"/>
      <c r="DB250" s="364"/>
      <c r="DC250" s="364"/>
      <c r="DD250" s="364"/>
      <c r="DE250" s="364"/>
      <c r="DF250" s="364"/>
      <c r="DG250" s="364"/>
      <c r="DH250" s="364"/>
      <c r="DI250" s="364"/>
      <c r="DJ250" s="364"/>
      <c r="DK250" s="364"/>
      <c r="DL250" s="364"/>
      <c r="DM250" s="364"/>
      <c r="DN250" s="364"/>
      <c r="DO250" s="364"/>
      <c r="DP250" s="364"/>
      <c r="DQ250" s="364"/>
      <c r="DR250" s="364"/>
      <c r="DS250" s="364"/>
      <c r="DT250" s="364"/>
      <c r="DU250" s="364"/>
      <c r="DV250" s="364"/>
      <c r="DW250" s="364"/>
      <c r="DX250" s="364"/>
      <c r="DY250" s="364"/>
      <c r="DZ250" s="364"/>
      <c r="EA250" s="364"/>
      <c r="EB250" s="364"/>
      <c r="EC250" s="364"/>
      <c r="ED250" s="364"/>
      <c r="EE250" s="364"/>
      <c r="EF250" s="364"/>
      <c r="EG250" s="364"/>
      <c r="EH250" s="364"/>
      <c r="EI250" s="364"/>
      <c r="EJ250" s="364"/>
      <c r="EK250" s="364"/>
      <c r="EL250" s="364"/>
      <c r="EM250" s="364"/>
      <c r="EN250" s="364"/>
      <c r="EO250" s="364"/>
      <c r="EP250" s="364"/>
      <c r="EQ250" s="364"/>
      <c r="ER250" s="364"/>
      <c r="ES250" s="364"/>
      <c r="ET250" s="364"/>
      <c r="EU250" s="364"/>
      <c r="EV250" s="364"/>
      <c r="EW250" s="364"/>
      <c r="EX250" s="364"/>
      <c r="EY250" s="364"/>
      <c r="EZ250" s="364"/>
      <c r="FA250" s="364"/>
      <c r="FB250" s="364"/>
      <c r="FC250" s="364"/>
      <c r="FD250" s="364"/>
      <c r="FE250" s="364"/>
      <c r="FF250" s="364"/>
      <c r="FG250" s="364"/>
      <c r="FH250" s="364"/>
      <c r="FI250" s="364"/>
      <c r="FJ250" s="364"/>
      <c r="FK250" s="364"/>
    </row>
    <row r="251" customFormat="false" ht="15.75" hidden="false" customHeight="false" outlineLevel="0" collapsed="false">
      <c r="A251" s="364" t="n">
        <v>495</v>
      </c>
      <c r="B251" s="364" t="n">
        <f aca="false">COUNTA(D251:FK251)</f>
        <v>37</v>
      </c>
      <c r="C251" s="364" t="s">
        <v>1324</v>
      </c>
      <c r="D251" s="364" t="s">
        <v>2431</v>
      </c>
      <c r="E251" s="364" t="s">
        <v>2353</v>
      </c>
      <c r="F251" s="364" t="s">
        <v>2528</v>
      </c>
      <c r="G251" s="364" t="s">
        <v>2311</v>
      </c>
      <c r="H251" s="364" t="s">
        <v>2464</v>
      </c>
      <c r="I251" s="364" t="s">
        <v>2559</v>
      </c>
      <c r="J251" s="364" t="s">
        <v>2315</v>
      </c>
      <c r="K251" s="364" t="s">
        <v>2435</v>
      </c>
      <c r="L251" s="364" t="s">
        <v>2562</v>
      </c>
      <c r="M251" s="364" t="s">
        <v>2320</v>
      </c>
      <c r="N251" s="364" t="s">
        <v>2375</v>
      </c>
      <c r="O251" s="364" t="s">
        <v>2324</v>
      </c>
      <c r="P251" s="364" t="s">
        <v>2437</v>
      </c>
      <c r="Q251" s="364" t="s">
        <v>2412</v>
      </c>
      <c r="R251" s="364" t="s">
        <v>2560</v>
      </c>
      <c r="S251" s="364" t="s">
        <v>2328</v>
      </c>
      <c r="T251" s="364" t="s">
        <v>2329</v>
      </c>
      <c r="U251" s="364" t="s">
        <v>2417</v>
      </c>
      <c r="V251" s="364" t="s">
        <v>2330</v>
      </c>
      <c r="W251" s="261" t="s">
        <v>183</v>
      </c>
      <c r="X251" s="364" t="s">
        <v>2385</v>
      </c>
      <c r="Y251" s="364" t="s">
        <v>2452</v>
      </c>
      <c r="Z251" s="364" t="s">
        <v>2656</v>
      </c>
      <c r="AA251" s="364" t="s">
        <v>157</v>
      </c>
      <c r="AB251" s="364" t="s">
        <v>2337</v>
      </c>
      <c r="AC251" s="364" t="s">
        <v>2420</v>
      </c>
      <c r="AD251" s="364" t="s">
        <v>2340</v>
      </c>
      <c r="AE251" s="364" t="s">
        <v>2341</v>
      </c>
      <c r="AF251" s="364" t="s">
        <v>2442</v>
      </c>
      <c r="AG251" s="364" t="s">
        <v>2470</v>
      </c>
      <c r="AH251" s="364" t="s">
        <v>2443</v>
      </c>
      <c r="AI251" s="364" t="s">
        <v>2344</v>
      </c>
      <c r="AJ251" s="364" t="s">
        <v>2473</v>
      </c>
      <c r="AK251" s="364" t="s">
        <v>2398</v>
      </c>
      <c r="AL251" s="364" t="s">
        <v>2445</v>
      </c>
      <c r="AM251" s="364" t="s">
        <v>2475</v>
      </c>
      <c r="AN251" s="364" t="s">
        <v>2476</v>
      </c>
      <c r="AO251" s="364"/>
      <c r="AP251" s="364"/>
      <c r="AQ251" s="364"/>
      <c r="AR251" s="364"/>
      <c r="AS251" s="364"/>
      <c r="AT251" s="364"/>
      <c r="AU251" s="364"/>
      <c r="AV251" s="364"/>
      <c r="AW251" s="364"/>
      <c r="AX251" s="364"/>
      <c r="AY251" s="364"/>
      <c r="AZ251" s="364"/>
      <c r="BA251" s="364"/>
      <c r="BB251" s="364"/>
      <c r="BC251" s="364"/>
      <c r="BD251" s="364"/>
      <c r="BE251" s="364"/>
      <c r="BF251" s="364"/>
      <c r="BG251" s="364"/>
      <c r="BH251" s="364"/>
      <c r="BI251" s="364"/>
      <c r="BJ251" s="364"/>
      <c r="BK251" s="364"/>
      <c r="BL251" s="364"/>
      <c r="BM251" s="364"/>
      <c r="BN251" s="364"/>
      <c r="BO251" s="364"/>
      <c r="BP251" s="364"/>
      <c r="BQ251" s="364"/>
      <c r="BR251" s="364"/>
      <c r="BS251" s="364"/>
      <c r="BT251" s="364"/>
      <c r="BU251" s="364"/>
      <c r="BV251" s="364"/>
      <c r="BW251" s="364"/>
      <c r="BX251" s="364"/>
      <c r="BY251" s="364"/>
      <c r="BZ251" s="364"/>
      <c r="CA251" s="364"/>
      <c r="CB251" s="364"/>
      <c r="CC251" s="364"/>
      <c r="CD251" s="364"/>
      <c r="CE251" s="364"/>
      <c r="CF251" s="364"/>
      <c r="CG251" s="364"/>
      <c r="CH251" s="364"/>
      <c r="CI251" s="364"/>
      <c r="CJ251" s="364"/>
      <c r="CK251" s="364"/>
      <c r="CL251" s="364"/>
      <c r="CM251" s="364"/>
      <c r="CN251" s="364"/>
      <c r="CO251" s="364"/>
      <c r="CP251" s="364"/>
      <c r="CQ251" s="364"/>
      <c r="CR251" s="364"/>
      <c r="CS251" s="364"/>
      <c r="CT251" s="364"/>
      <c r="CU251" s="364"/>
      <c r="CV251" s="364"/>
      <c r="CW251" s="364"/>
      <c r="CX251" s="364"/>
      <c r="CY251" s="364"/>
      <c r="CZ251" s="364"/>
      <c r="DA251" s="364"/>
      <c r="DB251" s="364"/>
      <c r="DC251" s="364"/>
      <c r="DD251" s="364"/>
      <c r="DE251" s="364"/>
      <c r="DF251" s="364"/>
      <c r="DG251" s="364"/>
      <c r="DH251" s="364"/>
      <c r="DI251" s="364"/>
      <c r="DJ251" s="364"/>
      <c r="DK251" s="364"/>
      <c r="DL251" s="364"/>
      <c r="DM251" s="364"/>
      <c r="DN251" s="364"/>
      <c r="DO251" s="364"/>
      <c r="DP251" s="364"/>
      <c r="DQ251" s="364"/>
      <c r="DR251" s="364"/>
      <c r="DS251" s="364"/>
      <c r="DT251" s="364"/>
      <c r="DU251" s="364"/>
      <c r="DV251" s="364"/>
      <c r="DW251" s="364"/>
      <c r="DX251" s="364"/>
      <c r="DY251" s="364"/>
      <c r="DZ251" s="364"/>
      <c r="EA251" s="364"/>
      <c r="EB251" s="364"/>
      <c r="EC251" s="364"/>
      <c r="ED251" s="364"/>
      <c r="EE251" s="364"/>
      <c r="EF251" s="364"/>
      <c r="EG251" s="364"/>
      <c r="EH251" s="364"/>
      <c r="EI251" s="364"/>
      <c r="EJ251" s="364"/>
      <c r="EK251" s="364"/>
      <c r="EL251" s="364"/>
      <c r="EM251" s="364"/>
      <c r="EN251" s="364"/>
      <c r="EO251" s="364"/>
      <c r="EP251" s="364"/>
      <c r="EQ251" s="364"/>
      <c r="ER251" s="364"/>
      <c r="ES251" s="364"/>
      <c r="ET251" s="364"/>
      <c r="EU251" s="364"/>
      <c r="EV251" s="364"/>
      <c r="EW251" s="364"/>
      <c r="EX251" s="364"/>
      <c r="EY251" s="364"/>
      <c r="EZ251" s="364"/>
      <c r="FA251" s="364"/>
      <c r="FB251" s="364"/>
      <c r="FC251" s="364"/>
      <c r="FD251" s="364"/>
      <c r="FE251" s="364"/>
      <c r="FF251" s="364"/>
      <c r="FG251" s="364"/>
      <c r="FH251" s="364"/>
      <c r="FI251" s="364"/>
      <c r="FJ251" s="364"/>
      <c r="FK251" s="364"/>
    </row>
    <row r="252" customFormat="false" ht="15.75" hidden="false" customHeight="false" outlineLevel="0" collapsed="false">
      <c r="A252" s="364" t="n">
        <v>497</v>
      </c>
      <c r="B252" s="364" t="n">
        <f aca="false">COUNTA(D252:FK252)</f>
        <v>51</v>
      </c>
      <c r="C252" s="364" t="s">
        <v>1328</v>
      </c>
      <c r="D252" s="364" t="s">
        <v>2405</v>
      </c>
      <c r="E252" s="364" t="s">
        <v>2516</v>
      </c>
      <c r="F252" s="364" t="s">
        <v>2357</v>
      </c>
      <c r="G252" s="364" t="s">
        <v>2464</v>
      </c>
      <c r="H252" s="364" t="s">
        <v>2465</v>
      </c>
      <c r="I252" s="364" t="s">
        <v>2315</v>
      </c>
      <c r="J252" s="364" t="s">
        <v>2358</v>
      </c>
      <c r="K252" s="364" t="s">
        <v>2621</v>
      </c>
      <c r="L252" s="364" t="s">
        <v>2520</v>
      </c>
      <c r="M252" s="364" t="s">
        <v>2448</v>
      </c>
      <c r="N252" s="364" t="s">
        <v>2320</v>
      </c>
      <c r="O252" s="364" t="s">
        <v>2369</v>
      </c>
      <c r="P252" s="364" t="s">
        <v>2376</v>
      </c>
      <c r="Q252" s="364" t="s">
        <v>2377</v>
      </c>
      <c r="R252" s="364" t="s">
        <v>2322</v>
      </c>
      <c r="S252" s="364" t="s">
        <v>2324</v>
      </c>
      <c r="T252" s="364" t="s">
        <v>2325</v>
      </c>
      <c r="U252" s="364" t="s">
        <v>2327</v>
      </c>
      <c r="V252" s="364" t="s">
        <v>2328</v>
      </c>
      <c r="W252" s="364" t="s">
        <v>2609</v>
      </c>
      <c r="X252" s="364" t="s">
        <v>2329</v>
      </c>
      <c r="Y252" s="364" t="s">
        <v>2521</v>
      </c>
      <c r="Z252" s="364" t="s">
        <v>2415</v>
      </c>
      <c r="AA252" s="364" t="s">
        <v>2416</v>
      </c>
      <c r="AB252" s="364" t="s">
        <v>2381</v>
      </c>
      <c r="AC252" s="364" t="s">
        <v>2580</v>
      </c>
      <c r="AD252" s="364" t="s">
        <v>2468</v>
      </c>
      <c r="AE252" s="364" t="s">
        <v>2539</v>
      </c>
      <c r="AF252" s="364" t="s">
        <v>2540</v>
      </c>
      <c r="AG252" s="364" t="s">
        <v>2596</v>
      </c>
      <c r="AH252" s="261" t="s">
        <v>183</v>
      </c>
      <c r="AI252" s="364" t="s">
        <v>2582</v>
      </c>
      <c r="AJ252" s="364" t="s">
        <v>2387</v>
      </c>
      <c r="AK252" s="364" t="s">
        <v>2461</v>
      </c>
      <c r="AL252" s="364" t="s">
        <v>2337</v>
      </c>
      <c r="AM252" s="364" t="s">
        <v>2469</v>
      </c>
      <c r="AN252" s="364" t="s">
        <v>2339</v>
      </c>
      <c r="AO252" s="364" t="s">
        <v>2340</v>
      </c>
      <c r="AP252" s="364" t="s">
        <v>2341</v>
      </c>
      <c r="AQ252" s="364" t="s">
        <v>2442</v>
      </c>
      <c r="AR252" s="364" t="s">
        <v>2470</v>
      </c>
      <c r="AS252" s="364" t="s">
        <v>2344</v>
      </c>
      <c r="AT252" s="364" t="s">
        <v>2345</v>
      </c>
      <c r="AU252" s="364" t="s">
        <v>2643</v>
      </c>
      <c r="AV252" s="364" t="s">
        <v>2347</v>
      </c>
      <c r="AW252" s="364" t="s">
        <v>2398</v>
      </c>
      <c r="AX252" s="364" t="s">
        <v>2475</v>
      </c>
      <c r="AY252" s="364" t="s">
        <v>2476</v>
      </c>
      <c r="AZ252" s="364" t="s">
        <v>2399</v>
      </c>
      <c r="BA252" s="364" t="s">
        <v>2463</v>
      </c>
      <c r="BB252" s="364" t="s">
        <v>2428</v>
      </c>
      <c r="BC252" s="364"/>
      <c r="BD252" s="364"/>
      <c r="BE252" s="364"/>
      <c r="BF252" s="364"/>
      <c r="BG252" s="364"/>
      <c r="BH252" s="364"/>
      <c r="BI252" s="364"/>
      <c r="BJ252" s="364"/>
      <c r="BK252" s="364"/>
      <c r="BL252" s="364"/>
      <c r="BM252" s="364"/>
      <c r="BN252" s="364"/>
      <c r="BO252" s="364"/>
      <c r="BP252" s="364"/>
      <c r="BQ252" s="364"/>
      <c r="BR252" s="364"/>
      <c r="BS252" s="364"/>
      <c r="BT252" s="364"/>
      <c r="BU252" s="364"/>
      <c r="BV252" s="364"/>
      <c r="BW252" s="364"/>
      <c r="BX252" s="364"/>
      <c r="BY252" s="364"/>
      <c r="BZ252" s="364"/>
      <c r="CA252" s="364"/>
      <c r="CB252" s="364"/>
      <c r="CC252" s="364"/>
      <c r="CD252" s="364"/>
      <c r="CE252" s="364"/>
      <c r="CF252" s="364"/>
      <c r="CG252" s="364"/>
      <c r="CH252" s="364"/>
      <c r="CI252" s="364"/>
      <c r="CJ252" s="364"/>
      <c r="CK252" s="364"/>
      <c r="CL252" s="364"/>
      <c r="CM252" s="364"/>
      <c r="CN252" s="364"/>
      <c r="CO252" s="364"/>
      <c r="CP252" s="364"/>
      <c r="CQ252" s="364"/>
      <c r="CR252" s="364"/>
      <c r="CS252" s="364"/>
      <c r="CT252" s="364"/>
      <c r="CU252" s="364"/>
      <c r="CV252" s="364"/>
      <c r="CW252" s="364"/>
      <c r="CX252" s="364"/>
      <c r="CY252" s="364"/>
      <c r="CZ252" s="364"/>
      <c r="DA252" s="364"/>
      <c r="DB252" s="364"/>
      <c r="DC252" s="364"/>
      <c r="DD252" s="364"/>
      <c r="DE252" s="364"/>
      <c r="DF252" s="364"/>
      <c r="DG252" s="364"/>
      <c r="DH252" s="364"/>
      <c r="DI252" s="364"/>
      <c r="DJ252" s="364"/>
      <c r="DK252" s="364"/>
      <c r="DL252" s="364"/>
      <c r="DM252" s="364"/>
      <c r="DN252" s="364"/>
      <c r="DO252" s="364"/>
      <c r="DP252" s="364"/>
      <c r="DQ252" s="364"/>
      <c r="DR252" s="364"/>
      <c r="DS252" s="364"/>
      <c r="DT252" s="364"/>
      <c r="DU252" s="364"/>
      <c r="DV252" s="364"/>
      <c r="DW252" s="364"/>
      <c r="DX252" s="364"/>
      <c r="DY252" s="364"/>
      <c r="DZ252" s="364"/>
      <c r="EA252" s="364"/>
      <c r="EB252" s="364"/>
      <c r="EC252" s="364"/>
      <c r="ED252" s="364"/>
      <c r="EE252" s="364"/>
      <c r="EF252" s="364"/>
      <c r="EG252" s="364"/>
      <c r="EH252" s="364"/>
      <c r="EI252" s="364"/>
      <c r="EJ252" s="364"/>
      <c r="EK252" s="364"/>
      <c r="EL252" s="364"/>
      <c r="EM252" s="364"/>
      <c r="EN252" s="364"/>
      <c r="EO252" s="364"/>
      <c r="EP252" s="364"/>
      <c r="EQ252" s="364"/>
      <c r="ER252" s="364"/>
      <c r="ES252" s="364"/>
      <c r="ET252" s="364"/>
      <c r="EU252" s="364"/>
      <c r="EV252" s="364"/>
      <c r="EW252" s="364"/>
      <c r="EX252" s="364"/>
      <c r="EY252" s="364"/>
      <c r="EZ252" s="364"/>
      <c r="FA252" s="364"/>
      <c r="FB252" s="364"/>
      <c r="FC252" s="364"/>
      <c r="FD252" s="364"/>
      <c r="FE252" s="364"/>
      <c r="FF252" s="364"/>
      <c r="FG252" s="364"/>
      <c r="FH252" s="364"/>
      <c r="FI252" s="364"/>
      <c r="FJ252" s="364"/>
      <c r="FK252" s="364"/>
    </row>
    <row r="253" customFormat="false" ht="15.75" hidden="false" customHeight="false" outlineLevel="0" collapsed="false">
      <c r="A253" s="364" t="n">
        <v>499</v>
      </c>
      <c r="B253" s="364" t="n">
        <f aca="false">COUNTA(D253:FK253)</f>
        <v>42</v>
      </c>
      <c r="C253" s="364" t="s">
        <v>1334</v>
      </c>
      <c r="D253" s="364" t="s">
        <v>2352</v>
      </c>
      <c r="E253" s="364" t="s">
        <v>2528</v>
      </c>
      <c r="F253" s="364" t="s">
        <v>2464</v>
      </c>
      <c r="G253" s="364" t="s">
        <v>2409</v>
      </c>
      <c r="H253" s="364" t="s">
        <v>2517</v>
      </c>
      <c r="I253" s="364" t="s">
        <v>2435</v>
      </c>
      <c r="J253" s="364" t="s">
        <v>2318</v>
      </c>
      <c r="K253" s="364" t="s">
        <v>2319</v>
      </c>
      <c r="L253" s="364" t="s">
        <v>2320</v>
      </c>
      <c r="M253" s="364" t="s">
        <v>2523</v>
      </c>
      <c r="N253" s="364" t="s">
        <v>2324</v>
      </c>
      <c r="O253" s="364" t="s">
        <v>2327</v>
      </c>
      <c r="P253" s="364" t="s">
        <v>2328</v>
      </c>
      <c r="Q253" s="364" t="s">
        <v>2329</v>
      </c>
      <c r="R253" s="364" t="s">
        <v>2521</v>
      </c>
      <c r="S253" s="364" t="s">
        <v>2417</v>
      </c>
      <c r="T253" s="364" t="s">
        <v>2623</v>
      </c>
      <c r="U253" s="364" t="s">
        <v>2673</v>
      </c>
      <c r="V253" s="364" t="s">
        <v>2385</v>
      </c>
      <c r="W253" s="364" t="s">
        <v>2452</v>
      </c>
      <c r="X253" s="364" t="s">
        <v>2656</v>
      </c>
      <c r="Y253" s="364" t="s">
        <v>2536</v>
      </c>
      <c r="Z253" s="364" t="s">
        <v>157</v>
      </c>
      <c r="AA253" s="364" t="s">
        <v>2440</v>
      </c>
      <c r="AB253" s="364" t="s">
        <v>2337</v>
      </c>
      <c r="AC253" s="364" t="s">
        <v>2340</v>
      </c>
      <c r="AD253" s="364" t="s">
        <v>2341</v>
      </c>
      <c r="AE253" s="364" t="s">
        <v>2442</v>
      </c>
      <c r="AF253" s="364" t="s">
        <v>2470</v>
      </c>
      <c r="AG253" s="364" t="s">
        <v>2344</v>
      </c>
      <c r="AH253" s="364" t="s">
        <v>2473</v>
      </c>
      <c r="AI253" s="364" t="s">
        <v>2398</v>
      </c>
      <c r="AJ253" s="364" t="s">
        <v>2445</v>
      </c>
      <c r="AK253" s="364" t="s">
        <v>2475</v>
      </c>
      <c r="AL253" s="364" t="s">
        <v>2476</v>
      </c>
      <c r="AM253" s="364" t="s">
        <v>2463</v>
      </c>
      <c r="AN253" s="261" t="s">
        <v>2316</v>
      </c>
      <c r="AO253" s="261" t="s">
        <v>2560</v>
      </c>
      <c r="AP253" s="261" t="s">
        <v>2380</v>
      </c>
      <c r="AQ253" s="261" t="s">
        <v>2439</v>
      </c>
      <c r="AR253" s="261" t="s">
        <v>2639</v>
      </c>
      <c r="AS253" s="261" t="s">
        <v>2493</v>
      </c>
      <c r="AT253" s="364"/>
      <c r="AU253" s="364"/>
      <c r="AV253" s="364"/>
      <c r="AW253" s="364"/>
      <c r="AX253" s="364"/>
      <c r="AY253" s="364"/>
      <c r="AZ253" s="364"/>
      <c r="BA253" s="364"/>
      <c r="BB253" s="364"/>
      <c r="BC253" s="364"/>
      <c r="BD253" s="364"/>
      <c r="BE253" s="364"/>
      <c r="BF253" s="364"/>
      <c r="BG253" s="364"/>
      <c r="BH253" s="364"/>
      <c r="BI253" s="364"/>
      <c r="BJ253" s="364"/>
      <c r="BK253" s="364"/>
      <c r="BL253" s="364"/>
      <c r="BM253" s="364"/>
      <c r="BN253" s="364"/>
      <c r="BO253" s="364"/>
      <c r="BP253" s="364"/>
      <c r="BQ253" s="364"/>
      <c r="BR253" s="364"/>
      <c r="BS253" s="364"/>
      <c r="BT253" s="364"/>
      <c r="BU253" s="364"/>
      <c r="BV253" s="364"/>
      <c r="BW253" s="364"/>
      <c r="BX253" s="364"/>
      <c r="BY253" s="364"/>
      <c r="BZ253" s="364"/>
      <c r="CA253" s="364"/>
      <c r="CB253" s="364"/>
      <c r="CC253" s="364"/>
      <c r="CD253" s="364"/>
      <c r="CE253" s="364"/>
      <c r="CF253" s="364"/>
      <c r="CG253" s="364"/>
      <c r="CH253" s="364"/>
      <c r="CI253" s="364"/>
      <c r="CJ253" s="364"/>
      <c r="CK253" s="364"/>
      <c r="CL253" s="364"/>
      <c r="CM253" s="364"/>
      <c r="CN253" s="364"/>
      <c r="CO253" s="364"/>
      <c r="CP253" s="364"/>
      <c r="CQ253" s="364"/>
      <c r="CR253" s="364"/>
      <c r="CS253" s="364"/>
      <c r="CT253" s="364"/>
      <c r="CU253" s="364"/>
      <c r="CV253" s="364"/>
      <c r="CW253" s="364"/>
      <c r="CX253" s="364"/>
      <c r="CY253" s="364"/>
      <c r="CZ253" s="364"/>
      <c r="DA253" s="364"/>
      <c r="DB253" s="364"/>
      <c r="DC253" s="364"/>
      <c r="DD253" s="364"/>
      <c r="DE253" s="364"/>
      <c r="DF253" s="364"/>
      <c r="DG253" s="364"/>
      <c r="DH253" s="364"/>
      <c r="DI253" s="364"/>
      <c r="DJ253" s="364"/>
      <c r="DK253" s="364"/>
      <c r="DL253" s="364"/>
      <c r="DM253" s="364"/>
      <c r="DN253" s="364"/>
      <c r="DO253" s="364"/>
      <c r="DP253" s="364"/>
      <c r="DQ253" s="364"/>
      <c r="DR253" s="364"/>
      <c r="DS253" s="364"/>
      <c r="DT253" s="364"/>
      <c r="DU253" s="364"/>
      <c r="DV253" s="364"/>
      <c r="DW253" s="364"/>
      <c r="DX253" s="364"/>
      <c r="DY253" s="364"/>
      <c r="DZ253" s="364"/>
      <c r="EA253" s="364"/>
      <c r="EB253" s="364"/>
      <c r="EC253" s="364"/>
      <c r="ED253" s="364"/>
      <c r="EE253" s="364"/>
      <c r="EF253" s="364"/>
      <c r="EG253" s="364"/>
      <c r="EH253" s="364"/>
      <c r="EI253" s="364"/>
      <c r="EJ253" s="364"/>
      <c r="EK253" s="364"/>
      <c r="EL253" s="364"/>
      <c r="EM253" s="364"/>
      <c r="EN253" s="364"/>
      <c r="EO253" s="364"/>
      <c r="EP253" s="364"/>
      <c r="EQ253" s="364"/>
      <c r="ER253" s="364"/>
      <c r="ES253" s="364"/>
      <c r="ET253" s="364"/>
      <c r="EU253" s="364"/>
      <c r="EV253" s="364"/>
      <c r="EW253" s="364"/>
      <c r="EX253" s="364"/>
      <c r="EY253" s="364"/>
      <c r="EZ253" s="364"/>
      <c r="FA253" s="364"/>
      <c r="FB253" s="364"/>
      <c r="FC253" s="364"/>
      <c r="FD253" s="364"/>
      <c r="FE253" s="364"/>
      <c r="FF253" s="364"/>
      <c r="FG253" s="364"/>
      <c r="FH253" s="364"/>
      <c r="FI253" s="364"/>
      <c r="FJ253" s="364"/>
      <c r="FK253" s="364"/>
    </row>
    <row r="254" customFormat="false" ht="15.75" hidden="false" customHeight="false" outlineLevel="0" collapsed="false">
      <c r="A254" s="364" t="n">
        <v>500</v>
      </c>
      <c r="B254" s="364" t="n">
        <f aca="false">COUNTA(D254:FK254)</f>
        <v>45</v>
      </c>
      <c r="C254" s="364" t="s">
        <v>1336</v>
      </c>
      <c r="D254" s="364" t="s">
        <v>2352</v>
      </c>
      <c r="E254" s="364" t="s">
        <v>2353</v>
      </c>
      <c r="F254" s="364" t="s">
        <v>2528</v>
      </c>
      <c r="G254" s="364" t="s">
        <v>2409</v>
      </c>
      <c r="H254" s="364" t="s">
        <v>2435</v>
      </c>
      <c r="I254" s="364" t="s">
        <v>2320</v>
      </c>
      <c r="J254" s="364" t="s">
        <v>2375</v>
      </c>
      <c r="K254" s="364" t="s">
        <v>2523</v>
      </c>
      <c r="L254" s="364" t="s">
        <v>2324</v>
      </c>
      <c r="M254" s="364" t="s">
        <v>2378</v>
      </c>
      <c r="N254" s="364" t="s">
        <v>2328</v>
      </c>
      <c r="O254" s="364" t="s">
        <v>2329</v>
      </c>
      <c r="P254" s="364" t="s">
        <v>2417</v>
      </c>
      <c r="Q254" s="364" t="s">
        <v>2379</v>
      </c>
      <c r="R254" s="261" t="s">
        <v>183</v>
      </c>
      <c r="S254" s="364" t="s">
        <v>2531</v>
      </c>
      <c r="T254" s="364" t="s">
        <v>2385</v>
      </c>
      <c r="U254" s="364" t="s">
        <v>2452</v>
      </c>
      <c r="V254" s="364" t="s">
        <v>2460</v>
      </c>
      <c r="W254" s="364" t="s">
        <v>157</v>
      </c>
      <c r="X254" s="364" t="s">
        <v>2455</v>
      </c>
      <c r="Y254" s="364" t="s">
        <v>2337</v>
      </c>
      <c r="Z254" s="364" t="s">
        <v>2469</v>
      </c>
      <c r="AA254" s="364" t="s">
        <v>2340</v>
      </c>
      <c r="AB254" s="364" t="s">
        <v>2341</v>
      </c>
      <c r="AC254" s="364" t="s">
        <v>2442</v>
      </c>
      <c r="AD254" s="364" t="s">
        <v>2462</v>
      </c>
      <c r="AE254" s="364" t="s">
        <v>2472</v>
      </c>
      <c r="AF254" s="364" t="s">
        <v>2344</v>
      </c>
      <c r="AG254" s="364" t="s">
        <v>2396</v>
      </c>
      <c r="AH254" s="364" t="s">
        <v>2473</v>
      </c>
      <c r="AI254" s="364" t="s">
        <v>2511</v>
      </c>
      <c r="AJ254" s="364" t="s">
        <v>2398</v>
      </c>
      <c r="AK254" s="364" t="s">
        <v>2445</v>
      </c>
      <c r="AL254" s="364" t="s">
        <v>2400</v>
      </c>
      <c r="AM254" s="364" t="s">
        <v>2463</v>
      </c>
      <c r="AN254" s="364" t="s">
        <v>2401</v>
      </c>
      <c r="AO254" s="261" t="s">
        <v>2447</v>
      </c>
      <c r="AP254" s="261" t="s">
        <v>2577</v>
      </c>
      <c r="AQ254" s="261" t="s">
        <v>2316</v>
      </c>
      <c r="AR254" s="261" t="s">
        <v>2479</v>
      </c>
      <c r="AS254" s="261" t="s">
        <v>2535</v>
      </c>
      <c r="AT254" s="261" t="s">
        <v>2589</v>
      </c>
      <c r="AU254" s="261" t="s">
        <v>2480</v>
      </c>
      <c r="AV254" s="261" t="s">
        <v>2461</v>
      </c>
      <c r="AW254" s="364"/>
      <c r="AX254" s="364"/>
      <c r="AY254" s="364"/>
      <c r="AZ254" s="364"/>
      <c r="BA254" s="364"/>
      <c r="BB254" s="364"/>
      <c r="BC254" s="364"/>
      <c r="BD254" s="364"/>
      <c r="BE254" s="364"/>
      <c r="BF254" s="364"/>
      <c r="BG254" s="364"/>
      <c r="BH254" s="364"/>
      <c r="BI254" s="364"/>
      <c r="BJ254" s="364"/>
      <c r="BK254" s="364"/>
      <c r="BL254" s="364"/>
      <c r="BM254" s="364"/>
      <c r="BN254" s="364"/>
      <c r="BO254" s="364"/>
      <c r="BP254" s="364"/>
      <c r="BQ254" s="364"/>
      <c r="BR254" s="364"/>
      <c r="BS254" s="364"/>
      <c r="BT254" s="364"/>
      <c r="BU254" s="364"/>
      <c r="BV254" s="364"/>
      <c r="BW254" s="364"/>
      <c r="BX254" s="364"/>
      <c r="BY254" s="364"/>
      <c r="BZ254" s="364"/>
      <c r="CA254" s="364"/>
      <c r="CB254" s="364"/>
      <c r="CC254" s="364"/>
      <c r="CD254" s="364"/>
      <c r="CE254" s="364"/>
      <c r="CF254" s="364"/>
      <c r="CG254" s="364"/>
      <c r="CH254" s="364"/>
      <c r="CI254" s="364"/>
      <c r="CJ254" s="364"/>
      <c r="CK254" s="364"/>
      <c r="CL254" s="364"/>
      <c r="CM254" s="364"/>
      <c r="CN254" s="364"/>
      <c r="CO254" s="364"/>
      <c r="CP254" s="364"/>
      <c r="CQ254" s="364"/>
      <c r="CR254" s="364"/>
      <c r="CS254" s="364"/>
      <c r="CT254" s="364"/>
      <c r="CU254" s="364"/>
      <c r="CV254" s="364"/>
      <c r="CW254" s="364"/>
      <c r="CX254" s="364"/>
      <c r="CY254" s="364"/>
      <c r="CZ254" s="364"/>
      <c r="DA254" s="364"/>
      <c r="DB254" s="364"/>
      <c r="DC254" s="364"/>
      <c r="DD254" s="364"/>
      <c r="DE254" s="364"/>
      <c r="DF254" s="364"/>
      <c r="DG254" s="364"/>
      <c r="DH254" s="364"/>
      <c r="DI254" s="364"/>
      <c r="DJ254" s="364"/>
      <c r="DK254" s="364"/>
      <c r="DL254" s="364"/>
      <c r="DM254" s="364"/>
      <c r="DN254" s="364"/>
      <c r="DO254" s="364"/>
      <c r="DP254" s="364"/>
      <c r="DQ254" s="364"/>
      <c r="DR254" s="364"/>
      <c r="DS254" s="364"/>
      <c r="DT254" s="364"/>
      <c r="DU254" s="364"/>
      <c r="DV254" s="364"/>
      <c r="DW254" s="364"/>
      <c r="DX254" s="364"/>
      <c r="DY254" s="364"/>
      <c r="DZ254" s="364"/>
      <c r="EA254" s="364"/>
      <c r="EB254" s="364"/>
      <c r="EC254" s="364"/>
      <c r="ED254" s="364"/>
      <c r="EE254" s="364"/>
      <c r="EF254" s="364"/>
      <c r="EG254" s="364"/>
      <c r="EH254" s="364"/>
      <c r="EI254" s="364"/>
      <c r="EJ254" s="364"/>
      <c r="EK254" s="364"/>
      <c r="EL254" s="364"/>
      <c r="EM254" s="364"/>
      <c r="EN254" s="364"/>
      <c r="EO254" s="364"/>
      <c r="EP254" s="364"/>
      <c r="EQ254" s="364"/>
      <c r="ER254" s="364"/>
      <c r="ES254" s="364"/>
      <c r="ET254" s="364"/>
      <c r="EU254" s="364"/>
      <c r="EV254" s="364"/>
      <c r="EW254" s="364"/>
      <c r="EX254" s="364"/>
      <c r="EY254" s="364"/>
      <c r="EZ254" s="364"/>
      <c r="FA254" s="364"/>
      <c r="FB254" s="364"/>
      <c r="FC254" s="364"/>
      <c r="FD254" s="364"/>
      <c r="FE254" s="364"/>
      <c r="FF254" s="364"/>
      <c r="FG254" s="364"/>
      <c r="FH254" s="364"/>
      <c r="FI254" s="364"/>
      <c r="FJ254" s="364"/>
      <c r="FK254" s="364"/>
    </row>
    <row r="255" customFormat="false" ht="15.75" hidden="false" customHeight="false" outlineLevel="0" collapsed="false">
      <c r="A255" s="364" t="n">
        <v>502</v>
      </c>
      <c r="B255" s="364" t="n">
        <f aca="false">COUNTA(D255:FK255)</f>
        <v>45</v>
      </c>
      <c r="C255" s="364" t="s">
        <v>1340</v>
      </c>
      <c r="D255" s="364" t="s">
        <v>2352</v>
      </c>
      <c r="E255" s="364" t="s">
        <v>2312</v>
      </c>
      <c r="F255" s="364" t="s">
        <v>2313</v>
      </c>
      <c r="G255" s="364" t="s">
        <v>2465</v>
      </c>
      <c r="H255" s="364" t="s">
        <v>2315</v>
      </c>
      <c r="I255" s="364" t="s">
        <v>2358</v>
      </c>
      <c r="J255" s="364" t="s">
        <v>2435</v>
      </c>
      <c r="K255" s="364" t="s">
        <v>2318</v>
      </c>
      <c r="L255" s="364" t="s">
        <v>2320</v>
      </c>
      <c r="M255" s="364" t="s">
        <v>2533</v>
      </c>
      <c r="N255" s="364" t="s">
        <v>2535</v>
      </c>
      <c r="O255" s="364" t="s">
        <v>2523</v>
      </c>
      <c r="P255" s="364" t="s">
        <v>2322</v>
      </c>
      <c r="Q255" s="364" t="s">
        <v>2498</v>
      </c>
      <c r="R255" s="364" t="s">
        <v>2324</v>
      </c>
      <c r="S255" s="364" t="s">
        <v>2327</v>
      </c>
      <c r="T255" s="364" t="s">
        <v>2328</v>
      </c>
      <c r="U255" s="364" t="s">
        <v>2329</v>
      </c>
      <c r="V255" s="364" t="s">
        <v>2521</v>
      </c>
      <c r="W255" s="364" t="s">
        <v>2381</v>
      </c>
      <c r="X255" s="364" t="s">
        <v>2330</v>
      </c>
      <c r="Y255" s="364" t="s">
        <v>2468</v>
      </c>
      <c r="Z255" s="261" t="s">
        <v>183</v>
      </c>
      <c r="AA255" s="364" t="s">
        <v>2452</v>
      </c>
      <c r="AB255" s="364" t="s">
        <v>2337</v>
      </c>
      <c r="AC255" s="364" t="s">
        <v>2469</v>
      </c>
      <c r="AD255" s="364" t="s">
        <v>2420</v>
      </c>
      <c r="AE255" s="364" t="s">
        <v>2340</v>
      </c>
      <c r="AF255" s="364" t="s">
        <v>2390</v>
      </c>
      <c r="AG255" s="364" t="s">
        <v>2341</v>
      </c>
      <c r="AH255" s="364" t="s">
        <v>2442</v>
      </c>
      <c r="AI255" s="364" t="s">
        <v>2392</v>
      </c>
      <c r="AJ255" s="364" t="s">
        <v>2470</v>
      </c>
      <c r="AK255" s="364" t="s">
        <v>2395</v>
      </c>
      <c r="AL255" s="364" t="s">
        <v>2344</v>
      </c>
      <c r="AM255" s="364" t="s">
        <v>2346</v>
      </c>
      <c r="AN255" s="364" t="s">
        <v>2473</v>
      </c>
      <c r="AO255" s="364" t="s">
        <v>2474</v>
      </c>
      <c r="AP255" s="364" t="s">
        <v>2398</v>
      </c>
      <c r="AQ255" s="364" t="s">
        <v>2445</v>
      </c>
      <c r="AR255" s="364" t="s">
        <v>2456</v>
      </c>
      <c r="AS255" s="364" t="s">
        <v>2475</v>
      </c>
      <c r="AT255" s="364" t="s">
        <v>2476</v>
      </c>
      <c r="AU255" s="364" t="s">
        <v>2446</v>
      </c>
      <c r="AV255" s="364" t="s">
        <v>2428</v>
      </c>
      <c r="AW255" s="364"/>
      <c r="AX255" s="364"/>
      <c r="AY255" s="364"/>
      <c r="AZ255" s="364"/>
      <c r="BA255" s="364"/>
      <c r="BB255" s="364"/>
      <c r="BC255" s="364"/>
      <c r="BD255" s="364"/>
      <c r="BE255" s="364"/>
      <c r="BF255" s="364"/>
      <c r="BG255" s="364"/>
      <c r="BH255" s="364"/>
      <c r="BI255" s="364"/>
      <c r="BJ255" s="364"/>
      <c r="BK255" s="364"/>
      <c r="BL255" s="364"/>
      <c r="BM255" s="364"/>
      <c r="BN255" s="364"/>
      <c r="BO255" s="364"/>
      <c r="BP255" s="364"/>
      <c r="BQ255" s="364"/>
      <c r="BR255" s="364"/>
      <c r="BS255" s="364"/>
      <c r="BT255" s="364"/>
      <c r="BU255" s="364"/>
      <c r="BV255" s="364"/>
      <c r="BW255" s="364"/>
      <c r="BX255" s="364"/>
      <c r="BY255" s="364"/>
      <c r="BZ255" s="364"/>
      <c r="CA255" s="364"/>
      <c r="CB255" s="364"/>
      <c r="CC255" s="364"/>
      <c r="CD255" s="364"/>
      <c r="CE255" s="364"/>
      <c r="CF255" s="364"/>
      <c r="CG255" s="364"/>
      <c r="CH255" s="364"/>
      <c r="CI255" s="364"/>
      <c r="CJ255" s="364"/>
      <c r="CK255" s="364"/>
      <c r="CL255" s="364"/>
      <c r="CM255" s="364"/>
      <c r="CN255" s="364"/>
      <c r="CO255" s="364"/>
      <c r="CP255" s="364"/>
      <c r="CQ255" s="364"/>
      <c r="CR255" s="364"/>
      <c r="CS255" s="364"/>
      <c r="CT255" s="364"/>
      <c r="CU255" s="364"/>
      <c r="CV255" s="364"/>
      <c r="CW255" s="364"/>
      <c r="CX255" s="364"/>
      <c r="CY255" s="364"/>
      <c r="CZ255" s="364"/>
      <c r="DA255" s="364"/>
      <c r="DB255" s="364"/>
      <c r="DC255" s="364"/>
      <c r="DD255" s="364"/>
      <c r="DE255" s="364"/>
      <c r="DF255" s="364"/>
      <c r="DG255" s="364"/>
      <c r="DH255" s="364"/>
      <c r="DI255" s="364"/>
      <c r="DJ255" s="364"/>
      <c r="DK255" s="364"/>
      <c r="DL255" s="364"/>
      <c r="DM255" s="364"/>
      <c r="DN255" s="364"/>
      <c r="DO255" s="364"/>
      <c r="DP255" s="364"/>
      <c r="DQ255" s="364"/>
      <c r="DR255" s="364"/>
      <c r="DS255" s="364"/>
      <c r="DT255" s="364"/>
      <c r="DU255" s="364"/>
      <c r="DV255" s="364"/>
      <c r="DW255" s="364"/>
      <c r="DX255" s="364"/>
      <c r="DY255" s="364"/>
      <c r="DZ255" s="364"/>
      <c r="EA255" s="364"/>
      <c r="EB255" s="364"/>
      <c r="EC255" s="364"/>
      <c r="ED255" s="364"/>
      <c r="EE255" s="364"/>
      <c r="EF255" s="364"/>
      <c r="EG255" s="364"/>
      <c r="EH255" s="364"/>
      <c r="EI255" s="364"/>
      <c r="EJ255" s="364"/>
      <c r="EK255" s="364"/>
      <c r="EL255" s="364"/>
      <c r="EM255" s="364"/>
      <c r="EN255" s="364"/>
      <c r="EO255" s="364"/>
      <c r="EP255" s="364"/>
      <c r="EQ255" s="364"/>
      <c r="ER255" s="364"/>
      <c r="ES255" s="364"/>
      <c r="ET255" s="364"/>
      <c r="EU255" s="364"/>
      <c r="EV255" s="364"/>
      <c r="EW255" s="364"/>
      <c r="EX255" s="364"/>
      <c r="EY255" s="364"/>
      <c r="EZ255" s="364"/>
      <c r="FA255" s="364"/>
      <c r="FB255" s="364"/>
      <c r="FC255" s="364"/>
      <c r="FD255" s="364"/>
      <c r="FE255" s="364"/>
      <c r="FF255" s="364"/>
      <c r="FG255" s="364"/>
      <c r="FH255" s="364"/>
      <c r="FI255" s="364"/>
      <c r="FJ255" s="364"/>
      <c r="FK255" s="364"/>
    </row>
    <row r="256" customFormat="false" ht="15.75" hidden="false" customHeight="false" outlineLevel="0" collapsed="false">
      <c r="A256" s="364" t="n">
        <v>505</v>
      </c>
      <c r="B256" s="364" t="n">
        <f aca="false">COUNTA(D256:FK256)</f>
        <v>41</v>
      </c>
      <c r="C256" s="364" t="s">
        <v>1345</v>
      </c>
      <c r="D256" s="364" t="s">
        <v>2482</v>
      </c>
      <c r="E256" s="364" t="s">
        <v>2483</v>
      </c>
      <c r="F256" s="364" t="s">
        <v>2404</v>
      </c>
      <c r="G256" s="364" t="s">
        <v>2315</v>
      </c>
      <c r="H256" s="364" t="s">
        <v>2409</v>
      </c>
      <c r="I256" s="364" t="s">
        <v>2358</v>
      </c>
      <c r="J256" s="364" t="s">
        <v>2562</v>
      </c>
      <c r="K256" s="364" t="s">
        <v>2320</v>
      </c>
      <c r="L256" s="364" t="s">
        <v>2534</v>
      </c>
      <c r="M256" s="364" t="s">
        <v>2366</v>
      </c>
      <c r="N256" s="364" t="s">
        <v>2373</v>
      </c>
      <c r="O256" s="364" t="s">
        <v>2523</v>
      </c>
      <c r="P256" s="364" t="s">
        <v>2322</v>
      </c>
      <c r="Q256" s="364" t="s">
        <v>2498</v>
      </c>
      <c r="R256" s="364" t="s">
        <v>2324</v>
      </c>
      <c r="S256" s="364" t="s">
        <v>2327</v>
      </c>
      <c r="T256" s="364" t="s">
        <v>2328</v>
      </c>
      <c r="U256" s="364" t="s">
        <v>2329</v>
      </c>
      <c r="V256" s="364" t="s">
        <v>2379</v>
      </c>
      <c r="W256" s="364" t="s">
        <v>2381</v>
      </c>
      <c r="X256" s="261" t="s">
        <v>183</v>
      </c>
      <c r="Y256" s="364" t="s">
        <v>2531</v>
      </c>
      <c r="Z256" s="364" t="s">
        <v>2452</v>
      </c>
      <c r="AA256" s="364" t="s">
        <v>2454</v>
      </c>
      <c r="AB256" s="364" t="s">
        <v>2337</v>
      </c>
      <c r="AC256" s="364" t="s">
        <v>2339</v>
      </c>
      <c r="AD256" s="364" t="s">
        <v>2340</v>
      </c>
      <c r="AE256" s="364" t="s">
        <v>2390</v>
      </c>
      <c r="AF256" s="364" t="s">
        <v>2341</v>
      </c>
      <c r="AG256" s="364" t="s">
        <v>2442</v>
      </c>
      <c r="AH256" s="364" t="s">
        <v>2392</v>
      </c>
      <c r="AI256" s="364" t="s">
        <v>2395</v>
      </c>
      <c r="AJ256" s="364" t="s">
        <v>2343</v>
      </c>
      <c r="AK256" s="364" t="s">
        <v>2472</v>
      </c>
      <c r="AL256" s="364" t="s">
        <v>2344</v>
      </c>
      <c r="AM256" s="364" t="s">
        <v>2347</v>
      </c>
      <c r="AN256" s="364" t="s">
        <v>2473</v>
      </c>
      <c r="AO256" s="364" t="s">
        <v>2398</v>
      </c>
      <c r="AP256" s="364" t="s">
        <v>2445</v>
      </c>
      <c r="AQ256" s="364" t="s">
        <v>2456</v>
      </c>
      <c r="AR256" s="364" t="s">
        <v>2350</v>
      </c>
      <c r="AS256" s="364"/>
      <c r="AT256" s="364"/>
      <c r="AU256" s="364"/>
      <c r="AV256" s="364"/>
      <c r="AW256" s="364"/>
      <c r="AX256" s="364"/>
      <c r="AY256" s="364"/>
      <c r="AZ256" s="364"/>
      <c r="BA256" s="364"/>
      <c r="BB256" s="364"/>
      <c r="BC256" s="364"/>
      <c r="BD256" s="364"/>
      <c r="BE256" s="364"/>
      <c r="BF256" s="364"/>
      <c r="BG256" s="364"/>
      <c r="BH256" s="364"/>
      <c r="BI256" s="364"/>
      <c r="BJ256" s="364"/>
      <c r="BK256" s="364"/>
      <c r="BL256" s="364"/>
      <c r="BM256" s="364"/>
      <c r="BN256" s="364"/>
      <c r="BO256" s="364"/>
      <c r="BP256" s="364"/>
      <c r="BQ256" s="364"/>
      <c r="BR256" s="364"/>
      <c r="BS256" s="364"/>
      <c r="BT256" s="364"/>
      <c r="BU256" s="364"/>
      <c r="BV256" s="364"/>
      <c r="BW256" s="364"/>
      <c r="BX256" s="364"/>
      <c r="BY256" s="364"/>
      <c r="BZ256" s="364"/>
      <c r="CA256" s="364"/>
      <c r="CB256" s="364"/>
      <c r="CC256" s="364"/>
      <c r="CD256" s="364"/>
      <c r="CE256" s="364"/>
      <c r="CF256" s="364"/>
      <c r="CG256" s="364"/>
      <c r="CH256" s="364"/>
      <c r="CI256" s="364"/>
      <c r="CJ256" s="364"/>
      <c r="CK256" s="364"/>
      <c r="CL256" s="364"/>
      <c r="CM256" s="364"/>
      <c r="CN256" s="364"/>
      <c r="CO256" s="364"/>
      <c r="CP256" s="364"/>
      <c r="CQ256" s="364"/>
      <c r="CR256" s="364"/>
      <c r="CS256" s="364"/>
      <c r="CT256" s="364"/>
      <c r="CU256" s="364"/>
      <c r="CV256" s="364"/>
      <c r="CW256" s="364"/>
      <c r="CX256" s="364"/>
      <c r="CY256" s="364"/>
      <c r="CZ256" s="364"/>
      <c r="DA256" s="364"/>
      <c r="DB256" s="364"/>
      <c r="DC256" s="364"/>
      <c r="DD256" s="364"/>
      <c r="DE256" s="364"/>
      <c r="DF256" s="364"/>
      <c r="DG256" s="364"/>
      <c r="DH256" s="364"/>
      <c r="DI256" s="364"/>
      <c r="DJ256" s="364"/>
      <c r="DK256" s="364"/>
      <c r="DL256" s="364"/>
      <c r="DM256" s="364"/>
      <c r="DN256" s="364"/>
      <c r="DO256" s="364"/>
      <c r="DP256" s="364"/>
      <c r="DQ256" s="364"/>
      <c r="DR256" s="364"/>
      <c r="DS256" s="364"/>
      <c r="DT256" s="364"/>
      <c r="DU256" s="364"/>
      <c r="DV256" s="364"/>
      <c r="DW256" s="364"/>
      <c r="DX256" s="364"/>
      <c r="DY256" s="364"/>
      <c r="DZ256" s="364"/>
      <c r="EA256" s="364"/>
      <c r="EB256" s="364"/>
      <c r="EC256" s="364"/>
      <c r="ED256" s="364"/>
      <c r="EE256" s="364"/>
      <c r="EF256" s="364"/>
      <c r="EG256" s="364"/>
      <c r="EH256" s="364"/>
      <c r="EI256" s="364"/>
      <c r="EJ256" s="364"/>
      <c r="EK256" s="364"/>
      <c r="EL256" s="364"/>
      <c r="EM256" s="364"/>
      <c r="EN256" s="364"/>
      <c r="EO256" s="364"/>
      <c r="EP256" s="364"/>
      <c r="EQ256" s="364"/>
      <c r="ER256" s="364"/>
      <c r="ES256" s="364"/>
      <c r="ET256" s="364"/>
      <c r="EU256" s="364"/>
      <c r="EV256" s="364"/>
      <c r="EW256" s="364"/>
      <c r="EX256" s="364"/>
      <c r="EY256" s="364"/>
      <c r="EZ256" s="364"/>
      <c r="FA256" s="364"/>
      <c r="FB256" s="364"/>
      <c r="FC256" s="364"/>
      <c r="FD256" s="364"/>
      <c r="FE256" s="364"/>
      <c r="FF256" s="364"/>
      <c r="FG256" s="364"/>
      <c r="FH256" s="364"/>
      <c r="FI256" s="364"/>
      <c r="FJ256" s="364"/>
      <c r="FK256" s="364"/>
    </row>
    <row r="257" customFormat="false" ht="15.75" hidden="false" customHeight="false" outlineLevel="0" collapsed="false">
      <c r="A257" s="364" t="n">
        <v>507</v>
      </c>
      <c r="B257" s="364" t="n">
        <f aca="false">COUNTA(D257:FK257)</f>
        <v>37</v>
      </c>
      <c r="C257" s="364" t="s">
        <v>1349</v>
      </c>
      <c r="D257" s="364" t="s">
        <v>2561</v>
      </c>
      <c r="E257" s="364" t="s">
        <v>2313</v>
      </c>
      <c r="F257" s="364" t="s">
        <v>2464</v>
      </c>
      <c r="G257" s="364" t="s">
        <v>2434</v>
      </c>
      <c r="H257" s="364" t="s">
        <v>2435</v>
      </c>
      <c r="I257" s="364" t="s">
        <v>2317</v>
      </c>
      <c r="J257" s="364" t="s">
        <v>2562</v>
      </c>
      <c r="K257" s="364" t="s">
        <v>2632</v>
      </c>
      <c r="L257" s="364" t="s">
        <v>2320</v>
      </c>
      <c r="M257" s="364" t="s">
        <v>2535</v>
      </c>
      <c r="N257" s="364" t="s">
        <v>2411</v>
      </c>
      <c r="O257" s="364" t="s">
        <v>2550</v>
      </c>
      <c r="P257" s="364" t="s">
        <v>2324</v>
      </c>
      <c r="Q257" s="364" t="s">
        <v>2325</v>
      </c>
      <c r="R257" s="364" t="s">
        <v>2412</v>
      </c>
      <c r="S257" s="364" t="s">
        <v>2563</v>
      </c>
      <c r="T257" s="364" t="s">
        <v>2328</v>
      </c>
      <c r="U257" s="364" t="s">
        <v>2329</v>
      </c>
      <c r="V257" s="364" t="s">
        <v>2506</v>
      </c>
      <c r="W257" s="364" t="s">
        <v>2452</v>
      </c>
      <c r="X257" s="364" t="s">
        <v>157</v>
      </c>
      <c r="Y257" s="364" t="s">
        <v>2495</v>
      </c>
      <c r="Z257" s="364" t="s">
        <v>2440</v>
      </c>
      <c r="AA257" s="364" t="s">
        <v>2337</v>
      </c>
      <c r="AB257" s="364" t="s">
        <v>2388</v>
      </c>
      <c r="AC257" s="364" t="s">
        <v>2339</v>
      </c>
      <c r="AD257" s="364" t="s">
        <v>2389</v>
      </c>
      <c r="AE257" s="364" t="s">
        <v>2420</v>
      </c>
      <c r="AF257" s="364" t="s">
        <v>2340</v>
      </c>
      <c r="AG257" s="364" t="s">
        <v>2341</v>
      </c>
      <c r="AH257" s="364" t="s">
        <v>2442</v>
      </c>
      <c r="AI257" s="364" t="s">
        <v>2422</v>
      </c>
      <c r="AJ257" s="364" t="s">
        <v>2344</v>
      </c>
      <c r="AK257" s="364" t="s">
        <v>2345</v>
      </c>
      <c r="AL257" s="364" t="s">
        <v>2347</v>
      </c>
      <c r="AM257" s="364" t="s">
        <v>2348</v>
      </c>
      <c r="AN257" s="364" t="s">
        <v>2430</v>
      </c>
      <c r="AO257" s="364"/>
      <c r="AP257" s="364"/>
      <c r="AQ257" s="364"/>
      <c r="AR257" s="364"/>
      <c r="AS257" s="364"/>
      <c r="AT257" s="364"/>
      <c r="AU257" s="364"/>
      <c r="AV257" s="364"/>
      <c r="AW257" s="364"/>
      <c r="AX257" s="364"/>
      <c r="AY257" s="364"/>
      <c r="AZ257" s="364"/>
      <c r="BA257" s="364"/>
      <c r="BB257" s="364"/>
      <c r="BC257" s="364"/>
      <c r="BD257" s="364"/>
      <c r="BE257" s="364"/>
      <c r="BF257" s="364"/>
      <c r="BG257" s="364"/>
      <c r="BH257" s="364"/>
      <c r="BI257" s="364"/>
      <c r="BJ257" s="364"/>
      <c r="BK257" s="364"/>
      <c r="BL257" s="364"/>
      <c r="BM257" s="364"/>
      <c r="BN257" s="364"/>
      <c r="BO257" s="364"/>
      <c r="BP257" s="364"/>
      <c r="BQ257" s="364"/>
      <c r="BR257" s="364"/>
      <c r="BS257" s="364"/>
      <c r="BT257" s="364"/>
      <c r="BU257" s="364"/>
      <c r="BV257" s="364"/>
      <c r="BW257" s="364"/>
      <c r="BX257" s="364"/>
      <c r="BY257" s="364"/>
      <c r="BZ257" s="364"/>
      <c r="CA257" s="364"/>
      <c r="CB257" s="364"/>
      <c r="CC257" s="364"/>
      <c r="CD257" s="364"/>
      <c r="CE257" s="364"/>
      <c r="CF257" s="364"/>
      <c r="CG257" s="364"/>
      <c r="CH257" s="364"/>
      <c r="CI257" s="364"/>
      <c r="CJ257" s="364"/>
      <c r="CK257" s="364"/>
      <c r="CL257" s="364"/>
      <c r="CM257" s="364"/>
      <c r="CN257" s="364"/>
      <c r="CO257" s="364"/>
      <c r="CP257" s="364"/>
      <c r="CQ257" s="364"/>
      <c r="CR257" s="364"/>
      <c r="CS257" s="364"/>
      <c r="CT257" s="364"/>
      <c r="CU257" s="364"/>
      <c r="CV257" s="364"/>
      <c r="CW257" s="364"/>
      <c r="CX257" s="364"/>
      <c r="CY257" s="364"/>
      <c r="CZ257" s="364"/>
      <c r="DA257" s="364"/>
      <c r="DB257" s="364"/>
      <c r="DC257" s="364"/>
      <c r="DD257" s="364"/>
      <c r="DE257" s="364"/>
      <c r="DF257" s="364"/>
      <c r="DG257" s="364"/>
      <c r="DH257" s="364"/>
      <c r="DI257" s="364"/>
      <c r="DJ257" s="364"/>
      <c r="DK257" s="364"/>
      <c r="DL257" s="364"/>
      <c r="DM257" s="364"/>
      <c r="DN257" s="364"/>
      <c r="DO257" s="364"/>
      <c r="DP257" s="364"/>
      <c r="DQ257" s="364"/>
      <c r="DR257" s="364"/>
      <c r="DS257" s="364"/>
      <c r="DT257" s="364"/>
      <c r="DU257" s="364"/>
      <c r="DV257" s="364"/>
      <c r="DW257" s="364"/>
      <c r="DX257" s="364"/>
      <c r="DY257" s="364"/>
      <c r="DZ257" s="364"/>
      <c r="EA257" s="364"/>
      <c r="EB257" s="364"/>
      <c r="EC257" s="364"/>
      <c r="ED257" s="364"/>
      <c r="EE257" s="364"/>
      <c r="EF257" s="364"/>
      <c r="EG257" s="364"/>
      <c r="EH257" s="364"/>
      <c r="EI257" s="364"/>
      <c r="EJ257" s="364"/>
      <c r="EK257" s="364"/>
      <c r="EL257" s="364"/>
      <c r="EM257" s="364"/>
      <c r="EN257" s="364"/>
      <c r="EO257" s="364"/>
      <c r="EP257" s="364"/>
      <c r="EQ257" s="364"/>
      <c r="ER257" s="364"/>
      <c r="ES257" s="364"/>
      <c r="ET257" s="364"/>
      <c r="EU257" s="364"/>
      <c r="EV257" s="364"/>
      <c r="EW257" s="364"/>
      <c r="EX257" s="364"/>
      <c r="EY257" s="364"/>
      <c r="EZ257" s="364"/>
      <c r="FA257" s="364"/>
      <c r="FB257" s="364"/>
      <c r="FC257" s="364"/>
      <c r="FD257" s="364"/>
      <c r="FE257" s="364"/>
      <c r="FF257" s="364"/>
      <c r="FG257" s="364"/>
      <c r="FH257" s="364"/>
      <c r="FI257" s="364"/>
      <c r="FJ257" s="364"/>
      <c r="FK257" s="364"/>
    </row>
    <row r="258" customFormat="false" ht="15.75" hidden="false" customHeight="false" outlineLevel="0" collapsed="false">
      <c r="A258" s="364" t="n">
        <v>511</v>
      </c>
      <c r="B258" s="364" t="n">
        <f aca="false">COUNTA(D258:FK258)</f>
        <v>28</v>
      </c>
      <c r="C258" s="364" t="s">
        <v>1355</v>
      </c>
      <c r="D258" s="364" t="s">
        <v>2352</v>
      </c>
      <c r="E258" s="364" t="s">
        <v>2353</v>
      </c>
      <c r="F258" s="364" t="s">
        <v>2657</v>
      </c>
      <c r="G258" s="364" t="s">
        <v>2674</v>
      </c>
      <c r="H258" s="364" t="s">
        <v>2318</v>
      </c>
      <c r="I258" s="364" t="s">
        <v>2320</v>
      </c>
      <c r="J258" s="364" t="s">
        <v>2375</v>
      </c>
      <c r="K258" s="364" t="s">
        <v>2451</v>
      </c>
      <c r="L258" s="364" t="s">
        <v>2378</v>
      </c>
      <c r="M258" s="364" t="s">
        <v>2328</v>
      </c>
      <c r="N258" s="364" t="s">
        <v>2521</v>
      </c>
      <c r="O258" s="261" t="s">
        <v>183</v>
      </c>
      <c r="P258" s="364" t="s">
        <v>2589</v>
      </c>
      <c r="Q258" s="364" t="s">
        <v>2385</v>
      </c>
      <c r="R258" s="364" t="s">
        <v>2480</v>
      </c>
      <c r="S258" s="364" t="s">
        <v>2460</v>
      </c>
      <c r="T258" s="364" t="s">
        <v>2337</v>
      </c>
      <c r="U258" s="364" t="s">
        <v>2340</v>
      </c>
      <c r="V258" s="364" t="s">
        <v>2341</v>
      </c>
      <c r="W258" s="364" t="s">
        <v>2462</v>
      </c>
      <c r="X258" s="364" t="s">
        <v>2344</v>
      </c>
      <c r="Y258" s="364" t="s">
        <v>2396</v>
      </c>
      <c r="Z258" s="364" t="s">
        <v>2398</v>
      </c>
      <c r="AA258" s="364" t="s">
        <v>2592</v>
      </c>
      <c r="AB258" s="364" t="s">
        <v>2445</v>
      </c>
      <c r="AC258" s="364" t="s">
        <v>2400</v>
      </c>
      <c r="AD258" s="364" t="s">
        <v>2463</v>
      </c>
      <c r="AE258" s="364" t="s">
        <v>2446</v>
      </c>
      <c r="AF258" s="364"/>
      <c r="AG258" s="364"/>
      <c r="AH258" s="364"/>
      <c r="AI258" s="364"/>
      <c r="AJ258" s="364"/>
      <c r="AK258" s="364"/>
      <c r="AL258" s="364"/>
      <c r="AM258" s="364"/>
      <c r="AN258" s="364"/>
      <c r="AO258" s="364"/>
      <c r="AP258" s="364"/>
      <c r="AQ258" s="364"/>
      <c r="AR258" s="364"/>
      <c r="AS258" s="364"/>
      <c r="AT258" s="364"/>
      <c r="AU258" s="364"/>
      <c r="AV258" s="364"/>
      <c r="AW258" s="364"/>
      <c r="AX258" s="364"/>
      <c r="AY258" s="364"/>
      <c r="AZ258" s="364"/>
      <c r="BA258" s="364"/>
      <c r="BB258" s="364"/>
      <c r="BC258" s="364"/>
      <c r="BD258" s="364"/>
      <c r="BE258" s="364"/>
      <c r="BF258" s="364"/>
      <c r="BG258" s="364"/>
      <c r="BH258" s="364"/>
      <c r="BI258" s="364"/>
      <c r="BJ258" s="364"/>
      <c r="BK258" s="364"/>
      <c r="BL258" s="364"/>
      <c r="BM258" s="364"/>
      <c r="BN258" s="364"/>
      <c r="BO258" s="364"/>
      <c r="BP258" s="364"/>
      <c r="BQ258" s="364"/>
      <c r="BR258" s="364"/>
      <c r="BS258" s="364"/>
      <c r="BT258" s="364"/>
      <c r="BU258" s="364"/>
      <c r="BV258" s="364"/>
      <c r="BW258" s="364"/>
      <c r="BX258" s="364"/>
      <c r="BY258" s="364"/>
      <c r="BZ258" s="364"/>
      <c r="CA258" s="364"/>
      <c r="CB258" s="364"/>
      <c r="CC258" s="364"/>
      <c r="CD258" s="364"/>
      <c r="CE258" s="364"/>
      <c r="CF258" s="364"/>
      <c r="CG258" s="364"/>
      <c r="CH258" s="364"/>
      <c r="CI258" s="364"/>
      <c r="CJ258" s="364"/>
      <c r="CK258" s="364"/>
      <c r="CL258" s="364"/>
      <c r="CM258" s="364"/>
      <c r="CN258" s="364"/>
      <c r="CO258" s="364"/>
      <c r="CP258" s="364"/>
      <c r="CQ258" s="364"/>
      <c r="CR258" s="364"/>
      <c r="CS258" s="364"/>
      <c r="CT258" s="364"/>
      <c r="CU258" s="364"/>
      <c r="CV258" s="364"/>
      <c r="CW258" s="364"/>
      <c r="CX258" s="364"/>
      <c r="CY258" s="364"/>
      <c r="CZ258" s="364"/>
      <c r="DA258" s="364"/>
      <c r="DB258" s="364"/>
      <c r="DC258" s="364"/>
      <c r="DD258" s="364"/>
      <c r="DE258" s="364"/>
      <c r="DF258" s="364"/>
      <c r="DG258" s="364"/>
      <c r="DH258" s="364"/>
      <c r="DI258" s="364"/>
      <c r="DJ258" s="364"/>
      <c r="DK258" s="364"/>
      <c r="DL258" s="364"/>
      <c r="DM258" s="364"/>
      <c r="DN258" s="364"/>
      <c r="DO258" s="364"/>
      <c r="DP258" s="364"/>
      <c r="DQ258" s="364"/>
      <c r="DR258" s="364"/>
      <c r="DS258" s="364"/>
      <c r="DT258" s="364"/>
      <c r="DU258" s="364"/>
      <c r="DV258" s="364"/>
      <c r="DW258" s="364"/>
      <c r="DX258" s="364"/>
      <c r="DY258" s="364"/>
      <c r="DZ258" s="364"/>
      <c r="EA258" s="364"/>
      <c r="EB258" s="364"/>
      <c r="EC258" s="364"/>
      <c r="ED258" s="364"/>
      <c r="EE258" s="364"/>
      <c r="EF258" s="364"/>
      <c r="EG258" s="364"/>
      <c r="EH258" s="364"/>
      <c r="EI258" s="364"/>
      <c r="EJ258" s="364"/>
      <c r="EK258" s="364"/>
      <c r="EL258" s="364"/>
      <c r="EM258" s="364"/>
      <c r="EN258" s="364"/>
      <c r="EO258" s="364"/>
      <c r="EP258" s="364"/>
      <c r="EQ258" s="364"/>
      <c r="ER258" s="364"/>
      <c r="ES258" s="364"/>
      <c r="ET258" s="364"/>
      <c r="EU258" s="364"/>
      <c r="EV258" s="364"/>
      <c r="EW258" s="364"/>
      <c r="EX258" s="364"/>
      <c r="EY258" s="364"/>
      <c r="EZ258" s="364"/>
      <c r="FA258" s="364"/>
      <c r="FB258" s="364"/>
      <c r="FC258" s="364"/>
      <c r="FD258" s="364"/>
      <c r="FE258" s="364"/>
      <c r="FF258" s="364"/>
      <c r="FG258" s="364"/>
      <c r="FH258" s="364"/>
      <c r="FI258" s="364"/>
      <c r="FJ258" s="364"/>
      <c r="FK258" s="364"/>
    </row>
    <row r="259" customFormat="false" ht="15.75" hidden="false" customHeight="false" outlineLevel="0" collapsed="false">
      <c r="A259" s="364" t="n">
        <v>512</v>
      </c>
      <c r="B259" s="364" t="n">
        <f aca="false">COUNTA(D259:FK259)</f>
        <v>28</v>
      </c>
      <c r="C259" s="364" t="s">
        <v>1357</v>
      </c>
      <c r="D259" s="364" t="s">
        <v>2409</v>
      </c>
      <c r="E259" s="364" t="s">
        <v>2435</v>
      </c>
      <c r="F259" s="364" t="s">
        <v>2320</v>
      </c>
      <c r="G259" s="364" t="s">
        <v>2535</v>
      </c>
      <c r="H259" s="364" t="s">
        <v>2523</v>
      </c>
      <c r="I259" s="364" t="s">
        <v>2324</v>
      </c>
      <c r="J259" s="364" t="s">
        <v>2328</v>
      </c>
      <c r="K259" s="364" t="s">
        <v>2329</v>
      </c>
      <c r="L259" s="364" t="s">
        <v>2417</v>
      </c>
      <c r="M259" s="364" t="s">
        <v>2438</v>
      </c>
      <c r="N259" s="364" t="s">
        <v>2385</v>
      </c>
      <c r="O259" s="364" t="s">
        <v>157</v>
      </c>
      <c r="P259" s="364" t="s">
        <v>2455</v>
      </c>
      <c r="Q259" s="364" t="s">
        <v>2337</v>
      </c>
      <c r="R259" s="364" t="s">
        <v>2469</v>
      </c>
      <c r="S259" s="364" t="s">
        <v>2389</v>
      </c>
      <c r="T259" s="364" t="s">
        <v>2340</v>
      </c>
      <c r="U259" s="364" t="s">
        <v>2341</v>
      </c>
      <c r="V259" s="364" t="s">
        <v>2442</v>
      </c>
      <c r="W259" s="364" t="s">
        <v>2639</v>
      </c>
      <c r="X259" s="364" t="s">
        <v>2470</v>
      </c>
      <c r="Y259" s="364" t="s">
        <v>2443</v>
      </c>
      <c r="Z259" s="364" t="s">
        <v>2472</v>
      </c>
      <c r="AA259" s="364" t="s">
        <v>2344</v>
      </c>
      <c r="AB259" s="364" t="s">
        <v>2473</v>
      </c>
      <c r="AC259" s="364" t="s">
        <v>2445</v>
      </c>
      <c r="AD259" s="364" t="s">
        <v>2463</v>
      </c>
      <c r="AE259" s="364" t="s">
        <v>2428</v>
      </c>
      <c r="AF259" s="364"/>
      <c r="AG259" s="364"/>
      <c r="AH259" s="364"/>
      <c r="AI259" s="364"/>
      <c r="AJ259" s="364"/>
      <c r="AK259" s="364"/>
      <c r="AL259" s="364"/>
      <c r="AM259" s="364"/>
      <c r="AN259" s="364"/>
      <c r="AO259" s="364"/>
      <c r="AP259" s="364"/>
      <c r="AQ259" s="364"/>
      <c r="AR259" s="364"/>
      <c r="AS259" s="364"/>
      <c r="AT259" s="364"/>
      <c r="AU259" s="364"/>
      <c r="AV259" s="364"/>
      <c r="AW259" s="364"/>
      <c r="AX259" s="364"/>
      <c r="AY259" s="364"/>
      <c r="AZ259" s="364"/>
      <c r="BA259" s="364"/>
      <c r="BB259" s="364"/>
      <c r="BC259" s="364"/>
      <c r="BD259" s="364"/>
      <c r="BE259" s="364"/>
      <c r="BF259" s="364"/>
      <c r="BG259" s="364"/>
      <c r="BH259" s="364"/>
      <c r="BI259" s="364"/>
      <c r="BJ259" s="364"/>
      <c r="BK259" s="364"/>
      <c r="BL259" s="364"/>
      <c r="BM259" s="364"/>
      <c r="BN259" s="364"/>
      <c r="BO259" s="364"/>
      <c r="BP259" s="364"/>
      <c r="BQ259" s="364"/>
      <c r="BR259" s="364"/>
      <c r="BS259" s="364"/>
      <c r="BT259" s="364"/>
      <c r="BU259" s="364"/>
      <c r="BV259" s="364"/>
      <c r="BW259" s="364"/>
      <c r="BX259" s="364"/>
      <c r="BY259" s="364"/>
      <c r="BZ259" s="364"/>
      <c r="CA259" s="364"/>
      <c r="CB259" s="364"/>
      <c r="CC259" s="364"/>
      <c r="CD259" s="364"/>
      <c r="CE259" s="364"/>
      <c r="CF259" s="364"/>
      <c r="CG259" s="364"/>
      <c r="CH259" s="364"/>
      <c r="CI259" s="364"/>
      <c r="CJ259" s="364"/>
      <c r="CK259" s="364"/>
      <c r="CL259" s="364"/>
      <c r="CM259" s="364"/>
      <c r="CN259" s="364"/>
      <c r="CO259" s="364"/>
      <c r="CP259" s="364"/>
      <c r="CQ259" s="364"/>
      <c r="CR259" s="364"/>
      <c r="CS259" s="364"/>
      <c r="CT259" s="364"/>
      <c r="CU259" s="364"/>
      <c r="CV259" s="364"/>
      <c r="CW259" s="364"/>
      <c r="CX259" s="364"/>
      <c r="CY259" s="364"/>
      <c r="CZ259" s="364"/>
      <c r="DA259" s="364"/>
      <c r="DB259" s="364"/>
      <c r="DC259" s="364"/>
      <c r="DD259" s="364"/>
      <c r="DE259" s="364"/>
      <c r="DF259" s="364"/>
      <c r="DG259" s="364"/>
      <c r="DH259" s="364"/>
      <c r="DI259" s="364"/>
      <c r="DJ259" s="364"/>
      <c r="DK259" s="364"/>
      <c r="DL259" s="364"/>
      <c r="DM259" s="364"/>
      <c r="DN259" s="364"/>
      <c r="DO259" s="364"/>
      <c r="DP259" s="364"/>
      <c r="DQ259" s="364"/>
      <c r="DR259" s="364"/>
      <c r="DS259" s="364"/>
      <c r="DT259" s="364"/>
      <c r="DU259" s="364"/>
      <c r="DV259" s="364"/>
      <c r="DW259" s="364"/>
      <c r="DX259" s="364"/>
      <c r="DY259" s="364"/>
      <c r="DZ259" s="364"/>
      <c r="EA259" s="364"/>
      <c r="EB259" s="364"/>
      <c r="EC259" s="364"/>
      <c r="ED259" s="364"/>
      <c r="EE259" s="364"/>
      <c r="EF259" s="364"/>
      <c r="EG259" s="364"/>
      <c r="EH259" s="364"/>
      <c r="EI259" s="364"/>
      <c r="EJ259" s="364"/>
      <c r="EK259" s="364"/>
      <c r="EL259" s="364"/>
      <c r="EM259" s="364"/>
      <c r="EN259" s="364"/>
      <c r="EO259" s="364"/>
      <c r="EP259" s="364"/>
      <c r="EQ259" s="364"/>
      <c r="ER259" s="364"/>
      <c r="ES259" s="364"/>
      <c r="ET259" s="364"/>
      <c r="EU259" s="364"/>
      <c r="EV259" s="364"/>
      <c r="EW259" s="364"/>
      <c r="EX259" s="364"/>
      <c r="EY259" s="364"/>
      <c r="EZ259" s="364"/>
      <c r="FA259" s="364"/>
      <c r="FB259" s="364"/>
      <c r="FC259" s="364"/>
      <c r="FD259" s="364"/>
      <c r="FE259" s="364"/>
      <c r="FF259" s="364"/>
      <c r="FG259" s="364"/>
      <c r="FH259" s="364"/>
      <c r="FI259" s="364"/>
      <c r="FJ259" s="364"/>
      <c r="FK259" s="364"/>
    </row>
    <row r="260" customFormat="false" ht="15.75" hidden="false" customHeight="false" outlineLevel="0" collapsed="false">
      <c r="A260" s="364" t="n">
        <v>515</v>
      </c>
      <c r="B260" s="364" t="n">
        <f aca="false">COUNTA(D260:FK260)</f>
        <v>53</v>
      </c>
      <c r="C260" s="364" t="s">
        <v>1363</v>
      </c>
      <c r="D260" s="364" t="s">
        <v>2352</v>
      </c>
      <c r="E260" s="364" t="s">
        <v>2402</v>
      </c>
      <c r="F260" s="364" t="s">
        <v>2356</v>
      </c>
      <c r="G260" s="364" t="s">
        <v>2357</v>
      </c>
      <c r="H260" s="364" t="s">
        <v>2313</v>
      </c>
      <c r="I260" s="364" t="s">
        <v>2466</v>
      </c>
      <c r="J260" s="364" t="s">
        <v>2315</v>
      </c>
      <c r="K260" s="364" t="s">
        <v>2358</v>
      </c>
      <c r="L260" s="364" t="s">
        <v>2601</v>
      </c>
      <c r="M260" s="364" t="s">
        <v>2360</v>
      </c>
      <c r="N260" s="364" t="s">
        <v>2361</v>
      </c>
      <c r="O260" s="364" t="s">
        <v>2362</v>
      </c>
      <c r="P260" s="364" t="s">
        <v>2634</v>
      </c>
      <c r="Q260" s="364" t="s">
        <v>2363</v>
      </c>
      <c r="R260" s="364" t="s">
        <v>2543</v>
      </c>
      <c r="S260" s="364" t="s">
        <v>2497</v>
      </c>
      <c r="T260" s="364" t="s">
        <v>2317</v>
      </c>
      <c r="U260" s="364" t="s">
        <v>2320</v>
      </c>
      <c r="V260" s="364" t="s">
        <v>2449</v>
      </c>
      <c r="W260" s="364" t="s">
        <v>2366</v>
      </c>
      <c r="X260" s="364" t="s">
        <v>2367</v>
      </c>
      <c r="Y260" s="364" t="s">
        <v>2373</v>
      </c>
      <c r="Z260" s="364" t="s">
        <v>2322</v>
      </c>
      <c r="AA260" s="364" t="s">
        <v>2324</v>
      </c>
      <c r="AB260" s="364" t="s">
        <v>2327</v>
      </c>
      <c r="AC260" s="364" t="s">
        <v>2328</v>
      </c>
      <c r="AD260" s="364" t="s">
        <v>2329</v>
      </c>
      <c r="AE260" s="364" t="s">
        <v>2379</v>
      </c>
      <c r="AF260" s="364" t="s">
        <v>2506</v>
      </c>
      <c r="AG260" s="364" t="s">
        <v>2381</v>
      </c>
      <c r="AH260" s="261" t="s">
        <v>183</v>
      </c>
      <c r="AI260" s="364" t="s">
        <v>2332</v>
      </c>
      <c r="AJ260" s="364" t="s">
        <v>2454</v>
      </c>
      <c r="AK260" s="364" t="s">
        <v>2337</v>
      </c>
      <c r="AL260" s="364" t="s">
        <v>2338</v>
      </c>
      <c r="AM260" s="364" t="s">
        <v>2388</v>
      </c>
      <c r="AN260" s="364" t="s">
        <v>2339</v>
      </c>
      <c r="AO260" s="364" t="s">
        <v>2389</v>
      </c>
      <c r="AP260" s="364" t="s">
        <v>2340</v>
      </c>
      <c r="AQ260" s="364" t="s">
        <v>2499</v>
      </c>
      <c r="AR260" s="364" t="s">
        <v>2341</v>
      </c>
      <c r="AS260" s="364" t="s">
        <v>2392</v>
      </c>
      <c r="AT260" s="364" t="s">
        <v>2395</v>
      </c>
      <c r="AU260" s="364" t="s">
        <v>2344</v>
      </c>
      <c r="AV260" s="364" t="s">
        <v>2346</v>
      </c>
      <c r="AW260" s="364" t="s">
        <v>2500</v>
      </c>
      <c r="AX260" s="364" t="s">
        <v>2347</v>
      </c>
      <c r="AY260" s="364" t="s">
        <v>2424</v>
      </c>
      <c r="AZ260" s="364" t="s">
        <v>2398</v>
      </c>
      <c r="BA260" s="364" t="s">
        <v>2348</v>
      </c>
      <c r="BB260" s="364" t="s">
        <v>2349</v>
      </c>
      <c r="BC260" s="364" t="s">
        <v>2400</v>
      </c>
      <c r="BD260" s="364" t="s">
        <v>2429</v>
      </c>
      <c r="BE260" s="364"/>
      <c r="BF260" s="364"/>
      <c r="BG260" s="364"/>
      <c r="BH260" s="364"/>
      <c r="BI260" s="364"/>
      <c r="BJ260" s="364"/>
      <c r="BK260" s="364"/>
      <c r="BL260" s="364"/>
      <c r="BM260" s="364"/>
      <c r="BN260" s="364"/>
      <c r="BO260" s="364"/>
      <c r="BP260" s="364"/>
      <c r="BQ260" s="364"/>
      <c r="BR260" s="364"/>
      <c r="BS260" s="364"/>
      <c r="BT260" s="364"/>
      <c r="BU260" s="364"/>
      <c r="BV260" s="364"/>
      <c r="BW260" s="364"/>
      <c r="BX260" s="364"/>
      <c r="BY260" s="364"/>
      <c r="BZ260" s="364"/>
      <c r="CA260" s="364"/>
      <c r="CB260" s="364"/>
      <c r="CC260" s="364"/>
      <c r="CD260" s="364"/>
      <c r="CE260" s="364"/>
      <c r="CF260" s="364"/>
      <c r="CG260" s="364"/>
      <c r="CH260" s="364"/>
      <c r="CI260" s="364"/>
      <c r="CJ260" s="364"/>
      <c r="CK260" s="364"/>
      <c r="CL260" s="364"/>
      <c r="CM260" s="364"/>
      <c r="CN260" s="364"/>
      <c r="CO260" s="364"/>
      <c r="CP260" s="364"/>
      <c r="CQ260" s="364"/>
      <c r="CR260" s="364"/>
      <c r="CS260" s="364"/>
      <c r="CT260" s="364"/>
      <c r="CU260" s="364"/>
      <c r="CV260" s="364"/>
      <c r="CW260" s="364"/>
      <c r="CX260" s="364"/>
      <c r="CY260" s="364"/>
      <c r="CZ260" s="364"/>
      <c r="DA260" s="364"/>
      <c r="DB260" s="364"/>
      <c r="DC260" s="364"/>
      <c r="DD260" s="364"/>
      <c r="DE260" s="364"/>
      <c r="DF260" s="364"/>
      <c r="DG260" s="364"/>
      <c r="DH260" s="364"/>
      <c r="DI260" s="364"/>
      <c r="DJ260" s="364"/>
      <c r="DK260" s="364"/>
      <c r="DL260" s="364"/>
      <c r="DM260" s="364"/>
      <c r="DN260" s="364"/>
      <c r="DO260" s="364"/>
      <c r="DP260" s="364"/>
      <c r="DQ260" s="364"/>
      <c r="DR260" s="364"/>
      <c r="DS260" s="364"/>
      <c r="DT260" s="364"/>
      <c r="DU260" s="364"/>
      <c r="DV260" s="364"/>
      <c r="DW260" s="364"/>
      <c r="DX260" s="364"/>
      <c r="DY260" s="364"/>
      <c r="DZ260" s="364"/>
      <c r="EA260" s="364"/>
      <c r="EB260" s="364"/>
      <c r="EC260" s="364"/>
      <c r="ED260" s="364"/>
      <c r="EE260" s="364"/>
      <c r="EF260" s="364"/>
      <c r="EG260" s="364"/>
      <c r="EH260" s="364"/>
      <c r="EI260" s="364"/>
      <c r="EJ260" s="364"/>
      <c r="EK260" s="364"/>
      <c r="EL260" s="364"/>
      <c r="EM260" s="364"/>
      <c r="EN260" s="364"/>
      <c r="EO260" s="364"/>
      <c r="EP260" s="364"/>
      <c r="EQ260" s="364"/>
      <c r="ER260" s="364"/>
      <c r="ES260" s="364"/>
      <c r="ET260" s="364"/>
      <c r="EU260" s="364"/>
      <c r="EV260" s="364"/>
      <c r="EW260" s="364"/>
      <c r="EX260" s="364"/>
      <c r="EY260" s="364"/>
      <c r="EZ260" s="364"/>
      <c r="FA260" s="364"/>
      <c r="FB260" s="364"/>
      <c r="FC260" s="364"/>
      <c r="FD260" s="364"/>
      <c r="FE260" s="364"/>
      <c r="FF260" s="364"/>
      <c r="FG260" s="364"/>
      <c r="FH260" s="364"/>
      <c r="FI260" s="364"/>
      <c r="FJ260" s="364"/>
      <c r="FK260" s="364"/>
    </row>
    <row r="261" customFormat="false" ht="15.75" hidden="false" customHeight="false" outlineLevel="0" collapsed="false">
      <c r="A261" s="364" t="n">
        <v>519</v>
      </c>
      <c r="B261" s="364" t="n">
        <f aca="false">COUNTA(D261:FK261)</f>
        <v>61</v>
      </c>
      <c r="C261" s="364" t="s">
        <v>1371</v>
      </c>
      <c r="D261" s="364" t="s">
        <v>2635</v>
      </c>
      <c r="E261" s="364" t="s">
        <v>2404</v>
      </c>
      <c r="F261" s="364" t="s">
        <v>2608</v>
      </c>
      <c r="G261" s="364" t="s">
        <v>2605</v>
      </c>
      <c r="H261" s="364" t="s">
        <v>2356</v>
      </c>
      <c r="I261" s="364" t="s">
        <v>2313</v>
      </c>
      <c r="J261" s="364" t="s">
        <v>2552</v>
      </c>
      <c r="K261" s="364" t="s">
        <v>2549</v>
      </c>
      <c r="L261" s="364" t="s">
        <v>2541</v>
      </c>
      <c r="M261" s="364" t="s">
        <v>138</v>
      </c>
      <c r="N261" s="364" t="s">
        <v>2542</v>
      </c>
      <c r="O261" s="364" t="s">
        <v>2466</v>
      </c>
      <c r="P261" s="364" t="s">
        <v>2409</v>
      </c>
      <c r="Q261" s="364" t="s">
        <v>2358</v>
      </c>
      <c r="R261" s="364" t="s">
        <v>2361</v>
      </c>
      <c r="S261" s="364" t="s">
        <v>2520</v>
      </c>
      <c r="T261" s="364" t="s">
        <v>2543</v>
      </c>
      <c r="U261" s="364" t="s">
        <v>2317</v>
      </c>
      <c r="V261" s="364" t="s">
        <v>2547</v>
      </c>
      <c r="W261" s="364" t="s">
        <v>2320</v>
      </c>
      <c r="X261" s="364" t="s">
        <v>2534</v>
      </c>
      <c r="Y261" s="364" t="s">
        <v>2411</v>
      </c>
      <c r="Z261" s="364" t="s">
        <v>2376</v>
      </c>
      <c r="AA261" s="364" t="s">
        <v>2377</v>
      </c>
      <c r="AB261" s="364" t="s">
        <v>2655</v>
      </c>
      <c r="AC261" s="364" t="s">
        <v>2322</v>
      </c>
      <c r="AD261" s="364" t="s">
        <v>2324</v>
      </c>
      <c r="AE261" s="364" t="s">
        <v>2327</v>
      </c>
      <c r="AF261" s="364" t="s">
        <v>2328</v>
      </c>
      <c r="AG261" s="364" t="s">
        <v>2609</v>
      </c>
      <c r="AH261" s="364" t="s">
        <v>2329</v>
      </c>
      <c r="AI261" s="364" t="s">
        <v>2416</v>
      </c>
      <c r="AJ261" s="364" t="s">
        <v>2381</v>
      </c>
      <c r="AK261" s="364" t="s">
        <v>2539</v>
      </c>
      <c r="AL261" s="364" t="s">
        <v>2540</v>
      </c>
      <c r="AM261" s="364" t="s">
        <v>2384</v>
      </c>
      <c r="AN261" s="261" t="s">
        <v>183</v>
      </c>
      <c r="AO261" s="364" t="s">
        <v>2452</v>
      </c>
      <c r="AP261" s="364" t="s">
        <v>2454</v>
      </c>
      <c r="AQ261" s="364" t="s">
        <v>2387</v>
      </c>
      <c r="AR261" s="364" t="s">
        <v>157</v>
      </c>
      <c r="AS261" s="364" t="s">
        <v>2461</v>
      </c>
      <c r="AT261" s="364" t="s">
        <v>2337</v>
      </c>
      <c r="AU261" s="364" t="s">
        <v>2469</v>
      </c>
      <c r="AV261" s="364" t="s">
        <v>2338</v>
      </c>
      <c r="AW261" s="364" t="s">
        <v>2388</v>
      </c>
      <c r="AX261" s="364" t="s">
        <v>2339</v>
      </c>
      <c r="AY261" s="364" t="s">
        <v>2389</v>
      </c>
      <c r="AZ261" s="364" t="s">
        <v>2340</v>
      </c>
      <c r="BA261" s="364" t="s">
        <v>2341</v>
      </c>
      <c r="BB261" s="364" t="s">
        <v>2442</v>
      </c>
      <c r="BC261" s="364" t="s">
        <v>2392</v>
      </c>
      <c r="BD261" s="364" t="s">
        <v>2613</v>
      </c>
      <c r="BE261" s="364" t="s">
        <v>2344</v>
      </c>
      <c r="BF261" s="364" t="s">
        <v>2500</v>
      </c>
      <c r="BG261" s="364" t="s">
        <v>2347</v>
      </c>
      <c r="BH261" s="364" t="s">
        <v>2398</v>
      </c>
      <c r="BI261" s="364" t="s">
        <v>2399</v>
      </c>
      <c r="BJ261" s="364" t="s">
        <v>2546</v>
      </c>
      <c r="BK261" s="364" t="s">
        <v>2428</v>
      </c>
      <c r="BL261" s="364" t="s">
        <v>2430</v>
      </c>
      <c r="BM261" s="364"/>
      <c r="BN261" s="364"/>
      <c r="BO261" s="364"/>
      <c r="BP261" s="364"/>
      <c r="BQ261" s="364"/>
      <c r="BR261" s="364"/>
      <c r="BS261" s="364"/>
      <c r="BT261" s="364"/>
      <c r="BU261" s="364"/>
      <c r="BV261" s="364"/>
      <c r="BW261" s="364"/>
      <c r="BX261" s="364"/>
      <c r="BY261" s="364"/>
      <c r="BZ261" s="364"/>
      <c r="CA261" s="364"/>
      <c r="CB261" s="364"/>
      <c r="CC261" s="364"/>
      <c r="CD261" s="364"/>
      <c r="CE261" s="364"/>
      <c r="CF261" s="364"/>
      <c r="CG261" s="364"/>
      <c r="CH261" s="364"/>
      <c r="CI261" s="364"/>
      <c r="CJ261" s="364"/>
      <c r="CK261" s="364"/>
      <c r="CL261" s="364"/>
      <c r="CM261" s="364"/>
      <c r="CN261" s="364"/>
      <c r="CO261" s="364"/>
      <c r="CP261" s="364"/>
      <c r="CQ261" s="364"/>
      <c r="CR261" s="364"/>
      <c r="CS261" s="364"/>
      <c r="CT261" s="364"/>
      <c r="CU261" s="364"/>
      <c r="CV261" s="364"/>
      <c r="CW261" s="364"/>
      <c r="CX261" s="364"/>
      <c r="CY261" s="364"/>
      <c r="CZ261" s="364"/>
      <c r="DA261" s="364"/>
      <c r="DB261" s="364"/>
      <c r="DC261" s="364"/>
      <c r="DD261" s="364"/>
      <c r="DE261" s="364"/>
      <c r="DF261" s="364"/>
      <c r="DG261" s="364"/>
      <c r="DH261" s="364"/>
      <c r="DI261" s="364"/>
      <c r="DJ261" s="364"/>
      <c r="DK261" s="364"/>
      <c r="DL261" s="364"/>
      <c r="DM261" s="364"/>
      <c r="DN261" s="364"/>
      <c r="DO261" s="364"/>
      <c r="DP261" s="364"/>
      <c r="DQ261" s="364"/>
      <c r="DR261" s="364"/>
      <c r="DS261" s="364"/>
      <c r="DT261" s="364"/>
      <c r="DU261" s="364"/>
      <c r="DV261" s="364"/>
      <c r="DW261" s="364"/>
      <c r="DX261" s="364"/>
      <c r="DY261" s="364"/>
      <c r="DZ261" s="364"/>
      <c r="EA261" s="364"/>
      <c r="EB261" s="364"/>
      <c r="EC261" s="364"/>
      <c r="ED261" s="364"/>
      <c r="EE261" s="364"/>
      <c r="EF261" s="364"/>
      <c r="EG261" s="364"/>
      <c r="EH261" s="364"/>
      <c r="EI261" s="364"/>
      <c r="EJ261" s="364"/>
      <c r="EK261" s="364"/>
      <c r="EL261" s="364"/>
      <c r="EM261" s="364"/>
      <c r="EN261" s="364"/>
      <c r="EO261" s="364"/>
      <c r="EP261" s="364"/>
      <c r="EQ261" s="364"/>
      <c r="ER261" s="364"/>
      <c r="ES261" s="364"/>
      <c r="ET261" s="364"/>
      <c r="EU261" s="364"/>
      <c r="EV261" s="364"/>
      <c r="EW261" s="364"/>
      <c r="EX261" s="364"/>
      <c r="EY261" s="364"/>
      <c r="EZ261" s="364"/>
      <c r="FA261" s="364"/>
      <c r="FB261" s="364"/>
      <c r="FC261" s="364"/>
      <c r="FD261" s="364"/>
      <c r="FE261" s="364"/>
      <c r="FF261" s="364"/>
      <c r="FG261" s="364"/>
      <c r="FH261" s="364"/>
      <c r="FI261" s="364"/>
      <c r="FJ261" s="364"/>
      <c r="FK261" s="364"/>
    </row>
    <row r="262" customFormat="false" ht="15.75" hidden="false" customHeight="false" outlineLevel="0" collapsed="false">
      <c r="A262" s="364" t="n">
        <v>522</v>
      </c>
      <c r="B262" s="364" t="n">
        <f aca="false">COUNTA(D262:FK262)</f>
        <v>34</v>
      </c>
      <c r="C262" s="364" t="s">
        <v>1378</v>
      </c>
      <c r="D262" s="364" t="s">
        <v>2404</v>
      </c>
      <c r="E262" s="364" t="s">
        <v>2313</v>
      </c>
      <c r="F262" s="364" t="s">
        <v>2466</v>
      </c>
      <c r="G262" s="364" t="s">
        <v>2358</v>
      </c>
      <c r="H262" s="364" t="s">
        <v>2316</v>
      </c>
      <c r="I262" s="364" t="s">
        <v>2497</v>
      </c>
      <c r="J262" s="364" t="s">
        <v>2317</v>
      </c>
      <c r="K262" s="364" t="s">
        <v>2320</v>
      </c>
      <c r="L262" s="364" t="s">
        <v>2367</v>
      </c>
      <c r="M262" s="364" t="s">
        <v>2324</v>
      </c>
      <c r="N262" s="364" t="s">
        <v>2327</v>
      </c>
      <c r="O262" s="364" t="s">
        <v>2328</v>
      </c>
      <c r="P262" s="364" t="s">
        <v>2329</v>
      </c>
      <c r="Q262" s="364" t="s">
        <v>2485</v>
      </c>
      <c r="R262" s="364" t="s">
        <v>2506</v>
      </c>
      <c r="S262" s="364" t="s">
        <v>2381</v>
      </c>
      <c r="T262" s="261" t="s">
        <v>183</v>
      </c>
      <c r="U262" s="364" t="s">
        <v>2337</v>
      </c>
      <c r="V262" s="364" t="s">
        <v>2388</v>
      </c>
      <c r="W262" s="364" t="s">
        <v>2339</v>
      </c>
      <c r="X262" s="364" t="s">
        <v>2389</v>
      </c>
      <c r="Y262" s="364" t="s">
        <v>2340</v>
      </c>
      <c r="Z262" s="364" t="s">
        <v>2499</v>
      </c>
      <c r="AA262" s="364" t="s">
        <v>2341</v>
      </c>
      <c r="AB262" s="364" t="s">
        <v>2344</v>
      </c>
      <c r="AC262" s="364" t="s">
        <v>2346</v>
      </c>
      <c r="AD262" s="364" t="s">
        <v>2500</v>
      </c>
      <c r="AE262" s="364" t="s">
        <v>2347</v>
      </c>
      <c r="AF262" s="364" t="s">
        <v>2511</v>
      </c>
      <c r="AG262" s="364" t="s">
        <v>2348</v>
      </c>
      <c r="AH262" s="364" t="s">
        <v>2349</v>
      </c>
      <c r="AI262" s="364" t="s">
        <v>2488</v>
      </c>
      <c r="AJ262" s="364" t="s">
        <v>2428</v>
      </c>
      <c r="AK262" s="364" t="s">
        <v>2572</v>
      </c>
      <c r="AL262" s="364"/>
      <c r="AM262" s="364"/>
      <c r="AN262" s="364"/>
      <c r="AO262" s="364"/>
      <c r="AP262" s="364"/>
      <c r="AQ262" s="364"/>
      <c r="AR262" s="364"/>
      <c r="AS262" s="364"/>
      <c r="AT262" s="364"/>
      <c r="AU262" s="364"/>
      <c r="AV262" s="364"/>
      <c r="AW262" s="364"/>
      <c r="AX262" s="364"/>
      <c r="AY262" s="364"/>
      <c r="AZ262" s="364"/>
      <c r="BA262" s="364"/>
      <c r="BB262" s="364"/>
      <c r="BC262" s="364"/>
      <c r="BD262" s="364"/>
      <c r="BE262" s="364"/>
      <c r="BF262" s="364"/>
      <c r="BG262" s="364"/>
      <c r="BH262" s="364"/>
      <c r="BI262" s="364"/>
      <c r="BJ262" s="364"/>
      <c r="BK262" s="364"/>
      <c r="BL262" s="364"/>
      <c r="BM262" s="364"/>
      <c r="BN262" s="364"/>
      <c r="BO262" s="364"/>
      <c r="BP262" s="364"/>
      <c r="BQ262" s="364"/>
      <c r="BR262" s="364"/>
      <c r="BS262" s="364"/>
      <c r="BT262" s="364"/>
      <c r="BU262" s="364"/>
      <c r="BV262" s="364"/>
      <c r="BW262" s="364"/>
      <c r="BX262" s="364"/>
      <c r="BY262" s="364"/>
      <c r="BZ262" s="364"/>
      <c r="CA262" s="364"/>
      <c r="CB262" s="364"/>
      <c r="CC262" s="364"/>
      <c r="CD262" s="364"/>
      <c r="CE262" s="364"/>
      <c r="CF262" s="364"/>
      <c r="CG262" s="364"/>
      <c r="CH262" s="364"/>
      <c r="CI262" s="364"/>
      <c r="CJ262" s="364"/>
      <c r="CK262" s="364"/>
      <c r="CL262" s="364"/>
      <c r="CM262" s="364"/>
      <c r="CN262" s="364"/>
      <c r="CO262" s="364"/>
      <c r="CP262" s="364"/>
      <c r="CQ262" s="364"/>
      <c r="CR262" s="364"/>
      <c r="CS262" s="364"/>
      <c r="CT262" s="364"/>
      <c r="CU262" s="364"/>
      <c r="CV262" s="364"/>
      <c r="CW262" s="364"/>
      <c r="CX262" s="364"/>
      <c r="CY262" s="364"/>
      <c r="CZ262" s="364"/>
      <c r="DA262" s="364"/>
      <c r="DB262" s="364"/>
      <c r="DC262" s="364"/>
      <c r="DD262" s="364"/>
      <c r="DE262" s="364"/>
      <c r="DF262" s="364"/>
      <c r="DG262" s="364"/>
      <c r="DH262" s="364"/>
      <c r="DI262" s="364"/>
      <c r="DJ262" s="364"/>
      <c r="DK262" s="364"/>
      <c r="DL262" s="364"/>
      <c r="DM262" s="364"/>
      <c r="DN262" s="364"/>
      <c r="DO262" s="364"/>
      <c r="DP262" s="364"/>
      <c r="DQ262" s="364"/>
      <c r="DR262" s="364"/>
      <c r="DS262" s="364"/>
      <c r="DT262" s="364"/>
      <c r="DU262" s="364"/>
      <c r="DV262" s="364"/>
      <c r="DW262" s="364"/>
      <c r="DX262" s="364"/>
      <c r="DY262" s="364"/>
      <c r="DZ262" s="364"/>
      <c r="EA262" s="364"/>
      <c r="EB262" s="364"/>
      <c r="EC262" s="364"/>
      <c r="ED262" s="364"/>
      <c r="EE262" s="364"/>
      <c r="EF262" s="364"/>
      <c r="EG262" s="364"/>
      <c r="EH262" s="364"/>
      <c r="EI262" s="364"/>
      <c r="EJ262" s="364"/>
      <c r="EK262" s="364"/>
      <c r="EL262" s="364"/>
      <c r="EM262" s="364"/>
      <c r="EN262" s="364"/>
      <c r="EO262" s="364"/>
      <c r="EP262" s="364"/>
      <c r="EQ262" s="364"/>
      <c r="ER262" s="364"/>
      <c r="ES262" s="364"/>
      <c r="ET262" s="364"/>
      <c r="EU262" s="364"/>
      <c r="EV262" s="364"/>
      <c r="EW262" s="364"/>
      <c r="EX262" s="364"/>
      <c r="EY262" s="364"/>
      <c r="EZ262" s="364"/>
      <c r="FA262" s="364"/>
      <c r="FB262" s="364"/>
      <c r="FC262" s="364"/>
      <c r="FD262" s="364"/>
      <c r="FE262" s="364"/>
      <c r="FF262" s="364"/>
      <c r="FG262" s="364"/>
      <c r="FH262" s="364"/>
      <c r="FI262" s="364"/>
      <c r="FJ262" s="364"/>
      <c r="FK262" s="364"/>
    </row>
    <row r="263" customFormat="false" ht="15.75" hidden="false" customHeight="false" outlineLevel="0" collapsed="false">
      <c r="A263" s="364" t="n">
        <v>524</v>
      </c>
      <c r="B263" s="364" t="n">
        <f aca="false">COUNTA(D263:FK263)</f>
        <v>54</v>
      </c>
      <c r="C263" s="364" t="s">
        <v>1382</v>
      </c>
      <c r="D263" s="364" t="s">
        <v>2352</v>
      </c>
      <c r="E263" s="364" t="s">
        <v>2402</v>
      </c>
      <c r="F263" s="364" t="s">
        <v>2404</v>
      </c>
      <c r="G263" s="364" t="s">
        <v>2356</v>
      </c>
      <c r="H263" s="364" t="s">
        <v>2357</v>
      </c>
      <c r="I263" s="364" t="s">
        <v>2432</v>
      </c>
      <c r="J263" s="364" t="s">
        <v>2313</v>
      </c>
      <c r="K263" s="364" t="s">
        <v>2530</v>
      </c>
      <c r="L263" s="364" t="s">
        <v>2466</v>
      </c>
      <c r="M263" s="364" t="s">
        <v>2315</v>
      </c>
      <c r="N263" s="364" t="s">
        <v>2409</v>
      </c>
      <c r="O263" s="364" t="s">
        <v>2358</v>
      </c>
      <c r="P263" s="364" t="s">
        <v>2317</v>
      </c>
      <c r="Q263" s="364" t="s">
        <v>2320</v>
      </c>
      <c r="R263" s="364" t="s">
        <v>2449</v>
      </c>
      <c r="S263" s="364" t="s">
        <v>2450</v>
      </c>
      <c r="T263" s="364" t="s">
        <v>2367</v>
      </c>
      <c r="U263" s="364" t="s">
        <v>2322</v>
      </c>
      <c r="V263" s="364" t="s">
        <v>2324</v>
      </c>
      <c r="W263" s="364" t="s">
        <v>2327</v>
      </c>
      <c r="X263" s="364" t="s">
        <v>2328</v>
      </c>
      <c r="Y263" s="364" t="s">
        <v>2329</v>
      </c>
      <c r="Z263" s="364" t="s">
        <v>2485</v>
      </c>
      <c r="AA263" s="364" t="s">
        <v>2438</v>
      </c>
      <c r="AB263" s="364" t="s">
        <v>2381</v>
      </c>
      <c r="AC263" s="364" t="s">
        <v>2330</v>
      </c>
      <c r="AD263" s="261" t="s">
        <v>183</v>
      </c>
      <c r="AE263" s="364" t="s">
        <v>2531</v>
      </c>
      <c r="AF263" s="364" t="s">
        <v>2452</v>
      </c>
      <c r="AG263" s="364" t="s">
        <v>2453</v>
      </c>
      <c r="AH263" s="364" t="s">
        <v>2529</v>
      </c>
      <c r="AI263" s="364" t="s">
        <v>2454</v>
      </c>
      <c r="AJ263" s="364" t="s">
        <v>2487</v>
      </c>
      <c r="AK263" s="364" t="s">
        <v>2455</v>
      </c>
      <c r="AL263" s="364" t="s">
        <v>2337</v>
      </c>
      <c r="AM263" s="364" t="s">
        <v>2469</v>
      </c>
      <c r="AN263" s="364" t="s">
        <v>2338</v>
      </c>
      <c r="AO263" s="364" t="s">
        <v>2388</v>
      </c>
      <c r="AP263" s="364" t="s">
        <v>2339</v>
      </c>
      <c r="AQ263" s="364" t="s">
        <v>2389</v>
      </c>
      <c r="AR263" s="364" t="s">
        <v>2340</v>
      </c>
      <c r="AS263" s="364" t="s">
        <v>2341</v>
      </c>
      <c r="AT263" s="364" t="s">
        <v>2442</v>
      </c>
      <c r="AU263" s="364" t="s">
        <v>2343</v>
      </c>
      <c r="AV263" s="364" t="s">
        <v>2472</v>
      </c>
      <c r="AW263" s="364" t="s">
        <v>2344</v>
      </c>
      <c r="AX263" s="364" t="s">
        <v>2346</v>
      </c>
      <c r="AY263" s="364" t="s">
        <v>2347</v>
      </c>
      <c r="AZ263" s="364" t="s">
        <v>2444</v>
      </c>
      <c r="BA263" s="364" t="s">
        <v>2445</v>
      </c>
      <c r="BB263" s="364" t="s">
        <v>2456</v>
      </c>
      <c r="BC263" s="364" t="s">
        <v>2488</v>
      </c>
      <c r="BD263" s="364" t="s">
        <v>2350</v>
      </c>
      <c r="BE263" s="364" t="s">
        <v>2458</v>
      </c>
      <c r="BF263" s="364"/>
      <c r="BG263" s="364"/>
      <c r="BH263" s="364"/>
      <c r="BI263" s="364"/>
      <c r="BJ263" s="364"/>
      <c r="BK263" s="364"/>
      <c r="BL263" s="364"/>
      <c r="BM263" s="364"/>
      <c r="BN263" s="364"/>
      <c r="BO263" s="364"/>
      <c r="BP263" s="364"/>
      <c r="BQ263" s="364"/>
      <c r="BR263" s="364"/>
      <c r="BS263" s="364"/>
      <c r="BT263" s="364"/>
      <c r="BU263" s="364"/>
      <c r="BV263" s="364"/>
      <c r="BW263" s="364"/>
      <c r="BX263" s="364"/>
      <c r="BY263" s="364"/>
      <c r="BZ263" s="364"/>
      <c r="CA263" s="364"/>
      <c r="CB263" s="364"/>
      <c r="CC263" s="364"/>
      <c r="CD263" s="364"/>
      <c r="CE263" s="364"/>
      <c r="CF263" s="364"/>
      <c r="CG263" s="364"/>
      <c r="CH263" s="364"/>
      <c r="CI263" s="364"/>
      <c r="CJ263" s="364"/>
      <c r="CK263" s="364"/>
      <c r="CL263" s="364"/>
      <c r="CM263" s="364"/>
      <c r="CN263" s="364"/>
      <c r="CO263" s="364"/>
      <c r="CP263" s="364"/>
      <c r="CQ263" s="364"/>
      <c r="CR263" s="364"/>
      <c r="CS263" s="364"/>
      <c r="CT263" s="364"/>
      <c r="CU263" s="364"/>
      <c r="CV263" s="364"/>
      <c r="CW263" s="364"/>
      <c r="CX263" s="364"/>
      <c r="CY263" s="364"/>
      <c r="CZ263" s="364"/>
      <c r="DA263" s="364"/>
      <c r="DB263" s="364"/>
      <c r="DC263" s="364"/>
      <c r="DD263" s="364"/>
      <c r="DE263" s="364"/>
      <c r="DF263" s="364"/>
      <c r="DG263" s="364"/>
      <c r="DH263" s="364"/>
      <c r="DI263" s="364"/>
      <c r="DJ263" s="364"/>
      <c r="DK263" s="364"/>
      <c r="DL263" s="364"/>
      <c r="DM263" s="364"/>
      <c r="DN263" s="364"/>
      <c r="DO263" s="364"/>
      <c r="DP263" s="364"/>
      <c r="DQ263" s="364"/>
      <c r="DR263" s="364"/>
      <c r="DS263" s="364"/>
      <c r="DT263" s="364"/>
      <c r="DU263" s="364"/>
      <c r="DV263" s="364"/>
      <c r="DW263" s="364"/>
      <c r="DX263" s="364"/>
      <c r="DY263" s="364"/>
      <c r="DZ263" s="364"/>
      <c r="EA263" s="364"/>
      <c r="EB263" s="364"/>
      <c r="EC263" s="364"/>
      <c r="ED263" s="364"/>
      <c r="EE263" s="364"/>
      <c r="EF263" s="364"/>
      <c r="EG263" s="364"/>
      <c r="EH263" s="364"/>
      <c r="EI263" s="364"/>
      <c r="EJ263" s="364"/>
      <c r="EK263" s="364"/>
      <c r="EL263" s="364"/>
      <c r="EM263" s="364"/>
      <c r="EN263" s="364"/>
      <c r="EO263" s="364"/>
      <c r="EP263" s="364"/>
      <c r="EQ263" s="364"/>
      <c r="ER263" s="364"/>
      <c r="ES263" s="364"/>
      <c r="ET263" s="364"/>
      <c r="EU263" s="364"/>
      <c r="EV263" s="364"/>
      <c r="EW263" s="364"/>
      <c r="EX263" s="364"/>
      <c r="EY263" s="364"/>
      <c r="EZ263" s="364"/>
      <c r="FA263" s="364"/>
      <c r="FB263" s="364"/>
      <c r="FC263" s="364"/>
      <c r="FD263" s="364"/>
      <c r="FE263" s="364"/>
      <c r="FF263" s="364"/>
      <c r="FG263" s="364"/>
      <c r="FH263" s="364"/>
      <c r="FI263" s="364"/>
      <c r="FJ263" s="364"/>
      <c r="FK263" s="364"/>
    </row>
    <row r="264" customFormat="false" ht="15.75" hidden="false" customHeight="false" outlineLevel="0" collapsed="false">
      <c r="A264" s="364" t="n">
        <v>526</v>
      </c>
      <c r="B264" s="364" t="n">
        <f aca="false">COUNTA(D264:FK264)</f>
        <v>57</v>
      </c>
      <c r="C264" s="364" t="s">
        <v>1386</v>
      </c>
      <c r="D264" s="364" t="s">
        <v>2528</v>
      </c>
      <c r="E264" s="364" t="s">
        <v>2483</v>
      </c>
      <c r="F264" s="364" t="s">
        <v>2516</v>
      </c>
      <c r="G264" s="364" t="s">
        <v>2356</v>
      </c>
      <c r="H264" s="364" t="s">
        <v>2313</v>
      </c>
      <c r="I264" s="364" t="s">
        <v>2315</v>
      </c>
      <c r="J264" s="364" t="s">
        <v>2409</v>
      </c>
      <c r="K264" s="364" t="s">
        <v>2358</v>
      </c>
      <c r="L264" s="364" t="s">
        <v>2520</v>
      </c>
      <c r="M264" s="364" t="s">
        <v>2543</v>
      </c>
      <c r="N264" s="364" t="s">
        <v>2317</v>
      </c>
      <c r="O264" s="364" t="s">
        <v>2320</v>
      </c>
      <c r="P264" s="364" t="s">
        <v>2535</v>
      </c>
      <c r="Q264" s="364" t="s">
        <v>2376</v>
      </c>
      <c r="R264" s="364" t="s">
        <v>2377</v>
      </c>
      <c r="S264" s="364" t="s">
        <v>2523</v>
      </c>
      <c r="T264" s="364" t="s">
        <v>2322</v>
      </c>
      <c r="U264" s="364" t="s">
        <v>2324</v>
      </c>
      <c r="V264" s="364" t="s">
        <v>2484</v>
      </c>
      <c r="W264" s="364" t="s">
        <v>2327</v>
      </c>
      <c r="X264" s="364" t="s">
        <v>2328</v>
      </c>
      <c r="Y264" s="364" t="s">
        <v>2329</v>
      </c>
      <c r="Z264" s="364" t="s">
        <v>2416</v>
      </c>
      <c r="AA264" s="364" t="s">
        <v>2417</v>
      </c>
      <c r="AB264" s="364" t="s">
        <v>2330</v>
      </c>
      <c r="AC264" s="364" t="s">
        <v>2539</v>
      </c>
      <c r="AD264" s="364" t="s">
        <v>2540</v>
      </c>
      <c r="AE264" s="364" t="s">
        <v>2486</v>
      </c>
      <c r="AF264" s="261" t="s">
        <v>183</v>
      </c>
      <c r="AG264" s="364" t="s">
        <v>2452</v>
      </c>
      <c r="AH264" s="364" t="s">
        <v>2454</v>
      </c>
      <c r="AI264" s="364" t="s">
        <v>2487</v>
      </c>
      <c r="AJ264" s="364" t="s">
        <v>2387</v>
      </c>
      <c r="AK264" s="364" t="s">
        <v>2455</v>
      </c>
      <c r="AL264" s="364" t="s">
        <v>2337</v>
      </c>
      <c r="AM264" s="364" t="s">
        <v>2469</v>
      </c>
      <c r="AN264" s="364" t="s">
        <v>2553</v>
      </c>
      <c r="AO264" s="364" t="s">
        <v>2338</v>
      </c>
      <c r="AP264" s="364" t="s">
        <v>2388</v>
      </c>
      <c r="AQ264" s="364" t="s">
        <v>2339</v>
      </c>
      <c r="AR264" s="364" t="s">
        <v>2389</v>
      </c>
      <c r="AS264" s="364" t="s">
        <v>2340</v>
      </c>
      <c r="AT264" s="364" t="s">
        <v>2341</v>
      </c>
      <c r="AU264" s="364" t="s">
        <v>2442</v>
      </c>
      <c r="AV264" s="364" t="s">
        <v>2343</v>
      </c>
      <c r="AW264" s="364" t="s">
        <v>2471</v>
      </c>
      <c r="AX264" s="364" t="s">
        <v>2344</v>
      </c>
      <c r="AY264" s="364" t="s">
        <v>2500</v>
      </c>
      <c r="AZ264" s="364" t="s">
        <v>2347</v>
      </c>
      <c r="BA264" s="364" t="s">
        <v>2473</v>
      </c>
      <c r="BB264" s="364" t="s">
        <v>2474</v>
      </c>
      <c r="BC264" s="364" t="s">
        <v>2445</v>
      </c>
      <c r="BD264" s="364" t="s">
        <v>2456</v>
      </c>
      <c r="BE264" s="364" t="s">
        <v>2399</v>
      </c>
      <c r="BF264" s="364" t="s">
        <v>2546</v>
      </c>
      <c r="BG264" s="364" t="s">
        <v>2350</v>
      </c>
      <c r="BH264" s="364" t="s">
        <v>2458</v>
      </c>
      <c r="BI264" s="364"/>
      <c r="BJ264" s="364"/>
      <c r="BK264" s="364"/>
      <c r="BL264" s="364"/>
      <c r="BM264" s="364"/>
      <c r="BN264" s="364"/>
      <c r="BO264" s="364"/>
      <c r="BP264" s="364"/>
      <c r="BQ264" s="364"/>
      <c r="BR264" s="364"/>
      <c r="BS264" s="364"/>
      <c r="BT264" s="364"/>
      <c r="BU264" s="364"/>
      <c r="BV264" s="364"/>
      <c r="BW264" s="364"/>
      <c r="BX264" s="364"/>
      <c r="BY264" s="364"/>
      <c r="BZ264" s="364"/>
      <c r="CA264" s="364"/>
      <c r="CB264" s="364"/>
      <c r="CC264" s="364"/>
      <c r="CD264" s="364"/>
      <c r="CE264" s="364"/>
      <c r="CF264" s="364"/>
      <c r="CG264" s="364"/>
      <c r="CH264" s="364"/>
      <c r="CI264" s="364"/>
      <c r="CJ264" s="364"/>
      <c r="CK264" s="364"/>
      <c r="CL264" s="364"/>
      <c r="CM264" s="364"/>
      <c r="CN264" s="364"/>
      <c r="CO264" s="364"/>
      <c r="CP264" s="364"/>
      <c r="CQ264" s="364"/>
      <c r="CR264" s="364"/>
      <c r="CS264" s="364"/>
      <c r="CT264" s="364"/>
      <c r="CU264" s="364"/>
      <c r="CV264" s="364"/>
      <c r="CW264" s="364"/>
      <c r="CX264" s="364"/>
      <c r="CY264" s="364"/>
      <c r="CZ264" s="364"/>
      <c r="DA264" s="364"/>
      <c r="DB264" s="364"/>
      <c r="DC264" s="364"/>
      <c r="DD264" s="364"/>
      <c r="DE264" s="364"/>
      <c r="DF264" s="364"/>
      <c r="DG264" s="364"/>
      <c r="DH264" s="364"/>
      <c r="DI264" s="364"/>
      <c r="DJ264" s="364"/>
      <c r="DK264" s="364"/>
      <c r="DL264" s="364"/>
      <c r="DM264" s="364"/>
      <c r="DN264" s="364"/>
      <c r="DO264" s="364"/>
      <c r="DP264" s="364"/>
      <c r="DQ264" s="364"/>
      <c r="DR264" s="364"/>
      <c r="DS264" s="364"/>
      <c r="DT264" s="364"/>
      <c r="DU264" s="364"/>
      <c r="DV264" s="364"/>
      <c r="DW264" s="364"/>
      <c r="DX264" s="364"/>
      <c r="DY264" s="364"/>
      <c r="DZ264" s="364"/>
      <c r="EA264" s="364"/>
      <c r="EB264" s="364"/>
      <c r="EC264" s="364"/>
      <c r="ED264" s="364"/>
      <c r="EE264" s="364"/>
      <c r="EF264" s="364"/>
      <c r="EG264" s="364"/>
      <c r="EH264" s="364"/>
      <c r="EI264" s="364"/>
      <c r="EJ264" s="364"/>
      <c r="EK264" s="364"/>
      <c r="EL264" s="364"/>
      <c r="EM264" s="364"/>
      <c r="EN264" s="364"/>
      <c r="EO264" s="364"/>
      <c r="EP264" s="364"/>
      <c r="EQ264" s="364"/>
      <c r="ER264" s="364"/>
      <c r="ES264" s="364"/>
      <c r="ET264" s="364"/>
      <c r="EU264" s="364"/>
      <c r="EV264" s="364"/>
      <c r="EW264" s="364"/>
      <c r="EX264" s="364"/>
      <c r="EY264" s="364"/>
      <c r="EZ264" s="364"/>
      <c r="FA264" s="364"/>
      <c r="FB264" s="364"/>
      <c r="FC264" s="364"/>
      <c r="FD264" s="364"/>
      <c r="FE264" s="364"/>
      <c r="FF264" s="364"/>
      <c r="FG264" s="364"/>
      <c r="FH264" s="364"/>
      <c r="FI264" s="364"/>
      <c r="FJ264" s="364"/>
      <c r="FK264" s="364"/>
    </row>
    <row r="265" customFormat="false" ht="15.75" hidden="false" customHeight="false" outlineLevel="0" collapsed="false">
      <c r="A265" s="364" t="n">
        <v>527</v>
      </c>
      <c r="B265" s="364" t="n">
        <f aca="false">COUNTA(D265:FK265)</f>
        <v>35</v>
      </c>
      <c r="C265" s="364" t="s">
        <v>1388</v>
      </c>
      <c r="D265" s="364" t="s">
        <v>2482</v>
      </c>
      <c r="E265" s="364" t="s">
        <v>2311</v>
      </c>
      <c r="F265" s="364" t="s">
        <v>2404</v>
      </c>
      <c r="G265" s="364" t="s">
        <v>2432</v>
      </c>
      <c r="H265" s="364" t="s">
        <v>2314</v>
      </c>
      <c r="I265" s="364" t="s">
        <v>2466</v>
      </c>
      <c r="J265" s="364" t="s">
        <v>2315</v>
      </c>
      <c r="K265" s="364" t="s">
        <v>2319</v>
      </c>
      <c r="L265" s="364" t="s">
        <v>2320</v>
      </c>
      <c r="M265" s="364" t="s">
        <v>2535</v>
      </c>
      <c r="N265" s="364" t="s">
        <v>2322</v>
      </c>
      <c r="O265" s="364" t="s">
        <v>2323</v>
      </c>
      <c r="P265" s="364" t="s">
        <v>2324</v>
      </c>
      <c r="Q265" s="364" t="s">
        <v>2325</v>
      </c>
      <c r="R265" s="364" t="s">
        <v>2328</v>
      </c>
      <c r="S265" s="364" t="s">
        <v>2329</v>
      </c>
      <c r="T265" s="364" t="s">
        <v>2438</v>
      </c>
      <c r="U265" s="364" t="s">
        <v>2330</v>
      </c>
      <c r="V265" s="364" t="s">
        <v>2558</v>
      </c>
      <c r="W265" s="364" t="s">
        <v>2623</v>
      </c>
      <c r="X265" s="261" t="s">
        <v>183</v>
      </c>
      <c r="Y265" s="364" t="s">
        <v>2452</v>
      </c>
      <c r="Z265" s="364" t="s">
        <v>2616</v>
      </c>
      <c r="AA265" s="364" t="s">
        <v>2336</v>
      </c>
      <c r="AB265" s="364" t="s">
        <v>2337</v>
      </c>
      <c r="AC265" s="364" t="s">
        <v>2340</v>
      </c>
      <c r="AD265" s="364" t="s">
        <v>2341</v>
      </c>
      <c r="AE265" s="364" t="s">
        <v>2342</v>
      </c>
      <c r="AF265" s="364" t="s">
        <v>2591</v>
      </c>
      <c r="AG265" s="364" t="s">
        <v>2343</v>
      </c>
      <c r="AH265" s="364" t="s">
        <v>2344</v>
      </c>
      <c r="AI265" s="364" t="s">
        <v>2345</v>
      </c>
      <c r="AJ265" s="364" t="s">
        <v>2445</v>
      </c>
      <c r="AK265" s="364" t="s">
        <v>2456</v>
      </c>
      <c r="AL265" s="364" t="s">
        <v>2351</v>
      </c>
      <c r="AM265" s="364"/>
      <c r="AN265" s="364"/>
      <c r="AO265" s="364"/>
      <c r="AP265" s="364"/>
      <c r="AQ265" s="364"/>
      <c r="AR265" s="364"/>
      <c r="AS265" s="364"/>
      <c r="AT265" s="364"/>
      <c r="AU265" s="364"/>
      <c r="AV265" s="364"/>
      <c r="AW265" s="364"/>
      <c r="AX265" s="364"/>
      <c r="AY265" s="364"/>
      <c r="AZ265" s="364"/>
      <c r="BA265" s="364"/>
      <c r="BB265" s="364"/>
      <c r="BC265" s="364"/>
      <c r="BD265" s="364"/>
      <c r="BE265" s="364"/>
      <c r="BF265" s="364"/>
      <c r="BG265" s="364"/>
      <c r="BH265" s="364"/>
      <c r="BI265" s="364"/>
      <c r="BJ265" s="364"/>
      <c r="BK265" s="364"/>
      <c r="BL265" s="364"/>
      <c r="BM265" s="364"/>
      <c r="BN265" s="364"/>
      <c r="BO265" s="364"/>
      <c r="BP265" s="364"/>
      <c r="BQ265" s="364"/>
      <c r="BR265" s="364"/>
      <c r="BS265" s="364"/>
      <c r="BT265" s="364"/>
      <c r="BU265" s="364"/>
      <c r="BV265" s="364"/>
      <c r="BW265" s="364"/>
      <c r="BX265" s="364"/>
      <c r="BY265" s="364"/>
      <c r="BZ265" s="364"/>
      <c r="CA265" s="364"/>
      <c r="CB265" s="364"/>
      <c r="CC265" s="364"/>
      <c r="CD265" s="364"/>
      <c r="CE265" s="364"/>
      <c r="CF265" s="364"/>
      <c r="CG265" s="364"/>
      <c r="CH265" s="364"/>
      <c r="CI265" s="364"/>
      <c r="CJ265" s="364"/>
      <c r="CK265" s="364"/>
      <c r="CL265" s="364"/>
      <c r="CM265" s="364"/>
      <c r="CN265" s="364"/>
      <c r="CO265" s="364"/>
      <c r="CP265" s="364"/>
      <c r="CQ265" s="364"/>
      <c r="CR265" s="364"/>
      <c r="CS265" s="364"/>
      <c r="CT265" s="364"/>
      <c r="CU265" s="364"/>
      <c r="CV265" s="364"/>
      <c r="CW265" s="364"/>
      <c r="CX265" s="364"/>
      <c r="CY265" s="364"/>
      <c r="CZ265" s="364"/>
      <c r="DA265" s="364"/>
      <c r="DB265" s="364"/>
      <c r="DC265" s="364"/>
      <c r="DD265" s="364"/>
      <c r="DE265" s="364"/>
      <c r="DF265" s="364"/>
      <c r="DG265" s="364"/>
      <c r="DH265" s="364"/>
      <c r="DI265" s="364"/>
      <c r="DJ265" s="364"/>
      <c r="DK265" s="364"/>
      <c r="DL265" s="364"/>
      <c r="DM265" s="364"/>
      <c r="DN265" s="364"/>
      <c r="DO265" s="364"/>
      <c r="DP265" s="364"/>
      <c r="DQ265" s="364"/>
      <c r="DR265" s="364"/>
      <c r="DS265" s="364"/>
      <c r="DT265" s="364"/>
      <c r="DU265" s="364"/>
      <c r="DV265" s="364"/>
      <c r="DW265" s="364"/>
      <c r="DX265" s="364"/>
      <c r="DY265" s="364"/>
      <c r="DZ265" s="364"/>
      <c r="EA265" s="364"/>
      <c r="EB265" s="364"/>
      <c r="EC265" s="364"/>
      <c r="ED265" s="364"/>
      <c r="EE265" s="364"/>
      <c r="EF265" s="364"/>
      <c r="EG265" s="364"/>
      <c r="EH265" s="364"/>
      <c r="EI265" s="364"/>
      <c r="EJ265" s="364"/>
      <c r="EK265" s="364"/>
      <c r="EL265" s="364"/>
      <c r="EM265" s="364"/>
      <c r="EN265" s="364"/>
      <c r="EO265" s="364"/>
      <c r="EP265" s="364"/>
      <c r="EQ265" s="364"/>
      <c r="ER265" s="364"/>
      <c r="ES265" s="364"/>
      <c r="ET265" s="364"/>
      <c r="EU265" s="364"/>
      <c r="EV265" s="364"/>
      <c r="EW265" s="364"/>
      <c r="EX265" s="364"/>
      <c r="EY265" s="364"/>
      <c r="EZ265" s="364"/>
      <c r="FA265" s="364"/>
      <c r="FB265" s="364"/>
      <c r="FC265" s="364"/>
      <c r="FD265" s="364"/>
      <c r="FE265" s="364"/>
      <c r="FF265" s="364"/>
      <c r="FG265" s="364"/>
      <c r="FH265" s="364"/>
      <c r="FI265" s="364"/>
      <c r="FJ265" s="364"/>
      <c r="FK265" s="364"/>
    </row>
    <row r="266" customFormat="false" ht="15.75" hidden="false" customHeight="false" outlineLevel="0" collapsed="false">
      <c r="A266" s="364" t="n">
        <v>529</v>
      </c>
      <c r="B266" s="364" t="n">
        <f aca="false">COUNTA(D266:FK266)</f>
        <v>31</v>
      </c>
      <c r="C266" s="364" t="s">
        <v>1392</v>
      </c>
      <c r="D266" s="364" t="s">
        <v>2353</v>
      </c>
      <c r="E266" s="364" t="s">
        <v>2402</v>
      </c>
      <c r="F266" s="364" t="s">
        <v>2405</v>
      </c>
      <c r="G266" s="364" t="s">
        <v>2516</v>
      </c>
      <c r="H266" s="364" t="s">
        <v>2406</v>
      </c>
      <c r="I266" s="364" t="s">
        <v>2410</v>
      </c>
      <c r="J266" s="364" t="s">
        <v>2320</v>
      </c>
      <c r="K266" s="364" t="s">
        <v>2324</v>
      </c>
      <c r="L266" s="364" t="s">
        <v>2437</v>
      </c>
      <c r="M266" s="364" t="s">
        <v>2328</v>
      </c>
      <c r="N266" s="364" t="s">
        <v>2329</v>
      </c>
      <c r="O266" s="364" t="s">
        <v>2415</v>
      </c>
      <c r="P266" s="364" t="s">
        <v>2417</v>
      </c>
      <c r="Q266" s="364" t="s">
        <v>2385</v>
      </c>
      <c r="R266" s="364" t="s">
        <v>2452</v>
      </c>
      <c r="S266" s="364" t="s">
        <v>2582</v>
      </c>
      <c r="T266" s="364" t="s">
        <v>2337</v>
      </c>
      <c r="U266" s="364" t="s">
        <v>2340</v>
      </c>
      <c r="V266" s="364" t="s">
        <v>2421</v>
      </c>
      <c r="W266" s="364" t="s">
        <v>2341</v>
      </c>
      <c r="X266" s="364" t="s">
        <v>2422</v>
      </c>
      <c r="Y266" s="364" t="s">
        <v>2443</v>
      </c>
      <c r="Z266" s="364" t="s">
        <v>2344</v>
      </c>
      <c r="AA266" s="364" t="s">
        <v>2424</v>
      </c>
      <c r="AB266" s="364" t="s">
        <v>2398</v>
      </c>
      <c r="AC266" s="364" t="s">
        <v>2400</v>
      </c>
      <c r="AD266" s="364" t="s">
        <v>2446</v>
      </c>
      <c r="AE266" s="364" t="s">
        <v>2425</v>
      </c>
      <c r="AF266" s="364" t="s">
        <v>2426</v>
      </c>
      <c r="AG266" s="364" t="s">
        <v>2428</v>
      </c>
      <c r="AH266" s="364" t="s">
        <v>2429</v>
      </c>
      <c r="AI266" s="364"/>
      <c r="AJ266" s="364"/>
      <c r="AK266" s="364"/>
      <c r="AL266" s="364"/>
      <c r="AM266" s="364"/>
      <c r="AN266" s="364"/>
      <c r="AO266" s="364"/>
      <c r="AP266" s="364"/>
      <c r="AQ266" s="364"/>
      <c r="AR266" s="364"/>
      <c r="AS266" s="364"/>
      <c r="AT266" s="364"/>
      <c r="AU266" s="364"/>
      <c r="AV266" s="364"/>
      <c r="AW266" s="364"/>
      <c r="AX266" s="364"/>
      <c r="AY266" s="364"/>
      <c r="AZ266" s="364"/>
      <c r="BA266" s="364"/>
      <c r="BB266" s="364"/>
      <c r="BC266" s="364"/>
      <c r="BD266" s="364"/>
      <c r="BE266" s="364"/>
      <c r="BF266" s="364"/>
      <c r="BG266" s="364"/>
      <c r="BH266" s="364"/>
      <c r="BI266" s="364"/>
      <c r="BJ266" s="364"/>
      <c r="BK266" s="364"/>
      <c r="BL266" s="364"/>
      <c r="BM266" s="364"/>
      <c r="BN266" s="364"/>
      <c r="BO266" s="364"/>
      <c r="BP266" s="364"/>
      <c r="BQ266" s="364"/>
      <c r="BR266" s="364"/>
      <c r="BS266" s="364"/>
      <c r="BT266" s="364"/>
      <c r="BU266" s="364"/>
      <c r="BV266" s="364"/>
      <c r="BW266" s="364"/>
      <c r="BX266" s="364"/>
      <c r="BY266" s="364"/>
      <c r="BZ266" s="364"/>
      <c r="CA266" s="364"/>
      <c r="CB266" s="364"/>
      <c r="CC266" s="364"/>
      <c r="CD266" s="364"/>
      <c r="CE266" s="364"/>
      <c r="CF266" s="364"/>
      <c r="CG266" s="364"/>
      <c r="CH266" s="364"/>
      <c r="CI266" s="364"/>
      <c r="CJ266" s="364"/>
      <c r="CK266" s="364"/>
      <c r="CL266" s="364"/>
      <c r="CM266" s="364"/>
      <c r="CN266" s="364"/>
      <c r="CO266" s="364"/>
      <c r="CP266" s="364"/>
      <c r="CQ266" s="364"/>
      <c r="CR266" s="364"/>
      <c r="CS266" s="364"/>
      <c r="CT266" s="364"/>
      <c r="CU266" s="364"/>
      <c r="CV266" s="364"/>
      <c r="CW266" s="364"/>
      <c r="CX266" s="364"/>
      <c r="CY266" s="364"/>
      <c r="CZ266" s="364"/>
      <c r="DA266" s="364"/>
      <c r="DB266" s="364"/>
      <c r="DC266" s="364"/>
      <c r="DD266" s="364"/>
      <c r="DE266" s="364"/>
      <c r="DF266" s="364"/>
      <c r="DG266" s="364"/>
      <c r="DH266" s="364"/>
      <c r="DI266" s="364"/>
      <c r="DJ266" s="364"/>
      <c r="DK266" s="364"/>
      <c r="DL266" s="364"/>
      <c r="DM266" s="364"/>
      <c r="DN266" s="364"/>
      <c r="DO266" s="364"/>
      <c r="DP266" s="364"/>
      <c r="DQ266" s="364"/>
      <c r="DR266" s="364"/>
      <c r="DS266" s="364"/>
      <c r="DT266" s="364"/>
      <c r="DU266" s="364"/>
      <c r="DV266" s="364"/>
      <c r="DW266" s="364"/>
      <c r="DX266" s="364"/>
      <c r="DY266" s="364"/>
      <c r="DZ266" s="364"/>
      <c r="EA266" s="364"/>
      <c r="EB266" s="364"/>
      <c r="EC266" s="364"/>
      <c r="ED266" s="364"/>
      <c r="EE266" s="364"/>
      <c r="EF266" s="364"/>
      <c r="EG266" s="364"/>
      <c r="EH266" s="364"/>
      <c r="EI266" s="364"/>
      <c r="EJ266" s="364"/>
      <c r="EK266" s="364"/>
      <c r="EL266" s="364"/>
      <c r="EM266" s="364"/>
      <c r="EN266" s="364"/>
      <c r="EO266" s="364"/>
      <c r="EP266" s="364"/>
      <c r="EQ266" s="364"/>
      <c r="ER266" s="364"/>
      <c r="ES266" s="364"/>
      <c r="ET266" s="364"/>
      <c r="EU266" s="364"/>
      <c r="EV266" s="364"/>
      <c r="EW266" s="364"/>
      <c r="EX266" s="364"/>
      <c r="EY266" s="364"/>
      <c r="EZ266" s="364"/>
      <c r="FA266" s="364"/>
      <c r="FB266" s="364"/>
      <c r="FC266" s="364"/>
      <c r="FD266" s="364"/>
      <c r="FE266" s="364"/>
      <c r="FF266" s="364"/>
      <c r="FG266" s="364"/>
      <c r="FH266" s="364"/>
      <c r="FI266" s="364"/>
      <c r="FJ266" s="364"/>
      <c r="FK266" s="364"/>
    </row>
    <row r="267" customFormat="false" ht="15.75" hidden="false" customHeight="false" outlineLevel="0" collapsed="false">
      <c r="A267" s="364" t="n">
        <v>532</v>
      </c>
      <c r="B267" s="364" t="n">
        <f aca="false">COUNTA(D267:FK267)</f>
        <v>41</v>
      </c>
      <c r="C267" s="364" t="s">
        <v>1397</v>
      </c>
      <c r="D267" s="364" t="s">
        <v>2403</v>
      </c>
      <c r="E267" s="364" t="s">
        <v>2405</v>
      </c>
      <c r="F267" s="364" t="s">
        <v>2356</v>
      </c>
      <c r="G267" s="364" t="s">
        <v>2313</v>
      </c>
      <c r="H267" s="364" t="s">
        <v>2314</v>
      </c>
      <c r="I267" s="364" t="s">
        <v>2317</v>
      </c>
      <c r="J267" s="364" t="s">
        <v>2319</v>
      </c>
      <c r="K267" s="364" t="s">
        <v>2320</v>
      </c>
      <c r="L267" s="364" t="s">
        <v>2376</v>
      </c>
      <c r="M267" s="364" t="s">
        <v>2377</v>
      </c>
      <c r="N267" s="364" t="s">
        <v>2502</v>
      </c>
      <c r="O267" s="364" t="s">
        <v>2323</v>
      </c>
      <c r="P267" s="364" t="s">
        <v>2324</v>
      </c>
      <c r="Q267" s="364" t="s">
        <v>2325</v>
      </c>
      <c r="R267" s="364" t="s">
        <v>2327</v>
      </c>
      <c r="S267" s="364" t="s">
        <v>2328</v>
      </c>
      <c r="T267" s="364" t="s">
        <v>2329</v>
      </c>
      <c r="U267" s="364" t="s">
        <v>2415</v>
      </c>
      <c r="V267" s="364" t="s">
        <v>2416</v>
      </c>
      <c r="W267" s="364" t="s">
        <v>2525</v>
      </c>
      <c r="X267" s="364" t="s">
        <v>2417</v>
      </c>
      <c r="Y267" s="364" t="s">
        <v>2381</v>
      </c>
      <c r="Z267" s="261" t="s">
        <v>183</v>
      </c>
      <c r="AA267" s="364" t="s">
        <v>2332</v>
      </c>
      <c r="AB267" s="364" t="s">
        <v>2626</v>
      </c>
      <c r="AC267" s="364" t="s">
        <v>2336</v>
      </c>
      <c r="AD267" s="364" t="s">
        <v>2337</v>
      </c>
      <c r="AE267" s="364" t="s">
        <v>2338</v>
      </c>
      <c r="AF267" s="364" t="s">
        <v>2388</v>
      </c>
      <c r="AG267" s="364" t="s">
        <v>2339</v>
      </c>
      <c r="AH267" s="364" t="s">
        <v>2389</v>
      </c>
      <c r="AI267" s="364" t="s">
        <v>2340</v>
      </c>
      <c r="AJ267" s="364" t="s">
        <v>2341</v>
      </c>
      <c r="AK267" s="364" t="s">
        <v>2342</v>
      </c>
      <c r="AL267" s="364" t="s">
        <v>2442</v>
      </c>
      <c r="AM267" s="364" t="s">
        <v>2344</v>
      </c>
      <c r="AN267" s="364" t="s">
        <v>2345</v>
      </c>
      <c r="AO267" s="364" t="s">
        <v>2346</v>
      </c>
      <c r="AP267" s="364" t="s">
        <v>2347</v>
      </c>
      <c r="AQ267" s="364" t="s">
        <v>2428</v>
      </c>
      <c r="AR267" s="364" t="s">
        <v>2599</v>
      </c>
      <c r="AS267" s="364"/>
      <c r="AT267" s="364"/>
      <c r="AU267" s="364"/>
      <c r="AV267" s="364"/>
      <c r="AW267" s="364"/>
      <c r="AX267" s="364"/>
      <c r="AY267" s="364"/>
      <c r="AZ267" s="364"/>
      <c r="BA267" s="364"/>
      <c r="BB267" s="364"/>
      <c r="BC267" s="364"/>
      <c r="BD267" s="364"/>
      <c r="BE267" s="364"/>
      <c r="BF267" s="364"/>
      <c r="BG267" s="364"/>
      <c r="BH267" s="364"/>
      <c r="BI267" s="364"/>
      <c r="BJ267" s="364"/>
      <c r="BK267" s="364"/>
      <c r="BL267" s="364"/>
      <c r="BM267" s="364"/>
      <c r="BN267" s="364"/>
      <c r="BO267" s="364"/>
      <c r="BP267" s="364"/>
      <c r="BQ267" s="364"/>
      <c r="BR267" s="364"/>
      <c r="BS267" s="364"/>
      <c r="BT267" s="364"/>
      <c r="BU267" s="364"/>
      <c r="BV267" s="364"/>
      <c r="BW267" s="364"/>
      <c r="BX267" s="364"/>
      <c r="BY267" s="364"/>
      <c r="BZ267" s="364"/>
      <c r="CA267" s="364"/>
      <c r="CB267" s="364"/>
      <c r="CC267" s="364"/>
      <c r="CD267" s="364"/>
      <c r="CE267" s="364"/>
      <c r="CF267" s="364"/>
      <c r="CG267" s="364"/>
      <c r="CH267" s="364"/>
      <c r="CI267" s="364"/>
      <c r="CJ267" s="364"/>
      <c r="CK267" s="364"/>
      <c r="CL267" s="364"/>
      <c r="CM267" s="364"/>
      <c r="CN267" s="364"/>
      <c r="CO267" s="364"/>
      <c r="CP267" s="364"/>
      <c r="CQ267" s="364"/>
      <c r="CR267" s="364"/>
      <c r="CS267" s="364"/>
      <c r="CT267" s="364"/>
      <c r="CU267" s="364"/>
      <c r="CV267" s="364"/>
      <c r="CW267" s="364"/>
      <c r="CX267" s="364"/>
      <c r="CY267" s="364"/>
      <c r="CZ267" s="364"/>
      <c r="DA267" s="364"/>
      <c r="DB267" s="364"/>
      <c r="DC267" s="364"/>
      <c r="DD267" s="364"/>
      <c r="DE267" s="364"/>
      <c r="DF267" s="364"/>
      <c r="DG267" s="364"/>
      <c r="DH267" s="364"/>
      <c r="DI267" s="364"/>
      <c r="DJ267" s="364"/>
      <c r="DK267" s="364"/>
      <c r="DL267" s="364"/>
      <c r="DM267" s="364"/>
      <c r="DN267" s="364"/>
      <c r="DO267" s="364"/>
      <c r="DP267" s="364"/>
      <c r="DQ267" s="364"/>
      <c r="DR267" s="364"/>
      <c r="DS267" s="364"/>
      <c r="DT267" s="364"/>
      <c r="DU267" s="364"/>
      <c r="DV267" s="364"/>
      <c r="DW267" s="364"/>
      <c r="DX267" s="364"/>
      <c r="DY267" s="364"/>
      <c r="DZ267" s="364"/>
      <c r="EA267" s="364"/>
      <c r="EB267" s="364"/>
      <c r="EC267" s="364"/>
      <c r="ED267" s="364"/>
      <c r="EE267" s="364"/>
      <c r="EF267" s="364"/>
      <c r="EG267" s="364"/>
      <c r="EH267" s="364"/>
      <c r="EI267" s="364"/>
      <c r="EJ267" s="364"/>
      <c r="EK267" s="364"/>
      <c r="EL267" s="364"/>
      <c r="EM267" s="364"/>
      <c r="EN267" s="364"/>
      <c r="EO267" s="364"/>
      <c r="EP267" s="364"/>
      <c r="EQ267" s="364"/>
      <c r="ER267" s="364"/>
      <c r="ES267" s="364"/>
      <c r="ET267" s="364"/>
      <c r="EU267" s="364"/>
      <c r="EV267" s="364"/>
      <c r="EW267" s="364"/>
      <c r="EX267" s="364"/>
      <c r="EY267" s="364"/>
      <c r="EZ267" s="364"/>
      <c r="FA267" s="364"/>
      <c r="FB267" s="364"/>
      <c r="FC267" s="364"/>
      <c r="FD267" s="364"/>
      <c r="FE267" s="364"/>
      <c r="FF267" s="364"/>
      <c r="FG267" s="364"/>
      <c r="FH267" s="364"/>
      <c r="FI267" s="364"/>
      <c r="FJ267" s="364"/>
      <c r="FK267" s="364"/>
    </row>
    <row r="268" customFormat="false" ht="15.75" hidden="false" customHeight="false" outlineLevel="0" collapsed="false">
      <c r="A268" s="364" t="n">
        <v>534</v>
      </c>
      <c r="B268" s="364" t="n">
        <f aca="false">COUNTA(D268:FK268)</f>
        <v>65</v>
      </c>
      <c r="C268" s="364" t="s">
        <v>1402</v>
      </c>
      <c r="D268" s="364" t="s">
        <v>2352</v>
      </c>
      <c r="E268" s="364" t="s">
        <v>2447</v>
      </c>
      <c r="F268" s="364" t="s">
        <v>2403</v>
      </c>
      <c r="G268" s="364" t="s">
        <v>2405</v>
      </c>
      <c r="H268" s="364" t="s">
        <v>2356</v>
      </c>
      <c r="I268" s="364" t="s">
        <v>2315</v>
      </c>
      <c r="J268" s="364" t="s">
        <v>2409</v>
      </c>
      <c r="K268" s="364" t="s">
        <v>2358</v>
      </c>
      <c r="L268" s="364" t="s">
        <v>2435</v>
      </c>
      <c r="M268" s="364" t="s">
        <v>2320</v>
      </c>
      <c r="N268" s="364" t="s">
        <v>2533</v>
      </c>
      <c r="O268" s="364" t="s">
        <v>2449</v>
      </c>
      <c r="P268" s="364" t="s">
        <v>2535</v>
      </c>
      <c r="Q268" s="364" t="s">
        <v>2376</v>
      </c>
      <c r="R268" s="364" t="s">
        <v>2377</v>
      </c>
      <c r="S268" s="364" t="s">
        <v>2523</v>
      </c>
      <c r="T268" s="364" t="s">
        <v>2322</v>
      </c>
      <c r="U268" s="364" t="s">
        <v>2498</v>
      </c>
      <c r="V268" s="364" t="s">
        <v>2324</v>
      </c>
      <c r="W268" s="364" t="s">
        <v>2327</v>
      </c>
      <c r="X268" s="364" t="s">
        <v>2328</v>
      </c>
      <c r="Y268" s="364" t="s">
        <v>2329</v>
      </c>
      <c r="Z268" s="364" t="s">
        <v>2415</v>
      </c>
      <c r="AA268" s="364" t="s">
        <v>2416</v>
      </c>
      <c r="AB268" s="364" t="s">
        <v>2525</v>
      </c>
      <c r="AC268" s="364" t="s">
        <v>2417</v>
      </c>
      <c r="AD268" s="364" t="s">
        <v>2381</v>
      </c>
      <c r="AE268" s="364" t="s">
        <v>2330</v>
      </c>
      <c r="AF268" s="364" t="s">
        <v>2539</v>
      </c>
      <c r="AG268" s="364" t="s">
        <v>2540</v>
      </c>
      <c r="AH268" s="364" t="s">
        <v>2384</v>
      </c>
      <c r="AI268" s="261" t="s">
        <v>183</v>
      </c>
      <c r="AJ268" s="364" t="s">
        <v>2531</v>
      </c>
      <c r="AK268" s="364" t="s">
        <v>2452</v>
      </c>
      <c r="AL268" s="364" t="s">
        <v>2454</v>
      </c>
      <c r="AM268" s="364" t="s">
        <v>2387</v>
      </c>
      <c r="AN268" s="364" t="s">
        <v>2461</v>
      </c>
      <c r="AO268" s="364" t="s">
        <v>2337</v>
      </c>
      <c r="AP268" s="364" t="s">
        <v>2469</v>
      </c>
      <c r="AQ268" s="364" t="s">
        <v>2553</v>
      </c>
      <c r="AR268" s="364" t="s">
        <v>2339</v>
      </c>
      <c r="AS268" s="364" t="s">
        <v>2340</v>
      </c>
      <c r="AT268" s="364" t="s">
        <v>2390</v>
      </c>
      <c r="AU268" s="364" t="s">
        <v>2341</v>
      </c>
      <c r="AV268" s="364" t="s">
        <v>2442</v>
      </c>
      <c r="AW268" s="364" t="s">
        <v>2392</v>
      </c>
      <c r="AX268" s="364" t="s">
        <v>2472</v>
      </c>
      <c r="AY268" s="364" t="s">
        <v>2344</v>
      </c>
      <c r="AZ268" s="364" t="s">
        <v>2347</v>
      </c>
      <c r="BA268" s="364" t="s">
        <v>2424</v>
      </c>
      <c r="BB268" s="364" t="s">
        <v>2398</v>
      </c>
      <c r="BC268" s="364" t="s">
        <v>2445</v>
      </c>
      <c r="BD268" s="364" t="s">
        <v>2456</v>
      </c>
      <c r="BE268" s="364" t="s">
        <v>2429</v>
      </c>
      <c r="BF268" s="364" t="s">
        <v>2458</v>
      </c>
      <c r="BG268" s="261" t="s">
        <v>2404</v>
      </c>
      <c r="BH268" s="261" t="s">
        <v>138</v>
      </c>
      <c r="BI268" s="261" t="s">
        <v>2496</v>
      </c>
      <c r="BJ268" s="261" t="s">
        <v>2316</v>
      </c>
      <c r="BK268" s="261" t="s">
        <v>2579</v>
      </c>
      <c r="BL268" s="261" t="s">
        <v>2364</v>
      </c>
      <c r="BM268" s="261" t="s">
        <v>2534</v>
      </c>
      <c r="BN268" s="261" t="s">
        <v>2504</v>
      </c>
      <c r="BO268" s="261" t="s">
        <v>2455</v>
      </c>
      <c r="BP268" s="261" t="s">
        <v>2395</v>
      </c>
      <c r="BQ268" s="364"/>
      <c r="BR268" s="364"/>
      <c r="BS268" s="364"/>
      <c r="BT268" s="364"/>
      <c r="BU268" s="364"/>
      <c r="BV268" s="364"/>
      <c r="BW268" s="364"/>
      <c r="BX268" s="364"/>
      <c r="BY268" s="364"/>
      <c r="BZ268" s="364"/>
      <c r="CA268" s="364"/>
      <c r="CB268" s="364"/>
      <c r="CC268" s="364"/>
      <c r="CD268" s="364"/>
      <c r="CE268" s="364"/>
      <c r="CF268" s="364"/>
      <c r="CG268" s="364"/>
      <c r="CH268" s="364"/>
      <c r="CI268" s="364"/>
      <c r="CJ268" s="364"/>
      <c r="CK268" s="364"/>
      <c r="CL268" s="364"/>
      <c r="CM268" s="364"/>
      <c r="CN268" s="364"/>
      <c r="CO268" s="364"/>
      <c r="CP268" s="364"/>
      <c r="CQ268" s="364"/>
      <c r="CR268" s="364"/>
      <c r="CS268" s="364"/>
      <c r="CT268" s="364"/>
      <c r="CU268" s="364"/>
      <c r="CV268" s="364"/>
      <c r="CW268" s="364"/>
      <c r="CX268" s="364"/>
      <c r="CY268" s="364"/>
      <c r="CZ268" s="364"/>
      <c r="DA268" s="364"/>
      <c r="DB268" s="364"/>
      <c r="DC268" s="364"/>
      <c r="DD268" s="364"/>
      <c r="DE268" s="364"/>
      <c r="DF268" s="364"/>
      <c r="DG268" s="364"/>
      <c r="DH268" s="364"/>
      <c r="DI268" s="364"/>
      <c r="DJ268" s="364"/>
      <c r="DK268" s="364"/>
      <c r="DL268" s="364"/>
      <c r="DM268" s="364"/>
      <c r="DN268" s="364"/>
      <c r="DO268" s="364"/>
      <c r="DP268" s="364"/>
      <c r="DQ268" s="364"/>
      <c r="DR268" s="364"/>
      <c r="DS268" s="364"/>
      <c r="DT268" s="364"/>
      <c r="DU268" s="364"/>
      <c r="DV268" s="364"/>
      <c r="DW268" s="364"/>
      <c r="DX268" s="364"/>
      <c r="DY268" s="364"/>
      <c r="DZ268" s="364"/>
      <c r="EA268" s="364"/>
      <c r="EB268" s="364"/>
      <c r="EC268" s="364"/>
      <c r="ED268" s="364"/>
      <c r="EE268" s="364"/>
      <c r="EF268" s="364"/>
      <c r="EG268" s="364"/>
      <c r="EH268" s="364"/>
      <c r="EI268" s="364"/>
      <c r="EJ268" s="364"/>
      <c r="EK268" s="364"/>
      <c r="EL268" s="364"/>
      <c r="EM268" s="364"/>
      <c r="EN268" s="364"/>
      <c r="EO268" s="364"/>
      <c r="EP268" s="364"/>
      <c r="EQ268" s="364"/>
      <c r="ER268" s="364"/>
      <c r="ES268" s="364"/>
      <c r="ET268" s="364"/>
      <c r="EU268" s="364"/>
      <c r="EV268" s="364"/>
      <c r="EW268" s="364"/>
      <c r="EX268" s="364"/>
      <c r="EY268" s="364"/>
      <c r="EZ268" s="364"/>
      <c r="FA268" s="364"/>
      <c r="FB268" s="364"/>
      <c r="FC268" s="364"/>
      <c r="FD268" s="364"/>
      <c r="FE268" s="364"/>
      <c r="FF268" s="364"/>
      <c r="FG268" s="364"/>
      <c r="FH268" s="364"/>
      <c r="FI268" s="364"/>
      <c r="FJ268" s="364"/>
      <c r="FK268" s="364"/>
    </row>
    <row r="269" customFormat="false" ht="15.75" hidden="false" customHeight="false" outlineLevel="0" collapsed="false">
      <c r="A269" s="364" t="n">
        <v>535</v>
      </c>
      <c r="B269" s="364" t="n">
        <f aca="false">COUNTA(D269:FK269)</f>
        <v>36</v>
      </c>
      <c r="C269" s="364" t="s">
        <v>1404</v>
      </c>
      <c r="D269" s="364" t="s">
        <v>2464</v>
      </c>
      <c r="E269" s="364" t="s">
        <v>2569</v>
      </c>
      <c r="F269" s="364" t="s">
        <v>2436</v>
      </c>
      <c r="G269" s="364" t="s">
        <v>2562</v>
      </c>
      <c r="H269" s="364" t="s">
        <v>2320</v>
      </c>
      <c r="I269" s="364" t="s">
        <v>2411</v>
      </c>
      <c r="J269" s="364" t="s">
        <v>2324</v>
      </c>
      <c r="K269" s="364" t="s">
        <v>2412</v>
      </c>
      <c r="L269" s="364" t="s">
        <v>2328</v>
      </c>
      <c r="M269" s="364" t="s">
        <v>2329</v>
      </c>
      <c r="N269" s="364" t="s">
        <v>2506</v>
      </c>
      <c r="O269" s="364" t="s">
        <v>2573</v>
      </c>
      <c r="P269" s="364" t="s">
        <v>2596</v>
      </c>
      <c r="Q269" s="364" t="s">
        <v>2574</v>
      </c>
      <c r="R269" s="364" t="s">
        <v>2337</v>
      </c>
      <c r="S269" s="364" t="s">
        <v>2420</v>
      </c>
      <c r="T269" s="364" t="s">
        <v>2340</v>
      </c>
      <c r="U269" s="364" t="s">
        <v>2341</v>
      </c>
      <c r="V269" s="364" t="s">
        <v>2470</v>
      </c>
      <c r="W269" s="364" t="s">
        <v>2422</v>
      </c>
      <c r="X269" s="364" t="s">
        <v>2344</v>
      </c>
      <c r="Y269" s="364" t="s">
        <v>2575</v>
      </c>
      <c r="Z269" s="364" t="s">
        <v>2570</v>
      </c>
      <c r="AA269" s="364" t="s">
        <v>2398</v>
      </c>
      <c r="AB269" s="364" t="s">
        <v>2348</v>
      </c>
      <c r="AC269" s="364" t="s">
        <v>2475</v>
      </c>
      <c r="AD269" s="364" t="s">
        <v>2476</v>
      </c>
      <c r="AE269" s="364" t="s">
        <v>2491</v>
      </c>
      <c r="AF269" s="364" t="s">
        <v>2522</v>
      </c>
      <c r="AG269" s="364" t="s">
        <v>2492</v>
      </c>
      <c r="AH269" s="364" t="s">
        <v>2477</v>
      </c>
      <c r="AI269" s="364" t="s">
        <v>2493</v>
      </c>
      <c r="AJ269" s="261" t="s">
        <v>2310</v>
      </c>
      <c r="AK269" s="261" t="s">
        <v>2316</v>
      </c>
      <c r="AL269" s="261" t="s">
        <v>2335</v>
      </c>
      <c r="AM269" s="261" t="s">
        <v>2349</v>
      </c>
      <c r="AN269" s="261"/>
      <c r="AO269" s="364"/>
      <c r="AP269" s="364"/>
      <c r="AQ269" s="364"/>
      <c r="AR269" s="364"/>
      <c r="AS269" s="364"/>
      <c r="AT269" s="364"/>
      <c r="AU269" s="364"/>
      <c r="AV269" s="364"/>
      <c r="AW269" s="364"/>
      <c r="AX269" s="364"/>
      <c r="AY269" s="364"/>
      <c r="AZ269" s="364"/>
      <c r="BA269" s="364"/>
      <c r="BB269" s="364"/>
      <c r="BC269" s="364"/>
      <c r="BD269" s="364"/>
      <c r="BE269" s="364"/>
      <c r="BF269" s="364"/>
      <c r="BG269" s="364"/>
      <c r="BH269" s="364"/>
      <c r="BI269" s="364"/>
      <c r="BJ269" s="364"/>
      <c r="BK269" s="364"/>
      <c r="BL269" s="364"/>
      <c r="BM269" s="364"/>
      <c r="BN269" s="364"/>
      <c r="BO269" s="364"/>
      <c r="BP269" s="364"/>
      <c r="BQ269" s="364"/>
      <c r="BR269" s="364"/>
      <c r="BS269" s="364"/>
      <c r="BT269" s="364"/>
      <c r="BU269" s="364"/>
      <c r="BV269" s="364"/>
      <c r="BW269" s="364"/>
      <c r="BX269" s="364"/>
      <c r="BY269" s="364"/>
      <c r="BZ269" s="364"/>
      <c r="CA269" s="364"/>
      <c r="CB269" s="364"/>
      <c r="CC269" s="364"/>
      <c r="CD269" s="364"/>
      <c r="CE269" s="364"/>
      <c r="CF269" s="364"/>
      <c r="CG269" s="364"/>
      <c r="CH269" s="364"/>
      <c r="CI269" s="364"/>
      <c r="CJ269" s="364"/>
      <c r="CK269" s="364"/>
      <c r="CL269" s="364"/>
      <c r="CM269" s="364"/>
      <c r="CN269" s="364"/>
      <c r="CO269" s="364"/>
      <c r="CP269" s="364"/>
      <c r="CQ269" s="364"/>
      <c r="CR269" s="364"/>
      <c r="CS269" s="364"/>
      <c r="CT269" s="364"/>
      <c r="CU269" s="364"/>
      <c r="CV269" s="364"/>
      <c r="CW269" s="364"/>
      <c r="CX269" s="364"/>
      <c r="CY269" s="364"/>
      <c r="CZ269" s="364"/>
      <c r="DA269" s="364"/>
      <c r="DB269" s="364"/>
      <c r="DC269" s="364"/>
      <c r="DD269" s="364"/>
      <c r="DE269" s="364"/>
      <c r="DF269" s="364"/>
      <c r="DG269" s="364"/>
      <c r="DH269" s="364"/>
      <c r="DI269" s="364"/>
      <c r="DJ269" s="364"/>
      <c r="DK269" s="364"/>
      <c r="DL269" s="364"/>
      <c r="DM269" s="364"/>
      <c r="DN269" s="364"/>
      <c r="DO269" s="364"/>
      <c r="DP269" s="364"/>
      <c r="DQ269" s="364"/>
      <c r="DR269" s="364"/>
      <c r="DS269" s="364"/>
      <c r="DT269" s="364"/>
      <c r="DU269" s="364"/>
      <c r="DV269" s="364"/>
      <c r="DW269" s="364"/>
      <c r="DX269" s="364"/>
      <c r="DY269" s="364"/>
      <c r="DZ269" s="364"/>
      <c r="EA269" s="364"/>
      <c r="EB269" s="364"/>
      <c r="EC269" s="364"/>
      <c r="ED269" s="364"/>
      <c r="EE269" s="364"/>
      <c r="EF269" s="364"/>
      <c r="EG269" s="364"/>
      <c r="EH269" s="364"/>
      <c r="EI269" s="364"/>
      <c r="EJ269" s="364"/>
      <c r="EK269" s="364"/>
      <c r="EL269" s="364"/>
      <c r="EM269" s="364"/>
      <c r="EN269" s="364"/>
      <c r="EO269" s="364"/>
      <c r="EP269" s="364"/>
      <c r="EQ269" s="364"/>
      <c r="ER269" s="364"/>
      <c r="ES269" s="364"/>
      <c r="ET269" s="364"/>
      <c r="EU269" s="364"/>
      <c r="EV269" s="364"/>
      <c r="EW269" s="364"/>
      <c r="EX269" s="364"/>
      <c r="EY269" s="364"/>
      <c r="EZ269" s="364"/>
      <c r="FA269" s="364"/>
      <c r="FB269" s="364"/>
      <c r="FC269" s="364"/>
      <c r="FD269" s="364"/>
      <c r="FE269" s="364"/>
      <c r="FF269" s="364"/>
      <c r="FG269" s="364"/>
      <c r="FH269" s="364"/>
      <c r="FI269" s="364"/>
      <c r="FJ269" s="364"/>
      <c r="FK269" s="364"/>
    </row>
    <row r="270" customFormat="false" ht="15.75" hidden="false" customHeight="false" outlineLevel="0" collapsed="false">
      <c r="A270" s="364" t="n">
        <v>536</v>
      </c>
      <c r="B270" s="364" t="n">
        <f aca="false">COUNTA(D270:FK270)</f>
        <v>79</v>
      </c>
      <c r="C270" s="364" t="s">
        <v>1406</v>
      </c>
      <c r="D270" s="364" t="s">
        <v>2402</v>
      </c>
      <c r="E270" s="364" t="s">
        <v>2311</v>
      </c>
      <c r="F270" s="364" t="s">
        <v>2405</v>
      </c>
      <c r="G270" s="364" t="s">
        <v>2356</v>
      </c>
      <c r="H270" s="364" t="s">
        <v>2357</v>
      </c>
      <c r="I270" s="364" t="s">
        <v>2313</v>
      </c>
      <c r="J270" s="364" t="s">
        <v>2509</v>
      </c>
      <c r="K270" s="364" t="s">
        <v>2315</v>
      </c>
      <c r="L270" s="364" t="s">
        <v>2358</v>
      </c>
      <c r="M270" s="364" t="s">
        <v>2363</v>
      </c>
      <c r="N270" s="364" t="s">
        <v>2435</v>
      </c>
      <c r="O270" s="364" t="s">
        <v>2317</v>
      </c>
      <c r="P270" s="364" t="s">
        <v>2562</v>
      </c>
      <c r="Q270" s="364" t="s">
        <v>2320</v>
      </c>
      <c r="R270" s="364" t="s">
        <v>2366</v>
      </c>
      <c r="S270" s="364" t="s">
        <v>2369</v>
      </c>
      <c r="T270" s="364" t="s">
        <v>2373</v>
      </c>
      <c r="U270" s="364" t="s">
        <v>2376</v>
      </c>
      <c r="V270" s="364" t="s">
        <v>2377</v>
      </c>
      <c r="W270" s="364" t="s">
        <v>2324</v>
      </c>
      <c r="X270" s="364" t="s">
        <v>2412</v>
      </c>
      <c r="Y270" s="364" t="s">
        <v>2327</v>
      </c>
      <c r="Z270" s="364" t="s">
        <v>2328</v>
      </c>
      <c r="AA270" s="364" t="s">
        <v>2329</v>
      </c>
      <c r="AB270" s="364" t="s">
        <v>2415</v>
      </c>
      <c r="AC270" s="364" t="s">
        <v>2416</v>
      </c>
      <c r="AD270" s="364" t="s">
        <v>2417</v>
      </c>
      <c r="AE270" s="364" t="s">
        <v>2379</v>
      </c>
      <c r="AF270" s="364" t="s">
        <v>2381</v>
      </c>
      <c r="AG270" s="364" t="s">
        <v>2330</v>
      </c>
      <c r="AH270" s="364" t="s">
        <v>2588</v>
      </c>
      <c r="AI270" s="261" t="s">
        <v>183</v>
      </c>
      <c r="AJ270" s="364" t="s">
        <v>2387</v>
      </c>
      <c r="AK270" s="364" t="s">
        <v>2616</v>
      </c>
      <c r="AL270" s="364" t="s">
        <v>2337</v>
      </c>
      <c r="AM270" s="364" t="s">
        <v>2469</v>
      </c>
      <c r="AN270" s="364" t="s">
        <v>2338</v>
      </c>
      <c r="AO270" s="364" t="s">
        <v>2388</v>
      </c>
      <c r="AP270" s="364" t="s">
        <v>2339</v>
      </c>
      <c r="AQ270" s="364" t="s">
        <v>2389</v>
      </c>
      <c r="AR270" s="364" t="s">
        <v>2420</v>
      </c>
      <c r="AS270" s="364" t="s">
        <v>2340</v>
      </c>
      <c r="AT270" s="364" t="s">
        <v>2341</v>
      </c>
      <c r="AU270" s="364" t="s">
        <v>2442</v>
      </c>
      <c r="AV270" s="364" t="s">
        <v>2470</v>
      </c>
      <c r="AW270" s="364" t="s">
        <v>2591</v>
      </c>
      <c r="AX270" s="364" t="s">
        <v>2344</v>
      </c>
      <c r="AY270" s="364" t="s">
        <v>2345</v>
      </c>
      <c r="AZ270" s="364" t="s">
        <v>2571</v>
      </c>
      <c r="BA270" s="364" t="s">
        <v>2346</v>
      </c>
      <c r="BB270" s="364" t="s">
        <v>2347</v>
      </c>
      <c r="BC270" s="364" t="s">
        <v>2424</v>
      </c>
      <c r="BD270" s="364" t="s">
        <v>2445</v>
      </c>
      <c r="BE270" s="364" t="s">
        <v>2475</v>
      </c>
      <c r="BF270" s="364" t="s">
        <v>2476</v>
      </c>
      <c r="BG270" s="364" t="s">
        <v>2399</v>
      </c>
      <c r="BH270" s="364" t="s">
        <v>2428</v>
      </c>
      <c r="BI270" s="364" t="s">
        <v>2429</v>
      </c>
      <c r="BJ270" s="364" t="s">
        <v>2489</v>
      </c>
      <c r="BK270" s="364" t="s">
        <v>2430</v>
      </c>
      <c r="BL270" s="261" t="s">
        <v>2483</v>
      </c>
      <c r="BM270" s="261" t="s">
        <v>2310</v>
      </c>
      <c r="BN270" s="261" t="s">
        <v>2312</v>
      </c>
      <c r="BO270" s="261" t="s">
        <v>2408</v>
      </c>
      <c r="BP270" s="261" t="s">
        <v>138</v>
      </c>
      <c r="BQ270" s="261" t="s">
        <v>2316</v>
      </c>
      <c r="BR270" s="261" t="s">
        <v>2364</v>
      </c>
      <c r="BS270" s="261" t="s">
        <v>2614</v>
      </c>
      <c r="BT270" s="261" t="s">
        <v>2382</v>
      </c>
      <c r="BU270" s="261" t="s">
        <v>2383</v>
      </c>
      <c r="BV270" s="261" t="s">
        <v>2615</v>
      </c>
      <c r="BW270" s="261" t="s">
        <v>2335</v>
      </c>
      <c r="BX270" s="261" t="s">
        <v>2391</v>
      </c>
      <c r="BY270" s="261" t="s">
        <v>2393</v>
      </c>
      <c r="BZ270" s="261" t="s">
        <v>2617</v>
      </c>
      <c r="CA270" s="261" t="s">
        <v>2397</v>
      </c>
      <c r="CB270" s="261" t="s">
        <v>2349</v>
      </c>
      <c r="CC270" s="261" t="s">
        <v>2515</v>
      </c>
      <c r="CD270" s="261" t="s">
        <v>2426</v>
      </c>
      <c r="CE270" s="364"/>
      <c r="CF270" s="364"/>
      <c r="CG270" s="364"/>
      <c r="CH270" s="364"/>
      <c r="CI270" s="364"/>
      <c r="CJ270" s="364"/>
      <c r="CK270" s="364"/>
      <c r="CL270" s="364"/>
      <c r="CM270" s="364"/>
      <c r="CN270" s="364"/>
      <c r="CO270" s="364"/>
      <c r="CP270" s="364"/>
      <c r="CQ270" s="364"/>
      <c r="CR270" s="364"/>
      <c r="CS270" s="364"/>
      <c r="CT270" s="364"/>
      <c r="CU270" s="364"/>
      <c r="CV270" s="364"/>
      <c r="CW270" s="364"/>
      <c r="CX270" s="364"/>
      <c r="CY270" s="364"/>
      <c r="CZ270" s="364"/>
      <c r="DA270" s="364"/>
      <c r="DB270" s="364"/>
      <c r="DC270" s="364"/>
      <c r="DD270" s="364"/>
      <c r="DE270" s="364"/>
      <c r="DF270" s="364"/>
      <c r="DG270" s="364"/>
      <c r="DH270" s="364"/>
      <c r="DI270" s="364"/>
      <c r="DJ270" s="364"/>
      <c r="DK270" s="364"/>
      <c r="DL270" s="364"/>
      <c r="DM270" s="364"/>
      <c r="DN270" s="364"/>
      <c r="DO270" s="364"/>
      <c r="DP270" s="364"/>
      <c r="DQ270" s="364"/>
      <c r="DR270" s="364"/>
      <c r="DS270" s="364"/>
      <c r="DT270" s="364"/>
      <c r="DU270" s="364"/>
      <c r="DV270" s="364"/>
      <c r="DW270" s="364"/>
      <c r="DX270" s="364"/>
      <c r="DY270" s="364"/>
      <c r="DZ270" s="364"/>
      <c r="EA270" s="364"/>
      <c r="EB270" s="364"/>
      <c r="EC270" s="364"/>
      <c r="ED270" s="364"/>
      <c r="EE270" s="364"/>
      <c r="EF270" s="364"/>
      <c r="EG270" s="364"/>
      <c r="EH270" s="364"/>
      <c r="EI270" s="364"/>
      <c r="EJ270" s="364"/>
      <c r="EK270" s="364"/>
      <c r="EL270" s="364"/>
      <c r="EM270" s="364"/>
      <c r="EN270" s="364"/>
      <c r="EO270" s="364"/>
      <c r="EP270" s="364"/>
      <c r="EQ270" s="364"/>
      <c r="ER270" s="364"/>
      <c r="ES270" s="364"/>
      <c r="ET270" s="364"/>
      <c r="EU270" s="364"/>
      <c r="EV270" s="364"/>
      <c r="EW270" s="364"/>
      <c r="EX270" s="364"/>
      <c r="EY270" s="364"/>
      <c r="EZ270" s="364"/>
      <c r="FA270" s="364"/>
      <c r="FB270" s="364"/>
      <c r="FC270" s="364"/>
      <c r="FD270" s="364"/>
      <c r="FE270" s="364"/>
      <c r="FF270" s="364"/>
      <c r="FG270" s="364"/>
      <c r="FH270" s="364"/>
      <c r="FI270" s="364"/>
      <c r="FJ270" s="364"/>
      <c r="FK270" s="364"/>
    </row>
    <row r="271" customFormat="false" ht="15.75" hidden="false" customHeight="false" outlineLevel="0" collapsed="false">
      <c r="A271" s="364" t="n">
        <v>537</v>
      </c>
      <c r="B271" s="364" t="n">
        <f aca="false">COUNTA(D271:FK271)</f>
        <v>86</v>
      </c>
      <c r="C271" s="364" t="s">
        <v>1408</v>
      </c>
      <c r="D271" s="364" t="s">
        <v>2561</v>
      </c>
      <c r="E271" s="364" t="s">
        <v>2402</v>
      </c>
      <c r="F271" s="364" t="s">
        <v>2403</v>
      </c>
      <c r="G271" s="364" t="s">
        <v>2405</v>
      </c>
      <c r="H271" s="364" t="s">
        <v>2356</v>
      </c>
      <c r="I271" s="364" t="s">
        <v>2357</v>
      </c>
      <c r="J271" s="364" t="s">
        <v>2313</v>
      </c>
      <c r="K271" s="364" t="s">
        <v>2509</v>
      </c>
      <c r="L271" s="364" t="s">
        <v>2315</v>
      </c>
      <c r="M271" s="364" t="s">
        <v>2358</v>
      </c>
      <c r="N271" s="364" t="s">
        <v>2361</v>
      </c>
      <c r="O271" s="364" t="s">
        <v>2363</v>
      </c>
      <c r="P271" s="364" t="s">
        <v>184</v>
      </c>
      <c r="Q271" s="364" t="s">
        <v>2497</v>
      </c>
      <c r="R271" s="364" t="s">
        <v>2317</v>
      </c>
      <c r="S271" s="364" t="s">
        <v>2448</v>
      </c>
      <c r="T271" s="364" t="s">
        <v>2320</v>
      </c>
      <c r="U271" s="364" t="s">
        <v>2366</v>
      </c>
      <c r="V271" s="364" t="s">
        <v>2369</v>
      </c>
      <c r="W271" s="364" t="s">
        <v>2373</v>
      </c>
      <c r="X271" s="364" t="s">
        <v>2411</v>
      </c>
      <c r="Y271" s="364" t="s">
        <v>2376</v>
      </c>
      <c r="Z271" s="364" t="s">
        <v>2377</v>
      </c>
      <c r="AA271" s="364" t="s">
        <v>2451</v>
      </c>
      <c r="AB271" s="364" t="s">
        <v>2322</v>
      </c>
      <c r="AC271" s="364" t="s">
        <v>2324</v>
      </c>
      <c r="AD271" s="364" t="s">
        <v>2614</v>
      </c>
      <c r="AE271" s="364" t="s">
        <v>2327</v>
      </c>
      <c r="AF271" s="364" t="s">
        <v>2328</v>
      </c>
      <c r="AG271" s="364" t="s">
        <v>2512</v>
      </c>
      <c r="AH271" s="364" t="s">
        <v>2329</v>
      </c>
      <c r="AI271" s="364" t="s">
        <v>2415</v>
      </c>
      <c r="AJ271" s="364" t="s">
        <v>2416</v>
      </c>
      <c r="AK271" s="364" t="s">
        <v>2417</v>
      </c>
      <c r="AL271" s="364" t="s">
        <v>2379</v>
      </c>
      <c r="AM271" s="364" t="s">
        <v>2506</v>
      </c>
      <c r="AN271" s="364" t="s">
        <v>2381</v>
      </c>
      <c r="AO271" s="364" t="s">
        <v>2513</v>
      </c>
      <c r="AP271" s="261" t="s">
        <v>183</v>
      </c>
      <c r="AQ271" s="364" t="s">
        <v>2332</v>
      </c>
      <c r="AR271" s="364" t="s">
        <v>2452</v>
      </c>
      <c r="AS271" s="364" t="s">
        <v>2454</v>
      </c>
      <c r="AT271" s="364" t="s">
        <v>2387</v>
      </c>
      <c r="AU271" s="364" t="s">
        <v>2337</v>
      </c>
      <c r="AV271" s="364" t="s">
        <v>2564</v>
      </c>
      <c r="AW271" s="364" t="s">
        <v>2338</v>
      </c>
      <c r="AX271" s="364" t="s">
        <v>2388</v>
      </c>
      <c r="AY271" s="364" t="s">
        <v>2339</v>
      </c>
      <c r="AZ271" s="364" t="s">
        <v>2389</v>
      </c>
      <c r="BA271" s="364" t="s">
        <v>2675</v>
      </c>
      <c r="BB271" s="364" t="s">
        <v>2420</v>
      </c>
      <c r="BC271" s="364" t="s">
        <v>2340</v>
      </c>
      <c r="BD271" s="364" t="s">
        <v>2341</v>
      </c>
      <c r="BE271" s="364" t="s">
        <v>2392</v>
      </c>
      <c r="BF271" s="364" t="s">
        <v>2470</v>
      </c>
      <c r="BG271" s="364" t="s">
        <v>2423</v>
      </c>
      <c r="BH271" s="364" t="s">
        <v>2514</v>
      </c>
      <c r="BI271" s="364" t="s">
        <v>2344</v>
      </c>
      <c r="BJ271" s="364" t="s">
        <v>2571</v>
      </c>
      <c r="BK271" s="364" t="s">
        <v>2346</v>
      </c>
      <c r="BL271" s="364" t="s">
        <v>2500</v>
      </c>
      <c r="BM271" s="364" t="s">
        <v>2347</v>
      </c>
      <c r="BN271" s="364" t="s">
        <v>2511</v>
      </c>
      <c r="BO271" s="364" t="s">
        <v>2424</v>
      </c>
      <c r="BP271" s="364" t="s">
        <v>2349</v>
      </c>
      <c r="BQ271" s="364" t="s">
        <v>2445</v>
      </c>
      <c r="BR271" s="364" t="s">
        <v>2475</v>
      </c>
      <c r="BS271" s="364" t="s">
        <v>2476</v>
      </c>
      <c r="BT271" s="364" t="s">
        <v>2399</v>
      </c>
      <c r="BU271" s="364" t="s">
        <v>2463</v>
      </c>
      <c r="BV271" s="364" t="s">
        <v>2429</v>
      </c>
      <c r="BW271" s="261" t="s">
        <v>2310</v>
      </c>
      <c r="BX271" s="261" t="s">
        <v>2312</v>
      </c>
      <c r="BY271" s="261" t="s">
        <v>2408</v>
      </c>
      <c r="BZ271" s="261" t="s">
        <v>138</v>
      </c>
      <c r="CA271" s="261" t="s">
        <v>2316</v>
      </c>
      <c r="CB271" s="261" t="s">
        <v>2364</v>
      </c>
      <c r="CC271" s="261" t="s">
        <v>2382</v>
      </c>
      <c r="CD271" s="261" t="s">
        <v>2383</v>
      </c>
      <c r="CE271" s="261" t="s">
        <v>2490</v>
      </c>
      <c r="CF271" s="261" t="s">
        <v>2335</v>
      </c>
      <c r="CG271" s="261" t="s">
        <v>2391</v>
      </c>
      <c r="CH271" s="261" t="s">
        <v>2393</v>
      </c>
      <c r="CI271" s="261" t="s">
        <v>2397</v>
      </c>
      <c r="CJ271" s="261" t="s">
        <v>2426</v>
      </c>
      <c r="CK271" s="261" t="s">
        <v>2493</v>
      </c>
      <c r="CL271" s="364"/>
      <c r="CM271" s="364"/>
      <c r="CN271" s="364"/>
      <c r="CO271" s="364"/>
      <c r="CP271" s="364"/>
      <c r="CQ271" s="364"/>
      <c r="CR271" s="364"/>
      <c r="CS271" s="364"/>
      <c r="CT271" s="364"/>
      <c r="CU271" s="364"/>
      <c r="CV271" s="364"/>
      <c r="CW271" s="364"/>
      <c r="CX271" s="364"/>
      <c r="CY271" s="364"/>
      <c r="CZ271" s="364"/>
      <c r="DA271" s="364"/>
      <c r="DB271" s="364"/>
      <c r="DC271" s="364"/>
      <c r="DD271" s="364"/>
      <c r="DE271" s="364"/>
      <c r="DF271" s="364"/>
      <c r="DG271" s="364"/>
      <c r="DH271" s="364"/>
      <c r="DI271" s="364"/>
      <c r="DJ271" s="364"/>
      <c r="DK271" s="364"/>
      <c r="DL271" s="364"/>
      <c r="DM271" s="364"/>
      <c r="DN271" s="364"/>
      <c r="DO271" s="364"/>
      <c r="DP271" s="364"/>
      <c r="DQ271" s="364"/>
      <c r="DR271" s="364"/>
      <c r="DS271" s="364"/>
      <c r="DT271" s="364"/>
      <c r="DU271" s="364"/>
      <c r="DV271" s="364"/>
      <c r="DW271" s="364"/>
      <c r="DX271" s="364"/>
      <c r="DY271" s="364"/>
      <c r="DZ271" s="364"/>
      <c r="EA271" s="364"/>
      <c r="EB271" s="364"/>
      <c r="EC271" s="364"/>
      <c r="ED271" s="364"/>
      <c r="EE271" s="364"/>
      <c r="EF271" s="364"/>
      <c r="EG271" s="364"/>
      <c r="EH271" s="364"/>
      <c r="EI271" s="364"/>
      <c r="EJ271" s="364"/>
      <c r="EK271" s="364"/>
      <c r="EL271" s="364"/>
      <c r="EM271" s="364"/>
      <c r="EN271" s="364"/>
      <c r="EO271" s="364"/>
      <c r="EP271" s="364"/>
      <c r="EQ271" s="364"/>
      <c r="ER271" s="364"/>
      <c r="ES271" s="364"/>
      <c r="ET271" s="364"/>
      <c r="EU271" s="364"/>
      <c r="EV271" s="364"/>
      <c r="EW271" s="364"/>
      <c r="EX271" s="364"/>
      <c r="EY271" s="364"/>
      <c r="EZ271" s="364"/>
      <c r="FA271" s="364"/>
      <c r="FB271" s="364"/>
      <c r="FC271" s="364"/>
      <c r="FD271" s="364"/>
      <c r="FE271" s="364"/>
      <c r="FF271" s="364"/>
      <c r="FG271" s="364"/>
      <c r="FH271" s="364"/>
      <c r="FI271" s="364"/>
      <c r="FJ271" s="364"/>
      <c r="FK271" s="364"/>
    </row>
    <row r="272" customFormat="false" ht="15.75" hidden="false" customHeight="false" outlineLevel="0" collapsed="false">
      <c r="A272" s="364" t="n">
        <v>538</v>
      </c>
      <c r="B272" s="364" t="n">
        <f aca="false">COUNTA(D272:FK272)</f>
        <v>52</v>
      </c>
      <c r="C272" s="364" t="s">
        <v>1410</v>
      </c>
      <c r="D272" s="364" t="s">
        <v>2527</v>
      </c>
      <c r="E272" s="364" t="s">
        <v>2352</v>
      </c>
      <c r="F272" s="364" t="s">
        <v>2561</v>
      </c>
      <c r="G272" s="364" t="s">
        <v>2311</v>
      </c>
      <c r="H272" s="364" t="s">
        <v>2356</v>
      </c>
      <c r="I272" s="364" t="s">
        <v>2313</v>
      </c>
      <c r="J272" s="364" t="s">
        <v>2314</v>
      </c>
      <c r="K272" s="364" t="s">
        <v>2559</v>
      </c>
      <c r="L272" s="364" t="s">
        <v>2315</v>
      </c>
      <c r="M272" s="364" t="s">
        <v>2317</v>
      </c>
      <c r="N272" s="364" t="s">
        <v>2448</v>
      </c>
      <c r="O272" s="364" t="s">
        <v>2319</v>
      </c>
      <c r="P272" s="364" t="s">
        <v>2320</v>
      </c>
      <c r="Q272" s="364" t="s">
        <v>2376</v>
      </c>
      <c r="R272" s="364" t="s">
        <v>2323</v>
      </c>
      <c r="S272" s="364" t="s">
        <v>2324</v>
      </c>
      <c r="T272" s="364" t="s">
        <v>2325</v>
      </c>
      <c r="U272" s="364" t="s">
        <v>2327</v>
      </c>
      <c r="V272" s="364" t="s">
        <v>2328</v>
      </c>
      <c r="W272" s="364" t="s">
        <v>2329</v>
      </c>
      <c r="X272" s="364" t="s">
        <v>2438</v>
      </c>
      <c r="Y272" s="364" t="s">
        <v>2330</v>
      </c>
      <c r="Z272" s="364" t="s">
        <v>2331</v>
      </c>
      <c r="AA272" s="261" t="s">
        <v>183</v>
      </c>
      <c r="AB272" s="364" t="s">
        <v>2452</v>
      </c>
      <c r="AC272" s="364" t="s">
        <v>2454</v>
      </c>
      <c r="AD272" s="364" t="s">
        <v>2616</v>
      </c>
      <c r="AE272" s="364" t="s">
        <v>2337</v>
      </c>
      <c r="AF272" s="364" t="s">
        <v>2388</v>
      </c>
      <c r="AG272" s="364" t="s">
        <v>2339</v>
      </c>
      <c r="AH272" s="364" t="s">
        <v>2389</v>
      </c>
      <c r="AI272" s="364" t="s">
        <v>2340</v>
      </c>
      <c r="AJ272" s="364" t="s">
        <v>2341</v>
      </c>
      <c r="AK272" s="364" t="s">
        <v>2342</v>
      </c>
      <c r="AL272" s="364" t="s">
        <v>2470</v>
      </c>
      <c r="AM272" s="364" t="s">
        <v>2591</v>
      </c>
      <c r="AN272" s="364" t="s">
        <v>2343</v>
      </c>
      <c r="AO272" s="364" t="s">
        <v>2344</v>
      </c>
      <c r="AP272" s="364" t="s">
        <v>2345</v>
      </c>
      <c r="AQ272" s="364" t="s">
        <v>2346</v>
      </c>
      <c r="AR272" s="364" t="s">
        <v>2347</v>
      </c>
      <c r="AS272" s="364" t="s">
        <v>2445</v>
      </c>
      <c r="AT272" s="364" t="s">
        <v>2351</v>
      </c>
      <c r="AU272" s="261" t="s">
        <v>2310</v>
      </c>
      <c r="AV272" s="261" t="s">
        <v>2312</v>
      </c>
      <c r="AW272" s="261" t="s">
        <v>2434</v>
      </c>
      <c r="AX272" s="261" t="s">
        <v>2316</v>
      </c>
      <c r="AY272" s="261" t="s">
        <v>2557</v>
      </c>
      <c r="AZ272" s="261" t="s">
        <v>2335</v>
      </c>
      <c r="BA272" s="261" t="s">
        <v>2393</v>
      </c>
      <c r="BB272" s="261" t="s">
        <v>2349</v>
      </c>
      <c r="BC272" s="261" t="s">
        <v>2555</v>
      </c>
      <c r="BD272" s="364"/>
      <c r="BE272" s="364"/>
      <c r="BF272" s="364"/>
      <c r="BG272" s="364"/>
      <c r="BH272" s="364"/>
      <c r="BI272" s="364"/>
      <c r="BJ272" s="364"/>
      <c r="BK272" s="364"/>
      <c r="BL272" s="364"/>
      <c r="BM272" s="364"/>
      <c r="BN272" s="364"/>
      <c r="BO272" s="364"/>
      <c r="BP272" s="364"/>
      <c r="BQ272" s="364"/>
      <c r="BR272" s="364"/>
      <c r="BS272" s="364"/>
      <c r="BT272" s="364"/>
      <c r="BU272" s="364"/>
      <c r="BV272" s="364"/>
      <c r="BW272" s="364"/>
      <c r="BX272" s="364"/>
      <c r="BY272" s="364"/>
      <c r="BZ272" s="364"/>
      <c r="CA272" s="364"/>
      <c r="CB272" s="364"/>
      <c r="CC272" s="364"/>
      <c r="CD272" s="364"/>
      <c r="CE272" s="364"/>
      <c r="CF272" s="364"/>
      <c r="CG272" s="364"/>
      <c r="CH272" s="364"/>
      <c r="CI272" s="364"/>
      <c r="CJ272" s="364"/>
      <c r="CK272" s="364"/>
      <c r="CL272" s="364"/>
      <c r="CM272" s="364"/>
      <c r="CN272" s="364"/>
      <c r="CO272" s="364"/>
      <c r="CP272" s="364"/>
      <c r="CQ272" s="364"/>
      <c r="CR272" s="364"/>
      <c r="CS272" s="364"/>
      <c r="CT272" s="364"/>
      <c r="CU272" s="364"/>
      <c r="CV272" s="364"/>
      <c r="CW272" s="364"/>
      <c r="CX272" s="364"/>
      <c r="CY272" s="364"/>
      <c r="CZ272" s="364"/>
      <c r="DA272" s="364"/>
      <c r="DB272" s="364"/>
      <c r="DC272" s="364"/>
      <c r="DD272" s="364"/>
      <c r="DE272" s="364"/>
      <c r="DF272" s="364"/>
      <c r="DG272" s="364"/>
      <c r="DH272" s="364"/>
      <c r="DI272" s="364"/>
      <c r="DJ272" s="364"/>
      <c r="DK272" s="364"/>
      <c r="DL272" s="364"/>
      <c r="DM272" s="364"/>
      <c r="DN272" s="364"/>
      <c r="DO272" s="364"/>
      <c r="DP272" s="364"/>
      <c r="DQ272" s="364"/>
      <c r="DR272" s="364"/>
      <c r="DS272" s="364"/>
      <c r="DT272" s="364"/>
      <c r="DU272" s="364"/>
      <c r="DV272" s="364"/>
      <c r="DW272" s="364"/>
      <c r="DX272" s="364"/>
      <c r="DY272" s="364"/>
      <c r="DZ272" s="364"/>
      <c r="EA272" s="364"/>
      <c r="EB272" s="364"/>
      <c r="EC272" s="364"/>
      <c r="ED272" s="364"/>
      <c r="EE272" s="364"/>
      <c r="EF272" s="364"/>
      <c r="EG272" s="364"/>
      <c r="EH272" s="364"/>
      <c r="EI272" s="364"/>
      <c r="EJ272" s="364"/>
      <c r="EK272" s="364"/>
      <c r="EL272" s="364"/>
      <c r="EM272" s="364"/>
      <c r="EN272" s="364"/>
      <c r="EO272" s="364"/>
      <c r="EP272" s="364"/>
      <c r="EQ272" s="364"/>
      <c r="ER272" s="364"/>
      <c r="ES272" s="364"/>
      <c r="ET272" s="364"/>
      <c r="EU272" s="364"/>
      <c r="EV272" s="364"/>
      <c r="EW272" s="364"/>
      <c r="EX272" s="364"/>
      <c r="EY272" s="364"/>
      <c r="EZ272" s="364"/>
      <c r="FA272" s="364"/>
      <c r="FB272" s="364"/>
      <c r="FC272" s="364"/>
      <c r="FD272" s="364"/>
      <c r="FE272" s="364"/>
      <c r="FF272" s="364"/>
      <c r="FG272" s="364"/>
      <c r="FH272" s="364"/>
      <c r="FI272" s="364"/>
      <c r="FJ272" s="364"/>
      <c r="FK272" s="364"/>
    </row>
    <row r="273" customFormat="false" ht="15.75" hidden="false" customHeight="false" outlineLevel="0" collapsed="false">
      <c r="A273" s="364" t="n">
        <v>539</v>
      </c>
      <c r="B273" s="364" t="n">
        <f aca="false">COUNTA(D273:FK273)</f>
        <v>65</v>
      </c>
      <c r="C273" s="364" t="s">
        <v>1412</v>
      </c>
      <c r="D273" s="364" t="s">
        <v>2356</v>
      </c>
      <c r="E273" s="364" t="s">
        <v>2313</v>
      </c>
      <c r="F273" s="364" t="s">
        <v>2464</v>
      </c>
      <c r="G273" s="364" t="s">
        <v>2465</v>
      </c>
      <c r="H273" s="364" t="s">
        <v>2542</v>
      </c>
      <c r="I273" s="364" t="s">
        <v>2358</v>
      </c>
      <c r="J273" s="364" t="s">
        <v>2569</v>
      </c>
      <c r="K273" s="364" t="s">
        <v>2543</v>
      </c>
      <c r="L273" s="364" t="s">
        <v>2317</v>
      </c>
      <c r="M273" s="364" t="s">
        <v>2436</v>
      </c>
      <c r="N273" s="364" t="s">
        <v>2320</v>
      </c>
      <c r="O273" s="364" t="s">
        <v>2369</v>
      </c>
      <c r="P273" s="364" t="s">
        <v>2373</v>
      </c>
      <c r="Q273" s="364" t="s">
        <v>2376</v>
      </c>
      <c r="R273" s="364" t="s">
        <v>2377</v>
      </c>
      <c r="S273" s="364" t="s">
        <v>2324</v>
      </c>
      <c r="T273" s="364" t="s">
        <v>2327</v>
      </c>
      <c r="U273" s="364" t="s">
        <v>2328</v>
      </c>
      <c r="V273" s="364" t="s">
        <v>2329</v>
      </c>
      <c r="W273" s="364" t="s">
        <v>2416</v>
      </c>
      <c r="X273" s="364" t="s">
        <v>2381</v>
      </c>
      <c r="Y273" s="364" t="s">
        <v>2539</v>
      </c>
      <c r="Z273" s="364" t="s">
        <v>2540</v>
      </c>
      <c r="AA273" s="261" t="s">
        <v>183</v>
      </c>
      <c r="AB273" s="364" t="s">
        <v>2387</v>
      </c>
      <c r="AC273" s="364" t="s">
        <v>157</v>
      </c>
      <c r="AD273" s="364" t="s">
        <v>2461</v>
      </c>
      <c r="AE273" s="364" t="s">
        <v>2337</v>
      </c>
      <c r="AF273" s="364" t="s">
        <v>2338</v>
      </c>
      <c r="AG273" s="364" t="s">
        <v>2388</v>
      </c>
      <c r="AH273" s="364" t="s">
        <v>2339</v>
      </c>
      <c r="AI273" s="364" t="s">
        <v>2389</v>
      </c>
      <c r="AJ273" s="364" t="s">
        <v>2340</v>
      </c>
      <c r="AK273" s="364" t="s">
        <v>2341</v>
      </c>
      <c r="AL273" s="364" t="s">
        <v>2470</v>
      </c>
      <c r="AM273" s="364" t="s">
        <v>2422</v>
      </c>
      <c r="AN273" s="364" t="s">
        <v>2344</v>
      </c>
      <c r="AO273" s="364" t="s">
        <v>2346</v>
      </c>
      <c r="AP273" s="364" t="s">
        <v>2347</v>
      </c>
      <c r="AQ273" s="364" t="s">
        <v>2398</v>
      </c>
      <c r="AR273" s="364" t="s">
        <v>2445</v>
      </c>
      <c r="AS273" s="364" t="s">
        <v>2475</v>
      </c>
      <c r="AT273" s="364" t="s">
        <v>2476</v>
      </c>
      <c r="AU273" s="364" t="s">
        <v>2399</v>
      </c>
      <c r="AV273" s="364" t="s">
        <v>2491</v>
      </c>
      <c r="AW273" s="364" t="s">
        <v>2492</v>
      </c>
      <c r="AX273" s="364" t="s">
        <v>2477</v>
      </c>
      <c r="AY273" s="261" t="s">
        <v>2310</v>
      </c>
      <c r="AZ273" s="261" t="s">
        <v>2312</v>
      </c>
      <c r="BA273" s="261" t="s">
        <v>138</v>
      </c>
      <c r="BB273" s="261" t="s">
        <v>2316</v>
      </c>
      <c r="BC273" s="261" t="s">
        <v>2364</v>
      </c>
      <c r="BD273" s="261" t="s">
        <v>2534</v>
      </c>
      <c r="BE273" s="261" t="s">
        <v>2614</v>
      </c>
      <c r="BF273" s="261" t="s">
        <v>2545</v>
      </c>
      <c r="BG273" s="261" t="s">
        <v>2382</v>
      </c>
      <c r="BH273" s="261" t="s">
        <v>2383</v>
      </c>
      <c r="BI273" s="261" t="s">
        <v>2440</v>
      </c>
      <c r="BJ273" s="261" t="s">
        <v>2335</v>
      </c>
      <c r="BK273" s="261" t="s">
        <v>2611</v>
      </c>
      <c r="BL273" s="261" t="s">
        <v>2391</v>
      </c>
      <c r="BM273" s="261" t="s">
        <v>2393</v>
      </c>
      <c r="BN273" s="261" t="s">
        <v>2397</v>
      </c>
      <c r="BO273" s="261" t="s">
        <v>2349</v>
      </c>
      <c r="BP273" s="261" t="s">
        <v>2493</v>
      </c>
      <c r="BQ273" s="364"/>
      <c r="BR273" s="364"/>
      <c r="BS273" s="364"/>
      <c r="BT273" s="364"/>
      <c r="BU273" s="364"/>
      <c r="BV273" s="364"/>
      <c r="BW273" s="364"/>
      <c r="BX273" s="364"/>
      <c r="BY273" s="364"/>
      <c r="BZ273" s="364"/>
      <c r="CA273" s="364"/>
      <c r="CB273" s="364"/>
      <c r="CC273" s="364"/>
      <c r="CD273" s="364"/>
      <c r="CE273" s="364"/>
      <c r="CF273" s="364"/>
      <c r="CG273" s="364"/>
      <c r="CH273" s="364"/>
      <c r="CI273" s="364"/>
      <c r="CJ273" s="364"/>
      <c r="CK273" s="364"/>
      <c r="CL273" s="364"/>
      <c r="CM273" s="364"/>
      <c r="CN273" s="364"/>
      <c r="CO273" s="364"/>
      <c r="CP273" s="364"/>
      <c r="CQ273" s="364"/>
      <c r="CR273" s="364"/>
      <c r="CS273" s="364"/>
      <c r="CT273" s="364"/>
      <c r="CU273" s="364"/>
      <c r="CV273" s="364"/>
      <c r="CW273" s="364"/>
      <c r="CX273" s="364"/>
      <c r="CY273" s="364"/>
      <c r="CZ273" s="364"/>
      <c r="DA273" s="364"/>
      <c r="DB273" s="364"/>
      <c r="DC273" s="364"/>
      <c r="DD273" s="364"/>
      <c r="DE273" s="364"/>
      <c r="DF273" s="364"/>
      <c r="DG273" s="364"/>
      <c r="DH273" s="364"/>
      <c r="DI273" s="364"/>
      <c r="DJ273" s="364"/>
      <c r="DK273" s="364"/>
      <c r="DL273" s="364"/>
      <c r="DM273" s="364"/>
      <c r="DN273" s="364"/>
      <c r="DO273" s="364"/>
      <c r="DP273" s="364"/>
      <c r="DQ273" s="364"/>
      <c r="DR273" s="364"/>
      <c r="DS273" s="364"/>
      <c r="DT273" s="364"/>
      <c r="DU273" s="364"/>
      <c r="DV273" s="364"/>
      <c r="DW273" s="364"/>
      <c r="DX273" s="364"/>
      <c r="DY273" s="364"/>
      <c r="DZ273" s="364"/>
      <c r="EA273" s="364"/>
      <c r="EB273" s="364"/>
      <c r="EC273" s="364"/>
      <c r="ED273" s="364"/>
      <c r="EE273" s="364"/>
      <c r="EF273" s="364"/>
      <c r="EG273" s="364"/>
      <c r="EH273" s="364"/>
      <c r="EI273" s="364"/>
      <c r="EJ273" s="364"/>
      <c r="EK273" s="364"/>
      <c r="EL273" s="364"/>
      <c r="EM273" s="364"/>
      <c r="EN273" s="364"/>
      <c r="EO273" s="364"/>
      <c r="EP273" s="364"/>
      <c r="EQ273" s="364"/>
      <c r="ER273" s="364"/>
      <c r="ES273" s="364"/>
      <c r="ET273" s="364"/>
      <c r="EU273" s="364"/>
      <c r="EV273" s="364"/>
      <c r="EW273" s="364"/>
      <c r="EX273" s="364"/>
      <c r="EY273" s="364"/>
      <c r="EZ273" s="364"/>
      <c r="FA273" s="364"/>
      <c r="FB273" s="364"/>
      <c r="FC273" s="364"/>
      <c r="FD273" s="364"/>
      <c r="FE273" s="364"/>
      <c r="FF273" s="364"/>
      <c r="FG273" s="364"/>
      <c r="FH273" s="364"/>
      <c r="FI273" s="364"/>
      <c r="FJ273" s="364"/>
      <c r="FK273" s="364"/>
    </row>
    <row r="274" customFormat="false" ht="15.75" hidden="false" customHeight="false" outlineLevel="0" collapsed="false">
      <c r="A274" s="364" t="n">
        <v>540</v>
      </c>
      <c r="B274" s="364" t="n">
        <f aca="false">COUNTA(D274:FK274)</f>
        <v>64</v>
      </c>
      <c r="C274" s="364" t="s">
        <v>1414</v>
      </c>
      <c r="D274" s="364" t="s">
        <v>2356</v>
      </c>
      <c r="E274" s="364" t="s">
        <v>2313</v>
      </c>
      <c r="F274" s="364" t="s">
        <v>2618</v>
      </c>
      <c r="G274" s="364" t="s">
        <v>2465</v>
      </c>
      <c r="H274" s="364" t="s">
        <v>2543</v>
      </c>
      <c r="I274" s="364" t="s">
        <v>2317</v>
      </c>
      <c r="J274" s="364" t="s">
        <v>2365</v>
      </c>
      <c r="K274" s="364" t="s">
        <v>2320</v>
      </c>
      <c r="L274" s="364" t="s">
        <v>2535</v>
      </c>
      <c r="M274" s="364" t="s">
        <v>2366</v>
      </c>
      <c r="N274" s="364" t="s">
        <v>2369</v>
      </c>
      <c r="O274" s="364" t="s">
        <v>2370</v>
      </c>
      <c r="P274" s="364" t="s">
        <v>2371</v>
      </c>
      <c r="Q274" s="364" t="s">
        <v>2372</v>
      </c>
      <c r="R274" s="364" t="s">
        <v>2373</v>
      </c>
      <c r="S274" s="364" t="s">
        <v>2376</v>
      </c>
      <c r="T274" s="364" t="s">
        <v>2377</v>
      </c>
      <c r="U274" s="364" t="s">
        <v>2324</v>
      </c>
      <c r="V274" s="364" t="s">
        <v>2327</v>
      </c>
      <c r="W274" s="364" t="s">
        <v>2378</v>
      </c>
      <c r="X274" s="364" t="s">
        <v>2328</v>
      </c>
      <c r="Y274" s="364" t="s">
        <v>2329</v>
      </c>
      <c r="Z274" s="364" t="s">
        <v>2379</v>
      </c>
      <c r="AA274" s="364" t="s">
        <v>2381</v>
      </c>
      <c r="AB274" s="364" t="s">
        <v>2627</v>
      </c>
      <c r="AC274" s="364" t="s">
        <v>2539</v>
      </c>
      <c r="AD274" s="364" t="s">
        <v>2540</v>
      </c>
      <c r="AE274" s="261" t="s">
        <v>183</v>
      </c>
      <c r="AF274" s="364" t="s">
        <v>2386</v>
      </c>
      <c r="AG274" s="364" t="s">
        <v>2387</v>
      </c>
      <c r="AH274" s="364" t="s">
        <v>157</v>
      </c>
      <c r="AI274" s="364" t="s">
        <v>2337</v>
      </c>
      <c r="AJ274" s="364" t="s">
        <v>2338</v>
      </c>
      <c r="AK274" s="364" t="s">
        <v>2388</v>
      </c>
      <c r="AL274" s="364" t="s">
        <v>2339</v>
      </c>
      <c r="AM274" s="364" t="s">
        <v>2389</v>
      </c>
      <c r="AN274" s="364" t="s">
        <v>2340</v>
      </c>
      <c r="AO274" s="364" t="s">
        <v>2341</v>
      </c>
      <c r="AP274" s="364" t="s">
        <v>2619</v>
      </c>
      <c r="AQ274" s="364" t="s">
        <v>2344</v>
      </c>
      <c r="AR274" s="364" t="s">
        <v>2345</v>
      </c>
      <c r="AS274" s="364" t="s">
        <v>2346</v>
      </c>
      <c r="AT274" s="364" t="s">
        <v>2347</v>
      </c>
      <c r="AU274" s="364" t="s">
        <v>2445</v>
      </c>
      <c r="AV274" s="364" t="s">
        <v>2476</v>
      </c>
      <c r="AW274" s="364" t="s">
        <v>2399</v>
      </c>
      <c r="AX274" s="261" t="s">
        <v>2483</v>
      </c>
      <c r="AY274" s="261" t="s">
        <v>2310</v>
      </c>
      <c r="AZ274" s="261" t="s">
        <v>2312</v>
      </c>
      <c r="BA274" s="261" t="s">
        <v>138</v>
      </c>
      <c r="BB274" s="261" t="s">
        <v>2542</v>
      </c>
      <c r="BC274" s="261" t="s">
        <v>2316</v>
      </c>
      <c r="BD274" s="261" t="s">
        <v>2364</v>
      </c>
      <c r="BE274" s="261" t="s">
        <v>2374</v>
      </c>
      <c r="BF274" s="261" t="s">
        <v>2545</v>
      </c>
      <c r="BG274" s="261" t="s">
        <v>2610</v>
      </c>
      <c r="BH274" s="261" t="s">
        <v>2382</v>
      </c>
      <c r="BI274" s="261" t="s">
        <v>2383</v>
      </c>
      <c r="BJ274" s="261" t="s">
        <v>2440</v>
      </c>
      <c r="BK274" s="261" t="s">
        <v>2335</v>
      </c>
      <c r="BL274" s="261" t="s">
        <v>2391</v>
      </c>
      <c r="BM274" s="261" t="s">
        <v>2393</v>
      </c>
      <c r="BN274" s="261" t="s">
        <v>2397</v>
      </c>
      <c r="BO274" s="261" t="s">
        <v>2349</v>
      </c>
      <c r="BP274" s="364"/>
      <c r="BQ274" s="364"/>
      <c r="BR274" s="364"/>
      <c r="BS274" s="364"/>
      <c r="BT274" s="364"/>
      <c r="BU274" s="364"/>
      <c r="BV274" s="364"/>
      <c r="BW274" s="364"/>
      <c r="BX274" s="364"/>
      <c r="BY274" s="364"/>
      <c r="BZ274" s="364"/>
      <c r="CA274" s="364"/>
      <c r="CB274" s="364"/>
      <c r="CC274" s="364"/>
      <c r="CD274" s="364"/>
      <c r="CE274" s="364"/>
      <c r="CF274" s="364"/>
      <c r="CG274" s="364"/>
      <c r="CH274" s="364"/>
      <c r="CI274" s="364"/>
      <c r="CJ274" s="364"/>
      <c r="CK274" s="364"/>
      <c r="CL274" s="364"/>
      <c r="CM274" s="364"/>
      <c r="CN274" s="364"/>
      <c r="CO274" s="364"/>
      <c r="CP274" s="364"/>
      <c r="CQ274" s="364"/>
      <c r="CR274" s="364"/>
      <c r="CS274" s="364"/>
      <c r="CT274" s="364"/>
      <c r="CU274" s="364"/>
      <c r="CV274" s="364"/>
      <c r="CW274" s="364"/>
      <c r="CX274" s="364"/>
      <c r="CY274" s="364"/>
      <c r="CZ274" s="364"/>
      <c r="DA274" s="364"/>
      <c r="DB274" s="364"/>
      <c r="DC274" s="364"/>
      <c r="DD274" s="364"/>
      <c r="DE274" s="364"/>
      <c r="DF274" s="364"/>
      <c r="DG274" s="364"/>
      <c r="DH274" s="364"/>
      <c r="DI274" s="364"/>
      <c r="DJ274" s="364"/>
      <c r="DK274" s="364"/>
      <c r="DL274" s="364"/>
      <c r="DM274" s="364"/>
      <c r="DN274" s="364"/>
      <c r="DO274" s="364"/>
      <c r="DP274" s="364"/>
      <c r="DQ274" s="364"/>
      <c r="DR274" s="364"/>
      <c r="DS274" s="364"/>
      <c r="DT274" s="364"/>
      <c r="DU274" s="364"/>
      <c r="DV274" s="364"/>
      <c r="DW274" s="364"/>
      <c r="DX274" s="364"/>
      <c r="DY274" s="364"/>
      <c r="DZ274" s="364"/>
      <c r="EA274" s="364"/>
      <c r="EB274" s="364"/>
      <c r="EC274" s="364"/>
      <c r="ED274" s="364"/>
      <c r="EE274" s="364"/>
      <c r="EF274" s="364"/>
      <c r="EG274" s="364"/>
      <c r="EH274" s="364"/>
      <c r="EI274" s="364"/>
      <c r="EJ274" s="364"/>
      <c r="EK274" s="364"/>
      <c r="EL274" s="364"/>
      <c r="EM274" s="364"/>
      <c r="EN274" s="364"/>
      <c r="EO274" s="364"/>
      <c r="EP274" s="364"/>
      <c r="EQ274" s="364"/>
      <c r="ER274" s="364"/>
      <c r="ES274" s="364"/>
      <c r="ET274" s="364"/>
      <c r="EU274" s="364"/>
      <c r="EV274" s="364"/>
      <c r="EW274" s="364"/>
      <c r="EX274" s="364"/>
      <c r="EY274" s="364"/>
      <c r="EZ274" s="364"/>
      <c r="FA274" s="364"/>
      <c r="FB274" s="364"/>
      <c r="FC274" s="364"/>
      <c r="FD274" s="364"/>
      <c r="FE274" s="364"/>
      <c r="FF274" s="364"/>
      <c r="FG274" s="364"/>
      <c r="FH274" s="364"/>
      <c r="FI274" s="364"/>
      <c r="FJ274" s="364"/>
      <c r="FK274" s="364"/>
    </row>
    <row r="275" customFormat="false" ht="15.75" hidden="false" customHeight="false" outlineLevel="0" collapsed="false">
      <c r="A275" s="364" t="n">
        <v>541</v>
      </c>
      <c r="B275" s="364" t="n">
        <f aca="false">COUNTA(D275:FK275)</f>
        <v>66</v>
      </c>
      <c r="C275" s="364" t="s">
        <v>1416</v>
      </c>
      <c r="D275" s="364" t="s">
        <v>2352</v>
      </c>
      <c r="E275" s="364" t="s">
        <v>2353</v>
      </c>
      <c r="F275" s="364" t="s">
        <v>2354</v>
      </c>
      <c r="G275" s="364" t="s">
        <v>2561</v>
      </c>
      <c r="H275" s="364" t="s">
        <v>2635</v>
      </c>
      <c r="I275" s="364" t="s">
        <v>2356</v>
      </c>
      <c r="J275" s="364" t="s">
        <v>2465</v>
      </c>
      <c r="K275" s="364" t="s">
        <v>2517</v>
      </c>
      <c r="L275" s="364" t="s">
        <v>2520</v>
      </c>
      <c r="M275" s="364" t="s">
        <v>2435</v>
      </c>
      <c r="N275" s="364" t="s">
        <v>2318</v>
      </c>
      <c r="O275" s="364" t="s">
        <v>2448</v>
      </c>
      <c r="P275" s="364" t="s">
        <v>2547</v>
      </c>
      <c r="Q275" s="364" t="s">
        <v>2320</v>
      </c>
      <c r="R275" s="364" t="s">
        <v>2366</v>
      </c>
      <c r="S275" s="364" t="s">
        <v>2373</v>
      </c>
      <c r="T275" s="364" t="s">
        <v>2375</v>
      </c>
      <c r="U275" s="364" t="s">
        <v>2377</v>
      </c>
      <c r="V275" s="364" t="s">
        <v>2324</v>
      </c>
      <c r="W275" s="364" t="s">
        <v>2325</v>
      </c>
      <c r="X275" s="364" t="s">
        <v>2327</v>
      </c>
      <c r="Y275" s="364" t="s">
        <v>2378</v>
      </c>
      <c r="Z275" s="364" t="s">
        <v>2328</v>
      </c>
      <c r="AA275" s="364" t="s">
        <v>2329</v>
      </c>
      <c r="AB275" s="364" t="s">
        <v>2521</v>
      </c>
      <c r="AC275" s="364" t="s">
        <v>2379</v>
      </c>
      <c r="AD275" s="364" t="s">
        <v>2468</v>
      </c>
      <c r="AE275" s="261" t="s">
        <v>183</v>
      </c>
      <c r="AF275" s="364" t="s">
        <v>2385</v>
      </c>
      <c r="AG275" s="364" t="s">
        <v>2460</v>
      </c>
      <c r="AH275" s="364" t="s">
        <v>2620</v>
      </c>
      <c r="AI275" s="364" t="s">
        <v>157</v>
      </c>
      <c r="AJ275" s="364" t="s">
        <v>2495</v>
      </c>
      <c r="AK275" s="364" t="s">
        <v>2337</v>
      </c>
      <c r="AL275" s="364" t="s">
        <v>2469</v>
      </c>
      <c r="AM275" s="364" t="s">
        <v>2339</v>
      </c>
      <c r="AN275" s="364" t="s">
        <v>2420</v>
      </c>
      <c r="AO275" s="364" t="s">
        <v>2340</v>
      </c>
      <c r="AP275" s="364" t="s">
        <v>2341</v>
      </c>
      <c r="AQ275" s="364" t="s">
        <v>2442</v>
      </c>
      <c r="AR275" s="364" t="s">
        <v>2470</v>
      </c>
      <c r="AS275" s="364" t="s">
        <v>2422</v>
      </c>
      <c r="AT275" s="364" t="s">
        <v>2443</v>
      </c>
      <c r="AU275" s="364" t="s">
        <v>2462</v>
      </c>
      <c r="AV275" s="364" t="s">
        <v>2344</v>
      </c>
      <c r="AW275" s="364" t="s">
        <v>2345</v>
      </c>
      <c r="AX275" s="364" t="s">
        <v>2396</v>
      </c>
      <c r="AY275" s="364" t="s">
        <v>2398</v>
      </c>
      <c r="AZ275" s="364" t="s">
        <v>2400</v>
      </c>
      <c r="BA275" s="364" t="s">
        <v>2428</v>
      </c>
      <c r="BB275" s="364" t="s">
        <v>2430</v>
      </c>
      <c r="BC275" s="261" t="s">
        <v>2312</v>
      </c>
      <c r="BD275" s="261" t="s">
        <v>138</v>
      </c>
      <c r="BE275" s="261" t="s">
        <v>2316</v>
      </c>
      <c r="BF275" s="261" t="s">
        <v>2632</v>
      </c>
      <c r="BG275" s="261" t="s">
        <v>2640</v>
      </c>
      <c r="BH275" s="261" t="s">
        <v>2550</v>
      </c>
      <c r="BI275" s="261" t="s">
        <v>2623</v>
      </c>
      <c r="BJ275" s="261" t="s">
        <v>2382</v>
      </c>
      <c r="BK275" s="261" t="s">
        <v>2383</v>
      </c>
      <c r="BL275" s="261" t="s">
        <v>2480</v>
      </c>
      <c r="BM275" s="261" t="s">
        <v>2391</v>
      </c>
      <c r="BN275" s="261" t="s">
        <v>2514</v>
      </c>
      <c r="BO275" s="261" t="s">
        <v>2641</v>
      </c>
      <c r="BP275" s="261" t="s">
        <v>2572</v>
      </c>
      <c r="BQ275" s="261" t="s">
        <v>2493</v>
      </c>
      <c r="BR275" s="364"/>
      <c r="BS275" s="364"/>
      <c r="BT275" s="364"/>
      <c r="BU275" s="364"/>
      <c r="BV275" s="364"/>
      <c r="BW275" s="364"/>
      <c r="BX275" s="364"/>
      <c r="BY275" s="364"/>
      <c r="BZ275" s="364"/>
      <c r="CA275" s="364"/>
      <c r="CB275" s="364"/>
      <c r="CC275" s="364"/>
      <c r="CD275" s="364"/>
      <c r="CE275" s="364"/>
      <c r="CF275" s="364"/>
      <c r="CG275" s="364"/>
      <c r="CH275" s="364"/>
      <c r="CI275" s="364"/>
      <c r="CJ275" s="364"/>
      <c r="CK275" s="364"/>
      <c r="CL275" s="364"/>
      <c r="CM275" s="364"/>
      <c r="CN275" s="364"/>
      <c r="CO275" s="364"/>
      <c r="CP275" s="364"/>
      <c r="CQ275" s="364"/>
      <c r="CR275" s="364"/>
      <c r="CS275" s="364"/>
      <c r="CT275" s="364"/>
      <c r="CU275" s="364"/>
      <c r="CV275" s="364"/>
      <c r="CW275" s="364"/>
      <c r="CX275" s="364"/>
      <c r="CY275" s="364"/>
      <c r="CZ275" s="364"/>
      <c r="DA275" s="364"/>
      <c r="DB275" s="364"/>
      <c r="DC275" s="364"/>
      <c r="DD275" s="364"/>
      <c r="DE275" s="364"/>
      <c r="DF275" s="364"/>
      <c r="DG275" s="364"/>
      <c r="DH275" s="364"/>
      <c r="DI275" s="364"/>
      <c r="DJ275" s="364"/>
      <c r="DK275" s="364"/>
      <c r="DL275" s="364"/>
      <c r="DM275" s="364"/>
      <c r="DN275" s="364"/>
      <c r="DO275" s="364"/>
      <c r="DP275" s="364"/>
      <c r="DQ275" s="364"/>
      <c r="DR275" s="364"/>
      <c r="DS275" s="364"/>
      <c r="DT275" s="364"/>
      <c r="DU275" s="364"/>
      <c r="DV275" s="364"/>
      <c r="DW275" s="364"/>
      <c r="DX275" s="364"/>
      <c r="DY275" s="364"/>
      <c r="DZ275" s="364"/>
      <c r="EA275" s="364"/>
      <c r="EB275" s="364"/>
      <c r="EC275" s="364"/>
      <c r="ED275" s="364"/>
      <c r="EE275" s="364"/>
      <c r="EF275" s="364"/>
      <c r="EG275" s="364"/>
      <c r="EH275" s="364"/>
      <c r="EI275" s="364"/>
      <c r="EJ275" s="364"/>
      <c r="EK275" s="364"/>
      <c r="EL275" s="364"/>
      <c r="EM275" s="364"/>
      <c r="EN275" s="364"/>
      <c r="EO275" s="364"/>
      <c r="EP275" s="364"/>
      <c r="EQ275" s="364"/>
      <c r="ER275" s="364"/>
      <c r="ES275" s="364"/>
      <c r="ET275" s="364"/>
      <c r="EU275" s="364"/>
      <c r="EV275" s="364"/>
      <c r="EW275" s="364"/>
      <c r="EX275" s="364"/>
      <c r="EY275" s="364"/>
      <c r="EZ275" s="364"/>
      <c r="FA275" s="364"/>
      <c r="FB275" s="364"/>
      <c r="FC275" s="364"/>
      <c r="FD275" s="364"/>
      <c r="FE275" s="364"/>
      <c r="FF275" s="364"/>
      <c r="FG275" s="364"/>
      <c r="FH275" s="364"/>
      <c r="FI275" s="364"/>
      <c r="FJ275" s="364"/>
      <c r="FK275" s="364"/>
    </row>
    <row r="276" customFormat="false" ht="15.75" hidden="false" customHeight="false" outlineLevel="0" collapsed="false">
      <c r="A276" s="364" t="n">
        <v>542</v>
      </c>
      <c r="B276" s="364" t="n">
        <f aca="false">COUNTA(D276:FK276)</f>
        <v>41</v>
      </c>
      <c r="C276" s="364" t="s">
        <v>1418</v>
      </c>
      <c r="D276" s="364" t="s">
        <v>2352</v>
      </c>
      <c r="E276" s="364" t="s">
        <v>2353</v>
      </c>
      <c r="F276" s="364" t="s">
        <v>2354</v>
      </c>
      <c r="G276" s="364" t="s">
        <v>2561</v>
      </c>
      <c r="H276" s="364" t="s">
        <v>2432</v>
      </c>
      <c r="I276" s="364" t="s">
        <v>2433</v>
      </c>
      <c r="J276" s="364" t="s">
        <v>2435</v>
      </c>
      <c r="K276" s="364" t="s">
        <v>2320</v>
      </c>
      <c r="L276" s="364" t="s">
        <v>2534</v>
      </c>
      <c r="M276" s="364" t="s">
        <v>2323</v>
      </c>
      <c r="N276" s="364" t="s">
        <v>2324</v>
      </c>
      <c r="O276" s="364" t="s">
        <v>2327</v>
      </c>
      <c r="P276" s="364" t="s">
        <v>2328</v>
      </c>
      <c r="Q276" s="364" t="s">
        <v>2329</v>
      </c>
      <c r="R276" s="364" t="s">
        <v>2507</v>
      </c>
      <c r="S276" s="261" t="s">
        <v>183</v>
      </c>
      <c r="T276" s="364" t="s">
        <v>2531</v>
      </c>
      <c r="U276" s="364" t="s">
        <v>2385</v>
      </c>
      <c r="V276" s="364" t="s">
        <v>157</v>
      </c>
      <c r="W276" s="364" t="s">
        <v>2455</v>
      </c>
      <c r="X276" s="364" t="s">
        <v>2461</v>
      </c>
      <c r="Y276" s="364" t="s">
        <v>2337</v>
      </c>
      <c r="Z276" s="364" t="s">
        <v>2340</v>
      </c>
      <c r="AA276" s="364" t="s">
        <v>2341</v>
      </c>
      <c r="AB276" s="364" t="s">
        <v>2442</v>
      </c>
      <c r="AC276" s="364" t="s">
        <v>2422</v>
      </c>
      <c r="AD276" s="364" t="s">
        <v>2443</v>
      </c>
      <c r="AE276" s="364" t="s">
        <v>2395</v>
      </c>
      <c r="AF276" s="364" t="s">
        <v>2344</v>
      </c>
      <c r="AG276" s="364" t="s">
        <v>2345</v>
      </c>
      <c r="AH276" s="364" t="s">
        <v>2575</v>
      </c>
      <c r="AI276" s="364" t="s">
        <v>2396</v>
      </c>
      <c r="AJ276" s="364" t="s">
        <v>2444</v>
      </c>
      <c r="AK276" s="364" t="s">
        <v>2398</v>
      </c>
      <c r="AL276" s="364" t="s">
        <v>2348</v>
      </c>
      <c r="AM276" s="364" t="s">
        <v>2445</v>
      </c>
      <c r="AN276" s="364" t="s">
        <v>2463</v>
      </c>
      <c r="AO276" s="364" t="s">
        <v>2446</v>
      </c>
      <c r="AP276" s="261" t="s">
        <v>2316</v>
      </c>
      <c r="AQ276" s="261" t="s">
        <v>2535</v>
      </c>
      <c r="AR276" s="261" t="s">
        <v>2401</v>
      </c>
      <c r="AS276" s="364"/>
      <c r="AT276" s="364"/>
      <c r="AU276" s="364"/>
      <c r="AV276" s="364"/>
      <c r="AW276" s="364"/>
      <c r="AX276" s="364"/>
      <c r="AY276" s="364"/>
      <c r="AZ276" s="364"/>
      <c r="BA276" s="364"/>
      <c r="BB276" s="364"/>
      <c r="BC276" s="364"/>
      <c r="BD276" s="364"/>
      <c r="BE276" s="364"/>
      <c r="BF276" s="364"/>
      <c r="BG276" s="364"/>
      <c r="BH276" s="364"/>
      <c r="BI276" s="364"/>
      <c r="BJ276" s="364"/>
      <c r="BK276" s="364"/>
      <c r="BL276" s="364"/>
      <c r="BM276" s="364"/>
      <c r="BN276" s="364"/>
      <c r="BO276" s="364"/>
      <c r="BP276" s="364"/>
      <c r="BQ276" s="364"/>
      <c r="BR276" s="364"/>
      <c r="BS276" s="364"/>
      <c r="BT276" s="364"/>
      <c r="BU276" s="364"/>
      <c r="BV276" s="364"/>
      <c r="BW276" s="364"/>
      <c r="BX276" s="364"/>
      <c r="BY276" s="364"/>
      <c r="BZ276" s="364"/>
      <c r="CA276" s="364"/>
      <c r="CB276" s="364"/>
      <c r="CC276" s="364"/>
      <c r="CD276" s="364"/>
      <c r="CE276" s="364"/>
      <c r="CF276" s="364"/>
      <c r="CG276" s="364"/>
      <c r="CH276" s="364"/>
      <c r="CI276" s="364"/>
      <c r="CJ276" s="364"/>
      <c r="CK276" s="364"/>
      <c r="CL276" s="364"/>
      <c r="CM276" s="364"/>
      <c r="CN276" s="364"/>
      <c r="CO276" s="364"/>
      <c r="CP276" s="364"/>
      <c r="CQ276" s="364"/>
      <c r="CR276" s="364"/>
      <c r="CS276" s="364"/>
      <c r="CT276" s="364"/>
      <c r="CU276" s="364"/>
      <c r="CV276" s="364"/>
      <c r="CW276" s="364"/>
      <c r="CX276" s="364"/>
      <c r="CY276" s="364"/>
      <c r="CZ276" s="364"/>
      <c r="DA276" s="364"/>
      <c r="DB276" s="364"/>
      <c r="DC276" s="364"/>
      <c r="DD276" s="364"/>
      <c r="DE276" s="364"/>
      <c r="DF276" s="364"/>
      <c r="DG276" s="364"/>
      <c r="DH276" s="364"/>
      <c r="DI276" s="364"/>
      <c r="DJ276" s="364"/>
      <c r="DK276" s="364"/>
      <c r="DL276" s="364"/>
      <c r="DM276" s="364"/>
      <c r="DN276" s="364"/>
      <c r="DO276" s="364"/>
      <c r="DP276" s="364"/>
      <c r="DQ276" s="364"/>
      <c r="DR276" s="364"/>
      <c r="DS276" s="364"/>
      <c r="DT276" s="364"/>
      <c r="DU276" s="364"/>
      <c r="DV276" s="364"/>
      <c r="DW276" s="364"/>
      <c r="DX276" s="364"/>
      <c r="DY276" s="364"/>
      <c r="DZ276" s="364"/>
      <c r="EA276" s="364"/>
      <c r="EB276" s="364"/>
      <c r="EC276" s="364"/>
      <c r="ED276" s="364"/>
      <c r="EE276" s="364"/>
      <c r="EF276" s="364"/>
      <c r="EG276" s="364"/>
      <c r="EH276" s="364"/>
      <c r="EI276" s="364"/>
      <c r="EJ276" s="364"/>
      <c r="EK276" s="364"/>
      <c r="EL276" s="364"/>
      <c r="EM276" s="364"/>
      <c r="EN276" s="364"/>
      <c r="EO276" s="364"/>
      <c r="EP276" s="364"/>
      <c r="EQ276" s="364"/>
      <c r="ER276" s="364"/>
      <c r="ES276" s="364"/>
      <c r="ET276" s="364"/>
      <c r="EU276" s="364"/>
      <c r="EV276" s="364"/>
      <c r="EW276" s="364"/>
      <c r="EX276" s="364"/>
      <c r="EY276" s="364"/>
      <c r="EZ276" s="364"/>
      <c r="FA276" s="364"/>
      <c r="FB276" s="364"/>
      <c r="FC276" s="364"/>
      <c r="FD276" s="364"/>
      <c r="FE276" s="364"/>
      <c r="FF276" s="364"/>
      <c r="FG276" s="364"/>
      <c r="FH276" s="364"/>
      <c r="FI276" s="364"/>
      <c r="FJ276" s="364"/>
      <c r="FK276" s="364"/>
    </row>
    <row r="277" customFormat="false" ht="15.75" hidden="false" customHeight="false" outlineLevel="0" collapsed="false">
      <c r="A277" s="364" t="n">
        <v>543</v>
      </c>
      <c r="B277" s="364" t="n">
        <f aca="false">COUNTA(D277:FK277)</f>
        <v>36</v>
      </c>
      <c r="C277" s="364" t="s">
        <v>1420</v>
      </c>
      <c r="D277" s="364" t="s">
        <v>2352</v>
      </c>
      <c r="E277" s="364" t="s">
        <v>2314</v>
      </c>
      <c r="F277" s="364" t="s">
        <v>2465</v>
      </c>
      <c r="G277" s="364" t="s">
        <v>2358</v>
      </c>
      <c r="H277" s="364" t="s">
        <v>2318</v>
      </c>
      <c r="I277" s="364" t="s">
        <v>2319</v>
      </c>
      <c r="J277" s="364" t="s">
        <v>2320</v>
      </c>
      <c r="K277" s="364" t="s">
        <v>2322</v>
      </c>
      <c r="L277" s="364" t="s">
        <v>2323</v>
      </c>
      <c r="M277" s="364" t="s">
        <v>2324</v>
      </c>
      <c r="N277" s="364" t="s">
        <v>2325</v>
      </c>
      <c r="O277" s="364" t="s">
        <v>2327</v>
      </c>
      <c r="P277" s="364" t="s">
        <v>2328</v>
      </c>
      <c r="Q277" s="364" t="s">
        <v>2329</v>
      </c>
      <c r="R277" s="364" t="s">
        <v>2521</v>
      </c>
      <c r="S277" s="364" t="s">
        <v>2381</v>
      </c>
      <c r="T277" s="364" t="s">
        <v>2330</v>
      </c>
      <c r="U277" s="364" t="s">
        <v>2468</v>
      </c>
      <c r="V277" s="364" t="s">
        <v>2556</v>
      </c>
      <c r="W277" s="364" t="s">
        <v>2623</v>
      </c>
      <c r="X277" s="261" t="s">
        <v>183</v>
      </c>
      <c r="Y277" s="364" t="s">
        <v>2461</v>
      </c>
      <c r="Z277" s="364" t="s">
        <v>2336</v>
      </c>
      <c r="AA277" s="364" t="s">
        <v>2337</v>
      </c>
      <c r="AB277" s="364" t="s">
        <v>2469</v>
      </c>
      <c r="AC277" s="364" t="s">
        <v>2339</v>
      </c>
      <c r="AD277" s="364" t="s">
        <v>2340</v>
      </c>
      <c r="AE277" s="364" t="s">
        <v>2341</v>
      </c>
      <c r="AF277" s="364" t="s">
        <v>2342</v>
      </c>
      <c r="AG277" s="364" t="s">
        <v>2442</v>
      </c>
      <c r="AH277" s="364" t="s">
        <v>2344</v>
      </c>
      <c r="AI277" s="364" t="s">
        <v>2345</v>
      </c>
      <c r="AJ277" s="364" t="s">
        <v>2347</v>
      </c>
      <c r="AK277" s="364" t="s">
        <v>2398</v>
      </c>
      <c r="AL277" s="364" t="s">
        <v>2348</v>
      </c>
      <c r="AM277" s="364" t="s">
        <v>2458</v>
      </c>
      <c r="AN277" s="364"/>
      <c r="AO277" s="364"/>
      <c r="AP277" s="364"/>
      <c r="AQ277" s="364"/>
      <c r="AR277" s="364"/>
      <c r="AS277" s="364"/>
      <c r="AT277" s="364"/>
      <c r="AU277" s="364"/>
      <c r="AV277" s="364"/>
      <c r="AW277" s="364"/>
      <c r="AX277" s="364"/>
      <c r="AY277" s="364"/>
      <c r="AZ277" s="364"/>
      <c r="BA277" s="364"/>
      <c r="BB277" s="364"/>
      <c r="BC277" s="364"/>
      <c r="BD277" s="364"/>
      <c r="BE277" s="364"/>
      <c r="BF277" s="364"/>
      <c r="BG277" s="364"/>
      <c r="BH277" s="364"/>
      <c r="BI277" s="364"/>
      <c r="BJ277" s="364"/>
      <c r="BK277" s="364"/>
      <c r="BL277" s="364"/>
      <c r="BM277" s="364"/>
      <c r="BN277" s="364"/>
      <c r="BO277" s="364"/>
      <c r="BP277" s="364"/>
      <c r="BQ277" s="364"/>
      <c r="BR277" s="364"/>
      <c r="BS277" s="364"/>
      <c r="BT277" s="364"/>
      <c r="BU277" s="364"/>
      <c r="BV277" s="364"/>
      <c r="BW277" s="364"/>
      <c r="BX277" s="364"/>
      <c r="BY277" s="364"/>
      <c r="BZ277" s="364"/>
      <c r="CA277" s="364"/>
      <c r="CB277" s="364"/>
      <c r="CC277" s="364"/>
      <c r="CD277" s="364"/>
      <c r="CE277" s="364"/>
      <c r="CF277" s="364"/>
      <c r="CG277" s="364"/>
      <c r="CH277" s="364"/>
      <c r="CI277" s="364"/>
      <c r="CJ277" s="364"/>
      <c r="CK277" s="364"/>
      <c r="CL277" s="364"/>
      <c r="CM277" s="364"/>
      <c r="CN277" s="364"/>
      <c r="CO277" s="364"/>
      <c r="CP277" s="364"/>
      <c r="CQ277" s="364"/>
      <c r="CR277" s="364"/>
      <c r="CS277" s="364"/>
      <c r="CT277" s="364"/>
      <c r="CU277" s="364"/>
      <c r="CV277" s="364"/>
      <c r="CW277" s="364"/>
      <c r="CX277" s="364"/>
      <c r="CY277" s="364"/>
      <c r="CZ277" s="364"/>
      <c r="DA277" s="364"/>
      <c r="DB277" s="364"/>
      <c r="DC277" s="364"/>
      <c r="DD277" s="364"/>
      <c r="DE277" s="364"/>
      <c r="DF277" s="364"/>
      <c r="DG277" s="364"/>
      <c r="DH277" s="364"/>
      <c r="DI277" s="364"/>
      <c r="DJ277" s="364"/>
      <c r="DK277" s="364"/>
      <c r="DL277" s="364"/>
      <c r="DM277" s="364"/>
      <c r="DN277" s="364"/>
      <c r="DO277" s="364"/>
      <c r="DP277" s="364"/>
      <c r="DQ277" s="364"/>
      <c r="DR277" s="364"/>
      <c r="DS277" s="364"/>
      <c r="DT277" s="364"/>
      <c r="DU277" s="364"/>
      <c r="DV277" s="364"/>
      <c r="DW277" s="364"/>
      <c r="DX277" s="364"/>
      <c r="DY277" s="364"/>
      <c r="DZ277" s="364"/>
      <c r="EA277" s="364"/>
      <c r="EB277" s="364"/>
      <c r="EC277" s="364"/>
      <c r="ED277" s="364"/>
      <c r="EE277" s="364"/>
      <c r="EF277" s="364"/>
      <c r="EG277" s="364"/>
      <c r="EH277" s="364"/>
      <c r="EI277" s="364"/>
      <c r="EJ277" s="364"/>
      <c r="EK277" s="364"/>
      <c r="EL277" s="364"/>
      <c r="EM277" s="364"/>
      <c r="EN277" s="364"/>
      <c r="EO277" s="364"/>
      <c r="EP277" s="364"/>
      <c r="EQ277" s="364"/>
      <c r="ER277" s="364"/>
      <c r="ES277" s="364"/>
      <c r="ET277" s="364"/>
      <c r="EU277" s="364"/>
      <c r="EV277" s="364"/>
      <c r="EW277" s="364"/>
      <c r="EX277" s="364"/>
      <c r="EY277" s="364"/>
      <c r="EZ277" s="364"/>
      <c r="FA277" s="364"/>
      <c r="FB277" s="364"/>
      <c r="FC277" s="364"/>
      <c r="FD277" s="364"/>
      <c r="FE277" s="364"/>
      <c r="FF277" s="364"/>
      <c r="FG277" s="364"/>
      <c r="FH277" s="364"/>
      <c r="FI277" s="364"/>
      <c r="FJ277" s="364"/>
      <c r="FK277" s="364"/>
    </row>
    <row r="278" customFormat="false" ht="15.75" hidden="false" customHeight="false" outlineLevel="0" collapsed="false">
      <c r="A278" s="364" t="n">
        <v>544</v>
      </c>
      <c r="B278" s="364" t="n">
        <f aca="false">COUNTA(D278:FK278)</f>
        <v>35</v>
      </c>
      <c r="C278" s="364" t="s">
        <v>1422</v>
      </c>
      <c r="D278" s="364" t="s">
        <v>2402</v>
      </c>
      <c r="E278" s="364" t="s">
        <v>2403</v>
      </c>
      <c r="F278" s="364" t="s">
        <v>2404</v>
      </c>
      <c r="G278" s="364" t="s">
        <v>2405</v>
      </c>
      <c r="H278" s="364" t="s">
        <v>2465</v>
      </c>
      <c r="I278" s="364" t="s">
        <v>2358</v>
      </c>
      <c r="J278" s="364" t="s">
        <v>2318</v>
      </c>
      <c r="K278" s="364" t="s">
        <v>2320</v>
      </c>
      <c r="L278" s="364" t="s">
        <v>2502</v>
      </c>
      <c r="M278" s="364" t="s">
        <v>2324</v>
      </c>
      <c r="N278" s="364" t="s">
        <v>2327</v>
      </c>
      <c r="O278" s="364" t="s">
        <v>2328</v>
      </c>
      <c r="P278" s="364" t="s">
        <v>2329</v>
      </c>
      <c r="Q278" s="364" t="s">
        <v>2521</v>
      </c>
      <c r="R278" s="364" t="s">
        <v>2415</v>
      </c>
      <c r="S278" s="364" t="s">
        <v>2485</v>
      </c>
      <c r="T278" s="364" t="s">
        <v>2525</v>
      </c>
      <c r="U278" s="364" t="s">
        <v>2417</v>
      </c>
      <c r="V278" s="364" t="s">
        <v>2381</v>
      </c>
      <c r="W278" s="364" t="s">
        <v>2468</v>
      </c>
      <c r="X278" s="364" t="s">
        <v>2596</v>
      </c>
      <c r="Y278" s="261" t="s">
        <v>183</v>
      </c>
      <c r="Z278" s="364" t="s">
        <v>2461</v>
      </c>
      <c r="AA278" s="364" t="s">
        <v>2337</v>
      </c>
      <c r="AB278" s="364" t="s">
        <v>2469</v>
      </c>
      <c r="AC278" s="364" t="s">
        <v>2339</v>
      </c>
      <c r="AD278" s="364" t="s">
        <v>2340</v>
      </c>
      <c r="AE278" s="364" t="s">
        <v>2341</v>
      </c>
      <c r="AF278" s="364" t="s">
        <v>2442</v>
      </c>
      <c r="AG278" s="364" t="s">
        <v>2422</v>
      </c>
      <c r="AH278" s="364" t="s">
        <v>2344</v>
      </c>
      <c r="AI278" s="364" t="s">
        <v>2347</v>
      </c>
      <c r="AJ278" s="364" t="s">
        <v>2398</v>
      </c>
      <c r="AK278" s="364" t="s">
        <v>2348</v>
      </c>
      <c r="AL278" s="364" t="s">
        <v>2428</v>
      </c>
      <c r="AM278" s="364"/>
      <c r="AN278" s="364"/>
      <c r="AO278" s="364"/>
      <c r="AP278" s="364"/>
      <c r="AQ278" s="364"/>
      <c r="AR278" s="364"/>
      <c r="AS278" s="364"/>
      <c r="AT278" s="364"/>
      <c r="AU278" s="364"/>
      <c r="AV278" s="364"/>
      <c r="AW278" s="364"/>
      <c r="AX278" s="364"/>
      <c r="AY278" s="364"/>
      <c r="AZ278" s="364"/>
      <c r="BA278" s="364"/>
      <c r="BB278" s="364"/>
      <c r="BC278" s="364"/>
      <c r="BD278" s="364"/>
      <c r="BE278" s="364"/>
      <c r="BF278" s="364"/>
      <c r="BG278" s="364"/>
      <c r="BH278" s="364"/>
      <c r="BI278" s="364"/>
      <c r="BJ278" s="364"/>
      <c r="BK278" s="364"/>
      <c r="BL278" s="364"/>
      <c r="BM278" s="364"/>
      <c r="BN278" s="364"/>
      <c r="BO278" s="364"/>
      <c r="BP278" s="364"/>
      <c r="BQ278" s="364"/>
      <c r="BR278" s="364"/>
      <c r="BS278" s="364"/>
      <c r="BT278" s="364"/>
      <c r="BU278" s="364"/>
      <c r="BV278" s="364"/>
      <c r="BW278" s="364"/>
      <c r="BX278" s="364"/>
      <c r="BY278" s="364"/>
      <c r="BZ278" s="364"/>
      <c r="CA278" s="364"/>
      <c r="CB278" s="364"/>
      <c r="CC278" s="364"/>
      <c r="CD278" s="364"/>
      <c r="CE278" s="364"/>
      <c r="CF278" s="364"/>
      <c r="CG278" s="364"/>
      <c r="CH278" s="364"/>
      <c r="CI278" s="364"/>
      <c r="CJ278" s="364"/>
      <c r="CK278" s="364"/>
      <c r="CL278" s="364"/>
      <c r="CM278" s="364"/>
      <c r="CN278" s="364"/>
      <c r="CO278" s="364"/>
      <c r="CP278" s="364"/>
      <c r="CQ278" s="364"/>
      <c r="CR278" s="364"/>
      <c r="CS278" s="364"/>
      <c r="CT278" s="364"/>
      <c r="CU278" s="364"/>
      <c r="CV278" s="364"/>
      <c r="CW278" s="364"/>
      <c r="CX278" s="364"/>
      <c r="CY278" s="364"/>
      <c r="CZ278" s="364"/>
      <c r="DA278" s="364"/>
      <c r="DB278" s="364"/>
      <c r="DC278" s="364"/>
      <c r="DD278" s="364"/>
      <c r="DE278" s="364"/>
      <c r="DF278" s="364"/>
      <c r="DG278" s="364"/>
      <c r="DH278" s="364"/>
      <c r="DI278" s="364"/>
      <c r="DJ278" s="364"/>
      <c r="DK278" s="364"/>
      <c r="DL278" s="364"/>
      <c r="DM278" s="364"/>
      <c r="DN278" s="364"/>
      <c r="DO278" s="364"/>
      <c r="DP278" s="364"/>
      <c r="DQ278" s="364"/>
      <c r="DR278" s="364"/>
      <c r="DS278" s="364"/>
      <c r="DT278" s="364"/>
      <c r="DU278" s="364"/>
      <c r="DV278" s="364"/>
      <c r="DW278" s="364"/>
      <c r="DX278" s="364"/>
      <c r="DY278" s="364"/>
      <c r="DZ278" s="364"/>
      <c r="EA278" s="364"/>
      <c r="EB278" s="364"/>
      <c r="EC278" s="364"/>
      <c r="ED278" s="364"/>
      <c r="EE278" s="364"/>
      <c r="EF278" s="364"/>
      <c r="EG278" s="364"/>
      <c r="EH278" s="364"/>
      <c r="EI278" s="364"/>
      <c r="EJ278" s="364"/>
      <c r="EK278" s="364"/>
      <c r="EL278" s="364"/>
      <c r="EM278" s="364"/>
      <c r="EN278" s="364"/>
      <c r="EO278" s="364"/>
      <c r="EP278" s="364"/>
      <c r="EQ278" s="364"/>
      <c r="ER278" s="364"/>
      <c r="ES278" s="364"/>
      <c r="ET278" s="364"/>
      <c r="EU278" s="364"/>
      <c r="EV278" s="364"/>
      <c r="EW278" s="364"/>
      <c r="EX278" s="364"/>
      <c r="EY278" s="364"/>
      <c r="EZ278" s="364"/>
      <c r="FA278" s="364"/>
      <c r="FB278" s="364"/>
      <c r="FC278" s="364"/>
      <c r="FD278" s="364"/>
      <c r="FE278" s="364"/>
      <c r="FF278" s="364"/>
      <c r="FG278" s="364"/>
      <c r="FH278" s="364"/>
      <c r="FI278" s="364"/>
      <c r="FJ278" s="364"/>
      <c r="FK278" s="364"/>
    </row>
    <row r="279" customFormat="false" ht="15.75" hidden="false" customHeight="false" outlineLevel="0" collapsed="false">
      <c r="A279" s="364" t="n">
        <v>545</v>
      </c>
      <c r="B279" s="364" t="n">
        <f aca="false">COUNTA(D279:FK279)</f>
        <v>63</v>
      </c>
      <c r="C279" s="364" t="s">
        <v>1424</v>
      </c>
      <c r="D279" s="364" t="s">
        <v>2431</v>
      </c>
      <c r="E279" s="364" t="s">
        <v>2352</v>
      </c>
      <c r="F279" s="364" t="s">
        <v>2402</v>
      </c>
      <c r="G279" s="364" t="s">
        <v>2356</v>
      </c>
      <c r="H279" s="364" t="s">
        <v>2357</v>
      </c>
      <c r="I279" s="364" t="s">
        <v>2432</v>
      </c>
      <c r="J279" s="364" t="s">
        <v>2313</v>
      </c>
      <c r="K279" s="364" t="s">
        <v>2315</v>
      </c>
      <c r="L279" s="364" t="s">
        <v>2409</v>
      </c>
      <c r="M279" s="364" t="s">
        <v>2358</v>
      </c>
      <c r="N279" s="364" t="s">
        <v>2497</v>
      </c>
      <c r="O279" s="364" t="s">
        <v>2317</v>
      </c>
      <c r="P279" s="364" t="s">
        <v>2320</v>
      </c>
      <c r="Q279" s="364" t="s">
        <v>2449</v>
      </c>
      <c r="R279" s="364" t="s">
        <v>2535</v>
      </c>
      <c r="S279" s="364" t="s">
        <v>2367</v>
      </c>
      <c r="T279" s="364" t="s">
        <v>2322</v>
      </c>
      <c r="U279" s="364" t="s">
        <v>2324</v>
      </c>
      <c r="V279" s="364" t="s">
        <v>2327</v>
      </c>
      <c r="W279" s="364" t="s">
        <v>2328</v>
      </c>
      <c r="X279" s="364" t="s">
        <v>2329</v>
      </c>
      <c r="Y279" s="364" t="s">
        <v>2485</v>
      </c>
      <c r="Z279" s="364" t="s">
        <v>2381</v>
      </c>
      <c r="AA279" s="364" t="s">
        <v>2330</v>
      </c>
      <c r="AB279" s="261" t="s">
        <v>183</v>
      </c>
      <c r="AC279" s="364" t="s">
        <v>2531</v>
      </c>
      <c r="AD279" s="364" t="s">
        <v>2452</v>
      </c>
      <c r="AE279" s="364" t="s">
        <v>2454</v>
      </c>
      <c r="AF279" s="364" t="s">
        <v>2461</v>
      </c>
      <c r="AG279" s="364" t="s">
        <v>2337</v>
      </c>
      <c r="AH279" s="364" t="s">
        <v>2388</v>
      </c>
      <c r="AI279" s="364" t="s">
        <v>2339</v>
      </c>
      <c r="AJ279" s="364" t="s">
        <v>2389</v>
      </c>
      <c r="AK279" s="364" t="s">
        <v>2340</v>
      </c>
      <c r="AL279" s="364" t="s">
        <v>2341</v>
      </c>
      <c r="AM279" s="364" t="s">
        <v>2462</v>
      </c>
      <c r="AN279" s="364" t="s">
        <v>2613</v>
      </c>
      <c r="AO279" s="364" t="s">
        <v>2343</v>
      </c>
      <c r="AP279" s="364" t="s">
        <v>2344</v>
      </c>
      <c r="AQ279" s="364" t="s">
        <v>2396</v>
      </c>
      <c r="AR279" s="364" t="s">
        <v>2500</v>
      </c>
      <c r="AS279" s="364" t="s">
        <v>2347</v>
      </c>
      <c r="AT279" s="364" t="s">
        <v>2444</v>
      </c>
      <c r="AU279" s="364" t="s">
        <v>2398</v>
      </c>
      <c r="AV279" s="364" t="s">
        <v>2445</v>
      </c>
      <c r="AW279" s="364" t="s">
        <v>2456</v>
      </c>
      <c r="AX279" s="364" t="s">
        <v>2488</v>
      </c>
      <c r="AY279" s="364" t="s">
        <v>2446</v>
      </c>
      <c r="AZ279" s="364" t="s">
        <v>2350</v>
      </c>
      <c r="BA279" s="364" t="s">
        <v>2458</v>
      </c>
      <c r="BB279" s="261" t="s">
        <v>138</v>
      </c>
      <c r="BC279" s="261" t="s">
        <v>2530</v>
      </c>
      <c r="BD279" s="261" t="s">
        <v>2316</v>
      </c>
      <c r="BE279" s="261" t="s">
        <v>2435</v>
      </c>
      <c r="BF279" s="261" t="s">
        <v>2534</v>
      </c>
      <c r="BG279" s="261" t="s">
        <v>2384</v>
      </c>
      <c r="BH279" s="261" t="s">
        <v>2487</v>
      </c>
      <c r="BI279" s="261" t="s">
        <v>2646</v>
      </c>
      <c r="BJ279" s="261" t="s">
        <v>2441</v>
      </c>
      <c r="BK279" s="261" t="s">
        <v>2338</v>
      </c>
      <c r="BL279" s="261" t="s">
        <v>2499</v>
      </c>
      <c r="BM279" s="261" t="s">
        <v>2395</v>
      </c>
      <c r="BN279" s="261" t="s">
        <v>2401</v>
      </c>
      <c r="BO279" s="364"/>
      <c r="BP279" s="364"/>
      <c r="BQ279" s="364"/>
      <c r="BR279" s="364"/>
      <c r="BS279" s="364"/>
      <c r="BT279" s="364"/>
      <c r="BU279" s="364"/>
      <c r="BV279" s="364"/>
      <c r="BW279" s="364"/>
      <c r="BX279" s="364"/>
      <c r="BY279" s="364"/>
      <c r="BZ279" s="364"/>
      <c r="CA279" s="364"/>
      <c r="CB279" s="364"/>
      <c r="CC279" s="364"/>
      <c r="CD279" s="364"/>
      <c r="CE279" s="364"/>
      <c r="CF279" s="364"/>
      <c r="CG279" s="364"/>
      <c r="CH279" s="364"/>
      <c r="CI279" s="364"/>
      <c r="CJ279" s="364"/>
      <c r="CK279" s="364"/>
      <c r="CL279" s="364"/>
      <c r="CM279" s="364"/>
      <c r="CN279" s="364"/>
      <c r="CO279" s="364"/>
      <c r="CP279" s="364"/>
      <c r="CQ279" s="364"/>
      <c r="CR279" s="364"/>
      <c r="CS279" s="364"/>
      <c r="CT279" s="364"/>
      <c r="CU279" s="364"/>
      <c r="CV279" s="364"/>
      <c r="CW279" s="364"/>
      <c r="CX279" s="364"/>
      <c r="CY279" s="364"/>
      <c r="CZ279" s="364"/>
      <c r="DA279" s="364"/>
      <c r="DB279" s="364"/>
      <c r="DC279" s="364"/>
      <c r="DD279" s="364"/>
      <c r="DE279" s="364"/>
      <c r="DF279" s="364"/>
      <c r="DG279" s="364"/>
      <c r="DH279" s="364"/>
      <c r="DI279" s="364"/>
      <c r="DJ279" s="364"/>
      <c r="DK279" s="364"/>
      <c r="DL279" s="364"/>
      <c r="DM279" s="364"/>
      <c r="DN279" s="364"/>
      <c r="DO279" s="364"/>
      <c r="DP279" s="364"/>
      <c r="DQ279" s="364"/>
      <c r="DR279" s="364"/>
      <c r="DS279" s="364"/>
      <c r="DT279" s="364"/>
      <c r="DU279" s="364"/>
      <c r="DV279" s="364"/>
      <c r="DW279" s="364"/>
      <c r="DX279" s="364"/>
      <c r="DY279" s="364"/>
      <c r="DZ279" s="364"/>
      <c r="EA279" s="364"/>
      <c r="EB279" s="364"/>
      <c r="EC279" s="364"/>
      <c r="ED279" s="364"/>
      <c r="EE279" s="364"/>
      <c r="EF279" s="364"/>
      <c r="EG279" s="364"/>
      <c r="EH279" s="364"/>
      <c r="EI279" s="364"/>
      <c r="EJ279" s="364"/>
      <c r="EK279" s="364"/>
      <c r="EL279" s="364"/>
      <c r="EM279" s="364"/>
      <c r="EN279" s="364"/>
      <c r="EO279" s="364"/>
      <c r="EP279" s="364"/>
      <c r="EQ279" s="364"/>
      <c r="ER279" s="364"/>
      <c r="ES279" s="364"/>
      <c r="ET279" s="364"/>
      <c r="EU279" s="364"/>
      <c r="EV279" s="364"/>
      <c r="EW279" s="364"/>
      <c r="EX279" s="364"/>
      <c r="EY279" s="364"/>
      <c r="EZ279" s="364"/>
      <c r="FA279" s="364"/>
      <c r="FB279" s="364"/>
      <c r="FC279" s="364"/>
      <c r="FD279" s="364"/>
      <c r="FE279" s="364"/>
      <c r="FF279" s="364"/>
      <c r="FG279" s="364"/>
      <c r="FH279" s="364"/>
      <c r="FI279" s="364"/>
      <c r="FJ279" s="364"/>
      <c r="FK279" s="364"/>
    </row>
    <row r="280" customFormat="false" ht="15.75" hidden="false" customHeight="false" outlineLevel="0" collapsed="false">
      <c r="A280" s="364" t="n">
        <v>546</v>
      </c>
      <c r="B280" s="364" t="n">
        <f aca="false">COUNTA(D280:FK280)</f>
        <v>44</v>
      </c>
      <c r="C280" s="364" t="s">
        <v>1426</v>
      </c>
      <c r="D280" s="364" t="s">
        <v>2561</v>
      </c>
      <c r="E280" s="364" t="s">
        <v>2403</v>
      </c>
      <c r="F280" s="364" t="s">
        <v>2405</v>
      </c>
      <c r="G280" s="364" t="s">
        <v>2313</v>
      </c>
      <c r="H280" s="364" t="s">
        <v>2358</v>
      </c>
      <c r="I280" s="364" t="s">
        <v>2579</v>
      </c>
      <c r="J280" s="364" t="s">
        <v>2497</v>
      </c>
      <c r="K280" s="364" t="s">
        <v>2317</v>
      </c>
      <c r="L280" s="364" t="s">
        <v>2448</v>
      </c>
      <c r="M280" s="364" t="s">
        <v>2320</v>
      </c>
      <c r="N280" s="364" t="s">
        <v>2451</v>
      </c>
      <c r="O280" s="364" t="s">
        <v>2324</v>
      </c>
      <c r="P280" s="364" t="s">
        <v>2327</v>
      </c>
      <c r="Q280" s="364" t="s">
        <v>2328</v>
      </c>
      <c r="R280" s="364" t="s">
        <v>2329</v>
      </c>
      <c r="S280" s="364" t="s">
        <v>2415</v>
      </c>
      <c r="T280" s="364" t="s">
        <v>2485</v>
      </c>
      <c r="U280" s="364" t="s">
        <v>2504</v>
      </c>
      <c r="V280" s="364" t="s">
        <v>2505</v>
      </c>
      <c r="W280" s="364" t="s">
        <v>2417</v>
      </c>
      <c r="X280" s="364" t="s">
        <v>2506</v>
      </c>
      <c r="Y280" s="364" t="s">
        <v>2330</v>
      </c>
      <c r="Z280" s="364" t="s">
        <v>2486</v>
      </c>
      <c r="AA280" s="261" t="s">
        <v>183</v>
      </c>
      <c r="AB280" s="364" t="s">
        <v>2480</v>
      </c>
      <c r="AC280" s="364" t="s">
        <v>2626</v>
      </c>
      <c r="AD280" s="364" t="s">
        <v>2337</v>
      </c>
      <c r="AE280" s="364" t="s">
        <v>2338</v>
      </c>
      <c r="AF280" s="364" t="s">
        <v>2388</v>
      </c>
      <c r="AG280" s="364" t="s">
        <v>2339</v>
      </c>
      <c r="AH280" s="364" t="s">
        <v>2389</v>
      </c>
      <c r="AI280" s="364" t="s">
        <v>2340</v>
      </c>
      <c r="AJ280" s="364" t="s">
        <v>2341</v>
      </c>
      <c r="AK280" s="364" t="s">
        <v>2344</v>
      </c>
      <c r="AL280" s="364" t="s">
        <v>2346</v>
      </c>
      <c r="AM280" s="364" t="s">
        <v>2500</v>
      </c>
      <c r="AN280" s="364" t="s">
        <v>2347</v>
      </c>
      <c r="AO280" s="364" t="s">
        <v>2511</v>
      </c>
      <c r="AP280" s="364" t="s">
        <v>2349</v>
      </c>
      <c r="AQ280" s="364" t="s">
        <v>2515</v>
      </c>
      <c r="AR280" s="261" t="s">
        <v>2312</v>
      </c>
      <c r="AS280" s="261" t="s">
        <v>2316</v>
      </c>
      <c r="AT280" s="261" t="s">
        <v>2512</v>
      </c>
      <c r="AU280" s="261" t="s">
        <v>2525</v>
      </c>
      <c r="AV280" s="364"/>
      <c r="AW280" s="364"/>
      <c r="AX280" s="364"/>
      <c r="AY280" s="364"/>
      <c r="AZ280" s="364"/>
      <c r="BA280" s="364"/>
      <c r="BB280" s="364"/>
      <c r="BC280" s="364"/>
      <c r="BD280" s="364"/>
      <c r="BE280" s="364"/>
      <c r="BF280" s="364"/>
      <c r="BG280" s="364"/>
      <c r="BH280" s="364"/>
      <c r="BI280" s="364"/>
      <c r="BJ280" s="364"/>
      <c r="BK280" s="364"/>
      <c r="BL280" s="364"/>
      <c r="BM280" s="364"/>
      <c r="BN280" s="364"/>
      <c r="BO280" s="364"/>
      <c r="BP280" s="364"/>
      <c r="BQ280" s="364"/>
      <c r="BR280" s="364"/>
      <c r="BS280" s="364"/>
      <c r="BT280" s="364"/>
      <c r="BU280" s="364"/>
      <c r="BV280" s="364"/>
      <c r="BW280" s="364"/>
      <c r="BX280" s="364"/>
      <c r="BY280" s="364"/>
      <c r="BZ280" s="364"/>
      <c r="CA280" s="364"/>
      <c r="CB280" s="364"/>
      <c r="CC280" s="364"/>
      <c r="CD280" s="364"/>
      <c r="CE280" s="364"/>
      <c r="CF280" s="364"/>
      <c r="CG280" s="364"/>
      <c r="CH280" s="364"/>
      <c r="CI280" s="364"/>
      <c r="CJ280" s="364"/>
      <c r="CK280" s="364"/>
      <c r="CL280" s="364"/>
      <c r="CM280" s="364"/>
      <c r="CN280" s="364"/>
      <c r="CO280" s="364"/>
      <c r="CP280" s="364"/>
      <c r="CQ280" s="364"/>
      <c r="CR280" s="364"/>
      <c r="CS280" s="364"/>
      <c r="CT280" s="364"/>
      <c r="CU280" s="364"/>
      <c r="CV280" s="364"/>
      <c r="CW280" s="364"/>
      <c r="CX280" s="364"/>
      <c r="CY280" s="364"/>
      <c r="CZ280" s="364"/>
      <c r="DA280" s="364"/>
      <c r="DB280" s="364"/>
      <c r="DC280" s="364"/>
      <c r="DD280" s="364"/>
      <c r="DE280" s="364"/>
      <c r="DF280" s="364"/>
      <c r="DG280" s="364"/>
      <c r="DH280" s="364"/>
      <c r="DI280" s="364"/>
      <c r="DJ280" s="364"/>
      <c r="DK280" s="364"/>
      <c r="DL280" s="364"/>
      <c r="DM280" s="364"/>
      <c r="DN280" s="364"/>
      <c r="DO280" s="364"/>
      <c r="DP280" s="364"/>
      <c r="DQ280" s="364"/>
      <c r="DR280" s="364"/>
      <c r="DS280" s="364"/>
      <c r="DT280" s="364"/>
      <c r="DU280" s="364"/>
      <c r="DV280" s="364"/>
      <c r="DW280" s="364"/>
      <c r="DX280" s="364"/>
      <c r="DY280" s="364"/>
      <c r="DZ280" s="364"/>
      <c r="EA280" s="364"/>
      <c r="EB280" s="364"/>
      <c r="EC280" s="364"/>
      <c r="ED280" s="364"/>
      <c r="EE280" s="364"/>
      <c r="EF280" s="364"/>
      <c r="EG280" s="364"/>
      <c r="EH280" s="364"/>
      <c r="EI280" s="364"/>
      <c r="EJ280" s="364"/>
      <c r="EK280" s="364"/>
      <c r="EL280" s="364"/>
      <c r="EM280" s="364"/>
      <c r="EN280" s="364"/>
      <c r="EO280" s="364"/>
      <c r="EP280" s="364"/>
      <c r="EQ280" s="364"/>
      <c r="ER280" s="364"/>
      <c r="ES280" s="364"/>
      <c r="ET280" s="364"/>
      <c r="EU280" s="364"/>
      <c r="EV280" s="364"/>
      <c r="EW280" s="364"/>
      <c r="EX280" s="364"/>
      <c r="EY280" s="364"/>
      <c r="EZ280" s="364"/>
      <c r="FA280" s="364"/>
      <c r="FB280" s="364"/>
      <c r="FC280" s="364"/>
      <c r="FD280" s="364"/>
      <c r="FE280" s="364"/>
      <c r="FF280" s="364"/>
      <c r="FG280" s="364"/>
      <c r="FH280" s="364"/>
      <c r="FI280" s="364"/>
      <c r="FJ280" s="364"/>
      <c r="FK280" s="364"/>
    </row>
    <row r="281" customFormat="false" ht="15.75" hidden="false" customHeight="false" outlineLevel="0" collapsed="false">
      <c r="A281" s="364" t="n">
        <v>547</v>
      </c>
      <c r="B281" s="364" t="n">
        <f aca="false">COUNTA(D281:FK281)</f>
        <v>42</v>
      </c>
      <c r="C281" s="364" t="s">
        <v>1428</v>
      </c>
      <c r="D281" s="364" t="s">
        <v>2352</v>
      </c>
      <c r="E281" s="364" t="s">
        <v>2405</v>
      </c>
      <c r="F281" s="364" t="s">
        <v>2464</v>
      </c>
      <c r="G281" s="364" t="s">
        <v>2409</v>
      </c>
      <c r="H281" s="364" t="s">
        <v>2569</v>
      </c>
      <c r="I281" s="364" t="s">
        <v>2435</v>
      </c>
      <c r="J281" s="364" t="s">
        <v>2436</v>
      </c>
      <c r="K281" s="364" t="s">
        <v>2320</v>
      </c>
      <c r="L281" s="364" t="s">
        <v>2523</v>
      </c>
      <c r="M281" s="364" t="s">
        <v>2324</v>
      </c>
      <c r="N281" s="364" t="s">
        <v>2328</v>
      </c>
      <c r="O281" s="364" t="s">
        <v>2329</v>
      </c>
      <c r="P281" s="364" t="s">
        <v>2415</v>
      </c>
      <c r="Q281" s="364" t="s">
        <v>2417</v>
      </c>
      <c r="R281" s="364" t="s">
        <v>2381</v>
      </c>
      <c r="S281" s="364" t="s">
        <v>2468</v>
      </c>
      <c r="T281" s="364" t="s">
        <v>2439</v>
      </c>
      <c r="U281" s="364" t="s">
        <v>157</v>
      </c>
      <c r="V281" s="364" t="s">
        <v>2495</v>
      </c>
      <c r="W281" s="364" t="s">
        <v>2337</v>
      </c>
      <c r="X281" s="364" t="s">
        <v>2340</v>
      </c>
      <c r="Y281" s="364" t="s">
        <v>2341</v>
      </c>
      <c r="Z281" s="364" t="s">
        <v>2442</v>
      </c>
      <c r="AA281" s="364" t="s">
        <v>2470</v>
      </c>
      <c r="AB281" s="364" t="s">
        <v>2422</v>
      </c>
      <c r="AC281" s="364" t="s">
        <v>2344</v>
      </c>
      <c r="AD281" s="364" t="s">
        <v>2345</v>
      </c>
      <c r="AE281" s="364" t="s">
        <v>2398</v>
      </c>
      <c r="AF281" s="364" t="s">
        <v>2348</v>
      </c>
      <c r="AG281" s="364" t="s">
        <v>2445</v>
      </c>
      <c r="AH281" s="364" t="s">
        <v>2475</v>
      </c>
      <c r="AI281" s="364" t="s">
        <v>2476</v>
      </c>
      <c r="AJ281" s="364" t="s">
        <v>2522</v>
      </c>
      <c r="AK281" s="364" t="s">
        <v>2463</v>
      </c>
      <c r="AL281" s="364" t="s">
        <v>2493</v>
      </c>
      <c r="AM281" s="364" t="s">
        <v>2430</v>
      </c>
      <c r="AN281" s="261" t="s">
        <v>2316</v>
      </c>
      <c r="AO281" s="261" t="s">
        <v>2310</v>
      </c>
      <c r="AP281" s="261" t="s">
        <v>2440</v>
      </c>
      <c r="AQ281" s="261" t="s">
        <v>2335</v>
      </c>
      <c r="AR281" s="261" t="s">
        <v>2393</v>
      </c>
      <c r="AS281" s="261" t="s">
        <v>2349</v>
      </c>
      <c r="AT281" s="364"/>
      <c r="AU281" s="364"/>
      <c r="AV281" s="364"/>
      <c r="AW281" s="364"/>
      <c r="AX281" s="364"/>
      <c r="AY281" s="364"/>
      <c r="AZ281" s="364"/>
      <c r="BA281" s="364"/>
      <c r="BB281" s="364"/>
      <c r="BC281" s="364"/>
      <c r="BD281" s="364"/>
      <c r="BE281" s="364"/>
      <c r="BF281" s="364"/>
      <c r="BG281" s="364"/>
      <c r="BH281" s="364"/>
      <c r="BI281" s="364"/>
      <c r="BJ281" s="364"/>
      <c r="BK281" s="364"/>
      <c r="BL281" s="364"/>
      <c r="BM281" s="364"/>
      <c r="BN281" s="364"/>
      <c r="BO281" s="364"/>
      <c r="BP281" s="364"/>
      <c r="BQ281" s="364"/>
      <c r="BR281" s="364"/>
      <c r="BS281" s="364"/>
      <c r="BT281" s="364"/>
      <c r="BU281" s="364"/>
      <c r="BV281" s="364"/>
      <c r="BW281" s="364"/>
      <c r="BX281" s="364"/>
      <c r="BY281" s="364"/>
      <c r="BZ281" s="364"/>
      <c r="CA281" s="364"/>
      <c r="CB281" s="364"/>
      <c r="CC281" s="364"/>
      <c r="CD281" s="364"/>
      <c r="CE281" s="364"/>
      <c r="CF281" s="364"/>
      <c r="CG281" s="364"/>
      <c r="CH281" s="364"/>
      <c r="CI281" s="364"/>
      <c r="CJ281" s="364"/>
      <c r="CK281" s="364"/>
      <c r="CL281" s="364"/>
      <c r="CM281" s="364"/>
      <c r="CN281" s="364"/>
      <c r="CO281" s="364"/>
      <c r="CP281" s="364"/>
      <c r="CQ281" s="364"/>
      <c r="CR281" s="364"/>
      <c r="CS281" s="364"/>
      <c r="CT281" s="364"/>
      <c r="CU281" s="364"/>
      <c r="CV281" s="364"/>
      <c r="CW281" s="364"/>
      <c r="CX281" s="364"/>
      <c r="CY281" s="364"/>
      <c r="CZ281" s="364"/>
      <c r="DA281" s="364"/>
      <c r="DB281" s="364"/>
      <c r="DC281" s="364"/>
      <c r="DD281" s="364"/>
      <c r="DE281" s="364"/>
      <c r="DF281" s="364"/>
      <c r="DG281" s="364"/>
      <c r="DH281" s="364"/>
      <c r="DI281" s="364"/>
      <c r="DJ281" s="364"/>
      <c r="DK281" s="364"/>
      <c r="DL281" s="364"/>
      <c r="DM281" s="364"/>
      <c r="DN281" s="364"/>
      <c r="DO281" s="364"/>
      <c r="DP281" s="364"/>
      <c r="DQ281" s="364"/>
      <c r="DR281" s="364"/>
      <c r="DS281" s="364"/>
      <c r="DT281" s="364"/>
      <c r="DU281" s="364"/>
      <c r="DV281" s="364"/>
      <c r="DW281" s="364"/>
      <c r="DX281" s="364"/>
      <c r="DY281" s="364"/>
      <c r="DZ281" s="364"/>
      <c r="EA281" s="364"/>
      <c r="EB281" s="364"/>
      <c r="EC281" s="364"/>
      <c r="ED281" s="364"/>
      <c r="EE281" s="364"/>
      <c r="EF281" s="364"/>
      <c r="EG281" s="364"/>
      <c r="EH281" s="364"/>
      <c r="EI281" s="364"/>
      <c r="EJ281" s="364"/>
      <c r="EK281" s="364"/>
      <c r="EL281" s="364"/>
      <c r="EM281" s="364"/>
      <c r="EN281" s="364"/>
      <c r="EO281" s="364"/>
      <c r="EP281" s="364"/>
      <c r="EQ281" s="364"/>
      <c r="ER281" s="364"/>
      <c r="ES281" s="364"/>
      <c r="ET281" s="364"/>
      <c r="EU281" s="364"/>
      <c r="EV281" s="364"/>
      <c r="EW281" s="364"/>
      <c r="EX281" s="364"/>
      <c r="EY281" s="364"/>
      <c r="EZ281" s="364"/>
      <c r="FA281" s="364"/>
      <c r="FB281" s="364"/>
      <c r="FC281" s="364"/>
      <c r="FD281" s="364"/>
      <c r="FE281" s="364"/>
      <c r="FF281" s="364"/>
      <c r="FG281" s="364"/>
      <c r="FH281" s="364"/>
      <c r="FI281" s="364"/>
      <c r="FJ281" s="364"/>
      <c r="FK281" s="364"/>
    </row>
    <row r="282" customFormat="false" ht="15.75" hidden="false" customHeight="false" outlineLevel="0" collapsed="false">
      <c r="A282" s="364" t="n">
        <v>548</v>
      </c>
      <c r="B282" s="364" t="n">
        <f aca="false">COUNTA(D282:FK282)</f>
        <v>61</v>
      </c>
      <c r="C282" s="364" t="s">
        <v>1430</v>
      </c>
      <c r="D282" s="364" t="s">
        <v>2352</v>
      </c>
      <c r="E282" s="364" t="s">
        <v>2356</v>
      </c>
      <c r="F282" s="364" t="s">
        <v>2313</v>
      </c>
      <c r="G282" s="364" t="s">
        <v>2464</v>
      </c>
      <c r="H282" s="364" t="s">
        <v>2541</v>
      </c>
      <c r="I282" s="364" t="s">
        <v>2434</v>
      </c>
      <c r="J282" s="364" t="s">
        <v>2315</v>
      </c>
      <c r="K282" s="364" t="s">
        <v>2517</v>
      </c>
      <c r="L282" s="364" t="s">
        <v>2520</v>
      </c>
      <c r="M282" s="364" t="s">
        <v>2435</v>
      </c>
      <c r="N282" s="364" t="s">
        <v>2543</v>
      </c>
      <c r="O282" s="364" t="s">
        <v>2317</v>
      </c>
      <c r="P282" s="364" t="s">
        <v>2318</v>
      </c>
      <c r="Q282" s="364" t="s">
        <v>2320</v>
      </c>
      <c r="R282" s="364" t="s">
        <v>2449</v>
      </c>
      <c r="S282" s="364" t="s">
        <v>2534</v>
      </c>
      <c r="T282" s="364" t="s">
        <v>2369</v>
      </c>
      <c r="U282" s="364" t="s">
        <v>2376</v>
      </c>
      <c r="V282" s="364" t="s">
        <v>2377</v>
      </c>
      <c r="W282" s="364" t="s">
        <v>2322</v>
      </c>
      <c r="X282" s="364" t="s">
        <v>2324</v>
      </c>
      <c r="Y282" s="364" t="s">
        <v>2325</v>
      </c>
      <c r="Z282" s="364" t="s">
        <v>2327</v>
      </c>
      <c r="AA282" s="364" t="s">
        <v>2328</v>
      </c>
      <c r="AB282" s="364" t="s">
        <v>2329</v>
      </c>
      <c r="AC282" s="364" t="s">
        <v>2521</v>
      </c>
      <c r="AD282" s="364" t="s">
        <v>2416</v>
      </c>
      <c r="AE282" s="364" t="s">
        <v>2330</v>
      </c>
      <c r="AF282" s="364" t="s">
        <v>2556</v>
      </c>
      <c r="AG282" s="364" t="s">
        <v>2539</v>
      </c>
      <c r="AH282" s="364" t="s">
        <v>2540</v>
      </c>
      <c r="AI282" s="261" t="s">
        <v>183</v>
      </c>
      <c r="AJ282" s="364" t="s">
        <v>2531</v>
      </c>
      <c r="AK282" s="364" t="s">
        <v>2454</v>
      </c>
      <c r="AL282" s="364" t="s">
        <v>2387</v>
      </c>
      <c r="AM282" s="364" t="s">
        <v>157</v>
      </c>
      <c r="AN282" s="364" t="s">
        <v>2551</v>
      </c>
      <c r="AO282" s="364" t="s">
        <v>2495</v>
      </c>
      <c r="AP282" s="364" t="s">
        <v>2337</v>
      </c>
      <c r="AQ282" s="364" t="s">
        <v>2469</v>
      </c>
      <c r="AR282" s="364" t="s">
        <v>2388</v>
      </c>
      <c r="AS282" s="364" t="s">
        <v>2339</v>
      </c>
      <c r="AT282" s="364" t="s">
        <v>2389</v>
      </c>
      <c r="AU282" s="364" t="s">
        <v>2340</v>
      </c>
      <c r="AV282" s="364" t="s">
        <v>2341</v>
      </c>
      <c r="AW282" s="364" t="s">
        <v>2442</v>
      </c>
      <c r="AX282" s="364" t="s">
        <v>2470</v>
      </c>
      <c r="AY282" s="364" t="s">
        <v>2422</v>
      </c>
      <c r="AZ282" s="364" t="s">
        <v>2395</v>
      </c>
      <c r="BA282" s="364" t="s">
        <v>2344</v>
      </c>
      <c r="BB282" s="364" t="s">
        <v>2500</v>
      </c>
      <c r="BC282" s="364" t="s">
        <v>2641</v>
      </c>
      <c r="BD282" s="364" t="s">
        <v>2347</v>
      </c>
      <c r="BE282" s="364" t="s">
        <v>2398</v>
      </c>
      <c r="BF282" s="364" t="s">
        <v>2445</v>
      </c>
      <c r="BG282" s="364" t="s">
        <v>2456</v>
      </c>
      <c r="BH282" s="364" t="s">
        <v>2476</v>
      </c>
      <c r="BI282" s="364" t="s">
        <v>2399</v>
      </c>
      <c r="BJ282" s="364" t="s">
        <v>2546</v>
      </c>
      <c r="BK282" s="364" t="s">
        <v>2458</v>
      </c>
      <c r="BL282" s="364" t="s">
        <v>2430</v>
      </c>
      <c r="BM282" s="364"/>
      <c r="BN282" s="364"/>
      <c r="BO282" s="364"/>
      <c r="BP282" s="364"/>
      <c r="BQ282" s="364"/>
      <c r="BR282" s="364"/>
      <c r="BS282" s="364"/>
      <c r="BT282" s="364"/>
      <c r="BU282" s="364"/>
      <c r="BV282" s="364"/>
      <c r="BW282" s="364"/>
      <c r="BX282" s="364"/>
      <c r="BY282" s="364"/>
      <c r="BZ282" s="364"/>
      <c r="CA282" s="364"/>
      <c r="CB282" s="364"/>
      <c r="CC282" s="364"/>
      <c r="CD282" s="364"/>
      <c r="CE282" s="364"/>
      <c r="CF282" s="364"/>
      <c r="CG282" s="364"/>
      <c r="CH282" s="364"/>
      <c r="CI282" s="364"/>
      <c r="CJ282" s="364"/>
      <c r="CK282" s="364"/>
      <c r="CL282" s="364"/>
      <c r="CM282" s="364"/>
      <c r="CN282" s="364"/>
      <c r="CO282" s="364"/>
      <c r="CP282" s="364"/>
      <c r="CQ282" s="364"/>
      <c r="CR282" s="364"/>
      <c r="CS282" s="364"/>
      <c r="CT282" s="364"/>
      <c r="CU282" s="364"/>
      <c r="CV282" s="364"/>
      <c r="CW282" s="364"/>
      <c r="CX282" s="364"/>
      <c r="CY282" s="364"/>
      <c r="CZ282" s="364"/>
      <c r="DA282" s="364"/>
      <c r="DB282" s="364"/>
      <c r="DC282" s="364"/>
      <c r="DD282" s="364"/>
      <c r="DE282" s="364"/>
      <c r="DF282" s="364"/>
      <c r="DG282" s="364"/>
      <c r="DH282" s="364"/>
      <c r="DI282" s="364"/>
      <c r="DJ282" s="364"/>
      <c r="DK282" s="364"/>
      <c r="DL282" s="364"/>
      <c r="DM282" s="364"/>
      <c r="DN282" s="364"/>
      <c r="DO282" s="364"/>
      <c r="DP282" s="364"/>
      <c r="DQ282" s="364"/>
      <c r="DR282" s="364"/>
      <c r="DS282" s="364"/>
      <c r="DT282" s="364"/>
      <c r="DU282" s="364"/>
      <c r="DV282" s="364"/>
      <c r="DW282" s="364"/>
      <c r="DX282" s="364"/>
      <c r="DY282" s="364"/>
      <c r="DZ282" s="364"/>
      <c r="EA282" s="364"/>
      <c r="EB282" s="364"/>
      <c r="EC282" s="364"/>
      <c r="ED282" s="364"/>
      <c r="EE282" s="364"/>
      <c r="EF282" s="364"/>
      <c r="EG282" s="364"/>
      <c r="EH282" s="364"/>
      <c r="EI282" s="364"/>
      <c r="EJ282" s="364"/>
      <c r="EK282" s="364"/>
      <c r="EL282" s="364"/>
      <c r="EM282" s="364"/>
      <c r="EN282" s="364"/>
      <c r="EO282" s="364"/>
      <c r="EP282" s="364"/>
      <c r="EQ282" s="364"/>
      <c r="ER282" s="364"/>
      <c r="ES282" s="364"/>
      <c r="ET282" s="364"/>
      <c r="EU282" s="364"/>
      <c r="EV282" s="364"/>
      <c r="EW282" s="364"/>
      <c r="EX282" s="364"/>
      <c r="EY282" s="364"/>
      <c r="EZ282" s="364"/>
      <c r="FA282" s="364"/>
      <c r="FB282" s="364"/>
      <c r="FC282" s="364"/>
      <c r="FD282" s="364"/>
      <c r="FE282" s="364"/>
      <c r="FF282" s="364"/>
      <c r="FG282" s="364"/>
      <c r="FH282" s="364"/>
      <c r="FI282" s="364"/>
      <c r="FJ282" s="364"/>
      <c r="FK282" s="364"/>
    </row>
    <row r="283" customFormat="false" ht="15.75" hidden="false" customHeight="false" outlineLevel="0" collapsed="false">
      <c r="A283" s="364" t="n">
        <v>550</v>
      </c>
      <c r="B283" s="364" t="n">
        <f aca="false">COUNTA(D283:FK283)</f>
        <v>46</v>
      </c>
      <c r="C283" s="364" t="s">
        <v>1435</v>
      </c>
      <c r="D283" s="364" t="s">
        <v>2561</v>
      </c>
      <c r="E283" s="364" t="s">
        <v>2313</v>
      </c>
      <c r="F283" s="364" t="s">
        <v>2517</v>
      </c>
      <c r="G283" s="364" t="s">
        <v>2569</v>
      </c>
      <c r="H283" s="364" t="s">
        <v>2497</v>
      </c>
      <c r="I283" s="364" t="s">
        <v>2317</v>
      </c>
      <c r="J283" s="364" t="s">
        <v>2562</v>
      </c>
      <c r="K283" s="364" t="s">
        <v>2320</v>
      </c>
      <c r="L283" s="364" t="s">
        <v>2369</v>
      </c>
      <c r="M283" s="364" t="s">
        <v>2411</v>
      </c>
      <c r="N283" s="364" t="s">
        <v>2324</v>
      </c>
      <c r="O283" s="364" t="s">
        <v>2327</v>
      </c>
      <c r="P283" s="364" t="s">
        <v>2328</v>
      </c>
      <c r="Q283" s="364" t="s">
        <v>2329</v>
      </c>
      <c r="R283" s="364" t="s">
        <v>2416</v>
      </c>
      <c r="S283" s="364" t="s">
        <v>2506</v>
      </c>
      <c r="T283" s="364" t="s">
        <v>2573</v>
      </c>
      <c r="U283" s="261" t="s">
        <v>183</v>
      </c>
      <c r="V283" s="364" t="s">
        <v>2536</v>
      </c>
      <c r="W283" s="364" t="s">
        <v>2337</v>
      </c>
      <c r="X283" s="364" t="s">
        <v>2564</v>
      </c>
      <c r="Y283" s="364" t="s">
        <v>2388</v>
      </c>
      <c r="Z283" s="364" t="s">
        <v>2339</v>
      </c>
      <c r="AA283" s="364" t="s">
        <v>2389</v>
      </c>
      <c r="AB283" s="364" t="s">
        <v>2420</v>
      </c>
      <c r="AC283" s="364" t="s">
        <v>2340</v>
      </c>
      <c r="AD283" s="364" t="s">
        <v>2341</v>
      </c>
      <c r="AE283" s="364" t="s">
        <v>2470</v>
      </c>
      <c r="AF283" s="364" t="s">
        <v>2423</v>
      </c>
      <c r="AG283" s="364" t="s">
        <v>2344</v>
      </c>
      <c r="AH283" s="364" t="s">
        <v>2570</v>
      </c>
      <c r="AI283" s="364" t="s">
        <v>2346</v>
      </c>
      <c r="AJ283" s="364" t="s">
        <v>2500</v>
      </c>
      <c r="AK283" s="364" t="s">
        <v>2347</v>
      </c>
      <c r="AL283" s="364" t="s">
        <v>2348</v>
      </c>
      <c r="AM283" s="364" t="s">
        <v>2475</v>
      </c>
      <c r="AN283" s="364" t="s">
        <v>2476</v>
      </c>
      <c r="AO283" s="364" t="s">
        <v>2399</v>
      </c>
      <c r="AP283" s="364" t="s">
        <v>2522</v>
      </c>
      <c r="AQ283" s="364" t="s">
        <v>2492</v>
      </c>
      <c r="AR283" s="364" t="s">
        <v>2493</v>
      </c>
      <c r="AS283" s="261" t="s">
        <v>2312</v>
      </c>
      <c r="AT283" s="261" t="s">
        <v>2316</v>
      </c>
      <c r="AU283" s="261" t="s">
        <v>2364</v>
      </c>
      <c r="AV283" s="261" t="s">
        <v>2565</v>
      </c>
      <c r="AW283" s="261" t="s">
        <v>2566</v>
      </c>
      <c r="AX283" s="364"/>
      <c r="AY283" s="364"/>
      <c r="AZ283" s="364"/>
      <c r="BA283" s="364"/>
      <c r="BB283" s="364"/>
      <c r="BC283" s="364"/>
      <c r="BD283" s="364"/>
      <c r="BE283" s="364"/>
      <c r="BF283" s="364"/>
      <c r="BG283" s="364"/>
      <c r="BH283" s="364"/>
      <c r="BI283" s="364"/>
      <c r="BJ283" s="364"/>
      <c r="BK283" s="364"/>
      <c r="BL283" s="364"/>
      <c r="BM283" s="364"/>
      <c r="BN283" s="364"/>
      <c r="BO283" s="364"/>
      <c r="BP283" s="364"/>
      <c r="BQ283" s="364"/>
      <c r="BR283" s="364"/>
      <c r="BS283" s="364"/>
      <c r="BT283" s="364"/>
      <c r="BU283" s="364"/>
      <c r="BV283" s="364"/>
      <c r="BW283" s="364"/>
      <c r="BX283" s="364"/>
      <c r="BY283" s="364"/>
      <c r="BZ283" s="364"/>
      <c r="CA283" s="364"/>
      <c r="CB283" s="364"/>
      <c r="CC283" s="364"/>
      <c r="CD283" s="364"/>
      <c r="CE283" s="364"/>
      <c r="CF283" s="364"/>
      <c r="CG283" s="364"/>
      <c r="CH283" s="364"/>
      <c r="CI283" s="364"/>
      <c r="CJ283" s="364"/>
      <c r="CK283" s="364"/>
      <c r="CL283" s="364"/>
      <c r="CM283" s="364"/>
      <c r="CN283" s="364"/>
      <c r="CO283" s="364"/>
      <c r="CP283" s="364"/>
      <c r="CQ283" s="364"/>
      <c r="CR283" s="364"/>
      <c r="CS283" s="364"/>
      <c r="CT283" s="364"/>
      <c r="CU283" s="364"/>
      <c r="CV283" s="364"/>
      <c r="CW283" s="364"/>
      <c r="CX283" s="364"/>
      <c r="CY283" s="364"/>
      <c r="CZ283" s="364"/>
      <c r="DA283" s="364"/>
      <c r="DB283" s="364"/>
      <c r="DC283" s="364"/>
      <c r="DD283" s="364"/>
      <c r="DE283" s="364"/>
      <c r="DF283" s="364"/>
      <c r="DG283" s="364"/>
      <c r="DH283" s="364"/>
      <c r="DI283" s="364"/>
      <c r="DJ283" s="364"/>
      <c r="DK283" s="364"/>
      <c r="DL283" s="364"/>
      <c r="DM283" s="364"/>
      <c r="DN283" s="364"/>
      <c r="DO283" s="364"/>
      <c r="DP283" s="364"/>
      <c r="DQ283" s="364"/>
      <c r="DR283" s="364"/>
      <c r="DS283" s="364"/>
      <c r="DT283" s="364"/>
      <c r="DU283" s="364"/>
      <c r="DV283" s="364"/>
      <c r="DW283" s="364"/>
      <c r="DX283" s="364"/>
      <c r="DY283" s="364"/>
      <c r="DZ283" s="364"/>
      <c r="EA283" s="364"/>
      <c r="EB283" s="364"/>
      <c r="EC283" s="364"/>
      <c r="ED283" s="364"/>
      <c r="EE283" s="364"/>
      <c r="EF283" s="364"/>
      <c r="EG283" s="364"/>
      <c r="EH283" s="364"/>
      <c r="EI283" s="364"/>
      <c r="EJ283" s="364"/>
      <c r="EK283" s="364"/>
      <c r="EL283" s="364"/>
      <c r="EM283" s="364"/>
      <c r="EN283" s="364"/>
      <c r="EO283" s="364"/>
      <c r="EP283" s="364"/>
      <c r="EQ283" s="364"/>
      <c r="ER283" s="364"/>
      <c r="ES283" s="364"/>
      <c r="ET283" s="364"/>
      <c r="EU283" s="364"/>
      <c r="EV283" s="364"/>
      <c r="EW283" s="364"/>
      <c r="EX283" s="364"/>
      <c r="EY283" s="364"/>
      <c r="EZ283" s="364"/>
      <c r="FA283" s="364"/>
      <c r="FB283" s="364"/>
      <c r="FC283" s="364"/>
      <c r="FD283" s="364"/>
      <c r="FE283" s="364"/>
      <c r="FF283" s="364"/>
      <c r="FG283" s="364"/>
      <c r="FH283" s="364"/>
      <c r="FI283" s="364"/>
      <c r="FJ283" s="364"/>
      <c r="FK283" s="364"/>
    </row>
    <row r="284" customFormat="false" ht="15.75" hidden="false" customHeight="false" outlineLevel="0" collapsed="false">
      <c r="A284" s="364" t="n">
        <v>551</v>
      </c>
      <c r="B284" s="364" t="n">
        <f aca="false">COUNTA(D284:FK284)</f>
        <v>51</v>
      </c>
      <c r="C284" s="364" t="s">
        <v>1437</v>
      </c>
      <c r="D284" s="364" t="s">
        <v>2528</v>
      </c>
      <c r="E284" s="364" t="s">
        <v>2311</v>
      </c>
      <c r="F284" s="364" t="s">
        <v>2405</v>
      </c>
      <c r="G284" s="364" t="s">
        <v>2356</v>
      </c>
      <c r="H284" s="364" t="s">
        <v>2313</v>
      </c>
      <c r="I284" s="364" t="s">
        <v>2464</v>
      </c>
      <c r="J284" s="364" t="s">
        <v>2409</v>
      </c>
      <c r="K284" s="364" t="s">
        <v>2435</v>
      </c>
      <c r="L284" s="364" t="s">
        <v>2317</v>
      </c>
      <c r="M284" s="364" t="s">
        <v>2320</v>
      </c>
      <c r="N284" s="364" t="s">
        <v>2369</v>
      </c>
      <c r="O284" s="364" t="s">
        <v>2376</v>
      </c>
      <c r="P284" s="364" t="s">
        <v>2377</v>
      </c>
      <c r="Q284" s="364" t="s">
        <v>2550</v>
      </c>
      <c r="R284" s="364" t="s">
        <v>2324</v>
      </c>
      <c r="S284" s="364" t="s">
        <v>2327</v>
      </c>
      <c r="T284" s="364" t="s">
        <v>2560</v>
      </c>
      <c r="U284" s="364" t="s">
        <v>2328</v>
      </c>
      <c r="V284" s="364" t="s">
        <v>2329</v>
      </c>
      <c r="W284" s="364" t="s">
        <v>2415</v>
      </c>
      <c r="X284" s="364" t="s">
        <v>2416</v>
      </c>
      <c r="Y284" s="364" t="s">
        <v>2417</v>
      </c>
      <c r="Z284" s="364" t="s">
        <v>2438</v>
      </c>
      <c r="AA284" s="261" t="s">
        <v>183</v>
      </c>
      <c r="AB284" s="364" t="s">
        <v>2589</v>
      </c>
      <c r="AC284" s="364" t="s">
        <v>2385</v>
      </c>
      <c r="AD284" s="364" t="s">
        <v>2452</v>
      </c>
      <c r="AE284" s="364" t="s">
        <v>2387</v>
      </c>
      <c r="AF284" s="364" t="s">
        <v>157</v>
      </c>
      <c r="AG284" s="364" t="s">
        <v>2455</v>
      </c>
      <c r="AH284" s="364" t="s">
        <v>2337</v>
      </c>
      <c r="AI284" s="364" t="s">
        <v>2388</v>
      </c>
      <c r="AJ284" s="364" t="s">
        <v>2339</v>
      </c>
      <c r="AK284" s="364" t="s">
        <v>2389</v>
      </c>
      <c r="AL284" s="364" t="s">
        <v>2340</v>
      </c>
      <c r="AM284" s="364" t="s">
        <v>2341</v>
      </c>
      <c r="AN284" s="364" t="s">
        <v>2442</v>
      </c>
      <c r="AO284" s="364" t="s">
        <v>2590</v>
      </c>
      <c r="AP284" s="364" t="s">
        <v>2639</v>
      </c>
      <c r="AQ284" s="364" t="s">
        <v>2344</v>
      </c>
      <c r="AR284" s="364" t="s">
        <v>2347</v>
      </c>
      <c r="AS284" s="364" t="s">
        <v>2473</v>
      </c>
      <c r="AT284" s="364" t="s">
        <v>2445</v>
      </c>
      <c r="AU284" s="364" t="s">
        <v>2399</v>
      </c>
      <c r="AV284" s="261" t="s">
        <v>2312</v>
      </c>
      <c r="AW284" s="261" t="s">
        <v>138</v>
      </c>
      <c r="AX284" s="261" t="s">
        <v>2316</v>
      </c>
      <c r="AY284" s="261" t="s">
        <v>2364</v>
      </c>
      <c r="AZ284" s="261" t="s">
        <v>2382</v>
      </c>
      <c r="BA284" s="261" t="s">
        <v>2383</v>
      </c>
      <c r="BB284" s="261" t="s">
        <v>2391</v>
      </c>
      <c r="BC284" s="364"/>
      <c r="BD284" s="364"/>
      <c r="BE284" s="364"/>
      <c r="BF284" s="364"/>
      <c r="BG284" s="364"/>
      <c r="BH284" s="364"/>
      <c r="BI284" s="364"/>
      <c r="BJ284" s="364"/>
      <c r="BK284" s="364"/>
      <c r="BL284" s="364"/>
      <c r="BM284" s="364"/>
      <c r="BN284" s="364"/>
      <c r="BO284" s="364"/>
      <c r="BP284" s="364"/>
      <c r="BQ284" s="364"/>
      <c r="BR284" s="364"/>
      <c r="BS284" s="364"/>
      <c r="BT284" s="364"/>
      <c r="BU284" s="364"/>
      <c r="BV284" s="364"/>
      <c r="BW284" s="364"/>
      <c r="BX284" s="364"/>
      <c r="BY284" s="364"/>
      <c r="BZ284" s="364"/>
      <c r="CA284" s="364"/>
      <c r="CB284" s="364"/>
      <c r="CC284" s="364"/>
      <c r="CD284" s="364"/>
      <c r="CE284" s="364"/>
      <c r="CF284" s="364"/>
      <c r="CG284" s="364"/>
      <c r="CH284" s="364"/>
      <c r="CI284" s="364"/>
      <c r="CJ284" s="364"/>
      <c r="CK284" s="364"/>
      <c r="CL284" s="364"/>
      <c r="CM284" s="364"/>
      <c r="CN284" s="364"/>
      <c r="CO284" s="364"/>
      <c r="CP284" s="364"/>
      <c r="CQ284" s="364"/>
      <c r="CR284" s="364"/>
      <c r="CS284" s="364"/>
      <c r="CT284" s="364"/>
      <c r="CU284" s="364"/>
      <c r="CV284" s="364"/>
      <c r="CW284" s="364"/>
      <c r="CX284" s="364"/>
      <c r="CY284" s="364"/>
      <c r="CZ284" s="364"/>
      <c r="DA284" s="364"/>
      <c r="DB284" s="364"/>
      <c r="DC284" s="364"/>
      <c r="DD284" s="364"/>
      <c r="DE284" s="364"/>
      <c r="DF284" s="364"/>
      <c r="DG284" s="364"/>
      <c r="DH284" s="364"/>
      <c r="DI284" s="364"/>
      <c r="DJ284" s="364"/>
      <c r="DK284" s="364"/>
      <c r="DL284" s="364"/>
      <c r="DM284" s="364"/>
      <c r="DN284" s="364"/>
      <c r="DO284" s="364"/>
      <c r="DP284" s="364"/>
      <c r="DQ284" s="364"/>
      <c r="DR284" s="364"/>
      <c r="DS284" s="364"/>
      <c r="DT284" s="364"/>
      <c r="DU284" s="364"/>
      <c r="DV284" s="364"/>
      <c r="DW284" s="364"/>
      <c r="DX284" s="364"/>
      <c r="DY284" s="364"/>
      <c r="DZ284" s="364"/>
      <c r="EA284" s="364"/>
      <c r="EB284" s="364"/>
      <c r="EC284" s="364"/>
      <c r="ED284" s="364"/>
      <c r="EE284" s="364"/>
      <c r="EF284" s="364"/>
      <c r="EG284" s="364"/>
      <c r="EH284" s="364"/>
      <c r="EI284" s="364"/>
      <c r="EJ284" s="364"/>
      <c r="EK284" s="364"/>
      <c r="EL284" s="364"/>
      <c r="EM284" s="364"/>
      <c r="EN284" s="364"/>
      <c r="EO284" s="364"/>
      <c r="EP284" s="364"/>
      <c r="EQ284" s="364"/>
      <c r="ER284" s="364"/>
      <c r="ES284" s="364"/>
      <c r="ET284" s="364"/>
      <c r="EU284" s="364"/>
      <c r="EV284" s="364"/>
      <c r="EW284" s="364"/>
      <c r="EX284" s="364"/>
      <c r="EY284" s="364"/>
      <c r="EZ284" s="364"/>
      <c r="FA284" s="364"/>
      <c r="FB284" s="364"/>
      <c r="FC284" s="364"/>
      <c r="FD284" s="364"/>
      <c r="FE284" s="364"/>
      <c r="FF284" s="364"/>
      <c r="FG284" s="364"/>
      <c r="FH284" s="364"/>
      <c r="FI284" s="364"/>
      <c r="FJ284" s="364"/>
      <c r="FK284" s="364"/>
    </row>
    <row r="285" customFormat="false" ht="15.75" hidden="false" customHeight="false" outlineLevel="0" collapsed="false">
      <c r="A285" s="364" t="n">
        <v>552</v>
      </c>
      <c r="B285" s="364" t="n">
        <f aca="false">COUNTA(D285:FK285)</f>
        <v>33</v>
      </c>
      <c r="C285" s="364" t="s">
        <v>1439</v>
      </c>
      <c r="D285" s="364" t="s">
        <v>2528</v>
      </c>
      <c r="E285" s="364" t="s">
        <v>2403</v>
      </c>
      <c r="F285" s="364" t="s">
        <v>2405</v>
      </c>
      <c r="G285" s="364" t="s">
        <v>2624</v>
      </c>
      <c r="H285" s="364" t="s">
        <v>2435</v>
      </c>
      <c r="I285" s="364" t="s">
        <v>2320</v>
      </c>
      <c r="J285" s="364" t="s">
        <v>2502</v>
      </c>
      <c r="K285" s="364" t="s">
        <v>2324</v>
      </c>
      <c r="L285" s="364" t="s">
        <v>2327</v>
      </c>
      <c r="M285" s="364" t="s">
        <v>2328</v>
      </c>
      <c r="N285" s="364" t="s">
        <v>2329</v>
      </c>
      <c r="O285" s="364" t="s">
        <v>2415</v>
      </c>
      <c r="P285" s="364" t="s">
        <v>2416</v>
      </c>
      <c r="Q285" s="364" t="s">
        <v>2525</v>
      </c>
      <c r="R285" s="364" t="s">
        <v>2417</v>
      </c>
      <c r="S285" s="261" t="s">
        <v>183</v>
      </c>
      <c r="T285" s="364" t="s">
        <v>2385</v>
      </c>
      <c r="U285" s="364" t="s">
        <v>2452</v>
      </c>
      <c r="V285" s="364" t="s">
        <v>2626</v>
      </c>
      <c r="W285" s="364" t="s">
        <v>157</v>
      </c>
      <c r="X285" s="364" t="s">
        <v>2337</v>
      </c>
      <c r="Y285" s="364" t="s">
        <v>2420</v>
      </c>
      <c r="Z285" s="364" t="s">
        <v>2340</v>
      </c>
      <c r="AA285" s="364" t="s">
        <v>2341</v>
      </c>
      <c r="AB285" s="364" t="s">
        <v>2442</v>
      </c>
      <c r="AC285" s="364" t="s">
        <v>2470</v>
      </c>
      <c r="AD285" s="364" t="s">
        <v>2422</v>
      </c>
      <c r="AE285" s="364" t="s">
        <v>2344</v>
      </c>
      <c r="AF285" s="364" t="s">
        <v>2473</v>
      </c>
      <c r="AG285" s="364" t="s">
        <v>2475</v>
      </c>
      <c r="AH285" s="364" t="s">
        <v>2476</v>
      </c>
      <c r="AI285" s="364" t="s">
        <v>2555</v>
      </c>
      <c r="AJ285" s="364" t="s">
        <v>2428</v>
      </c>
      <c r="AK285" s="364"/>
      <c r="AL285" s="364"/>
      <c r="AM285" s="364"/>
      <c r="AN285" s="364"/>
      <c r="AO285" s="364"/>
      <c r="AP285" s="364"/>
      <c r="AQ285" s="364"/>
      <c r="AR285" s="364"/>
      <c r="AS285" s="364"/>
      <c r="AT285" s="364"/>
      <c r="AU285" s="364"/>
      <c r="AV285" s="364"/>
      <c r="AW285" s="364"/>
      <c r="AX285" s="364"/>
      <c r="AY285" s="364"/>
      <c r="AZ285" s="364"/>
      <c r="BA285" s="364"/>
      <c r="BB285" s="364"/>
      <c r="BC285" s="364"/>
      <c r="BD285" s="364"/>
      <c r="BE285" s="364"/>
      <c r="BF285" s="364"/>
      <c r="BG285" s="364"/>
      <c r="BH285" s="364"/>
      <c r="BI285" s="364"/>
      <c r="BJ285" s="364"/>
      <c r="BK285" s="364"/>
      <c r="BL285" s="364"/>
      <c r="BM285" s="364"/>
      <c r="BN285" s="364"/>
      <c r="BO285" s="364"/>
      <c r="BP285" s="364"/>
      <c r="BQ285" s="364"/>
      <c r="BR285" s="364"/>
      <c r="BS285" s="364"/>
      <c r="BT285" s="364"/>
      <c r="BU285" s="364"/>
      <c r="BV285" s="364"/>
      <c r="BW285" s="364"/>
      <c r="BX285" s="364"/>
      <c r="BY285" s="364"/>
      <c r="BZ285" s="364"/>
      <c r="CA285" s="364"/>
      <c r="CB285" s="364"/>
      <c r="CC285" s="364"/>
      <c r="CD285" s="364"/>
      <c r="CE285" s="364"/>
      <c r="CF285" s="364"/>
      <c r="CG285" s="364"/>
      <c r="CH285" s="364"/>
      <c r="CI285" s="364"/>
      <c r="CJ285" s="364"/>
      <c r="CK285" s="364"/>
      <c r="CL285" s="364"/>
      <c r="CM285" s="364"/>
      <c r="CN285" s="364"/>
      <c r="CO285" s="364"/>
      <c r="CP285" s="364"/>
      <c r="CQ285" s="364"/>
      <c r="CR285" s="364"/>
      <c r="CS285" s="364"/>
      <c r="CT285" s="364"/>
      <c r="CU285" s="364"/>
      <c r="CV285" s="364"/>
      <c r="CW285" s="364"/>
      <c r="CX285" s="364"/>
      <c r="CY285" s="364"/>
      <c r="CZ285" s="364"/>
      <c r="DA285" s="364"/>
      <c r="DB285" s="364"/>
      <c r="DC285" s="364"/>
      <c r="DD285" s="364"/>
      <c r="DE285" s="364"/>
      <c r="DF285" s="364"/>
      <c r="DG285" s="364"/>
      <c r="DH285" s="364"/>
      <c r="DI285" s="364"/>
      <c r="DJ285" s="364"/>
      <c r="DK285" s="364"/>
      <c r="DL285" s="364"/>
      <c r="DM285" s="364"/>
      <c r="DN285" s="364"/>
      <c r="DO285" s="364"/>
      <c r="DP285" s="364"/>
      <c r="DQ285" s="364"/>
      <c r="DR285" s="364"/>
      <c r="DS285" s="364"/>
      <c r="DT285" s="364"/>
      <c r="DU285" s="364"/>
      <c r="DV285" s="364"/>
      <c r="DW285" s="364"/>
      <c r="DX285" s="364"/>
      <c r="DY285" s="364"/>
      <c r="DZ285" s="364"/>
      <c r="EA285" s="364"/>
      <c r="EB285" s="364"/>
      <c r="EC285" s="364"/>
      <c r="ED285" s="364"/>
      <c r="EE285" s="364"/>
      <c r="EF285" s="364"/>
      <c r="EG285" s="364"/>
      <c r="EH285" s="364"/>
      <c r="EI285" s="364"/>
      <c r="EJ285" s="364"/>
      <c r="EK285" s="364"/>
      <c r="EL285" s="364"/>
      <c r="EM285" s="364"/>
      <c r="EN285" s="364"/>
      <c r="EO285" s="364"/>
      <c r="EP285" s="364"/>
      <c r="EQ285" s="364"/>
      <c r="ER285" s="364"/>
      <c r="ES285" s="364"/>
      <c r="ET285" s="364"/>
      <c r="EU285" s="364"/>
      <c r="EV285" s="364"/>
      <c r="EW285" s="364"/>
      <c r="EX285" s="364"/>
      <c r="EY285" s="364"/>
      <c r="EZ285" s="364"/>
      <c r="FA285" s="364"/>
      <c r="FB285" s="364"/>
      <c r="FC285" s="364"/>
      <c r="FD285" s="364"/>
      <c r="FE285" s="364"/>
      <c r="FF285" s="364"/>
      <c r="FG285" s="364"/>
      <c r="FH285" s="364"/>
      <c r="FI285" s="364"/>
      <c r="FJ285" s="364"/>
      <c r="FK285" s="364"/>
    </row>
    <row r="286" customFormat="false" ht="15.75" hidden="false" customHeight="false" outlineLevel="0" collapsed="false">
      <c r="A286" s="364" t="n">
        <v>553</v>
      </c>
      <c r="B286" s="364" t="n">
        <f aca="false">COUNTA(D286:FK286)</f>
        <v>28</v>
      </c>
      <c r="C286" s="364" t="s">
        <v>1442</v>
      </c>
      <c r="D286" s="364" t="s">
        <v>2528</v>
      </c>
      <c r="E286" s="364" t="s">
        <v>2464</v>
      </c>
      <c r="F286" s="364" t="s">
        <v>2409</v>
      </c>
      <c r="G286" s="364" t="s">
        <v>2518</v>
      </c>
      <c r="H286" s="364" t="s">
        <v>2569</v>
      </c>
      <c r="I286" s="364" t="s">
        <v>2435</v>
      </c>
      <c r="J286" s="364" t="s">
        <v>2436</v>
      </c>
      <c r="K286" s="364" t="s">
        <v>2320</v>
      </c>
      <c r="L286" s="364" t="s">
        <v>2523</v>
      </c>
      <c r="M286" s="364" t="s">
        <v>2560</v>
      </c>
      <c r="N286" s="364" t="s">
        <v>2328</v>
      </c>
      <c r="O286" s="261" t="s">
        <v>183</v>
      </c>
      <c r="P286" s="364" t="s">
        <v>2385</v>
      </c>
      <c r="Q286" s="364" t="s">
        <v>2337</v>
      </c>
      <c r="R286" s="364" t="s">
        <v>2340</v>
      </c>
      <c r="S286" s="364" t="s">
        <v>2341</v>
      </c>
      <c r="T286" s="364" t="s">
        <v>2442</v>
      </c>
      <c r="U286" s="364" t="s">
        <v>2470</v>
      </c>
      <c r="V286" s="364" t="s">
        <v>2422</v>
      </c>
      <c r="W286" s="364" t="s">
        <v>2344</v>
      </c>
      <c r="X286" s="364" t="s">
        <v>2473</v>
      </c>
      <c r="Y286" s="364" t="s">
        <v>2398</v>
      </c>
      <c r="Z286" s="364" t="s">
        <v>2445</v>
      </c>
      <c r="AA286" s="364" t="s">
        <v>2475</v>
      </c>
      <c r="AB286" s="364" t="s">
        <v>2476</v>
      </c>
      <c r="AC286" s="364" t="s">
        <v>2491</v>
      </c>
      <c r="AD286" s="364" t="s">
        <v>2463</v>
      </c>
      <c r="AE286" s="364" t="s">
        <v>2492</v>
      </c>
      <c r="AF286" s="364"/>
      <c r="AG286" s="364"/>
      <c r="AH286" s="364"/>
      <c r="AI286" s="364"/>
      <c r="AJ286" s="364"/>
      <c r="AK286" s="364"/>
      <c r="AL286" s="364"/>
      <c r="AM286" s="364"/>
      <c r="AN286" s="364"/>
      <c r="AO286" s="364"/>
      <c r="AP286" s="364"/>
      <c r="AQ286" s="364"/>
      <c r="AR286" s="364"/>
      <c r="AS286" s="364"/>
      <c r="AT286" s="364"/>
      <c r="AU286" s="364"/>
      <c r="AV286" s="364"/>
      <c r="AW286" s="364"/>
      <c r="AX286" s="364"/>
      <c r="AY286" s="364"/>
      <c r="AZ286" s="364"/>
      <c r="BA286" s="364"/>
      <c r="BB286" s="364"/>
      <c r="BC286" s="364"/>
      <c r="BD286" s="364"/>
      <c r="BE286" s="364"/>
      <c r="BF286" s="364"/>
      <c r="BG286" s="364"/>
      <c r="BH286" s="364"/>
      <c r="BI286" s="364"/>
      <c r="BJ286" s="364"/>
      <c r="BK286" s="364"/>
      <c r="BL286" s="364"/>
      <c r="BM286" s="364"/>
      <c r="BN286" s="364"/>
      <c r="BO286" s="364"/>
      <c r="BP286" s="364"/>
      <c r="BQ286" s="364"/>
      <c r="BR286" s="364"/>
      <c r="BS286" s="364"/>
      <c r="BT286" s="364"/>
      <c r="BU286" s="364"/>
      <c r="BV286" s="364"/>
      <c r="BW286" s="364"/>
      <c r="BX286" s="364"/>
      <c r="BY286" s="364"/>
      <c r="BZ286" s="364"/>
      <c r="CA286" s="364"/>
      <c r="CB286" s="364"/>
      <c r="CC286" s="364"/>
      <c r="CD286" s="364"/>
      <c r="CE286" s="364"/>
      <c r="CF286" s="364"/>
      <c r="CG286" s="364"/>
      <c r="CH286" s="364"/>
      <c r="CI286" s="364"/>
      <c r="CJ286" s="364"/>
      <c r="CK286" s="364"/>
      <c r="CL286" s="364"/>
      <c r="CM286" s="364"/>
      <c r="CN286" s="364"/>
      <c r="CO286" s="364"/>
      <c r="CP286" s="364"/>
      <c r="CQ286" s="364"/>
      <c r="CR286" s="364"/>
      <c r="CS286" s="364"/>
      <c r="CT286" s="364"/>
      <c r="CU286" s="364"/>
      <c r="CV286" s="364"/>
      <c r="CW286" s="364"/>
      <c r="CX286" s="364"/>
      <c r="CY286" s="364"/>
      <c r="CZ286" s="364"/>
      <c r="DA286" s="364"/>
      <c r="DB286" s="364"/>
      <c r="DC286" s="364"/>
      <c r="DD286" s="364"/>
      <c r="DE286" s="364"/>
      <c r="DF286" s="364"/>
      <c r="DG286" s="364"/>
      <c r="DH286" s="364"/>
      <c r="DI286" s="364"/>
      <c r="DJ286" s="364"/>
      <c r="DK286" s="364"/>
      <c r="DL286" s="364"/>
      <c r="DM286" s="364"/>
      <c r="DN286" s="364"/>
      <c r="DO286" s="364"/>
      <c r="DP286" s="364"/>
      <c r="DQ286" s="364"/>
      <c r="DR286" s="364"/>
      <c r="DS286" s="364"/>
      <c r="DT286" s="364"/>
      <c r="DU286" s="364"/>
      <c r="DV286" s="364"/>
      <c r="DW286" s="364"/>
      <c r="DX286" s="364"/>
      <c r="DY286" s="364"/>
      <c r="DZ286" s="364"/>
      <c r="EA286" s="364"/>
      <c r="EB286" s="364"/>
      <c r="EC286" s="364"/>
      <c r="ED286" s="364"/>
      <c r="EE286" s="364"/>
      <c r="EF286" s="364"/>
      <c r="EG286" s="364"/>
      <c r="EH286" s="364"/>
      <c r="EI286" s="364"/>
      <c r="EJ286" s="364"/>
      <c r="EK286" s="364"/>
      <c r="EL286" s="364"/>
      <c r="EM286" s="364"/>
      <c r="EN286" s="364"/>
      <c r="EO286" s="364"/>
      <c r="EP286" s="364"/>
      <c r="EQ286" s="364"/>
      <c r="ER286" s="364"/>
      <c r="ES286" s="364"/>
      <c r="ET286" s="364"/>
      <c r="EU286" s="364"/>
      <c r="EV286" s="364"/>
      <c r="EW286" s="364"/>
      <c r="EX286" s="364"/>
      <c r="EY286" s="364"/>
      <c r="EZ286" s="364"/>
      <c r="FA286" s="364"/>
      <c r="FB286" s="364"/>
      <c r="FC286" s="364"/>
      <c r="FD286" s="364"/>
      <c r="FE286" s="364"/>
      <c r="FF286" s="364"/>
      <c r="FG286" s="364"/>
      <c r="FH286" s="364"/>
      <c r="FI286" s="364"/>
      <c r="FJ286" s="364"/>
      <c r="FK286" s="364"/>
    </row>
    <row r="287" customFormat="false" ht="15.75" hidden="false" customHeight="false" outlineLevel="0" collapsed="false">
      <c r="A287" s="364" t="n">
        <v>554</v>
      </c>
      <c r="B287" s="364" t="n">
        <f aca="false">COUNTA(D287:FK287)</f>
        <v>29</v>
      </c>
      <c r="C287" s="364" t="s">
        <v>2676</v>
      </c>
      <c r="D287" s="364" t="s">
        <v>2528</v>
      </c>
      <c r="E287" s="364" t="s">
        <v>2464</v>
      </c>
      <c r="F287" s="364" t="s">
        <v>2409</v>
      </c>
      <c r="G287" s="364" t="s">
        <v>2518</v>
      </c>
      <c r="H287" s="364" t="s">
        <v>2569</v>
      </c>
      <c r="I287" s="364" t="s">
        <v>2435</v>
      </c>
      <c r="J287" s="364" t="s">
        <v>2436</v>
      </c>
      <c r="K287" s="364" t="s">
        <v>2320</v>
      </c>
      <c r="L287" s="364" t="s">
        <v>2523</v>
      </c>
      <c r="M287" s="364" t="s">
        <v>2560</v>
      </c>
      <c r="N287" s="364" t="s">
        <v>2328</v>
      </c>
      <c r="O287" s="261" t="s">
        <v>183</v>
      </c>
      <c r="P287" s="364" t="s">
        <v>2385</v>
      </c>
      <c r="Q287" s="364" t="s">
        <v>2337</v>
      </c>
      <c r="R287" s="364" t="s">
        <v>2340</v>
      </c>
      <c r="S287" s="364" t="s">
        <v>2341</v>
      </c>
      <c r="T287" s="364" t="s">
        <v>2442</v>
      </c>
      <c r="U287" s="364" t="s">
        <v>2470</v>
      </c>
      <c r="V287" s="364" t="s">
        <v>2422</v>
      </c>
      <c r="W287" s="364" t="s">
        <v>2344</v>
      </c>
      <c r="X287" s="364" t="s">
        <v>2473</v>
      </c>
      <c r="Y287" s="364" t="s">
        <v>2398</v>
      </c>
      <c r="Z287" s="364" t="s">
        <v>2445</v>
      </c>
      <c r="AA287" s="364" t="s">
        <v>2475</v>
      </c>
      <c r="AB287" s="364" t="s">
        <v>2476</v>
      </c>
      <c r="AC287" s="364" t="s">
        <v>2491</v>
      </c>
      <c r="AD287" s="364" t="s">
        <v>2463</v>
      </c>
      <c r="AE287" s="364" t="s">
        <v>2492</v>
      </c>
      <c r="AF287" s="364" t="s">
        <v>2386</v>
      </c>
      <c r="AG287" s="364"/>
      <c r="AH287" s="364"/>
      <c r="AI287" s="364"/>
      <c r="AJ287" s="364"/>
      <c r="AK287" s="364"/>
      <c r="AL287" s="364"/>
      <c r="AM287" s="364"/>
      <c r="AN287" s="364"/>
      <c r="AO287" s="364"/>
      <c r="AP287" s="364"/>
      <c r="AQ287" s="364"/>
      <c r="AR287" s="364"/>
      <c r="AS287" s="364"/>
      <c r="AT287" s="364"/>
      <c r="AU287" s="364"/>
      <c r="AV287" s="364"/>
      <c r="AW287" s="364"/>
      <c r="AX287" s="364"/>
      <c r="AY287" s="364"/>
      <c r="AZ287" s="364"/>
      <c r="BA287" s="364"/>
      <c r="BB287" s="364"/>
      <c r="BC287" s="364"/>
      <c r="BD287" s="364"/>
      <c r="BE287" s="364"/>
      <c r="BF287" s="364"/>
      <c r="BG287" s="364"/>
      <c r="BH287" s="364"/>
      <c r="BI287" s="364"/>
      <c r="BJ287" s="364"/>
      <c r="BK287" s="364"/>
      <c r="BL287" s="364"/>
      <c r="BM287" s="364"/>
      <c r="BN287" s="364"/>
      <c r="BO287" s="364"/>
      <c r="BP287" s="364"/>
      <c r="BQ287" s="364"/>
      <c r="BR287" s="364"/>
      <c r="BS287" s="364"/>
      <c r="BT287" s="364"/>
      <c r="BU287" s="364"/>
      <c r="BV287" s="364"/>
      <c r="BW287" s="364"/>
      <c r="BX287" s="364"/>
      <c r="BY287" s="364"/>
      <c r="BZ287" s="364"/>
      <c r="CA287" s="364"/>
      <c r="CB287" s="364"/>
      <c r="CC287" s="364"/>
      <c r="CD287" s="364"/>
      <c r="CE287" s="364"/>
      <c r="CF287" s="364"/>
      <c r="CG287" s="364"/>
      <c r="CH287" s="364"/>
      <c r="CI287" s="364"/>
      <c r="CJ287" s="364"/>
      <c r="CK287" s="364"/>
      <c r="CL287" s="364"/>
      <c r="CM287" s="364"/>
      <c r="CN287" s="364"/>
      <c r="CO287" s="364"/>
      <c r="CP287" s="364"/>
      <c r="CQ287" s="364"/>
      <c r="CR287" s="364"/>
      <c r="CS287" s="364"/>
      <c r="CT287" s="364"/>
      <c r="CU287" s="364"/>
      <c r="CV287" s="364"/>
      <c r="CW287" s="364"/>
      <c r="CX287" s="364"/>
      <c r="CY287" s="364"/>
      <c r="CZ287" s="364"/>
      <c r="DA287" s="364"/>
      <c r="DB287" s="364"/>
      <c r="DC287" s="364"/>
      <c r="DD287" s="364"/>
      <c r="DE287" s="364"/>
      <c r="DF287" s="364"/>
      <c r="DG287" s="364"/>
      <c r="DH287" s="364"/>
      <c r="DI287" s="364"/>
      <c r="DJ287" s="364"/>
      <c r="DK287" s="364"/>
      <c r="DL287" s="364"/>
      <c r="DM287" s="364"/>
      <c r="DN287" s="364"/>
      <c r="DO287" s="364"/>
      <c r="DP287" s="364"/>
      <c r="DQ287" s="364"/>
      <c r="DR287" s="364"/>
      <c r="DS287" s="364"/>
      <c r="DT287" s="364"/>
      <c r="DU287" s="364"/>
      <c r="DV287" s="364"/>
      <c r="DW287" s="364"/>
      <c r="DX287" s="364"/>
      <c r="DY287" s="364"/>
      <c r="DZ287" s="364"/>
      <c r="EA287" s="364"/>
      <c r="EB287" s="364"/>
      <c r="EC287" s="364"/>
      <c r="ED287" s="364"/>
      <c r="EE287" s="364"/>
      <c r="EF287" s="364"/>
      <c r="EG287" s="364"/>
      <c r="EH287" s="364"/>
      <c r="EI287" s="364"/>
      <c r="EJ287" s="364"/>
      <c r="EK287" s="364"/>
      <c r="EL287" s="364"/>
      <c r="EM287" s="364"/>
      <c r="EN287" s="364"/>
      <c r="EO287" s="364"/>
      <c r="EP287" s="364"/>
      <c r="EQ287" s="364"/>
      <c r="ER287" s="364"/>
      <c r="ES287" s="364"/>
      <c r="ET287" s="364"/>
      <c r="EU287" s="364"/>
      <c r="EV287" s="364"/>
      <c r="EW287" s="364"/>
      <c r="EX287" s="364"/>
      <c r="EY287" s="364"/>
      <c r="EZ287" s="364"/>
      <c r="FA287" s="364"/>
      <c r="FB287" s="364"/>
      <c r="FC287" s="364"/>
      <c r="FD287" s="364"/>
      <c r="FE287" s="364"/>
      <c r="FF287" s="364"/>
      <c r="FG287" s="364"/>
      <c r="FH287" s="364"/>
      <c r="FI287" s="364"/>
      <c r="FJ287" s="364"/>
      <c r="FK287" s="364"/>
    </row>
    <row r="288" customFormat="false" ht="15.75" hidden="false" customHeight="false" outlineLevel="0" collapsed="false">
      <c r="A288" s="364" t="n">
        <v>555</v>
      </c>
      <c r="B288" s="364" t="n">
        <f aca="false">COUNTA(D288:FK288)</f>
        <v>29</v>
      </c>
      <c r="C288" s="364" t="s">
        <v>2677</v>
      </c>
      <c r="D288" s="364" t="s">
        <v>2528</v>
      </c>
      <c r="E288" s="364" t="s">
        <v>2464</v>
      </c>
      <c r="F288" s="364" t="s">
        <v>2409</v>
      </c>
      <c r="G288" s="364" t="s">
        <v>2518</v>
      </c>
      <c r="H288" s="364" t="s">
        <v>2569</v>
      </c>
      <c r="I288" s="364" t="s">
        <v>2435</v>
      </c>
      <c r="J288" s="364" t="s">
        <v>2436</v>
      </c>
      <c r="K288" s="364" t="s">
        <v>2320</v>
      </c>
      <c r="L288" s="364" t="s">
        <v>2523</v>
      </c>
      <c r="M288" s="364" t="s">
        <v>2560</v>
      </c>
      <c r="N288" s="364" t="s">
        <v>2328</v>
      </c>
      <c r="O288" s="261" t="s">
        <v>183</v>
      </c>
      <c r="P288" s="364" t="s">
        <v>2385</v>
      </c>
      <c r="Q288" s="364" t="s">
        <v>2337</v>
      </c>
      <c r="R288" s="364" t="s">
        <v>2340</v>
      </c>
      <c r="S288" s="364" t="s">
        <v>2341</v>
      </c>
      <c r="T288" s="364" t="s">
        <v>2442</v>
      </c>
      <c r="U288" s="364" t="s">
        <v>2470</v>
      </c>
      <c r="V288" s="364" t="s">
        <v>2422</v>
      </c>
      <c r="W288" s="364" t="s">
        <v>2344</v>
      </c>
      <c r="X288" s="364" t="s">
        <v>2473</v>
      </c>
      <c r="Y288" s="364" t="s">
        <v>2398</v>
      </c>
      <c r="Z288" s="364" t="s">
        <v>2445</v>
      </c>
      <c r="AA288" s="364" t="s">
        <v>2475</v>
      </c>
      <c r="AB288" s="364" t="s">
        <v>2476</v>
      </c>
      <c r="AC288" s="364" t="s">
        <v>2491</v>
      </c>
      <c r="AD288" s="364" t="s">
        <v>2463</v>
      </c>
      <c r="AE288" s="364" t="s">
        <v>2492</v>
      </c>
      <c r="AF288" s="364" t="s">
        <v>2414</v>
      </c>
      <c r="AG288" s="364"/>
      <c r="AH288" s="364"/>
      <c r="AI288" s="364"/>
      <c r="AJ288" s="364"/>
      <c r="AK288" s="364"/>
      <c r="AL288" s="364"/>
      <c r="AM288" s="364"/>
      <c r="AN288" s="364"/>
      <c r="AO288" s="364"/>
      <c r="AP288" s="364"/>
      <c r="AQ288" s="364"/>
      <c r="AR288" s="364"/>
      <c r="AS288" s="364"/>
      <c r="AT288" s="364"/>
      <c r="AU288" s="364"/>
      <c r="AV288" s="364"/>
      <c r="AW288" s="364"/>
      <c r="AX288" s="364"/>
      <c r="AY288" s="364"/>
      <c r="AZ288" s="364"/>
      <c r="BA288" s="364"/>
      <c r="BB288" s="364"/>
      <c r="BC288" s="364"/>
      <c r="BD288" s="364"/>
      <c r="BE288" s="364"/>
      <c r="BF288" s="364"/>
      <c r="BG288" s="364"/>
      <c r="BH288" s="364"/>
      <c r="BI288" s="364"/>
      <c r="BJ288" s="364"/>
      <c r="BK288" s="364"/>
      <c r="BL288" s="364"/>
      <c r="BM288" s="364"/>
      <c r="BN288" s="364"/>
      <c r="BO288" s="364"/>
      <c r="BP288" s="364"/>
      <c r="BQ288" s="364"/>
      <c r="BR288" s="364"/>
      <c r="BS288" s="364"/>
      <c r="BT288" s="364"/>
      <c r="BU288" s="364"/>
      <c r="BV288" s="364"/>
      <c r="BW288" s="364"/>
      <c r="BX288" s="364"/>
      <c r="BY288" s="364"/>
      <c r="BZ288" s="364"/>
      <c r="CA288" s="364"/>
      <c r="CB288" s="364"/>
      <c r="CC288" s="364"/>
      <c r="CD288" s="364"/>
      <c r="CE288" s="364"/>
      <c r="CF288" s="364"/>
      <c r="CG288" s="364"/>
      <c r="CH288" s="364"/>
      <c r="CI288" s="364"/>
      <c r="CJ288" s="364"/>
      <c r="CK288" s="364"/>
      <c r="CL288" s="364"/>
      <c r="CM288" s="364"/>
      <c r="CN288" s="364"/>
      <c r="CO288" s="364"/>
      <c r="CP288" s="364"/>
      <c r="CQ288" s="364"/>
      <c r="CR288" s="364"/>
      <c r="CS288" s="364"/>
      <c r="CT288" s="364"/>
      <c r="CU288" s="364"/>
      <c r="CV288" s="364"/>
      <c r="CW288" s="364"/>
      <c r="CX288" s="364"/>
      <c r="CY288" s="364"/>
      <c r="CZ288" s="364"/>
      <c r="DA288" s="364"/>
      <c r="DB288" s="364"/>
      <c r="DC288" s="364"/>
      <c r="DD288" s="364"/>
      <c r="DE288" s="364"/>
      <c r="DF288" s="364"/>
      <c r="DG288" s="364"/>
      <c r="DH288" s="364"/>
      <c r="DI288" s="364"/>
      <c r="DJ288" s="364"/>
      <c r="DK288" s="364"/>
      <c r="DL288" s="364"/>
      <c r="DM288" s="364"/>
      <c r="DN288" s="364"/>
      <c r="DO288" s="364"/>
      <c r="DP288" s="364"/>
      <c r="DQ288" s="364"/>
      <c r="DR288" s="364"/>
      <c r="DS288" s="364"/>
      <c r="DT288" s="364"/>
      <c r="DU288" s="364"/>
      <c r="DV288" s="364"/>
      <c r="DW288" s="364"/>
      <c r="DX288" s="364"/>
      <c r="DY288" s="364"/>
      <c r="DZ288" s="364"/>
      <c r="EA288" s="364"/>
      <c r="EB288" s="364"/>
      <c r="EC288" s="364"/>
      <c r="ED288" s="364"/>
      <c r="EE288" s="364"/>
      <c r="EF288" s="364"/>
      <c r="EG288" s="364"/>
      <c r="EH288" s="364"/>
      <c r="EI288" s="364"/>
      <c r="EJ288" s="364"/>
      <c r="EK288" s="364"/>
      <c r="EL288" s="364"/>
      <c r="EM288" s="364"/>
      <c r="EN288" s="364"/>
      <c r="EO288" s="364"/>
      <c r="EP288" s="364"/>
      <c r="EQ288" s="364"/>
      <c r="ER288" s="364"/>
      <c r="ES288" s="364"/>
      <c r="ET288" s="364"/>
      <c r="EU288" s="364"/>
      <c r="EV288" s="364"/>
      <c r="EW288" s="364"/>
      <c r="EX288" s="364"/>
      <c r="EY288" s="364"/>
      <c r="EZ288" s="364"/>
      <c r="FA288" s="364"/>
      <c r="FB288" s="364"/>
      <c r="FC288" s="364"/>
      <c r="FD288" s="364"/>
      <c r="FE288" s="364"/>
      <c r="FF288" s="364"/>
      <c r="FG288" s="364"/>
      <c r="FH288" s="364"/>
      <c r="FI288" s="364"/>
      <c r="FJ288" s="364"/>
      <c r="FK288" s="364"/>
    </row>
    <row r="289" customFormat="false" ht="15.75" hidden="false" customHeight="false" outlineLevel="0" collapsed="false">
      <c r="A289" s="364" t="n">
        <v>556</v>
      </c>
      <c r="B289" s="364" t="n">
        <f aca="false">COUNTA(D289:FK289)</f>
        <v>29</v>
      </c>
      <c r="C289" s="364" t="s">
        <v>2678</v>
      </c>
      <c r="D289" s="364" t="s">
        <v>2528</v>
      </c>
      <c r="E289" s="364" t="s">
        <v>2464</v>
      </c>
      <c r="F289" s="364" t="s">
        <v>2409</v>
      </c>
      <c r="G289" s="364" t="s">
        <v>2518</v>
      </c>
      <c r="H289" s="364" t="s">
        <v>2569</v>
      </c>
      <c r="I289" s="364" t="s">
        <v>2435</v>
      </c>
      <c r="J289" s="364" t="s">
        <v>2436</v>
      </c>
      <c r="K289" s="364" t="s">
        <v>2320</v>
      </c>
      <c r="L289" s="364" t="s">
        <v>2523</v>
      </c>
      <c r="M289" s="364" t="s">
        <v>2560</v>
      </c>
      <c r="N289" s="364" t="s">
        <v>2328</v>
      </c>
      <c r="O289" s="261" t="s">
        <v>183</v>
      </c>
      <c r="P289" s="364" t="s">
        <v>2385</v>
      </c>
      <c r="Q289" s="364" t="s">
        <v>2337</v>
      </c>
      <c r="R289" s="364" t="s">
        <v>2340</v>
      </c>
      <c r="S289" s="364" t="s">
        <v>2341</v>
      </c>
      <c r="T289" s="364" t="s">
        <v>2442</v>
      </c>
      <c r="U289" s="364" t="s">
        <v>2470</v>
      </c>
      <c r="V289" s="364" t="s">
        <v>2422</v>
      </c>
      <c r="W289" s="364" t="s">
        <v>2344</v>
      </c>
      <c r="X289" s="364" t="s">
        <v>2473</v>
      </c>
      <c r="Y289" s="364" t="s">
        <v>2398</v>
      </c>
      <c r="Z289" s="364" t="s">
        <v>2445</v>
      </c>
      <c r="AA289" s="364" t="s">
        <v>2475</v>
      </c>
      <c r="AB289" s="364" t="s">
        <v>2476</v>
      </c>
      <c r="AC289" s="364" t="s">
        <v>2491</v>
      </c>
      <c r="AD289" s="364" t="s">
        <v>2463</v>
      </c>
      <c r="AE289" s="364" t="s">
        <v>2492</v>
      </c>
      <c r="AF289" s="364" t="s">
        <v>2405</v>
      </c>
      <c r="AG289" s="364"/>
      <c r="AH289" s="364"/>
      <c r="AI289" s="364"/>
      <c r="AJ289" s="364"/>
      <c r="AK289" s="364"/>
      <c r="AL289" s="364"/>
      <c r="AM289" s="364"/>
      <c r="AN289" s="364"/>
      <c r="AO289" s="364"/>
      <c r="AP289" s="364"/>
      <c r="AQ289" s="364"/>
      <c r="AR289" s="364"/>
      <c r="AS289" s="364"/>
      <c r="AT289" s="364"/>
      <c r="AU289" s="364"/>
      <c r="AV289" s="364"/>
      <c r="AW289" s="364"/>
      <c r="AX289" s="364"/>
      <c r="AY289" s="364"/>
      <c r="AZ289" s="364"/>
      <c r="BA289" s="364"/>
      <c r="BB289" s="364"/>
      <c r="BC289" s="364"/>
      <c r="BD289" s="364"/>
      <c r="BE289" s="364"/>
      <c r="BF289" s="364"/>
      <c r="BG289" s="364"/>
      <c r="BH289" s="364"/>
      <c r="BI289" s="364"/>
      <c r="BJ289" s="364"/>
      <c r="BK289" s="364"/>
      <c r="BL289" s="364"/>
      <c r="BM289" s="364"/>
      <c r="BN289" s="364"/>
      <c r="BO289" s="364"/>
      <c r="BP289" s="364"/>
      <c r="BQ289" s="364"/>
      <c r="BR289" s="364"/>
      <c r="BS289" s="364"/>
      <c r="BT289" s="364"/>
      <c r="BU289" s="364"/>
      <c r="BV289" s="364"/>
      <c r="BW289" s="364"/>
      <c r="BX289" s="364"/>
      <c r="BY289" s="364"/>
      <c r="BZ289" s="364"/>
      <c r="CA289" s="364"/>
      <c r="CB289" s="364"/>
      <c r="CC289" s="364"/>
      <c r="CD289" s="364"/>
      <c r="CE289" s="364"/>
      <c r="CF289" s="364"/>
      <c r="CG289" s="364"/>
      <c r="CH289" s="364"/>
      <c r="CI289" s="364"/>
      <c r="CJ289" s="364"/>
      <c r="CK289" s="364"/>
      <c r="CL289" s="364"/>
      <c r="CM289" s="364"/>
      <c r="CN289" s="364"/>
      <c r="CO289" s="364"/>
      <c r="CP289" s="364"/>
      <c r="CQ289" s="364"/>
      <c r="CR289" s="364"/>
      <c r="CS289" s="364"/>
      <c r="CT289" s="364"/>
      <c r="CU289" s="364"/>
      <c r="CV289" s="364"/>
      <c r="CW289" s="364"/>
      <c r="CX289" s="364"/>
      <c r="CY289" s="364"/>
      <c r="CZ289" s="364"/>
      <c r="DA289" s="364"/>
      <c r="DB289" s="364"/>
      <c r="DC289" s="364"/>
      <c r="DD289" s="364"/>
      <c r="DE289" s="364"/>
      <c r="DF289" s="364"/>
      <c r="DG289" s="364"/>
      <c r="DH289" s="364"/>
      <c r="DI289" s="364"/>
      <c r="DJ289" s="364"/>
      <c r="DK289" s="364"/>
      <c r="DL289" s="364"/>
      <c r="DM289" s="364"/>
      <c r="DN289" s="364"/>
      <c r="DO289" s="364"/>
      <c r="DP289" s="364"/>
      <c r="DQ289" s="364"/>
      <c r="DR289" s="364"/>
      <c r="DS289" s="364"/>
      <c r="DT289" s="364"/>
      <c r="DU289" s="364"/>
      <c r="DV289" s="364"/>
      <c r="DW289" s="364"/>
      <c r="DX289" s="364"/>
      <c r="DY289" s="364"/>
      <c r="DZ289" s="364"/>
      <c r="EA289" s="364"/>
      <c r="EB289" s="364"/>
      <c r="EC289" s="364"/>
      <c r="ED289" s="364"/>
      <c r="EE289" s="364"/>
      <c r="EF289" s="364"/>
      <c r="EG289" s="364"/>
      <c r="EH289" s="364"/>
      <c r="EI289" s="364"/>
      <c r="EJ289" s="364"/>
      <c r="EK289" s="364"/>
      <c r="EL289" s="364"/>
      <c r="EM289" s="364"/>
      <c r="EN289" s="364"/>
      <c r="EO289" s="364"/>
      <c r="EP289" s="364"/>
      <c r="EQ289" s="364"/>
      <c r="ER289" s="364"/>
      <c r="ES289" s="364"/>
      <c r="ET289" s="364"/>
      <c r="EU289" s="364"/>
      <c r="EV289" s="364"/>
      <c r="EW289" s="364"/>
      <c r="EX289" s="364"/>
      <c r="EY289" s="364"/>
      <c r="EZ289" s="364"/>
      <c r="FA289" s="364"/>
      <c r="FB289" s="364"/>
      <c r="FC289" s="364"/>
      <c r="FD289" s="364"/>
      <c r="FE289" s="364"/>
      <c r="FF289" s="364"/>
      <c r="FG289" s="364"/>
      <c r="FH289" s="364"/>
      <c r="FI289" s="364"/>
      <c r="FJ289" s="364"/>
      <c r="FK289" s="364"/>
    </row>
    <row r="290" customFormat="false" ht="15.75" hidden="false" customHeight="false" outlineLevel="0" collapsed="false">
      <c r="A290" s="364" t="n">
        <v>557</v>
      </c>
      <c r="B290" s="364" t="n">
        <f aca="false">COUNTA(D290:FK290)</f>
        <v>29</v>
      </c>
      <c r="C290" s="364" t="s">
        <v>2679</v>
      </c>
      <c r="D290" s="364" t="s">
        <v>2528</v>
      </c>
      <c r="E290" s="364" t="s">
        <v>2464</v>
      </c>
      <c r="F290" s="364" t="s">
        <v>2409</v>
      </c>
      <c r="G290" s="364" t="s">
        <v>2518</v>
      </c>
      <c r="H290" s="364" t="s">
        <v>2569</v>
      </c>
      <c r="I290" s="364" t="s">
        <v>2435</v>
      </c>
      <c r="J290" s="364" t="s">
        <v>2436</v>
      </c>
      <c r="K290" s="364" t="s">
        <v>2320</v>
      </c>
      <c r="L290" s="364" t="s">
        <v>2523</v>
      </c>
      <c r="M290" s="364" t="s">
        <v>2560</v>
      </c>
      <c r="N290" s="364" t="s">
        <v>2328</v>
      </c>
      <c r="O290" s="261" t="s">
        <v>183</v>
      </c>
      <c r="P290" s="364" t="s">
        <v>2385</v>
      </c>
      <c r="Q290" s="364" t="s">
        <v>2337</v>
      </c>
      <c r="R290" s="364" t="s">
        <v>2340</v>
      </c>
      <c r="S290" s="364" t="s">
        <v>2341</v>
      </c>
      <c r="T290" s="364" t="s">
        <v>2442</v>
      </c>
      <c r="U290" s="364" t="s">
        <v>2470</v>
      </c>
      <c r="V290" s="364" t="s">
        <v>2422</v>
      </c>
      <c r="W290" s="364" t="s">
        <v>2344</v>
      </c>
      <c r="X290" s="364" t="s">
        <v>2473</v>
      </c>
      <c r="Y290" s="364" t="s">
        <v>2398</v>
      </c>
      <c r="Z290" s="364" t="s">
        <v>2445</v>
      </c>
      <c r="AA290" s="364" t="s">
        <v>2475</v>
      </c>
      <c r="AB290" s="364" t="s">
        <v>2476</v>
      </c>
      <c r="AC290" s="364" t="s">
        <v>2491</v>
      </c>
      <c r="AD290" s="364" t="s">
        <v>2463</v>
      </c>
      <c r="AE290" s="364" t="s">
        <v>2492</v>
      </c>
      <c r="AF290" s="364" t="s">
        <v>2354</v>
      </c>
      <c r="AG290" s="364"/>
      <c r="AH290" s="364"/>
      <c r="AI290" s="364"/>
      <c r="AJ290" s="364"/>
      <c r="AK290" s="364"/>
      <c r="AL290" s="364"/>
      <c r="AM290" s="364"/>
      <c r="AN290" s="364"/>
      <c r="AO290" s="364"/>
      <c r="AP290" s="364"/>
      <c r="AQ290" s="364"/>
      <c r="AR290" s="364"/>
      <c r="AS290" s="364"/>
      <c r="AT290" s="364"/>
      <c r="AU290" s="364"/>
      <c r="AV290" s="364"/>
      <c r="AW290" s="364"/>
      <c r="AX290" s="364"/>
      <c r="AY290" s="364"/>
      <c r="AZ290" s="364"/>
      <c r="BA290" s="364"/>
      <c r="BB290" s="364"/>
      <c r="BC290" s="364"/>
      <c r="BD290" s="364"/>
      <c r="BE290" s="364"/>
      <c r="BF290" s="364"/>
      <c r="BG290" s="364"/>
      <c r="BH290" s="364"/>
      <c r="BI290" s="364"/>
      <c r="BJ290" s="364"/>
      <c r="BK290" s="364"/>
      <c r="BL290" s="364"/>
      <c r="BM290" s="364"/>
      <c r="BN290" s="364"/>
      <c r="BO290" s="364"/>
      <c r="BP290" s="364"/>
      <c r="BQ290" s="364"/>
      <c r="BR290" s="364"/>
      <c r="BS290" s="364"/>
      <c r="BT290" s="364"/>
      <c r="BU290" s="364"/>
      <c r="BV290" s="364"/>
      <c r="BW290" s="364"/>
      <c r="BX290" s="364"/>
      <c r="BY290" s="364"/>
      <c r="BZ290" s="364"/>
      <c r="CA290" s="364"/>
      <c r="CB290" s="364"/>
      <c r="CC290" s="364"/>
      <c r="CD290" s="364"/>
      <c r="CE290" s="364"/>
      <c r="CF290" s="364"/>
      <c r="CG290" s="364"/>
      <c r="CH290" s="364"/>
      <c r="CI290" s="364"/>
      <c r="CJ290" s="364"/>
      <c r="CK290" s="364"/>
      <c r="CL290" s="364"/>
      <c r="CM290" s="364"/>
      <c r="CN290" s="364"/>
      <c r="CO290" s="364"/>
      <c r="CP290" s="364"/>
      <c r="CQ290" s="364"/>
      <c r="CR290" s="364"/>
      <c r="CS290" s="364"/>
      <c r="CT290" s="364"/>
      <c r="CU290" s="364"/>
      <c r="CV290" s="364"/>
      <c r="CW290" s="364"/>
      <c r="CX290" s="364"/>
      <c r="CY290" s="364"/>
      <c r="CZ290" s="364"/>
      <c r="DA290" s="364"/>
      <c r="DB290" s="364"/>
      <c r="DC290" s="364"/>
      <c r="DD290" s="364"/>
      <c r="DE290" s="364"/>
      <c r="DF290" s="364"/>
      <c r="DG290" s="364"/>
      <c r="DH290" s="364"/>
      <c r="DI290" s="364"/>
      <c r="DJ290" s="364"/>
      <c r="DK290" s="364"/>
      <c r="DL290" s="364"/>
      <c r="DM290" s="364"/>
      <c r="DN290" s="364"/>
      <c r="DO290" s="364"/>
      <c r="DP290" s="364"/>
      <c r="DQ290" s="364"/>
      <c r="DR290" s="364"/>
      <c r="DS290" s="364"/>
      <c r="DT290" s="364"/>
      <c r="DU290" s="364"/>
      <c r="DV290" s="364"/>
      <c r="DW290" s="364"/>
      <c r="DX290" s="364"/>
      <c r="DY290" s="364"/>
      <c r="DZ290" s="364"/>
      <c r="EA290" s="364"/>
      <c r="EB290" s="364"/>
      <c r="EC290" s="364"/>
      <c r="ED290" s="364"/>
      <c r="EE290" s="364"/>
      <c r="EF290" s="364"/>
      <c r="EG290" s="364"/>
      <c r="EH290" s="364"/>
      <c r="EI290" s="364"/>
      <c r="EJ290" s="364"/>
      <c r="EK290" s="364"/>
      <c r="EL290" s="364"/>
      <c r="EM290" s="364"/>
      <c r="EN290" s="364"/>
      <c r="EO290" s="364"/>
      <c r="EP290" s="364"/>
      <c r="EQ290" s="364"/>
      <c r="ER290" s="364"/>
      <c r="ES290" s="364"/>
      <c r="ET290" s="364"/>
      <c r="EU290" s="364"/>
      <c r="EV290" s="364"/>
      <c r="EW290" s="364"/>
      <c r="EX290" s="364"/>
      <c r="EY290" s="364"/>
      <c r="EZ290" s="364"/>
      <c r="FA290" s="364"/>
      <c r="FB290" s="364"/>
      <c r="FC290" s="364"/>
      <c r="FD290" s="364"/>
      <c r="FE290" s="364"/>
      <c r="FF290" s="364"/>
      <c r="FG290" s="364"/>
      <c r="FH290" s="364"/>
      <c r="FI290" s="364"/>
      <c r="FJ290" s="364"/>
      <c r="FK290" s="364"/>
    </row>
    <row r="291" customFormat="false" ht="15.75" hidden="false" customHeight="false" outlineLevel="0" collapsed="false">
      <c r="A291" s="364" t="n">
        <v>558</v>
      </c>
      <c r="B291" s="364" t="n">
        <f aca="false">COUNTA(D291:FK291)</f>
        <v>29</v>
      </c>
      <c r="C291" s="364" t="s">
        <v>2680</v>
      </c>
      <c r="D291" s="364" t="s">
        <v>2528</v>
      </c>
      <c r="E291" s="364" t="s">
        <v>2464</v>
      </c>
      <c r="F291" s="364" t="s">
        <v>2409</v>
      </c>
      <c r="G291" s="364" t="s">
        <v>2518</v>
      </c>
      <c r="H291" s="364" t="s">
        <v>2569</v>
      </c>
      <c r="I291" s="364" t="s">
        <v>2435</v>
      </c>
      <c r="J291" s="364" t="s">
        <v>2436</v>
      </c>
      <c r="K291" s="364" t="s">
        <v>2320</v>
      </c>
      <c r="L291" s="364" t="s">
        <v>2523</v>
      </c>
      <c r="M291" s="364" t="s">
        <v>2560</v>
      </c>
      <c r="N291" s="364" t="s">
        <v>2328</v>
      </c>
      <c r="O291" s="261" t="s">
        <v>183</v>
      </c>
      <c r="P291" s="364" t="s">
        <v>2385</v>
      </c>
      <c r="Q291" s="364" t="s">
        <v>2337</v>
      </c>
      <c r="R291" s="364" t="s">
        <v>2340</v>
      </c>
      <c r="S291" s="364" t="s">
        <v>2341</v>
      </c>
      <c r="T291" s="364" t="s">
        <v>2442</v>
      </c>
      <c r="U291" s="364" t="s">
        <v>2470</v>
      </c>
      <c r="V291" s="364" t="s">
        <v>2422</v>
      </c>
      <c r="W291" s="364" t="s">
        <v>2344</v>
      </c>
      <c r="X291" s="364" t="s">
        <v>2473</v>
      </c>
      <c r="Y291" s="364" t="s">
        <v>2398</v>
      </c>
      <c r="Z291" s="364" t="s">
        <v>2445</v>
      </c>
      <c r="AA291" s="364" t="s">
        <v>2475</v>
      </c>
      <c r="AB291" s="364" t="s">
        <v>2476</v>
      </c>
      <c r="AC291" s="364" t="s">
        <v>2491</v>
      </c>
      <c r="AD291" s="364" t="s">
        <v>2463</v>
      </c>
      <c r="AE291" s="364" t="s">
        <v>2492</v>
      </c>
      <c r="AF291" s="364" t="s">
        <v>2557</v>
      </c>
      <c r="AG291" s="364"/>
      <c r="AH291" s="364"/>
      <c r="AI291" s="364"/>
      <c r="AJ291" s="364"/>
      <c r="AK291" s="364"/>
      <c r="AL291" s="364"/>
      <c r="AM291" s="364"/>
      <c r="AN291" s="364"/>
      <c r="AO291" s="364"/>
      <c r="AP291" s="364"/>
      <c r="AQ291" s="364"/>
      <c r="AR291" s="364"/>
      <c r="AS291" s="364"/>
      <c r="AT291" s="364"/>
      <c r="AU291" s="364"/>
      <c r="AV291" s="364"/>
      <c r="AW291" s="364"/>
      <c r="AX291" s="364"/>
      <c r="AY291" s="364"/>
      <c r="AZ291" s="364"/>
      <c r="BA291" s="364"/>
      <c r="BB291" s="364"/>
      <c r="BC291" s="364"/>
      <c r="BD291" s="364"/>
      <c r="BE291" s="364"/>
      <c r="BF291" s="364"/>
      <c r="BG291" s="364"/>
      <c r="BH291" s="364"/>
      <c r="BI291" s="364"/>
      <c r="BJ291" s="364"/>
      <c r="BK291" s="364"/>
      <c r="BL291" s="364"/>
      <c r="BM291" s="364"/>
      <c r="BN291" s="364"/>
      <c r="BO291" s="364"/>
      <c r="BP291" s="364"/>
      <c r="BQ291" s="364"/>
      <c r="BR291" s="364"/>
      <c r="BS291" s="364"/>
      <c r="BT291" s="364"/>
      <c r="BU291" s="364"/>
      <c r="BV291" s="364"/>
      <c r="BW291" s="364"/>
      <c r="BX291" s="364"/>
      <c r="BY291" s="364"/>
      <c r="BZ291" s="364"/>
      <c r="CA291" s="364"/>
      <c r="CB291" s="364"/>
      <c r="CC291" s="364"/>
      <c r="CD291" s="364"/>
      <c r="CE291" s="364"/>
      <c r="CF291" s="364"/>
      <c r="CG291" s="364"/>
      <c r="CH291" s="364"/>
      <c r="CI291" s="364"/>
      <c r="CJ291" s="364"/>
      <c r="CK291" s="364"/>
      <c r="CL291" s="364"/>
      <c r="CM291" s="364"/>
      <c r="CN291" s="364"/>
      <c r="CO291" s="364"/>
      <c r="CP291" s="364"/>
      <c r="CQ291" s="364"/>
      <c r="CR291" s="364"/>
      <c r="CS291" s="364"/>
      <c r="CT291" s="364"/>
      <c r="CU291" s="364"/>
      <c r="CV291" s="364"/>
      <c r="CW291" s="364"/>
      <c r="CX291" s="364"/>
      <c r="CY291" s="364"/>
      <c r="CZ291" s="364"/>
      <c r="DA291" s="364"/>
      <c r="DB291" s="364"/>
      <c r="DC291" s="364"/>
      <c r="DD291" s="364"/>
      <c r="DE291" s="364"/>
      <c r="DF291" s="364"/>
      <c r="DG291" s="364"/>
      <c r="DH291" s="364"/>
      <c r="DI291" s="364"/>
      <c r="DJ291" s="364"/>
      <c r="DK291" s="364"/>
      <c r="DL291" s="364"/>
      <c r="DM291" s="364"/>
      <c r="DN291" s="364"/>
      <c r="DO291" s="364"/>
      <c r="DP291" s="364"/>
      <c r="DQ291" s="364"/>
      <c r="DR291" s="364"/>
      <c r="DS291" s="364"/>
      <c r="DT291" s="364"/>
      <c r="DU291" s="364"/>
      <c r="DV291" s="364"/>
      <c r="DW291" s="364"/>
      <c r="DX291" s="364"/>
      <c r="DY291" s="364"/>
      <c r="DZ291" s="364"/>
      <c r="EA291" s="364"/>
      <c r="EB291" s="364"/>
      <c r="EC291" s="364"/>
      <c r="ED291" s="364"/>
      <c r="EE291" s="364"/>
      <c r="EF291" s="364"/>
      <c r="EG291" s="364"/>
      <c r="EH291" s="364"/>
      <c r="EI291" s="364"/>
      <c r="EJ291" s="364"/>
      <c r="EK291" s="364"/>
      <c r="EL291" s="364"/>
      <c r="EM291" s="364"/>
      <c r="EN291" s="364"/>
      <c r="EO291" s="364"/>
      <c r="EP291" s="364"/>
      <c r="EQ291" s="364"/>
      <c r="ER291" s="364"/>
      <c r="ES291" s="364"/>
      <c r="ET291" s="364"/>
      <c r="EU291" s="364"/>
      <c r="EV291" s="364"/>
      <c r="EW291" s="364"/>
      <c r="EX291" s="364"/>
      <c r="EY291" s="364"/>
      <c r="EZ291" s="364"/>
      <c r="FA291" s="364"/>
      <c r="FB291" s="364"/>
      <c r="FC291" s="364"/>
      <c r="FD291" s="364"/>
      <c r="FE291" s="364"/>
      <c r="FF291" s="364"/>
      <c r="FG291" s="364"/>
      <c r="FH291" s="364"/>
      <c r="FI291" s="364"/>
      <c r="FJ291" s="364"/>
      <c r="FK291" s="364"/>
    </row>
    <row r="292" customFormat="false" ht="15.75" hidden="false" customHeight="false" outlineLevel="0" collapsed="false">
      <c r="A292" s="364" t="n">
        <v>559</v>
      </c>
      <c r="B292" s="364" t="n">
        <f aca="false">COUNTA(D292:FK292)</f>
        <v>40</v>
      </c>
      <c r="C292" s="364" t="s">
        <v>1459</v>
      </c>
      <c r="D292" s="364" t="s">
        <v>2431</v>
      </c>
      <c r="E292" s="364" t="s">
        <v>2464</v>
      </c>
      <c r="F292" s="364" t="s">
        <v>2434</v>
      </c>
      <c r="G292" s="364" t="s">
        <v>2517</v>
      </c>
      <c r="H292" s="364" t="s">
        <v>2435</v>
      </c>
      <c r="I292" s="364" t="s">
        <v>2319</v>
      </c>
      <c r="J292" s="364" t="s">
        <v>2632</v>
      </c>
      <c r="K292" s="364" t="s">
        <v>2320</v>
      </c>
      <c r="L292" s="364" t="s">
        <v>2369</v>
      </c>
      <c r="M292" s="364" t="s">
        <v>2523</v>
      </c>
      <c r="N292" s="364" t="s">
        <v>2550</v>
      </c>
      <c r="O292" s="364" t="s">
        <v>2323</v>
      </c>
      <c r="P292" s="364" t="s">
        <v>2324</v>
      </c>
      <c r="Q292" s="364" t="s">
        <v>2325</v>
      </c>
      <c r="R292" s="364" t="s">
        <v>2327</v>
      </c>
      <c r="S292" s="364" t="s">
        <v>2328</v>
      </c>
      <c r="T292" s="364" t="s">
        <v>2329</v>
      </c>
      <c r="U292" s="364" t="s">
        <v>2416</v>
      </c>
      <c r="V292" s="364" t="s">
        <v>2381</v>
      </c>
      <c r="W292" s="364" t="s">
        <v>2330</v>
      </c>
      <c r="X292" s="261" t="s">
        <v>183</v>
      </c>
      <c r="Y292" s="364" t="s">
        <v>2387</v>
      </c>
      <c r="Z292" s="364" t="s">
        <v>157</v>
      </c>
      <c r="AA292" s="364" t="s">
        <v>2495</v>
      </c>
      <c r="AB292" s="364" t="s">
        <v>2337</v>
      </c>
      <c r="AC292" s="364" t="s">
        <v>2340</v>
      </c>
      <c r="AD292" s="364" t="s">
        <v>2341</v>
      </c>
      <c r="AE292" s="364" t="s">
        <v>2442</v>
      </c>
      <c r="AF292" s="364" t="s">
        <v>2470</v>
      </c>
      <c r="AG292" s="364" t="s">
        <v>2422</v>
      </c>
      <c r="AH292" s="364" t="s">
        <v>2344</v>
      </c>
      <c r="AI292" s="364" t="s">
        <v>2345</v>
      </c>
      <c r="AJ292" s="364" t="s">
        <v>2398</v>
      </c>
      <c r="AK292" s="364" t="s">
        <v>2475</v>
      </c>
      <c r="AL292" s="364" t="s">
        <v>2476</v>
      </c>
      <c r="AM292" s="364" t="s">
        <v>2399</v>
      </c>
      <c r="AN292" s="364" t="s">
        <v>2446</v>
      </c>
      <c r="AO292" s="364" t="s">
        <v>2428</v>
      </c>
      <c r="AP292" s="364" t="s">
        <v>2572</v>
      </c>
      <c r="AQ292" s="364" t="s">
        <v>2430</v>
      </c>
      <c r="AR292" s="364"/>
      <c r="AS292" s="364"/>
      <c r="AT292" s="364"/>
      <c r="AU292" s="364"/>
      <c r="AV292" s="364"/>
      <c r="AW292" s="364"/>
      <c r="AX292" s="364"/>
      <c r="AY292" s="364"/>
      <c r="AZ292" s="364"/>
      <c r="BA292" s="364"/>
      <c r="BB292" s="364"/>
      <c r="BC292" s="364"/>
      <c r="BD292" s="364"/>
      <c r="BE292" s="364"/>
      <c r="BF292" s="364"/>
      <c r="BG292" s="364"/>
      <c r="BH292" s="364"/>
      <c r="BI292" s="364"/>
      <c r="BJ292" s="364"/>
      <c r="BK292" s="364"/>
      <c r="BL292" s="364"/>
      <c r="BM292" s="364"/>
      <c r="BN292" s="364"/>
      <c r="BO292" s="364"/>
      <c r="BP292" s="364"/>
      <c r="BQ292" s="364"/>
      <c r="BR292" s="364"/>
      <c r="BS292" s="364"/>
      <c r="BT292" s="364"/>
      <c r="BU292" s="364"/>
      <c r="BV292" s="364"/>
      <c r="BW292" s="364"/>
      <c r="BX292" s="364"/>
      <c r="BY292" s="364"/>
      <c r="BZ292" s="364"/>
      <c r="CA292" s="364"/>
      <c r="CB292" s="364"/>
      <c r="CC292" s="364"/>
      <c r="CD292" s="364"/>
      <c r="CE292" s="364"/>
      <c r="CF292" s="364"/>
      <c r="CG292" s="364"/>
      <c r="CH292" s="364"/>
      <c r="CI292" s="364"/>
      <c r="CJ292" s="364"/>
      <c r="CK292" s="364"/>
      <c r="CL292" s="364"/>
      <c r="CM292" s="364"/>
      <c r="CN292" s="364"/>
      <c r="CO292" s="364"/>
      <c r="CP292" s="364"/>
      <c r="CQ292" s="364"/>
      <c r="CR292" s="364"/>
      <c r="CS292" s="364"/>
      <c r="CT292" s="364"/>
      <c r="CU292" s="364"/>
      <c r="CV292" s="364"/>
      <c r="CW292" s="364"/>
      <c r="CX292" s="364"/>
      <c r="CY292" s="364"/>
      <c r="CZ292" s="364"/>
      <c r="DA292" s="364"/>
      <c r="DB292" s="364"/>
      <c r="DC292" s="364"/>
      <c r="DD292" s="364"/>
      <c r="DE292" s="364"/>
      <c r="DF292" s="364"/>
      <c r="DG292" s="364"/>
      <c r="DH292" s="364"/>
      <c r="DI292" s="364"/>
      <c r="DJ292" s="364"/>
      <c r="DK292" s="364"/>
      <c r="DL292" s="364"/>
      <c r="DM292" s="364"/>
      <c r="DN292" s="364"/>
      <c r="DO292" s="364"/>
      <c r="DP292" s="364"/>
      <c r="DQ292" s="364"/>
      <c r="DR292" s="364"/>
      <c r="DS292" s="364"/>
      <c r="DT292" s="364"/>
      <c r="DU292" s="364"/>
      <c r="DV292" s="364"/>
      <c r="DW292" s="364"/>
      <c r="DX292" s="364"/>
      <c r="DY292" s="364"/>
      <c r="DZ292" s="364"/>
      <c r="EA292" s="364"/>
      <c r="EB292" s="364"/>
      <c r="EC292" s="364"/>
      <c r="ED292" s="364"/>
      <c r="EE292" s="364"/>
      <c r="EF292" s="364"/>
      <c r="EG292" s="364"/>
      <c r="EH292" s="364"/>
      <c r="EI292" s="364"/>
      <c r="EJ292" s="364"/>
      <c r="EK292" s="364"/>
      <c r="EL292" s="364"/>
      <c r="EM292" s="364"/>
      <c r="EN292" s="364"/>
      <c r="EO292" s="364"/>
      <c r="EP292" s="364"/>
      <c r="EQ292" s="364"/>
      <c r="ER292" s="364"/>
      <c r="ES292" s="364"/>
      <c r="ET292" s="364"/>
      <c r="EU292" s="364"/>
      <c r="EV292" s="364"/>
      <c r="EW292" s="364"/>
      <c r="EX292" s="364"/>
      <c r="EY292" s="364"/>
      <c r="EZ292" s="364"/>
      <c r="FA292" s="364"/>
      <c r="FB292" s="364"/>
      <c r="FC292" s="364"/>
      <c r="FD292" s="364"/>
      <c r="FE292" s="364"/>
      <c r="FF292" s="364"/>
      <c r="FG292" s="364"/>
      <c r="FH292" s="364"/>
      <c r="FI292" s="364"/>
      <c r="FJ292" s="364"/>
      <c r="FK292" s="364"/>
    </row>
    <row r="293" customFormat="false" ht="15.75" hidden="false" customHeight="false" outlineLevel="0" collapsed="false">
      <c r="A293" s="364" t="n">
        <v>560</v>
      </c>
      <c r="B293" s="364" t="n">
        <f aca="false">COUNTA(D293:FK293)</f>
        <v>38</v>
      </c>
      <c r="C293" s="364" t="s">
        <v>1461</v>
      </c>
      <c r="D293" s="364" t="s">
        <v>2431</v>
      </c>
      <c r="E293" s="364" t="s">
        <v>2405</v>
      </c>
      <c r="F293" s="364" t="s">
        <v>2464</v>
      </c>
      <c r="G293" s="364" t="s">
        <v>2434</v>
      </c>
      <c r="H293" s="364" t="s">
        <v>2517</v>
      </c>
      <c r="I293" s="364" t="s">
        <v>2435</v>
      </c>
      <c r="J293" s="364" t="s">
        <v>2319</v>
      </c>
      <c r="K293" s="364" t="s">
        <v>2632</v>
      </c>
      <c r="L293" s="364" t="s">
        <v>2320</v>
      </c>
      <c r="M293" s="364" t="s">
        <v>2369</v>
      </c>
      <c r="N293" s="364" t="s">
        <v>2550</v>
      </c>
      <c r="O293" s="364" t="s">
        <v>2324</v>
      </c>
      <c r="P293" s="364" t="s">
        <v>2325</v>
      </c>
      <c r="Q293" s="364" t="s">
        <v>2327</v>
      </c>
      <c r="R293" s="364" t="s">
        <v>2328</v>
      </c>
      <c r="S293" s="364" t="s">
        <v>2329</v>
      </c>
      <c r="T293" s="364" t="s">
        <v>2415</v>
      </c>
      <c r="U293" s="364" t="s">
        <v>2416</v>
      </c>
      <c r="V293" s="364" t="s">
        <v>2381</v>
      </c>
      <c r="W293" s="364" t="s">
        <v>2330</v>
      </c>
      <c r="X293" s="261" t="s">
        <v>183</v>
      </c>
      <c r="Y293" s="364" t="s">
        <v>2387</v>
      </c>
      <c r="Z293" s="364" t="s">
        <v>157</v>
      </c>
      <c r="AA293" s="364" t="s">
        <v>2495</v>
      </c>
      <c r="AB293" s="364" t="s">
        <v>2337</v>
      </c>
      <c r="AC293" s="364" t="s">
        <v>2340</v>
      </c>
      <c r="AD293" s="364" t="s">
        <v>2341</v>
      </c>
      <c r="AE293" s="364" t="s">
        <v>2442</v>
      </c>
      <c r="AF293" s="364" t="s">
        <v>2470</v>
      </c>
      <c r="AG293" s="364" t="s">
        <v>2422</v>
      </c>
      <c r="AH293" s="364" t="s">
        <v>2344</v>
      </c>
      <c r="AI293" s="364" t="s">
        <v>2398</v>
      </c>
      <c r="AJ293" s="364" t="s">
        <v>2475</v>
      </c>
      <c r="AK293" s="364" t="s">
        <v>2476</v>
      </c>
      <c r="AL293" s="364" t="s">
        <v>2399</v>
      </c>
      <c r="AM293" s="364" t="s">
        <v>2446</v>
      </c>
      <c r="AN293" s="364" t="s">
        <v>2428</v>
      </c>
      <c r="AO293" s="364" t="s">
        <v>2430</v>
      </c>
      <c r="AP293" s="364"/>
      <c r="AQ293" s="364"/>
      <c r="AR293" s="364"/>
      <c r="AS293" s="364"/>
      <c r="AT293" s="364"/>
      <c r="AU293" s="364"/>
      <c r="AV293" s="364"/>
      <c r="AW293" s="364"/>
      <c r="AX293" s="364"/>
      <c r="AY293" s="364"/>
      <c r="AZ293" s="364"/>
      <c r="BA293" s="364"/>
      <c r="BB293" s="364"/>
      <c r="BC293" s="364"/>
      <c r="BD293" s="364"/>
      <c r="BE293" s="364"/>
      <c r="BF293" s="364"/>
      <c r="BG293" s="364"/>
      <c r="BH293" s="364"/>
      <c r="BI293" s="364"/>
      <c r="BJ293" s="364"/>
      <c r="BK293" s="364"/>
      <c r="BL293" s="364"/>
      <c r="BM293" s="364"/>
      <c r="BN293" s="364"/>
      <c r="BO293" s="364"/>
      <c r="BP293" s="364"/>
      <c r="BQ293" s="364"/>
      <c r="BR293" s="364"/>
      <c r="BS293" s="364"/>
      <c r="BT293" s="364"/>
      <c r="BU293" s="364"/>
      <c r="BV293" s="364"/>
      <c r="BW293" s="364"/>
      <c r="BX293" s="364"/>
      <c r="BY293" s="364"/>
      <c r="BZ293" s="364"/>
      <c r="CA293" s="364"/>
      <c r="CB293" s="364"/>
      <c r="CC293" s="364"/>
      <c r="CD293" s="364"/>
      <c r="CE293" s="364"/>
      <c r="CF293" s="364"/>
      <c r="CG293" s="364"/>
      <c r="CH293" s="364"/>
      <c r="CI293" s="364"/>
      <c r="CJ293" s="364"/>
      <c r="CK293" s="364"/>
      <c r="CL293" s="364"/>
      <c r="CM293" s="364"/>
      <c r="CN293" s="364"/>
      <c r="CO293" s="364"/>
      <c r="CP293" s="364"/>
      <c r="CQ293" s="364"/>
      <c r="CR293" s="364"/>
      <c r="CS293" s="364"/>
      <c r="CT293" s="364"/>
      <c r="CU293" s="364"/>
      <c r="CV293" s="364"/>
      <c r="CW293" s="364"/>
      <c r="CX293" s="364"/>
      <c r="CY293" s="364"/>
      <c r="CZ293" s="364"/>
      <c r="DA293" s="364"/>
      <c r="DB293" s="364"/>
      <c r="DC293" s="364"/>
      <c r="DD293" s="364"/>
      <c r="DE293" s="364"/>
      <c r="DF293" s="364"/>
      <c r="DG293" s="364"/>
      <c r="DH293" s="364"/>
      <c r="DI293" s="364"/>
      <c r="DJ293" s="364"/>
      <c r="DK293" s="364"/>
      <c r="DL293" s="364"/>
      <c r="DM293" s="364"/>
      <c r="DN293" s="364"/>
      <c r="DO293" s="364"/>
      <c r="DP293" s="364"/>
      <c r="DQ293" s="364"/>
      <c r="DR293" s="364"/>
      <c r="DS293" s="364"/>
      <c r="DT293" s="364"/>
      <c r="DU293" s="364"/>
      <c r="DV293" s="364"/>
      <c r="DW293" s="364"/>
      <c r="DX293" s="364"/>
      <c r="DY293" s="364"/>
      <c r="DZ293" s="364"/>
      <c r="EA293" s="364"/>
      <c r="EB293" s="364"/>
      <c r="EC293" s="364"/>
      <c r="ED293" s="364"/>
      <c r="EE293" s="364"/>
      <c r="EF293" s="364"/>
      <c r="EG293" s="364"/>
      <c r="EH293" s="364"/>
      <c r="EI293" s="364"/>
      <c r="EJ293" s="364"/>
      <c r="EK293" s="364"/>
      <c r="EL293" s="364"/>
      <c r="EM293" s="364"/>
      <c r="EN293" s="364"/>
      <c r="EO293" s="364"/>
      <c r="EP293" s="364"/>
      <c r="EQ293" s="364"/>
      <c r="ER293" s="364"/>
      <c r="ES293" s="364"/>
      <c r="ET293" s="364"/>
      <c r="EU293" s="364"/>
      <c r="EV293" s="364"/>
      <c r="EW293" s="364"/>
      <c r="EX293" s="364"/>
      <c r="EY293" s="364"/>
      <c r="EZ293" s="364"/>
      <c r="FA293" s="364"/>
      <c r="FB293" s="364"/>
      <c r="FC293" s="364"/>
      <c r="FD293" s="364"/>
      <c r="FE293" s="364"/>
      <c r="FF293" s="364"/>
      <c r="FG293" s="364"/>
      <c r="FH293" s="364"/>
      <c r="FI293" s="364"/>
      <c r="FJ293" s="364"/>
      <c r="FK293" s="364"/>
    </row>
    <row r="294" customFormat="false" ht="15.75" hidden="false" customHeight="false" outlineLevel="0" collapsed="false">
      <c r="A294" s="364" t="n">
        <v>561</v>
      </c>
      <c r="B294" s="364" t="n">
        <f aca="false">COUNTA(D294:FK294)</f>
        <v>43</v>
      </c>
      <c r="C294" s="364" t="s">
        <v>1463</v>
      </c>
      <c r="D294" s="364" t="s">
        <v>2431</v>
      </c>
      <c r="E294" s="364" t="s">
        <v>2464</v>
      </c>
      <c r="F294" s="364" t="s">
        <v>2434</v>
      </c>
      <c r="G294" s="364" t="s">
        <v>2517</v>
      </c>
      <c r="H294" s="364" t="s">
        <v>2435</v>
      </c>
      <c r="I294" s="364" t="s">
        <v>2319</v>
      </c>
      <c r="J294" s="364" t="s">
        <v>2562</v>
      </c>
      <c r="K294" s="364" t="s">
        <v>2632</v>
      </c>
      <c r="L294" s="364" t="s">
        <v>2320</v>
      </c>
      <c r="M294" s="364" t="s">
        <v>2366</v>
      </c>
      <c r="N294" s="364" t="s">
        <v>2369</v>
      </c>
      <c r="O294" s="364" t="s">
        <v>2373</v>
      </c>
      <c r="P294" s="364" t="s">
        <v>2550</v>
      </c>
      <c r="Q294" s="364" t="s">
        <v>2324</v>
      </c>
      <c r="R294" s="364" t="s">
        <v>2325</v>
      </c>
      <c r="S294" s="364" t="s">
        <v>2327</v>
      </c>
      <c r="T294" s="364" t="s">
        <v>2328</v>
      </c>
      <c r="U294" s="364" t="s">
        <v>2329</v>
      </c>
      <c r="V294" s="364" t="s">
        <v>2416</v>
      </c>
      <c r="W294" s="364" t="s">
        <v>2379</v>
      </c>
      <c r="X294" s="364" t="s">
        <v>2381</v>
      </c>
      <c r="Y294" s="364" t="s">
        <v>2330</v>
      </c>
      <c r="Z294" s="364" t="s">
        <v>2468</v>
      </c>
      <c r="AA294" s="261" t="s">
        <v>183</v>
      </c>
      <c r="AB294" s="364" t="s">
        <v>2452</v>
      </c>
      <c r="AC294" s="364" t="s">
        <v>2387</v>
      </c>
      <c r="AD294" s="364" t="s">
        <v>157</v>
      </c>
      <c r="AE294" s="364" t="s">
        <v>2495</v>
      </c>
      <c r="AF294" s="364" t="s">
        <v>2337</v>
      </c>
      <c r="AG294" s="364" t="s">
        <v>2340</v>
      </c>
      <c r="AH294" s="364" t="s">
        <v>2341</v>
      </c>
      <c r="AI294" s="364" t="s">
        <v>2442</v>
      </c>
      <c r="AJ294" s="364" t="s">
        <v>2470</v>
      </c>
      <c r="AK294" s="364" t="s">
        <v>2422</v>
      </c>
      <c r="AL294" s="364" t="s">
        <v>2344</v>
      </c>
      <c r="AM294" s="364" t="s">
        <v>2398</v>
      </c>
      <c r="AN294" s="364" t="s">
        <v>2475</v>
      </c>
      <c r="AO294" s="364" t="s">
        <v>2476</v>
      </c>
      <c r="AP294" s="364" t="s">
        <v>2399</v>
      </c>
      <c r="AQ294" s="364" t="s">
        <v>2463</v>
      </c>
      <c r="AR294" s="364" t="s">
        <v>2446</v>
      </c>
      <c r="AS294" s="364" t="s">
        <v>2428</v>
      </c>
      <c r="AT294" s="364" t="s">
        <v>2430</v>
      </c>
      <c r="AU294" s="364"/>
      <c r="AV294" s="364"/>
      <c r="AW294" s="364"/>
      <c r="AX294" s="364"/>
      <c r="AY294" s="364"/>
      <c r="AZ294" s="364"/>
      <c r="BA294" s="364"/>
      <c r="BB294" s="364"/>
      <c r="BC294" s="364"/>
      <c r="BD294" s="364"/>
      <c r="BE294" s="364"/>
      <c r="BF294" s="364"/>
      <c r="BG294" s="364"/>
      <c r="BH294" s="364"/>
      <c r="BI294" s="364"/>
      <c r="BJ294" s="364"/>
      <c r="BK294" s="364"/>
      <c r="BL294" s="364"/>
      <c r="BM294" s="364"/>
      <c r="BN294" s="364"/>
      <c r="BO294" s="364"/>
      <c r="BP294" s="364"/>
      <c r="BQ294" s="364"/>
      <c r="BR294" s="364"/>
      <c r="BS294" s="364"/>
      <c r="BT294" s="364"/>
      <c r="BU294" s="364"/>
      <c r="BV294" s="364"/>
      <c r="BW294" s="364"/>
      <c r="BX294" s="364"/>
      <c r="BY294" s="364"/>
      <c r="BZ294" s="364"/>
      <c r="CA294" s="364"/>
      <c r="CB294" s="364"/>
      <c r="CC294" s="364"/>
      <c r="CD294" s="364"/>
      <c r="CE294" s="364"/>
      <c r="CF294" s="364"/>
      <c r="CG294" s="364"/>
      <c r="CH294" s="364"/>
      <c r="CI294" s="364"/>
      <c r="CJ294" s="364"/>
      <c r="CK294" s="364"/>
      <c r="CL294" s="364"/>
      <c r="CM294" s="364"/>
      <c r="CN294" s="364"/>
      <c r="CO294" s="364"/>
      <c r="CP294" s="364"/>
      <c r="CQ294" s="364"/>
      <c r="CR294" s="364"/>
      <c r="CS294" s="364"/>
      <c r="CT294" s="364"/>
      <c r="CU294" s="364"/>
      <c r="CV294" s="364"/>
      <c r="CW294" s="364"/>
      <c r="CX294" s="364"/>
      <c r="CY294" s="364"/>
      <c r="CZ294" s="364"/>
      <c r="DA294" s="364"/>
      <c r="DB294" s="364"/>
      <c r="DC294" s="364"/>
      <c r="DD294" s="364"/>
      <c r="DE294" s="364"/>
      <c r="DF294" s="364"/>
      <c r="DG294" s="364"/>
      <c r="DH294" s="364"/>
      <c r="DI294" s="364"/>
      <c r="DJ294" s="364"/>
      <c r="DK294" s="364"/>
      <c r="DL294" s="364"/>
      <c r="DM294" s="364"/>
      <c r="DN294" s="364"/>
      <c r="DO294" s="364"/>
      <c r="DP294" s="364"/>
      <c r="DQ294" s="364"/>
      <c r="DR294" s="364"/>
      <c r="DS294" s="364"/>
      <c r="DT294" s="364"/>
      <c r="DU294" s="364"/>
      <c r="DV294" s="364"/>
      <c r="DW294" s="364"/>
      <c r="DX294" s="364"/>
      <c r="DY294" s="364"/>
      <c r="DZ294" s="364"/>
      <c r="EA294" s="364"/>
      <c r="EB294" s="364"/>
      <c r="EC294" s="364"/>
      <c r="ED294" s="364"/>
      <c r="EE294" s="364"/>
      <c r="EF294" s="364"/>
      <c r="EG294" s="364"/>
      <c r="EH294" s="364"/>
      <c r="EI294" s="364"/>
      <c r="EJ294" s="364"/>
      <c r="EK294" s="364"/>
      <c r="EL294" s="364"/>
      <c r="EM294" s="364"/>
      <c r="EN294" s="364"/>
      <c r="EO294" s="364"/>
      <c r="EP294" s="364"/>
      <c r="EQ294" s="364"/>
      <c r="ER294" s="364"/>
      <c r="ES294" s="364"/>
      <c r="ET294" s="364"/>
      <c r="EU294" s="364"/>
      <c r="EV294" s="364"/>
      <c r="EW294" s="364"/>
      <c r="EX294" s="364"/>
      <c r="EY294" s="364"/>
      <c r="EZ294" s="364"/>
      <c r="FA294" s="364"/>
      <c r="FB294" s="364"/>
      <c r="FC294" s="364"/>
      <c r="FD294" s="364"/>
      <c r="FE294" s="364"/>
      <c r="FF294" s="364"/>
      <c r="FG294" s="364"/>
      <c r="FH294" s="364"/>
      <c r="FI294" s="364"/>
      <c r="FJ294" s="364"/>
      <c r="FK294" s="364"/>
    </row>
    <row r="295" customFormat="false" ht="15.75" hidden="false" customHeight="false" outlineLevel="0" collapsed="false">
      <c r="A295" s="364" t="n">
        <v>562</v>
      </c>
      <c r="B295" s="364" t="n">
        <f aca="false">COUNTA(D295:FK295)</f>
        <v>53</v>
      </c>
      <c r="C295" s="364" t="s">
        <v>1465</v>
      </c>
      <c r="D295" s="364" t="s">
        <v>2352</v>
      </c>
      <c r="E295" s="364" t="s">
        <v>2561</v>
      </c>
      <c r="F295" s="364" t="s">
        <v>2635</v>
      </c>
      <c r="G295" s="364" t="s">
        <v>2405</v>
      </c>
      <c r="H295" s="364" t="s">
        <v>2356</v>
      </c>
      <c r="I295" s="364" t="s">
        <v>2313</v>
      </c>
      <c r="J295" s="364" t="s">
        <v>2315</v>
      </c>
      <c r="K295" s="364" t="s">
        <v>2601</v>
      </c>
      <c r="L295" s="364" t="s">
        <v>2359</v>
      </c>
      <c r="M295" s="364" t="s">
        <v>2360</v>
      </c>
      <c r="N295" s="364" t="s">
        <v>2361</v>
      </c>
      <c r="O295" s="364" t="s">
        <v>2363</v>
      </c>
      <c r="P295" s="364" t="s">
        <v>2497</v>
      </c>
      <c r="Q295" s="364" t="s">
        <v>2317</v>
      </c>
      <c r="R295" s="364" t="s">
        <v>2318</v>
      </c>
      <c r="S295" s="364" t="s">
        <v>2320</v>
      </c>
      <c r="T295" s="364" t="s">
        <v>2366</v>
      </c>
      <c r="U295" s="364" t="s">
        <v>2373</v>
      </c>
      <c r="V295" s="364" t="s">
        <v>2411</v>
      </c>
      <c r="W295" s="364" t="s">
        <v>2322</v>
      </c>
      <c r="X295" s="364" t="s">
        <v>2324</v>
      </c>
      <c r="Y295" s="364" t="s">
        <v>2327</v>
      </c>
      <c r="Z295" s="364" t="s">
        <v>2328</v>
      </c>
      <c r="AA295" s="364" t="s">
        <v>2329</v>
      </c>
      <c r="AB295" s="364" t="s">
        <v>2521</v>
      </c>
      <c r="AC295" s="364" t="s">
        <v>2415</v>
      </c>
      <c r="AD295" s="364" t="s">
        <v>2379</v>
      </c>
      <c r="AE295" s="364" t="s">
        <v>2506</v>
      </c>
      <c r="AF295" s="364" t="s">
        <v>2381</v>
      </c>
      <c r="AG295" s="364" t="s">
        <v>2508</v>
      </c>
      <c r="AH295" s="364" t="s">
        <v>2384</v>
      </c>
      <c r="AI295" s="261" t="s">
        <v>183</v>
      </c>
      <c r="AJ295" s="364" t="s">
        <v>2332</v>
      </c>
      <c r="AK295" s="364" t="s">
        <v>2386</v>
      </c>
      <c r="AL295" s="364" t="s">
        <v>2536</v>
      </c>
      <c r="AM295" s="364" t="s">
        <v>2337</v>
      </c>
      <c r="AN295" s="364" t="s">
        <v>2681</v>
      </c>
      <c r="AO295" s="364" t="s">
        <v>2388</v>
      </c>
      <c r="AP295" s="364" t="s">
        <v>2339</v>
      </c>
      <c r="AQ295" s="364" t="s">
        <v>2389</v>
      </c>
      <c r="AR295" s="364" t="s">
        <v>2340</v>
      </c>
      <c r="AS295" s="364" t="s">
        <v>2341</v>
      </c>
      <c r="AT295" s="364" t="s">
        <v>2392</v>
      </c>
      <c r="AU295" s="364" t="s">
        <v>2470</v>
      </c>
      <c r="AV295" s="364" t="s">
        <v>2395</v>
      </c>
      <c r="AW295" s="364" t="s">
        <v>2344</v>
      </c>
      <c r="AX295" s="364" t="s">
        <v>2346</v>
      </c>
      <c r="AY295" s="364" t="s">
        <v>2500</v>
      </c>
      <c r="AZ295" s="364" t="s">
        <v>2347</v>
      </c>
      <c r="BA295" s="364" t="s">
        <v>2398</v>
      </c>
      <c r="BB295" s="364" t="s">
        <v>2475</v>
      </c>
      <c r="BC295" s="364" t="s">
        <v>2476</v>
      </c>
      <c r="BD295" s="364" t="s">
        <v>2400</v>
      </c>
      <c r="BE295" s="364"/>
      <c r="BF295" s="364"/>
      <c r="BG295" s="364"/>
      <c r="BH295" s="364"/>
      <c r="BI295" s="364"/>
      <c r="BJ295" s="364"/>
      <c r="BK295" s="364"/>
      <c r="BL295" s="364"/>
      <c r="BM295" s="364"/>
      <c r="BN295" s="364"/>
      <c r="BO295" s="364"/>
      <c r="BP295" s="364"/>
      <c r="BQ295" s="364"/>
      <c r="BR295" s="364"/>
      <c r="BS295" s="364"/>
      <c r="BT295" s="364"/>
      <c r="BU295" s="364"/>
      <c r="BV295" s="364"/>
      <c r="BW295" s="364"/>
      <c r="BX295" s="364"/>
      <c r="BY295" s="364"/>
      <c r="BZ295" s="364"/>
      <c r="CA295" s="364"/>
      <c r="CB295" s="364"/>
      <c r="CC295" s="364"/>
      <c r="CD295" s="364"/>
      <c r="CE295" s="364"/>
      <c r="CF295" s="364"/>
      <c r="CG295" s="364"/>
      <c r="CH295" s="364"/>
      <c r="CI295" s="364"/>
      <c r="CJ295" s="364"/>
      <c r="CK295" s="364"/>
      <c r="CL295" s="364"/>
      <c r="CM295" s="364"/>
      <c r="CN295" s="364"/>
      <c r="CO295" s="364"/>
      <c r="CP295" s="364"/>
      <c r="CQ295" s="364"/>
      <c r="CR295" s="364"/>
      <c r="CS295" s="364"/>
      <c r="CT295" s="364"/>
      <c r="CU295" s="364"/>
      <c r="CV295" s="364"/>
      <c r="CW295" s="364"/>
      <c r="CX295" s="364"/>
      <c r="CY295" s="364"/>
      <c r="CZ295" s="364"/>
      <c r="DA295" s="364"/>
      <c r="DB295" s="364"/>
      <c r="DC295" s="364"/>
      <c r="DD295" s="364"/>
      <c r="DE295" s="364"/>
      <c r="DF295" s="364"/>
      <c r="DG295" s="364"/>
      <c r="DH295" s="364"/>
      <c r="DI295" s="364"/>
      <c r="DJ295" s="364"/>
      <c r="DK295" s="364"/>
      <c r="DL295" s="364"/>
      <c r="DM295" s="364"/>
      <c r="DN295" s="364"/>
      <c r="DO295" s="364"/>
      <c r="DP295" s="364"/>
      <c r="DQ295" s="364"/>
      <c r="DR295" s="364"/>
      <c r="DS295" s="364"/>
      <c r="DT295" s="364"/>
      <c r="DU295" s="364"/>
      <c r="DV295" s="364"/>
      <c r="DW295" s="364"/>
      <c r="DX295" s="364"/>
      <c r="DY295" s="364"/>
      <c r="DZ295" s="364"/>
      <c r="EA295" s="364"/>
      <c r="EB295" s="364"/>
      <c r="EC295" s="364"/>
      <c r="ED295" s="364"/>
      <c r="EE295" s="364"/>
      <c r="EF295" s="364"/>
      <c r="EG295" s="364"/>
      <c r="EH295" s="364"/>
      <c r="EI295" s="364"/>
      <c r="EJ295" s="364"/>
      <c r="EK295" s="364"/>
      <c r="EL295" s="364"/>
      <c r="EM295" s="364"/>
      <c r="EN295" s="364"/>
      <c r="EO295" s="364"/>
      <c r="EP295" s="364"/>
      <c r="EQ295" s="364"/>
      <c r="ER295" s="364"/>
      <c r="ES295" s="364"/>
      <c r="ET295" s="364"/>
      <c r="EU295" s="364"/>
      <c r="EV295" s="364"/>
      <c r="EW295" s="364"/>
      <c r="EX295" s="364"/>
      <c r="EY295" s="364"/>
      <c r="EZ295" s="364"/>
      <c r="FA295" s="364"/>
      <c r="FB295" s="364"/>
      <c r="FC295" s="364"/>
      <c r="FD295" s="364"/>
      <c r="FE295" s="364"/>
      <c r="FF295" s="364"/>
      <c r="FG295" s="364"/>
      <c r="FH295" s="364"/>
      <c r="FI295" s="364"/>
      <c r="FJ295" s="364"/>
      <c r="FK295" s="364"/>
    </row>
    <row r="296" customFormat="false" ht="15.75" hidden="false" customHeight="false" outlineLevel="0" collapsed="false">
      <c r="A296" s="364" t="n">
        <v>563</v>
      </c>
      <c r="B296" s="364" t="n">
        <f aca="false">COUNTA(D296:FK296)</f>
        <v>58</v>
      </c>
      <c r="C296" s="364" t="s">
        <v>1467</v>
      </c>
      <c r="D296" s="364" t="s">
        <v>2352</v>
      </c>
      <c r="E296" s="364" t="s">
        <v>2561</v>
      </c>
      <c r="F296" s="364" t="s">
        <v>2402</v>
      </c>
      <c r="G296" s="364" t="s">
        <v>2635</v>
      </c>
      <c r="H296" s="364" t="s">
        <v>2403</v>
      </c>
      <c r="I296" s="364" t="s">
        <v>2405</v>
      </c>
      <c r="J296" s="364" t="s">
        <v>2356</v>
      </c>
      <c r="K296" s="364" t="s">
        <v>2406</v>
      </c>
      <c r="L296" s="364" t="s">
        <v>2313</v>
      </c>
      <c r="M296" s="364" t="s">
        <v>2315</v>
      </c>
      <c r="N296" s="364" t="s">
        <v>2410</v>
      </c>
      <c r="O296" s="364" t="s">
        <v>2601</v>
      </c>
      <c r="P296" s="364" t="s">
        <v>2359</v>
      </c>
      <c r="Q296" s="364" t="s">
        <v>2360</v>
      </c>
      <c r="R296" s="364" t="s">
        <v>2361</v>
      </c>
      <c r="S296" s="364" t="s">
        <v>2363</v>
      </c>
      <c r="T296" s="364" t="s">
        <v>2497</v>
      </c>
      <c r="U296" s="364" t="s">
        <v>2317</v>
      </c>
      <c r="V296" s="364" t="s">
        <v>2318</v>
      </c>
      <c r="W296" s="364" t="s">
        <v>2320</v>
      </c>
      <c r="X296" s="364" t="s">
        <v>2366</v>
      </c>
      <c r="Y296" s="364" t="s">
        <v>2373</v>
      </c>
      <c r="Z296" s="364" t="s">
        <v>2376</v>
      </c>
      <c r="AA296" s="364" t="s">
        <v>2377</v>
      </c>
      <c r="AB296" s="364" t="s">
        <v>2322</v>
      </c>
      <c r="AC296" s="364" t="s">
        <v>2324</v>
      </c>
      <c r="AD296" s="364" t="s">
        <v>2327</v>
      </c>
      <c r="AE296" s="364" t="s">
        <v>2328</v>
      </c>
      <c r="AF296" s="364" t="s">
        <v>2414</v>
      </c>
      <c r="AG296" s="364" t="s">
        <v>2329</v>
      </c>
      <c r="AH296" s="364" t="s">
        <v>2521</v>
      </c>
      <c r="AI296" s="364" t="s">
        <v>2415</v>
      </c>
      <c r="AJ296" s="364" t="s">
        <v>2379</v>
      </c>
      <c r="AK296" s="364" t="s">
        <v>2418</v>
      </c>
      <c r="AL296" s="261" t="s">
        <v>183</v>
      </c>
      <c r="AM296" s="364" t="s">
        <v>2332</v>
      </c>
      <c r="AN296" s="364" t="s">
        <v>2536</v>
      </c>
      <c r="AO296" s="364" t="s">
        <v>2337</v>
      </c>
      <c r="AP296" s="364" t="s">
        <v>2388</v>
      </c>
      <c r="AQ296" s="364" t="s">
        <v>2339</v>
      </c>
      <c r="AR296" s="364" t="s">
        <v>2389</v>
      </c>
      <c r="AS296" s="364" t="s">
        <v>2340</v>
      </c>
      <c r="AT296" s="364" t="s">
        <v>2341</v>
      </c>
      <c r="AU296" s="364" t="s">
        <v>2392</v>
      </c>
      <c r="AV296" s="364" t="s">
        <v>2470</v>
      </c>
      <c r="AW296" s="364" t="s">
        <v>2395</v>
      </c>
      <c r="AX296" s="364" t="s">
        <v>2344</v>
      </c>
      <c r="AY296" s="364" t="s">
        <v>2682</v>
      </c>
      <c r="AZ296" s="364" t="s">
        <v>2346</v>
      </c>
      <c r="BA296" s="364" t="s">
        <v>2500</v>
      </c>
      <c r="BB296" s="364" t="s">
        <v>2347</v>
      </c>
      <c r="BC296" s="364" t="s">
        <v>2424</v>
      </c>
      <c r="BD296" s="364" t="s">
        <v>2398</v>
      </c>
      <c r="BE296" s="364" t="s">
        <v>2475</v>
      </c>
      <c r="BF296" s="364" t="s">
        <v>2476</v>
      </c>
      <c r="BG296" s="364" t="s">
        <v>2400</v>
      </c>
      <c r="BH296" s="364" t="s">
        <v>2428</v>
      </c>
      <c r="BI296" s="364" t="s">
        <v>2429</v>
      </c>
      <c r="BJ296" s="364"/>
      <c r="BK296" s="364"/>
      <c r="BL296" s="364"/>
      <c r="BM296" s="364"/>
      <c r="BN296" s="364"/>
      <c r="BO296" s="364"/>
      <c r="BP296" s="364"/>
      <c r="BQ296" s="364"/>
      <c r="BR296" s="364"/>
      <c r="BS296" s="364"/>
      <c r="BT296" s="364"/>
      <c r="BU296" s="364"/>
      <c r="BV296" s="364"/>
      <c r="BW296" s="364"/>
      <c r="BX296" s="364"/>
      <c r="BY296" s="364"/>
      <c r="BZ296" s="364"/>
      <c r="CA296" s="364"/>
      <c r="CB296" s="364"/>
      <c r="CC296" s="364"/>
      <c r="CD296" s="364"/>
      <c r="CE296" s="364"/>
      <c r="CF296" s="364"/>
      <c r="CG296" s="364"/>
      <c r="CH296" s="364"/>
      <c r="CI296" s="364"/>
      <c r="CJ296" s="364"/>
      <c r="CK296" s="364"/>
      <c r="CL296" s="364"/>
      <c r="CM296" s="364"/>
      <c r="CN296" s="364"/>
      <c r="CO296" s="364"/>
      <c r="CP296" s="364"/>
      <c r="CQ296" s="364"/>
      <c r="CR296" s="364"/>
      <c r="CS296" s="364"/>
      <c r="CT296" s="364"/>
      <c r="CU296" s="364"/>
      <c r="CV296" s="364"/>
      <c r="CW296" s="364"/>
      <c r="CX296" s="364"/>
      <c r="CY296" s="364"/>
      <c r="CZ296" s="364"/>
      <c r="DA296" s="364"/>
      <c r="DB296" s="364"/>
      <c r="DC296" s="364"/>
      <c r="DD296" s="364"/>
      <c r="DE296" s="364"/>
      <c r="DF296" s="364"/>
      <c r="DG296" s="364"/>
      <c r="DH296" s="364"/>
      <c r="DI296" s="364"/>
      <c r="DJ296" s="364"/>
      <c r="DK296" s="364"/>
      <c r="DL296" s="364"/>
      <c r="DM296" s="364"/>
      <c r="DN296" s="364"/>
      <c r="DO296" s="364"/>
      <c r="DP296" s="364"/>
      <c r="DQ296" s="364"/>
      <c r="DR296" s="364"/>
      <c r="DS296" s="364"/>
      <c r="DT296" s="364"/>
      <c r="DU296" s="364"/>
      <c r="DV296" s="364"/>
      <c r="DW296" s="364"/>
      <c r="DX296" s="364"/>
      <c r="DY296" s="364"/>
      <c r="DZ296" s="364"/>
      <c r="EA296" s="364"/>
      <c r="EB296" s="364"/>
      <c r="EC296" s="364"/>
      <c r="ED296" s="364"/>
      <c r="EE296" s="364"/>
      <c r="EF296" s="364"/>
      <c r="EG296" s="364"/>
      <c r="EH296" s="364"/>
      <c r="EI296" s="364"/>
      <c r="EJ296" s="364"/>
      <c r="EK296" s="364"/>
      <c r="EL296" s="364"/>
      <c r="EM296" s="364"/>
      <c r="EN296" s="364"/>
      <c r="EO296" s="364"/>
      <c r="EP296" s="364"/>
      <c r="EQ296" s="364"/>
      <c r="ER296" s="364"/>
      <c r="ES296" s="364"/>
      <c r="ET296" s="364"/>
      <c r="EU296" s="364"/>
      <c r="EV296" s="364"/>
      <c r="EW296" s="364"/>
      <c r="EX296" s="364"/>
      <c r="EY296" s="364"/>
      <c r="EZ296" s="364"/>
      <c r="FA296" s="364"/>
      <c r="FB296" s="364"/>
      <c r="FC296" s="364"/>
      <c r="FD296" s="364"/>
      <c r="FE296" s="364"/>
      <c r="FF296" s="364"/>
      <c r="FG296" s="364"/>
      <c r="FH296" s="364"/>
      <c r="FI296" s="364"/>
      <c r="FJ296" s="364"/>
      <c r="FK296" s="364"/>
    </row>
    <row r="297" customFormat="false" ht="15.75" hidden="false" customHeight="false" outlineLevel="0" collapsed="false">
      <c r="A297" s="364" t="n">
        <v>564</v>
      </c>
      <c r="B297" s="364" t="n">
        <f aca="false">COUNTA(D297:FK297)</f>
        <v>43</v>
      </c>
      <c r="C297" s="364" t="s">
        <v>1469</v>
      </c>
      <c r="D297" s="364" t="s">
        <v>2561</v>
      </c>
      <c r="E297" s="364" t="s">
        <v>2432</v>
      </c>
      <c r="F297" s="364" t="s">
        <v>2313</v>
      </c>
      <c r="G297" s="364" t="s">
        <v>2466</v>
      </c>
      <c r="H297" s="364" t="s">
        <v>2409</v>
      </c>
      <c r="I297" s="364" t="s">
        <v>2358</v>
      </c>
      <c r="J297" s="364" t="s">
        <v>2361</v>
      </c>
      <c r="K297" s="364" t="s">
        <v>2497</v>
      </c>
      <c r="L297" s="364" t="s">
        <v>2317</v>
      </c>
      <c r="M297" s="364" t="s">
        <v>2637</v>
      </c>
      <c r="N297" s="364" t="s">
        <v>2562</v>
      </c>
      <c r="O297" s="364" t="s">
        <v>2320</v>
      </c>
      <c r="P297" s="364" t="s">
        <v>2366</v>
      </c>
      <c r="Q297" s="364" t="s">
        <v>2367</v>
      </c>
      <c r="R297" s="364" t="s">
        <v>2370</v>
      </c>
      <c r="S297" s="364" t="s">
        <v>2372</v>
      </c>
      <c r="T297" s="364" t="s">
        <v>2373</v>
      </c>
      <c r="U297" s="364" t="s">
        <v>2411</v>
      </c>
      <c r="V297" s="364" t="s">
        <v>2324</v>
      </c>
      <c r="W297" s="364" t="s">
        <v>2327</v>
      </c>
      <c r="X297" s="364" t="s">
        <v>2378</v>
      </c>
      <c r="Y297" s="364" t="s">
        <v>2328</v>
      </c>
      <c r="Z297" s="364" t="s">
        <v>2329</v>
      </c>
      <c r="AA297" s="364" t="s">
        <v>2379</v>
      </c>
      <c r="AB297" s="364" t="s">
        <v>2506</v>
      </c>
      <c r="AC297" s="364" t="s">
        <v>2627</v>
      </c>
      <c r="AD297" s="364" t="s">
        <v>2683</v>
      </c>
      <c r="AE297" s="261" t="s">
        <v>183</v>
      </c>
      <c r="AF297" s="364" t="s">
        <v>2386</v>
      </c>
      <c r="AG297" s="364" t="s">
        <v>2452</v>
      </c>
      <c r="AH297" s="364" t="s">
        <v>2337</v>
      </c>
      <c r="AI297" s="364" t="s">
        <v>2338</v>
      </c>
      <c r="AJ297" s="364" t="s">
        <v>2388</v>
      </c>
      <c r="AK297" s="364" t="s">
        <v>2339</v>
      </c>
      <c r="AL297" s="364" t="s">
        <v>2389</v>
      </c>
      <c r="AM297" s="364" t="s">
        <v>2340</v>
      </c>
      <c r="AN297" s="364" t="s">
        <v>2341</v>
      </c>
      <c r="AO297" s="364" t="s">
        <v>2344</v>
      </c>
      <c r="AP297" s="364" t="s">
        <v>2345</v>
      </c>
      <c r="AQ297" s="364" t="s">
        <v>2346</v>
      </c>
      <c r="AR297" s="364" t="s">
        <v>2500</v>
      </c>
      <c r="AS297" s="364" t="s">
        <v>2347</v>
      </c>
      <c r="AT297" s="364" t="s">
        <v>2463</v>
      </c>
      <c r="AU297" s="364"/>
      <c r="AV297" s="364"/>
      <c r="AW297" s="364"/>
      <c r="AX297" s="364"/>
      <c r="AY297" s="364"/>
      <c r="AZ297" s="364"/>
      <c r="BA297" s="364"/>
      <c r="BB297" s="364"/>
      <c r="BC297" s="364"/>
      <c r="BD297" s="364"/>
      <c r="BE297" s="364"/>
      <c r="BF297" s="364"/>
      <c r="BG297" s="364"/>
      <c r="BH297" s="364"/>
      <c r="BI297" s="364"/>
      <c r="BJ297" s="364"/>
      <c r="BK297" s="364"/>
      <c r="BL297" s="364"/>
      <c r="BM297" s="364"/>
      <c r="BN297" s="364"/>
      <c r="BO297" s="364"/>
      <c r="BP297" s="364"/>
      <c r="BQ297" s="364"/>
      <c r="BR297" s="364"/>
      <c r="BS297" s="364"/>
      <c r="BT297" s="364"/>
      <c r="BU297" s="364"/>
      <c r="BV297" s="364"/>
      <c r="BW297" s="364"/>
      <c r="BX297" s="364"/>
      <c r="BY297" s="364"/>
      <c r="BZ297" s="364"/>
      <c r="CA297" s="364"/>
      <c r="CB297" s="364"/>
      <c r="CC297" s="364"/>
      <c r="CD297" s="364"/>
      <c r="CE297" s="364"/>
      <c r="CF297" s="364"/>
      <c r="CG297" s="364"/>
      <c r="CH297" s="364"/>
      <c r="CI297" s="364"/>
      <c r="CJ297" s="364"/>
      <c r="CK297" s="364"/>
      <c r="CL297" s="364"/>
      <c r="CM297" s="364"/>
      <c r="CN297" s="364"/>
      <c r="CO297" s="364"/>
      <c r="CP297" s="364"/>
      <c r="CQ297" s="364"/>
      <c r="CR297" s="364"/>
      <c r="CS297" s="364"/>
      <c r="CT297" s="364"/>
      <c r="CU297" s="364"/>
      <c r="CV297" s="364"/>
      <c r="CW297" s="364"/>
      <c r="CX297" s="364"/>
      <c r="CY297" s="364"/>
      <c r="CZ297" s="364"/>
      <c r="DA297" s="364"/>
      <c r="DB297" s="364"/>
      <c r="DC297" s="364"/>
      <c r="DD297" s="364"/>
      <c r="DE297" s="364"/>
      <c r="DF297" s="364"/>
      <c r="DG297" s="364"/>
      <c r="DH297" s="364"/>
      <c r="DI297" s="364"/>
      <c r="DJ297" s="364"/>
      <c r="DK297" s="364"/>
      <c r="DL297" s="364"/>
      <c r="DM297" s="364"/>
      <c r="DN297" s="364"/>
      <c r="DO297" s="364"/>
      <c r="DP297" s="364"/>
      <c r="DQ297" s="364"/>
      <c r="DR297" s="364"/>
      <c r="DS297" s="364"/>
      <c r="DT297" s="364"/>
      <c r="DU297" s="364"/>
      <c r="DV297" s="364"/>
      <c r="DW297" s="364"/>
      <c r="DX297" s="364"/>
      <c r="DY297" s="364"/>
      <c r="DZ297" s="364"/>
      <c r="EA297" s="364"/>
      <c r="EB297" s="364"/>
      <c r="EC297" s="364"/>
      <c r="ED297" s="364"/>
      <c r="EE297" s="364"/>
      <c r="EF297" s="364"/>
      <c r="EG297" s="364"/>
      <c r="EH297" s="364"/>
      <c r="EI297" s="364"/>
      <c r="EJ297" s="364"/>
      <c r="EK297" s="364"/>
      <c r="EL297" s="364"/>
      <c r="EM297" s="364"/>
      <c r="EN297" s="364"/>
      <c r="EO297" s="364"/>
      <c r="EP297" s="364"/>
      <c r="EQ297" s="364"/>
      <c r="ER297" s="364"/>
      <c r="ES297" s="364"/>
      <c r="ET297" s="364"/>
      <c r="EU297" s="364"/>
      <c r="EV297" s="364"/>
      <c r="EW297" s="364"/>
      <c r="EX297" s="364"/>
      <c r="EY297" s="364"/>
      <c r="EZ297" s="364"/>
      <c r="FA297" s="364"/>
      <c r="FB297" s="364"/>
      <c r="FC297" s="364"/>
      <c r="FD297" s="364"/>
      <c r="FE297" s="364"/>
      <c r="FF297" s="364"/>
      <c r="FG297" s="364"/>
      <c r="FH297" s="364"/>
      <c r="FI297" s="364"/>
      <c r="FJ297" s="364"/>
      <c r="FK297" s="364"/>
    </row>
    <row r="298" customFormat="false" ht="15.75" hidden="false" customHeight="false" outlineLevel="0" collapsed="false">
      <c r="A298" s="364" t="n">
        <v>565</v>
      </c>
      <c r="B298" s="364" t="n">
        <f aca="false">COUNTA(D298:FK298)</f>
        <v>46</v>
      </c>
      <c r="C298" s="364" t="s">
        <v>1471</v>
      </c>
      <c r="D298" s="364" t="s">
        <v>2352</v>
      </c>
      <c r="E298" s="364" t="s">
        <v>2561</v>
      </c>
      <c r="F298" s="364" t="s">
        <v>2403</v>
      </c>
      <c r="G298" s="364" t="s">
        <v>2356</v>
      </c>
      <c r="H298" s="364" t="s">
        <v>2313</v>
      </c>
      <c r="I298" s="364" t="s">
        <v>2621</v>
      </c>
      <c r="J298" s="364" t="s">
        <v>2520</v>
      </c>
      <c r="K298" s="364" t="s">
        <v>2497</v>
      </c>
      <c r="L298" s="364" t="s">
        <v>2317</v>
      </c>
      <c r="M298" s="364" t="s">
        <v>2320</v>
      </c>
      <c r="N298" s="364" t="s">
        <v>2369</v>
      </c>
      <c r="O298" s="364" t="s">
        <v>2376</v>
      </c>
      <c r="P298" s="364" t="s">
        <v>2377</v>
      </c>
      <c r="Q298" s="364" t="s">
        <v>2324</v>
      </c>
      <c r="R298" s="364" t="s">
        <v>2327</v>
      </c>
      <c r="S298" s="364" t="s">
        <v>2563</v>
      </c>
      <c r="T298" s="364" t="s">
        <v>2328</v>
      </c>
      <c r="U298" s="364" t="s">
        <v>2329</v>
      </c>
      <c r="V298" s="364" t="s">
        <v>2416</v>
      </c>
      <c r="W298" s="364" t="s">
        <v>2417</v>
      </c>
      <c r="X298" s="364" t="s">
        <v>2506</v>
      </c>
      <c r="Y298" s="364" t="s">
        <v>2330</v>
      </c>
      <c r="Z298" s="364" t="s">
        <v>2383</v>
      </c>
      <c r="AA298" s="261" t="s">
        <v>183</v>
      </c>
      <c r="AB298" s="364" t="s">
        <v>2452</v>
      </c>
      <c r="AC298" s="364" t="s">
        <v>2387</v>
      </c>
      <c r="AD298" s="364" t="s">
        <v>2469</v>
      </c>
      <c r="AE298" s="364" t="s">
        <v>2553</v>
      </c>
      <c r="AF298" s="364" t="s">
        <v>2338</v>
      </c>
      <c r="AG298" s="364" t="s">
        <v>2388</v>
      </c>
      <c r="AH298" s="364" t="s">
        <v>2339</v>
      </c>
      <c r="AI298" s="364" t="s">
        <v>2389</v>
      </c>
      <c r="AJ298" s="364" t="s">
        <v>2340</v>
      </c>
      <c r="AK298" s="364" t="s">
        <v>2341</v>
      </c>
      <c r="AL298" s="364" t="s">
        <v>2470</v>
      </c>
      <c r="AM298" s="364" t="s">
        <v>2423</v>
      </c>
      <c r="AN298" s="364" t="s">
        <v>2344</v>
      </c>
      <c r="AO298" s="364" t="s">
        <v>2571</v>
      </c>
      <c r="AP298" s="364" t="s">
        <v>2346</v>
      </c>
      <c r="AQ298" s="364" t="s">
        <v>2500</v>
      </c>
      <c r="AR298" s="364" t="s">
        <v>2347</v>
      </c>
      <c r="AS298" s="364" t="s">
        <v>2511</v>
      </c>
      <c r="AT298" s="364" t="s">
        <v>2475</v>
      </c>
      <c r="AU298" s="364" t="s">
        <v>2476</v>
      </c>
      <c r="AV298" s="364" t="s">
        <v>2399</v>
      </c>
      <c r="AW298" s="364" t="s">
        <v>2430</v>
      </c>
      <c r="AX298" s="364"/>
      <c r="AY298" s="364"/>
      <c r="AZ298" s="364"/>
      <c r="BA298" s="364"/>
      <c r="BB298" s="364"/>
      <c r="BC298" s="364"/>
      <c r="BD298" s="364"/>
      <c r="BE298" s="364"/>
      <c r="BF298" s="364"/>
      <c r="BG298" s="364"/>
      <c r="BH298" s="364"/>
      <c r="BI298" s="364"/>
      <c r="BJ298" s="364"/>
      <c r="BK298" s="364"/>
      <c r="BL298" s="364"/>
      <c r="BM298" s="364"/>
      <c r="BN298" s="364"/>
      <c r="BO298" s="364"/>
      <c r="BP298" s="364"/>
      <c r="BQ298" s="364"/>
      <c r="BR298" s="364"/>
      <c r="BS298" s="364"/>
      <c r="BT298" s="364"/>
      <c r="BU298" s="364"/>
      <c r="BV298" s="364"/>
      <c r="BW298" s="364"/>
      <c r="BX298" s="364"/>
      <c r="BY298" s="364"/>
      <c r="BZ298" s="364"/>
      <c r="CA298" s="364"/>
      <c r="CB298" s="364"/>
      <c r="CC298" s="364"/>
      <c r="CD298" s="364"/>
      <c r="CE298" s="364"/>
      <c r="CF298" s="364"/>
      <c r="CG298" s="364"/>
      <c r="CH298" s="364"/>
      <c r="CI298" s="364"/>
      <c r="CJ298" s="364"/>
      <c r="CK298" s="364"/>
      <c r="CL298" s="364"/>
      <c r="CM298" s="364"/>
      <c r="CN298" s="364"/>
      <c r="CO298" s="364"/>
      <c r="CP298" s="364"/>
      <c r="CQ298" s="364"/>
      <c r="CR298" s="364"/>
      <c r="CS298" s="364"/>
      <c r="CT298" s="364"/>
      <c r="CU298" s="364"/>
      <c r="CV298" s="364"/>
      <c r="CW298" s="364"/>
      <c r="CX298" s="364"/>
      <c r="CY298" s="364"/>
      <c r="CZ298" s="364"/>
      <c r="DA298" s="364"/>
      <c r="DB298" s="364"/>
      <c r="DC298" s="364"/>
      <c r="DD298" s="364"/>
      <c r="DE298" s="364"/>
      <c r="DF298" s="364"/>
      <c r="DG298" s="364"/>
      <c r="DH298" s="364"/>
      <c r="DI298" s="364"/>
      <c r="DJ298" s="364"/>
      <c r="DK298" s="364"/>
      <c r="DL298" s="364"/>
      <c r="DM298" s="364"/>
      <c r="DN298" s="364"/>
      <c r="DO298" s="364"/>
      <c r="DP298" s="364"/>
      <c r="DQ298" s="364"/>
      <c r="DR298" s="364"/>
      <c r="DS298" s="364"/>
      <c r="DT298" s="364"/>
      <c r="DU298" s="364"/>
      <c r="DV298" s="364"/>
      <c r="DW298" s="364"/>
      <c r="DX298" s="364"/>
      <c r="DY298" s="364"/>
      <c r="DZ298" s="364"/>
      <c r="EA298" s="364"/>
      <c r="EB298" s="364"/>
      <c r="EC298" s="364"/>
      <c r="ED298" s="364"/>
      <c r="EE298" s="364"/>
      <c r="EF298" s="364"/>
      <c r="EG298" s="364"/>
      <c r="EH298" s="364"/>
      <c r="EI298" s="364"/>
      <c r="EJ298" s="364"/>
      <c r="EK298" s="364"/>
      <c r="EL298" s="364"/>
      <c r="EM298" s="364"/>
      <c r="EN298" s="364"/>
      <c r="EO298" s="364"/>
      <c r="EP298" s="364"/>
      <c r="EQ298" s="364"/>
      <c r="ER298" s="364"/>
      <c r="ES298" s="364"/>
      <c r="ET298" s="364"/>
      <c r="EU298" s="364"/>
      <c r="EV298" s="364"/>
      <c r="EW298" s="364"/>
      <c r="EX298" s="364"/>
      <c r="EY298" s="364"/>
      <c r="EZ298" s="364"/>
      <c r="FA298" s="364"/>
      <c r="FB298" s="364"/>
      <c r="FC298" s="364"/>
      <c r="FD298" s="364"/>
      <c r="FE298" s="364"/>
      <c r="FF298" s="364"/>
      <c r="FG298" s="364"/>
      <c r="FH298" s="364"/>
      <c r="FI298" s="364"/>
      <c r="FJ298" s="364"/>
      <c r="FK298" s="364"/>
    </row>
    <row r="299" customFormat="false" ht="15.75" hidden="false" customHeight="false" outlineLevel="0" collapsed="false">
      <c r="A299" s="364" t="n">
        <v>566</v>
      </c>
      <c r="B299" s="364" t="n">
        <f aca="false">COUNTA(D299:FK299)</f>
        <v>57</v>
      </c>
      <c r="C299" s="364" t="s">
        <v>1475</v>
      </c>
      <c r="D299" s="364" t="s">
        <v>2352</v>
      </c>
      <c r="E299" s="364" t="s">
        <v>2353</v>
      </c>
      <c r="F299" s="364" t="s">
        <v>2561</v>
      </c>
      <c r="G299" s="364" t="s">
        <v>2402</v>
      </c>
      <c r="H299" s="364" t="s">
        <v>2635</v>
      </c>
      <c r="I299" s="364" t="s">
        <v>2357</v>
      </c>
      <c r="J299" s="364" t="s">
        <v>2313</v>
      </c>
      <c r="K299" s="364" t="s">
        <v>2464</v>
      </c>
      <c r="L299" s="364" t="s">
        <v>2315</v>
      </c>
      <c r="M299" s="364" t="s">
        <v>2409</v>
      </c>
      <c r="N299" s="364" t="s">
        <v>2601</v>
      </c>
      <c r="O299" s="364" t="s">
        <v>2359</v>
      </c>
      <c r="P299" s="364" t="s">
        <v>2360</v>
      </c>
      <c r="Q299" s="364" t="s">
        <v>2361</v>
      </c>
      <c r="R299" s="364" t="s">
        <v>2363</v>
      </c>
      <c r="S299" s="364" t="s">
        <v>2435</v>
      </c>
      <c r="T299" s="364" t="s">
        <v>2497</v>
      </c>
      <c r="U299" s="364" t="s">
        <v>2317</v>
      </c>
      <c r="V299" s="364" t="s">
        <v>2318</v>
      </c>
      <c r="W299" s="364" t="s">
        <v>2319</v>
      </c>
      <c r="X299" s="364" t="s">
        <v>2320</v>
      </c>
      <c r="Y299" s="364" t="s">
        <v>2375</v>
      </c>
      <c r="Z299" s="364" t="s">
        <v>2322</v>
      </c>
      <c r="AA299" s="364" t="s">
        <v>2324</v>
      </c>
      <c r="AB299" s="364" t="s">
        <v>2327</v>
      </c>
      <c r="AC299" s="364" t="s">
        <v>2560</v>
      </c>
      <c r="AD299" s="364" t="s">
        <v>2328</v>
      </c>
      <c r="AE299" s="364" t="s">
        <v>2329</v>
      </c>
      <c r="AF299" s="364" t="s">
        <v>2521</v>
      </c>
      <c r="AG299" s="364" t="s">
        <v>2417</v>
      </c>
      <c r="AH299" s="364" t="s">
        <v>2506</v>
      </c>
      <c r="AI299" s="364" t="s">
        <v>2381</v>
      </c>
      <c r="AJ299" s="261" t="s">
        <v>183</v>
      </c>
      <c r="AK299" s="364" t="s">
        <v>2385</v>
      </c>
      <c r="AL299" s="364" t="s">
        <v>2332</v>
      </c>
      <c r="AM299" s="364" t="s">
        <v>2452</v>
      </c>
      <c r="AN299" s="364" t="s">
        <v>157</v>
      </c>
      <c r="AO299" s="364" t="s">
        <v>2337</v>
      </c>
      <c r="AP299" s="364" t="s">
        <v>2338</v>
      </c>
      <c r="AQ299" s="364" t="s">
        <v>2339</v>
      </c>
      <c r="AR299" s="364" t="s">
        <v>2340</v>
      </c>
      <c r="AS299" s="364" t="s">
        <v>2341</v>
      </c>
      <c r="AT299" s="364" t="s">
        <v>2442</v>
      </c>
      <c r="AU299" s="364" t="s">
        <v>2392</v>
      </c>
      <c r="AV299" s="364" t="s">
        <v>2684</v>
      </c>
      <c r="AW299" s="364" t="s">
        <v>2639</v>
      </c>
      <c r="AX299" s="364" t="s">
        <v>2470</v>
      </c>
      <c r="AY299" s="364" t="s">
        <v>2443</v>
      </c>
      <c r="AZ299" s="364" t="s">
        <v>2395</v>
      </c>
      <c r="BA299" s="364" t="s">
        <v>2344</v>
      </c>
      <c r="BB299" s="364" t="s">
        <v>2396</v>
      </c>
      <c r="BC299" s="364" t="s">
        <v>2500</v>
      </c>
      <c r="BD299" s="364" t="s">
        <v>2347</v>
      </c>
      <c r="BE299" s="364" t="s">
        <v>2398</v>
      </c>
      <c r="BF299" s="364" t="s">
        <v>2475</v>
      </c>
      <c r="BG299" s="364" t="s">
        <v>2476</v>
      </c>
      <c r="BH299" s="364" t="s">
        <v>2400</v>
      </c>
      <c r="BI299" s="364"/>
      <c r="BJ299" s="364"/>
      <c r="BK299" s="364"/>
      <c r="BL299" s="364"/>
      <c r="BM299" s="364"/>
      <c r="BN299" s="364"/>
      <c r="BO299" s="364"/>
      <c r="BP299" s="364"/>
      <c r="BQ299" s="364"/>
      <c r="BR299" s="364"/>
      <c r="BS299" s="364"/>
      <c r="BT299" s="364"/>
      <c r="BU299" s="364"/>
      <c r="BV299" s="364"/>
      <c r="BW299" s="364"/>
      <c r="BX299" s="364"/>
      <c r="BY299" s="364"/>
      <c r="BZ299" s="364"/>
      <c r="CA299" s="364"/>
      <c r="CB299" s="364"/>
      <c r="CC299" s="364"/>
      <c r="CD299" s="364"/>
      <c r="CE299" s="364"/>
      <c r="CF299" s="364"/>
      <c r="CG299" s="364"/>
      <c r="CH299" s="364"/>
      <c r="CI299" s="364"/>
      <c r="CJ299" s="364"/>
      <c r="CK299" s="364"/>
      <c r="CL299" s="364"/>
      <c r="CM299" s="364"/>
      <c r="CN299" s="364"/>
      <c r="CO299" s="364"/>
      <c r="CP299" s="364"/>
      <c r="CQ299" s="364"/>
      <c r="CR299" s="364"/>
      <c r="CS299" s="364"/>
      <c r="CT299" s="364"/>
      <c r="CU299" s="364"/>
      <c r="CV299" s="364"/>
      <c r="CW299" s="364"/>
      <c r="CX299" s="364"/>
      <c r="CY299" s="364"/>
      <c r="CZ299" s="364"/>
      <c r="DA299" s="364"/>
      <c r="DB299" s="364"/>
      <c r="DC299" s="364"/>
      <c r="DD299" s="364"/>
      <c r="DE299" s="364"/>
      <c r="DF299" s="364"/>
      <c r="DG299" s="364"/>
      <c r="DH299" s="364"/>
      <c r="DI299" s="364"/>
      <c r="DJ299" s="364"/>
      <c r="DK299" s="364"/>
      <c r="DL299" s="364"/>
      <c r="DM299" s="364"/>
      <c r="DN299" s="364"/>
      <c r="DO299" s="364"/>
      <c r="DP299" s="364"/>
      <c r="DQ299" s="364"/>
      <c r="DR299" s="364"/>
      <c r="DS299" s="364"/>
      <c r="DT299" s="364"/>
      <c r="DU299" s="364"/>
      <c r="DV299" s="364"/>
      <c r="DW299" s="364"/>
      <c r="DX299" s="364"/>
      <c r="DY299" s="364"/>
      <c r="DZ299" s="364"/>
      <c r="EA299" s="364"/>
      <c r="EB299" s="364"/>
      <c r="EC299" s="364"/>
      <c r="ED299" s="364"/>
      <c r="EE299" s="364"/>
      <c r="EF299" s="364"/>
      <c r="EG299" s="364"/>
      <c r="EH299" s="364"/>
      <c r="EI299" s="364"/>
      <c r="EJ299" s="364"/>
      <c r="EK299" s="364"/>
      <c r="EL299" s="364"/>
      <c r="EM299" s="364"/>
      <c r="EN299" s="364"/>
      <c r="EO299" s="364"/>
      <c r="EP299" s="364"/>
      <c r="EQ299" s="364"/>
      <c r="ER299" s="364"/>
      <c r="ES299" s="364"/>
      <c r="ET299" s="364"/>
      <c r="EU299" s="364"/>
      <c r="EV299" s="364"/>
      <c r="EW299" s="364"/>
      <c r="EX299" s="364"/>
      <c r="EY299" s="364"/>
      <c r="EZ299" s="364"/>
      <c r="FA299" s="364"/>
      <c r="FB299" s="364"/>
      <c r="FC299" s="364"/>
      <c r="FD299" s="364"/>
      <c r="FE299" s="364"/>
      <c r="FF299" s="364"/>
      <c r="FG299" s="364"/>
      <c r="FH299" s="364"/>
      <c r="FI299" s="364"/>
      <c r="FJ299" s="364"/>
      <c r="FK299" s="364"/>
    </row>
    <row r="300" customFormat="false" ht="15.75" hidden="false" customHeight="false" outlineLevel="0" collapsed="false">
      <c r="A300" s="364" t="n">
        <v>568</v>
      </c>
      <c r="B300" s="364" t="n">
        <f aca="false">COUNTA(D300:FK300)</f>
        <v>29</v>
      </c>
      <c r="C300" s="364" t="s">
        <v>1480</v>
      </c>
      <c r="D300" s="364" t="s">
        <v>2581</v>
      </c>
      <c r="E300" s="364" t="s">
        <v>2464</v>
      </c>
      <c r="F300" s="364" t="s">
        <v>2434</v>
      </c>
      <c r="G300" s="364" t="s">
        <v>2435</v>
      </c>
      <c r="H300" s="364" t="s">
        <v>2319</v>
      </c>
      <c r="I300" s="364" t="s">
        <v>2320</v>
      </c>
      <c r="J300" s="364" t="s">
        <v>2322</v>
      </c>
      <c r="K300" s="364" t="s">
        <v>2550</v>
      </c>
      <c r="L300" s="364" t="s">
        <v>2324</v>
      </c>
      <c r="M300" s="364" t="s">
        <v>2325</v>
      </c>
      <c r="N300" s="364" t="s">
        <v>2328</v>
      </c>
      <c r="O300" s="364" t="s">
        <v>2329</v>
      </c>
      <c r="P300" s="364" t="s">
        <v>2415</v>
      </c>
      <c r="Q300" s="364" t="s">
        <v>2417</v>
      </c>
      <c r="R300" s="364" t="s">
        <v>2638</v>
      </c>
      <c r="S300" s="261" t="s">
        <v>183</v>
      </c>
      <c r="T300" s="364" t="s">
        <v>157</v>
      </c>
      <c r="U300" s="364" t="s">
        <v>2551</v>
      </c>
      <c r="V300" s="364" t="s">
        <v>2495</v>
      </c>
      <c r="W300" s="364" t="s">
        <v>2337</v>
      </c>
      <c r="X300" s="364" t="s">
        <v>2340</v>
      </c>
      <c r="Y300" s="364" t="s">
        <v>2341</v>
      </c>
      <c r="Z300" s="364" t="s">
        <v>2442</v>
      </c>
      <c r="AA300" s="364" t="s">
        <v>2422</v>
      </c>
      <c r="AB300" s="364" t="s">
        <v>2395</v>
      </c>
      <c r="AC300" s="364" t="s">
        <v>2344</v>
      </c>
      <c r="AD300" s="364" t="s">
        <v>2345</v>
      </c>
      <c r="AE300" s="364" t="s">
        <v>2398</v>
      </c>
      <c r="AF300" s="364" t="s">
        <v>2430</v>
      </c>
      <c r="AG300" s="364"/>
      <c r="AH300" s="364"/>
      <c r="AI300" s="364"/>
      <c r="AJ300" s="364"/>
      <c r="AK300" s="364"/>
      <c r="AL300" s="364"/>
      <c r="AM300" s="364"/>
      <c r="AN300" s="364"/>
      <c r="AO300" s="364"/>
      <c r="AP300" s="364"/>
      <c r="AQ300" s="364"/>
      <c r="AR300" s="364"/>
      <c r="AS300" s="364"/>
      <c r="AT300" s="364"/>
      <c r="AU300" s="364"/>
      <c r="AV300" s="364"/>
      <c r="AW300" s="364"/>
      <c r="AX300" s="364"/>
      <c r="AY300" s="364"/>
      <c r="AZ300" s="364"/>
      <c r="BA300" s="364"/>
      <c r="BB300" s="364"/>
      <c r="BC300" s="364"/>
      <c r="BD300" s="364"/>
      <c r="BE300" s="364"/>
      <c r="BF300" s="364"/>
      <c r="BG300" s="364"/>
      <c r="BH300" s="364"/>
      <c r="BI300" s="364"/>
      <c r="BJ300" s="364"/>
      <c r="BK300" s="364"/>
      <c r="BL300" s="364"/>
      <c r="BM300" s="364"/>
      <c r="BN300" s="364"/>
      <c r="BO300" s="364"/>
      <c r="BP300" s="364"/>
      <c r="BQ300" s="364"/>
      <c r="BR300" s="364"/>
      <c r="BS300" s="364"/>
      <c r="BT300" s="364"/>
      <c r="BU300" s="364"/>
      <c r="BV300" s="364"/>
      <c r="BW300" s="364"/>
      <c r="BX300" s="364"/>
      <c r="BY300" s="364"/>
      <c r="BZ300" s="364"/>
      <c r="CA300" s="364"/>
      <c r="CB300" s="364"/>
      <c r="CC300" s="364"/>
      <c r="CD300" s="364"/>
      <c r="CE300" s="364"/>
      <c r="CF300" s="364"/>
      <c r="CG300" s="364"/>
      <c r="CH300" s="364"/>
      <c r="CI300" s="364"/>
      <c r="CJ300" s="364"/>
      <c r="CK300" s="364"/>
      <c r="CL300" s="364"/>
      <c r="CM300" s="364"/>
      <c r="CN300" s="364"/>
      <c r="CO300" s="364"/>
      <c r="CP300" s="364"/>
      <c r="CQ300" s="364"/>
      <c r="CR300" s="364"/>
      <c r="CS300" s="364"/>
      <c r="CT300" s="364"/>
      <c r="CU300" s="364"/>
      <c r="CV300" s="364"/>
      <c r="CW300" s="364"/>
      <c r="CX300" s="364"/>
      <c r="CY300" s="364"/>
      <c r="CZ300" s="364"/>
      <c r="DA300" s="364"/>
      <c r="DB300" s="364"/>
      <c r="DC300" s="364"/>
      <c r="DD300" s="364"/>
      <c r="DE300" s="364"/>
      <c r="DF300" s="364"/>
      <c r="DG300" s="364"/>
      <c r="DH300" s="364"/>
      <c r="DI300" s="364"/>
      <c r="DJ300" s="364"/>
      <c r="DK300" s="364"/>
      <c r="DL300" s="364"/>
      <c r="DM300" s="364"/>
      <c r="DN300" s="364"/>
      <c r="DO300" s="364"/>
      <c r="DP300" s="364"/>
      <c r="DQ300" s="364"/>
      <c r="DR300" s="364"/>
      <c r="DS300" s="364"/>
      <c r="DT300" s="364"/>
      <c r="DU300" s="364"/>
      <c r="DV300" s="364"/>
      <c r="DW300" s="364"/>
      <c r="DX300" s="364"/>
      <c r="DY300" s="364"/>
      <c r="DZ300" s="364"/>
      <c r="EA300" s="364"/>
      <c r="EB300" s="364"/>
      <c r="EC300" s="364"/>
      <c r="ED300" s="364"/>
      <c r="EE300" s="364"/>
      <c r="EF300" s="364"/>
      <c r="EG300" s="364"/>
      <c r="EH300" s="364"/>
      <c r="EI300" s="364"/>
      <c r="EJ300" s="364"/>
      <c r="EK300" s="364"/>
      <c r="EL300" s="364"/>
      <c r="EM300" s="364"/>
      <c r="EN300" s="364"/>
      <c r="EO300" s="364"/>
      <c r="EP300" s="364"/>
      <c r="EQ300" s="364"/>
      <c r="ER300" s="364"/>
      <c r="ES300" s="364"/>
      <c r="ET300" s="364"/>
      <c r="EU300" s="364"/>
      <c r="EV300" s="364"/>
      <c r="EW300" s="364"/>
      <c r="EX300" s="364"/>
      <c r="EY300" s="364"/>
      <c r="EZ300" s="364"/>
      <c r="FA300" s="364"/>
      <c r="FB300" s="364"/>
      <c r="FC300" s="364"/>
      <c r="FD300" s="364"/>
      <c r="FE300" s="364"/>
      <c r="FF300" s="364"/>
      <c r="FG300" s="364"/>
      <c r="FH300" s="364"/>
      <c r="FI300" s="364"/>
      <c r="FJ300" s="364"/>
      <c r="FK300" s="364"/>
    </row>
    <row r="301" customFormat="false" ht="15.75" hidden="false" customHeight="false" outlineLevel="0" collapsed="false">
      <c r="A301" s="364" t="n">
        <v>569</v>
      </c>
      <c r="B301" s="364" t="n">
        <f aca="false">COUNTA(D301:FK301)</f>
        <v>31</v>
      </c>
      <c r="C301" s="364" t="s">
        <v>1482</v>
      </c>
      <c r="D301" s="364" t="s">
        <v>2561</v>
      </c>
      <c r="E301" s="364" t="s">
        <v>2405</v>
      </c>
      <c r="F301" s="364" t="s">
        <v>2516</v>
      </c>
      <c r="G301" s="364" t="s">
        <v>2406</v>
      </c>
      <c r="H301" s="364" t="s">
        <v>2407</v>
      </c>
      <c r="I301" s="364" t="s">
        <v>2408</v>
      </c>
      <c r="J301" s="364" t="s">
        <v>2465</v>
      </c>
      <c r="K301" s="364" t="s">
        <v>2517</v>
      </c>
      <c r="L301" s="364" t="s">
        <v>2410</v>
      </c>
      <c r="M301" s="364" t="s">
        <v>2320</v>
      </c>
      <c r="N301" s="364" t="s">
        <v>2325</v>
      </c>
      <c r="O301" s="364" t="s">
        <v>2328</v>
      </c>
      <c r="P301" s="364" t="s">
        <v>2415</v>
      </c>
      <c r="Q301" s="364" t="s">
        <v>2417</v>
      </c>
      <c r="R301" s="364" t="s">
        <v>2330</v>
      </c>
      <c r="S301" s="364" t="s">
        <v>2468</v>
      </c>
      <c r="T301" s="364" t="s">
        <v>2418</v>
      </c>
      <c r="U301" s="261" t="s">
        <v>183</v>
      </c>
      <c r="V301" s="364" t="s">
        <v>2337</v>
      </c>
      <c r="W301" s="364" t="s">
        <v>2340</v>
      </c>
      <c r="X301" s="364" t="s">
        <v>2421</v>
      </c>
      <c r="Y301" s="364" t="s">
        <v>2341</v>
      </c>
      <c r="Z301" s="364" t="s">
        <v>2422</v>
      </c>
      <c r="AA301" s="364" t="s">
        <v>2344</v>
      </c>
      <c r="AB301" s="364" t="s">
        <v>2424</v>
      </c>
      <c r="AC301" s="364" t="s">
        <v>2398</v>
      </c>
      <c r="AD301" s="364" t="s">
        <v>2463</v>
      </c>
      <c r="AE301" s="364" t="s">
        <v>2446</v>
      </c>
      <c r="AF301" s="364" t="s">
        <v>2425</v>
      </c>
      <c r="AG301" s="364" t="s">
        <v>2428</v>
      </c>
      <c r="AH301" s="364" t="s">
        <v>2429</v>
      </c>
      <c r="AI301" s="364"/>
      <c r="AJ301" s="364"/>
      <c r="AK301" s="364"/>
      <c r="AL301" s="364"/>
      <c r="AM301" s="364"/>
      <c r="AN301" s="364"/>
      <c r="AO301" s="364"/>
      <c r="AP301" s="364"/>
      <c r="AQ301" s="364"/>
      <c r="AR301" s="364"/>
      <c r="AS301" s="364"/>
      <c r="AT301" s="364"/>
      <c r="AU301" s="364"/>
      <c r="AV301" s="364"/>
      <c r="AW301" s="364"/>
      <c r="AX301" s="364"/>
      <c r="AY301" s="364"/>
      <c r="AZ301" s="364"/>
      <c r="BA301" s="364"/>
      <c r="BB301" s="364"/>
      <c r="BC301" s="364"/>
      <c r="BD301" s="364"/>
      <c r="BE301" s="364"/>
      <c r="BF301" s="364"/>
      <c r="BG301" s="364"/>
      <c r="BH301" s="364"/>
      <c r="BI301" s="364"/>
      <c r="BJ301" s="364"/>
      <c r="BK301" s="364"/>
      <c r="BL301" s="364"/>
      <c r="BM301" s="364"/>
      <c r="BN301" s="364"/>
      <c r="BO301" s="364"/>
      <c r="BP301" s="364"/>
      <c r="BQ301" s="364"/>
      <c r="BR301" s="364"/>
      <c r="BS301" s="364"/>
      <c r="BT301" s="364"/>
      <c r="BU301" s="364"/>
      <c r="BV301" s="364"/>
      <c r="BW301" s="364"/>
      <c r="BX301" s="364"/>
      <c r="BY301" s="364"/>
      <c r="BZ301" s="364"/>
      <c r="CA301" s="364"/>
      <c r="CB301" s="364"/>
      <c r="CC301" s="364"/>
      <c r="CD301" s="364"/>
      <c r="CE301" s="364"/>
      <c r="CF301" s="364"/>
      <c r="CG301" s="364"/>
      <c r="CH301" s="364"/>
      <c r="CI301" s="364"/>
      <c r="CJ301" s="364"/>
      <c r="CK301" s="364"/>
      <c r="CL301" s="364"/>
      <c r="CM301" s="364"/>
      <c r="CN301" s="364"/>
      <c r="CO301" s="364"/>
      <c r="CP301" s="364"/>
      <c r="CQ301" s="364"/>
      <c r="CR301" s="364"/>
      <c r="CS301" s="364"/>
      <c r="CT301" s="364"/>
      <c r="CU301" s="364"/>
      <c r="CV301" s="364"/>
      <c r="CW301" s="364"/>
      <c r="CX301" s="364"/>
      <c r="CY301" s="364"/>
      <c r="CZ301" s="364"/>
      <c r="DA301" s="364"/>
      <c r="DB301" s="364"/>
      <c r="DC301" s="364"/>
      <c r="DD301" s="364"/>
      <c r="DE301" s="364"/>
      <c r="DF301" s="364"/>
      <c r="DG301" s="364"/>
      <c r="DH301" s="364"/>
      <c r="DI301" s="364"/>
      <c r="DJ301" s="364"/>
      <c r="DK301" s="364"/>
      <c r="DL301" s="364"/>
      <c r="DM301" s="364"/>
      <c r="DN301" s="364"/>
      <c r="DO301" s="364"/>
      <c r="DP301" s="364"/>
      <c r="DQ301" s="364"/>
      <c r="DR301" s="364"/>
      <c r="DS301" s="364"/>
      <c r="DT301" s="364"/>
      <c r="DU301" s="364"/>
      <c r="DV301" s="364"/>
      <c r="DW301" s="364"/>
      <c r="DX301" s="364"/>
      <c r="DY301" s="364"/>
      <c r="DZ301" s="364"/>
      <c r="EA301" s="364"/>
      <c r="EB301" s="364"/>
      <c r="EC301" s="364"/>
      <c r="ED301" s="364"/>
      <c r="EE301" s="364"/>
      <c r="EF301" s="364"/>
      <c r="EG301" s="364"/>
      <c r="EH301" s="364"/>
      <c r="EI301" s="364"/>
      <c r="EJ301" s="364"/>
      <c r="EK301" s="364"/>
      <c r="EL301" s="364"/>
      <c r="EM301" s="364"/>
      <c r="EN301" s="364"/>
      <c r="EO301" s="364"/>
      <c r="EP301" s="364"/>
      <c r="EQ301" s="364"/>
      <c r="ER301" s="364"/>
      <c r="ES301" s="364"/>
      <c r="ET301" s="364"/>
      <c r="EU301" s="364"/>
      <c r="EV301" s="364"/>
      <c r="EW301" s="364"/>
      <c r="EX301" s="364"/>
      <c r="EY301" s="364"/>
      <c r="EZ301" s="364"/>
      <c r="FA301" s="364"/>
      <c r="FB301" s="364"/>
      <c r="FC301" s="364"/>
      <c r="FD301" s="364"/>
      <c r="FE301" s="364"/>
      <c r="FF301" s="364"/>
      <c r="FG301" s="364"/>
      <c r="FH301" s="364"/>
      <c r="FI301" s="364"/>
      <c r="FJ301" s="364"/>
      <c r="FK301" s="364"/>
    </row>
    <row r="302" customFormat="false" ht="15.75" hidden="false" customHeight="false" outlineLevel="0" collapsed="false">
      <c r="A302" s="364" t="n">
        <v>570</v>
      </c>
      <c r="B302" s="364" t="n">
        <f aca="false">COUNTA(D302:FK302)</f>
        <v>36</v>
      </c>
      <c r="C302" s="364" t="s">
        <v>1484</v>
      </c>
      <c r="D302" s="364" t="s">
        <v>2561</v>
      </c>
      <c r="E302" s="364" t="s">
        <v>2405</v>
      </c>
      <c r="F302" s="364" t="s">
        <v>2516</v>
      </c>
      <c r="G302" s="364" t="s">
        <v>2406</v>
      </c>
      <c r="H302" s="364" t="s">
        <v>2407</v>
      </c>
      <c r="I302" s="364" t="s">
        <v>2408</v>
      </c>
      <c r="J302" s="364" t="s">
        <v>2465</v>
      </c>
      <c r="K302" s="364" t="s">
        <v>2517</v>
      </c>
      <c r="L302" s="364" t="s">
        <v>2410</v>
      </c>
      <c r="M302" s="364" t="s">
        <v>2319</v>
      </c>
      <c r="N302" s="364" t="s">
        <v>2320</v>
      </c>
      <c r="O302" s="364" t="s">
        <v>2324</v>
      </c>
      <c r="P302" s="364" t="s">
        <v>2325</v>
      </c>
      <c r="Q302" s="364" t="s">
        <v>2328</v>
      </c>
      <c r="R302" s="364" t="s">
        <v>2329</v>
      </c>
      <c r="S302" s="364" t="s">
        <v>2415</v>
      </c>
      <c r="T302" s="364" t="s">
        <v>2417</v>
      </c>
      <c r="U302" s="364" t="s">
        <v>2330</v>
      </c>
      <c r="V302" s="364" t="s">
        <v>2468</v>
      </c>
      <c r="W302" s="364" t="s">
        <v>2418</v>
      </c>
      <c r="X302" s="261" t="s">
        <v>183</v>
      </c>
      <c r="Y302" s="364" t="s">
        <v>157</v>
      </c>
      <c r="Z302" s="364" t="s">
        <v>2337</v>
      </c>
      <c r="AA302" s="364" t="s">
        <v>2340</v>
      </c>
      <c r="AB302" s="364" t="s">
        <v>2421</v>
      </c>
      <c r="AC302" s="364" t="s">
        <v>2341</v>
      </c>
      <c r="AD302" s="364" t="s">
        <v>2442</v>
      </c>
      <c r="AE302" s="364" t="s">
        <v>2422</v>
      </c>
      <c r="AF302" s="364" t="s">
        <v>2344</v>
      </c>
      <c r="AG302" s="364" t="s">
        <v>2424</v>
      </c>
      <c r="AH302" s="364" t="s">
        <v>2398</v>
      </c>
      <c r="AI302" s="364" t="s">
        <v>2463</v>
      </c>
      <c r="AJ302" s="364" t="s">
        <v>2446</v>
      </c>
      <c r="AK302" s="364" t="s">
        <v>2425</v>
      </c>
      <c r="AL302" s="364" t="s">
        <v>2428</v>
      </c>
      <c r="AM302" s="364" t="s">
        <v>2429</v>
      </c>
      <c r="AN302" s="364"/>
      <c r="AO302" s="364"/>
      <c r="AP302" s="364"/>
      <c r="AQ302" s="364"/>
      <c r="AR302" s="364"/>
      <c r="AS302" s="364"/>
      <c r="AT302" s="364"/>
      <c r="AU302" s="364"/>
      <c r="AV302" s="364"/>
      <c r="AW302" s="364"/>
      <c r="AX302" s="364"/>
      <c r="AY302" s="364"/>
      <c r="AZ302" s="364"/>
      <c r="BA302" s="364"/>
      <c r="BB302" s="364"/>
      <c r="BC302" s="364"/>
      <c r="BD302" s="364"/>
      <c r="BE302" s="364"/>
      <c r="BF302" s="364"/>
      <c r="BG302" s="364"/>
      <c r="BH302" s="364"/>
      <c r="BI302" s="364"/>
      <c r="BJ302" s="364"/>
      <c r="BK302" s="364"/>
      <c r="BL302" s="364"/>
      <c r="BM302" s="364"/>
      <c r="BN302" s="364"/>
      <c r="BO302" s="364"/>
      <c r="BP302" s="364"/>
      <c r="BQ302" s="364"/>
      <c r="BR302" s="364"/>
      <c r="BS302" s="364"/>
      <c r="BT302" s="364"/>
      <c r="BU302" s="364"/>
      <c r="BV302" s="364"/>
      <c r="BW302" s="364"/>
      <c r="BX302" s="364"/>
      <c r="BY302" s="364"/>
      <c r="BZ302" s="364"/>
      <c r="CA302" s="364"/>
      <c r="CB302" s="364"/>
      <c r="CC302" s="364"/>
      <c r="CD302" s="364"/>
      <c r="CE302" s="364"/>
      <c r="CF302" s="364"/>
      <c r="CG302" s="364"/>
      <c r="CH302" s="364"/>
      <c r="CI302" s="364"/>
      <c r="CJ302" s="364"/>
      <c r="CK302" s="364"/>
      <c r="CL302" s="364"/>
      <c r="CM302" s="364"/>
      <c r="CN302" s="364"/>
      <c r="CO302" s="364"/>
      <c r="CP302" s="364"/>
      <c r="CQ302" s="364"/>
      <c r="CR302" s="364"/>
      <c r="CS302" s="364"/>
      <c r="CT302" s="364"/>
      <c r="CU302" s="364"/>
      <c r="CV302" s="364"/>
      <c r="CW302" s="364"/>
      <c r="CX302" s="364"/>
      <c r="CY302" s="364"/>
      <c r="CZ302" s="364"/>
      <c r="DA302" s="364"/>
      <c r="DB302" s="364"/>
      <c r="DC302" s="364"/>
      <c r="DD302" s="364"/>
      <c r="DE302" s="364"/>
      <c r="DF302" s="364"/>
      <c r="DG302" s="364"/>
      <c r="DH302" s="364"/>
      <c r="DI302" s="364"/>
      <c r="DJ302" s="364"/>
      <c r="DK302" s="364"/>
      <c r="DL302" s="364"/>
      <c r="DM302" s="364"/>
      <c r="DN302" s="364"/>
      <c r="DO302" s="364"/>
      <c r="DP302" s="364"/>
      <c r="DQ302" s="364"/>
      <c r="DR302" s="364"/>
      <c r="DS302" s="364"/>
      <c r="DT302" s="364"/>
      <c r="DU302" s="364"/>
      <c r="DV302" s="364"/>
      <c r="DW302" s="364"/>
      <c r="DX302" s="364"/>
      <c r="DY302" s="364"/>
      <c r="DZ302" s="364"/>
      <c r="EA302" s="364"/>
      <c r="EB302" s="364"/>
      <c r="EC302" s="364"/>
      <c r="ED302" s="364"/>
      <c r="EE302" s="364"/>
      <c r="EF302" s="364"/>
      <c r="EG302" s="364"/>
      <c r="EH302" s="364"/>
      <c r="EI302" s="364"/>
      <c r="EJ302" s="364"/>
      <c r="EK302" s="364"/>
      <c r="EL302" s="364"/>
      <c r="EM302" s="364"/>
      <c r="EN302" s="364"/>
      <c r="EO302" s="364"/>
      <c r="EP302" s="364"/>
      <c r="EQ302" s="364"/>
      <c r="ER302" s="364"/>
      <c r="ES302" s="364"/>
      <c r="ET302" s="364"/>
      <c r="EU302" s="364"/>
      <c r="EV302" s="364"/>
      <c r="EW302" s="364"/>
      <c r="EX302" s="364"/>
      <c r="EY302" s="364"/>
      <c r="EZ302" s="364"/>
      <c r="FA302" s="364"/>
      <c r="FB302" s="364"/>
      <c r="FC302" s="364"/>
      <c r="FD302" s="364"/>
      <c r="FE302" s="364"/>
      <c r="FF302" s="364"/>
      <c r="FG302" s="364"/>
      <c r="FH302" s="364"/>
      <c r="FI302" s="364"/>
      <c r="FJ302" s="364"/>
      <c r="FK302" s="364"/>
    </row>
    <row r="303" customFormat="false" ht="15.75" hidden="false" customHeight="false" outlineLevel="0" collapsed="false">
      <c r="A303" s="364" t="n">
        <v>571</v>
      </c>
      <c r="B303" s="364" t="n">
        <f aca="false">COUNTA(D303:FK303)</f>
        <v>56</v>
      </c>
      <c r="C303" s="364" t="s">
        <v>1486</v>
      </c>
      <c r="D303" s="364" t="s">
        <v>2352</v>
      </c>
      <c r="E303" s="364" t="s">
        <v>2405</v>
      </c>
      <c r="F303" s="364" t="s">
        <v>2356</v>
      </c>
      <c r="G303" s="364" t="s">
        <v>2464</v>
      </c>
      <c r="H303" s="364" t="s">
        <v>2315</v>
      </c>
      <c r="I303" s="364" t="s">
        <v>2409</v>
      </c>
      <c r="J303" s="364" t="s">
        <v>2520</v>
      </c>
      <c r="K303" s="364" t="s">
        <v>2435</v>
      </c>
      <c r="L303" s="364" t="s">
        <v>2320</v>
      </c>
      <c r="M303" s="364" t="s">
        <v>2535</v>
      </c>
      <c r="N303" s="364" t="s">
        <v>2376</v>
      </c>
      <c r="O303" s="364" t="s">
        <v>2377</v>
      </c>
      <c r="P303" s="364" t="s">
        <v>2523</v>
      </c>
      <c r="Q303" s="364" t="s">
        <v>2324</v>
      </c>
      <c r="R303" s="364" t="s">
        <v>2327</v>
      </c>
      <c r="S303" s="364" t="s">
        <v>2328</v>
      </c>
      <c r="T303" s="364" t="s">
        <v>2329</v>
      </c>
      <c r="U303" s="364" t="s">
        <v>2415</v>
      </c>
      <c r="V303" s="364" t="s">
        <v>2417</v>
      </c>
      <c r="W303" s="364" t="s">
        <v>2379</v>
      </c>
      <c r="X303" s="364" t="s">
        <v>2330</v>
      </c>
      <c r="Y303" s="364" t="s">
        <v>2468</v>
      </c>
      <c r="Z303" s="261" t="s">
        <v>183</v>
      </c>
      <c r="AA303" s="364" t="s">
        <v>2589</v>
      </c>
      <c r="AB303" s="364" t="s">
        <v>2385</v>
      </c>
      <c r="AC303" s="364" t="s">
        <v>2452</v>
      </c>
      <c r="AD303" s="364" t="s">
        <v>2656</v>
      </c>
      <c r="AE303" s="364" t="s">
        <v>2454</v>
      </c>
      <c r="AF303" s="364" t="s">
        <v>2387</v>
      </c>
      <c r="AG303" s="364" t="s">
        <v>157</v>
      </c>
      <c r="AH303" s="364" t="s">
        <v>2455</v>
      </c>
      <c r="AI303" s="364" t="s">
        <v>2461</v>
      </c>
      <c r="AJ303" s="364" t="s">
        <v>2337</v>
      </c>
      <c r="AK303" s="364" t="s">
        <v>2469</v>
      </c>
      <c r="AL303" s="364" t="s">
        <v>2681</v>
      </c>
      <c r="AM303" s="364" t="s">
        <v>2338</v>
      </c>
      <c r="AN303" s="364" t="s">
        <v>2388</v>
      </c>
      <c r="AO303" s="364" t="s">
        <v>2339</v>
      </c>
      <c r="AP303" s="364" t="s">
        <v>2389</v>
      </c>
      <c r="AQ303" s="364" t="s">
        <v>2340</v>
      </c>
      <c r="AR303" s="364" t="s">
        <v>2341</v>
      </c>
      <c r="AS303" s="364" t="s">
        <v>2442</v>
      </c>
      <c r="AT303" s="364" t="s">
        <v>2392</v>
      </c>
      <c r="AU303" s="364" t="s">
        <v>2470</v>
      </c>
      <c r="AV303" s="364" t="s">
        <v>2343</v>
      </c>
      <c r="AW303" s="364" t="s">
        <v>2472</v>
      </c>
      <c r="AX303" s="364" t="s">
        <v>2344</v>
      </c>
      <c r="AY303" s="364" t="s">
        <v>2682</v>
      </c>
      <c r="AZ303" s="364" t="s">
        <v>2347</v>
      </c>
      <c r="BA303" s="364" t="s">
        <v>2473</v>
      </c>
      <c r="BB303" s="364" t="s">
        <v>2398</v>
      </c>
      <c r="BC303" s="364" t="s">
        <v>2445</v>
      </c>
      <c r="BD303" s="364" t="s">
        <v>2456</v>
      </c>
      <c r="BE303" s="364" t="s">
        <v>2475</v>
      </c>
      <c r="BF303" s="364" t="s">
        <v>2476</v>
      </c>
      <c r="BG303" s="364" t="s">
        <v>2458</v>
      </c>
      <c r="BH303" s="364"/>
      <c r="BI303" s="364"/>
      <c r="BJ303" s="364"/>
      <c r="BK303" s="364"/>
      <c r="BL303" s="364"/>
      <c r="BM303" s="364"/>
      <c r="BN303" s="364"/>
      <c r="BO303" s="364"/>
      <c r="BP303" s="364"/>
      <c r="BQ303" s="364"/>
      <c r="BR303" s="364"/>
      <c r="BS303" s="364"/>
      <c r="BT303" s="364"/>
      <c r="BU303" s="364"/>
      <c r="BV303" s="364"/>
      <c r="BW303" s="364"/>
      <c r="BX303" s="364"/>
      <c r="BY303" s="364"/>
      <c r="BZ303" s="364"/>
      <c r="CA303" s="364"/>
      <c r="CB303" s="364"/>
      <c r="CC303" s="364"/>
      <c r="CD303" s="364"/>
      <c r="CE303" s="364"/>
      <c r="CF303" s="364"/>
      <c r="CG303" s="364"/>
      <c r="CH303" s="364"/>
      <c r="CI303" s="364"/>
      <c r="CJ303" s="364"/>
      <c r="CK303" s="364"/>
      <c r="CL303" s="364"/>
      <c r="CM303" s="364"/>
      <c r="CN303" s="364"/>
      <c r="CO303" s="364"/>
      <c r="CP303" s="364"/>
      <c r="CQ303" s="364"/>
      <c r="CR303" s="364"/>
      <c r="CS303" s="364"/>
      <c r="CT303" s="364"/>
      <c r="CU303" s="364"/>
      <c r="CV303" s="364"/>
      <c r="CW303" s="364"/>
      <c r="CX303" s="364"/>
      <c r="CY303" s="364"/>
      <c r="CZ303" s="364"/>
      <c r="DA303" s="364"/>
      <c r="DB303" s="364"/>
      <c r="DC303" s="364"/>
      <c r="DD303" s="364"/>
      <c r="DE303" s="364"/>
      <c r="DF303" s="364"/>
      <c r="DG303" s="364"/>
      <c r="DH303" s="364"/>
      <c r="DI303" s="364"/>
      <c r="DJ303" s="364"/>
      <c r="DK303" s="364"/>
      <c r="DL303" s="364"/>
      <c r="DM303" s="364"/>
      <c r="DN303" s="364"/>
      <c r="DO303" s="364"/>
      <c r="DP303" s="364"/>
      <c r="DQ303" s="364"/>
      <c r="DR303" s="364"/>
      <c r="DS303" s="364"/>
      <c r="DT303" s="364"/>
      <c r="DU303" s="364"/>
      <c r="DV303" s="364"/>
      <c r="DW303" s="364"/>
      <c r="DX303" s="364"/>
      <c r="DY303" s="364"/>
      <c r="DZ303" s="364"/>
      <c r="EA303" s="364"/>
      <c r="EB303" s="364"/>
      <c r="EC303" s="364"/>
      <c r="ED303" s="364"/>
      <c r="EE303" s="364"/>
      <c r="EF303" s="364"/>
      <c r="EG303" s="364"/>
      <c r="EH303" s="364"/>
      <c r="EI303" s="364"/>
      <c r="EJ303" s="364"/>
      <c r="EK303" s="364"/>
      <c r="EL303" s="364"/>
      <c r="EM303" s="364"/>
      <c r="EN303" s="364"/>
      <c r="EO303" s="364"/>
      <c r="EP303" s="364"/>
      <c r="EQ303" s="364"/>
      <c r="ER303" s="364"/>
      <c r="ES303" s="364"/>
      <c r="ET303" s="364"/>
      <c r="EU303" s="364"/>
      <c r="EV303" s="364"/>
      <c r="EW303" s="364"/>
      <c r="EX303" s="364"/>
      <c r="EY303" s="364"/>
      <c r="EZ303" s="364"/>
      <c r="FA303" s="364"/>
      <c r="FB303" s="364"/>
      <c r="FC303" s="364"/>
      <c r="FD303" s="364"/>
      <c r="FE303" s="364"/>
      <c r="FF303" s="364"/>
      <c r="FG303" s="364"/>
      <c r="FH303" s="364"/>
      <c r="FI303" s="364"/>
      <c r="FJ303" s="364"/>
      <c r="FK303" s="364"/>
    </row>
    <row r="304" customFormat="false" ht="15.75" hidden="false" customHeight="false" outlineLevel="0" collapsed="false">
      <c r="A304" s="364" t="n">
        <v>572</v>
      </c>
      <c r="B304" s="364" t="n">
        <f aca="false">COUNTA(D304:FK304)</f>
        <v>31</v>
      </c>
      <c r="C304" s="364" t="s">
        <v>1490</v>
      </c>
      <c r="D304" s="364" t="s">
        <v>2353</v>
      </c>
      <c r="E304" s="364" t="s">
        <v>2354</v>
      </c>
      <c r="F304" s="364" t="s">
        <v>2314</v>
      </c>
      <c r="G304" s="364" t="s">
        <v>2465</v>
      </c>
      <c r="H304" s="364" t="s">
        <v>2517</v>
      </c>
      <c r="I304" s="364" t="s">
        <v>2497</v>
      </c>
      <c r="J304" s="364" t="s">
        <v>2448</v>
      </c>
      <c r="K304" s="364" t="s">
        <v>2319</v>
      </c>
      <c r="L304" s="364" t="s">
        <v>2320</v>
      </c>
      <c r="M304" s="364" t="s">
        <v>2323</v>
      </c>
      <c r="N304" s="364" t="s">
        <v>2324</v>
      </c>
      <c r="O304" s="364" t="s">
        <v>2325</v>
      </c>
      <c r="P304" s="364" t="s">
        <v>2327</v>
      </c>
      <c r="Q304" s="364" t="s">
        <v>2328</v>
      </c>
      <c r="R304" s="364" t="s">
        <v>2329</v>
      </c>
      <c r="S304" s="364" t="s">
        <v>2468</v>
      </c>
      <c r="T304" s="364" t="s">
        <v>2557</v>
      </c>
      <c r="U304" s="364" t="s">
        <v>2623</v>
      </c>
      <c r="V304" s="261" t="s">
        <v>183</v>
      </c>
      <c r="W304" s="364" t="s">
        <v>2385</v>
      </c>
      <c r="X304" s="364" t="s">
        <v>157</v>
      </c>
      <c r="Y304" s="364" t="s">
        <v>2461</v>
      </c>
      <c r="Z304" s="364" t="s">
        <v>2337</v>
      </c>
      <c r="AA304" s="364" t="s">
        <v>2340</v>
      </c>
      <c r="AB304" s="364" t="s">
        <v>2341</v>
      </c>
      <c r="AC304" s="364" t="s">
        <v>2342</v>
      </c>
      <c r="AD304" s="364" t="s">
        <v>2685</v>
      </c>
      <c r="AE304" s="364" t="s">
        <v>2344</v>
      </c>
      <c r="AF304" s="364" t="s">
        <v>2345</v>
      </c>
      <c r="AG304" s="364" t="s">
        <v>2398</v>
      </c>
      <c r="AH304" s="364" t="s">
        <v>2430</v>
      </c>
      <c r="AI304" s="364"/>
      <c r="AJ304" s="364"/>
      <c r="AK304" s="364"/>
      <c r="AL304" s="364"/>
      <c r="AM304" s="364"/>
      <c r="AN304" s="364"/>
      <c r="AO304" s="364"/>
      <c r="AP304" s="364"/>
      <c r="AQ304" s="364"/>
      <c r="AR304" s="364"/>
      <c r="AS304" s="364"/>
      <c r="AT304" s="364"/>
      <c r="AU304" s="364"/>
      <c r="AV304" s="364"/>
      <c r="AW304" s="364"/>
      <c r="AX304" s="364"/>
      <c r="AY304" s="364"/>
      <c r="AZ304" s="364"/>
      <c r="BA304" s="364"/>
      <c r="BB304" s="364"/>
      <c r="BC304" s="364"/>
      <c r="BD304" s="364"/>
      <c r="BE304" s="364"/>
      <c r="BF304" s="364"/>
      <c r="BG304" s="364"/>
      <c r="BH304" s="364"/>
      <c r="BI304" s="364"/>
      <c r="BJ304" s="364"/>
      <c r="BK304" s="364"/>
      <c r="BL304" s="364"/>
      <c r="BM304" s="364"/>
      <c r="BN304" s="364"/>
      <c r="BO304" s="364"/>
      <c r="BP304" s="364"/>
      <c r="BQ304" s="364"/>
      <c r="BR304" s="364"/>
      <c r="BS304" s="364"/>
      <c r="BT304" s="364"/>
      <c r="BU304" s="364"/>
      <c r="BV304" s="364"/>
      <c r="BW304" s="364"/>
      <c r="BX304" s="364"/>
      <c r="BY304" s="364"/>
      <c r="BZ304" s="364"/>
      <c r="CA304" s="364"/>
      <c r="CB304" s="364"/>
      <c r="CC304" s="364"/>
      <c r="CD304" s="364"/>
      <c r="CE304" s="364"/>
      <c r="CF304" s="364"/>
      <c r="CG304" s="364"/>
      <c r="CH304" s="364"/>
      <c r="CI304" s="364"/>
      <c r="CJ304" s="364"/>
      <c r="CK304" s="364"/>
      <c r="CL304" s="364"/>
      <c r="CM304" s="364"/>
      <c r="CN304" s="364"/>
      <c r="CO304" s="364"/>
      <c r="CP304" s="364"/>
      <c r="CQ304" s="364"/>
      <c r="CR304" s="364"/>
      <c r="CS304" s="364"/>
      <c r="CT304" s="364"/>
      <c r="CU304" s="364"/>
      <c r="CV304" s="364"/>
      <c r="CW304" s="364"/>
      <c r="CX304" s="364"/>
      <c r="CY304" s="364"/>
      <c r="CZ304" s="364"/>
      <c r="DA304" s="364"/>
      <c r="DB304" s="364"/>
      <c r="DC304" s="364"/>
      <c r="DD304" s="364"/>
      <c r="DE304" s="364"/>
      <c r="DF304" s="364"/>
      <c r="DG304" s="364"/>
      <c r="DH304" s="364"/>
      <c r="DI304" s="364"/>
      <c r="DJ304" s="364"/>
      <c r="DK304" s="364"/>
      <c r="DL304" s="364"/>
      <c r="DM304" s="364"/>
      <c r="DN304" s="364"/>
      <c r="DO304" s="364"/>
      <c r="DP304" s="364"/>
      <c r="DQ304" s="364"/>
      <c r="DR304" s="364"/>
      <c r="DS304" s="364"/>
      <c r="DT304" s="364"/>
      <c r="DU304" s="364"/>
      <c r="DV304" s="364"/>
      <c r="DW304" s="364"/>
      <c r="DX304" s="364"/>
      <c r="DY304" s="364"/>
      <c r="DZ304" s="364"/>
      <c r="EA304" s="364"/>
      <c r="EB304" s="364"/>
      <c r="EC304" s="364"/>
      <c r="ED304" s="364"/>
      <c r="EE304" s="364"/>
      <c r="EF304" s="364"/>
      <c r="EG304" s="364"/>
      <c r="EH304" s="364"/>
      <c r="EI304" s="364"/>
      <c r="EJ304" s="364"/>
      <c r="EK304" s="364"/>
      <c r="EL304" s="364"/>
      <c r="EM304" s="364"/>
      <c r="EN304" s="364"/>
      <c r="EO304" s="364"/>
      <c r="EP304" s="364"/>
      <c r="EQ304" s="364"/>
      <c r="ER304" s="364"/>
      <c r="ES304" s="364"/>
      <c r="ET304" s="364"/>
      <c r="EU304" s="364"/>
      <c r="EV304" s="364"/>
      <c r="EW304" s="364"/>
      <c r="EX304" s="364"/>
      <c r="EY304" s="364"/>
      <c r="EZ304" s="364"/>
      <c r="FA304" s="364"/>
      <c r="FB304" s="364"/>
      <c r="FC304" s="364"/>
      <c r="FD304" s="364"/>
      <c r="FE304" s="364"/>
      <c r="FF304" s="364"/>
      <c r="FG304" s="364"/>
      <c r="FH304" s="364"/>
      <c r="FI304" s="364"/>
      <c r="FJ304" s="364"/>
      <c r="FK304" s="364"/>
    </row>
    <row r="305" customFormat="false" ht="15.75" hidden="false" customHeight="false" outlineLevel="0" collapsed="false">
      <c r="A305" s="364" t="n">
        <v>574</v>
      </c>
      <c r="B305" s="364" t="n">
        <f aca="false">COUNTA(D305:FK305)</f>
        <v>89</v>
      </c>
      <c r="C305" s="364" t="s">
        <v>1496</v>
      </c>
      <c r="D305" s="364" t="s">
        <v>2352</v>
      </c>
      <c r="E305" s="364" t="s">
        <v>2561</v>
      </c>
      <c r="F305" s="364" t="s">
        <v>2402</v>
      </c>
      <c r="G305" s="364" t="s">
        <v>2403</v>
      </c>
      <c r="H305" s="364" t="s">
        <v>2355</v>
      </c>
      <c r="I305" s="364" t="s">
        <v>2405</v>
      </c>
      <c r="J305" s="364" t="s">
        <v>2356</v>
      </c>
      <c r="K305" s="364" t="s">
        <v>2406</v>
      </c>
      <c r="L305" s="364" t="s">
        <v>2313</v>
      </c>
      <c r="M305" s="364" t="s">
        <v>2314</v>
      </c>
      <c r="N305" s="364" t="s">
        <v>2464</v>
      </c>
      <c r="O305" s="364" t="s">
        <v>2315</v>
      </c>
      <c r="P305" s="364" t="s">
        <v>2409</v>
      </c>
      <c r="Q305" s="364" t="s">
        <v>2410</v>
      </c>
      <c r="R305" s="364" t="s">
        <v>2601</v>
      </c>
      <c r="S305" s="364" t="s">
        <v>2360</v>
      </c>
      <c r="T305" s="364" t="s">
        <v>2361</v>
      </c>
      <c r="U305" s="364" t="s">
        <v>2435</v>
      </c>
      <c r="V305" s="364" t="s">
        <v>2497</v>
      </c>
      <c r="W305" s="364" t="s">
        <v>2317</v>
      </c>
      <c r="X305" s="364" t="s">
        <v>2318</v>
      </c>
      <c r="Y305" s="364" t="s">
        <v>2319</v>
      </c>
      <c r="Z305" s="364" t="s">
        <v>2547</v>
      </c>
      <c r="AA305" s="364" t="s">
        <v>2320</v>
      </c>
      <c r="AB305" s="364" t="s">
        <v>2366</v>
      </c>
      <c r="AC305" s="364" t="s">
        <v>2373</v>
      </c>
      <c r="AD305" s="364" t="s">
        <v>2411</v>
      </c>
      <c r="AE305" s="364" t="s">
        <v>2375</v>
      </c>
      <c r="AF305" s="364" t="s">
        <v>2376</v>
      </c>
      <c r="AG305" s="364" t="s">
        <v>2322</v>
      </c>
      <c r="AH305" s="364" t="s">
        <v>2550</v>
      </c>
      <c r="AI305" s="364" t="s">
        <v>2323</v>
      </c>
      <c r="AJ305" s="364" t="s">
        <v>2324</v>
      </c>
      <c r="AK305" s="364" t="s">
        <v>2325</v>
      </c>
      <c r="AL305" s="364" t="s">
        <v>2327</v>
      </c>
      <c r="AM305" s="364" t="s">
        <v>2378</v>
      </c>
      <c r="AN305" s="364" t="s">
        <v>2328</v>
      </c>
      <c r="AO305" s="364" t="s">
        <v>2413</v>
      </c>
      <c r="AP305" s="364" t="s">
        <v>2329</v>
      </c>
      <c r="AQ305" s="364" t="s">
        <v>2521</v>
      </c>
      <c r="AR305" s="364" t="s">
        <v>2415</v>
      </c>
      <c r="AS305" s="364" t="s">
        <v>2417</v>
      </c>
      <c r="AT305" s="364" t="s">
        <v>2379</v>
      </c>
      <c r="AU305" s="364" t="s">
        <v>2506</v>
      </c>
      <c r="AV305" s="364" t="s">
        <v>2381</v>
      </c>
      <c r="AW305" s="364" t="s">
        <v>2686</v>
      </c>
      <c r="AX305" s="364" t="s">
        <v>2468</v>
      </c>
      <c r="AY305" s="364" t="s">
        <v>2418</v>
      </c>
      <c r="AZ305" s="261" t="s">
        <v>183</v>
      </c>
      <c r="BA305" s="364" t="s">
        <v>2385</v>
      </c>
      <c r="BB305" s="364" t="s">
        <v>2332</v>
      </c>
      <c r="BC305" s="364" t="s">
        <v>2386</v>
      </c>
      <c r="BD305" s="364" t="s">
        <v>2452</v>
      </c>
      <c r="BE305" s="364" t="s">
        <v>2454</v>
      </c>
      <c r="BF305" s="364" t="s">
        <v>157</v>
      </c>
      <c r="BG305" s="364" t="s">
        <v>2495</v>
      </c>
      <c r="BH305" s="364" t="s">
        <v>2337</v>
      </c>
      <c r="BI305" s="364" t="s">
        <v>2469</v>
      </c>
      <c r="BJ305" s="364" t="s">
        <v>2681</v>
      </c>
      <c r="BK305" s="364" t="s">
        <v>2338</v>
      </c>
      <c r="BL305" s="364" t="s">
        <v>2388</v>
      </c>
      <c r="BM305" s="364" t="s">
        <v>2339</v>
      </c>
      <c r="BN305" s="364" t="s">
        <v>2389</v>
      </c>
      <c r="BO305" s="364" t="s">
        <v>2340</v>
      </c>
      <c r="BP305" s="364" t="s">
        <v>2341</v>
      </c>
      <c r="BQ305" s="364" t="s">
        <v>2391</v>
      </c>
      <c r="BR305" s="364" t="s">
        <v>2442</v>
      </c>
      <c r="BS305" s="364" t="s">
        <v>2392</v>
      </c>
      <c r="BT305" s="364" t="s">
        <v>2684</v>
      </c>
      <c r="BU305" s="364" t="s">
        <v>2470</v>
      </c>
      <c r="BV305" s="364" t="s">
        <v>2422</v>
      </c>
      <c r="BW305" s="364" t="s">
        <v>2443</v>
      </c>
      <c r="BX305" s="364" t="s">
        <v>2343</v>
      </c>
      <c r="BY305" s="364" t="s">
        <v>2472</v>
      </c>
      <c r="BZ305" s="364" t="s">
        <v>2344</v>
      </c>
      <c r="CA305" s="364" t="s">
        <v>2345</v>
      </c>
      <c r="CB305" s="364" t="s">
        <v>2682</v>
      </c>
      <c r="CC305" s="364" t="s">
        <v>2500</v>
      </c>
      <c r="CD305" s="364" t="s">
        <v>2347</v>
      </c>
      <c r="CE305" s="364" t="s">
        <v>2424</v>
      </c>
      <c r="CF305" s="364" t="s">
        <v>2398</v>
      </c>
      <c r="CG305" s="364" t="s">
        <v>2475</v>
      </c>
      <c r="CH305" s="364" t="s">
        <v>2476</v>
      </c>
      <c r="CI305" s="364" t="s">
        <v>2400</v>
      </c>
      <c r="CJ305" s="364" t="s">
        <v>2425</v>
      </c>
      <c r="CK305" s="364" t="s">
        <v>2428</v>
      </c>
      <c r="CL305" s="364" t="s">
        <v>2429</v>
      </c>
      <c r="CM305" s="364" t="s">
        <v>2458</v>
      </c>
      <c r="CN305" s="364" t="s">
        <v>2430</v>
      </c>
      <c r="CO305" s="364"/>
      <c r="CP305" s="364"/>
      <c r="CQ305" s="364"/>
      <c r="CR305" s="364"/>
      <c r="CS305" s="364"/>
      <c r="CT305" s="364"/>
      <c r="CU305" s="364"/>
      <c r="CV305" s="364"/>
      <c r="CW305" s="364"/>
      <c r="CX305" s="364"/>
      <c r="CY305" s="364"/>
      <c r="CZ305" s="364"/>
      <c r="DA305" s="364"/>
      <c r="DB305" s="364"/>
      <c r="DC305" s="364"/>
      <c r="DD305" s="364"/>
      <c r="DE305" s="364"/>
      <c r="DF305" s="364"/>
      <c r="DG305" s="364"/>
      <c r="DH305" s="364"/>
      <c r="DI305" s="364"/>
      <c r="DJ305" s="364"/>
      <c r="DK305" s="364"/>
      <c r="DL305" s="364"/>
      <c r="DM305" s="364"/>
      <c r="DN305" s="364"/>
      <c r="DO305" s="364"/>
      <c r="DP305" s="364"/>
      <c r="DQ305" s="364"/>
      <c r="DR305" s="364"/>
      <c r="DS305" s="364"/>
      <c r="DT305" s="364"/>
      <c r="DU305" s="364"/>
      <c r="DV305" s="364"/>
      <c r="DW305" s="364"/>
      <c r="DX305" s="364"/>
      <c r="DY305" s="364"/>
      <c r="DZ305" s="364"/>
      <c r="EA305" s="364"/>
      <c r="EB305" s="364"/>
      <c r="EC305" s="364"/>
      <c r="ED305" s="364"/>
      <c r="EE305" s="364"/>
      <c r="EF305" s="364"/>
      <c r="EG305" s="364"/>
      <c r="EH305" s="364"/>
      <c r="EI305" s="364"/>
      <c r="EJ305" s="364"/>
      <c r="EK305" s="364"/>
      <c r="EL305" s="364"/>
      <c r="EM305" s="364"/>
      <c r="EN305" s="364"/>
      <c r="EO305" s="364"/>
      <c r="EP305" s="364"/>
      <c r="EQ305" s="364"/>
      <c r="ER305" s="364"/>
      <c r="ES305" s="364"/>
      <c r="ET305" s="364"/>
      <c r="EU305" s="364"/>
      <c r="EV305" s="364"/>
      <c r="EW305" s="364"/>
      <c r="EX305" s="364"/>
      <c r="EY305" s="364"/>
      <c r="EZ305" s="364"/>
      <c r="FA305" s="364"/>
      <c r="FB305" s="364"/>
      <c r="FC305" s="364"/>
      <c r="FD305" s="364"/>
      <c r="FE305" s="364"/>
      <c r="FF305" s="364"/>
      <c r="FG305" s="364"/>
      <c r="FH305" s="364"/>
      <c r="FI305" s="364"/>
      <c r="FJ305" s="364"/>
      <c r="FK305" s="364"/>
    </row>
    <row r="306" customFormat="false" ht="15.75" hidden="false" customHeight="false" outlineLevel="0" collapsed="false">
      <c r="A306" s="364" t="n">
        <v>592</v>
      </c>
      <c r="B306" s="364" t="n">
        <f aca="false">COUNTA(D306:FK306)</f>
        <v>54</v>
      </c>
      <c r="C306" s="364" t="s">
        <v>1533</v>
      </c>
      <c r="D306" s="364" t="s">
        <v>2687</v>
      </c>
      <c r="E306" s="364" t="s">
        <v>2688</v>
      </c>
      <c r="F306" s="364" t="s">
        <v>2516</v>
      </c>
      <c r="G306" s="364" t="s">
        <v>2356</v>
      </c>
      <c r="H306" s="364" t="s">
        <v>2464</v>
      </c>
      <c r="I306" s="364" t="s">
        <v>2434</v>
      </c>
      <c r="J306" s="364" t="s">
        <v>2517</v>
      </c>
      <c r="K306" s="364" t="s">
        <v>2316</v>
      </c>
      <c r="L306" s="364" t="s">
        <v>2319</v>
      </c>
      <c r="M306" s="364" t="s">
        <v>2320</v>
      </c>
      <c r="N306" s="364" t="s">
        <v>2544</v>
      </c>
      <c r="O306" s="364" t="s">
        <v>2366</v>
      </c>
      <c r="P306" s="364" t="s">
        <v>2369</v>
      </c>
      <c r="Q306" s="364" t="s">
        <v>2371</v>
      </c>
      <c r="R306" s="364" t="s">
        <v>2372</v>
      </c>
      <c r="S306" s="364" t="s">
        <v>2373</v>
      </c>
      <c r="T306" s="364" t="s">
        <v>2374</v>
      </c>
      <c r="U306" s="364" t="s">
        <v>2376</v>
      </c>
      <c r="V306" s="364" t="s">
        <v>2689</v>
      </c>
      <c r="W306" s="364" t="s">
        <v>2690</v>
      </c>
      <c r="X306" s="364" t="s">
        <v>2324</v>
      </c>
      <c r="Y306" s="364" t="s">
        <v>2691</v>
      </c>
      <c r="Z306" s="364" t="s">
        <v>2325</v>
      </c>
      <c r="AA306" s="364" t="s">
        <v>2327</v>
      </c>
      <c r="AB306" s="364" t="s">
        <v>2378</v>
      </c>
      <c r="AC306" s="364" t="s">
        <v>2328</v>
      </c>
      <c r="AD306" s="364" t="s">
        <v>2329</v>
      </c>
      <c r="AE306" s="364" t="s">
        <v>2379</v>
      </c>
      <c r="AF306" s="364" t="s">
        <v>2380</v>
      </c>
      <c r="AG306" s="364" t="s">
        <v>2468</v>
      </c>
      <c r="AH306" s="364" t="s">
        <v>2386</v>
      </c>
      <c r="AI306" s="364" t="s">
        <v>2387</v>
      </c>
      <c r="AJ306" s="364" t="s">
        <v>157</v>
      </c>
      <c r="AK306" s="364" t="s">
        <v>2495</v>
      </c>
      <c r="AL306" s="364" t="s">
        <v>2461</v>
      </c>
      <c r="AM306" s="364" t="s">
        <v>2337</v>
      </c>
      <c r="AN306" s="364" t="s">
        <v>2339</v>
      </c>
      <c r="AO306" s="364" t="s">
        <v>2340</v>
      </c>
      <c r="AP306" s="364" t="s">
        <v>2692</v>
      </c>
      <c r="AQ306" s="364" t="s">
        <v>2341</v>
      </c>
      <c r="AR306" s="364" t="s">
        <v>2442</v>
      </c>
      <c r="AS306" s="364" t="s">
        <v>2470</v>
      </c>
      <c r="AT306" s="364" t="s">
        <v>2422</v>
      </c>
      <c r="AU306" s="364" t="s">
        <v>2344</v>
      </c>
      <c r="AV306" s="364" t="s">
        <v>2345</v>
      </c>
      <c r="AW306" s="364" t="s">
        <v>2641</v>
      </c>
      <c r="AX306" s="364" t="s">
        <v>2475</v>
      </c>
      <c r="AY306" s="364" t="s">
        <v>2476</v>
      </c>
      <c r="AZ306" s="364" t="s">
        <v>2399</v>
      </c>
      <c r="BA306" s="364" t="s">
        <v>2463</v>
      </c>
      <c r="BB306" s="364" t="s">
        <v>2446</v>
      </c>
      <c r="BC306" s="364" t="s">
        <v>2668</v>
      </c>
      <c r="BD306" s="364" t="s">
        <v>2477</v>
      </c>
      <c r="BE306" s="364" t="s">
        <v>2430</v>
      </c>
      <c r="BF306" s="364"/>
      <c r="BG306" s="364"/>
      <c r="BH306" s="364"/>
      <c r="BI306" s="364"/>
      <c r="BJ306" s="364"/>
      <c r="BK306" s="364"/>
      <c r="BL306" s="364"/>
      <c r="BM306" s="364"/>
      <c r="BN306" s="364"/>
      <c r="BO306" s="364"/>
      <c r="BP306" s="364"/>
      <c r="BQ306" s="364"/>
      <c r="BR306" s="364"/>
      <c r="BS306" s="364"/>
      <c r="BT306" s="364"/>
      <c r="BU306" s="364"/>
      <c r="BV306" s="364"/>
      <c r="BW306" s="364"/>
      <c r="BX306" s="364"/>
      <c r="BY306" s="364"/>
      <c r="BZ306" s="364"/>
      <c r="CA306" s="364"/>
      <c r="CB306" s="364"/>
      <c r="CC306" s="364"/>
      <c r="CD306" s="364"/>
      <c r="CE306" s="364"/>
      <c r="CF306" s="364"/>
      <c r="CG306" s="364"/>
      <c r="CH306" s="364"/>
      <c r="CI306" s="364"/>
      <c r="CJ306" s="364"/>
      <c r="CK306" s="364"/>
      <c r="CL306" s="364"/>
      <c r="CM306" s="364"/>
      <c r="CN306" s="364"/>
      <c r="CO306" s="364"/>
      <c r="CP306" s="364"/>
      <c r="CQ306" s="364"/>
      <c r="CR306" s="364"/>
      <c r="CS306" s="364"/>
      <c r="CT306" s="364"/>
      <c r="CU306" s="364"/>
      <c r="CV306" s="364"/>
      <c r="CW306" s="364"/>
      <c r="CX306" s="364"/>
      <c r="CY306" s="364"/>
      <c r="CZ306" s="364"/>
      <c r="DA306" s="364"/>
      <c r="DB306" s="364"/>
      <c r="DC306" s="364"/>
      <c r="DD306" s="364"/>
      <c r="DE306" s="364"/>
      <c r="DF306" s="364"/>
      <c r="DG306" s="364"/>
      <c r="DH306" s="364"/>
      <c r="DI306" s="364"/>
      <c r="DJ306" s="364"/>
      <c r="DK306" s="364"/>
      <c r="DL306" s="364"/>
      <c r="DM306" s="364"/>
      <c r="DN306" s="364"/>
      <c r="DO306" s="364"/>
      <c r="DP306" s="364"/>
      <c r="DQ306" s="364"/>
      <c r="DR306" s="364"/>
      <c r="DS306" s="364"/>
      <c r="DT306" s="364"/>
      <c r="DU306" s="364"/>
      <c r="DV306" s="364"/>
      <c r="DW306" s="364"/>
      <c r="DX306" s="364"/>
      <c r="DY306" s="364"/>
      <c r="DZ306" s="364"/>
      <c r="EA306" s="364"/>
      <c r="EB306" s="364"/>
      <c r="EC306" s="364"/>
      <c r="ED306" s="364"/>
      <c r="EE306" s="364"/>
      <c r="EF306" s="364"/>
      <c r="EG306" s="364"/>
      <c r="EH306" s="364"/>
      <c r="EI306" s="364"/>
      <c r="EJ306" s="364"/>
      <c r="EK306" s="364"/>
      <c r="EL306" s="364"/>
      <c r="EM306" s="364"/>
      <c r="EN306" s="364"/>
      <c r="EO306" s="364"/>
      <c r="EP306" s="364"/>
      <c r="EQ306" s="364"/>
      <c r="ER306" s="364"/>
      <c r="ES306" s="364"/>
      <c r="ET306" s="364"/>
      <c r="EU306" s="364"/>
      <c r="EV306" s="364"/>
      <c r="EW306" s="364"/>
      <c r="EX306" s="364"/>
      <c r="EY306" s="364"/>
      <c r="EZ306" s="364"/>
      <c r="FA306" s="364"/>
      <c r="FB306" s="364"/>
      <c r="FC306" s="364"/>
      <c r="FD306" s="364"/>
      <c r="FE306" s="364"/>
      <c r="FF306" s="364"/>
      <c r="FG306" s="364"/>
      <c r="FH306" s="364"/>
      <c r="FI306" s="364"/>
      <c r="FJ306" s="364"/>
      <c r="FK306" s="364"/>
    </row>
    <row r="307" customFormat="false" ht="15.75" hidden="false" customHeight="false" outlineLevel="0" collapsed="false">
      <c r="A307" s="364" t="n">
        <v>595</v>
      </c>
      <c r="B307" s="364" t="n">
        <f aca="false">COUNTA(D307:FK307)</f>
        <v>36</v>
      </c>
      <c r="C307" s="364" t="s">
        <v>1539</v>
      </c>
      <c r="D307" s="364" t="s">
        <v>2352</v>
      </c>
      <c r="E307" s="364" t="s">
        <v>2402</v>
      </c>
      <c r="F307" s="364" t="s">
        <v>2311</v>
      </c>
      <c r="G307" s="364" t="s">
        <v>2357</v>
      </c>
      <c r="H307" s="364" t="s">
        <v>2315</v>
      </c>
      <c r="I307" s="364" t="s">
        <v>2361</v>
      </c>
      <c r="J307" s="364" t="s">
        <v>2363</v>
      </c>
      <c r="K307" s="364" t="s">
        <v>2319</v>
      </c>
      <c r="L307" s="364" t="s">
        <v>2320</v>
      </c>
      <c r="M307" s="364" t="s">
        <v>2321</v>
      </c>
      <c r="N307" s="364" t="s">
        <v>2323</v>
      </c>
      <c r="O307" s="364" t="s">
        <v>2324</v>
      </c>
      <c r="P307" s="364" t="s">
        <v>2325</v>
      </c>
      <c r="Q307" s="364" t="s">
        <v>2326</v>
      </c>
      <c r="R307" s="364" t="s">
        <v>2328</v>
      </c>
      <c r="S307" s="364" t="s">
        <v>2654</v>
      </c>
      <c r="T307" s="364" t="s">
        <v>2329</v>
      </c>
      <c r="U307" s="364" t="s">
        <v>2381</v>
      </c>
      <c r="V307" s="364" t="s">
        <v>2330</v>
      </c>
      <c r="W307" s="364" t="s">
        <v>2556</v>
      </c>
      <c r="X307" s="364" t="s">
        <v>2557</v>
      </c>
      <c r="Y307" s="364" t="s">
        <v>2558</v>
      </c>
      <c r="Z307" s="364" t="s">
        <v>2331</v>
      </c>
      <c r="AA307" s="364" t="s">
        <v>2332</v>
      </c>
      <c r="AB307" s="364" t="s">
        <v>2337</v>
      </c>
      <c r="AC307" s="364" t="s">
        <v>2339</v>
      </c>
      <c r="AD307" s="364" t="s">
        <v>2340</v>
      </c>
      <c r="AE307" s="364" t="s">
        <v>2341</v>
      </c>
      <c r="AF307" s="364" t="s">
        <v>2342</v>
      </c>
      <c r="AG307" s="364" t="s">
        <v>2591</v>
      </c>
      <c r="AH307" s="364" t="s">
        <v>2344</v>
      </c>
      <c r="AI307" s="364" t="s">
        <v>2345</v>
      </c>
      <c r="AJ307" s="364" t="s">
        <v>2347</v>
      </c>
      <c r="AK307" s="364" t="s">
        <v>2348</v>
      </c>
      <c r="AL307" s="364" t="s">
        <v>2351</v>
      </c>
      <c r="AM307" s="364" t="s">
        <v>2489</v>
      </c>
      <c r="AN307" s="364"/>
      <c r="AO307" s="364"/>
      <c r="AP307" s="364"/>
      <c r="AQ307" s="364"/>
      <c r="AR307" s="364"/>
      <c r="AS307" s="364"/>
      <c r="AT307" s="364"/>
      <c r="AU307" s="364"/>
      <c r="AV307" s="364"/>
      <c r="AW307" s="364"/>
      <c r="AX307" s="364"/>
      <c r="AY307" s="364"/>
      <c r="AZ307" s="364"/>
      <c r="BA307" s="364"/>
      <c r="BB307" s="364"/>
      <c r="BC307" s="364"/>
      <c r="BD307" s="364"/>
      <c r="BE307" s="364"/>
      <c r="BF307" s="364"/>
      <c r="BG307" s="364"/>
      <c r="BH307" s="364"/>
      <c r="BI307" s="364"/>
      <c r="BJ307" s="364"/>
      <c r="BK307" s="364"/>
      <c r="BL307" s="364"/>
      <c r="BM307" s="364"/>
      <c r="BN307" s="364"/>
      <c r="BO307" s="364"/>
      <c r="BP307" s="364"/>
      <c r="BQ307" s="364"/>
      <c r="BR307" s="364"/>
      <c r="BS307" s="364"/>
      <c r="BT307" s="364"/>
      <c r="BU307" s="364"/>
      <c r="BV307" s="364"/>
      <c r="BW307" s="364"/>
      <c r="BX307" s="364"/>
      <c r="BY307" s="364"/>
      <c r="BZ307" s="364"/>
      <c r="CA307" s="364"/>
      <c r="CB307" s="364"/>
      <c r="CC307" s="364"/>
      <c r="CD307" s="364"/>
      <c r="CE307" s="364"/>
      <c r="CF307" s="364"/>
      <c r="CG307" s="364"/>
      <c r="CH307" s="364"/>
      <c r="CI307" s="364"/>
      <c r="CJ307" s="364"/>
      <c r="CK307" s="364"/>
      <c r="CL307" s="364"/>
      <c r="CM307" s="364"/>
      <c r="CN307" s="364"/>
      <c r="CO307" s="364"/>
      <c r="CP307" s="364"/>
      <c r="CQ307" s="364"/>
      <c r="CR307" s="364"/>
      <c r="CS307" s="364"/>
      <c r="CT307" s="364"/>
      <c r="CU307" s="364"/>
      <c r="CV307" s="364"/>
      <c r="CW307" s="364"/>
      <c r="CX307" s="364"/>
      <c r="CY307" s="364"/>
      <c r="CZ307" s="364"/>
      <c r="DA307" s="364"/>
      <c r="DB307" s="364"/>
      <c r="DC307" s="364"/>
      <c r="DD307" s="364"/>
      <c r="DE307" s="364"/>
      <c r="DF307" s="364"/>
      <c r="DG307" s="364"/>
      <c r="DH307" s="364"/>
      <c r="DI307" s="364"/>
      <c r="DJ307" s="364"/>
      <c r="DK307" s="364"/>
      <c r="DL307" s="364"/>
      <c r="DM307" s="364"/>
      <c r="DN307" s="364"/>
      <c r="DO307" s="364"/>
      <c r="DP307" s="364"/>
      <c r="DQ307" s="364"/>
      <c r="DR307" s="364"/>
      <c r="DS307" s="364"/>
      <c r="DT307" s="364"/>
      <c r="DU307" s="364"/>
      <c r="DV307" s="364"/>
      <c r="DW307" s="364"/>
      <c r="DX307" s="364"/>
      <c r="DY307" s="364"/>
      <c r="DZ307" s="364"/>
      <c r="EA307" s="364"/>
      <c r="EB307" s="364"/>
      <c r="EC307" s="364"/>
      <c r="ED307" s="364"/>
      <c r="EE307" s="364"/>
      <c r="EF307" s="364"/>
      <c r="EG307" s="364"/>
      <c r="EH307" s="364"/>
      <c r="EI307" s="364"/>
      <c r="EJ307" s="364"/>
      <c r="EK307" s="364"/>
      <c r="EL307" s="364"/>
      <c r="EM307" s="364"/>
      <c r="EN307" s="364"/>
      <c r="EO307" s="364"/>
      <c r="EP307" s="364"/>
      <c r="EQ307" s="364"/>
      <c r="ER307" s="364"/>
      <c r="ES307" s="364"/>
      <c r="ET307" s="364"/>
      <c r="EU307" s="364"/>
      <c r="EV307" s="364"/>
      <c r="EW307" s="364"/>
      <c r="EX307" s="364"/>
      <c r="EY307" s="364"/>
      <c r="EZ307" s="364"/>
      <c r="FA307" s="364"/>
      <c r="FB307" s="364"/>
      <c r="FC307" s="364"/>
      <c r="FD307" s="364"/>
      <c r="FE307" s="364"/>
      <c r="FF307" s="364"/>
      <c r="FG307" s="364"/>
      <c r="FH307" s="364"/>
      <c r="FI307" s="364"/>
      <c r="FJ307" s="364"/>
      <c r="FK307" s="364"/>
    </row>
    <row r="308" customFormat="false" ht="15.75" hidden="false" customHeight="false" outlineLevel="0" collapsed="false">
      <c r="A308" s="364" t="n">
        <v>598</v>
      </c>
      <c r="B308" s="364" t="n">
        <f aca="false">COUNTA(D308:FK308)</f>
        <v>57</v>
      </c>
      <c r="C308" s="364" t="s">
        <v>1545</v>
      </c>
      <c r="D308" s="364" t="s">
        <v>2647</v>
      </c>
      <c r="E308" s="364" t="s">
        <v>2447</v>
      </c>
      <c r="F308" s="364" t="s">
        <v>2355</v>
      </c>
      <c r="G308" s="364" t="s">
        <v>2356</v>
      </c>
      <c r="H308" s="364" t="s">
        <v>2313</v>
      </c>
      <c r="I308" s="364" t="s">
        <v>2465</v>
      </c>
      <c r="J308" s="364" t="s">
        <v>2317</v>
      </c>
      <c r="K308" s="364" t="s">
        <v>2318</v>
      </c>
      <c r="L308" s="364" t="s">
        <v>2365</v>
      </c>
      <c r="M308" s="364" t="s">
        <v>2448</v>
      </c>
      <c r="N308" s="364" t="s">
        <v>2320</v>
      </c>
      <c r="O308" s="364" t="s">
        <v>2366</v>
      </c>
      <c r="P308" s="364" t="s">
        <v>2368</v>
      </c>
      <c r="Q308" s="364" t="s">
        <v>2369</v>
      </c>
      <c r="R308" s="364" t="s">
        <v>2372</v>
      </c>
      <c r="S308" s="364" t="s">
        <v>2373</v>
      </c>
      <c r="T308" s="364" t="s">
        <v>2374</v>
      </c>
      <c r="U308" s="364" t="s">
        <v>2376</v>
      </c>
      <c r="V308" s="364" t="s">
        <v>2377</v>
      </c>
      <c r="W308" s="364" t="s">
        <v>2324</v>
      </c>
      <c r="X308" s="364" t="s">
        <v>2325</v>
      </c>
      <c r="Y308" s="364" t="s">
        <v>2412</v>
      </c>
      <c r="Z308" s="364" t="s">
        <v>2614</v>
      </c>
      <c r="AA308" s="364" t="s">
        <v>2642</v>
      </c>
      <c r="AB308" s="364" t="s">
        <v>2378</v>
      </c>
      <c r="AC308" s="364" t="s">
        <v>2328</v>
      </c>
      <c r="AD308" s="364" t="s">
        <v>2654</v>
      </c>
      <c r="AE308" s="364" t="s">
        <v>2329</v>
      </c>
      <c r="AF308" s="364" t="s">
        <v>2379</v>
      </c>
      <c r="AG308" s="364" t="s">
        <v>2506</v>
      </c>
      <c r="AH308" s="364" t="s">
        <v>2381</v>
      </c>
      <c r="AI308" s="364" t="s">
        <v>2539</v>
      </c>
      <c r="AJ308" s="364" t="s">
        <v>2540</v>
      </c>
      <c r="AK308" s="364" t="s">
        <v>2386</v>
      </c>
      <c r="AL308" s="364" t="s">
        <v>2454</v>
      </c>
      <c r="AM308" s="364" t="s">
        <v>2387</v>
      </c>
      <c r="AN308" s="364" t="s">
        <v>2337</v>
      </c>
      <c r="AO308" s="364" t="s">
        <v>2388</v>
      </c>
      <c r="AP308" s="364" t="s">
        <v>2339</v>
      </c>
      <c r="AQ308" s="364" t="s">
        <v>2389</v>
      </c>
      <c r="AR308" s="364" t="s">
        <v>2420</v>
      </c>
      <c r="AS308" s="364" t="s">
        <v>2340</v>
      </c>
      <c r="AT308" s="364" t="s">
        <v>2421</v>
      </c>
      <c r="AU308" s="364" t="s">
        <v>2341</v>
      </c>
      <c r="AV308" s="364" t="s">
        <v>2423</v>
      </c>
      <c r="AW308" s="364" t="s">
        <v>2619</v>
      </c>
      <c r="AX308" s="364" t="s">
        <v>2344</v>
      </c>
      <c r="AY308" s="364" t="s">
        <v>2345</v>
      </c>
      <c r="AZ308" s="364" t="s">
        <v>2346</v>
      </c>
      <c r="BA308" s="364" t="s">
        <v>2500</v>
      </c>
      <c r="BB308" s="364" t="s">
        <v>2347</v>
      </c>
      <c r="BC308" s="364" t="s">
        <v>2511</v>
      </c>
      <c r="BD308" s="364" t="s">
        <v>2348</v>
      </c>
      <c r="BE308" s="364" t="s">
        <v>2349</v>
      </c>
      <c r="BF308" s="364" t="s">
        <v>2399</v>
      </c>
      <c r="BG308" s="364" t="s">
        <v>2477</v>
      </c>
      <c r="BH308" s="364" t="s">
        <v>2430</v>
      </c>
      <c r="BI308" s="364"/>
      <c r="BJ308" s="364"/>
      <c r="BK308" s="364"/>
      <c r="BL308" s="364"/>
      <c r="BM308" s="364"/>
      <c r="BN308" s="364"/>
      <c r="BO308" s="364"/>
      <c r="BP308" s="364"/>
      <c r="BQ308" s="364"/>
      <c r="BR308" s="364"/>
      <c r="BS308" s="364"/>
      <c r="BT308" s="364"/>
      <c r="BU308" s="364"/>
      <c r="BV308" s="364"/>
      <c r="BW308" s="364"/>
      <c r="BX308" s="364"/>
      <c r="BY308" s="364"/>
      <c r="BZ308" s="364"/>
      <c r="CA308" s="364"/>
      <c r="CB308" s="364"/>
      <c r="CC308" s="364"/>
      <c r="CD308" s="364"/>
      <c r="CE308" s="364"/>
      <c r="CF308" s="364"/>
      <c r="CG308" s="364"/>
      <c r="CH308" s="364"/>
      <c r="CI308" s="364"/>
      <c r="CJ308" s="364"/>
      <c r="CK308" s="364"/>
      <c r="CL308" s="364"/>
      <c r="CM308" s="364"/>
      <c r="CN308" s="364"/>
      <c r="CO308" s="364"/>
      <c r="CP308" s="364"/>
      <c r="CQ308" s="364"/>
      <c r="CR308" s="364"/>
      <c r="CS308" s="364"/>
      <c r="CT308" s="364"/>
      <c r="CU308" s="364"/>
      <c r="CV308" s="364"/>
      <c r="CW308" s="364"/>
      <c r="CX308" s="364"/>
      <c r="CY308" s="364"/>
      <c r="CZ308" s="364"/>
      <c r="DA308" s="364"/>
      <c r="DB308" s="364"/>
      <c r="DC308" s="364"/>
      <c r="DD308" s="364"/>
      <c r="DE308" s="364"/>
      <c r="DF308" s="364"/>
      <c r="DG308" s="364"/>
      <c r="DH308" s="364"/>
      <c r="DI308" s="364"/>
      <c r="DJ308" s="364"/>
      <c r="DK308" s="364"/>
      <c r="DL308" s="364"/>
      <c r="DM308" s="364"/>
      <c r="DN308" s="364"/>
      <c r="DO308" s="364"/>
      <c r="DP308" s="364"/>
      <c r="DQ308" s="364"/>
      <c r="DR308" s="364"/>
      <c r="DS308" s="364"/>
      <c r="DT308" s="364"/>
      <c r="DU308" s="364"/>
      <c r="DV308" s="364"/>
      <c r="DW308" s="364"/>
      <c r="DX308" s="364"/>
      <c r="DY308" s="364"/>
      <c r="DZ308" s="364"/>
      <c r="EA308" s="364"/>
      <c r="EB308" s="364"/>
      <c r="EC308" s="364"/>
      <c r="ED308" s="364"/>
      <c r="EE308" s="364"/>
      <c r="EF308" s="364"/>
      <c r="EG308" s="364"/>
      <c r="EH308" s="364"/>
      <c r="EI308" s="364"/>
      <c r="EJ308" s="364"/>
      <c r="EK308" s="364"/>
      <c r="EL308" s="364"/>
      <c r="EM308" s="364"/>
      <c r="EN308" s="364"/>
      <c r="EO308" s="364"/>
      <c r="EP308" s="364"/>
      <c r="EQ308" s="364"/>
      <c r="ER308" s="364"/>
      <c r="ES308" s="364"/>
      <c r="ET308" s="364"/>
      <c r="EU308" s="364"/>
      <c r="EV308" s="364"/>
      <c r="EW308" s="364"/>
      <c r="EX308" s="364"/>
      <c r="EY308" s="364"/>
      <c r="EZ308" s="364"/>
      <c r="FA308" s="364"/>
      <c r="FB308" s="364"/>
      <c r="FC308" s="364"/>
      <c r="FD308" s="364"/>
      <c r="FE308" s="364"/>
      <c r="FF308" s="364"/>
      <c r="FG308" s="364"/>
      <c r="FH308" s="364"/>
      <c r="FI308" s="364"/>
      <c r="FJ308" s="364"/>
      <c r="FK308" s="364"/>
    </row>
    <row r="309" customFormat="false" ht="15.75" hidden="false" customHeight="false" outlineLevel="0" collapsed="false">
      <c r="A309" s="364" t="n">
        <v>601</v>
      </c>
      <c r="B309" s="364" t="n">
        <f aca="false">COUNTA(D309:FK309)</f>
        <v>45</v>
      </c>
      <c r="C309" s="364" t="s">
        <v>1551</v>
      </c>
      <c r="D309" s="364" t="s">
        <v>2352</v>
      </c>
      <c r="E309" s="364" t="s">
        <v>2538</v>
      </c>
      <c r="F309" s="364" t="s">
        <v>2402</v>
      </c>
      <c r="G309" s="364" t="s">
        <v>2405</v>
      </c>
      <c r="H309" s="364" t="s">
        <v>2465</v>
      </c>
      <c r="I309" s="364" t="s">
        <v>2315</v>
      </c>
      <c r="J309" s="364" t="s">
        <v>2358</v>
      </c>
      <c r="K309" s="364" t="s">
        <v>2410</v>
      </c>
      <c r="L309" s="364" t="s">
        <v>2363</v>
      </c>
      <c r="M309" s="364" t="s">
        <v>2320</v>
      </c>
      <c r="N309" s="364" t="s">
        <v>2449</v>
      </c>
      <c r="O309" s="364" t="s">
        <v>2322</v>
      </c>
      <c r="P309" s="364" t="s">
        <v>2324</v>
      </c>
      <c r="Q309" s="364" t="s">
        <v>2325</v>
      </c>
      <c r="R309" s="364" t="s">
        <v>2328</v>
      </c>
      <c r="S309" s="364" t="s">
        <v>2654</v>
      </c>
      <c r="T309" s="364" t="s">
        <v>2413</v>
      </c>
      <c r="U309" s="364" t="s">
        <v>2414</v>
      </c>
      <c r="V309" s="364" t="s">
        <v>2329</v>
      </c>
      <c r="W309" s="364" t="s">
        <v>2415</v>
      </c>
      <c r="X309" s="364" t="s">
        <v>2417</v>
      </c>
      <c r="Y309" s="364" t="s">
        <v>2381</v>
      </c>
      <c r="Z309" s="364" t="s">
        <v>2330</v>
      </c>
      <c r="AA309" s="364" t="s">
        <v>2418</v>
      </c>
      <c r="AB309" s="364" t="s">
        <v>2513</v>
      </c>
      <c r="AC309" s="364" t="s">
        <v>2586</v>
      </c>
      <c r="AD309" s="364" t="s">
        <v>2337</v>
      </c>
      <c r="AE309" s="364" t="s">
        <v>2469</v>
      </c>
      <c r="AF309" s="364" t="s">
        <v>2553</v>
      </c>
      <c r="AG309" s="364" t="s">
        <v>2339</v>
      </c>
      <c r="AH309" s="364" t="s">
        <v>2340</v>
      </c>
      <c r="AI309" s="364" t="s">
        <v>2421</v>
      </c>
      <c r="AJ309" s="364" t="s">
        <v>2341</v>
      </c>
      <c r="AK309" s="364" t="s">
        <v>2395</v>
      </c>
      <c r="AL309" s="364" t="s">
        <v>2514</v>
      </c>
      <c r="AM309" s="364" t="s">
        <v>2344</v>
      </c>
      <c r="AN309" s="364" t="s">
        <v>2347</v>
      </c>
      <c r="AO309" s="364" t="s">
        <v>2511</v>
      </c>
      <c r="AP309" s="364" t="s">
        <v>2424</v>
      </c>
      <c r="AQ309" s="364" t="s">
        <v>2348</v>
      </c>
      <c r="AR309" s="364" t="s">
        <v>2425</v>
      </c>
      <c r="AS309" s="364" t="s">
        <v>2426</v>
      </c>
      <c r="AT309" s="364" t="s">
        <v>2427</v>
      </c>
      <c r="AU309" s="364" t="s">
        <v>2428</v>
      </c>
      <c r="AV309" s="364" t="s">
        <v>2458</v>
      </c>
      <c r="AW309" s="364"/>
      <c r="AX309" s="364"/>
      <c r="AY309" s="364"/>
      <c r="AZ309" s="364"/>
      <c r="BA309" s="364"/>
      <c r="BB309" s="364"/>
      <c r="BC309" s="364"/>
      <c r="BD309" s="364"/>
      <c r="BE309" s="364"/>
      <c r="BF309" s="364"/>
      <c r="BG309" s="364"/>
      <c r="BH309" s="364"/>
      <c r="BI309" s="364"/>
      <c r="BJ309" s="364"/>
      <c r="BK309" s="364"/>
      <c r="BL309" s="364"/>
      <c r="BM309" s="364"/>
      <c r="BN309" s="364"/>
      <c r="BO309" s="364"/>
      <c r="BP309" s="364"/>
      <c r="BQ309" s="364"/>
      <c r="BR309" s="364"/>
      <c r="BS309" s="364"/>
      <c r="BT309" s="364"/>
      <c r="BU309" s="364"/>
      <c r="BV309" s="364"/>
      <c r="BW309" s="364"/>
      <c r="BX309" s="364"/>
      <c r="BY309" s="364"/>
      <c r="BZ309" s="364"/>
      <c r="CA309" s="364"/>
      <c r="CB309" s="364"/>
      <c r="CC309" s="364"/>
      <c r="CD309" s="364"/>
      <c r="CE309" s="364"/>
      <c r="CF309" s="364"/>
      <c r="CG309" s="364"/>
      <c r="CH309" s="364"/>
      <c r="CI309" s="364"/>
      <c r="CJ309" s="364"/>
      <c r="CK309" s="364"/>
      <c r="CL309" s="364"/>
      <c r="CM309" s="364"/>
      <c r="CN309" s="364"/>
      <c r="CO309" s="364"/>
      <c r="CP309" s="364"/>
      <c r="CQ309" s="364"/>
      <c r="CR309" s="364"/>
      <c r="CS309" s="364"/>
      <c r="CT309" s="364"/>
      <c r="CU309" s="364"/>
      <c r="CV309" s="364"/>
      <c r="CW309" s="364"/>
      <c r="CX309" s="364"/>
      <c r="CY309" s="364"/>
      <c r="CZ309" s="364"/>
      <c r="DA309" s="364"/>
      <c r="DB309" s="364"/>
      <c r="DC309" s="364"/>
      <c r="DD309" s="364"/>
      <c r="DE309" s="364"/>
      <c r="DF309" s="364"/>
      <c r="DG309" s="364"/>
      <c r="DH309" s="364"/>
      <c r="DI309" s="364"/>
      <c r="DJ309" s="364"/>
      <c r="DK309" s="364"/>
      <c r="DL309" s="364"/>
      <c r="DM309" s="364"/>
      <c r="DN309" s="364"/>
      <c r="DO309" s="364"/>
      <c r="DP309" s="364"/>
      <c r="DQ309" s="364"/>
      <c r="DR309" s="364"/>
      <c r="DS309" s="364"/>
      <c r="DT309" s="364"/>
      <c r="DU309" s="364"/>
      <c r="DV309" s="364"/>
      <c r="DW309" s="364"/>
      <c r="DX309" s="364"/>
      <c r="DY309" s="364"/>
      <c r="DZ309" s="364"/>
      <c r="EA309" s="364"/>
      <c r="EB309" s="364"/>
      <c r="EC309" s="364"/>
      <c r="ED309" s="364"/>
      <c r="EE309" s="364"/>
      <c r="EF309" s="364"/>
      <c r="EG309" s="364"/>
      <c r="EH309" s="364"/>
      <c r="EI309" s="364"/>
      <c r="EJ309" s="364"/>
      <c r="EK309" s="364"/>
      <c r="EL309" s="364"/>
      <c r="EM309" s="364"/>
      <c r="EN309" s="364"/>
      <c r="EO309" s="364"/>
      <c r="EP309" s="364"/>
      <c r="EQ309" s="364"/>
      <c r="ER309" s="364"/>
      <c r="ES309" s="364"/>
      <c r="ET309" s="364"/>
      <c r="EU309" s="364"/>
      <c r="EV309" s="364"/>
      <c r="EW309" s="364"/>
      <c r="EX309" s="364"/>
      <c r="EY309" s="364"/>
      <c r="EZ309" s="364"/>
      <c r="FA309" s="364"/>
      <c r="FB309" s="364"/>
      <c r="FC309" s="364"/>
      <c r="FD309" s="364"/>
      <c r="FE309" s="364"/>
      <c r="FF309" s="364"/>
      <c r="FG309" s="364"/>
      <c r="FH309" s="364"/>
      <c r="FI309" s="364"/>
      <c r="FJ309" s="364"/>
      <c r="FK309" s="364"/>
    </row>
    <row r="310" customFormat="false" ht="15.75" hidden="false" customHeight="false" outlineLevel="0" collapsed="false">
      <c r="A310" s="364" t="n">
        <v>603</v>
      </c>
      <c r="B310" s="364" t="n">
        <f aca="false">COUNTA(D310:FK310)</f>
        <v>45</v>
      </c>
      <c r="C310" s="364" t="s">
        <v>1555</v>
      </c>
      <c r="D310" s="364" t="s">
        <v>2402</v>
      </c>
      <c r="E310" s="364" t="s">
        <v>2310</v>
      </c>
      <c r="F310" s="364" t="s">
        <v>2404</v>
      </c>
      <c r="G310" s="364" t="s">
        <v>2465</v>
      </c>
      <c r="H310" s="364" t="s">
        <v>2466</v>
      </c>
      <c r="I310" s="364" t="s">
        <v>2315</v>
      </c>
      <c r="J310" s="364" t="s">
        <v>2358</v>
      </c>
      <c r="K310" s="364" t="s">
        <v>2435</v>
      </c>
      <c r="L310" s="364" t="s">
        <v>2448</v>
      </c>
      <c r="M310" s="364" t="s">
        <v>2320</v>
      </c>
      <c r="N310" s="364" t="s">
        <v>2369</v>
      </c>
      <c r="O310" s="364" t="s">
        <v>2373</v>
      </c>
      <c r="P310" s="364" t="s">
        <v>2376</v>
      </c>
      <c r="Q310" s="364" t="s">
        <v>2377</v>
      </c>
      <c r="R310" s="364" t="s">
        <v>2324</v>
      </c>
      <c r="S310" s="364" t="s">
        <v>2325</v>
      </c>
      <c r="T310" s="364" t="s">
        <v>2484</v>
      </c>
      <c r="U310" s="364" t="s">
        <v>2328</v>
      </c>
      <c r="V310" s="364" t="s">
        <v>2329</v>
      </c>
      <c r="W310" s="364" t="s">
        <v>2467</v>
      </c>
      <c r="X310" s="364" t="s">
        <v>2416</v>
      </c>
      <c r="Y310" s="364" t="s">
        <v>2381</v>
      </c>
      <c r="Z310" s="364" t="s">
        <v>2330</v>
      </c>
      <c r="AA310" s="364" t="s">
        <v>2468</v>
      </c>
      <c r="AB310" s="364" t="s">
        <v>2539</v>
      </c>
      <c r="AC310" s="364" t="s">
        <v>2387</v>
      </c>
      <c r="AD310" s="364" t="s">
        <v>2337</v>
      </c>
      <c r="AE310" s="364" t="s">
        <v>2469</v>
      </c>
      <c r="AF310" s="364" t="s">
        <v>2339</v>
      </c>
      <c r="AG310" s="364" t="s">
        <v>2340</v>
      </c>
      <c r="AH310" s="364" t="s">
        <v>2341</v>
      </c>
      <c r="AI310" s="364" t="s">
        <v>2342</v>
      </c>
      <c r="AJ310" s="364" t="s">
        <v>2442</v>
      </c>
      <c r="AK310" s="364" t="s">
        <v>2470</v>
      </c>
      <c r="AL310" s="364" t="s">
        <v>2422</v>
      </c>
      <c r="AM310" s="364" t="s">
        <v>2591</v>
      </c>
      <c r="AN310" s="364" t="s">
        <v>2344</v>
      </c>
      <c r="AO310" s="364" t="s">
        <v>2346</v>
      </c>
      <c r="AP310" s="364" t="s">
        <v>2347</v>
      </c>
      <c r="AQ310" s="364" t="s">
        <v>2474</v>
      </c>
      <c r="AR310" s="364" t="s">
        <v>2348</v>
      </c>
      <c r="AS310" s="364" t="s">
        <v>2475</v>
      </c>
      <c r="AT310" s="364" t="s">
        <v>2476</v>
      </c>
      <c r="AU310" s="364" t="s">
        <v>2399</v>
      </c>
      <c r="AV310" s="364" t="s">
        <v>2430</v>
      </c>
      <c r="AW310" s="364"/>
      <c r="AX310" s="364"/>
      <c r="AY310" s="364"/>
      <c r="AZ310" s="364"/>
      <c r="BA310" s="364"/>
      <c r="BB310" s="364"/>
      <c r="BC310" s="364"/>
      <c r="BD310" s="364"/>
      <c r="BE310" s="364"/>
      <c r="BF310" s="364"/>
      <c r="BG310" s="364"/>
      <c r="BH310" s="364"/>
      <c r="BI310" s="364"/>
      <c r="BJ310" s="364"/>
      <c r="BK310" s="364"/>
      <c r="BL310" s="364"/>
      <c r="BM310" s="364"/>
      <c r="BN310" s="364"/>
      <c r="BO310" s="364"/>
      <c r="BP310" s="364"/>
      <c r="BQ310" s="364"/>
      <c r="BR310" s="364"/>
      <c r="BS310" s="364"/>
      <c r="BT310" s="364"/>
      <c r="BU310" s="364"/>
      <c r="BV310" s="364"/>
      <c r="BW310" s="364"/>
      <c r="BX310" s="364"/>
      <c r="BY310" s="364"/>
      <c r="BZ310" s="364"/>
      <c r="CA310" s="364"/>
      <c r="CB310" s="364"/>
      <c r="CC310" s="364"/>
      <c r="CD310" s="364"/>
      <c r="CE310" s="364"/>
      <c r="CF310" s="364"/>
      <c r="CG310" s="364"/>
      <c r="CH310" s="364"/>
      <c r="CI310" s="364"/>
      <c r="CJ310" s="364"/>
      <c r="CK310" s="364"/>
      <c r="CL310" s="364"/>
      <c r="CM310" s="364"/>
      <c r="CN310" s="364"/>
      <c r="CO310" s="364"/>
      <c r="CP310" s="364"/>
      <c r="CQ310" s="364"/>
      <c r="CR310" s="364"/>
      <c r="CS310" s="364"/>
      <c r="CT310" s="364"/>
      <c r="CU310" s="364"/>
      <c r="CV310" s="364"/>
      <c r="CW310" s="364"/>
      <c r="CX310" s="364"/>
      <c r="CY310" s="364"/>
      <c r="CZ310" s="364"/>
      <c r="DA310" s="364"/>
      <c r="DB310" s="364"/>
      <c r="DC310" s="364"/>
      <c r="DD310" s="364"/>
      <c r="DE310" s="364"/>
      <c r="DF310" s="364"/>
      <c r="DG310" s="364"/>
      <c r="DH310" s="364"/>
      <c r="DI310" s="364"/>
      <c r="DJ310" s="364"/>
      <c r="DK310" s="364"/>
      <c r="DL310" s="364"/>
      <c r="DM310" s="364"/>
      <c r="DN310" s="364"/>
      <c r="DO310" s="364"/>
      <c r="DP310" s="364"/>
      <c r="DQ310" s="364"/>
      <c r="DR310" s="364"/>
      <c r="DS310" s="364"/>
      <c r="DT310" s="364"/>
      <c r="DU310" s="364"/>
      <c r="DV310" s="364"/>
      <c r="DW310" s="364"/>
      <c r="DX310" s="364"/>
      <c r="DY310" s="364"/>
      <c r="DZ310" s="364"/>
      <c r="EA310" s="364"/>
      <c r="EB310" s="364"/>
      <c r="EC310" s="364"/>
      <c r="ED310" s="364"/>
      <c r="EE310" s="364"/>
      <c r="EF310" s="364"/>
      <c r="EG310" s="364"/>
      <c r="EH310" s="364"/>
      <c r="EI310" s="364"/>
      <c r="EJ310" s="364"/>
      <c r="EK310" s="364"/>
      <c r="EL310" s="364"/>
      <c r="EM310" s="364"/>
      <c r="EN310" s="364"/>
      <c r="EO310" s="364"/>
      <c r="EP310" s="364"/>
      <c r="EQ310" s="364"/>
      <c r="ER310" s="364"/>
      <c r="ES310" s="364"/>
      <c r="ET310" s="364"/>
      <c r="EU310" s="364"/>
      <c r="EV310" s="364"/>
      <c r="EW310" s="364"/>
      <c r="EX310" s="364"/>
      <c r="EY310" s="364"/>
      <c r="EZ310" s="364"/>
      <c r="FA310" s="364"/>
      <c r="FB310" s="364"/>
      <c r="FC310" s="364"/>
      <c r="FD310" s="364"/>
      <c r="FE310" s="364"/>
      <c r="FF310" s="364"/>
      <c r="FG310" s="364"/>
      <c r="FH310" s="364"/>
      <c r="FI310" s="364"/>
      <c r="FJ310" s="364"/>
      <c r="FK310" s="364"/>
    </row>
    <row r="311" customFormat="false" ht="15.75" hidden="false" customHeight="false" outlineLevel="0" collapsed="false">
      <c r="A311" s="364" t="n">
        <v>606</v>
      </c>
      <c r="B311" s="364" t="n">
        <f aca="false">COUNTA(D311:FK311)</f>
        <v>37</v>
      </c>
      <c r="C311" s="364" t="s">
        <v>1561</v>
      </c>
      <c r="D311" s="364" t="s">
        <v>2352</v>
      </c>
      <c r="E311" s="364" t="s">
        <v>2404</v>
      </c>
      <c r="F311" s="364" t="s">
        <v>2465</v>
      </c>
      <c r="G311" s="364" t="s">
        <v>2466</v>
      </c>
      <c r="H311" s="364" t="s">
        <v>2358</v>
      </c>
      <c r="I311" s="364" t="s">
        <v>2320</v>
      </c>
      <c r="J311" s="364" t="s">
        <v>2367</v>
      </c>
      <c r="K311" s="364" t="s">
        <v>2324</v>
      </c>
      <c r="L311" s="364" t="s">
        <v>2328</v>
      </c>
      <c r="M311" s="364" t="s">
        <v>2329</v>
      </c>
      <c r="N311" s="364" t="s">
        <v>2521</v>
      </c>
      <c r="O311" s="364" t="s">
        <v>2485</v>
      </c>
      <c r="P311" s="364" t="s">
        <v>2506</v>
      </c>
      <c r="Q311" s="364" t="s">
        <v>2468</v>
      </c>
      <c r="R311" s="364" t="s">
        <v>2452</v>
      </c>
      <c r="S311" s="364" t="s">
        <v>2526</v>
      </c>
      <c r="T311" s="364" t="s">
        <v>2337</v>
      </c>
      <c r="U311" s="364" t="s">
        <v>2469</v>
      </c>
      <c r="V311" s="364" t="s">
        <v>2339</v>
      </c>
      <c r="W311" s="364" t="s">
        <v>2389</v>
      </c>
      <c r="X311" s="364" t="s">
        <v>2340</v>
      </c>
      <c r="Y311" s="364" t="s">
        <v>2341</v>
      </c>
      <c r="Z311" s="364" t="s">
        <v>2442</v>
      </c>
      <c r="AA311" s="364" t="s">
        <v>2470</v>
      </c>
      <c r="AB311" s="364" t="s">
        <v>2472</v>
      </c>
      <c r="AC311" s="364" t="s">
        <v>2344</v>
      </c>
      <c r="AD311" s="364" t="s">
        <v>2346</v>
      </c>
      <c r="AE311" s="364" t="s">
        <v>2347</v>
      </c>
      <c r="AF311" s="364" t="s">
        <v>2511</v>
      </c>
      <c r="AG311" s="364" t="s">
        <v>2424</v>
      </c>
      <c r="AH311" s="364" t="s">
        <v>2348</v>
      </c>
      <c r="AI311" s="364" t="s">
        <v>2349</v>
      </c>
      <c r="AJ311" s="364" t="s">
        <v>2475</v>
      </c>
      <c r="AK311" s="364" t="s">
        <v>2476</v>
      </c>
      <c r="AL311" s="364" t="s">
        <v>2488</v>
      </c>
      <c r="AM311" s="364" t="s">
        <v>2463</v>
      </c>
      <c r="AN311" s="364" t="s">
        <v>2477</v>
      </c>
      <c r="AO311" s="364"/>
      <c r="AP311" s="364"/>
      <c r="AQ311" s="364"/>
      <c r="AR311" s="364"/>
      <c r="AS311" s="364"/>
      <c r="AT311" s="364"/>
      <c r="AU311" s="364"/>
      <c r="AV311" s="364"/>
      <c r="AW311" s="364"/>
      <c r="AX311" s="364"/>
      <c r="AY311" s="364"/>
      <c r="AZ311" s="364"/>
      <c r="BA311" s="364"/>
      <c r="BB311" s="364"/>
      <c r="BC311" s="364"/>
      <c r="BD311" s="364"/>
      <c r="BE311" s="364"/>
      <c r="BF311" s="364"/>
      <c r="BG311" s="364"/>
      <c r="BH311" s="364"/>
      <c r="BI311" s="364"/>
      <c r="BJ311" s="364"/>
      <c r="BK311" s="364"/>
      <c r="BL311" s="364"/>
      <c r="BM311" s="364"/>
      <c r="BN311" s="364"/>
      <c r="BO311" s="364"/>
      <c r="BP311" s="364"/>
      <c r="BQ311" s="364"/>
      <c r="BR311" s="364"/>
      <c r="BS311" s="364"/>
      <c r="BT311" s="364"/>
      <c r="BU311" s="364"/>
      <c r="BV311" s="364"/>
      <c r="BW311" s="364"/>
      <c r="BX311" s="364"/>
      <c r="BY311" s="364"/>
      <c r="BZ311" s="364"/>
      <c r="CA311" s="364"/>
      <c r="CB311" s="364"/>
      <c r="CC311" s="364"/>
      <c r="CD311" s="364"/>
      <c r="CE311" s="364"/>
      <c r="CF311" s="364"/>
      <c r="CG311" s="364"/>
      <c r="CH311" s="364"/>
      <c r="CI311" s="364"/>
      <c r="CJ311" s="364"/>
      <c r="CK311" s="364"/>
      <c r="CL311" s="364"/>
      <c r="CM311" s="364"/>
      <c r="CN311" s="364"/>
      <c r="CO311" s="364"/>
      <c r="CP311" s="364"/>
      <c r="CQ311" s="364"/>
      <c r="CR311" s="364"/>
      <c r="CS311" s="364"/>
      <c r="CT311" s="364"/>
      <c r="CU311" s="364"/>
      <c r="CV311" s="364"/>
      <c r="CW311" s="364"/>
      <c r="CX311" s="364"/>
      <c r="CY311" s="364"/>
      <c r="CZ311" s="364"/>
      <c r="DA311" s="364"/>
      <c r="DB311" s="364"/>
      <c r="DC311" s="364"/>
      <c r="DD311" s="364"/>
      <c r="DE311" s="364"/>
      <c r="DF311" s="364"/>
      <c r="DG311" s="364"/>
      <c r="DH311" s="364"/>
      <c r="DI311" s="364"/>
      <c r="DJ311" s="364"/>
      <c r="DK311" s="364"/>
      <c r="DL311" s="364"/>
      <c r="DM311" s="364"/>
      <c r="DN311" s="364"/>
      <c r="DO311" s="364"/>
      <c r="DP311" s="364"/>
      <c r="DQ311" s="364"/>
      <c r="DR311" s="364"/>
      <c r="DS311" s="364"/>
      <c r="DT311" s="364"/>
      <c r="DU311" s="364"/>
      <c r="DV311" s="364"/>
      <c r="DW311" s="364"/>
      <c r="DX311" s="364"/>
      <c r="DY311" s="364"/>
      <c r="DZ311" s="364"/>
      <c r="EA311" s="364"/>
      <c r="EB311" s="364"/>
      <c r="EC311" s="364"/>
      <c r="ED311" s="364"/>
      <c r="EE311" s="364"/>
      <c r="EF311" s="364"/>
      <c r="EG311" s="364"/>
      <c r="EH311" s="364"/>
      <c r="EI311" s="364"/>
      <c r="EJ311" s="364"/>
      <c r="EK311" s="364"/>
      <c r="EL311" s="364"/>
      <c r="EM311" s="364"/>
      <c r="EN311" s="364"/>
      <c r="EO311" s="364"/>
      <c r="EP311" s="364"/>
      <c r="EQ311" s="364"/>
      <c r="ER311" s="364"/>
      <c r="ES311" s="364"/>
      <c r="ET311" s="364"/>
      <c r="EU311" s="364"/>
      <c r="EV311" s="364"/>
      <c r="EW311" s="364"/>
      <c r="EX311" s="364"/>
      <c r="EY311" s="364"/>
      <c r="EZ311" s="364"/>
      <c r="FA311" s="364"/>
      <c r="FB311" s="364"/>
      <c r="FC311" s="364"/>
      <c r="FD311" s="364"/>
      <c r="FE311" s="364"/>
      <c r="FF311" s="364"/>
      <c r="FG311" s="364"/>
      <c r="FH311" s="364"/>
      <c r="FI311" s="364"/>
      <c r="FJ311" s="364"/>
      <c r="FK311" s="364"/>
    </row>
    <row r="312" customFormat="false" ht="15.75" hidden="false" customHeight="false" outlineLevel="0" collapsed="false">
      <c r="A312" s="364" t="n">
        <v>608</v>
      </c>
      <c r="B312" s="364" t="n">
        <f aca="false">COUNTA(D312:FK312)</f>
        <v>38</v>
      </c>
      <c r="C312" s="364" t="s">
        <v>1565</v>
      </c>
      <c r="D312" s="364" t="s">
        <v>2352</v>
      </c>
      <c r="E312" s="364" t="s">
        <v>2447</v>
      </c>
      <c r="F312" s="364" t="s">
        <v>2465</v>
      </c>
      <c r="G312" s="364" t="s">
        <v>2315</v>
      </c>
      <c r="H312" s="364" t="s">
        <v>2409</v>
      </c>
      <c r="I312" s="364" t="s">
        <v>2435</v>
      </c>
      <c r="J312" s="364" t="s">
        <v>2318</v>
      </c>
      <c r="K312" s="364" t="s">
        <v>2320</v>
      </c>
      <c r="L312" s="364" t="s">
        <v>2533</v>
      </c>
      <c r="M312" s="364" t="s">
        <v>2523</v>
      </c>
      <c r="N312" s="364" t="s">
        <v>2498</v>
      </c>
      <c r="O312" s="364" t="s">
        <v>2324</v>
      </c>
      <c r="P312" s="364" t="s">
        <v>2325</v>
      </c>
      <c r="Q312" s="364" t="s">
        <v>2484</v>
      </c>
      <c r="R312" s="364" t="s">
        <v>2328</v>
      </c>
      <c r="S312" s="364" t="s">
        <v>2329</v>
      </c>
      <c r="T312" s="364" t="s">
        <v>2521</v>
      </c>
      <c r="U312" s="364" t="s">
        <v>2381</v>
      </c>
      <c r="V312" s="364" t="s">
        <v>2330</v>
      </c>
      <c r="W312" s="364" t="s">
        <v>2531</v>
      </c>
      <c r="X312" s="364" t="s">
        <v>2452</v>
      </c>
      <c r="Y312" s="364" t="s">
        <v>2526</v>
      </c>
      <c r="Z312" s="364" t="s">
        <v>2455</v>
      </c>
      <c r="AA312" s="364" t="s">
        <v>2337</v>
      </c>
      <c r="AB312" s="364" t="s">
        <v>2339</v>
      </c>
      <c r="AC312" s="364" t="s">
        <v>2340</v>
      </c>
      <c r="AD312" s="364" t="s">
        <v>2390</v>
      </c>
      <c r="AE312" s="364" t="s">
        <v>2341</v>
      </c>
      <c r="AF312" s="364" t="s">
        <v>2342</v>
      </c>
      <c r="AG312" s="364" t="s">
        <v>2442</v>
      </c>
      <c r="AH312" s="364" t="s">
        <v>2392</v>
      </c>
      <c r="AI312" s="364" t="s">
        <v>2395</v>
      </c>
      <c r="AJ312" s="364" t="s">
        <v>2472</v>
      </c>
      <c r="AK312" s="364" t="s">
        <v>2344</v>
      </c>
      <c r="AL312" s="364" t="s">
        <v>2473</v>
      </c>
      <c r="AM312" s="364" t="s">
        <v>2445</v>
      </c>
      <c r="AN312" s="364" t="s">
        <v>2456</v>
      </c>
      <c r="AO312" s="364" t="s">
        <v>2446</v>
      </c>
      <c r="AP312" s="364"/>
      <c r="AQ312" s="364"/>
      <c r="AR312" s="364"/>
      <c r="AS312" s="364"/>
      <c r="AT312" s="364"/>
      <c r="AU312" s="364"/>
      <c r="AV312" s="364"/>
      <c r="AW312" s="364"/>
      <c r="AX312" s="364"/>
      <c r="AY312" s="364"/>
      <c r="AZ312" s="364"/>
      <c r="BA312" s="364"/>
      <c r="BB312" s="364"/>
      <c r="BC312" s="364"/>
      <c r="BD312" s="364"/>
      <c r="BE312" s="364"/>
      <c r="BF312" s="364"/>
      <c r="BG312" s="364"/>
      <c r="BH312" s="364"/>
      <c r="BI312" s="364"/>
      <c r="BJ312" s="364"/>
      <c r="BK312" s="364"/>
      <c r="BL312" s="364"/>
      <c r="BM312" s="364"/>
      <c r="BN312" s="364"/>
      <c r="BO312" s="364"/>
      <c r="BP312" s="364"/>
      <c r="BQ312" s="364"/>
      <c r="BR312" s="364"/>
      <c r="BS312" s="364"/>
      <c r="BT312" s="364"/>
      <c r="BU312" s="364"/>
      <c r="BV312" s="364"/>
      <c r="BW312" s="364"/>
      <c r="BX312" s="364"/>
      <c r="BY312" s="364"/>
      <c r="BZ312" s="364"/>
      <c r="CA312" s="364"/>
      <c r="CB312" s="364"/>
      <c r="CC312" s="364"/>
      <c r="CD312" s="364"/>
      <c r="CE312" s="364"/>
      <c r="CF312" s="364"/>
      <c r="CG312" s="364"/>
      <c r="CH312" s="364"/>
      <c r="CI312" s="364"/>
      <c r="CJ312" s="364"/>
      <c r="CK312" s="364"/>
      <c r="CL312" s="364"/>
      <c r="CM312" s="364"/>
      <c r="CN312" s="364"/>
      <c r="CO312" s="364"/>
      <c r="CP312" s="364"/>
      <c r="CQ312" s="364"/>
      <c r="CR312" s="364"/>
      <c r="CS312" s="364"/>
      <c r="CT312" s="364"/>
      <c r="CU312" s="364"/>
      <c r="CV312" s="364"/>
      <c r="CW312" s="364"/>
      <c r="CX312" s="364"/>
      <c r="CY312" s="364"/>
      <c r="CZ312" s="364"/>
      <c r="DA312" s="364"/>
      <c r="DB312" s="364"/>
      <c r="DC312" s="364"/>
      <c r="DD312" s="364"/>
      <c r="DE312" s="364"/>
      <c r="DF312" s="364"/>
      <c r="DG312" s="364"/>
      <c r="DH312" s="364"/>
      <c r="DI312" s="364"/>
      <c r="DJ312" s="364"/>
      <c r="DK312" s="364"/>
      <c r="DL312" s="364"/>
      <c r="DM312" s="364"/>
      <c r="DN312" s="364"/>
      <c r="DO312" s="364"/>
      <c r="DP312" s="364"/>
      <c r="DQ312" s="364"/>
      <c r="DR312" s="364"/>
      <c r="DS312" s="364"/>
      <c r="DT312" s="364"/>
      <c r="DU312" s="364"/>
      <c r="DV312" s="364"/>
      <c r="DW312" s="364"/>
      <c r="DX312" s="364"/>
      <c r="DY312" s="364"/>
      <c r="DZ312" s="364"/>
      <c r="EA312" s="364"/>
      <c r="EB312" s="364"/>
      <c r="EC312" s="364"/>
      <c r="ED312" s="364"/>
      <c r="EE312" s="364"/>
      <c r="EF312" s="364"/>
      <c r="EG312" s="364"/>
      <c r="EH312" s="364"/>
      <c r="EI312" s="364"/>
      <c r="EJ312" s="364"/>
      <c r="EK312" s="364"/>
      <c r="EL312" s="364"/>
      <c r="EM312" s="364"/>
      <c r="EN312" s="364"/>
      <c r="EO312" s="364"/>
      <c r="EP312" s="364"/>
      <c r="EQ312" s="364"/>
      <c r="ER312" s="364"/>
      <c r="ES312" s="364"/>
      <c r="ET312" s="364"/>
      <c r="EU312" s="364"/>
      <c r="EV312" s="364"/>
      <c r="EW312" s="364"/>
      <c r="EX312" s="364"/>
      <c r="EY312" s="364"/>
      <c r="EZ312" s="364"/>
      <c r="FA312" s="364"/>
      <c r="FB312" s="364"/>
      <c r="FC312" s="364"/>
      <c r="FD312" s="364"/>
      <c r="FE312" s="364"/>
      <c r="FF312" s="364"/>
      <c r="FG312" s="364"/>
      <c r="FH312" s="364"/>
      <c r="FI312" s="364"/>
      <c r="FJ312" s="364"/>
      <c r="FK312" s="364"/>
    </row>
    <row r="313" customFormat="false" ht="15.75" hidden="false" customHeight="false" outlineLevel="0" collapsed="false">
      <c r="A313" s="364" t="n">
        <v>610</v>
      </c>
      <c r="B313" s="364" t="n">
        <f aca="false">COUNTA(D313:FK313)</f>
        <v>39</v>
      </c>
      <c r="C313" s="364" t="s">
        <v>1569</v>
      </c>
      <c r="D313" s="364" t="s">
        <v>2431</v>
      </c>
      <c r="E313" s="364" t="s">
        <v>2356</v>
      </c>
      <c r="F313" s="364" t="s">
        <v>2465</v>
      </c>
      <c r="G313" s="364" t="s">
        <v>2315</v>
      </c>
      <c r="H313" s="364" t="s">
        <v>2358</v>
      </c>
      <c r="I313" s="364" t="s">
        <v>2448</v>
      </c>
      <c r="J313" s="364" t="s">
        <v>2319</v>
      </c>
      <c r="K313" s="364" t="s">
        <v>2320</v>
      </c>
      <c r="L313" s="364" t="s">
        <v>2376</v>
      </c>
      <c r="M313" s="364" t="s">
        <v>2377</v>
      </c>
      <c r="N313" s="364" t="s">
        <v>2498</v>
      </c>
      <c r="O313" s="364" t="s">
        <v>2323</v>
      </c>
      <c r="P313" s="364" t="s">
        <v>2324</v>
      </c>
      <c r="Q313" s="364" t="s">
        <v>2325</v>
      </c>
      <c r="R313" s="364" t="s">
        <v>2326</v>
      </c>
      <c r="S313" s="364" t="s">
        <v>2484</v>
      </c>
      <c r="T313" s="364" t="s">
        <v>2328</v>
      </c>
      <c r="U313" s="364" t="s">
        <v>2329</v>
      </c>
      <c r="V313" s="364" t="s">
        <v>2381</v>
      </c>
      <c r="W313" s="364" t="s">
        <v>2330</v>
      </c>
      <c r="X313" s="364" t="s">
        <v>2588</v>
      </c>
      <c r="Y313" s="364" t="s">
        <v>2539</v>
      </c>
      <c r="Z313" s="364" t="s">
        <v>2540</v>
      </c>
      <c r="AA313" s="364" t="s">
        <v>2452</v>
      </c>
      <c r="AB313" s="364" t="s">
        <v>2387</v>
      </c>
      <c r="AC313" s="364" t="s">
        <v>2337</v>
      </c>
      <c r="AD313" s="364" t="s">
        <v>2388</v>
      </c>
      <c r="AE313" s="364" t="s">
        <v>2339</v>
      </c>
      <c r="AF313" s="364" t="s">
        <v>2389</v>
      </c>
      <c r="AG313" s="364" t="s">
        <v>2340</v>
      </c>
      <c r="AH313" s="364" t="s">
        <v>2341</v>
      </c>
      <c r="AI313" s="364" t="s">
        <v>2342</v>
      </c>
      <c r="AJ313" s="364" t="s">
        <v>2392</v>
      </c>
      <c r="AK313" s="364" t="s">
        <v>2344</v>
      </c>
      <c r="AL313" s="364" t="s">
        <v>2345</v>
      </c>
      <c r="AM313" s="364" t="s">
        <v>2511</v>
      </c>
      <c r="AN313" s="364" t="s">
        <v>2445</v>
      </c>
      <c r="AO313" s="364" t="s">
        <v>2456</v>
      </c>
      <c r="AP313" s="364" t="s">
        <v>2463</v>
      </c>
      <c r="AQ313" s="364"/>
      <c r="AR313" s="364"/>
      <c r="AS313" s="364"/>
      <c r="AT313" s="364"/>
      <c r="AU313" s="364"/>
      <c r="AV313" s="364"/>
      <c r="AW313" s="364"/>
      <c r="AX313" s="364"/>
      <c r="AY313" s="364"/>
      <c r="AZ313" s="364"/>
      <c r="BA313" s="364"/>
      <c r="BB313" s="364"/>
      <c r="BC313" s="364"/>
      <c r="BD313" s="364"/>
      <c r="BE313" s="364"/>
      <c r="BF313" s="364"/>
      <c r="BG313" s="364"/>
      <c r="BH313" s="364"/>
      <c r="BI313" s="364"/>
      <c r="BJ313" s="364"/>
      <c r="BK313" s="364"/>
      <c r="BL313" s="364"/>
      <c r="BM313" s="364"/>
      <c r="BN313" s="364"/>
      <c r="BO313" s="364"/>
      <c r="BP313" s="364"/>
      <c r="BQ313" s="364"/>
      <c r="BR313" s="364"/>
      <c r="BS313" s="364"/>
      <c r="BT313" s="364"/>
      <c r="BU313" s="364"/>
      <c r="BV313" s="364"/>
      <c r="BW313" s="364"/>
      <c r="BX313" s="364"/>
      <c r="BY313" s="364"/>
      <c r="BZ313" s="364"/>
      <c r="CA313" s="364"/>
      <c r="CB313" s="364"/>
      <c r="CC313" s="364"/>
      <c r="CD313" s="364"/>
      <c r="CE313" s="364"/>
      <c r="CF313" s="364"/>
      <c r="CG313" s="364"/>
      <c r="CH313" s="364"/>
      <c r="CI313" s="364"/>
      <c r="CJ313" s="364"/>
      <c r="CK313" s="364"/>
      <c r="CL313" s="364"/>
      <c r="CM313" s="364"/>
      <c r="CN313" s="364"/>
      <c r="CO313" s="364"/>
      <c r="CP313" s="364"/>
      <c r="CQ313" s="364"/>
      <c r="CR313" s="364"/>
      <c r="CS313" s="364"/>
      <c r="CT313" s="364"/>
      <c r="CU313" s="364"/>
      <c r="CV313" s="364"/>
      <c r="CW313" s="364"/>
      <c r="CX313" s="364"/>
      <c r="CY313" s="364"/>
      <c r="CZ313" s="364"/>
      <c r="DA313" s="364"/>
      <c r="DB313" s="364"/>
      <c r="DC313" s="364"/>
      <c r="DD313" s="364"/>
      <c r="DE313" s="364"/>
      <c r="DF313" s="364"/>
      <c r="DG313" s="364"/>
      <c r="DH313" s="364"/>
      <c r="DI313" s="364"/>
      <c r="DJ313" s="364"/>
      <c r="DK313" s="364"/>
      <c r="DL313" s="364"/>
      <c r="DM313" s="364"/>
      <c r="DN313" s="364"/>
      <c r="DO313" s="364"/>
      <c r="DP313" s="364"/>
      <c r="DQ313" s="364"/>
      <c r="DR313" s="364"/>
      <c r="DS313" s="364"/>
      <c r="DT313" s="364"/>
      <c r="DU313" s="364"/>
      <c r="DV313" s="364"/>
      <c r="DW313" s="364"/>
      <c r="DX313" s="364"/>
      <c r="DY313" s="364"/>
      <c r="DZ313" s="364"/>
      <c r="EA313" s="364"/>
      <c r="EB313" s="364"/>
      <c r="EC313" s="364"/>
      <c r="ED313" s="364"/>
      <c r="EE313" s="364"/>
      <c r="EF313" s="364"/>
      <c r="EG313" s="364"/>
      <c r="EH313" s="364"/>
      <c r="EI313" s="364"/>
      <c r="EJ313" s="364"/>
      <c r="EK313" s="364"/>
      <c r="EL313" s="364"/>
      <c r="EM313" s="364"/>
      <c r="EN313" s="364"/>
      <c r="EO313" s="364"/>
      <c r="EP313" s="364"/>
      <c r="EQ313" s="364"/>
      <c r="ER313" s="364"/>
      <c r="ES313" s="364"/>
      <c r="ET313" s="364"/>
      <c r="EU313" s="364"/>
      <c r="EV313" s="364"/>
      <c r="EW313" s="364"/>
      <c r="EX313" s="364"/>
      <c r="EY313" s="364"/>
      <c r="EZ313" s="364"/>
      <c r="FA313" s="364"/>
      <c r="FB313" s="364"/>
      <c r="FC313" s="364"/>
      <c r="FD313" s="364"/>
      <c r="FE313" s="364"/>
      <c r="FF313" s="364"/>
      <c r="FG313" s="364"/>
      <c r="FH313" s="364"/>
      <c r="FI313" s="364"/>
      <c r="FJ313" s="364"/>
      <c r="FK313" s="364"/>
    </row>
    <row r="314" customFormat="false" ht="15.75" hidden="false" customHeight="false" outlineLevel="0" collapsed="false">
      <c r="A314" s="364" t="n">
        <v>612</v>
      </c>
      <c r="B314" s="364" t="n">
        <f aca="false">COUNTA(D314:FK314)</f>
        <v>44</v>
      </c>
      <c r="C314" s="364" t="s">
        <v>1573</v>
      </c>
      <c r="D314" s="364" t="s">
        <v>2431</v>
      </c>
      <c r="E314" s="364" t="s">
        <v>2356</v>
      </c>
      <c r="F314" s="364" t="s">
        <v>2465</v>
      </c>
      <c r="G314" s="364" t="s">
        <v>2315</v>
      </c>
      <c r="H314" s="364" t="s">
        <v>2358</v>
      </c>
      <c r="I314" s="364" t="s">
        <v>2448</v>
      </c>
      <c r="J314" s="364" t="s">
        <v>2320</v>
      </c>
      <c r="K314" s="364" t="s">
        <v>2366</v>
      </c>
      <c r="L314" s="364" t="s">
        <v>2368</v>
      </c>
      <c r="M314" s="364" t="s">
        <v>2369</v>
      </c>
      <c r="N314" s="364" t="s">
        <v>2371</v>
      </c>
      <c r="O314" s="364" t="s">
        <v>2372</v>
      </c>
      <c r="P314" s="364" t="s">
        <v>2373</v>
      </c>
      <c r="Q314" s="364" t="s">
        <v>2376</v>
      </c>
      <c r="R314" s="364" t="s">
        <v>2377</v>
      </c>
      <c r="S314" s="364" t="s">
        <v>2498</v>
      </c>
      <c r="T314" s="364" t="s">
        <v>2324</v>
      </c>
      <c r="U314" s="364" t="s">
        <v>2325</v>
      </c>
      <c r="V314" s="364" t="s">
        <v>2484</v>
      </c>
      <c r="W314" s="364" t="s">
        <v>2378</v>
      </c>
      <c r="X314" s="364" t="s">
        <v>2328</v>
      </c>
      <c r="Y314" s="364" t="s">
        <v>2329</v>
      </c>
      <c r="Z314" s="364" t="s">
        <v>2379</v>
      </c>
      <c r="AA314" s="364" t="s">
        <v>2381</v>
      </c>
      <c r="AB314" s="364" t="s">
        <v>2330</v>
      </c>
      <c r="AC314" s="364" t="s">
        <v>2588</v>
      </c>
      <c r="AD314" s="364" t="s">
        <v>2539</v>
      </c>
      <c r="AE314" s="364" t="s">
        <v>2540</v>
      </c>
      <c r="AF314" s="364" t="s">
        <v>2386</v>
      </c>
      <c r="AG314" s="364" t="s">
        <v>2452</v>
      </c>
      <c r="AH314" s="364" t="s">
        <v>2387</v>
      </c>
      <c r="AI314" s="364" t="s">
        <v>2337</v>
      </c>
      <c r="AJ314" s="364" t="s">
        <v>2388</v>
      </c>
      <c r="AK314" s="364" t="s">
        <v>2339</v>
      </c>
      <c r="AL314" s="364" t="s">
        <v>2389</v>
      </c>
      <c r="AM314" s="364" t="s">
        <v>2340</v>
      </c>
      <c r="AN314" s="364" t="s">
        <v>2341</v>
      </c>
      <c r="AO314" s="364" t="s">
        <v>2392</v>
      </c>
      <c r="AP314" s="364" t="s">
        <v>2344</v>
      </c>
      <c r="AQ314" s="364" t="s">
        <v>2345</v>
      </c>
      <c r="AR314" s="364" t="s">
        <v>2511</v>
      </c>
      <c r="AS314" s="364" t="s">
        <v>2445</v>
      </c>
      <c r="AT314" s="364" t="s">
        <v>2456</v>
      </c>
      <c r="AU314" s="364" t="s">
        <v>2463</v>
      </c>
      <c r="AV314" s="364"/>
      <c r="AW314" s="364"/>
      <c r="AX314" s="364"/>
      <c r="AY314" s="364"/>
      <c r="AZ314" s="364"/>
      <c r="BA314" s="364"/>
      <c r="BB314" s="364"/>
      <c r="BC314" s="364"/>
      <c r="BD314" s="364"/>
      <c r="BE314" s="364"/>
      <c r="BF314" s="364"/>
      <c r="BG314" s="364"/>
      <c r="BH314" s="364"/>
      <c r="BI314" s="364"/>
      <c r="BJ314" s="364"/>
      <c r="BK314" s="364"/>
      <c r="BL314" s="364"/>
      <c r="BM314" s="364"/>
      <c r="BN314" s="364"/>
      <c r="BO314" s="364"/>
      <c r="BP314" s="364"/>
      <c r="BQ314" s="364"/>
      <c r="BR314" s="364"/>
      <c r="BS314" s="364"/>
      <c r="BT314" s="364"/>
      <c r="BU314" s="364"/>
      <c r="BV314" s="364"/>
      <c r="BW314" s="364"/>
      <c r="BX314" s="364"/>
      <c r="BY314" s="364"/>
      <c r="BZ314" s="364"/>
      <c r="CA314" s="364"/>
      <c r="CB314" s="364"/>
      <c r="CC314" s="364"/>
      <c r="CD314" s="364"/>
      <c r="CE314" s="364"/>
      <c r="CF314" s="364"/>
      <c r="CG314" s="364"/>
      <c r="CH314" s="364"/>
      <c r="CI314" s="364"/>
      <c r="CJ314" s="364"/>
      <c r="CK314" s="364"/>
      <c r="CL314" s="364"/>
      <c r="CM314" s="364"/>
      <c r="CN314" s="364"/>
      <c r="CO314" s="364"/>
      <c r="CP314" s="364"/>
      <c r="CQ314" s="364"/>
      <c r="CR314" s="364"/>
      <c r="CS314" s="364"/>
      <c r="CT314" s="364"/>
      <c r="CU314" s="364"/>
      <c r="CV314" s="364"/>
      <c r="CW314" s="364"/>
      <c r="CX314" s="364"/>
      <c r="CY314" s="364"/>
      <c r="CZ314" s="364"/>
      <c r="DA314" s="364"/>
      <c r="DB314" s="364"/>
      <c r="DC314" s="364"/>
      <c r="DD314" s="364"/>
      <c r="DE314" s="364"/>
      <c r="DF314" s="364"/>
      <c r="DG314" s="364"/>
      <c r="DH314" s="364"/>
      <c r="DI314" s="364"/>
      <c r="DJ314" s="364"/>
      <c r="DK314" s="364"/>
      <c r="DL314" s="364"/>
      <c r="DM314" s="364"/>
      <c r="DN314" s="364"/>
      <c r="DO314" s="364"/>
      <c r="DP314" s="364"/>
      <c r="DQ314" s="364"/>
      <c r="DR314" s="364"/>
      <c r="DS314" s="364"/>
      <c r="DT314" s="364"/>
      <c r="DU314" s="364"/>
      <c r="DV314" s="364"/>
      <c r="DW314" s="364"/>
      <c r="DX314" s="364"/>
      <c r="DY314" s="364"/>
      <c r="DZ314" s="364"/>
      <c r="EA314" s="364"/>
      <c r="EB314" s="364"/>
      <c r="EC314" s="364"/>
      <c r="ED314" s="364"/>
      <c r="EE314" s="364"/>
      <c r="EF314" s="364"/>
      <c r="EG314" s="364"/>
      <c r="EH314" s="364"/>
      <c r="EI314" s="364"/>
      <c r="EJ314" s="364"/>
      <c r="EK314" s="364"/>
      <c r="EL314" s="364"/>
      <c r="EM314" s="364"/>
      <c r="EN314" s="364"/>
      <c r="EO314" s="364"/>
      <c r="EP314" s="364"/>
      <c r="EQ314" s="364"/>
      <c r="ER314" s="364"/>
      <c r="ES314" s="364"/>
      <c r="ET314" s="364"/>
      <c r="EU314" s="364"/>
      <c r="EV314" s="364"/>
      <c r="EW314" s="364"/>
      <c r="EX314" s="364"/>
      <c r="EY314" s="364"/>
      <c r="EZ314" s="364"/>
      <c r="FA314" s="364"/>
      <c r="FB314" s="364"/>
      <c r="FC314" s="364"/>
      <c r="FD314" s="364"/>
      <c r="FE314" s="364"/>
      <c r="FF314" s="364"/>
      <c r="FG314" s="364"/>
      <c r="FH314" s="364"/>
      <c r="FI314" s="364"/>
      <c r="FJ314" s="364"/>
      <c r="FK314" s="364"/>
    </row>
    <row r="315" customFormat="false" ht="15.75" hidden="false" customHeight="false" outlineLevel="0" collapsed="false">
      <c r="A315" s="364" t="n">
        <v>614</v>
      </c>
      <c r="B315" s="364" t="n">
        <f aca="false">COUNTA(D315:FK315)</f>
        <v>45</v>
      </c>
      <c r="C315" s="364" t="s">
        <v>1577</v>
      </c>
      <c r="D315" s="364" t="s">
        <v>2431</v>
      </c>
      <c r="E315" s="364" t="s">
        <v>2402</v>
      </c>
      <c r="F315" s="364" t="s">
        <v>2405</v>
      </c>
      <c r="G315" s="364" t="s">
        <v>2356</v>
      </c>
      <c r="H315" s="364" t="s">
        <v>2465</v>
      </c>
      <c r="I315" s="364" t="s">
        <v>2315</v>
      </c>
      <c r="J315" s="364" t="s">
        <v>2358</v>
      </c>
      <c r="K315" s="364" t="s">
        <v>2410</v>
      </c>
      <c r="L315" s="364" t="s">
        <v>2448</v>
      </c>
      <c r="M315" s="364" t="s">
        <v>2320</v>
      </c>
      <c r="N315" s="364" t="s">
        <v>2376</v>
      </c>
      <c r="O315" s="364" t="s">
        <v>2377</v>
      </c>
      <c r="P315" s="364" t="s">
        <v>2498</v>
      </c>
      <c r="Q315" s="364" t="s">
        <v>2324</v>
      </c>
      <c r="R315" s="364" t="s">
        <v>2325</v>
      </c>
      <c r="S315" s="364" t="s">
        <v>2484</v>
      </c>
      <c r="T315" s="364" t="s">
        <v>2328</v>
      </c>
      <c r="U315" s="364" t="s">
        <v>2329</v>
      </c>
      <c r="V315" s="364" t="s">
        <v>2415</v>
      </c>
      <c r="W315" s="364" t="s">
        <v>2416</v>
      </c>
      <c r="X315" s="364" t="s">
        <v>2417</v>
      </c>
      <c r="Y315" s="364" t="s">
        <v>2381</v>
      </c>
      <c r="Z315" s="364" t="s">
        <v>2330</v>
      </c>
      <c r="AA315" s="364" t="s">
        <v>2588</v>
      </c>
      <c r="AB315" s="364" t="s">
        <v>2539</v>
      </c>
      <c r="AC315" s="364" t="s">
        <v>2540</v>
      </c>
      <c r="AD315" s="364" t="s">
        <v>2452</v>
      </c>
      <c r="AE315" s="364" t="s">
        <v>2387</v>
      </c>
      <c r="AF315" s="364" t="s">
        <v>2337</v>
      </c>
      <c r="AG315" s="364" t="s">
        <v>2388</v>
      </c>
      <c r="AH315" s="364" t="s">
        <v>2339</v>
      </c>
      <c r="AI315" s="364" t="s">
        <v>2389</v>
      </c>
      <c r="AJ315" s="364" t="s">
        <v>2340</v>
      </c>
      <c r="AK315" s="364" t="s">
        <v>2421</v>
      </c>
      <c r="AL315" s="364" t="s">
        <v>2341</v>
      </c>
      <c r="AM315" s="364" t="s">
        <v>2392</v>
      </c>
      <c r="AN315" s="364" t="s">
        <v>2344</v>
      </c>
      <c r="AO315" s="364" t="s">
        <v>2511</v>
      </c>
      <c r="AP315" s="364" t="s">
        <v>2424</v>
      </c>
      <c r="AQ315" s="364" t="s">
        <v>2445</v>
      </c>
      <c r="AR315" s="364" t="s">
        <v>2456</v>
      </c>
      <c r="AS315" s="364" t="s">
        <v>2463</v>
      </c>
      <c r="AT315" s="364" t="s">
        <v>2425</v>
      </c>
      <c r="AU315" s="364" t="s">
        <v>2427</v>
      </c>
      <c r="AV315" s="364" t="s">
        <v>2428</v>
      </c>
      <c r="AW315" s="364"/>
      <c r="AX315" s="364"/>
      <c r="AY315" s="364"/>
      <c r="AZ315" s="364"/>
      <c r="BA315" s="364"/>
      <c r="BB315" s="364"/>
      <c r="BC315" s="364"/>
      <c r="BD315" s="364"/>
      <c r="BE315" s="364"/>
      <c r="BF315" s="364"/>
      <c r="BG315" s="364"/>
      <c r="BH315" s="364"/>
      <c r="BI315" s="364"/>
      <c r="BJ315" s="364"/>
      <c r="BK315" s="364"/>
      <c r="BL315" s="364"/>
      <c r="BM315" s="364"/>
      <c r="BN315" s="364"/>
      <c r="BO315" s="364"/>
      <c r="BP315" s="364"/>
      <c r="BQ315" s="364"/>
      <c r="BR315" s="364"/>
      <c r="BS315" s="364"/>
      <c r="BT315" s="364"/>
      <c r="BU315" s="364"/>
      <c r="BV315" s="364"/>
      <c r="BW315" s="364"/>
      <c r="BX315" s="364"/>
      <c r="BY315" s="364"/>
      <c r="BZ315" s="364"/>
      <c r="CA315" s="364"/>
      <c r="CB315" s="364"/>
      <c r="CC315" s="364"/>
      <c r="CD315" s="364"/>
      <c r="CE315" s="364"/>
      <c r="CF315" s="364"/>
      <c r="CG315" s="364"/>
      <c r="CH315" s="364"/>
      <c r="CI315" s="364"/>
      <c r="CJ315" s="364"/>
      <c r="CK315" s="364"/>
      <c r="CL315" s="364"/>
      <c r="CM315" s="364"/>
      <c r="CN315" s="364"/>
      <c r="CO315" s="364"/>
      <c r="CP315" s="364"/>
      <c r="CQ315" s="364"/>
      <c r="CR315" s="364"/>
      <c r="CS315" s="364"/>
      <c r="CT315" s="364"/>
      <c r="CU315" s="364"/>
      <c r="CV315" s="364"/>
      <c r="CW315" s="364"/>
      <c r="CX315" s="364"/>
      <c r="CY315" s="364"/>
      <c r="CZ315" s="364"/>
      <c r="DA315" s="364"/>
      <c r="DB315" s="364"/>
      <c r="DC315" s="364"/>
      <c r="DD315" s="364"/>
      <c r="DE315" s="364"/>
      <c r="DF315" s="364"/>
      <c r="DG315" s="364"/>
      <c r="DH315" s="364"/>
      <c r="DI315" s="364"/>
      <c r="DJ315" s="364"/>
      <c r="DK315" s="364"/>
      <c r="DL315" s="364"/>
      <c r="DM315" s="364"/>
      <c r="DN315" s="364"/>
      <c r="DO315" s="364"/>
      <c r="DP315" s="364"/>
      <c r="DQ315" s="364"/>
      <c r="DR315" s="364"/>
      <c r="DS315" s="364"/>
      <c r="DT315" s="364"/>
      <c r="DU315" s="364"/>
      <c r="DV315" s="364"/>
      <c r="DW315" s="364"/>
      <c r="DX315" s="364"/>
      <c r="DY315" s="364"/>
      <c r="DZ315" s="364"/>
      <c r="EA315" s="364"/>
      <c r="EB315" s="364"/>
      <c r="EC315" s="364"/>
      <c r="ED315" s="364"/>
      <c r="EE315" s="364"/>
      <c r="EF315" s="364"/>
      <c r="EG315" s="364"/>
      <c r="EH315" s="364"/>
      <c r="EI315" s="364"/>
      <c r="EJ315" s="364"/>
      <c r="EK315" s="364"/>
      <c r="EL315" s="364"/>
      <c r="EM315" s="364"/>
      <c r="EN315" s="364"/>
      <c r="EO315" s="364"/>
      <c r="EP315" s="364"/>
      <c r="EQ315" s="364"/>
      <c r="ER315" s="364"/>
      <c r="ES315" s="364"/>
      <c r="ET315" s="364"/>
      <c r="EU315" s="364"/>
      <c r="EV315" s="364"/>
      <c r="EW315" s="364"/>
      <c r="EX315" s="364"/>
      <c r="EY315" s="364"/>
      <c r="EZ315" s="364"/>
      <c r="FA315" s="364"/>
      <c r="FB315" s="364"/>
      <c r="FC315" s="364"/>
      <c r="FD315" s="364"/>
      <c r="FE315" s="364"/>
      <c r="FF315" s="364"/>
      <c r="FG315" s="364"/>
      <c r="FH315" s="364"/>
      <c r="FI315" s="364"/>
      <c r="FJ315" s="364"/>
      <c r="FK315" s="364"/>
    </row>
    <row r="316" customFormat="false" ht="15.75" hidden="false" customHeight="false" outlineLevel="0" collapsed="false">
      <c r="A316" s="364" t="n">
        <v>616</v>
      </c>
      <c r="B316" s="364" t="n">
        <f aca="false">COUNTA(D316:FK316)</f>
        <v>22</v>
      </c>
      <c r="C316" s="364" t="s">
        <v>1581</v>
      </c>
      <c r="D316" s="364" t="s">
        <v>2464</v>
      </c>
      <c r="E316" s="364" t="s">
        <v>2517</v>
      </c>
      <c r="F316" s="364" t="s">
        <v>2435</v>
      </c>
      <c r="G316" s="364" t="s">
        <v>2319</v>
      </c>
      <c r="H316" s="364" t="s">
        <v>2320</v>
      </c>
      <c r="I316" s="364" t="s">
        <v>2324</v>
      </c>
      <c r="J316" s="364" t="s">
        <v>2412</v>
      </c>
      <c r="K316" s="364" t="s">
        <v>2328</v>
      </c>
      <c r="L316" s="364" t="s">
        <v>2329</v>
      </c>
      <c r="M316" s="364" t="s">
        <v>2439</v>
      </c>
      <c r="N316" s="364" t="s">
        <v>157</v>
      </c>
      <c r="O316" s="364" t="s">
        <v>2495</v>
      </c>
      <c r="P316" s="364" t="s">
        <v>2337</v>
      </c>
      <c r="Q316" s="364" t="s">
        <v>2388</v>
      </c>
      <c r="R316" s="364" t="s">
        <v>2389</v>
      </c>
      <c r="S316" s="364" t="s">
        <v>2340</v>
      </c>
      <c r="T316" s="364" t="s">
        <v>2341</v>
      </c>
      <c r="U316" s="364" t="s">
        <v>2442</v>
      </c>
      <c r="V316" s="364" t="s">
        <v>2470</v>
      </c>
      <c r="W316" s="364" t="s">
        <v>2422</v>
      </c>
      <c r="X316" s="364" t="s">
        <v>2344</v>
      </c>
      <c r="Y316" s="364" t="s">
        <v>2430</v>
      </c>
      <c r="Z316" s="364"/>
      <c r="AA316" s="364"/>
      <c r="AB316" s="364"/>
      <c r="AC316" s="364"/>
      <c r="AD316" s="364"/>
      <c r="AE316" s="364"/>
      <c r="AF316" s="364"/>
      <c r="AG316" s="364"/>
      <c r="AH316" s="364"/>
      <c r="AI316" s="364"/>
      <c r="AJ316" s="364"/>
      <c r="AK316" s="364"/>
      <c r="AL316" s="364"/>
      <c r="AM316" s="364"/>
      <c r="AN316" s="364"/>
      <c r="AO316" s="364"/>
      <c r="AP316" s="364"/>
      <c r="AQ316" s="364"/>
      <c r="AR316" s="364"/>
      <c r="AS316" s="364"/>
      <c r="AT316" s="364"/>
      <c r="AU316" s="364"/>
      <c r="AV316" s="364"/>
      <c r="AW316" s="364"/>
      <c r="AX316" s="364"/>
      <c r="AY316" s="364"/>
      <c r="AZ316" s="364"/>
      <c r="BA316" s="364"/>
      <c r="BB316" s="364"/>
      <c r="BC316" s="364"/>
      <c r="BD316" s="364"/>
      <c r="BE316" s="364"/>
      <c r="BF316" s="364"/>
      <c r="BG316" s="364"/>
      <c r="BH316" s="364"/>
      <c r="BI316" s="364"/>
      <c r="BJ316" s="364"/>
      <c r="BK316" s="364"/>
      <c r="BL316" s="364"/>
      <c r="BM316" s="364"/>
      <c r="BN316" s="364"/>
      <c r="BO316" s="364"/>
      <c r="BP316" s="364"/>
      <c r="BQ316" s="364"/>
      <c r="BR316" s="364"/>
      <c r="BS316" s="364"/>
      <c r="BT316" s="364"/>
      <c r="BU316" s="364"/>
      <c r="BV316" s="364"/>
      <c r="BW316" s="364"/>
      <c r="BX316" s="364"/>
      <c r="BY316" s="364"/>
      <c r="BZ316" s="364"/>
      <c r="CA316" s="364"/>
      <c r="CB316" s="364"/>
      <c r="CC316" s="364"/>
      <c r="CD316" s="364"/>
      <c r="CE316" s="364"/>
      <c r="CF316" s="364"/>
      <c r="CG316" s="364"/>
      <c r="CH316" s="364"/>
      <c r="CI316" s="364"/>
      <c r="CJ316" s="364"/>
      <c r="CK316" s="364"/>
      <c r="CL316" s="364"/>
      <c r="CM316" s="364"/>
      <c r="CN316" s="364"/>
      <c r="CO316" s="364"/>
      <c r="CP316" s="364"/>
      <c r="CQ316" s="364"/>
      <c r="CR316" s="364"/>
      <c r="CS316" s="364"/>
      <c r="CT316" s="364"/>
      <c r="CU316" s="364"/>
      <c r="CV316" s="364"/>
      <c r="CW316" s="364"/>
      <c r="CX316" s="364"/>
      <c r="CY316" s="364"/>
      <c r="CZ316" s="364"/>
      <c r="DA316" s="364"/>
      <c r="DB316" s="364"/>
      <c r="DC316" s="364"/>
      <c r="DD316" s="364"/>
      <c r="DE316" s="364"/>
      <c r="DF316" s="364"/>
      <c r="DG316" s="364"/>
      <c r="DH316" s="364"/>
      <c r="DI316" s="364"/>
      <c r="DJ316" s="364"/>
      <c r="DK316" s="364"/>
      <c r="DL316" s="364"/>
      <c r="DM316" s="364"/>
      <c r="DN316" s="364"/>
      <c r="DO316" s="364"/>
      <c r="DP316" s="364"/>
      <c r="DQ316" s="364"/>
      <c r="DR316" s="364"/>
      <c r="DS316" s="364"/>
      <c r="DT316" s="364"/>
      <c r="DU316" s="364"/>
      <c r="DV316" s="364"/>
      <c r="DW316" s="364"/>
      <c r="DX316" s="364"/>
      <c r="DY316" s="364"/>
      <c r="DZ316" s="364"/>
      <c r="EA316" s="364"/>
      <c r="EB316" s="364"/>
      <c r="EC316" s="364"/>
      <c r="ED316" s="364"/>
      <c r="EE316" s="364"/>
      <c r="EF316" s="364"/>
      <c r="EG316" s="364"/>
      <c r="EH316" s="364"/>
      <c r="EI316" s="364"/>
      <c r="EJ316" s="364"/>
      <c r="EK316" s="364"/>
      <c r="EL316" s="364"/>
      <c r="EM316" s="364"/>
      <c r="EN316" s="364"/>
      <c r="EO316" s="364"/>
      <c r="EP316" s="364"/>
      <c r="EQ316" s="364"/>
      <c r="ER316" s="364"/>
      <c r="ES316" s="364"/>
      <c r="ET316" s="364"/>
      <c r="EU316" s="364"/>
      <c r="EV316" s="364"/>
      <c r="EW316" s="364"/>
      <c r="EX316" s="364"/>
      <c r="EY316" s="364"/>
      <c r="EZ316" s="364"/>
      <c r="FA316" s="364"/>
      <c r="FB316" s="364"/>
      <c r="FC316" s="364"/>
      <c r="FD316" s="364"/>
      <c r="FE316" s="364"/>
      <c r="FF316" s="364"/>
      <c r="FG316" s="364"/>
      <c r="FH316" s="364"/>
      <c r="FI316" s="364"/>
      <c r="FJ316" s="364"/>
      <c r="FK316" s="364"/>
    </row>
    <row r="317" customFormat="false" ht="15.75" hidden="false" customHeight="false" outlineLevel="0" collapsed="false">
      <c r="A317" s="364" t="n">
        <v>619</v>
      </c>
      <c r="B317" s="364" t="n">
        <f aca="false">COUNTA(D317:FK317)</f>
        <v>22</v>
      </c>
      <c r="C317" s="364" t="s">
        <v>1587</v>
      </c>
      <c r="D317" s="364" t="s">
        <v>2352</v>
      </c>
      <c r="E317" s="364" t="s">
        <v>2353</v>
      </c>
      <c r="F317" s="364" t="s">
        <v>2354</v>
      </c>
      <c r="G317" s="364" t="s">
        <v>2318</v>
      </c>
      <c r="H317" s="364" t="s">
        <v>2320</v>
      </c>
      <c r="I317" s="364" t="s">
        <v>2375</v>
      </c>
      <c r="J317" s="364" t="s">
        <v>2324</v>
      </c>
      <c r="K317" s="364" t="s">
        <v>2437</v>
      </c>
      <c r="L317" s="364" t="s">
        <v>2378</v>
      </c>
      <c r="M317" s="364" t="s">
        <v>2328</v>
      </c>
      <c r="N317" s="364" t="s">
        <v>2329</v>
      </c>
      <c r="O317" s="364" t="s">
        <v>2460</v>
      </c>
      <c r="P317" s="364" t="s">
        <v>2461</v>
      </c>
      <c r="Q317" s="364" t="s">
        <v>2441</v>
      </c>
      <c r="R317" s="364" t="s">
        <v>2337</v>
      </c>
      <c r="S317" s="364" t="s">
        <v>2340</v>
      </c>
      <c r="T317" s="364" t="s">
        <v>2341</v>
      </c>
      <c r="U317" s="364" t="s">
        <v>2462</v>
      </c>
      <c r="V317" s="364" t="s">
        <v>2344</v>
      </c>
      <c r="W317" s="364" t="s">
        <v>2396</v>
      </c>
      <c r="X317" s="364" t="s">
        <v>2463</v>
      </c>
      <c r="Y317" s="364" t="s">
        <v>2446</v>
      </c>
      <c r="Z317" s="364"/>
      <c r="AA317" s="364"/>
      <c r="AB317" s="364"/>
      <c r="AC317" s="364"/>
      <c r="AD317" s="364"/>
      <c r="AE317" s="364"/>
      <c r="AF317" s="364"/>
      <c r="AG317" s="364"/>
      <c r="AH317" s="364"/>
      <c r="AI317" s="364"/>
      <c r="AJ317" s="364"/>
      <c r="AK317" s="364"/>
      <c r="AL317" s="364"/>
      <c r="AM317" s="364"/>
      <c r="AN317" s="364"/>
      <c r="AO317" s="364"/>
      <c r="AP317" s="364"/>
      <c r="AQ317" s="364"/>
      <c r="AR317" s="364"/>
      <c r="AS317" s="364"/>
      <c r="AT317" s="364"/>
      <c r="AU317" s="364"/>
      <c r="AV317" s="364"/>
      <c r="AW317" s="364"/>
      <c r="AX317" s="364"/>
      <c r="AY317" s="364"/>
      <c r="AZ317" s="364"/>
      <c r="BA317" s="364"/>
      <c r="BB317" s="364"/>
      <c r="BC317" s="364"/>
      <c r="BD317" s="364"/>
      <c r="BE317" s="364"/>
      <c r="BF317" s="364"/>
      <c r="BG317" s="364"/>
      <c r="BH317" s="364"/>
      <c r="BI317" s="364"/>
      <c r="BJ317" s="364"/>
      <c r="BK317" s="364"/>
      <c r="BL317" s="364"/>
      <c r="BM317" s="364"/>
      <c r="BN317" s="364"/>
      <c r="BO317" s="364"/>
      <c r="BP317" s="364"/>
      <c r="BQ317" s="364"/>
      <c r="BR317" s="364"/>
      <c r="BS317" s="364"/>
      <c r="BT317" s="364"/>
      <c r="BU317" s="364"/>
      <c r="BV317" s="364"/>
      <c r="BW317" s="364"/>
      <c r="BX317" s="364"/>
      <c r="BY317" s="364"/>
      <c r="BZ317" s="364"/>
      <c r="CA317" s="364"/>
      <c r="CB317" s="364"/>
      <c r="CC317" s="364"/>
      <c r="CD317" s="364"/>
      <c r="CE317" s="364"/>
      <c r="CF317" s="364"/>
      <c r="CG317" s="364"/>
      <c r="CH317" s="364"/>
      <c r="CI317" s="364"/>
      <c r="CJ317" s="364"/>
      <c r="CK317" s="364"/>
      <c r="CL317" s="364"/>
      <c r="CM317" s="364"/>
      <c r="CN317" s="364"/>
      <c r="CO317" s="364"/>
      <c r="CP317" s="364"/>
      <c r="CQ317" s="364"/>
      <c r="CR317" s="364"/>
      <c r="CS317" s="364"/>
      <c r="CT317" s="364"/>
      <c r="CU317" s="364"/>
      <c r="CV317" s="364"/>
      <c r="CW317" s="364"/>
      <c r="CX317" s="364"/>
      <c r="CY317" s="364"/>
      <c r="CZ317" s="364"/>
      <c r="DA317" s="364"/>
      <c r="DB317" s="364"/>
      <c r="DC317" s="364"/>
      <c r="DD317" s="364"/>
      <c r="DE317" s="364"/>
      <c r="DF317" s="364"/>
      <c r="DG317" s="364"/>
      <c r="DH317" s="364"/>
      <c r="DI317" s="364"/>
      <c r="DJ317" s="364"/>
      <c r="DK317" s="364"/>
      <c r="DL317" s="364"/>
      <c r="DM317" s="364"/>
      <c r="DN317" s="364"/>
      <c r="DO317" s="364"/>
      <c r="DP317" s="364"/>
      <c r="DQ317" s="364"/>
      <c r="DR317" s="364"/>
      <c r="DS317" s="364"/>
      <c r="DT317" s="364"/>
      <c r="DU317" s="364"/>
      <c r="DV317" s="364"/>
      <c r="DW317" s="364"/>
      <c r="DX317" s="364"/>
      <c r="DY317" s="364"/>
      <c r="DZ317" s="364"/>
      <c r="EA317" s="364"/>
      <c r="EB317" s="364"/>
      <c r="EC317" s="364"/>
      <c r="ED317" s="364"/>
      <c r="EE317" s="364"/>
      <c r="EF317" s="364"/>
      <c r="EG317" s="364"/>
      <c r="EH317" s="364"/>
      <c r="EI317" s="364"/>
      <c r="EJ317" s="364"/>
      <c r="EK317" s="364"/>
      <c r="EL317" s="364"/>
      <c r="EM317" s="364"/>
      <c r="EN317" s="364"/>
      <c r="EO317" s="364"/>
      <c r="EP317" s="364"/>
      <c r="EQ317" s="364"/>
      <c r="ER317" s="364"/>
      <c r="ES317" s="364"/>
      <c r="ET317" s="364"/>
      <c r="EU317" s="364"/>
      <c r="EV317" s="364"/>
      <c r="EW317" s="364"/>
      <c r="EX317" s="364"/>
      <c r="EY317" s="364"/>
      <c r="EZ317" s="364"/>
      <c r="FA317" s="364"/>
      <c r="FB317" s="364"/>
      <c r="FC317" s="364"/>
      <c r="FD317" s="364"/>
      <c r="FE317" s="364"/>
      <c r="FF317" s="364"/>
      <c r="FG317" s="364"/>
      <c r="FH317" s="364"/>
      <c r="FI317" s="364"/>
      <c r="FJ317" s="364"/>
      <c r="FK317" s="364"/>
    </row>
    <row r="318" customFormat="false" ht="15.75" hidden="false" customHeight="false" outlineLevel="0" collapsed="false">
      <c r="A318" s="364" t="n">
        <v>621</v>
      </c>
      <c r="B318" s="364" t="n">
        <f aca="false">COUNTA(D318:FK318)</f>
        <v>26</v>
      </c>
      <c r="C318" s="364" t="s">
        <v>1591</v>
      </c>
      <c r="D318" s="364" t="s">
        <v>2516</v>
      </c>
      <c r="E318" s="364" t="s">
        <v>2464</v>
      </c>
      <c r="F318" s="364" t="s">
        <v>2569</v>
      </c>
      <c r="G318" s="364" t="s">
        <v>2320</v>
      </c>
      <c r="H318" s="364" t="s">
        <v>2372</v>
      </c>
      <c r="I318" s="364" t="s">
        <v>2324</v>
      </c>
      <c r="J318" s="364" t="s">
        <v>2328</v>
      </c>
      <c r="K318" s="364" t="s">
        <v>2329</v>
      </c>
      <c r="L318" s="364" t="s">
        <v>2539</v>
      </c>
      <c r="M318" s="364" t="s">
        <v>2386</v>
      </c>
      <c r="N318" s="364" t="s">
        <v>2455</v>
      </c>
      <c r="O318" s="364" t="s">
        <v>2461</v>
      </c>
      <c r="P318" s="364" t="s">
        <v>2337</v>
      </c>
      <c r="Q318" s="364" t="s">
        <v>2339</v>
      </c>
      <c r="R318" s="364" t="s">
        <v>2340</v>
      </c>
      <c r="S318" s="364" t="s">
        <v>2341</v>
      </c>
      <c r="T318" s="364" t="s">
        <v>2470</v>
      </c>
      <c r="U318" s="364" t="s">
        <v>2422</v>
      </c>
      <c r="V318" s="364" t="s">
        <v>2344</v>
      </c>
      <c r="W318" s="364" t="s">
        <v>2570</v>
      </c>
      <c r="X318" s="364" t="s">
        <v>2571</v>
      </c>
      <c r="Y318" s="364" t="s">
        <v>2515</v>
      </c>
      <c r="Z318" s="364" t="s">
        <v>2475</v>
      </c>
      <c r="AA318" s="364" t="s">
        <v>2476</v>
      </c>
      <c r="AB318" s="364" t="s">
        <v>2492</v>
      </c>
      <c r="AC318" s="364" t="s">
        <v>2477</v>
      </c>
      <c r="AD318" s="364"/>
      <c r="AE318" s="364"/>
      <c r="AF318" s="364"/>
      <c r="AG318" s="364"/>
      <c r="AH318" s="364"/>
      <c r="AI318" s="364"/>
      <c r="AJ318" s="364"/>
      <c r="AK318" s="364"/>
      <c r="AL318" s="364"/>
      <c r="AM318" s="364"/>
      <c r="AN318" s="364"/>
      <c r="AO318" s="364"/>
      <c r="AP318" s="364"/>
      <c r="AQ318" s="364"/>
      <c r="AR318" s="364"/>
      <c r="AS318" s="364"/>
      <c r="AT318" s="364"/>
      <c r="AU318" s="364"/>
      <c r="AV318" s="364"/>
      <c r="AW318" s="364"/>
      <c r="AX318" s="364"/>
      <c r="AY318" s="364"/>
      <c r="AZ318" s="364"/>
      <c r="BA318" s="364"/>
      <c r="BB318" s="364"/>
      <c r="BC318" s="364"/>
      <c r="BD318" s="364"/>
      <c r="BE318" s="364"/>
      <c r="BF318" s="364"/>
      <c r="BG318" s="364"/>
      <c r="BH318" s="364"/>
      <c r="BI318" s="364"/>
      <c r="BJ318" s="364"/>
      <c r="BK318" s="364"/>
      <c r="BL318" s="364"/>
      <c r="BM318" s="364"/>
      <c r="BN318" s="364"/>
      <c r="BO318" s="364"/>
      <c r="BP318" s="364"/>
      <c r="BQ318" s="364"/>
      <c r="BR318" s="364"/>
      <c r="BS318" s="364"/>
      <c r="BT318" s="364"/>
      <c r="BU318" s="364"/>
      <c r="BV318" s="364"/>
      <c r="BW318" s="364"/>
      <c r="BX318" s="364"/>
      <c r="BY318" s="364"/>
      <c r="BZ318" s="364"/>
      <c r="CA318" s="364"/>
      <c r="CB318" s="364"/>
      <c r="CC318" s="364"/>
      <c r="CD318" s="364"/>
      <c r="CE318" s="364"/>
      <c r="CF318" s="364"/>
      <c r="CG318" s="364"/>
      <c r="CH318" s="364"/>
      <c r="CI318" s="364"/>
      <c r="CJ318" s="364"/>
      <c r="CK318" s="364"/>
      <c r="CL318" s="364"/>
      <c r="CM318" s="364"/>
      <c r="CN318" s="364"/>
      <c r="CO318" s="364"/>
      <c r="CP318" s="364"/>
      <c r="CQ318" s="364"/>
      <c r="CR318" s="364"/>
      <c r="CS318" s="364"/>
      <c r="CT318" s="364"/>
      <c r="CU318" s="364"/>
      <c r="CV318" s="364"/>
      <c r="CW318" s="364"/>
      <c r="CX318" s="364"/>
      <c r="CY318" s="364"/>
      <c r="CZ318" s="364"/>
      <c r="DA318" s="364"/>
      <c r="DB318" s="364"/>
      <c r="DC318" s="364"/>
      <c r="DD318" s="364"/>
      <c r="DE318" s="364"/>
      <c r="DF318" s="364"/>
      <c r="DG318" s="364"/>
      <c r="DH318" s="364"/>
      <c r="DI318" s="364"/>
      <c r="DJ318" s="364"/>
      <c r="DK318" s="364"/>
      <c r="DL318" s="364"/>
      <c r="DM318" s="364"/>
      <c r="DN318" s="364"/>
      <c r="DO318" s="364"/>
      <c r="DP318" s="364"/>
      <c r="DQ318" s="364"/>
      <c r="DR318" s="364"/>
      <c r="DS318" s="364"/>
      <c r="DT318" s="364"/>
      <c r="DU318" s="364"/>
      <c r="DV318" s="364"/>
      <c r="DW318" s="364"/>
      <c r="DX318" s="364"/>
      <c r="DY318" s="364"/>
      <c r="DZ318" s="364"/>
      <c r="EA318" s="364"/>
      <c r="EB318" s="364"/>
      <c r="EC318" s="364"/>
      <c r="ED318" s="364"/>
      <c r="EE318" s="364"/>
      <c r="EF318" s="364"/>
      <c r="EG318" s="364"/>
      <c r="EH318" s="364"/>
      <c r="EI318" s="364"/>
      <c r="EJ318" s="364"/>
      <c r="EK318" s="364"/>
      <c r="EL318" s="364"/>
      <c r="EM318" s="364"/>
      <c r="EN318" s="364"/>
      <c r="EO318" s="364"/>
      <c r="EP318" s="364"/>
      <c r="EQ318" s="364"/>
      <c r="ER318" s="364"/>
      <c r="ES318" s="364"/>
      <c r="ET318" s="364"/>
      <c r="EU318" s="364"/>
      <c r="EV318" s="364"/>
      <c r="EW318" s="364"/>
      <c r="EX318" s="364"/>
      <c r="EY318" s="364"/>
      <c r="EZ318" s="364"/>
      <c r="FA318" s="364"/>
      <c r="FB318" s="364"/>
      <c r="FC318" s="364"/>
      <c r="FD318" s="364"/>
      <c r="FE318" s="364"/>
      <c r="FF318" s="364"/>
      <c r="FG318" s="364"/>
      <c r="FH318" s="364"/>
      <c r="FI318" s="364"/>
      <c r="FJ318" s="364"/>
      <c r="FK318" s="364"/>
    </row>
    <row r="319" customFormat="false" ht="15.75" hidden="false" customHeight="false" outlineLevel="0" collapsed="false">
      <c r="A319" s="364" t="n">
        <v>624</v>
      </c>
      <c r="B319" s="364" t="n">
        <f aca="false">COUNTA(D319:FK319)</f>
        <v>29</v>
      </c>
      <c r="C319" s="364" t="s">
        <v>1597</v>
      </c>
      <c r="D319" s="364" t="s">
        <v>2313</v>
      </c>
      <c r="E319" s="364" t="s">
        <v>2497</v>
      </c>
      <c r="F319" s="364" t="s">
        <v>2317</v>
      </c>
      <c r="G319" s="364" t="s">
        <v>2562</v>
      </c>
      <c r="H319" s="364" t="s">
        <v>2320</v>
      </c>
      <c r="I319" s="364" t="s">
        <v>2411</v>
      </c>
      <c r="J319" s="364" t="s">
        <v>2324</v>
      </c>
      <c r="K319" s="364" t="s">
        <v>2327</v>
      </c>
      <c r="L319" s="364" t="s">
        <v>2328</v>
      </c>
      <c r="M319" s="364" t="s">
        <v>2329</v>
      </c>
      <c r="N319" s="364" t="s">
        <v>2506</v>
      </c>
      <c r="O319" s="261" t="s">
        <v>183</v>
      </c>
      <c r="P319" s="364" t="s">
        <v>2536</v>
      </c>
      <c r="Q319" s="364" t="s">
        <v>2337</v>
      </c>
      <c r="R319" s="364" t="s">
        <v>2564</v>
      </c>
      <c r="S319" s="364" t="s">
        <v>2388</v>
      </c>
      <c r="T319" s="364" t="s">
        <v>2339</v>
      </c>
      <c r="U319" s="364" t="s">
        <v>2389</v>
      </c>
      <c r="V319" s="364" t="s">
        <v>2340</v>
      </c>
      <c r="W319" s="364" t="s">
        <v>2341</v>
      </c>
      <c r="X319" s="364" t="s">
        <v>2423</v>
      </c>
      <c r="Y319" s="364" t="s">
        <v>2344</v>
      </c>
      <c r="Z319" s="364" t="s">
        <v>2345</v>
      </c>
      <c r="AA319" s="364" t="s">
        <v>2346</v>
      </c>
      <c r="AB319" s="364" t="s">
        <v>2500</v>
      </c>
      <c r="AC319" s="364" t="s">
        <v>2347</v>
      </c>
      <c r="AD319" s="364" t="s">
        <v>2511</v>
      </c>
      <c r="AE319" s="364" t="s">
        <v>2348</v>
      </c>
      <c r="AF319" s="364" t="s">
        <v>2456</v>
      </c>
      <c r="AG319" s="364"/>
      <c r="AH319" s="364"/>
      <c r="AI319" s="364"/>
      <c r="AJ319" s="364"/>
      <c r="AK319" s="364"/>
      <c r="AL319" s="364"/>
      <c r="AM319" s="364"/>
      <c r="AN319" s="364"/>
      <c r="AO319" s="364"/>
      <c r="AP319" s="364"/>
      <c r="AQ319" s="364"/>
      <c r="AR319" s="364"/>
      <c r="AS319" s="364"/>
      <c r="AT319" s="364"/>
      <c r="AU319" s="364"/>
      <c r="AV319" s="364"/>
      <c r="AW319" s="364"/>
      <c r="AX319" s="364"/>
      <c r="AY319" s="364"/>
      <c r="AZ319" s="364"/>
      <c r="BA319" s="364"/>
      <c r="BB319" s="364"/>
      <c r="BC319" s="364"/>
      <c r="BD319" s="364"/>
      <c r="BE319" s="364"/>
      <c r="BF319" s="364"/>
      <c r="BG319" s="364"/>
      <c r="BH319" s="364"/>
      <c r="BI319" s="364"/>
      <c r="BJ319" s="364"/>
      <c r="BK319" s="364"/>
      <c r="BL319" s="364"/>
      <c r="BM319" s="364"/>
      <c r="BN319" s="364"/>
      <c r="BO319" s="364"/>
      <c r="BP319" s="364"/>
      <c r="BQ319" s="364"/>
      <c r="BR319" s="364"/>
      <c r="BS319" s="364"/>
      <c r="BT319" s="364"/>
      <c r="BU319" s="364"/>
      <c r="BV319" s="364"/>
      <c r="BW319" s="364"/>
      <c r="BX319" s="364"/>
      <c r="BY319" s="364"/>
      <c r="BZ319" s="364"/>
      <c r="CA319" s="364"/>
      <c r="CB319" s="364"/>
      <c r="CC319" s="364"/>
      <c r="CD319" s="364"/>
      <c r="CE319" s="364"/>
      <c r="CF319" s="364"/>
      <c r="CG319" s="364"/>
      <c r="CH319" s="364"/>
      <c r="CI319" s="364"/>
      <c r="CJ319" s="364"/>
      <c r="CK319" s="364"/>
      <c r="CL319" s="364"/>
      <c r="CM319" s="364"/>
      <c r="CN319" s="364"/>
      <c r="CO319" s="364"/>
      <c r="CP319" s="364"/>
      <c r="CQ319" s="364"/>
      <c r="CR319" s="364"/>
      <c r="CS319" s="364"/>
      <c r="CT319" s="364"/>
      <c r="CU319" s="364"/>
      <c r="CV319" s="364"/>
      <c r="CW319" s="364"/>
      <c r="CX319" s="364"/>
      <c r="CY319" s="364"/>
      <c r="CZ319" s="364"/>
      <c r="DA319" s="364"/>
      <c r="DB319" s="364"/>
      <c r="DC319" s="364"/>
      <c r="DD319" s="364"/>
      <c r="DE319" s="364"/>
      <c r="DF319" s="364"/>
      <c r="DG319" s="364"/>
      <c r="DH319" s="364"/>
      <c r="DI319" s="364"/>
      <c r="DJ319" s="364"/>
      <c r="DK319" s="364"/>
      <c r="DL319" s="364"/>
      <c r="DM319" s="364"/>
      <c r="DN319" s="364"/>
      <c r="DO319" s="364"/>
      <c r="DP319" s="364"/>
      <c r="DQ319" s="364"/>
      <c r="DR319" s="364"/>
      <c r="DS319" s="364"/>
      <c r="DT319" s="364"/>
      <c r="DU319" s="364"/>
      <c r="DV319" s="364"/>
      <c r="DW319" s="364"/>
      <c r="DX319" s="364"/>
      <c r="DY319" s="364"/>
      <c r="DZ319" s="364"/>
      <c r="EA319" s="364"/>
      <c r="EB319" s="364"/>
      <c r="EC319" s="364"/>
      <c r="ED319" s="364"/>
      <c r="EE319" s="364"/>
      <c r="EF319" s="364"/>
      <c r="EG319" s="364"/>
      <c r="EH319" s="364"/>
      <c r="EI319" s="364"/>
      <c r="EJ319" s="364"/>
      <c r="EK319" s="364"/>
      <c r="EL319" s="364"/>
      <c r="EM319" s="364"/>
      <c r="EN319" s="364"/>
      <c r="EO319" s="364"/>
      <c r="EP319" s="364"/>
      <c r="EQ319" s="364"/>
      <c r="ER319" s="364"/>
      <c r="ES319" s="364"/>
      <c r="ET319" s="364"/>
      <c r="EU319" s="364"/>
      <c r="EV319" s="364"/>
      <c r="EW319" s="364"/>
      <c r="EX319" s="364"/>
      <c r="EY319" s="364"/>
      <c r="EZ319" s="364"/>
      <c r="FA319" s="364"/>
      <c r="FB319" s="364"/>
      <c r="FC319" s="364"/>
      <c r="FD319" s="364"/>
      <c r="FE319" s="364"/>
      <c r="FF319" s="364"/>
      <c r="FG319" s="364"/>
      <c r="FH319" s="364"/>
      <c r="FI319" s="364"/>
      <c r="FJ319" s="364"/>
      <c r="FK319" s="364"/>
    </row>
    <row r="320" customFormat="false" ht="15.75" hidden="false" customHeight="false" outlineLevel="0" collapsed="false">
      <c r="A320" s="364" t="n">
        <v>626</v>
      </c>
      <c r="B320" s="364" t="n">
        <f aca="false">COUNTA(D320:FK320)</f>
        <v>39</v>
      </c>
      <c r="C320" s="364" t="s">
        <v>1601</v>
      </c>
      <c r="D320" s="364" t="s">
        <v>2431</v>
      </c>
      <c r="E320" s="364" t="s">
        <v>2352</v>
      </c>
      <c r="F320" s="364" t="s">
        <v>2353</v>
      </c>
      <c r="G320" s="364" t="s">
        <v>2354</v>
      </c>
      <c r="H320" s="364" t="s">
        <v>2447</v>
      </c>
      <c r="I320" s="364" t="s">
        <v>2464</v>
      </c>
      <c r="J320" s="364" t="s">
        <v>2434</v>
      </c>
      <c r="K320" s="364" t="s">
        <v>2435</v>
      </c>
      <c r="L320" s="364" t="s">
        <v>2448</v>
      </c>
      <c r="M320" s="364" t="s">
        <v>2319</v>
      </c>
      <c r="N320" s="364" t="s">
        <v>2320</v>
      </c>
      <c r="O320" s="364" t="s">
        <v>2375</v>
      </c>
      <c r="P320" s="364" t="s">
        <v>2550</v>
      </c>
      <c r="Q320" s="364" t="s">
        <v>2323</v>
      </c>
      <c r="R320" s="364" t="s">
        <v>2324</v>
      </c>
      <c r="S320" s="364" t="s">
        <v>2437</v>
      </c>
      <c r="T320" s="364" t="s">
        <v>2412</v>
      </c>
      <c r="U320" s="364" t="s">
        <v>2625</v>
      </c>
      <c r="V320" s="364" t="s">
        <v>2378</v>
      </c>
      <c r="W320" s="364" t="s">
        <v>2328</v>
      </c>
      <c r="X320" s="364" t="s">
        <v>2329</v>
      </c>
      <c r="Y320" s="364" t="s">
        <v>2330</v>
      </c>
      <c r="Z320" s="364" t="s">
        <v>2460</v>
      </c>
      <c r="AA320" s="364" t="s">
        <v>157</v>
      </c>
      <c r="AB320" s="364" t="s">
        <v>2495</v>
      </c>
      <c r="AC320" s="364" t="s">
        <v>2337</v>
      </c>
      <c r="AD320" s="364" t="s">
        <v>2340</v>
      </c>
      <c r="AE320" s="364" t="s">
        <v>2341</v>
      </c>
      <c r="AF320" s="364" t="s">
        <v>2442</v>
      </c>
      <c r="AG320" s="364" t="s">
        <v>2470</v>
      </c>
      <c r="AH320" s="364" t="s">
        <v>2422</v>
      </c>
      <c r="AI320" s="364" t="s">
        <v>2462</v>
      </c>
      <c r="AJ320" s="364" t="s">
        <v>2344</v>
      </c>
      <c r="AK320" s="364" t="s">
        <v>2396</v>
      </c>
      <c r="AL320" s="364" t="s">
        <v>2474</v>
      </c>
      <c r="AM320" s="364" t="s">
        <v>2445</v>
      </c>
      <c r="AN320" s="364" t="s">
        <v>2463</v>
      </c>
      <c r="AO320" s="364" t="s">
        <v>2446</v>
      </c>
      <c r="AP320" s="364" t="s">
        <v>2430</v>
      </c>
      <c r="AQ320" s="364"/>
      <c r="AR320" s="364"/>
      <c r="AS320" s="364"/>
      <c r="AT320" s="364"/>
      <c r="AU320" s="364"/>
      <c r="AV320" s="364"/>
      <c r="AW320" s="364"/>
      <c r="AX320" s="364"/>
      <c r="AY320" s="364"/>
      <c r="AZ320" s="364"/>
      <c r="BA320" s="364"/>
      <c r="BB320" s="364"/>
      <c r="BC320" s="364"/>
      <c r="BD320" s="364"/>
      <c r="BE320" s="364"/>
      <c r="BF320" s="364"/>
      <c r="BG320" s="364"/>
      <c r="BH320" s="364"/>
      <c r="BI320" s="364"/>
      <c r="BJ320" s="364"/>
      <c r="BK320" s="364"/>
      <c r="BL320" s="364"/>
      <c r="BM320" s="364"/>
      <c r="BN320" s="364"/>
      <c r="BO320" s="364"/>
      <c r="BP320" s="364"/>
      <c r="BQ320" s="364"/>
      <c r="BR320" s="364"/>
      <c r="BS320" s="364"/>
      <c r="BT320" s="364"/>
      <c r="BU320" s="364"/>
      <c r="BV320" s="364"/>
      <c r="BW320" s="364"/>
      <c r="BX320" s="364"/>
      <c r="BY320" s="364"/>
      <c r="BZ320" s="364"/>
      <c r="CA320" s="364"/>
      <c r="CB320" s="364"/>
      <c r="CC320" s="364"/>
      <c r="CD320" s="364"/>
      <c r="CE320" s="364"/>
      <c r="CF320" s="364"/>
      <c r="CG320" s="364"/>
      <c r="CH320" s="364"/>
      <c r="CI320" s="364"/>
      <c r="CJ320" s="364"/>
      <c r="CK320" s="364"/>
      <c r="CL320" s="364"/>
      <c r="CM320" s="364"/>
      <c r="CN320" s="364"/>
      <c r="CO320" s="364"/>
      <c r="CP320" s="364"/>
      <c r="CQ320" s="364"/>
      <c r="CR320" s="364"/>
      <c r="CS320" s="364"/>
      <c r="CT320" s="364"/>
      <c r="CU320" s="364"/>
      <c r="CV320" s="364"/>
      <c r="CW320" s="364"/>
      <c r="CX320" s="364"/>
      <c r="CY320" s="364"/>
      <c r="CZ320" s="364"/>
      <c r="DA320" s="364"/>
      <c r="DB320" s="364"/>
      <c r="DC320" s="364"/>
      <c r="DD320" s="364"/>
      <c r="DE320" s="364"/>
      <c r="DF320" s="364"/>
      <c r="DG320" s="364"/>
      <c r="DH320" s="364"/>
      <c r="DI320" s="364"/>
      <c r="DJ320" s="364"/>
      <c r="DK320" s="364"/>
      <c r="DL320" s="364"/>
      <c r="DM320" s="364"/>
      <c r="DN320" s="364"/>
      <c r="DO320" s="364"/>
      <c r="DP320" s="364"/>
      <c r="DQ320" s="364"/>
      <c r="DR320" s="364"/>
      <c r="DS320" s="364"/>
      <c r="DT320" s="364"/>
      <c r="DU320" s="364"/>
      <c r="DV320" s="364"/>
      <c r="DW320" s="364"/>
      <c r="DX320" s="364"/>
      <c r="DY320" s="364"/>
      <c r="DZ320" s="364"/>
      <c r="EA320" s="364"/>
      <c r="EB320" s="364"/>
      <c r="EC320" s="364"/>
      <c r="ED320" s="364"/>
      <c r="EE320" s="364"/>
      <c r="EF320" s="364"/>
      <c r="EG320" s="364"/>
      <c r="EH320" s="364"/>
      <c r="EI320" s="364"/>
      <c r="EJ320" s="364"/>
      <c r="EK320" s="364"/>
      <c r="EL320" s="364"/>
      <c r="EM320" s="364"/>
      <c r="EN320" s="364"/>
      <c r="EO320" s="364"/>
      <c r="EP320" s="364"/>
      <c r="EQ320" s="364"/>
      <c r="ER320" s="364"/>
      <c r="ES320" s="364"/>
      <c r="ET320" s="364"/>
      <c r="EU320" s="364"/>
      <c r="EV320" s="364"/>
      <c r="EW320" s="364"/>
      <c r="EX320" s="364"/>
      <c r="EY320" s="364"/>
      <c r="EZ320" s="364"/>
      <c r="FA320" s="364"/>
      <c r="FB320" s="364"/>
      <c r="FC320" s="364"/>
      <c r="FD320" s="364"/>
      <c r="FE320" s="364"/>
      <c r="FF320" s="364"/>
      <c r="FG320" s="364"/>
      <c r="FH320" s="364"/>
      <c r="FI320" s="364"/>
      <c r="FJ320" s="364"/>
      <c r="FK320" s="364"/>
    </row>
    <row r="321" customFormat="false" ht="15.75" hidden="false" customHeight="false" outlineLevel="0" collapsed="false">
      <c r="A321" s="364" t="n">
        <v>628</v>
      </c>
      <c r="B321" s="364" t="n">
        <f aca="false">COUNTA(D321:FK321)</f>
        <v>35</v>
      </c>
      <c r="C321" s="364" t="s">
        <v>1605</v>
      </c>
      <c r="D321" s="364" t="s">
        <v>2352</v>
      </c>
      <c r="E321" s="364" t="s">
        <v>2356</v>
      </c>
      <c r="F321" s="364" t="s">
        <v>2357</v>
      </c>
      <c r="G321" s="364" t="s">
        <v>2313</v>
      </c>
      <c r="H321" s="364" t="s">
        <v>2315</v>
      </c>
      <c r="I321" s="364" t="s">
        <v>2358</v>
      </c>
      <c r="J321" s="364" t="s">
        <v>184</v>
      </c>
      <c r="K321" s="364" t="s">
        <v>2497</v>
      </c>
      <c r="L321" s="364" t="s">
        <v>2317</v>
      </c>
      <c r="M321" s="364" t="s">
        <v>2320</v>
      </c>
      <c r="N321" s="364" t="s">
        <v>2376</v>
      </c>
      <c r="O321" s="364" t="s">
        <v>2498</v>
      </c>
      <c r="P321" s="364" t="s">
        <v>2324</v>
      </c>
      <c r="Q321" s="364" t="s">
        <v>2328</v>
      </c>
      <c r="R321" s="364" t="s">
        <v>2329</v>
      </c>
      <c r="S321" s="364" t="s">
        <v>2506</v>
      </c>
      <c r="T321" s="364" t="s">
        <v>2384</v>
      </c>
      <c r="U321" s="261" t="s">
        <v>183</v>
      </c>
      <c r="V321" s="364" t="s">
        <v>2454</v>
      </c>
      <c r="W321" s="364" t="s">
        <v>2419</v>
      </c>
      <c r="X321" s="364" t="s">
        <v>2337</v>
      </c>
      <c r="Y321" s="364" t="s">
        <v>2388</v>
      </c>
      <c r="Z321" s="364" t="s">
        <v>2339</v>
      </c>
      <c r="AA321" s="364" t="s">
        <v>2389</v>
      </c>
      <c r="AB321" s="364" t="s">
        <v>2340</v>
      </c>
      <c r="AC321" s="364" t="s">
        <v>2390</v>
      </c>
      <c r="AD321" s="364" t="s">
        <v>2341</v>
      </c>
      <c r="AE321" s="364" t="s">
        <v>2392</v>
      </c>
      <c r="AF321" s="364" t="s">
        <v>2395</v>
      </c>
      <c r="AG321" s="364" t="s">
        <v>2343</v>
      </c>
      <c r="AH321" s="364" t="s">
        <v>2514</v>
      </c>
      <c r="AI321" s="364" t="s">
        <v>2344</v>
      </c>
      <c r="AJ321" s="364" t="s">
        <v>2346</v>
      </c>
      <c r="AK321" s="364" t="s">
        <v>2347</v>
      </c>
      <c r="AL321" s="364" t="s">
        <v>2458</v>
      </c>
      <c r="AM321" s="364"/>
      <c r="AN321" s="364"/>
      <c r="AO321" s="364"/>
      <c r="AP321" s="364"/>
      <c r="AQ321" s="364"/>
      <c r="AR321" s="364"/>
      <c r="AS321" s="364"/>
      <c r="AT321" s="364"/>
      <c r="AU321" s="364"/>
      <c r="AV321" s="364"/>
      <c r="AW321" s="364"/>
      <c r="AX321" s="364"/>
      <c r="AY321" s="364"/>
      <c r="AZ321" s="364"/>
      <c r="BA321" s="364"/>
      <c r="BB321" s="364"/>
      <c r="BC321" s="364"/>
      <c r="BD321" s="364"/>
      <c r="BE321" s="364"/>
      <c r="BF321" s="364"/>
      <c r="BG321" s="364"/>
      <c r="BH321" s="364"/>
      <c r="BI321" s="364"/>
      <c r="BJ321" s="364"/>
      <c r="BK321" s="364"/>
      <c r="BL321" s="364"/>
      <c r="BM321" s="364"/>
      <c r="BN321" s="364"/>
      <c r="BO321" s="364"/>
      <c r="BP321" s="364"/>
      <c r="BQ321" s="364"/>
      <c r="BR321" s="364"/>
      <c r="BS321" s="364"/>
      <c r="BT321" s="364"/>
      <c r="BU321" s="364"/>
      <c r="BV321" s="364"/>
      <c r="BW321" s="364"/>
      <c r="BX321" s="364"/>
      <c r="BY321" s="364"/>
      <c r="BZ321" s="364"/>
      <c r="CA321" s="364"/>
      <c r="CB321" s="364"/>
      <c r="CC321" s="364"/>
      <c r="CD321" s="364"/>
      <c r="CE321" s="364"/>
      <c r="CF321" s="364"/>
      <c r="CG321" s="364"/>
      <c r="CH321" s="364"/>
      <c r="CI321" s="364"/>
      <c r="CJ321" s="364"/>
      <c r="CK321" s="364"/>
      <c r="CL321" s="364"/>
      <c r="CM321" s="364"/>
      <c r="CN321" s="364"/>
      <c r="CO321" s="364"/>
      <c r="CP321" s="364"/>
      <c r="CQ321" s="364"/>
      <c r="CR321" s="364"/>
      <c r="CS321" s="364"/>
      <c r="CT321" s="364"/>
      <c r="CU321" s="364"/>
      <c r="CV321" s="364"/>
      <c r="CW321" s="364"/>
      <c r="CX321" s="364"/>
      <c r="CY321" s="364"/>
      <c r="CZ321" s="364"/>
      <c r="DA321" s="364"/>
      <c r="DB321" s="364"/>
      <c r="DC321" s="364"/>
      <c r="DD321" s="364"/>
      <c r="DE321" s="364"/>
      <c r="DF321" s="364"/>
      <c r="DG321" s="364"/>
      <c r="DH321" s="364"/>
      <c r="DI321" s="364"/>
      <c r="DJ321" s="364"/>
      <c r="DK321" s="364"/>
      <c r="DL321" s="364"/>
      <c r="DM321" s="364"/>
      <c r="DN321" s="364"/>
      <c r="DO321" s="364"/>
      <c r="DP321" s="364"/>
      <c r="DQ321" s="364"/>
      <c r="DR321" s="364"/>
      <c r="DS321" s="364"/>
      <c r="DT321" s="364"/>
      <c r="DU321" s="364"/>
      <c r="DV321" s="364"/>
      <c r="DW321" s="364"/>
      <c r="DX321" s="364"/>
      <c r="DY321" s="364"/>
      <c r="DZ321" s="364"/>
      <c r="EA321" s="364"/>
      <c r="EB321" s="364"/>
      <c r="EC321" s="364"/>
      <c r="ED321" s="364"/>
      <c r="EE321" s="364"/>
      <c r="EF321" s="364"/>
      <c r="EG321" s="364"/>
      <c r="EH321" s="364"/>
      <c r="EI321" s="364"/>
      <c r="EJ321" s="364"/>
      <c r="EK321" s="364"/>
      <c r="EL321" s="364"/>
      <c r="EM321" s="364"/>
      <c r="EN321" s="364"/>
      <c r="EO321" s="364"/>
      <c r="EP321" s="364"/>
      <c r="EQ321" s="364"/>
      <c r="ER321" s="364"/>
      <c r="ES321" s="364"/>
      <c r="ET321" s="364"/>
      <c r="EU321" s="364"/>
      <c r="EV321" s="364"/>
      <c r="EW321" s="364"/>
      <c r="EX321" s="364"/>
      <c r="EY321" s="364"/>
      <c r="EZ321" s="364"/>
      <c r="FA321" s="364"/>
      <c r="FB321" s="364"/>
      <c r="FC321" s="364"/>
      <c r="FD321" s="364"/>
      <c r="FE321" s="364"/>
      <c r="FF321" s="364"/>
      <c r="FG321" s="364"/>
      <c r="FH321" s="364"/>
      <c r="FI321" s="364"/>
      <c r="FJ321" s="364"/>
      <c r="FK321" s="364"/>
    </row>
    <row r="322" customFormat="false" ht="15.75" hidden="false" customHeight="false" outlineLevel="0" collapsed="false">
      <c r="A322" s="364" t="n">
        <v>629</v>
      </c>
      <c r="B322" s="364" t="n">
        <f aca="false">COUNTA(D322:FK322)</f>
        <v>53</v>
      </c>
      <c r="C322" s="364" t="s">
        <v>1607</v>
      </c>
      <c r="D322" s="364" t="s">
        <v>2405</v>
      </c>
      <c r="E322" s="364" t="s">
        <v>2464</v>
      </c>
      <c r="F322" s="364" t="s">
        <v>2465</v>
      </c>
      <c r="G322" s="364" t="s">
        <v>2517</v>
      </c>
      <c r="H322" s="364" t="s">
        <v>2358</v>
      </c>
      <c r="I322" s="364" t="s">
        <v>2518</v>
      </c>
      <c r="J322" s="364" t="s">
        <v>2316</v>
      </c>
      <c r="K322" s="364" t="s">
        <v>2519</v>
      </c>
      <c r="L322" s="364" t="s">
        <v>2624</v>
      </c>
      <c r="M322" s="364" t="s">
        <v>2520</v>
      </c>
      <c r="N322" s="364" t="s">
        <v>2435</v>
      </c>
      <c r="O322" s="364" t="s">
        <v>2318</v>
      </c>
      <c r="P322" s="364" t="s">
        <v>2320</v>
      </c>
      <c r="Q322" s="364" t="s">
        <v>2366</v>
      </c>
      <c r="R322" s="364" t="s">
        <v>2369</v>
      </c>
      <c r="S322" s="364" t="s">
        <v>2373</v>
      </c>
      <c r="T322" s="364" t="s">
        <v>2377</v>
      </c>
      <c r="U322" s="364" t="s">
        <v>2325</v>
      </c>
      <c r="V322" s="364" t="s">
        <v>2328</v>
      </c>
      <c r="W322" s="364" t="s">
        <v>2329</v>
      </c>
      <c r="X322" s="364" t="s">
        <v>2521</v>
      </c>
      <c r="Y322" s="364" t="s">
        <v>2415</v>
      </c>
      <c r="Z322" s="364" t="s">
        <v>2416</v>
      </c>
      <c r="AA322" s="364" t="s">
        <v>2417</v>
      </c>
      <c r="AB322" s="364" t="s">
        <v>2379</v>
      </c>
      <c r="AC322" s="364" t="s">
        <v>2381</v>
      </c>
      <c r="AD322" s="364" t="s">
        <v>2330</v>
      </c>
      <c r="AE322" s="364" t="s">
        <v>2468</v>
      </c>
      <c r="AF322" s="364" t="s">
        <v>2539</v>
      </c>
      <c r="AG322" s="364" t="s">
        <v>2582</v>
      </c>
      <c r="AH322" s="364" t="s">
        <v>2387</v>
      </c>
      <c r="AI322" s="364" t="s">
        <v>2620</v>
      </c>
      <c r="AJ322" s="364" t="s">
        <v>157</v>
      </c>
      <c r="AK322" s="364" t="s">
        <v>2495</v>
      </c>
      <c r="AL322" s="364" t="s">
        <v>2337</v>
      </c>
      <c r="AM322" s="364" t="s">
        <v>2469</v>
      </c>
      <c r="AN322" s="364" t="s">
        <v>2340</v>
      </c>
      <c r="AO322" s="364" t="s">
        <v>2341</v>
      </c>
      <c r="AP322" s="364" t="s">
        <v>2442</v>
      </c>
      <c r="AQ322" s="364" t="s">
        <v>2422</v>
      </c>
      <c r="AR322" s="364" t="s">
        <v>2344</v>
      </c>
      <c r="AS322" s="364" t="s">
        <v>2345</v>
      </c>
      <c r="AT322" s="364" t="s">
        <v>2346</v>
      </c>
      <c r="AU322" s="364" t="s">
        <v>2424</v>
      </c>
      <c r="AV322" s="364" t="s">
        <v>2349</v>
      </c>
      <c r="AW322" s="364" t="s">
        <v>2456</v>
      </c>
      <c r="AX322" s="364" t="s">
        <v>2475</v>
      </c>
      <c r="AY322" s="364" t="s">
        <v>2476</v>
      </c>
      <c r="AZ322" s="364" t="s">
        <v>2399</v>
      </c>
      <c r="BA322" s="364" t="s">
        <v>2463</v>
      </c>
      <c r="BB322" s="364" t="s">
        <v>2477</v>
      </c>
      <c r="BC322" s="364" t="s">
        <v>2572</v>
      </c>
      <c r="BD322" s="364" t="s">
        <v>2430</v>
      </c>
      <c r="BE322" s="364"/>
      <c r="BF322" s="364"/>
      <c r="BG322" s="364"/>
      <c r="BH322" s="364"/>
      <c r="BI322" s="364"/>
      <c r="BJ322" s="364"/>
      <c r="BK322" s="364"/>
      <c r="BL322" s="364"/>
      <c r="BM322" s="364"/>
      <c r="BN322" s="364"/>
      <c r="BO322" s="364"/>
      <c r="BP322" s="364"/>
      <c r="BQ322" s="364"/>
      <c r="BR322" s="364"/>
      <c r="BS322" s="364"/>
      <c r="BT322" s="364"/>
      <c r="BU322" s="364"/>
      <c r="BV322" s="364"/>
      <c r="BW322" s="364"/>
      <c r="BX322" s="364"/>
      <c r="BY322" s="364"/>
      <c r="BZ322" s="364"/>
      <c r="CA322" s="364"/>
      <c r="CB322" s="364"/>
      <c r="CC322" s="364"/>
      <c r="CD322" s="364"/>
      <c r="CE322" s="364"/>
      <c r="CF322" s="364"/>
      <c r="CG322" s="364"/>
      <c r="CH322" s="364"/>
      <c r="CI322" s="364"/>
      <c r="CJ322" s="364"/>
      <c r="CK322" s="364"/>
      <c r="CL322" s="364"/>
      <c r="CM322" s="364"/>
      <c r="CN322" s="364"/>
      <c r="CO322" s="364"/>
      <c r="CP322" s="364"/>
      <c r="CQ322" s="364"/>
      <c r="CR322" s="364"/>
      <c r="CS322" s="364"/>
      <c r="CT322" s="364"/>
      <c r="CU322" s="364"/>
      <c r="CV322" s="364"/>
      <c r="CW322" s="364"/>
      <c r="CX322" s="364"/>
      <c r="CY322" s="364"/>
      <c r="CZ322" s="364"/>
      <c r="DA322" s="364"/>
      <c r="DB322" s="364"/>
      <c r="DC322" s="364"/>
      <c r="DD322" s="364"/>
      <c r="DE322" s="364"/>
      <c r="DF322" s="364"/>
      <c r="DG322" s="364"/>
      <c r="DH322" s="364"/>
      <c r="DI322" s="364"/>
      <c r="DJ322" s="364"/>
      <c r="DK322" s="364"/>
      <c r="DL322" s="364"/>
      <c r="DM322" s="364"/>
      <c r="DN322" s="364"/>
      <c r="DO322" s="364"/>
      <c r="DP322" s="364"/>
      <c r="DQ322" s="364"/>
      <c r="DR322" s="364"/>
      <c r="DS322" s="364"/>
      <c r="DT322" s="364"/>
      <c r="DU322" s="364"/>
      <c r="DV322" s="364"/>
      <c r="DW322" s="364"/>
      <c r="DX322" s="364"/>
      <c r="DY322" s="364"/>
      <c r="DZ322" s="364"/>
      <c r="EA322" s="364"/>
      <c r="EB322" s="364"/>
      <c r="EC322" s="364"/>
      <c r="ED322" s="364"/>
      <c r="EE322" s="364"/>
      <c r="EF322" s="364"/>
      <c r="EG322" s="364"/>
      <c r="EH322" s="364"/>
      <c r="EI322" s="364"/>
      <c r="EJ322" s="364"/>
      <c r="EK322" s="364"/>
      <c r="EL322" s="364"/>
      <c r="EM322" s="364"/>
      <c r="EN322" s="364"/>
      <c r="EO322" s="364"/>
      <c r="EP322" s="364"/>
      <c r="EQ322" s="364"/>
      <c r="ER322" s="364"/>
      <c r="ES322" s="364"/>
      <c r="ET322" s="364"/>
      <c r="EU322" s="364"/>
      <c r="EV322" s="364"/>
      <c r="EW322" s="364"/>
      <c r="EX322" s="364"/>
      <c r="EY322" s="364"/>
      <c r="EZ322" s="364"/>
      <c r="FA322" s="364"/>
      <c r="FB322" s="364"/>
      <c r="FC322" s="364"/>
      <c r="FD322" s="364"/>
      <c r="FE322" s="364"/>
      <c r="FF322" s="364"/>
      <c r="FG322" s="364"/>
      <c r="FH322" s="364"/>
      <c r="FI322" s="364"/>
      <c r="FJ322" s="364"/>
      <c r="FK322" s="364"/>
    </row>
    <row r="323" customFormat="false" ht="15.75" hidden="false" customHeight="false" outlineLevel="0" collapsed="false">
      <c r="A323" s="364" t="n">
        <v>633</v>
      </c>
      <c r="B323" s="364" t="n">
        <f aca="false">COUNTA(D323:FK323)</f>
        <v>42</v>
      </c>
      <c r="C323" s="364" t="s">
        <v>1617</v>
      </c>
      <c r="D323" s="364" t="s">
        <v>2310</v>
      </c>
      <c r="E323" s="364" t="s">
        <v>2356</v>
      </c>
      <c r="F323" s="364" t="s">
        <v>2357</v>
      </c>
      <c r="G323" s="364" t="s">
        <v>2313</v>
      </c>
      <c r="H323" s="364" t="s">
        <v>2509</v>
      </c>
      <c r="I323" s="364" t="s">
        <v>2358</v>
      </c>
      <c r="J323" s="364" t="s">
        <v>2520</v>
      </c>
      <c r="K323" s="364" t="s">
        <v>2364</v>
      </c>
      <c r="L323" s="364" t="s">
        <v>2317</v>
      </c>
      <c r="M323" s="364" t="s">
        <v>2320</v>
      </c>
      <c r="N323" s="364" t="s">
        <v>2369</v>
      </c>
      <c r="O323" s="364" t="s">
        <v>2376</v>
      </c>
      <c r="P323" s="364" t="s">
        <v>2377</v>
      </c>
      <c r="Q323" s="364" t="s">
        <v>2324</v>
      </c>
      <c r="R323" s="364" t="s">
        <v>2325</v>
      </c>
      <c r="S323" s="364" t="s">
        <v>2614</v>
      </c>
      <c r="T323" s="364" t="s">
        <v>2328</v>
      </c>
      <c r="U323" s="364" t="s">
        <v>2329</v>
      </c>
      <c r="V323" s="364" t="s">
        <v>2416</v>
      </c>
      <c r="W323" s="364" t="s">
        <v>2330</v>
      </c>
      <c r="X323" s="364" t="s">
        <v>2539</v>
      </c>
      <c r="Y323" s="364" t="s">
        <v>2540</v>
      </c>
      <c r="Z323" s="364" t="s">
        <v>2452</v>
      </c>
      <c r="AA323" s="364" t="s">
        <v>2454</v>
      </c>
      <c r="AB323" s="364" t="s">
        <v>2582</v>
      </c>
      <c r="AC323" s="364" t="s">
        <v>2387</v>
      </c>
      <c r="AD323" s="364" t="s">
        <v>2337</v>
      </c>
      <c r="AE323" s="364" t="s">
        <v>2469</v>
      </c>
      <c r="AF323" s="364" t="s">
        <v>2388</v>
      </c>
      <c r="AG323" s="364" t="s">
        <v>2339</v>
      </c>
      <c r="AH323" s="364" t="s">
        <v>2565</v>
      </c>
      <c r="AI323" s="364" t="s">
        <v>2389</v>
      </c>
      <c r="AJ323" s="364" t="s">
        <v>2340</v>
      </c>
      <c r="AK323" s="364" t="s">
        <v>2341</v>
      </c>
      <c r="AL323" s="364" t="s">
        <v>2423</v>
      </c>
      <c r="AM323" s="364" t="s">
        <v>2344</v>
      </c>
      <c r="AN323" s="364" t="s">
        <v>2346</v>
      </c>
      <c r="AO323" s="364" t="s">
        <v>2500</v>
      </c>
      <c r="AP323" s="364" t="s">
        <v>2347</v>
      </c>
      <c r="AQ323" s="364" t="s">
        <v>2511</v>
      </c>
      <c r="AR323" s="364" t="s">
        <v>2399</v>
      </c>
      <c r="AS323" s="364" t="s">
        <v>2555</v>
      </c>
      <c r="AT323" s="364"/>
      <c r="AU323" s="364"/>
      <c r="AV323" s="364"/>
      <c r="AW323" s="364"/>
      <c r="AX323" s="364"/>
      <c r="AY323" s="364"/>
      <c r="AZ323" s="364"/>
      <c r="BA323" s="364"/>
      <c r="BB323" s="364"/>
      <c r="BC323" s="364"/>
      <c r="BD323" s="364"/>
      <c r="BE323" s="364"/>
      <c r="BF323" s="364"/>
      <c r="BG323" s="364"/>
      <c r="BH323" s="364"/>
      <c r="BI323" s="364"/>
      <c r="BJ323" s="364"/>
      <c r="BK323" s="364"/>
      <c r="BL323" s="364"/>
      <c r="BM323" s="364"/>
      <c r="BN323" s="364"/>
      <c r="BO323" s="364"/>
      <c r="BP323" s="364"/>
      <c r="BQ323" s="364"/>
      <c r="BR323" s="364"/>
      <c r="BS323" s="364"/>
      <c r="BT323" s="364"/>
      <c r="BU323" s="364"/>
      <c r="BV323" s="364"/>
      <c r="BW323" s="364"/>
      <c r="BX323" s="364"/>
      <c r="BY323" s="364"/>
      <c r="BZ323" s="364"/>
      <c r="CA323" s="364"/>
      <c r="CB323" s="364"/>
      <c r="CC323" s="364"/>
      <c r="CD323" s="364"/>
      <c r="CE323" s="364"/>
      <c r="CF323" s="364"/>
      <c r="CG323" s="364"/>
      <c r="CH323" s="364"/>
      <c r="CI323" s="364"/>
      <c r="CJ323" s="364"/>
      <c r="CK323" s="364"/>
      <c r="CL323" s="364"/>
      <c r="CM323" s="364"/>
      <c r="CN323" s="364"/>
      <c r="CO323" s="364"/>
      <c r="CP323" s="364"/>
      <c r="CQ323" s="364"/>
      <c r="CR323" s="364"/>
      <c r="CS323" s="364"/>
      <c r="CT323" s="364"/>
      <c r="CU323" s="364"/>
      <c r="CV323" s="364"/>
      <c r="CW323" s="364"/>
      <c r="CX323" s="364"/>
      <c r="CY323" s="364"/>
      <c r="CZ323" s="364"/>
      <c r="DA323" s="364"/>
      <c r="DB323" s="364"/>
      <c r="DC323" s="364"/>
      <c r="DD323" s="364"/>
      <c r="DE323" s="364"/>
      <c r="DF323" s="364"/>
      <c r="DG323" s="364"/>
      <c r="DH323" s="364"/>
      <c r="DI323" s="364"/>
      <c r="DJ323" s="364"/>
      <c r="DK323" s="364"/>
      <c r="DL323" s="364"/>
      <c r="DM323" s="364"/>
      <c r="DN323" s="364"/>
      <c r="DO323" s="364"/>
      <c r="DP323" s="364"/>
      <c r="DQ323" s="364"/>
      <c r="DR323" s="364"/>
      <c r="DS323" s="364"/>
      <c r="DT323" s="364"/>
      <c r="DU323" s="364"/>
      <c r="DV323" s="364"/>
      <c r="DW323" s="364"/>
      <c r="DX323" s="364"/>
      <c r="DY323" s="364"/>
      <c r="DZ323" s="364"/>
      <c r="EA323" s="364"/>
      <c r="EB323" s="364"/>
      <c r="EC323" s="364"/>
      <c r="ED323" s="364"/>
      <c r="EE323" s="364"/>
      <c r="EF323" s="364"/>
      <c r="EG323" s="364"/>
      <c r="EH323" s="364"/>
      <c r="EI323" s="364"/>
      <c r="EJ323" s="364"/>
      <c r="EK323" s="364"/>
      <c r="EL323" s="364"/>
      <c r="EM323" s="364"/>
      <c r="EN323" s="364"/>
      <c r="EO323" s="364"/>
      <c r="EP323" s="364"/>
      <c r="EQ323" s="364"/>
      <c r="ER323" s="364"/>
      <c r="ES323" s="364"/>
      <c r="ET323" s="364"/>
      <c r="EU323" s="364"/>
      <c r="EV323" s="364"/>
      <c r="EW323" s="364"/>
      <c r="EX323" s="364"/>
      <c r="EY323" s="364"/>
      <c r="EZ323" s="364"/>
      <c r="FA323" s="364"/>
      <c r="FB323" s="364"/>
      <c r="FC323" s="364"/>
      <c r="FD323" s="364"/>
      <c r="FE323" s="364"/>
      <c r="FF323" s="364"/>
      <c r="FG323" s="364"/>
      <c r="FH323" s="364"/>
      <c r="FI323" s="364"/>
      <c r="FJ323" s="364"/>
      <c r="FK323" s="364"/>
    </row>
    <row r="324" customFormat="false" ht="15.75" hidden="false" customHeight="false" outlineLevel="0" collapsed="false">
      <c r="A324" s="364" t="n">
        <v>636</v>
      </c>
      <c r="B324" s="364" t="n">
        <f aca="false">COUNTA(D324:FK324)</f>
        <v>47</v>
      </c>
      <c r="C324" s="364" t="s">
        <v>1623</v>
      </c>
      <c r="D324" s="364" t="s">
        <v>2481</v>
      </c>
      <c r="E324" s="364" t="s">
        <v>2516</v>
      </c>
      <c r="F324" s="364" t="s">
        <v>2356</v>
      </c>
      <c r="G324" s="364" t="s">
        <v>2407</v>
      </c>
      <c r="H324" s="364" t="s">
        <v>2408</v>
      </c>
      <c r="I324" s="364" t="s">
        <v>2313</v>
      </c>
      <c r="J324" s="364" t="s">
        <v>2358</v>
      </c>
      <c r="K324" s="364" t="s">
        <v>2520</v>
      </c>
      <c r="L324" s="364" t="s">
        <v>2497</v>
      </c>
      <c r="M324" s="364" t="s">
        <v>2317</v>
      </c>
      <c r="N324" s="364" t="s">
        <v>2318</v>
      </c>
      <c r="O324" s="364" t="s">
        <v>2448</v>
      </c>
      <c r="P324" s="364" t="s">
        <v>2320</v>
      </c>
      <c r="Q324" s="364" t="s">
        <v>2376</v>
      </c>
      <c r="R324" s="364" t="s">
        <v>2377</v>
      </c>
      <c r="S324" s="364" t="s">
        <v>2324</v>
      </c>
      <c r="T324" s="364" t="s">
        <v>2325</v>
      </c>
      <c r="U324" s="364" t="s">
        <v>2328</v>
      </c>
      <c r="V324" s="364" t="s">
        <v>2414</v>
      </c>
      <c r="W324" s="364" t="s">
        <v>2329</v>
      </c>
      <c r="X324" s="364" t="s">
        <v>2521</v>
      </c>
      <c r="Y324" s="364" t="s">
        <v>2416</v>
      </c>
      <c r="Z324" s="364" t="s">
        <v>2417</v>
      </c>
      <c r="AA324" s="364" t="s">
        <v>2438</v>
      </c>
      <c r="AB324" s="364" t="s">
        <v>2330</v>
      </c>
      <c r="AC324" s="364" t="s">
        <v>2539</v>
      </c>
      <c r="AD324" s="364" t="s">
        <v>2615</v>
      </c>
      <c r="AE324" s="364" t="s">
        <v>2594</v>
      </c>
      <c r="AF324" s="364" t="s">
        <v>2452</v>
      </c>
      <c r="AG324" s="364" t="s">
        <v>2454</v>
      </c>
      <c r="AH324" s="364" t="s">
        <v>2387</v>
      </c>
      <c r="AI324" s="364" t="s">
        <v>2337</v>
      </c>
      <c r="AJ324" s="364" t="s">
        <v>2388</v>
      </c>
      <c r="AK324" s="364" t="s">
        <v>2339</v>
      </c>
      <c r="AL324" s="364" t="s">
        <v>2389</v>
      </c>
      <c r="AM324" s="364" t="s">
        <v>2340</v>
      </c>
      <c r="AN324" s="364" t="s">
        <v>2421</v>
      </c>
      <c r="AO324" s="364" t="s">
        <v>2341</v>
      </c>
      <c r="AP324" s="364" t="s">
        <v>2343</v>
      </c>
      <c r="AQ324" s="364" t="s">
        <v>2471</v>
      </c>
      <c r="AR324" s="364" t="s">
        <v>2344</v>
      </c>
      <c r="AS324" s="364" t="s">
        <v>2346</v>
      </c>
      <c r="AT324" s="364" t="s">
        <v>2347</v>
      </c>
      <c r="AU324" s="364" t="s">
        <v>2424</v>
      </c>
      <c r="AV324" s="364" t="s">
        <v>2463</v>
      </c>
      <c r="AW324" s="364" t="s">
        <v>2350</v>
      </c>
      <c r="AX324" s="364" t="s">
        <v>2428</v>
      </c>
      <c r="AY324" s="364"/>
      <c r="AZ324" s="364"/>
      <c r="BA324" s="364"/>
      <c r="BB324" s="364"/>
      <c r="BC324" s="364"/>
      <c r="BD324" s="364"/>
      <c r="BE324" s="364"/>
      <c r="BF324" s="364"/>
      <c r="BG324" s="364"/>
      <c r="BH324" s="364"/>
      <c r="BI324" s="364"/>
      <c r="BJ324" s="364"/>
      <c r="BK324" s="364"/>
      <c r="BL324" s="364"/>
      <c r="BM324" s="364"/>
      <c r="BN324" s="364"/>
      <c r="BO324" s="364"/>
      <c r="BP324" s="364"/>
      <c r="BQ324" s="364"/>
      <c r="BR324" s="364"/>
      <c r="BS324" s="364"/>
      <c r="BT324" s="364"/>
      <c r="BU324" s="364"/>
      <c r="BV324" s="364"/>
      <c r="BW324" s="364"/>
      <c r="BX324" s="364"/>
      <c r="BY324" s="364"/>
      <c r="BZ324" s="364"/>
      <c r="CA324" s="364"/>
      <c r="CB324" s="364"/>
      <c r="CC324" s="364"/>
      <c r="CD324" s="364"/>
      <c r="CE324" s="364"/>
      <c r="CF324" s="364"/>
      <c r="CG324" s="364"/>
      <c r="CH324" s="364"/>
      <c r="CI324" s="364"/>
      <c r="CJ324" s="364"/>
      <c r="CK324" s="364"/>
      <c r="CL324" s="364"/>
      <c r="CM324" s="364"/>
      <c r="CN324" s="364"/>
      <c r="CO324" s="364"/>
      <c r="CP324" s="364"/>
      <c r="CQ324" s="364"/>
      <c r="CR324" s="364"/>
      <c r="CS324" s="364"/>
      <c r="CT324" s="364"/>
      <c r="CU324" s="364"/>
      <c r="CV324" s="364"/>
      <c r="CW324" s="364"/>
      <c r="CX324" s="364"/>
      <c r="CY324" s="364"/>
      <c r="CZ324" s="364"/>
      <c r="DA324" s="364"/>
      <c r="DB324" s="364"/>
      <c r="DC324" s="364"/>
      <c r="DD324" s="364"/>
      <c r="DE324" s="364"/>
      <c r="DF324" s="364"/>
      <c r="DG324" s="364"/>
      <c r="DH324" s="364"/>
      <c r="DI324" s="364"/>
      <c r="DJ324" s="364"/>
      <c r="DK324" s="364"/>
      <c r="DL324" s="364"/>
      <c r="DM324" s="364"/>
      <c r="DN324" s="364"/>
      <c r="DO324" s="364"/>
      <c r="DP324" s="364"/>
      <c r="DQ324" s="364"/>
      <c r="DR324" s="364"/>
      <c r="DS324" s="364"/>
      <c r="DT324" s="364"/>
      <c r="DU324" s="364"/>
      <c r="DV324" s="364"/>
      <c r="DW324" s="364"/>
      <c r="DX324" s="364"/>
      <c r="DY324" s="364"/>
      <c r="DZ324" s="364"/>
      <c r="EA324" s="364"/>
      <c r="EB324" s="364"/>
      <c r="EC324" s="364"/>
      <c r="ED324" s="364"/>
      <c r="EE324" s="364"/>
      <c r="EF324" s="364"/>
      <c r="EG324" s="364"/>
      <c r="EH324" s="364"/>
      <c r="EI324" s="364"/>
      <c r="EJ324" s="364"/>
      <c r="EK324" s="364"/>
      <c r="EL324" s="364"/>
      <c r="EM324" s="364"/>
      <c r="EN324" s="364"/>
      <c r="EO324" s="364"/>
      <c r="EP324" s="364"/>
      <c r="EQ324" s="364"/>
      <c r="ER324" s="364"/>
      <c r="ES324" s="364"/>
      <c r="ET324" s="364"/>
      <c r="EU324" s="364"/>
      <c r="EV324" s="364"/>
      <c r="EW324" s="364"/>
      <c r="EX324" s="364"/>
      <c r="EY324" s="364"/>
      <c r="EZ324" s="364"/>
      <c r="FA324" s="364"/>
      <c r="FB324" s="364"/>
      <c r="FC324" s="364"/>
      <c r="FD324" s="364"/>
      <c r="FE324" s="364"/>
      <c r="FF324" s="364"/>
      <c r="FG324" s="364"/>
      <c r="FH324" s="364"/>
      <c r="FI324" s="364"/>
      <c r="FJ324" s="364"/>
      <c r="FK324" s="364"/>
    </row>
    <row r="325" customFormat="false" ht="15.75" hidden="false" customHeight="false" outlineLevel="0" collapsed="false">
      <c r="A325" s="364" t="n">
        <v>637</v>
      </c>
      <c r="B325" s="364" t="n">
        <f aca="false">COUNTA(D325:FK325)</f>
        <v>40</v>
      </c>
      <c r="C325" s="364" t="s">
        <v>1625</v>
      </c>
      <c r="D325" s="364" t="s">
        <v>2310</v>
      </c>
      <c r="E325" s="364" t="s">
        <v>2311</v>
      </c>
      <c r="F325" s="364" t="s">
        <v>2312</v>
      </c>
      <c r="G325" s="364" t="s">
        <v>2356</v>
      </c>
      <c r="H325" s="364" t="s">
        <v>2313</v>
      </c>
      <c r="I325" s="364" t="s">
        <v>2549</v>
      </c>
      <c r="J325" s="364" t="s">
        <v>2358</v>
      </c>
      <c r="K325" s="364" t="s">
        <v>2317</v>
      </c>
      <c r="L325" s="364" t="s">
        <v>2320</v>
      </c>
      <c r="M325" s="364" t="s">
        <v>2369</v>
      </c>
      <c r="N325" s="364" t="s">
        <v>2376</v>
      </c>
      <c r="O325" s="364" t="s">
        <v>2377</v>
      </c>
      <c r="P325" s="364" t="s">
        <v>2324</v>
      </c>
      <c r="Q325" s="364" t="s">
        <v>2325</v>
      </c>
      <c r="R325" s="364" t="s">
        <v>2328</v>
      </c>
      <c r="S325" s="364" t="s">
        <v>2416</v>
      </c>
      <c r="T325" s="364" t="s">
        <v>2330</v>
      </c>
      <c r="U325" s="364" t="s">
        <v>2539</v>
      </c>
      <c r="V325" s="364" t="s">
        <v>2540</v>
      </c>
      <c r="W325" s="364" t="s">
        <v>2452</v>
      </c>
      <c r="X325" s="364" t="s">
        <v>2454</v>
      </c>
      <c r="Y325" s="364" t="s">
        <v>2387</v>
      </c>
      <c r="Z325" s="364" t="s">
        <v>2337</v>
      </c>
      <c r="AA325" s="364" t="s">
        <v>2469</v>
      </c>
      <c r="AB325" s="364" t="s">
        <v>2553</v>
      </c>
      <c r="AC325" s="364" t="s">
        <v>2388</v>
      </c>
      <c r="AD325" s="364" t="s">
        <v>2339</v>
      </c>
      <c r="AE325" s="364" t="s">
        <v>2389</v>
      </c>
      <c r="AF325" s="364" t="s">
        <v>2340</v>
      </c>
      <c r="AG325" s="364" t="s">
        <v>2341</v>
      </c>
      <c r="AH325" s="364" t="s">
        <v>2391</v>
      </c>
      <c r="AI325" s="364" t="s">
        <v>2344</v>
      </c>
      <c r="AJ325" s="364" t="s">
        <v>2346</v>
      </c>
      <c r="AK325" s="364" t="s">
        <v>2500</v>
      </c>
      <c r="AL325" s="364" t="s">
        <v>2628</v>
      </c>
      <c r="AM325" s="364" t="s">
        <v>2347</v>
      </c>
      <c r="AN325" s="364" t="s">
        <v>2511</v>
      </c>
      <c r="AO325" s="364" t="s">
        <v>2399</v>
      </c>
      <c r="AP325" s="364" t="s">
        <v>2554</v>
      </c>
      <c r="AQ325" s="364" t="s">
        <v>2430</v>
      </c>
      <c r="AR325" s="364"/>
      <c r="AS325" s="364"/>
      <c r="AT325" s="364"/>
      <c r="AU325" s="364"/>
      <c r="AV325" s="364"/>
      <c r="AW325" s="364"/>
      <c r="AX325" s="364"/>
      <c r="AY325" s="364"/>
      <c r="AZ325" s="364"/>
      <c r="BA325" s="364"/>
      <c r="BB325" s="364"/>
      <c r="BC325" s="364"/>
      <c r="BD325" s="364"/>
      <c r="BE325" s="364"/>
      <c r="BF325" s="364"/>
      <c r="BG325" s="364"/>
      <c r="BH325" s="364"/>
      <c r="BI325" s="364"/>
      <c r="BJ325" s="364"/>
      <c r="BK325" s="364"/>
      <c r="BL325" s="364"/>
      <c r="BM325" s="364"/>
      <c r="BN325" s="364"/>
      <c r="BO325" s="364"/>
      <c r="BP325" s="364"/>
      <c r="BQ325" s="364"/>
      <c r="BR325" s="364"/>
      <c r="BS325" s="364"/>
      <c r="BT325" s="364"/>
      <c r="BU325" s="364"/>
      <c r="BV325" s="364"/>
      <c r="BW325" s="364"/>
      <c r="BX325" s="364"/>
      <c r="BY325" s="364"/>
      <c r="BZ325" s="364"/>
      <c r="CA325" s="364"/>
      <c r="CB325" s="364"/>
      <c r="CC325" s="364"/>
      <c r="CD325" s="364"/>
      <c r="CE325" s="364"/>
      <c r="CF325" s="364"/>
      <c r="CG325" s="364"/>
      <c r="CH325" s="364"/>
      <c r="CI325" s="364"/>
      <c r="CJ325" s="364"/>
      <c r="CK325" s="364"/>
      <c r="CL325" s="364"/>
      <c r="CM325" s="364"/>
      <c r="CN325" s="364"/>
      <c r="CO325" s="364"/>
      <c r="CP325" s="364"/>
      <c r="CQ325" s="364"/>
      <c r="CR325" s="364"/>
      <c r="CS325" s="364"/>
      <c r="CT325" s="364"/>
      <c r="CU325" s="364"/>
      <c r="CV325" s="364"/>
      <c r="CW325" s="364"/>
      <c r="CX325" s="364"/>
      <c r="CY325" s="364"/>
      <c r="CZ325" s="364"/>
      <c r="DA325" s="364"/>
      <c r="DB325" s="364"/>
      <c r="DC325" s="364"/>
      <c r="DD325" s="364"/>
      <c r="DE325" s="364"/>
      <c r="DF325" s="364"/>
      <c r="DG325" s="364"/>
      <c r="DH325" s="364"/>
      <c r="DI325" s="364"/>
      <c r="DJ325" s="364"/>
      <c r="DK325" s="364"/>
      <c r="DL325" s="364"/>
      <c r="DM325" s="364"/>
      <c r="DN325" s="364"/>
      <c r="DO325" s="364"/>
      <c r="DP325" s="364"/>
      <c r="DQ325" s="364"/>
      <c r="DR325" s="364"/>
      <c r="DS325" s="364"/>
      <c r="DT325" s="364"/>
      <c r="DU325" s="364"/>
      <c r="DV325" s="364"/>
      <c r="DW325" s="364"/>
      <c r="DX325" s="364"/>
      <c r="DY325" s="364"/>
      <c r="DZ325" s="364"/>
      <c r="EA325" s="364"/>
      <c r="EB325" s="364"/>
      <c r="EC325" s="364"/>
      <c r="ED325" s="364"/>
      <c r="EE325" s="364"/>
      <c r="EF325" s="364"/>
      <c r="EG325" s="364"/>
      <c r="EH325" s="364"/>
      <c r="EI325" s="364"/>
      <c r="EJ325" s="364"/>
      <c r="EK325" s="364"/>
      <c r="EL325" s="364"/>
      <c r="EM325" s="364"/>
      <c r="EN325" s="364"/>
      <c r="EO325" s="364"/>
      <c r="EP325" s="364"/>
      <c r="EQ325" s="364"/>
      <c r="ER325" s="364"/>
      <c r="ES325" s="364"/>
      <c r="ET325" s="364"/>
      <c r="EU325" s="364"/>
      <c r="EV325" s="364"/>
      <c r="EW325" s="364"/>
      <c r="EX325" s="364"/>
      <c r="EY325" s="364"/>
      <c r="EZ325" s="364"/>
      <c r="FA325" s="364"/>
      <c r="FB325" s="364"/>
      <c r="FC325" s="364"/>
      <c r="FD325" s="364"/>
      <c r="FE325" s="364"/>
      <c r="FF325" s="364"/>
      <c r="FG325" s="364"/>
      <c r="FH325" s="364"/>
      <c r="FI325" s="364"/>
      <c r="FJ325" s="364"/>
      <c r="FK325" s="364"/>
    </row>
    <row r="326" customFormat="false" ht="15.75" hidden="false" customHeight="false" outlineLevel="0" collapsed="false">
      <c r="A326" s="364" t="n">
        <v>638</v>
      </c>
      <c r="B326" s="364" t="n">
        <f aca="false">COUNTA(D326:FK326)</f>
        <v>38</v>
      </c>
      <c r="C326" s="364" t="s">
        <v>1627</v>
      </c>
      <c r="D326" s="364" t="s">
        <v>2310</v>
      </c>
      <c r="E326" s="364" t="s">
        <v>2356</v>
      </c>
      <c r="F326" s="364" t="s">
        <v>2313</v>
      </c>
      <c r="G326" s="364" t="s">
        <v>2541</v>
      </c>
      <c r="H326" s="364" t="s">
        <v>138</v>
      </c>
      <c r="I326" s="364" t="s">
        <v>2358</v>
      </c>
      <c r="J326" s="364" t="s">
        <v>2510</v>
      </c>
      <c r="K326" s="364" t="s">
        <v>2543</v>
      </c>
      <c r="L326" s="364" t="s">
        <v>2317</v>
      </c>
      <c r="M326" s="364" t="s">
        <v>2320</v>
      </c>
      <c r="N326" s="364" t="s">
        <v>2369</v>
      </c>
      <c r="O326" s="364" t="s">
        <v>2376</v>
      </c>
      <c r="P326" s="364" t="s">
        <v>2377</v>
      </c>
      <c r="Q326" s="364" t="s">
        <v>2324</v>
      </c>
      <c r="R326" s="364" t="s">
        <v>2325</v>
      </c>
      <c r="S326" s="364" t="s">
        <v>2328</v>
      </c>
      <c r="T326" s="364" t="s">
        <v>2416</v>
      </c>
      <c r="U326" s="364" t="s">
        <v>2545</v>
      </c>
      <c r="V326" s="364" t="s">
        <v>2330</v>
      </c>
      <c r="W326" s="364" t="s">
        <v>2539</v>
      </c>
      <c r="X326" s="364" t="s">
        <v>2540</v>
      </c>
      <c r="Y326" s="364" t="s">
        <v>2452</v>
      </c>
      <c r="Z326" s="364" t="s">
        <v>2454</v>
      </c>
      <c r="AA326" s="364" t="s">
        <v>2387</v>
      </c>
      <c r="AB326" s="364" t="s">
        <v>2337</v>
      </c>
      <c r="AC326" s="364" t="s">
        <v>2469</v>
      </c>
      <c r="AD326" s="364" t="s">
        <v>2388</v>
      </c>
      <c r="AE326" s="364" t="s">
        <v>2339</v>
      </c>
      <c r="AF326" s="364" t="s">
        <v>2389</v>
      </c>
      <c r="AG326" s="364" t="s">
        <v>2340</v>
      </c>
      <c r="AH326" s="364" t="s">
        <v>2341</v>
      </c>
      <c r="AI326" s="364" t="s">
        <v>2344</v>
      </c>
      <c r="AJ326" s="364" t="s">
        <v>2500</v>
      </c>
      <c r="AK326" s="364" t="s">
        <v>2347</v>
      </c>
      <c r="AL326" s="364" t="s">
        <v>2511</v>
      </c>
      <c r="AM326" s="364" t="s">
        <v>2456</v>
      </c>
      <c r="AN326" s="364" t="s">
        <v>2399</v>
      </c>
      <c r="AO326" s="364" t="s">
        <v>2430</v>
      </c>
      <c r="AP326" s="364"/>
      <c r="AQ326" s="364"/>
      <c r="AR326" s="364"/>
      <c r="AS326" s="364"/>
      <c r="AT326" s="364"/>
      <c r="AU326" s="364"/>
      <c r="AV326" s="364"/>
      <c r="AW326" s="364"/>
      <c r="AX326" s="364"/>
      <c r="AY326" s="364"/>
      <c r="AZ326" s="364"/>
      <c r="BA326" s="364"/>
      <c r="BB326" s="364"/>
      <c r="BC326" s="364"/>
      <c r="BD326" s="364"/>
      <c r="BE326" s="364"/>
      <c r="BF326" s="364"/>
      <c r="BG326" s="364"/>
      <c r="BH326" s="364"/>
      <c r="BI326" s="364"/>
      <c r="BJ326" s="364"/>
      <c r="BK326" s="364"/>
      <c r="BL326" s="364"/>
      <c r="BM326" s="364"/>
      <c r="BN326" s="364"/>
      <c r="BO326" s="364"/>
      <c r="BP326" s="364"/>
      <c r="BQ326" s="364"/>
      <c r="BR326" s="364"/>
      <c r="BS326" s="364"/>
      <c r="BT326" s="364"/>
      <c r="BU326" s="364"/>
      <c r="BV326" s="364"/>
      <c r="BW326" s="364"/>
      <c r="BX326" s="364"/>
      <c r="BY326" s="364"/>
      <c r="BZ326" s="364"/>
      <c r="CA326" s="364"/>
      <c r="CB326" s="364"/>
      <c r="CC326" s="364"/>
      <c r="CD326" s="364"/>
      <c r="CE326" s="364"/>
      <c r="CF326" s="364"/>
      <c r="CG326" s="364"/>
      <c r="CH326" s="364"/>
      <c r="CI326" s="364"/>
      <c r="CJ326" s="364"/>
      <c r="CK326" s="364"/>
      <c r="CL326" s="364"/>
      <c r="CM326" s="364"/>
      <c r="CN326" s="364"/>
      <c r="CO326" s="364"/>
      <c r="CP326" s="364"/>
      <c r="CQ326" s="364"/>
      <c r="CR326" s="364"/>
      <c r="CS326" s="364"/>
      <c r="CT326" s="364"/>
      <c r="CU326" s="364"/>
      <c r="CV326" s="364"/>
      <c r="CW326" s="364"/>
      <c r="CX326" s="364"/>
      <c r="CY326" s="364"/>
      <c r="CZ326" s="364"/>
      <c r="DA326" s="364"/>
      <c r="DB326" s="364"/>
      <c r="DC326" s="364"/>
      <c r="DD326" s="364"/>
      <c r="DE326" s="364"/>
      <c r="DF326" s="364"/>
      <c r="DG326" s="364"/>
      <c r="DH326" s="364"/>
      <c r="DI326" s="364"/>
      <c r="DJ326" s="364"/>
      <c r="DK326" s="364"/>
      <c r="DL326" s="364"/>
      <c r="DM326" s="364"/>
      <c r="DN326" s="364"/>
      <c r="DO326" s="364"/>
      <c r="DP326" s="364"/>
      <c r="DQ326" s="364"/>
      <c r="DR326" s="364"/>
      <c r="DS326" s="364"/>
      <c r="DT326" s="364"/>
      <c r="DU326" s="364"/>
      <c r="DV326" s="364"/>
      <c r="DW326" s="364"/>
      <c r="DX326" s="364"/>
      <c r="DY326" s="364"/>
      <c r="DZ326" s="364"/>
      <c r="EA326" s="364"/>
      <c r="EB326" s="364"/>
      <c r="EC326" s="364"/>
      <c r="ED326" s="364"/>
      <c r="EE326" s="364"/>
      <c r="EF326" s="364"/>
      <c r="EG326" s="364"/>
      <c r="EH326" s="364"/>
      <c r="EI326" s="364"/>
      <c r="EJ326" s="364"/>
      <c r="EK326" s="364"/>
      <c r="EL326" s="364"/>
      <c r="EM326" s="364"/>
      <c r="EN326" s="364"/>
      <c r="EO326" s="364"/>
      <c r="EP326" s="364"/>
      <c r="EQ326" s="364"/>
      <c r="ER326" s="364"/>
      <c r="ES326" s="364"/>
      <c r="ET326" s="364"/>
      <c r="EU326" s="364"/>
      <c r="EV326" s="364"/>
      <c r="EW326" s="364"/>
      <c r="EX326" s="364"/>
      <c r="EY326" s="364"/>
      <c r="EZ326" s="364"/>
      <c r="FA326" s="364"/>
      <c r="FB326" s="364"/>
      <c r="FC326" s="364"/>
      <c r="FD326" s="364"/>
      <c r="FE326" s="364"/>
      <c r="FF326" s="364"/>
      <c r="FG326" s="364"/>
      <c r="FH326" s="364"/>
      <c r="FI326" s="364"/>
      <c r="FJ326" s="364"/>
      <c r="FK326" s="364"/>
    </row>
    <row r="327" customFormat="false" ht="15.75" hidden="false" customHeight="false" outlineLevel="0" collapsed="false">
      <c r="A327" s="364" t="n">
        <v>641</v>
      </c>
      <c r="B327" s="364" t="n">
        <f aca="false">COUNTA(D327:FK327)</f>
        <v>35</v>
      </c>
      <c r="C327" s="364" t="s">
        <v>1633</v>
      </c>
      <c r="D327" s="364" t="s">
        <v>2352</v>
      </c>
      <c r="E327" s="364" t="s">
        <v>2432</v>
      </c>
      <c r="F327" s="364" t="s">
        <v>2315</v>
      </c>
      <c r="G327" s="364" t="s">
        <v>2435</v>
      </c>
      <c r="H327" s="364" t="s">
        <v>2436</v>
      </c>
      <c r="I327" s="364" t="s">
        <v>2319</v>
      </c>
      <c r="J327" s="364" t="s">
        <v>2320</v>
      </c>
      <c r="K327" s="364" t="s">
        <v>2449</v>
      </c>
      <c r="L327" s="364" t="s">
        <v>2450</v>
      </c>
      <c r="M327" s="364" t="s">
        <v>2323</v>
      </c>
      <c r="N327" s="364" t="s">
        <v>2324</v>
      </c>
      <c r="O327" s="364" t="s">
        <v>2325</v>
      </c>
      <c r="P327" s="364" t="s">
        <v>2328</v>
      </c>
      <c r="Q327" s="364" t="s">
        <v>2329</v>
      </c>
      <c r="R327" s="364" t="s">
        <v>2330</v>
      </c>
      <c r="S327" s="364" t="s">
        <v>2556</v>
      </c>
      <c r="T327" s="364" t="s">
        <v>2557</v>
      </c>
      <c r="U327" s="364" t="s">
        <v>2452</v>
      </c>
      <c r="V327" s="364" t="s">
        <v>2454</v>
      </c>
      <c r="W327" s="364" t="s">
        <v>2336</v>
      </c>
      <c r="X327" s="364" t="s">
        <v>2337</v>
      </c>
      <c r="Y327" s="364" t="s">
        <v>2469</v>
      </c>
      <c r="Z327" s="364" t="s">
        <v>2340</v>
      </c>
      <c r="AA327" s="364" t="s">
        <v>2341</v>
      </c>
      <c r="AB327" s="364" t="s">
        <v>2342</v>
      </c>
      <c r="AC327" s="364" t="s">
        <v>2392</v>
      </c>
      <c r="AD327" s="364" t="s">
        <v>2422</v>
      </c>
      <c r="AE327" s="364" t="s">
        <v>2395</v>
      </c>
      <c r="AF327" s="364" t="s">
        <v>2344</v>
      </c>
      <c r="AG327" s="364" t="s">
        <v>2345</v>
      </c>
      <c r="AH327" s="364" t="s">
        <v>2396</v>
      </c>
      <c r="AI327" s="364" t="s">
        <v>2444</v>
      </c>
      <c r="AJ327" s="364" t="s">
        <v>2348</v>
      </c>
      <c r="AK327" s="364" t="s">
        <v>2456</v>
      </c>
      <c r="AL327" s="364" t="s">
        <v>2458</v>
      </c>
      <c r="AM327" s="364"/>
      <c r="AN327" s="364"/>
      <c r="AO327" s="364"/>
      <c r="AP327" s="364"/>
      <c r="AQ327" s="364"/>
      <c r="AR327" s="364"/>
      <c r="AS327" s="364"/>
      <c r="AT327" s="364"/>
      <c r="AU327" s="364"/>
      <c r="AV327" s="364"/>
      <c r="AW327" s="364"/>
      <c r="AX327" s="364"/>
      <c r="AY327" s="364"/>
      <c r="AZ327" s="364"/>
      <c r="BA327" s="364"/>
      <c r="BB327" s="364"/>
      <c r="BC327" s="364"/>
      <c r="BD327" s="364"/>
      <c r="BE327" s="364"/>
      <c r="BF327" s="364"/>
      <c r="BG327" s="364"/>
      <c r="BH327" s="364"/>
      <c r="BI327" s="364"/>
      <c r="BJ327" s="364"/>
      <c r="BK327" s="364"/>
      <c r="BL327" s="364"/>
      <c r="BM327" s="364"/>
      <c r="BN327" s="364"/>
      <c r="BO327" s="364"/>
      <c r="BP327" s="364"/>
      <c r="BQ327" s="364"/>
      <c r="BR327" s="364"/>
      <c r="BS327" s="364"/>
      <c r="BT327" s="364"/>
      <c r="BU327" s="364"/>
      <c r="BV327" s="364"/>
      <c r="BW327" s="364"/>
      <c r="BX327" s="364"/>
      <c r="BY327" s="364"/>
      <c r="BZ327" s="364"/>
      <c r="CA327" s="364"/>
      <c r="CB327" s="364"/>
      <c r="CC327" s="364"/>
      <c r="CD327" s="364"/>
      <c r="CE327" s="364"/>
      <c r="CF327" s="364"/>
      <c r="CG327" s="364"/>
      <c r="CH327" s="364"/>
      <c r="CI327" s="364"/>
      <c r="CJ327" s="364"/>
      <c r="CK327" s="364"/>
      <c r="CL327" s="364"/>
      <c r="CM327" s="364"/>
      <c r="CN327" s="364"/>
      <c r="CO327" s="364"/>
      <c r="CP327" s="364"/>
      <c r="CQ327" s="364"/>
      <c r="CR327" s="364"/>
      <c r="CS327" s="364"/>
      <c r="CT327" s="364"/>
      <c r="CU327" s="364"/>
      <c r="CV327" s="364"/>
      <c r="CW327" s="364"/>
      <c r="CX327" s="364"/>
      <c r="CY327" s="364"/>
      <c r="CZ327" s="364"/>
      <c r="DA327" s="364"/>
      <c r="DB327" s="364"/>
      <c r="DC327" s="364"/>
      <c r="DD327" s="364"/>
      <c r="DE327" s="364"/>
      <c r="DF327" s="364"/>
      <c r="DG327" s="364"/>
      <c r="DH327" s="364"/>
      <c r="DI327" s="364"/>
      <c r="DJ327" s="364"/>
      <c r="DK327" s="364"/>
      <c r="DL327" s="364"/>
      <c r="DM327" s="364"/>
      <c r="DN327" s="364"/>
      <c r="DO327" s="364"/>
      <c r="DP327" s="364"/>
      <c r="DQ327" s="364"/>
      <c r="DR327" s="364"/>
      <c r="DS327" s="364"/>
      <c r="DT327" s="364"/>
      <c r="DU327" s="364"/>
      <c r="DV327" s="364"/>
      <c r="DW327" s="364"/>
      <c r="DX327" s="364"/>
      <c r="DY327" s="364"/>
      <c r="DZ327" s="364"/>
      <c r="EA327" s="364"/>
      <c r="EB327" s="364"/>
      <c r="EC327" s="364"/>
      <c r="ED327" s="364"/>
      <c r="EE327" s="364"/>
      <c r="EF327" s="364"/>
      <c r="EG327" s="364"/>
      <c r="EH327" s="364"/>
      <c r="EI327" s="364"/>
      <c r="EJ327" s="364"/>
      <c r="EK327" s="364"/>
      <c r="EL327" s="364"/>
      <c r="EM327" s="364"/>
      <c r="EN327" s="364"/>
      <c r="EO327" s="364"/>
      <c r="EP327" s="364"/>
      <c r="EQ327" s="364"/>
      <c r="ER327" s="364"/>
      <c r="ES327" s="364"/>
      <c r="ET327" s="364"/>
      <c r="EU327" s="364"/>
      <c r="EV327" s="364"/>
      <c r="EW327" s="364"/>
      <c r="EX327" s="364"/>
      <c r="EY327" s="364"/>
      <c r="EZ327" s="364"/>
      <c r="FA327" s="364"/>
      <c r="FB327" s="364"/>
      <c r="FC327" s="364"/>
      <c r="FD327" s="364"/>
      <c r="FE327" s="364"/>
      <c r="FF327" s="364"/>
      <c r="FG327" s="364"/>
      <c r="FH327" s="364"/>
      <c r="FI327" s="364"/>
      <c r="FJ327" s="364"/>
      <c r="FK327" s="364"/>
    </row>
    <row r="328" customFormat="false" ht="15.75" hidden="false" customHeight="false" outlineLevel="0" collapsed="false">
      <c r="A328" s="364" t="n">
        <v>644</v>
      </c>
      <c r="B328" s="364" t="n">
        <f aca="false">COUNTA(D328:FK328)</f>
        <v>42</v>
      </c>
      <c r="C328" s="364" t="s">
        <v>1639</v>
      </c>
      <c r="D328" s="364" t="s">
        <v>2402</v>
      </c>
      <c r="E328" s="364" t="s">
        <v>2432</v>
      </c>
      <c r="F328" s="364" t="s">
        <v>2313</v>
      </c>
      <c r="G328" s="364" t="s">
        <v>2315</v>
      </c>
      <c r="H328" s="364" t="s">
        <v>2358</v>
      </c>
      <c r="I328" s="364" t="s">
        <v>2316</v>
      </c>
      <c r="J328" s="364" t="s">
        <v>2317</v>
      </c>
      <c r="K328" s="364" t="s">
        <v>2448</v>
      </c>
      <c r="L328" s="364" t="s">
        <v>2320</v>
      </c>
      <c r="M328" s="364" t="s">
        <v>2324</v>
      </c>
      <c r="N328" s="364" t="s">
        <v>2412</v>
      </c>
      <c r="O328" s="364" t="s">
        <v>2328</v>
      </c>
      <c r="P328" s="364" t="s">
        <v>2329</v>
      </c>
      <c r="Q328" s="364" t="s">
        <v>2438</v>
      </c>
      <c r="R328" s="364" t="s">
        <v>2381</v>
      </c>
      <c r="S328" s="364" t="s">
        <v>2513</v>
      </c>
      <c r="T328" s="364" t="s">
        <v>2452</v>
      </c>
      <c r="U328" s="364" t="s">
        <v>2454</v>
      </c>
      <c r="V328" s="364" t="s">
        <v>2487</v>
      </c>
      <c r="W328" s="364" t="s">
        <v>2646</v>
      </c>
      <c r="X328" s="364" t="s">
        <v>2455</v>
      </c>
      <c r="Y328" s="364" t="s">
        <v>2337</v>
      </c>
      <c r="Z328" s="364" t="s">
        <v>2338</v>
      </c>
      <c r="AA328" s="364" t="s">
        <v>2388</v>
      </c>
      <c r="AB328" s="364" t="s">
        <v>2339</v>
      </c>
      <c r="AC328" s="364" t="s">
        <v>2389</v>
      </c>
      <c r="AD328" s="364" t="s">
        <v>2420</v>
      </c>
      <c r="AE328" s="364" t="s">
        <v>2340</v>
      </c>
      <c r="AF328" s="364" t="s">
        <v>2341</v>
      </c>
      <c r="AG328" s="364" t="s">
        <v>2422</v>
      </c>
      <c r="AH328" s="364" t="s">
        <v>2343</v>
      </c>
      <c r="AI328" s="364" t="s">
        <v>2514</v>
      </c>
      <c r="AJ328" s="364" t="s">
        <v>2344</v>
      </c>
      <c r="AK328" s="364" t="s">
        <v>2345</v>
      </c>
      <c r="AL328" s="364" t="s">
        <v>2567</v>
      </c>
      <c r="AM328" s="364" t="s">
        <v>2346</v>
      </c>
      <c r="AN328" s="364" t="s">
        <v>2347</v>
      </c>
      <c r="AO328" s="364" t="s">
        <v>2444</v>
      </c>
      <c r="AP328" s="364" t="s">
        <v>2511</v>
      </c>
      <c r="AQ328" s="364" t="s">
        <v>2456</v>
      </c>
      <c r="AR328" s="364" t="s">
        <v>2350</v>
      </c>
      <c r="AS328" s="364" t="s">
        <v>2458</v>
      </c>
      <c r="AT328" s="364"/>
      <c r="AU328" s="364"/>
      <c r="AV328" s="364"/>
      <c r="AW328" s="364"/>
      <c r="AX328" s="364"/>
      <c r="AY328" s="364"/>
      <c r="AZ328" s="364"/>
      <c r="BA328" s="364"/>
      <c r="BB328" s="364"/>
      <c r="BC328" s="364"/>
      <c r="BD328" s="364"/>
      <c r="BE328" s="364"/>
      <c r="BF328" s="364"/>
      <c r="BG328" s="364"/>
      <c r="BH328" s="364"/>
      <c r="BI328" s="364"/>
      <c r="BJ328" s="364"/>
      <c r="BK328" s="364"/>
      <c r="BL328" s="364"/>
      <c r="BM328" s="364"/>
      <c r="BN328" s="364"/>
      <c r="BO328" s="364"/>
      <c r="BP328" s="364"/>
      <c r="BQ328" s="364"/>
      <c r="BR328" s="364"/>
      <c r="BS328" s="364"/>
      <c r="BT328" s="364"/>
      <c r="BU328" s="364"/>
      <c r="BV328" s="364"/>
      <c r="BW328" s="364"/>
      <c r="BX328" s="364"/>
      <c r="BY328" s="364"/>
      <c r="BZ328" s="364"/>
      <c r="CA328" s="364"/>
      <c r="CB328" s="364"/>
      <c r="CC328" s="364"/>
      <c r="CD328" s="364"/>
      <c r="CE328" s="364"/>
      <c r="CF328" s="364"/>
      <c r="CG328" s="364"/>
      <c r="CH328" s="364"/>
      <c r="CI328" s="364"/>
      <c r="CJ328" s="364"/>
      <c r="CK328" s="364"/>
      <c r="CL328" s="364"/>
      <c r="CM328" s="364"/>
      <c r="CN328" s="364"/>
      <c r="CO328" s="364"/>
      <c r="CP328" s="364"/>
      <c r="CQ328" s="364"/>
      <c r="CR328" s="364"/>
      <c r="CS328" s="364"/>
      <c r="CT328" s="364"/>
      <c r="CU328" s="364"/>
      <c r="CV328" s="364"/>
      <c r="CW328" s="364"/>
      <c r="CX328" s="364"/>
      <c r="CY328" s="364"/>
      <c r="CZ328" s="364"/>
      <c r="DA328" s="364"/>
      <c r="DB328" s="364"/>
      <c r="DC328" s="364"/>
      <c r="DD328" s="364"/>
      <c r="DE328" s="364"/>
      <c r="DF328" s="364"/>
      <c r="DG328" s="364"/>
      <c r="DH328" s="364"/>
      <c r="DI328" s="364"/>
      <c r="DJ328" s="364"/>
      <c r="DK328" s="364"/>
      <c r="DL328" s="364"/>
      <c r="DM328" s="364"/>
      <c r="DN328" s="364"/>
      <c r="DO328" s="364"/>
      <c r="DP328" s="364"/>
      <c r="DQ328" s="364"/>
      <c r="DR328" s="364"/>
      <c r="DS328" s="364"/>
      <c r="DT328" s="364"/>
      <c r="DU328" s="364"/>
      <c r="DV328" s="364"/>
      <c r="DW328" s="364"/>
      <c r="DX328" s="364"/>
      <c r="DY328" s="364"/>
      <c r="DZ328" s="364"/>
      <c r="EA328" s="364"/>
      <c r="EB328" s="364"/>
      <c r="EC328" s="364"/>
      <c r="ED328" s="364"/>
      <c r="EE328" s="364"/>
      <c r="EF328" s="364"/>
      <c r="EG328" s="364"/>
      <c r="EH328" s="364"/>
      <c r="EI328" s="364"/>
      <c r="EJ328" s="364"/>
      <c r="EK328" s="364"/>
      <c r="EL328" s="364"/>
      <c r="EM328" s="364"/>
      <c r="EN328" s="364"/>
      <c r="EO328" s="364"/>
      <c r="EP328" s="364"/>
      <c r="EQ328" s="364"/>
      <c r="ER328" s="364"/>
      <c r="ES328" s="364"/>
      <c r="ET328" s="364"/>
      <c r="EU328" s="364"/>
      <c r="EV328" s="364"/>
      <c r="EW328" s="364"/>
      <c r="EX328" s="364"/>
      <c r="EY328" s="364"/>
      <c r="EZ328" s="364"/>
      <c r="FA328" s="364"/>
      <c r="FB328" s="364"/>
      <c r="FC328" s="364"/>
      <c r="FD328" s="364"/>
      <c r="FE328" s="364"/>
      <c r="FF328" s="364"/>
      <c r="FG328" s="364"/>
      <c r="FH328" s="364"/>
      <c r="FI328" s="364"/>
      <c r="FJ328" s="364"/>
      <c r="FK328" s="364"/>
    </row>
    <row r="329" customFormat="false" ht="15.75" hidden="false" customHeight="false" outlineLevel="0" collapsed="false">
      <c r="A329" s="364" t="n">
        <v>646</v>
      </c>
      <c r="B329" s="364" t="n">
        <f aca="false">COUNTA(D329:FK329)</f>
        <v>26</v>
      </c>
      <c r="C329" s="364" t="s">
        <v>1643</v>
      </c>
      <c r="D329" s="364" t="s">
        <v>2465</v>
      </c>
      <c r="E329" s="364" t="s">
        <v>2517</v>
      </c>
      <c r="F329" s="364" t="s">
        <v>2435</v>
      </c>
      <c r="G329" s="364" t="s">
        <v>2448</v>
      </c>
      <c r="H329" s="364" t="s">
        <v>2319</v>
      </c>
      <c r="I329" s="364" t="s">
        <v>2320</v>
      </c>
      <c r="J329" s="364" t="s">
        <v>2323</v>
      </c>
      <c r="K329" s="364" t="s">
        <v>2324</v>
      </c>
      <c r="L329" s="364" t="s">
        <v>2325</v>
      </c>
      <c r="M329" s="364" t="s">
        <v>2437</v>
      </c>
      <c r="N329" s="364" t="s">
        <v>2328</v>
      </c>
      <c r="O329" s="364" t="s">
        <v>2459</v>
      </c>
      <c r="P329" s="364" t="s">
        <v>2329</v>
      </c>
      <c r="Q329" s="364" t="s">
        <v>2330</v>
      </c>
      <c r="R329" s="364" t="s">
        <v>2331</v>
      </c>
      <c r="S329" s="364" t="s">
        <v>2638</v>
      </c>
      <c r="T329" s="364" t="s">
        <v>157</v>
      </c>
      <c r="U329" s="364" t="s">
        <v>2337</v>
      </c>
      <c r="V329" s="364" t="s">
        <v>2340</v>
      </c>
      <c r="W329" s="364" t="s">
        <v>2341</v>
      </c>
      <c r="X329" s="364" t="s">
        <v>2342</v>
      </c>
      <c r="Y329" s="364" t="s">
        <v>2442</v>
      </c>
      <c r="Z329" s="364" t="s">
        <v>2344</v>
      </c>
      <c r="AA329" s="364" t="s">
        <v>2345</v>
      </c>
      <c r="AB329" s="364" t="s">
        <v>2445</v>
      </c>
      <c r="AC329" s="364" t="s">
        <v>2446</v>
      </c>
      <c r="AD329" s="364"/>
      <c r="AE329" s="364"/>
      <c r="AF329" s="364"/>
      <c r="AG329" s="364"/>
      <c r="AH329" s="364"/>
      <c r="AI329" s="364"/>
      <c r="AJ329" s="364"/>
      <c r="AK329" s="364"/>
      <c r="AL329" s="364"/>
      <c r="AM329" s="364"/>
      <c r="AN329" s="364"/>
      <c r="AO329" s="364"/>
      <c r="AP329" s="364"/>
      <c r="AQ329" s="364"/>
      <c r="AR329" s="364"/>
      <c r="AS329" s="364"/>
      <c r="AT329" s="364"/>
      <c r="AU329" s="364"/>
      <c r="AV329" s="364"/>
      <c r="AW329" s="364"/>
      <c r="AX329" s="364"/>
      <c r="AY329" s="364"/>
      <c r="AZ329" s="364"/>
      <c r="BA329" s="364"/>
      <c r="BB329" s="364"/>
      <c r="BC329" s="364"/>
      <c r="BD329" s="364"/>
      <c r="BE329" s="364"/>
      <c r="BF329" s="364"/>
      <c r="BG329" s="364"/>
      <c r="BH329" s="364"/>
      <c r="BI329" s="364"/>
      <c r="BJ329" s="364"/>
      <c r="BK329" s="364"/>
      <c r="BL329" s="364"/>
      <c r="BM329" s="364"/>
      <c r="BN329" s="364"/>
      <c r="BO329" s="364"/>
      <c r="BP329" s="364"/>
      <c r="BQ329" s="364"/>
      <c r="BR329" s="364"/>
      <c r="BS329" s="364"/>
      <c r="BT329" s="364"/>
      <c r="BU329" s="364"/>
      <c r="BV329" s="364"/>
      <c r="BW329" s="364"/>
      <c r="BX329" s="364"/>
      <c r="BY329" s="364"/>
      <c r="BZ329" s="364"/>
      <c r="CA329" s="364"/>
      <c r="CB329" s="364"/>
      <c r="CC329" s="364"/>
      <c r="CD329" s="364"/>
      <c r="CE329" s="364"/>
      <c r="CF329" s="364"/>
      <c r="CG329" s="364"/>
      <c r="CH329" s="364"/>
      <c r="CI329" s="364"/>
      <c r="CJ329" s="364"/>
      <c r="CK329" s="364"/>
      <c r="CL329" s="364"/>
      <c r="CM329" s="364"/>
      <c r="CN329" s="364"/>
      <c r="CO329" s="364"/>
      <c r="CP329" s="364"/>
      <c r="CQ329" s="364"/>
      <c r="CR329" s="364"/>
      <c r="CS329" s="364"/>
      <c r="CT329" s="364"/>
      <c r="CU329" s="364"/>
      <c r="CV329" s="364"/>
      <c r="CW329" s="364"/>
      <c r="CX329" s="364"/>
      <c r="CY329" s="364"/>
      <c r="CZ329" s="364"/>
      <c r="DA329" s="364"/>
      <c r="DB329" s="364"/>
      <c r="DC329" s="364"/>
      <c r="DD329" s="364"/>
      <c r="DE329" s="364"/>
      <c r="DF329" s="364"/>
      <c r="DG329" s="364"/>
      <c r="DH329" s="364"/>
      <c r="DI329" s="364"/>
      <c r="DJ329" s="364"/>
      <c r="DK329" s="364"/>
      <c r="DL329" s="364"/>
      <c r="DM329" s="364"/>
      <c r="DN329" s="364"/>
      <c r="DO329" s="364"/>
      <c r="DP329" s="364"/>
      <c r="DQ329" s="364"/>
      <c r="DR329" s="364"/>
      <c r="DS329" s="364"/>
      <c r="DT329" s="364"/>
      <c r="DU329" s="364"/>
      <c r="DV329" s="364"/>
      <c r="DW329" s="364"/>
      <c r="DX329" s="364"/>
      <c r="DY329" s="364"/>
      <c r="DZ329" s="364"/>
      <c r="EA329" s="364"/>
      <c r="EB329" s="364"/>
      <c r="EC329" s="364"/>
      <c r="ED329" s="364"/>
      <c r="EE329" s="364"/>
      <c r="EF329" s="364"/>
      <c r="EG329" s="364"/>
      <c r="EH329" s="364"/>
      <c r="EI329" s="364"/>
      <c r="EJ329" s="364"/>
      <c r="EK329" s="364"/>
      <c r="EL329" s="364"/>
      <c r="EM329" s="364"/>
      <c r="EN329" s="364"/>
      <c r="EO329" s="364"/>
      <c r="EP329" s="364"/>
      <c r="EQ329" s="364"/>
      <c r="ER329" s="364"/>
      <c r="ES329" s="364"/>
      <c r="ET329" s="364"/>
      <c r="EU329" s="364"/>
      <c r="EV329" s="364"/>
      <c r="EW329" s="364"/>
      <c r="EX329" s="364"/>
      <c r="EY329" s="364"/>
      <c r="EZ329" s="364"/>
      <c r="FA329" s="364"/>
      <c r="FB329" s="364"/>
      <c r="FC329" s="364"/>
      <c r="FD329" s="364"/>
      <c r="FE329" s="364"/>
      <c r="FF329" s="364"/>
      <c r="FG329" s="364"/>
      <c r="FH329" s="364"/>
      <c r="FI329" s="364"/>
      <c r="FJ329" s="364"/>
      <c r="FK329" s="364"/>
    </row>
    <row r="330" customFormat="false" ht="15.75" hidden="false" customHeight="false" outlineLevel="0" collapsed="false">
      <c r="A330" s="364" t="n">
        <v>648</v>
      </c>
      <c r="B330" s="364" t="n">
        <f aca="false">COUNTA(D330:FK330)</f>
        <v>19</v>
      </c>
      <c r="C330" s="364" t="s">
        <v>1647</v>
      </c>
      <c r="D330" s="364" t="s">
        <v>2465</v>
      </c>
      <c r="E330" s="364" t="s">
        <v>2315</v>
      </c>
      <c r="F330" s="364" t="s">
        <v>2435</v>
      </c>
      <c r="G330" s="364" t="s">
        <v>2319</v>
      </c>
      <c r="H330" s="364" t="s">
        <v>2320</v>
      </c>
      <c r="I330" s="364" t="s">
        <v>2323</v>
      </c>
      <c r="J330" s="364" t="s">
        <v>2324</v>
      </c>
      <c r="K330" s="364" t="s">
        <v>2325</v>
      </c>
      <c r="L330" s="364" t="s">
        <v>2328</v>
      </c>
      <c r="M330" s="364" t="s">
        <v>2329</v>
      </c>
      <c r="N330" s="364" t="s">
        <v>2331</v>
      </c>
      <c r="O330" s="364" t="s">
        <v>2333</v>
      </c>
      <c r="P330" s="364" t="s">
        <v>2334</v>
      </c>
      <c r="Q330" s="364" t="s">
        <v>2337</v>
      </c>
      <c r="R330" s="364" t="s">
        <v>2340</v>
      </c>
      <c r="S330" s="364" t="s">
        <v>2341</v>
      </c>
      <c r="T330" s="364" t="s">
        <v>2342</v>
      </c>
      <c r="U330" s="364" t="s">
        <v>2344</v>
      </c>
      <c r="V330" s="364" t="s">
        <v>2345</v>
      </c>
      <c r="W330" s="364"/>
      <c r="X330" s="364"/>
      <c r="Y330" s="364"/>
      <c r="Z330" s="364"/>
      <c r="AA330" s="364"/>
      <c r="AB330" s="364"/>
      <c r="AC330" s="364"/>
      <c r="AD330" s="364"/>
      <c r="AE330" s="364"/>
      <c r="AF330" s="364"/>
      <c r="AG330" s="364"/>
      <c r="AH330" s="364"/>
      <c r="AI330" s="364"/>
      <c r="AJ330" s="364"/>
      <c r="AK330" s="364"/>
      <c r="AL330" s="364"/>
      <c r="AM330" s="364"/>
      <c r="AN330" s="364"/>
      <c r="AO330" s="364"/>
      <c r="AP330" s="364"/>
      <c r="AQ330" s="364"/>
      <c r="AR330" s="364"/>
      <c r="AS330" s="364"/>
      <c r="AT330" s="364"/>
      <c r="AU330" s="364"/>
      <c r="AV330" s="364"/>
      <c r="AW330" s="364"/>
      <c r="AX330" s="364"/>
      <c r="AY330" s="364"/>
      <c r="AZ330" s="364"/>
      <c r="BA330" s="364"/>
      <c r="BB330" s="364"/>
      <c r="BC330" s="364"/>
      <c r="BD330" s="364"/>
      <c r="BE330" s="364"/>
      <c r="BF330" s="364"/>
      <c r="BG330" s="364"/>
      <c r="BH330" s="364"/>
      <c r="BI330" s="364"/>
      <c r="BJ330" s="364"/>
      <c r="BK330" s="364"/>
      <c r="BL330" s="364"/>
      <c r="BM330" s="364"/>
      <c r="BN330" s="364"/>
      <c r="BO330" s="364"/>
      <c r="BP330" s="364"/>
      <c r="BQ330" s="364"/>
      <c r="BR330" s="364"/>
      <c r="BS330" s="364"/>
      <c r="BT330" s="364"/>
      <c r="BU330" s="364"/>
      <c r="BV330" s="364"/>
      <c r="BW330" s="364"/>
      <c r="BX330" s="364"/>
      <c r="BY330" s="364"/>
      <c r="BZ330" s="364"/>
      <c r="CA330" s="364"/>
      <c r="CB330" s="364"/>
      <c r="CC330" s="364"/>
      <c r="CD330" s="364"/>
      <c r="CE330" s="364"/>
      <c r="CF330" s="364"/>
      <c r="CG330" s="364"/>
      <c r="CH330" s="364"/>
      <c r="CI330" s="364"/>
      <c r="CJ330" s="364"/>
      <c r="CK330" s="364"/>
      <c r="CL330" s="364"/>
      <c r="CM330" s="364"/>
      <c r="CN330" s="364"/>
      <c r="CO330" s="364"/>
      <c r="CP330" s="364"/>
      <c r="CQ330" s="364"/>
      <c r="CR330" s="364"/>
      <c r="CS330" s="364"/>
      <c r="CT330" s="364"/>
      <c r="CU330" s="364"/>
      <c r="CV330" s="364"/>
      <c r="CW330" s="364"/>
      <c r="CX330" s="364"/>
      <c r="CY330" s="364"/>
      <c r="CZ330" s="364"/>
      <c r="DA330" s="364"/>
      <c r="DB330" s="364"/>
      <c r="DC330" s="364"/>
      <c r="DD330" s="364"/>
      <c r="DE330" s="364"/>
      <c r="DF330" s="364"/>
      <c r="DG330" s="364"/>
      <c r="DH330" s="364"/>
      <c r="DI330" s="364"/>
      <c r="DJ330" s="364"/>
      <c r="DK330" s="364"/>
      <c r="DL330" s="364"/>
      <c r="DM330" s="364"/>
      <c r="DN330" s="364"/>
      <c r="DO330" s="364"/>
      <c r="DP330" s="364"/>
      <c r="DQ330" s="364"/>
      <c r="DR330" s="364"/>
      <c r="DS330" s="364"/>
      <c r="DT330" s="364"/>
      <c r="DU330" s="364"/>
      <c r="DV330" s="364"/>
      <c r="DW330" s="364"/>
      <c r="DX330" s="364"/>
      <c r="DY330" s="364"/>
      <c r="DZ330" s="364"/>
      <c r="EA330" s="364"/>
      <c r="EB330" s="364"/>
      <c r="EC330" s="364"/>
      <c r="ED330" s="364"/>
      <c r="EE330" s="364"/>
      <c r="EF330" s="364"/>
      <c r="EG330" s="364"/>
      <c r="EH330" s="364"/>
      <c r="EI330" s="364"/>
      <c r="EJ330" s="364"/>
      <c r="EK330" s="364"/>
      <c r="EL330" s="364"/>
      <c r="EM330" s="364"/>
      <c r="EN330" s="364"/>
      <c r="EO330" s="364"/>
      <c r="EP330" s="364"/>
      <c r="EQ330" s="364"/>
      <c r="ER330" s="364"/>
      <c r="ES330" s="364"/>
      <c r="ET330" s="364"/>
      <c r="EU330" s="364"/>
      <c r="EV330" s="364"/>
      <c r="EW330" s="364"/>
      <c r="EX330" s="364"/>
      <c r="EY330" s="364"/>
      <c r="EZ330" s="364"/>
      <c r="FA330" s="364"/>
      <c r="FB330" s="364"/>
      <c r="FC330" s="364"/>
      <c r="FD330" s="364"/>
      <c r="FE330" s="364"/>
      <c r="FF330" s="364"/>
      <c r="FG330" s="364"/>
      <c r="FH330" s="364"/>
      <c r="FI330" s="364"/>
      <c r="FJ330" s="364"/>
      <c r="FK330" s="364"/>
    </row>
    <row r="331" customFormat="false" ht="15.75" hidden="false" customHeight="false" outlineLevel="0" collapsed="false">
      <c r="A331" s="364" t="n">
        <v>649</v>
      </c>
      <c r="B331" s="364" t="n">
        <f aca="false">COUNTA(D331:FK331)</f>
        <v>40</v>
      </c>
      <c r="C331" s="364" t="s">
        <v>1649</v>
      </c>
      <c r="D331" s="364" t="s">
        <v>2538</v>
      </c>
      <c r="E331" s="364" t="s">
        <v>2402</v>
      </c>
      <c r="F331" s="364" t="s">
        <v>2404</v>
      </c>
      <c r="G331" s="364" t="s">
        <v>2516</v>
      </c>
      <c r="H331" s="364" t="s">
        <v>2406</v>
      </c>
      <c r="I331" s="364" t="s">
        <v>2408</v>
      </c>
      <c r="J331" s="364" t="s">
        <v>2509</v>
      </c>
      <c r="K331" s="364" t="s">
        <v>2466</v>
      </c>
      <c r="L331" s="364" t="s">
        <v>2315</v>
      </c>
      <c r="M331" s="364" t="s">
        <v>2410</v>
      </c>
      <c r="N331" s="364" t="s">
        <v>2316</v>
      </c>
      <c r="O331" s="364" t="s">
        <v>2448</v>
      </c>
      <c r="P331" s="364" t="s">
        <v>2320</v>
      </c>
      <c r="Q331" s="364" t="s">
        <v>2544</v>
      </c>
      <c r="R331" s="364" t="s">
        <v>2327</v>
      </c>
      <c r="S331" s="364" t="s">
        <v>2642</v>
      </c>
      <c r="T331" s="364" t="s">
        <v>2328</v>
      </c>
      <c r="U331" s="364" t="s">
        <v>2415</v>
      </c>
      <c r="V331" s="364" t="s">
        <v>2417</v>
      </c>
      <c r="W331" s="364" t="s">
        <v>2418</v>
      </c>
      <c r="X331" s="364" t="s">
        <v>2615</v>
      </c>
      <c r="Y331" s="364" t="s">
        <v>2594</v>
      </c>
      <c r="Z331" s="364" t="s">
        <v>2335</v>
      </c>
      <c r="AA331" s="364" t="s">
        <v>2337</v>
      </c>
      <c r="AB331" s="364" t="s">
        <v>2553</v>
      </c>
      <c r="AC331" s="364" t="s">
        <v>2340</v>
      </c>
      <c r="AD331" s="364" t="s">
        <v>2421</v>
      </c>
      <c r="AE331" s="364" t="s">
        <v>2341</v>
      </c>
      <c r="AF331" s="364" t="s">
        <v>2344</v>
      </c>
      <c r="AG331" s="364" t="s">
        <v>2511</v>
      </c>
      <c r="AH331" s="364" t="s">
        <v>2424</v>
      </c>
      <c r="AI331" s="364" t="s">
        <v>2398</v>
      </c>
      <c r="AJ331" s="364" t="s">
        <v>2348</v>
      </c>
      <c r="AK331" s="364" t="s">
        <v>2349</v>
      </c>
      <c r="AL331" s="364" t="s">
        <v>2515</v>
      </c>
      <c r="AM331" s="364" t="s">
        <v>2463</v>
      </c>
      <c r="AN331" s="364" t="s">
        <v>2425</v>
      </c>
      <c r="AO331" s="364" t="s">
        <v>2426</v>
      </c>
      <c r="AP331" s="364" t="s">
        <v>2429</v>
      </c>
      <c r="AQ331" s="364" t="s">
        <v>2430</v>
      </c>
      <c r="AR331" s="364"/>
      <c r="AS331" s="364"/>
      <c r="AT331" s="364"/>
      <c r="AU331" s="364"/>
      <c r="AV331" s="364"/>
      <c r="AW331" s="364"/>
      <c r="AX331" s="364"/>
      <c r="AY331" s="364"/>
      <c r="AZ331" s="364"/>
      <c r="BA331" s="364"/>
      <c r="BB331" s="364"/>
      <c r="BC331" s="364"/>
      <c r="BD331" s="364"/>
      <c r="BE331" s="364"/>
      <c r="BF331" s="364"/>
      <c r="BG331" s="364"/>
      <c r="BH331" s="364"/>
      <c r="BI331" s="364"/>
      <c r="BJ331" s="364"/>
      <c r="BK331" s="364"/>
      <c r="BL331" s="364"/>
      <c r="BM331" s="364"/>
      <c r="BN331" s="364"/>
      <c r="BO331" s="364"/>
      <c r="BP331" s="364"/>
      <c r="BQ331" s="364"/>
      <c r="BR331" s="364"/>
      <c r="BS331" s="364"/>
      <c r="BT331" s="364"/>
      <c r="BU331" s="364"/>
      <c r="BV331" s="364"/>
      <c r="BW331" s="364"/>
      <c r="BX331" s="364"/>
      <c r="BY331" s="364"/>
      <c r="BZ331" s="364"/>
      <c r="CA331" s="364"/>
      <c r="CB331" s="364"/>
      <c r="CC331" s="364"/>
      <c r="CD331" s="364"/>
      <c r="CE331" s="364"/>
      <c r="CF331" s="364"/>
      <c r="CG331" s="364"/>
      <c r="CH331" s="364"/>
      <c r="CI331" s="364"/>
      <c r="CJ331" s="364"/>
      <c r="CK331" s="364"/>
      <c r="CL331" s="364"/>
      <c r="CM331" s="364"/>
      <c r="CN331" s="364"/>
      <c r="CO331" s="364"/>
      <c r="CP331" s="364"/>
      <c r="CQ331" s="364"/>
      <c r="CR331" s="364"/>
      <c r="CS331" s="364"/>
      <c r="CT331" s="364"/>
      <c r="CU331" s="364"/>
      <c r="CV331" s="364"/>
      <c r="CW331" s="364"/>
      <c r="CX331" s="364"/>
      <c r="CY331" s="364"/>
      <c r="CZ331" s="364"/>
      <c r="DA331" s="364"/>
      <c r="DB331" s="364"/>
      <c r="DC331" s="364"/>
      <c r="DD331" s="364"/>
      <c r="DE331" s="364"/>
      <c r="DF331" s="364"/>
      <c r="DG331" s="364"/>
      <c r="DH331" s="364"/>
      <c r="DI331" s="364"/>
      <c r="DJ331" s="364"/>
      <c r="DK331" s="364"/>
      <c r="DL331" s="364"/>
      <c r="DM331" s="364"/>
      <c r="DN331" s="364"/>
      <c r="DO331" s="364"/>
      <c r="DP331" s="364"/>
      <c r="DQ331" s="364"/>
      <c r="DR331" s="364"/>
      <c r="DS331" s="364"/>
      <c r="DT331" s="364"/>
      <c r="DU331" s="364"/>
      <c r="DV331" s="364"/>
      <c r="DW331" s="364"/>
      <c r="DX331" s="364"/>
      <c r="DY331" s="364"/>
      <c r="DZ331" s="364"/>
      <c r="EA331" s="364"/>
      <c r="EB331" s="364"/>
      <c r="EC331" s="364"/>
      <c r="ED331" s="364"/>
      <c r="EE331" s="364"/>
      <c r="EF331" s="364"/>
      <c r="EG331" s="364"/>
      <c r="EH331" s="364"/>
      <c r="EI331" s="364"/>
      <c r="EJ331" s="364"/>
      <c r="EK331" s="364"/>
      <c r="EL331" s="364"/>
      <c r="EM331" s="364"/>
      <c r="EN331" s="364"/>
      <c r="EO331" s="364"/>
      <c r="EP331" s="364"/>
      <c r="EQ331" s="364"/>
      <c r="ER331" s="364"/>
      <c r="ES331" s="364"/>
      <c r="ET331" s="364"/>
      <c r="EU331" s="364"/>
      <c r="EV331" s="364"/>
      <c r="EW331" s="364"/>
      <c r="EX331" s="364"/>
      <c r="EY331" s="364"/>
      <c r="EZ331" s="364"/>
      <c r="FA331" s="364"/>
      <c r="FB331" s="364"/>
      <c r="FC331" s="364"/>
      <c r="FD331" s="364"/>
      <c r="FE331" s="364"/>
      <c r="FF331" s="364"/>
      <c r="FG331" s="364"/>
      <c r="FH331" s="364"/>
      <c r="FI331" s="364"/>
      <c r="FJ331" s="364"/>
      <c r="FK331" s="364"/>
    </row>
    <row r="332" customFormat="false" ht="15.75" hidden="false" customHeight="false" outlineLevel="0" collapsed="false">
      <c r="A332" s="364" t="n">
        <v>652</v>
      </c>
      <c r="B332" s="364" t="n">
        <f aca="false">COUNTA(D332:FK332)</f>
        <v>56</v>
      </c>
      <c r="C332" s="364" t="s">
        <v>1655</v>
      </c>
      <c r="D332" s="364" t="s">
        <v>2352</v>
      </c>
      <c r="E332" s="364" t="s">
        <v>2402</v>
      </c>
      <c r="F332" s="364" t="s">
        <v>2447</v>
      </c>
      <c r="G332" s="364" t="s">
        <v>2404</v>
      </c>
      <c r="H332" s="364" t="s">
        <v>2356</v>
      </c>
      <c r="I332" s="364" t="s">
        <v>2357</v>
      </c>
      <c r="J332" s="364" t="s">
        <v>2313</v>
      </c>
      <c r="K332" s="364" t="s">
        <v>138</v>
      </c>
      <c r="L332" s="364" t="s">
        <v>2466</v>
      </c>
      <c r="M332" s="364" t="s">
        <v>2315</v>
      </c>
      <c r="N332" s="364" t="s">
        <v>2409</v>
      </c>
      <c r="O332" s="364" t="s">
        <v>2358</v>
      </c>
      <c r="P332" s="364" t="s">
        <v>2360</v>
      </c>
      <c r="Q332" s="364" t="s">
        <v>2361</v>
      </c>
      <c r="R332" s="364" t="s">
        <v>2363</v>
      </c>
      <c r="S332" s="364" t="s">
        <v>2497</v>
      </c>
      <c r="T332" s="364" t="s">
        <v>2317</v>
      </c>
      <c r="U332" s="364" t="s">
        <v>2320</v>
      </c>
      <c r="V332" s="364" t="s">
        <v>2376</v>
      </c>
      <c r="W332" s="364" t="s">
        <v>2377</v>
      </c>
      <c r="X332" s="364" t="s">
        <v>2523</v>
      </c>
      <c r="Y332" s="364" t="s">
        <v>2324</v>
      </c>
      <c r="Z332" s="364" t="s">
        <v>2325</v>
      </c>
      <c r="AA332" s="364" t="s">
        <v>2328</v>
      </c>
      <c r="AB332" s="364" t="s">
        <v>2329</v>
      </c>
      <c r="AC332" s="364" t="s">
        <v>2379</v>
      </c>
      <c r="AD332" s="364" t="s">
        <v>2381</v>
      </c>
      <c r="AE332" s="364" t="s">
        <v>2330</v>
      </c>
      <c r="AF332" s="364" t="s">
        <v>2539</v>
      </c>
      <c r="AG332" s="364" t="s">
        <v>2540</v>
      </c>
      <c r="AH332" s="261" t="s">
        <v>183</v>
      </c>
      <c r="AI332" s="364" t="s">
        <v>2332</v>
      </c>
      <c r="AJ332" s="364" t="s">
        <v>2452</v>
      </c>
      <c r="AK332" s="364" t="s">
        <v>2693</v>
      </c>
      <c r="AL332" s="364" t="s">
        <v>2387</v>
      </c>
      <c r="AM332" s="364" t="s">
        <v>2335</v>
      </c>
      <c r="AN332" s="364" t="s">
        <v>2337</v>
      </c>
      <c r="AO332" s="364" t="s">
        <v>2469</v>
      </c>
      <c r="AP332" s="364" t="s">
        <v>2388</v>
      </c>
      <c r="AQ332" s="364" t="s">
        <v>2339</v>
      </c>
      <c r="AR332" s="364" t="s">
        <v>2389</v>
      </c>
      <c r="AS332" s="364" t="s">
        <v>2340</v>
      </c>
      <c r="AT332" s="364" t="s">
        <v>2499</v>
      </c>
      <c r="AU332" s="364" t="s">
        <v>2341</v>
      </c>
      <c r="AV332" s="364" t="s">
        <v>2392</v>
      </c>
      <c r="AW332" s="364" t="s">
        <v>2343</v>
      </c>
      <c r="AX332" s="364" t="s">
        <v>2423</v>
      </c>
      <c r="AY332" s="364" t="s">
        <v>2472</v>
      </c>
      <c r="AZ332" s="364" t="s">
        <v>2344</v>
      </c>
      <c r="BA332" s="364" t="s">
        <v>2346</v>
      </c>
      <c r="BB332" s="364" t="s">
        <v>2500</v>
      </c>
      <c r="BC332" s="364" t="s">
        <v>2347</v>
      </c>
      <c r="BD332" s="364" t="s">
        <v>2511</v>
      </c>
      <c r="BE332" s="364" t="s">
        <v>2445</v>
      </c>
      <c r="BF332" s="364" t="s">
        <v>2456</v>
      </c>
      <c r="BG332" s="364" t="s">
        <v>2463</v>
      </c>
      <c r="BH332" s="364"/>
      <c r="BI332" s="364"/>
      <c r="BJ332" s="364"/>
      <c r="BK332" s="364"/>
      <c r="BL332" s="364"/>
      <c r="BM332" s="364"/>
      <c r="BN332" s="364"/>
      <c r="BO332" s="364"/>
      <c r="BP332" s="364"/>
      <c r="BQ332" s="364"/>
      <c r="BR332" s="364"/>
      <c r="BS332" s="364"/>
      <c r="BT332" s="364"/>
      <c r="BU332" s="364"/>
      <c r="BV332" s="364"/>
      <c r="BW332" s="364"/>
      <c r="BX332" s="364"/>
      <c r="BY332" s="364"/>
      <c r="BZ332" s="364"/>
      <c r="CA332" s="364"/>
      <c r="CB332" s="364"/>
      <c r="CC332" s="364"/>
      <c r="CD332" s="364"/>
      <c r="CE332" s="364"/>
      <c r="CF332" s="364"/>
      <c r="CG332" s="364"/>
      <c r="CH332" s="364"/>
      <c r="CI332" s="364"/>
      <c r="CJ332" s="364"/>
      <c r="CK332" s="364"/>
      <c r="CL332" s="364"/>
      <c r="CM332" s="364"/>
      <c r="CN332" s="364"/>
      <c r="CO332" s="364"/>
      <c r="CP332" s="364"/>
      <c r="CQ332" s="364"/>
      <c r="CR332" s="364"/>
      <c r="CS332" s="364"/>
      <c r="CT332" s="364"/>
      <c r="CU332" s="364"/>
      <c r="CV332" s="364"/>
      <c r="CW332" s="364"/>
      <c r="CX332" s="364"/>
      <c r="CY332" s="364"/>
      <c r="CZ332" s="364"/>
      <c r="DA332" s="364"/>
      <c r="DB332" s="364"/>
      <c r="DC332" s="364"/>
      <c r="DD332" s="364"/>
      <c r="DE332" s="364"/>
      <c r="DF332" s="364"/>
      <c r="DG332" s="364"/>
      <c r="DH332" s="364"/>
      <c r="DI332" s="364"/>
      <c r="DJ332" s="364"/>
      <c r="DK332" s="364"/>
      <c r="DL332" s="364"/>
      <c r="DM332" s="364"/>
      <c r="DN332" s="364"/>
      <c r="DO332" s="364"/>
      <c r="DP332" s="364"/>
      <c r="DQ332" s="364"/>
      <c r="DR332" s="364"/>
      <c r="DS332" s="364"/>
      <c r="DT332" s="364"/>
      <c r="DU332" s="364"/>
      <c r="DV332" s="364"/>
      <c r="DW332" s="364"/>
      <c r="DX332" s="364"/>
      <c r="DY332" s="364"/>
      <c r="DZ332" s="364"/>
      <c r="EA332" s="364"/>
      <c r="EB332" s="364"/>
      <c r="EC332" s="364"/>
      <c r="ED332" s="364"/>
      <c r="EE332" s="364"/>
      <c r="EF332" s="364"/>
      <c r="EG332" s="364"/>
      <c r="EH332" s="364"/>
      <c r="EI332" s="364"/>
      <c r="EJ332" s="364"/>
      <c r="EK332" s="364"/>
      <c r="EL332" s="364"/>
      <c r="EM332" s="364"/>
      <c r="EN332" s="364"/>
      <c r="EO332" s="364"/>
      <c r="EP332" s="364"/>
      <c r="EQ332" s="364"/>
      <c r="ER332" s="364"/>
      <c r="ES332" s="364"/>
      <c r="ET332" s="364"/>
      <c r="EU332" s="364"/>
      <c r="EV332" s="364"/>
      <c r="EW332" s="364"/>
      <c r="EX332" s="364"/>
      <c r="EY332" s="364"/>
      <c r="EZ332" s="364"/>
      <c r="FA332" s="364"/>
      <c r="FB332" s="364"/>
      <c r="FC332" s="364"/>
      <c r="FD332" s="364"/>
      <c r="FE332" s="364"/>
      <c r="FF332" s="364"/>
      <c r="FG332" s="364"/>
      <c r="FH332" s="364"/>
      <c r="FI332" s="364"/>
      <c r="FJ332" s="364"/>
      <c r="FK332" s="364"/>
    </row>
    <row r="333" customFormat="false" ht="15.75" hidden="false" customHeight="false" outlineLevel="0" collapsed="false">
      <c r="A333" s="364" t="n">
        <v>654</v>
      </c>
      <c r="B333" s="364" t="n">
        <f aca="false">COUNTA(D333:FK333)</f>
        <v>47</v>
      </c>
      <c r="C333" s="364" t="s">
        <v>1661</v>
      </c>
      <c r="D333" s="364" t="s">
        <v>2356</v>
      </c>
      <c r="E333" s="364" t="s">
        <v>2313</v>
      </c>
      <c r="F333" s="364" t="s">
        <v>2358</v>
      </c>
      <c r="G333" s="364" t="s">
        <v>2317</v>
      </c>
      <c r="H333" s="364" t="s">
        <v>2448</v>
      </c>
      <c r="I333" s="364" t="s">
        <v>2320</v>
      </c>
      <c r="J333" s="364" t="s">
        <v>2366</v>
      </c>
      <c r="K333" s="364" t="s">
        <v>2367</v>
      </c>
      <c r="L333" s="364" t="s">
        <v>2369</v>
      </c>
      <c r="M333" s="364" t="s">
        <v>2372</v>
      </c>
      <c r="N333" s="364" t="s">
        <v>2373</v>
      </c>
      <c r="O333" s="364" t="s">
        <v>2374</v>
      </c>
      <c r="P333" s="364" t="s">
        <v>2376</v>
      </c>
      <c r="Q333" s="364" t="s">
        <v>2377</v>
      </c>
      <c r="R333" s="364" t="s">
        <v>2324</v>
      </c>
      <c r="S333" s="364" t="s">
        <v>2325</v>
      </c>
      <c r="T333" s="364" t="s">
        <v>2412</v>
      </c>
      <c r="U333" s="364" t="s">
        <v>2614</v>
      </c>
      <c r="V333" s="364" t="s">
        <v>2327</v>
      </c>
      <c r="W333" s="364" t="s">
        <v>2378</v>
      </c>
      <c r="X333" s="364" t="s">
        <v>2328</v>
      </c>
      <c r="Y333" s="364" t="s">
        <v>2329</v>
      </c>
      <c r="Z333" s="364" t="s">
        <v>2379</v>
      </c>
      <c r="AA333" s="364" t="s">
        <v>2386</v>
      </c>
      <c r="AB333" s="364" t="s">
        <v>2452</v>
      </c>
      <c r="AC333" s="364" t="s">
        <v>2387</v>
      </c>
      <c r="AD333" s="364" t="s">
        <v>157</v>
      </c>
      <c r="AE333" s="364" t="s">
        <v>2335</v>
      </c>
      <c r="AF333" s="364" t="s">
        <v>2337</v>
      </c>
      <c r="AG333" s="364" t="s">
        <v>2388</v>
      </c>
      <c r="AH333" s="364" t="s">
        <v>2339</v>
      </c>
      <c r="AI333" s="364" t="s">
        <v>2389</v>
      </c>
      <c r="AJ333" s="364" t="s">
        <v>2420</v>
      </c>
      <c r="AK333" s="364" t="s">
        <v>2340</v>
      </c>
      <c r="AL333" s="364" t="s">
        <v>2341</v>
      </c>
      <c r="AM333" s="364" t="s">
        <v>2423</v>
      </c>
      <c r="AN333" s="364" t="s">
        <v>2344</v>
      </c>
      <c r="AO333" s="364" t="s">
        <v>2345</v>
      </c>
      <c r="AP333" s="364" t="s">
        <v>2500</v>
      </c>
      <c r="AQ333" s="364" t="s">
        <v>2347</v>
      </c>
      <c r="AR333" s="364" t="s">
        <v>2511</v>
      </c>
      <c r="AS333" s="364" t="s">
        <v>2348</v>
      </c>
      <c r="AT333" s="364" t="s">
        <v>2445</v>
      </c>
      <c r="AU333" s="364" t="s">
        <v>2515</v>
      </c>
      <c r="AV333" s="364" t="s">
        <v>2463</v>
      </c>
      <c r="AW333" s="364" t="s">
        <v>2446</v>
      </c>
      <c r="AX333" s="364" t="s">
        <v>2430</v>
      </c>
      <c r="AY333" s="364"/>
      <c r="AZ333" s="364"/>
      <c r="BA333" s="364"/>
      <c r="BB333" s="364"/>
      <c r="BC333" s="364"/>
      <c r="BD333" s="364"/>
      <c r="BE333" s="364"/>
      <c r="BF333" s="364"/>
      <c r="BG333" s="364"/>
      <c r="BH333" s="364"/>
      <c r="BI333" s="364"/>
      <c r="BJ333" s="364"/>
      <c r="BK333" s="364"/>
      <c r="BL333" s="364"/>
      <c r="BM333" s="364"/>
      <c r="BN333" s="364"/>
      <c r="BO333" s="364"/>
      <c r="BP333" s="364"/>
      <c r="BQ333" s="364"/>
      <c r="BR333" s="364"/>
      <c r="BS333" s="364"/>
      <c r="BT333" s="364"/>
      <c r="BU333" s="364"/>
      <c r="BV333" s="364"/>
      <c r="BW333" s="364"/>
      <c r="BX333" s="364"/>
      <c r="BY333" s="364"/>
      <c r="BZ333" s="364"/>
      <c r="CA333" s="364"/>
      <c r="CB333" s="364"/>
      <c r="CC333" s="364"/>
      <c r="CD333" s="364"/>
      <c r="CE333" s="364"/>
      <c r="CF333" s="364"/>
      <c r="CG333" s="364"/>
      <c r="CH333" s="364"/>
      <c r="CI333" s="364"/>
      <c r="CJ333" s="364"/>
      <c r="CK333" s="364"/>
      <c r="CL333" s="364"/>
      <c r="CM333" s="364"/>
      <c r="CN333" s="364"/>
      <c r="CO333" s="364"/>
      <c r="CP333" s="364"/>
      <c r="CQ333" s="364"/>
      <c r="CR333" s="364"/>
      <c r="CS333" s="364"/>
      <c r="CT333" s="364"/>
      <c r="CU333" s="364"/>
      <c r="CV333" s="364"/>
      <c r="CW333" s="364"/>
      <c r="CX333" s="364"/>
      <c r="CY333" s="364"/>
      <c r="CZ333" s="364"/>
      <c r="DA333" s="364"/>
      <c r="DB333" s="364"/>
      <c r="DC333" s="364"/>
      <c r="DD333" s="364"/>
      <c r="DE333" s="364"/>
      <c r="DF333" s="364"/>
      <c r="DG333" s="364"/>
      <c r="DH333" s="364"/>
      <c r="DI333" s="364"/>
      <c r="DJ333" s="364"/>
      <c r="DK333" s="364"/>
      <c r="DL333" s="364"/>
      <c r="DM333" s="364"/>
      <c r="DN333" s="364"/>
      <c r="DO333" s="364"/>
      <c r="DP333" s="364"/>
      <c r="DQ333" s="364"/>
      <c r="DR333" s="364"/>
      <c r="DS333" s="364"/>
      <c r="DT333" s="364"/>
      <c r="DU333" s="364"/>
      <c r="DV333" s="364"/>
      <c r="DW333" s="364"/>
      <c r="DX333" s="364"/>
      <c r="DY333" s="364"/>
      <c r="DZ333" s="364"/>
      <c r="EA333" s="364"/>
      <c r="EB333" s="364"/>
      <c r="EC333" s="364"/>
      <c r="ED333" s="364"/>
      <c r="EE333" s="364"/>
      <c r="EF333" s="364"/>
      <c r="EG333" s="364"/>
      <c r="EH333" s="364"/>
      <c r="EI333" s="364"/>
      <c r="EJ333" s="364"/>
      <c r="EK333" s="364"/>
      <c r="EL333" s="364"/>
      <c r="EM333" s="364"/>
      <c r="EN333" s="364"/>
      <c r="EO333" s="364"/>
      <c r="EP333" s="364"/>
      <c r="EQ333" s="364"/>
      <c r="ER333" s="364"/>
      <c r="ES333" s="364"/>
      <c r="ET333" s="364"/>
      <c r="EU333" s="364"/>
      <c r="EV333" s="364"/>
      <c r="EW333" s="364"/>
      <c r="EX333" s="364"/>
      <c r="EY333" s="364"/>
      <c r="EZ333" s="364"/>
      <c r="FA333" s="364"/>
      <c r="FB333" s="364"/>
      <c r="FC333" s="364"/>
      <c r="FD333" s="364"/>
      <c r="FE333" s="364"/>
      <c r="FF333" s="364"/>
      <c r="FG333" s="364"/>
      <c r="FH333" s="364"/>
      <c r="FI333" s="364"/>
      <c r="FJ333" s="364"/>
      <c r="FK333" s="364"/>
    </row>
    <row r="334" customFormat="false" ht="15.75" hidden="false" customHeight="false" outlineLevel="0" collapsed="false">
      <c r="A334" s="364" t="n">
        <v>656</v>
      </c>
      <c r="B334" s="364" t="n">
        <f aca="false">COUNTA(D334:FK334)</f>
        <v>30</v>
      </c>
      <c r="C334" s="364" t="s">
        <v>1666</v>
      </c>
      <c r="D334" s="364" t="s">
        <v>2527</v>
      </c>
      <c r="E334" s="364" t="s">
        <v>2352</v>
      </c>
      <c r="F334" s="364" t="s">
        <v>2516</v>
      </c>
      <c r="G334" s="364" t="s">
        <v>2314</v>
      </c>
      <c r="H334" s="364" t="s">
        <v>2520</v>
      </c>
      <c r="I334" s="364" t="s">
        <v>2448</v>
      </c>
      <c r="J334" s="364" t="s">
        <v>2319</v>
      </c>
      <c r="K334" s="364" t="s">
        <v>2320</v>
      </c>
      <c r="L334" s="364" t="s">
        <v>2323</v>
      </c>
      <c r="M334" s="364" t="s">
        <v>2325</v>
      </c>
      <c r="N334" s="364" t="s">
        <v>2328</v>
      </c>
      <c r="O334" s="364" t="s">
        <v>2521</v>
      </c>
      <c r="P334" s="364" t="s">
        <v>2330</v>
      </c>
      <c r="Q334" s="364" t="s">
        <v>2331</v>
      </c>
      <c r="R334" s="364" t="s">
        <v>2661</v>
      </c>
      <c r="S334" s="364" t="s">
        <v>2480</v>
      </c>
      <c r="T334" s="364" t="s">
        <v>2333</v>
      </c>
      <c r="U334" s="364" t="s">
        <v>2334</v>
      </c>
      <c r="V334" s="364" t="s">
        <v>2453</v>
      </c>
      <c r="W334" s="364" t="s">
        <v>2454</v>
      </c>
      <c r="X334" s="364" t="s">
        <v>2337</v>
      </c>
      <c r="Y334" s="364" t="s">
        <v>2340</v>
      </c>
      <c r="Z334" s="364" t="s">
        <v>2341</v>
      </c>
      <c r="AA334" s="364" t="s">
        <v>2342</v>
      </c>
      <c r="AB334" s="364" t="s">
        <v>2344</v>
      </c>
      <c r="AC334" s="364" t="s">
        <v>2345</v>
      </c>
      <c r="AD334" s="364" t="s">
        <v>2473</v>
      </c>
      <c r="AE334" s="364" t="s">
        <v>2456</v>
      </c>
      <c r="AF334" s="364" t="s">
        <v>2463</v>
      </c>
      <c r="AG334" s="364" t="s">
        <v>2599</v>
      </c>
      <c r="AH334" s="364"/>
      <c r="AI334" s="364"/>
      <c r="AJ334" s="364"/>
      <c r="AK334" s="364"/>
      <c r="AL334" s="364"/>
      <c r="AM334" s="364"/>
      <c r="AN334" s="364"/>
      <c r="AO334" s="364"/>
      <c r="AP334" s="364"/>
      <c r="AQ334" s="364"/>
      <c r="AR334" s="364"/>
      <c r="AS334" s="364"/>
      <c r="AT334" s="364"/>
      <c r="AU334" s="364"/>
      <c r="AV334" s="364"/>
      <c r="AW334" s="364"/>
      <c r="AX334" s="364"/>
      <c r="AY334" s="364"/>
      <c r="AZ334" s="364"/>
      <c r="BA334" s="364"/>
      <c r="BB334" s="364"/>
      <c r="BC334" s="364"/>
      <c r="BD334" s="364"/>
      <c r="BE334" s="364"/>
      <c r="BF334" s="364"/>
      <c r="BG334" s="364"/>
      <c r="BH334" s="364"/>
      <c r="BI334" s="364"/>
      <c r="BJ334" s="364"/>
      <c r="BK334" s="364"/>
      <c r="BL334" s="364"/>
      <c r="BM334" s="364"/>
      <c r="BN334" s="364"/>
      <c r="BO334" s="364"/>
      <c r="BP334" s="364"/>
      <c r="BQ334" s="364"/>
      <c r="BR334" s="364"/>
      <c r="BS334" s="364"/>
      <c r="BT334" s="364"/>
      <c r="BU334" s="364"/>
      <c r="BV334" s="364"/>
      <c r="BW334" s="364"/>
      <c r="BX334" s="364"/>
      <c r="BY334" s="364"/>
      <c r="BZ334" s="364"/>
      <c r="CA334" s="364"/>
      <c r="CB334" s="364"/>
      <c r="CC334" s="364"/>
      <c r="CD334" s="364"/>
      <c r="CE334" s="364"/>
      <c r="CF334" s="364"/>
      <c r="CG334" s="364"/>
      <c r="CH334" s="364"/>
      <c r="CI334" s="364"/>
      <c r="CJ334" s="364"/>
      <c r="CK334" s="364"/>
      <c r="CL334" s="364"/>
      <c r="CM334" s="364"/>
      <c r="CN334" s="364"/>
      <c r="CO334" s="364"/>
      <c r="CP334" s="364"/>
      <c r="CQ334" s="364"/>
      <c r="CR334" s="364"/>
      <c r="CS334" s="364"/>
      <c r="CT334" s="364"/>
      <c r="CU334" s="364"/>
      <c r="CV334" s="364"/>
      <c r="CW334" s="364"/>
      <c r="CX334" s="364"/>
      <c r="CY334" s="364"/>
      <c r="CZ334" s="364"/>
      <c r="DA334" s="364"/>
      <c r="DB334" s="364"/>
      <c r="DC334" s="364"/>
      <c r="DD334" s="364"/>
      <c r="DE334" s="364"/>
      <c r="DF334" s="364"/>
      <c r="DG334" s="364"/>
      <c r="DH334" s="364"/>
      <c r="DI334" s="364"/>
      <c r="DJ334" s="364"/>
      <c r="DK334" s="364"/>
      <c r="DL334" s="364"/>
      <c r="DM334" s="364"/>
      <c r="DN334" s="364"/>
      <c r="DO334" s="364"/>
      <c r="DP334" s="364"/>
      <c r="DQ334" s="364"/>
      <c r="DR334" s="364"/>
      <c r="DS334" s="364"/>
      <c r="DT334" s="364"/>
      <c r="DU334" s="364"/>
      <c r="DV334" s="364"/>
      <c r="DW334" s="364"/>
      <c r="DX334" s="364"/>
      <c r="DY334" s="364"/>
      <c r="DZ334" s="364"/>
      <c r="EA334" s="364"/>
      <c r="EB334" s="364"/>
      <c r="EC334" s="364"/>
      <c r="ED334" s="364"/>
      <c r="EE334" s="364"/>
      <c r="EF334" s="364"/>
      <c r="EG334" s="364"/>
      <c r="EH334" s="364"/>
      <c r="EI334" s="364"/>
      <c r="EJ334" s="364"/>
      <c r="EK334" s="364"/>
      <c r="EL334" s="364"/>
      <c r="EM334" s="364"/>
      <c r="EN334" s="364"/>
      <c r="EO334" s="364"/>
      <c r="EP334" s="364"/>
      <c r="EQ334" s="364"/>
      <c r="ER334" s="364"/>
      <c r="ES334" s="364"/>
      <c r="ET334" s="364"/>
      <c r="EU334" s="364"/>
      <c r="EV334" s="364"/>
      <c r="EW334" s="364"/>
      <c r="EX334" s="364"/>
      <c r="EY334" s="364"/>
      <c r="EZ334" s="364"/>
      <c r="FA334" s="364"/>
      <c r="FB334" s="364"/>
      <c r="FC334" s="364"/>
      <c r="FD334" s="364"/>
      <c r="FE334" s="364"/>
      <c r="FF334" s="364"/>
      <c r="FG334" s="364"/>
      <c r="FH334" s="364"/>
      <c r="FI334" s="364"/>
      <c r="FJ334" s="364"/>
      <c r="FK334" s="364"/>
    </row>
    <row r="335" customFormat="false" ht="15.75" hidden="false" customHeight="false" outlineLevel="0" collapsed="false">
      <c r="A335" s="364" t="n">
        <v>658</v>
      </c>
      <c r="B335" s="364" t="n">
        <f aca="false">COUNTA(D335:FK335)</f>
        <v>33</v>
      </c>
      <c r="C335" s="364" t="s">
        <v>1670</v>
      </c>
      <c r="D335" s="364" t="s">
        <v>2352</v>
      </c>
      <c r="E335" s="364" t="s">
        <v>2432</v>
      </c>
      <c r="F335" s="364" t="s">
        <v>2313</v>
      </c>
      <c r="G335" s="364" t="s">
        <v>138</v>
      </c>
      <c r="H335" s="364" t="s">
        <v>2315</v>
      </c>
      <c r="I335" s="364" t="s">
        <v>2358</v>
      </c>
      <c r="J335" s="364" t="s">
        <v>2317</v>
      </c>
      <c r="K335" s="364" t="s">
        <v>2320</v>
      </c>
      <c r="L335" s="364" t="s">
        <v>2535</v>
      </c>
      <c r="M335" s="364" t="s">
        <v>2324</v>
      </c>
      <c r="N335" s="364" t="s">
        <v>2328</v>
      </c>
      <c r="O335" s="364" t="s">
        <v>2329</v>
      </c>
      <c r="P335" s="364" t="s">
        <v>2330</v>
      </c>
      <c r="Q335" s="364" t="s">
        <v>2531</v>
      </c>
      <c r="R335" s="364" t="s">
        <v>2454</v>
      </c>
      <c r="S335" s="364" t="s">
        <v>2337</v>
      </c>
      <c r="T335" s="364" t="s">
        <v>2564</v>
      </c>
      <c r="U335" s="364" t="s">
        <v>2388</v>
      </c>
      <c r="V335" s="364" t="s">
        <v>2339</v>
      </c>
      <c r="W335" s="364" t="s">
        <v>2389</v>
      </c>
      <c r="X335" s="364" t="s">
        <v>2675</v>
      </c>
      <c r="Y335" s="364" t="s">
        <v>2340</v>
      </c>
      <c r="Z335" s="364" t="s">
        <v>2341</v>
      </c>
      <c r="AA335" s="364" t="s">
        <v>2392</v>
      </c>
      <c r="AB335" s="364" t="s">
        <v>2395</v>
      </c>
      <c r="AC335" s="364" t="s">
        <v>2423</v>
      </c>
      <c r="AD335" s="364" t="s">
        <v>2344</v>
      </c>
      <c r="AE335" s="364" t="s">
        <v>2345</v>
      </c>
      <c r="AF335" s="364" t="s">
        <v>2346</v>
      </c>
      <c r="AG335" s="364" t="s">
        <v>2500</v>
      </c>
      <c r="AH335" s="364" t="s">
        <v>2347</v>
      </c>
      <c r="AI335" s="364" t="s">
        <v>2444</v>
      </c>
      <c r="AJ335" s="364" t="s">
        <v>2458</v>
      </c>
      <c r="AK335" s="364"/>
      <c r="AL335" s="364"/>
      <c r="AM335" s="364"/>
      <c r="AN335" s="364"/>
      <c r="AO335" s="364"/>
      <c r="AP335" s="364"/>
      <c r="AQ335" s="364"/>
      <c r="AR335" s="364"/>
      <c r="AS335" s="364"/>
      <c r="AT335" s="364"/>
      <c r="AU335" s="364"/>
      <c r="AV335" s="364"/>
      <c r="AW335" s="364"/>
      <c r="AX335" s="364"/>
      <c r="AY335" s="364"/>
      <c r="AZ335" s="364"/>
      <c r="BA335" s="364"/>
      <c r="BB335" s="364"/>
      <c r="BC335" s="364"/>
      <c r="BD335" s="364"/>
      <c r="BE335" s="364"/>
      <c r="BF335" s="364"/>
      <c r="BG335" s="364"/>
      <c r="BH335" s="364"/>
      <c r="BI335" s="364"/>
      <c r="BJ335" s="364"/>
      <c r="BK335" s="364"/>
      <c r="BL335" s="364"/>
      <c r="BM335" s="364"/>
      <c r="BN335" s="364"/>
      <c r="BO335" s="364"/>
      <c r="BP335" s="364"/>
      <c r="BQ335" s="364"/>
      <c r="BR335" s="364"/>
      <c r="BS335" s="364"/>
      <c r="BT335" s="364"/>
      <c r="BU335" s="364"/>
      <c r="BV335" s="364"/>
      <c r="BW335" s="364"/>
      <c r="BX335" s="364"/>
      <c r="BY335" s="364"/>
      <c r="BZ335" s="364"/>
      <c r="CA335" s="364"/>
      <c r="CB335" s="364"/>
      <c r="CC335" s="364"/>
      <c r="CD335" s="364"/>
      <c r="CE335" s="364"/>
      <c r="CF335" s="364"/>
      <c r="CG335" s="364"/>
      <c r="CH335" s="364"/>
      <c r="CI335" s="364"/>
      <c r="CJ335" s="364"/>
      <c r="CK335" s="364"/>
      <c r="CL335" s="364"/>
      <c r="CM335" s="364"/>
      <c r="CN335" s="364"/>
      <c r="CO335" s="364"/>
      <c r="CP335" s="364"/>
      <c r="CQ335" s="364"/>
      <c r="CR335" s="364"/>
      <c r="CS335" s="364"/>
      <c r="CT335" s="364"/>
      <c r="CU335" s="364"/>
      <c r="CV335" s="364"/>
      <c r="CW335" s="364"/>
      <c r="CX335" s="364"/>
      <c r="CY335" s="364"/>
      <c r="CZ335" s="364"/>
      <c r="DA335" s="364"/>
      <c r="DB335" s="364"/>
      <c r="DC335" s="364"/>
      <c r="DD335" s="364"/>
      <c r="DE335" s="364"/>
      <c r="DF335" s="364"/>
      <c r="DG335" s="364"/>
      <c r="DH335" s="364"/>
      <c r="DI335" s="364"/>
      <c r="DJ335" s="364"/>
      <c r="DK335" s="364"/>
      <c r="DL335" s="364"/>
      <c r="DM335" s="364"/>
      <c r="DN335" s="364"/>
      <c r="DO335" s="364"/>
      <c r="DP335" s="364"/>
      <c r="DQ335" s="364"/>
      <c r="DR335" s="364"/>
      <c r="DS335" s="364"/>
      <c r="DT335" s="364"/>
      <c r="DU335" s="364"/>
      <c r="DV335" s="364"/>
      <c r="DW335" s="364"/>
      <c r="DX335" s="364"/>
      <c r="DY335" s="364"/>
      <c r="DZ335" s="364"/>
      <c r="EA335" s="364"/>
      <c r="EB335" s="364"/>
      <c r="EC335" s="364"/>
      <c r="ED335" s="364"/>
      <c r="EE335" s="364"/>
      <c r="EF335" s="364"/>
      <c r="EG335" s="364"/>
      <c r="EH335" s="364"/>
      <c r="EI335" s="364"/>
      <c r="EJ335" s="364"/>
      <c r="EK335" s="364"/>
      <c r="EL335" s="364"/>
      <c r="EM335" s="364"/>
      <c r="EN335" s="364"/>
      <c r="EO335" s="364"/>
      <c r="EP335" s="364"/>
      <c r="EQ335" s="364"/>
      <c r="ER335" s="364"/>
      <c r="ES335" s="364"/>
      <c r="ET335" s="364"/>
      <c r="EU335" s="364"/>
      <c r="EV335" s="364"/>
      <c r="EW335" s="364"/>
      <c r="EX335" s="364"/>
      <c r="EY335" s="364"/>
      <c r="EZ335" s="364"/>
      <c r="FA335" s="364"/>
      <c r="FB335" s="364"/>
      <c r="FC335" s="364"/>
      <c r="FD335" s="364"/>
      <c r="FE335" s="364"/>
      <c r="FF335" s="364"/>
      <c r="FG335" s="364"/>
      <c r="FH335" s="364"/>
      <c r="FI335" s="364"/>
      <c r="FJ335" s="364"/>
      <c r="FK335" s="364"/>
    </row>
    <row r="336" customFormat="false" ht="15.75" hidden="false" customHeight="false" outlineLevel="0" collapsed="false">
      <c r="A336" s="364" t="n">
        <v>660</v>
      </c>
      <c r="B336" s="364" t="n">
        <f aca="false">COUNTA(D336:FK336)</f>
        <v>53</v>
      </c>
      <c r="C336" s="364" t="s">
        <v>1674</v>
      </c>
      <c r="D336" s="364" t="s">
        <v>2356</v>
      </c>
      <c r="E336" s="364" t="s">
        <v>2509</v>
      </c>
      <c r="F336" s="364" t="s">
        <v>2466</v>
      </c>
      <c r="G336" s="364" t="s">
        <v>2409</v>
      </c>
      <c r="H336" s="364" t="s">
        <v>2358</v>
      </c>
      <c r="I336" s="364" t="s">
        <v>2360</v>
      </c>
      <c r="J336" s="364" t="s">
        <v>2361</v>
      </c>
      <c r="K336" s="364" t="s">
        <v>2363</v>
      </c>
      <c r="L336" s="364" t="s">
        <v>2520</v>
      </c>
      <c r="M336" s="364" t="s">
        <v>2543</v>
      </c>
      <c r="N336" s="364" t="s">
        <v>2320</v>
      </c>
      <c r="O336" s="364" t="s">
        <v>2535</v>
      </c>
      <c r="P336" s="364" t="s">
        <v>2369</v>
      </c>
      <c r="Q336" s="364" t="s">
        <v>2376</v>
      </c>
      <c r="R336" s="364" t="s">
        <v>2377</v>
      </c>
      <c r="S336" s="364" t="s">
        <v>2523</v>
      </c>
      <c r="T336" s="364" t="s">
        <v>2324</v>
      </c>
      <c r="U336" s="364" t="s">
        <v>2325</v>
      </c>
      <c r="V336" s="364" t="s">
        <v>2327</v>
      </c>
      <c r="W336" s="364" t="s">
        <v>2642</v>
      </c>
      <c r="X336" s="364" t="s">
        <v>2328</v>
      </c>
      <c r="Y336" s="364" t="s">
        <v>2609</v>
      </c>
      <c r="Z336" s="364" t="s">
        <v>2329</v>
      </c>
      <c r="AA336" s="364" t="s">
        <v>2416</v>
      </c>
      <c r="AB336" s="364" t="s">
        <v>2379</v>
      </c>
      <c r="AC336" s="364" t="s">
        <v>2506</v>
      </c>
      <c r="AD336" s="364" t="s">
        <v>2381</v>
      </c>
      <c r="AE336" s="364" t="s">
        <v>2330</v>
      </c>
      <c r="AF336" s="364" t="s">
        <v>2539</v>
      </c>
      <c r="AG336" s="364" t="s">
        <v>2540</v>
      </c>
      <c r="AH336" s="364" t="s">
        <v>2332</v>
      </c>
      <c r="AI336" s="364" t="s">
        <v>2452</v>
      </c>
      <c r="AJ336" s="364" t="s">
        <v>2454</v>
      </c>
      <c r="AK336" s="364" t="s">
        <v>2387</v>
      </c>
      <c r="AL336" s="364" t="s">
        <v>2337</v>
      </c>
      <c r="AM336" s="364" t="s">
        <v>2469</v>
      </c>
      <c r="AN336" s="364" t="s">
        <v>2338</v>
      </c>
      <c r="AO336" s="364" t="s">
        <v>2388</v>
      </c>
      <c r="AP336" s="364" t="s">
        <v>2339</v>
      </c>
      <c r="AQ336" s="364" t="s">
        <v>2389</v>
      </c>
      <c r="AR336" s="364" t="s">
        <v>2340</v>
      </c>
      <c r="AS336" s="364" t="s">
        <v>2341</v>
      </c>
      <c r="AT336" s="364" t="s">
        <v>2343</v>
      </c>
      <c r="AU336" s="364" t="s">
        <v>2423</v>
      </c>
      <c r="AV336" s="364" t="s">
        <v>2472</v>
      </c>
      <c r="AW336" s="364" t="s">
        <v>2344</v>
      </c>
      <c r="AX336" s="364" t="s">
        <v>2500</v>
      </c>
      <c r="AY336" s="364" t="s">
        <v>2347</v>
      </c>
      <c r="AZ336" s="364" t="s">
        <v>2474</v>
      </c>
      <c r="BA336" s="364" t="s">
        <v>2445</v>
      </c>
      <c r="BB336" s="364" t="s">
        <v>2456</v>
      </c>
      <c r="BC336" s="364" t="s">
        <v>2399</v>
      </c>
      <c r="BD336" s="364" t="s">
        <v>2430</v>
      </c>
      <c r="BE336" s="364"/>
      <c r="BF336" s="364"/>
      <c r="BG336" s="364"/>
      <c r="BH336" s="364"/>
      <c r="BI336" s="364"/>
      <c r="BJ336" s="364"/>
      <c r="BK336" s="364"/>
      <c r="BL336" s="364"/>
      <c r="BM336" s="364"/>
      <c r="BN336" s="364"/>
      <c r="BO336" s="364"/>
      <c r="BP336" s="364"/>
      <c r="BQ336" s="364"/>
      <c r="BR336" s="364"/>
      <c r="BS336" s="364"/>
      <c r="BT336" s="364"/>
      <c r="BU336" s="364"/>
      <c r="BV336" s="364"/>
      <c r="BW336" s="364"/>
      <c r="BX336" s="364"/>
      <c r="BY336" s="364"/>
      <c r="BZ336" s="364"/>
      <c r="CA336" s="364"/>
      <c r="CB336" s="364"/>
      <c r="CC336" s="364"/>
      <c r="CD336" s="364"/>
      <c r="CE336" s="364"/>
      <c r="CF336" s="364"/>
      <c r="CG336" s="364"/>
      <c r="CH336" s="364"/>
      <c r="CI336" s="364"/>
      <c r="CJ336" s="364"/>
      <c r="CK336" s="364"/>
      <c r="CL336" s="364"/>
      <c r="CM336" s="364"/>
      <c r="CN336" s="364"/>
      <c r="CO336" s="364"/>
      <c r="CP336" s="364"/>
      <c r="CQ336" s="364"/>
      <c r="CR336" s="364"/>
      <c r="CS336" s="364"/>
      <c r="CT336" s="364"/>
      <c r="CU336" s="364"/>
      <c r="CV336" s="364"/>
      <c r="CW336" s="364"/>
      <c r="CX336" s="364"/>
      <c r="CY336" s="364"/>
      <c r="CZ336" s="364"/>
      <c r="DA336" s="364"/>
      <c r="DB336" s="364"/>
      <c r="DC336" s="364"/>
      <c r="DD336" s="364"/>
      <c r="DE336" s="364"/>
      <c r="DF336" s="364"/>
      <c r="DG336" s="364"/>
      <c r="DH336" s="364"/>
      <c r="DI336" s="364"/>
      <c r="DJ336" s="364"/>
      <c r="DK336" s="364"/>
      <c r="DL336" s="364"/>
      <c r="DM336" s="364"/>
      <c r="DN336" s="364"/>
      <c r="DO336" s="364"/>
      <c r="DP336" s="364"/>
      <c r="DQ336" s="364"/>
      <c r="DR336" s="364"/>
      <c r="DS336" s="364"/>
      <c r="DT336" s="364"/>
      <c r="DU336" s="364"/>
      <c r="DV336" s="364"/>
      <c r="DW336" s="364"/>
      <c r="DX336" s="364"/>
      <c r="DY336" s="364"/>
      <c r="DZ336" s="364"/>
      <c r="EA336" s="364"/>
      <c r="EB336" s="364"/>
      <c r="EC336" s="364"/>
      <c r="ED336" s="364"/>
      <c r="EE336" s="364"/>
      <c r="EF336" s="364"/>
      <c r="EG336" s="364"/>
      <c r="EH336" s="364"/>
      <c r="EI336" s="364"/>
      <c r="EJ336" s="364"/>
      <c r="EK336" s="364"/>
      <c r="EL336" s="364"/>
      <c r="EM336" s="364"/>
      <c r="EN336" s="364"/>
      <c r="EO336" s="364"/>
      <c r="EP336" s="364"/>
      <c r="EQ336" s="364"/>
      <c r="ER336" s="364"/>
      <c r="ES336" s="364"/>
      <c r="ET336" s="364"/>
      <c r="EU336" s="364"/>
      <c r="EV336" s="364"/>
      <c r="EW336" s="364"/>
      <c r="EX336" s="364"/>
      <c r="EY336" s="364"/>
      <c r="EZ336" s="364"/>
      <c r="FA336" s="364"/>
      <c r="FB336" s="364"/>
      <c r="FC336" s="364"/>
      <c r="FD336" s="364"/>
      <c r="FE336" s="364"/>
      <c r="FF336" s="364"/>
      <c r="FG336" s="364"/>
      <c r="FH336" s="364"/>
      <c r="FI336" s="364"/>
      <c r="FJ336" s="364"/>
      <c r="FK336" s="364"/>
    </row>
    <row r="337" customFormat="false" ht="15.75" hidden="false" customHeight="false" outlineLevel="0" collapsed="false">
      <c r="A337" s="364" t="n">
        <v>661</v>
      </c>
      <c r="B337" s="364" t="n">
        <f aca="false">COUNTA(D337:FK337)</f>
        <v>39</v>
      </c>
      <c r="C337" s="364" t="s">
        <v>1676</v>
      </c>
      <c r="D337" s="364" t="s">
        <v>2352</v>
      </c>
      <c r="E337" s="364" t="s">
        <v>2353</v>
      </c>
      <c r="F337" s="364" t="s">
        <v>2354</v>
      </c>
      <c r="G337" s="364" t="s">
        <v>2561</v>
      </c>
      <c r="H337" s="364" t="s">
        <v>2464</v>
      </c>
      <c r="I337" s="364" t="s">
        <v>2409</v>
      </c>
      <c r="J337" s="364" t="s">
        <v>2517</v>
      </c>
      <c r="K337" s="364" t="s">
        <v>2435</v>
      </c>
      <c r="L337" s="364" t="s">
        <v>2319</v>
      </c>
      <c r="M337" s="364" t="s">
        <v>2320</v>
      </c>
      <c r="N337" s="364" t="s">
        <v>2411</v>
      </c>
      <c r="O337" s="364" t="s">
        <v>2375</v>
      </c>
      <c r="P337" s="364" t="s">
        <v>2550</v>
      </c>
      <c r="Q337" s="364" t="s">
        <v>2437</v>
      </c>
      <c r="R337" s="364" t="s">
        <v>2378</v>
      </c>
      <c r="S337" s="364" t="s">
        <v>2328</v>
      </c>
      <c r="T337" s="364" t="s">
        <v>2329</v>
      </c>
      <c r="U337" s="364" t="s">
        <v>2415</v>
      </c>
      <c r="V337" s="364" t="s">
        <v>2417</v>
      </c>
      <c r="W337" s="364" t="s">
        <v>2460</v>
      </c>
      <c r="X337" s="364" t="s">
        <v>2439</v>
      </c>
      <c r="Y337" s="364" t="s">
        <v>157</v>
      </c>
      <c r="Z337" s="364" t="s">
        <v>2495</v>
      </c>
      <c r="AA337" s="364" t="s">
        <v>2440</v>
      </c>
      <c r="AB337" s="364" t="s">
        <v>2337</v>
      </c>
      <c r="AC337" s="364" t="s">
        <v>2340</v>
      </c>
      <c r="AD337" s="364" t="s">
        <v>2341</v>
      </c>
      <c r="AE337" s="364" t="s">
        <v>2442</v>
      </c>
      <c r="AF337" s="364" t="s">
        <v>2470</v>
      </c>
      <c r="AG337" s="364" t="s">
        <v>2422</v>
      </c>
      <c r="AH337" s="364" t="s">
        <v>2462</v>
      </c>
      <c r="AI337" s="364" t="s">
        <v>2423</v>
      </c>
      <c r="AJ337" s="364" t="s">
        <v>2344</v>
      </c>
      <c r="AK337" s="364" t="s">
        <v>2345</v>
      </c>
      <c r="AL337" s="364" t="s">
        <v>2396</v>
      </c>
      <c r="AM337" s="364" t="s">
        <v>2641</v>
      </c>
      <c r="AN337" s="364" t="s">
        <v>2592</v>
      </c>
      <c r="AO337" s="364" t="s">
        <v>2445</v>
      </c>
      <c r="AP337" s="364" t="s">
        <v>2430</v>
      </c>
      <c r="AQ337" s="364"/>
      <c r="AR337" s="364"/>
      <c r="AS337" s="364"/>
      <c r="AT337" s="364"/>
      <c r="AU337" s="364"/>
      <c r="AV337" s="364"/>
      <c r="AW337" s="364"/>
      <c r="AX337" s="364"/>
      <c r="AY337" s="364"/>
      <c r="AZ337" s="364"/>
      <c r="BA337" s="364"/>
      <c r="BB337" s="364"/>
      <c r="BC337" s="364"/>
      <c r="BD337" s="364"/>
      <c r="BE337" s="364"/>
      <c r="BF337" s="364"/>
      <c r="BG337" s="364"/>
      <c r="BH337" s="364"/>
      <c r="BI337" s="364"/>
      <c r="BJ337" s="364"/>
      <c r="BK337" s="364"/>
      <c r="BL337" s="364"/>
      <c r="BM337" s="364"/>
      <c r="BN337" s="364"/>
      <c r="BO337" s="364"/>
      <c r="BP337" s="364"/>
      <c r="BQ337" s="364"/>
      <c r="BR337" s="364"/>
      <c r="BS337" s="364"/>
      <c r="BT337" s="364"/>
      <c r="BU337" s="364"/>
      <c r="BV337" s="364"/>
      <c r="BW337" s="364"/>
      <c r="BX337" s="364"/>
      <c r="BY337" s="364"/>
      <c r="BZ337" s="364"/>
      <c r="CA337" s="364"/>
      <c r="CB337" s="364"/>
      <c r="CC337" s="364"/>
      <c r="CD337" s="364"/>
      <c r="CE337" s="364"/>
      <c r="CF337" s="364"/>
      <c r="CG337" s="364"/>
      <c r="CH337" s="364"/>
      <c r="CI337" s="364"/>
      <c r="CJ337" s="364"/>
      <c r="CK337" s="364"/>
      <c r="CL337" s="364"/>
      <c r="CM337" s="364"/>
      <c r="CN337" s="364"/>
      <c r="CO337" s="364"/>
      <c r="CP337" s="364"/>
      <c r="CQ337" s="364"/>
      <c r="CR337" s="364"/>
      <c r="CS337" s="364"/>
      <c r="CT337" s="364"/>
      <c r="CU337" s="364"/>
      <c r="CV337" s="364"/>
      <c r="CW337" s="364"/>
      <c r="CX337" s="364"/>
      <c r="CY337" s="364"/>
      <c r="CZ337" s="364"/>
      <c r="DA337" s="364"/>
      <c r="DB337" s="364"/>
      <c r="DC337" s="364"/>
      <c r="DD337" s="364"/>
      <c r="DE337" s="364"/>
      <c r="DF337" s="364"/>
      <c r="DG337" s="364"/>
      <c r="DH337" s="364"/>
      <c r="DI337" s="364"/>
      <c r="DJ337" s="364"/>
      <c r="DK337" s="364"/>
      <c r="DL337" s="364"/>
      <c r="DM337" s="364"/>
      <c r="DN337" s="364"/>
      <c r="DO337" s="364"/>
      <c r="DP337" s="364"/>
      <c r="DQ337" s="364"/>
      <c r="DR337" s="364"/>
      <c r="DS337" s="364"/>
      <c r="DT337" s="364"/>
      <c r="DU337" s="364"/>
      <c r="DV337" s="364"/>
      <c r="DW337" s="364"/>
      <c r="DX337" s="364"/>
      <c r="DY337" s="364"/>
      <c r="DZ337" s="364"/>
      <c r="EA337" s="364"/>
      <c r="EB337" s="364"/>
      <c r="EC337" s="364"/>
      <c r="ED337" s="364"/>
      <c r="EE337" s="364"/>
      <c r="EF337" s="364"/>
      <c r="EG337" s="364"/>
      <c r="EH337" s="364"/>
      <c r="EI337" s="364"/>
      <c r="EJ337" s="364"/>
      <c r="EK337" s="364"/>
      <c r="EL337" s="364"/>
      <c r="EM337" s="364"/>
      <c r="EN337" s="364"/>
      <c r="EO337" s="364"/>
      <c r="EP337" s="364"/>
      <c r="EQ337" s="364"/>
      <c r="ER337" s="364"/>
      <c r="ES337" s="364"/>
      <c r="ET337" s="364"/>
      <c r="EU337" s="364"/>
      <c r="EV337" s="364"/>
      <c r="EW337" s="364"/>
      <c r="EX337" s="364"/>
      <c r="EY337" s="364"/>
      <c r="EZ337" s="364"/>
      <c r="FA337" s="364"/>
      <c r="FB337" s="364"/>
      <c r="FC337" s="364"/>
      <c r="FD337" s="364"/>
      <c r="FE337" s="364"/>
      <c r="FF337" s="364"/>
      <c r="FG337" s="364"/>
      <c r="FH337" s="364"/>
      <c r="FI337" s="364"/>
      <c r="FJ337" s="364"/>
      <c r="FK337" s="364"/>
    </row>
    <row r="338" customFormat="false" ht="15.75" hidden="false" customHeight="false" outlineLevel="0" collapsed="false">
      <c r="A338" s="364" t="n">
        <v>663</v>
      </c>
      <c r="B338" s="364" t="n">
        <f aca="false">COUNTA(D338:FK338)</f>
        <v>24</v>
      </c>
      <c r="C338" s="364" t="s">
        <v>1680</v>
      </c>
      <c r="D338" s="364" t="s">
        <v>2528</v>
      </c>
      <c r="E338" s="364" t="s">
        <v>2409</v>
      </c>
      <c r="F338" s="364" t="s">
        <v>2435</v>
      </c>
      <c r="G338" s="364" t="s">
        <v>2319</v>
      </c>
      <c r="H338" s="364" t="s">
        <v>2320</v>
      </c>
      <c r="I338" s="364" t="s">
        <v>2324</v>
      </c>
      <c r="J338" s="364" t="s">
        <v>2325</v>
      </c>
      <c r="K338" s="364" t="s">
        <v>2560</v>
      </c>
      <c r="L338" s="364" t="s">
        <v>2328</v>
      </c>
      <c r="M338" s="364" t="s">
        <v>2329</v>
      </c>
      <c r="N338" s="364" t="s">
        <v>2438</v>
      </c>
      <c r="O338" s="364" t="s">
        <v>2330</v>
      </c>
      <c r="P338" s="364" t="s">
        <v>2589</v>
      </c>
      <c r="Q338" s="364" t="s">
        <v>2385</v>
      </c>
      <c r="R338" s="364" t="s">
        <v>2452</v>
      </c>
      <c r="S338" s="364" t="s">
        <v>157</v>
      </c>
      <c r="T338" s="364" t="s">
        <v>2337</v>
      </c>
      <c r="U338" s="364" t="s">
        <v>2340</v>
      </c>
      <c r="V338" s="364" t="s">
        <v>2341</v>
      </c>
      <c r="W338" s="364" t="s">
        <v>2442</v>
      </c>
      <c r="X338" s="364" t="s">
        <v>2470</v>
      </c>
      <c r="Y338" s="364" t="s">
        <v>2344</v>
      </c>
      <c r="Z338" s="364" t="s">
        <v>2445</v>
      </c>
      <c r="AA338" s="364" t="s">
        <v>2430</v>
      </c>
      <c r="AB338" s="364"/>
      <c r="AC338" s="364"/>
      <c r="AD338" s="364"/>
      <c r="AE338" s="364"/>
      <c r="AF338" s="364"/>
      <c r="AG338" s="364"/>
      <c r="AH338" s="364"/>
      <c r="AI338" s="364"/>
      <c r="AJ338" s="364"/>
      <c r="AK338" s="364"/>
      <c r="AL338" s="364"/>
      <c r="AM338" s="364"/>
      <c r="AN338" s="364"/>
      <c r="AO338" s="364"/>
      <c r="AP338" s="364"/>
      <c r="AQ338" s="364"/>
      <c r="AR338" s="364"/>
      <c r="AS338" s="364"/>
      <c r="AT338" s="364"/>
      <c r="AU338" s="364"/>
      <c r="AV338" s="364"/>
      <c r="AW338" s="364"/>
      <c r="AX338" s="364"/>
      <c r="AY338" s="364"/>
      <c r="AZ338" s="364"/>
      <c r="BA338" s="364"/>
      <c r="BB338" s="364"/>
      <c r="BC338" s="364"/>
      <c r="BD338" s="364"/>
      <c r="BE338" s="364"/>
      <c r="BF338" s="364"/>
      <c r="BG338" s="364"/>
      <c r="BH338" s="364"/>
      <c r="BI338" s="364"/>
      <c r="BJ338" s="364"/>
      <c r="BK338" s="364"/>
      <c r="BL338" s="364"/>
      <c r="BM338" s="364"/>
      <c r="BN338" s="364"/>
      <c r="BO338" s="364"/>
      <c r="BP338" s="364"/>
      <c r="BQ338" s="364"/>
      <c r="BR338" s="364"/>
      <c r="BS338" s="364"/>
      <c r="BT338" s="364"/>
      <c r="BU338" s="364"/>
      <c r="BV338" s="364"/>
      <c r="BW338" s="364"/>
      <c r="BX338" s="364"/>
      <c r="BY338" s="364"/>
      <c r="BZ338" s="364"/>
      <c r="CA338" s="364"/>
      <c r="CB338" s="364"/>
      <c r="CC338" s="364"/>
      <c r="CD338" s="364"/>
      <c r="CE338" s="364"/>
      <c r="CF338" s="364"/>
      <c r="CG338" s="364"/>
      <c r="CH338" s="364"/>
      <c r="CI338" s="364"/>
      <c r="CJ338" s="364"/>
      <c r="CK338" s="364"/>
      <c r="CL338" s="364"/>
      <c r="CM338" s="364"/>
      <c r="CN338" s="364"/>
      <c r="CO338" s="364"/>
      <c r="CP338" s="364"/>
      <c r="CQ338" s="364"/>
      <c r="CR338" s="364"/>
      <c r="CS338" s="364"/>
      <c r="CT338" s="364"/>
      <c r="CU338" s="364"/>
      <c r="CV338" s="364"/>
      <c r="CW338" s="364"/>
      <c r="CX338" s="364"/>
      <c r="CY338" s="364"/>
      <c r="CZ338" s="364"/>
      <c r="DA338" s="364"/>
      <c r="DB338" s="364"/>
      <c r="DC338" s="364"/>
      <c r="DD338" s="364"/>
      <c r="DE338" s="364"/>
      <c r="DF338" s="364"/>
      <c r="DG338" s="364"/>
      <c r="DH338" s="364"/>
      <c r="DI338" s="364"/>
      <c r="DJ338" s="364"/>
      <c r="DK338" s="364"/>
      <c r="DL338" s="364"/>
      <c r="DM338" s="364"/>
      <c r="DN338" s="364"/>
      <c r="DO338" s="364"/>
      <c r="DP338" s="364"/>
      <c r="DQ338" s="364"/>
      <c r="DR338" s="364"/>
      <c r="DS338" s="364"/>
      <c r="DT338" s="364"/>
      <c r="DU338" s="364"/>
      <c r="DV338" s="364"/>
      <c r="DW338" s="364"/>
      <c r="DX338" s="364"/>
      <c r="DY338" s="364"/>
      <c r="DZ338" s="364"/>
      <c r="EA338" s="364"/>
      <c r="EB338" s="364"/>
      <c r="EC338" s="364"/>
      <c r="ED338" s="364"/>
      <c r="EE338" s="364"/>
      <c r="EF338" s="364"/>
      <c r="EG338" s="364"/>
      <c r="EH338" s="364"/>
      <c r="EI338" s="364"/>
      <c r="EJ338" s="364"/>
      <c r="EK338" s="364"/>
      <c r="EL338" s="364"/>
      <c r="EM338" s="364"/>
      <c r="EN338" s="364"/>
      <c r="EO338" s="364"/>
      <c r="EP338" s="364"/>
      <c r="EQ338" s="364"/>
      <c r="ER338" s="364"/>
      <c r="ES338" s="364"/>
      <c r="ET338" s="364"/>
      <c r="EU338" s="364"/>
      <c r="EV338" s="364"/>
      <c r="EW338" s="364"/>
      <c r="EX338" s="364"/>
      <c r="EY338" s="364"/>
      <c r="EZ338" s="364"/>
      <c r="FA338" s="364"/>
      <c r="FB338" s="364"/>
      <c r="FC338" s="364"/>
      <c r="FD338" s="364"/>
      <c r="FE338" s="364"/>
      <c r="FF338" s="364"/>
      <c r="FG338" s="364"/>
      <c r="FH338" s="364"/>
      <c r="FI338" s="364"/>
      <c r="FJ338" s="364"/>
      <c r="FK338" s="364"/>
    </row>
    <row r="339" customFormat="false" ht="15.75" hidden="false" customHeight="false" outlineLevel="0" collapsed="false">
      <c r="A339" s="364" t="n">
        <v>665</v>
      </c>
      <c r="B339" s="364" t="n">
        <f aca="false">COUNTA(D339:FK339)</f>
        <v>44</v>
      </c>
      <c r="C339" s="364" t="s">
        <v>1684</v>
      </c>
      <c r="D339" s="364" t="s">
        <v>2561</v>
      </c>
      <c r="E339" s="364" t="s">
        <v>2538</v>
      </c>
      <c r="F339" s="364" t="s">
        <v>2402</v>
      </c>
      <c r="G339" s="364" t="s">
        <v>2310</v>
      </c>
      <c r="H339" s="364" t="s">
        <v>2404</v>
      </c>
      <c r="I339" s="364" t="s">
        <v>2405</v>
      </c>
      <c r="J339" s="364" t="s">
        <v>2406</v>
      </c>
      <c r="K339" s="364" t="s">
        <v>2313</v>
      </c>
      <c r="L339" s="364" t="s">
        <v>2466</v>
      </c>
      <c r="M339" s="364" t="s">
        <v>2358</v>
      </c>
      <c r="N339" s="364" t="s">
        <v>2410</v>
      </c>
      <c r="O339" s="364" t="s">
        <v>2497</v>
      </c>
      <c r="P339" s="364" t="s">
        <v>2317</v>
      </c>
      <c r="Q339" s="364" t="s">
        <v>2320</v>
      </c>
      <c r="R339" s="364" t="s">
        <v>2376</v>
      </c>
      <c r="S339" s="364" t="s">
        <v>2324</v>
      </c>
      <c r="T339" s="364" t="s">
        <v>2328</v>
      </c>
      <c r="U339" s="364" t="s">
        <v>2414</v>
      </c>
      <c r="V339" s="364" t="s">
        <v>2329</v>
      </c>
      <c r="W339" s="364" t="s">
        <v>2415</v>
      </c>
      <c r="X339" s="364" t="s">
        <v>2417</v>
      </c>
      <c r="Y339" s="364" t="s">
        <v>2506</v>
      </c>
      <c r="Z339" s="364" t="s">
        <v>2381</v>
      </c>
      <c r="AA339" s="364" t="s">
        <v>2330</v>
      </c>
      <c r="AB339" s="364" t="s">
        <v>2418</v>
      </c>
      <c r="AC339" s="364" t="s">
        <v>2539</v>
      </c>
      <c r="AD339" s="364" t="s">
        <v>2337</v>
      </c>
      <c r="AE339" s="364" t="s">
        <v>2388</v>
      </c>
      <c r="AF339" s="364" t="s">
        <v>2339</v>
      </c>
      <c r="AG339" s="364" t="s">
        <v>2389</v>
      </c>
      <c r="AH339" s="364" t="s">
        <v>2420</v>
      </c>
      <c r="AI339" s="364" t="s">
        <v>2340</v>
      </c>
      <c r="AJ339" s="364" t="s">
        <v>2421</v>
      </c>
      <c r="AK339" s="364" t="s">
        <v>2341</v>
      </c>
      <c r="AL339" s="364" t="s">
        <v>2423</v>
      </c>
      <c r="AM339" s="364" t="s">
        <v>2344</v>
      </c>
      <c r="AN339" s="364" t="s">
        <v>2500</v>
      </c>
      <c r="AO339" s="364" t="s">
        <v>2347</v>
      </c>
      <c r="AP339" s="364" t="s">
        <v>2511</v>
      </c>
      <c r="AQ339" s="364" t="s">
        <v>2424</v>
      </c>
      <c r="AR339" s="364" t="s">
        <v>2425</v>
      </c>
      <c r="AS339" s="364" t="s">
        <v>2426</v>
      </c>
      <c r="AT339" s="364" t="s">
        <v>2428</v>
      </c>
      <c r="AU339" s="364" t="s">
        <v>2430</v>
      </c>
      <c r="AV339" s="364"/>
      <c r="AW339" s="364"/>
      <c r="AX339" s="364"/>
      <c r="AY339" s="364"/>
      <c r="AZ339" s="364"/>
      <c r="BA339" s="364"/>
      <c r="BB339" s="364"/>
      <c r="BC339" s="364"/>
      <c r="BD339" s="364"/>
      <c r="BE339" s="364"/>
      <c r="BF339" s="364"/>
      <c r="BG339" s="364"/>
      <c r="BH339" s="364"/>
      <c r="BI339" s="364"/>
      <c r="BJ339" s="364"/>
      <c r="BK339" s="364"/>
      <c r="BL339" s="364"/>
      <c r="BM339" s="364"/>
      <c r="BN339" s="364"/>
      <c r="BO339" s="364"/>
      <c r="BP339" s="364"/>
      <c r="BQ339" s="364"/>
      <c r="BR339" s="364"/>
      <c r="BS339" s="364"/>
      <c r="BT339" s="364"/>
      <c r="BU339" s="364"/>
      <c r="BV339" s="364"/>
      <c r="BW339" s="364"/>
      <c r="BX339" s="364"/>
      <c r="BY339" s="364"/>
      <c r="BZ339" s="364"/>
      <c r="CA339" s="364"/>
      <c r="CB339" s="364"/>
      <c r="CC339" s="364"/>
      <c r="CD339" s="364"/>
      <c r="CE339" s="364"/>
      <c r="CF339" s="364"/>
      <c r="CG339" s="364"/>
      <c r="CH339" s="364"/>
      <c r="CI339" s="364"/>
      <c r="CJ339" s="364"/>
      <c r="CK339" s="364"/>
      <c r="CL339" s="364"/>
      <c r="CM339" s="364"/>
      <c r="CN339" s="364"/>
      <c r="CO339" s="364"/>
      <c r="CP339" s="364"/>
      <c r="CQ339" s="364"/>
      <c r="CR339" s="364"/>
      <c r="CS339" s="364"/>
      <c r="CT339" s="364"/>
      <c r="CU339" s="364"/>
      <c r="CV339" s="364"/>
      <c r="CW339" s="364"/>
      <c r="CX339" s="364"/>
      <c r="CY339" s="364"/>
      <c r="CZ339" s="364"/>
      <c r="DA339" s="364"/>
      <c r="DB339" s="364"/>
      <c r="DC339" s="364"/>
      <c r="DD339" s="364"/>
      <c r="DE339" s="364"/>
      <c r="DF339" s="364"/>
      <c r="DG339" s="364"/>
      <c r="DH339" s="364"/>
      <c r="DI339" s="364"/>
      <c r="DJ339" s="364"/>
      <c r="DK339" s="364"/>
      <c r="DL339" s="364"/>
      <c r="DM339" s="364"/>
      <c r="DN339" s="364"/>
      <c r="DO339" s="364"/>
      <c r="DP339" s="364"/>
      <c r="DQ339" s="364"/>
      <c r="DR339" s="364"/>
      <c r="DS339" s="364"/>
      <c r="DT339" s="364"/>
      <c r="DU339" s="364"/>
      <c r="DV339" s="364"/>
      <c r="DW339" s="364"/>
      <c r="DX339" s="364"/>
      <c r="DY339" s="364"/>
      <c r="DZ339" s="364"/>
      <c r="EA339" s="364"/>
      <c r="EB339" s="364"/>
      <c r="EC339" s="364"/>
      <c r="ED339" s="364"/>
      <c r="EE339" s="364"/>
      <c r="EF339" s="364"/>
      <c r="EG339" s="364"/>
      <c r="EH339" s="364"/>
      <c r="EI339" s="364"/>
      <c r="EJ339" s="364"/>
      <c r="EK339" s="364"/>
      <c r="EL339" s="364"/>
      <c r="EM339" s="364"/>
      <c r="EN339" s="364"/>
      <c r="EO339" s="364"/>
      <c r="EP339" s="364"/>
      <c r="EQ339" s="364"/>
      <c r="ER339" s="364"/>
      <c r="ES339" s="364"/>
      <c r="ET339" s="364"/>
      <c r="EU339" s="364"/>
      <c r="EV339" s="364"/>
      <c r="EW339" s="364"/>
      <c r="EX339" s="364"/>
      <c r="EY339" s="364"/>
      <c r="EZ339" s="364"/>
      <c r="FA339" s="364"/>
      <c r="FB339" s="364"/>
      <c r="FC339" s="364"/>
      <c r="FD339" s="364"/>
      <c r="FE339" s="364"/>
      <c r="FF339" s="364"/>
      <c r="FG339" s="364"/>
      <c r="FH339" s="364"/>
      <c r="FI339" s="364"/>
      <c r="FJ339" s="364"/>
      <c r="FK339" s="364"/>
    </row>
    <row r="340" customFormat="false" ht="15.75" hidden="false" customHeight="false" outlineLevel="0" collapsed="false">
      <c r="A340" s="364" t="n">
        <v>667</v>
      </c>
      <c r="B340" s="364" t="n">
        <f aca="false">COUNTA(D340:FK340)</f>
        <v>46</v>
      </c>
      <c r="C340" s="364" t="s">
        <v>1688</v>
      </c>
      <c r="D340" s="364" t="s">
        <v>2431</v>
      </c>
      <c r="E340" s="364" t="s">
        <v>2352</v>
      </c>
      <c r="F340" s="364" t="s">
        <v>2561</v>
      </c>
      <c r="G340" s="364" t="s">
        <v>2402</v>
      </c>
      <c r="H340" s="364" t="s">
        <v>2516</v>
      </c>
      <c r="I340" s="364" t="s">
        <v>2313</v>
      </c>
      <c r="J340" s="364" t="s">
        <v>2466</v>
      </c>
      <c r="K340" s="364" t="s">
        <v>2315</v>
      </c>
      <c r="L340" s="364" t="s">
        <v>2358</v>
      </c>
      <c r="M340" s="364" t="s">
        <v>2359</v>
      </c>
      <c r="N340" s="364" t="s">
        <v>2360</v>
      </c>
      <c r="O340" s="364" t="s">
        <v>2361</v>
      </c>
      <c r="P340" s="364" t="s">
        <v>2363</v>
      </c>
      <c r="Q340" s="364" t="s">
        <v>2497</v>
      </c>
      <c r="R340" s="364" t="s">
        <v>2317</v>
      </c>
      <c r="S340" s="364" t="s">
        <v>2448</v>
      </c>
      <c r="T340" s="364" t="s">
        <v>2320</v>
      </c>
      <c r="U340" s="364" t="s">
        <v>2375</v>
      </c>
      <c r="V340" s="364" t="s">
        <v>2376</v>
      </c>
      <c r="W340" s="364" t="s">
        <v>2324</v>
      </c>
      <c r="X340" s="364" t="s">
        <v>2378</v>
      </c>
      <c r="Y340" s="364" t="s">
        <v>2328</v>
      </c>
      <c r="Z340" s="364" t="s">
        <v>2329</v>
      </c>
      <c r="AA340" s="364" t="s">
        <v>2381</v>
      </c>
      <c r="AB340" s="364" t="s">
        <v>2330</v>
      </c>
      <c r="AC340" s="364" t="s">
        <v>2332</v>
      </c>
      <c r="AD340" s="364" t="s">
        <v>2460</v>
      </c>
      <c r="AE340" s="364" t="s">
        <v>2461</v>
      </c>
      <c r="AF340" s="364" t="s">
        <v>2337</v>
      </c>
      <c r="AG340" s="364" t="s">
        <v>2388</v>
      </c>
      <c r="AH340" s="364" t="s">
        <v>2339</v>
      </c>
      <c r="AI340" s="364" t="s">
        <v>2565</v>
      </c>
      <c r="AJ340" s="364" t="s">
        <v>2389</v>
      </c>
      <c r="AK340" s="364" t="s">
        <v>2340</v>
      </c>
      <c r="AL340" s="364" t="s">
        <v>2341</v>
      </c>
      <c r="AM340" s="364" t="s">
        <v>2392</v>
      </c>
      <c r="AN340" s="364" t="s">
        <v>2462</v>
      </c>
      <c r="AO340" s="364" t="s">
        <v>2423</v>
      </c>
      <c r="AP340" s="364" t="s">
        <v>2344</v>
      </c>
      <c r="AQ340" s="364" t="s">
        <v>2396</v>
      </c>
      <c r="AR340" s="364" t="s">
        <v>2500</v>
      </c>
      <c r="AS340" s="364" t="s">
        <v>2515</v>
      </c>
      <c r="AT340" s="364" t="s">
        <v>2463</v>
      </c>
      <c r="AU340" s="364" t="s">
        <v>2446</v>
      </c>
      <c r="AV340" s="364" t="s">
        <v>2401</v>
      </c>
      <c r="AW340" s="364" t="s">
        <v>2430</v>
      </c>
      <c r="AX340" s="364"/>
      <c r="AY340" s="364"/>
      <c r="AZ340" s="364"/>
      <c r="BA340" s="364"/>
      <c r="BB340" s="364"/>
      <c r="BC340" s="364"/>
      <c r="BD340" s="364"/>
      <c r="BE340" s="364"/>
      <c r="BF340" s="364"/>
      <c r="BG340" s="364"/>
      <c r="BH340" s="364"/>
      <c r="BI340" s="364"/>
      <c r="BJ340" s="364"/>
      <c r="BK340" s="364"/>
      <c r="BL340" s="364"/>
      <c r="BM340" s="364"/>
      <c r="BN340" s="364"/>
      <c r="BO340" s="364"/>
      <c r="BP340" s="364"/>
      <c r="BQ340" s="364"/>
      <c r="BR340" s="364"/>
      <c r="BS340" s="364"/>
      <c r="BT340" s="364"/>
      <c r="BU340" s="364"/>
      <c r="BV340" s="364"/>
      <c r="BW340" s="364"/>
      <c r="BX340" s="364"/>
      <c r="BY340" s="364"/>
      <c r="BZ340" s="364"/>
      <c r="CA340" s="364"/>
      <c r="CB340" s="364"/>
      <c r="CC340" s="364"/>
      <c r="CD340" s="364"/>
      <c r="CE340" s="364"/>
      <c r="CF340" s="364"/>
      <c r="CG340" s="364"/>
      <c r="CH340" s="364"/>
      <c r="CI340" s="364"/>
      <c r="CJ340" s="364"/>
      <c r="CK340" s="364"/>
      <c r="CL340" s="364"/>
      <c r="CM340" s="364"/>
      <c r="CN340" s="364"/>
      <c r="CO340" s="364"/>
      <c r="CP340" s="364"/>
      <c r="CQ340" s="364"/>
      <c r="CR340" s="364"/>
      <c r="CS340" s="364"/>
      <c r="CT340" s="364"/>
      <c r="CU340" s="364"/>
      <c r="CV340" s="364"/>
      <c r="CW340" s="364"/>
      <c r="CX340" s="364"/>
      <c r="CY340" s="364"/>
      <c r="CZ340" s="364"/>
      <c r="DA340" s="364"/>
      <c r="DB340" s="364"/>
      <c r="DC340" s="364"/>
      <c r="DD340" s="364"/>
      <c r="DE340" s="364"/>
      <c r="DF340" s="364"/>
      <c r="DG340" s="364"/>
      <c r="DH340" s="364"/>
      <c r="DI340" s="364"/>
      <c r="DJ340" s="364"/>
      <c r="DK340" s="364"/>
      <c r="DL340" s="364"/>
      <c r="DM340" s="364"/>
      <c r="DN340" s="364"/>
      <c r="DO340" s="364"/>
      <c r="DP340" s="364"/>
      <c r="DQ340" s="364"/>
      <c r="DR340" s="364"/>
      <c r="DS340" s="364"/>
      <c r="DT340" s="364"/>
      <c r="DU340" s="364"/>
      <c r="DV340" s="364"/>
      <c r="DW340" s="364"/>
      <c r="DX340" s="364"/>
      <c r="DY340" s="364"/>
      <c r="DZ340" s="364"/>
      <c r="EA340" s="364"/>
      <c r="EB340" s="364"/>
      <c r="EC340" s="364"/>
      <c r="ED340" s="364"/>
      <c r="EE340" s="364"/>
      <c r="EF340" s="364"/>
      <c r="EG340" s="364"/>
      <c r="EH340" s="364"/>
      <c r="EI340" s="364"/>
      <c r="EJ340" s="364"/>
      <c r="EK340" s="364"/>
      <c r="EL340" s="364"/>
      <c r="EM340" s="364"/>
      <c r="EN340" s="364"/>
      <c r="EO340" s="364"/>
      <c r="EP340" s="364"/>
      <c r="EQ340" s="364"/>
      <c r="ER340" s="364"/>
      <c r="ES340" s="364"/>
      <c r="ET340" s="364"/>
      <c r="EU340" s="364"/>
      <c r="EV340" s="364"/>
      <c r="EW340" s="364"/>
      <c r="EX340" s="364"/>
      <c r="EY340" s="364"/>
      <c r="EZ340" s="364"/>
      <c r="FA340" s="364"/>
      <c r="FB340" s="364"/>
      <c r="FC340" s="364"/>
      <c r="FD340" s="364"/>
      <c r="FE340" s="364"/>
      <c r="FF340" s="364"/>
      <c r="FG340" s="364"/>
      <c r="FH340" s="364"/>
      <c r="FI340" s="364"/>
      <c r="FJ340" s="364"/>
      <c r="FK340" s="364"/>
    </row>
    <row r="341" customFormat="false" ht="15.75" hidden="false" customHeight="false" outlineLevel="0" collapsed="false">
      <c r="A341" s="364" t="n">
        <v>669</v>
      </c>
      <c r="B341" s="364" t="n">
        <f aca="false">COUNTA(D341:FK341)</f>
        <v>33</v>
      </c>
      <c r="C341" s="364" t="s">
        <v>1692</v>
      </c>
      <c r="D341" s="364" t="s">
        <v>2482</v>
      </c>
      <c r="E341" s="364" t="s">
        <v>2483</v>
      </c>
      <c r="F341" s="364" t="s">
        <v>2312</v>
      </c>
      <c r="G341" s="364" t="s">
        <v>2618</v>
      </c>
      <c r="H341" s="364" t="s">
        <v>2409</v>
      </c>
      <c r="I341" s="364" t="s">
        <v>2519</v>
      </c>
      <c r="J341" s="364" t="s">
        <v>2520</v>
      </c>
      <c r="K341" s="364" t="s">
        <v>2562</v>
      </c>
      <c r="L341" s="364" t="s">
        <v>2320</v>
      </c>
      <c r="M341" s="364" t="s">
        <v>2376</v>
      </c>
      <c r="N341" s="364" t="s">
        <v>2323</v>
      </c>
      <c r="O341" s="364" t="s">
        <v>2324</v>
      </c>
      <c r="P341" s="364" t="s">
        <v>2484</v>
      </c>
      <c r="Q341" s="364" t="s">
        <v>2328</v>
      </c>
      <c r="R341" s="364" t="s">
        <v>2329</v>
      </c>
      <c r="S341" s="364" t="s">
        <v>2438</v>
      </c>
      <c r="T341" s="364" t="s">
        <v>2452</v>
      </c>
      <c r="U341" s="364" t="s">
        <v>2582</v>
      </c>
      <c r="V341" s="364" t="s">
        <v>157</v>
      </c>
      <c r="W341" s="364" t="s">
        <v>2337</v>
      </c>
      <c r="X341" s="364" t="s">
        <v>2340</v>
      </c>
      <c r="Y341" s="364" t="s">
        <v>2341</v>
      </c>
      <c r="Z341" s="364" t="s">
        <v>2342</v>
      </c>
      <c r="AA341" s="364" t="s">
        <v>2583</v>
      </c>
      <c r="AB341" s="364" t="s">
        <v>2343</v>
      </c>
      <c r="AC341" s="364" t="s">
        <v>2471</v>
      </c>
      <c r="AD341" s="364" t="s">
        <v>2423</v>
      </c>
      <c r="AE341" s="364" t="s">
        <v>2344</v>
      </c>
      <c r="AF341" s="364" t="s">
        <v>2345</v>
      </c>
      <c r="AG341" s="364" t="s">
        <v>2346</v>
      </c>
      <c r="AH341" s="364" t="s">
        <v>2445</v>
      </c>
      <c r="AI341" s="364" t="s">
        <v>2476</v>
      </c>
      <c r="AJ341" s="364" t="s">
        <v>2350</v>
      </c>
      <c r="AK341" s="364"/>
      <c r="AL341" s="364"/>
      <c r="AM341" s="364"/>
      <c r="AN341" s="364"/>
      <c r="AO341" s="364"/>
      <c r="AP341" s="364"/>
      <c r="AQ341" s="364"/>
      <c r="AR341" s="364"/>
      <c r="AS341" s="364"/>
      <c r="AT341" s="364"/>
      <c r="AU341" s="364"/>
      <c r="AV341" s="364"/>
      <c r="AW341" s="364"/>
      <c r="AX341" s="364"/>
      <c r="AY341" s="364"/>
      <c r="AZ341" s="364"/>
      <c r="BA341" s="364"/>
      <c r="BB341" s="364"/>
      <c r="BC341" s="364"/>
      <c r="BD341" s="364"/>
      <c r="BE341" s="364"/>
      <c r="BF341" s="364"/>
      <c r="BG341" s="364"/>
      <c r="BH341" s="364"/>
      <c r="BI341" s="364"/>
      <c r="BJ341" s="364"/>
      <c r="BK341" s="364"/>
      <c r="BL341" s="364"/>
      <c r="BM341" s="364"/>
      <c r="BN341" s="364"/>
      <c r="BO341" s="364"/>
      <c r="BP341" s="364"/>
      <c r="BQ341" s="364"/>
      <c r="BR341" s="364"/>
      <c r="BS341" s="364"/>
      <c r="BT341" s="364"/>
      <c r="BU341" s="364"/>
      <c r="BV341" s="364"/>
      <c r="BW341" s="364"/>
      <c r="BX341" s="364"/>
      <c r="BY341" s="364"/>
      <c r="BZ341" s="364"/>
      <c r="CA341" s="364"/>
      <c r="CB341" s="364"/>
      <c r="CC341" s="364"/>
      <c r="CD341" s="364"/>
      <c r="CE341" s="364"/>
      <c r="CF341" s="364"/>
      <c r="CG341" s="364"/>
      <c r="CH341" s="364"/>
      <c r="CI341" s="364"/>
      <c r="CJ341" s="364"/>
      <c r="CK341" s="364"/>
      <c r="CL341" s="364"/>
      <c r="CM341" s="364"/>
      <c r="CN341" s="364"/>
      <c r="CO341" s="364"/>
      <c r="CP341" s="364"/>
      <c r="CQ341" s="364"/>
      <c r="CR341" s="364"/>
      <c r="CS341" s="364"/>
      <c r="CT341" s="364"/>
      <c r="CU341" s="364"/>
      <c r="CV341" s="364"/>
      <c r="CW341" s="364"/>
      <c r="CX341" s="364"/>
      <c r="CY341" s="364"/>
      <c r="CZ341" s="364"/>
      <c r="DA341" s="364"/>
      <c r="DB341" s="364"/>
      <c r="DC341" s="364"/>
      <c r="DD341" s="364"/>
      <c r="DE341" s="364"/>
      <c r="DF341" s="364"/>
      <c r="DG341" s="364"/>
      <c r="DH341" s="364"/>
      <c r="DI341" s="364"/>
      <c r="DJ341" s="364"/>
      <c r="DK341" s="364"/>
      <c r="DL341" s="364"/>
      <c r="DM341" s="364"/>
      <c r="DN341" s="364"/>
      <c r="DO341" s="364"/>
      <c r="DP341" s="364"/>
      <c r="DQ341" s="364"/>
      <c r="DR341" s="364"/>
      <c r="DS341" s="364"/>
      <c r="DT341" s="364"/>
      <c r="DU341" s="364"/>
      <c r="DV341" s="364"/>
      <c r="DW341" s="364"/>
      <c r="DX341" s="364"/>
      <c r="DY341" s="364"/>
      <c r="DZ341" s="364"/>
      <c r="EA341" s="364"/>
      <c r="EB341" s="364"/>
      <c r="EC341" s="364"/>
      <c r="ED341" s="364"/>
      <c r="EE341" s="364"/>
      <c r="EF341" s="364"/>
      <c r="EG341" s="364"/>
      <c r="EH341" s="364"/>
      <c r="EI341" s="364"/>
      <c r="EJ341" s="364"/>
      <c r="EK341" s="364"/>
      <c r="EL341" s="364"/>
      <c r="EM341" s="364"/>
      <c r="EN341" s="364"/>
      <c r="EO341" s="364"/>
      <c r="EP341" s="364"/>
      <c r="EQ341" s="364"/>
      <c r="ER341" s="364"/>
      <c r="ES341" s="364"/>
      <c r="ET341" s="364"/>
      <c r="EU341" s="364"/>
      <c r="EV341" s="364"/>
      <c r="EW341" s="364"/>
      <c r="EX341" s="364"/>
      <c r="EY341" s="364"/>
      <c r="EZ341" s="364"/>
      <c r="FA341" s="364"/>
      <c r="FB341" s="364"/>
      <c r="FC341" s="364"/>
      <c r="FD341" s="364"/>
      <c r="FE341" s="364"/>
      <c r="FF341" s="364"/>
      <c r="FG341" s="364"/>
      <c r="FH341" s="364"/>
      <c r="FI341" s="364"/>
      <c r="FJ341" s="364"/>
      <c r="FK341" s="364"/>
    </row>
    <row r="342" customFormat="false" ht="15.75" hidden="false" customHeight="false" outlineLevel="0" collapsed="false">
      <c r="A342" s="364" t="n">
        <v>671</v>
      </c>
      <c r="B342" s="364" t="n">
        <f aca="false">COUNTA(D342:FK342)</f>
        <v>41</v>
      </c>
      <c r="C342" s="364" t="s">
        <v>1696</v>
      </c>
      <c r="D342" s="364" t="s">
        <v>2352</v>
      </c>
      <c r="E342" s="364" t="s">
        <v>2516</v>
      </c>
      <c r="F342" s="364" t="s">
        <v>2465</v>
      </c>
      <c r="G342" s="364" t="s">
        <v>2315</v>
      </c>
      <c r="H342" s="364" t="s">
        <v>2409</v>
      </c>
      <c r="I342" s="364" t="s">
        <v>2358</v>
      </c>
      <c r="J342" s="364" t="s">
        <v>2320</v>
      </c>
      <c r="K342" s="364" t="s">
        <v>2535</v>
      </c>
      <c r="L342" s="364" t="s">
        <v>2373</v>
      </c>
      <c r="M342" s="364" t="s">
        <v>2376</v>
      </c>
      <c r="N342" s="364" t="s">
        <v>2523</v>
      </c>
      <c r="O342" s="364" t="s">
        <v>2498</v>
      </c>
      <c r="P342" s="364" t="s">
        <v>2324</v>
      </c>
      <c r="Q342" s="364" t="s">
        <v>2325</v>
      </c>
      <c r="R342" s="364" t="s">
        <v>2328</v>
      </c>
      <c r="S342" s="364" t="s">
        <v>2329</v>
      </c>
      <c r="T342" s="364" t="s">
        <v>2521</v>
      </c>
      <c r="U342" s="364" t="s">
        <v>2379</v>
      </c>
      <c r="V342" s="364" t="s">
        <v>2330</v>
      </c>
      <c r="W342" s="364" t="s">
        <v>2539</v>
      </c>
      <c r="X342" s="364" t="s">
        <v>2540</v>
      </c>
      <c r="Y342" s="364" t="s">
        <v>2694</v>
      </c>
      <c r="Z342" s="364" t="s">
        <v>2531</v>
      </c>
      <c r="AA342" s="364" t="s">
        <v>2452</v>
      </c>
      <c r="AB342" s="364" t="s">
        <v>2455</v>
      </c>
      <c r="AC342" s="364" t="s">
        <v>2337</v>
      </c>
      <c r="AD342" s="364" t="s">
        <v>2469</v>
      </c>
      <c r="AE342" s="364" t="s">
        <v>2339</v>
      </c>
      <c r="AF342" s="364" t="s">
        <v>2340</v>
      </c>
      <c r="AG342" s="364" t="s">
        <v>2390</v>
      </c>
      <c r="AH342" s="364" t="s">
        <v>2341</v>
      </c>
      <c r="AI342" s="364" t="s">
        <v>2442</v>
      </c>
      <c r="AJ342" s="364" t="s">
        <v>2392</v>
      </c>
      <c r="AK342" s="364" t="s">
        <v>2343</v>
      </c>
      <c r="AL342" s="364" t="s">
        <v>2472</v>
      </c>
      <c r="AM342" s="364" t="s">
        <v>2344</v>
      </c>
      <c r="AN342" s="364" t="s">
        <v>2473</v>
      </c>
      <c r="AO342" s="364" t="s">
        <v>2445</v>
      </c>
      <c r="AP342" s="364" t="s">
        <v>2456</v>
      </c>
      <c r="AQ342" s="364" t="s">
        <v>2463</v>
      </c>
      <c r="AR342" s="364" t="s">
        <v>2446</v>
      </c>
      <c r="AS342" s="364"/>
      <c r="AT342" s="364"/>
      <c r="AU342" s="364"/>
      <c r="AV342" s="364"/>
      <c r="AW342" s="364"/>
      <c r="AX342" s="364"/>
      <c r="AY342" s="364"/>
      <c r="AZ342" s="364"/>
      <c r="BA342" s="364"/>
      <c r="BB342" s="364"/>
      <c r="BC342" s="364"/>
      <c r="BD342" s="364"/>
      <c r="BE342" s="364"/>
      <c r="BF342" s="364"/>
      <c r="BG342" s="364"/>
      <c r="BH342" s="364"/>
      <c r="BI342" s="364"/>
      <c r="BJ342" s="364"/>
      <c r="BK342" s="364"/>
      <c r="BL342" s="364"/>
      <c r="BM342" s="364"/>
      <c r="BN342" s="364"/>
      <c r="BO342" s="364"/>
      <c r="BP342" s="364"/>
      <c r="BQ342" s="364"/>
      <c r="BR342" s="364"/>
      <c r="BS342" s="364"/>
      <c r="BT342" s="364"/>
      <c r="BU342" s="364"/>
      <c r="BV342" s="364"/>
      <c r="BW342" s="364"/>
      <c r="BX342" s="364"/>
      <c r="BY342" s="364"/>
      <c r="BZ342" s="364"/>
      <c r="CA342" s="364"/>
      <c r="CB342" s="364"/>
      <c r="CC342" s="364"/>
      <c r="CD342" s="364"/>
      <c r="CE342" s="364"/>
      <c r="CF342" s="364"/>
      <c r="CG342" s="364"/>
      <c r="CH342" s="364"/>
      <c r="CI342" s="364"/>
      <c r="CJ342" s="364"/>
      <c r="CK342" s="364"/>
      <c r="CL342" s="364"/>
      <c r="CM342" s="364"/>
      <c r="CN342" s="364"/>
      <c r="CO342" s="364"/>
      <c r="CP342" s="364"/>
      <c r="CQ342" s="364"/>
      <c r="CR342" s="364"/>
      <c r="CS342" s="364"/>
      <c r="CT342" s="364"/>
      <c r="CU342" s="364"/>
      <c r="CV342" s="364"/>
      <c r="CW342" s="364"/>
      <c r="CX342" s="364"/>
      <c r="CY342" s="364"/>
      <c r="CZ342" s="364"/>
      <c r="DA342" s="364"/>
      <c r="DB342" s="364"/>
      <c r="DC342" s="364"/>
      <c r="DD342" s="364"/>
      <c r="DE342" s="364"/>
      <c r="DF342" s="364"/>
      <c r="DG342" s="364"/>
      <c r="DH342" s="364"/>
      <c r="DI342" s="364"/>
      <c r="DJ342" s="364"/>
      <c r="DK342" s="364"/>
      <c r="DL342" s="364"/>
      <c r="DM342" s="364"/>
      <c r="DN342" s="364"/>
      <c r="DO342" s="364"/>
      <c r="DP342" s="364"/>
      <c r="DQ342" s="364"/>
      <c r="DR342" s="364"/>
      <c r="DS342" s="364"/>
      <c r="DT342" s="364"/>
      <c r="DU342" s="364"/>
      <c r="DV342" s="364"/>
      <c r="DW342" s="364"/>
      <c r="DX342" s="364"/>
      <c r="DY342" s="364"/>
      <c r="DZ342" s="364"/>
      <c r="EA342" s="364"/>
      <c r="EB342" s="364"/>
      <c r="EC342" s="364"/>
      <c r="ED342" s="364"/>
      <c r="EE342" s="364"/>
      <c r="EF342" s="364"/>
      <c r="EG342" s="364"/>
      <c r="EH342" s="364"/>
      <c r="EI342" s="364"/>
      <c r="EJ342" s="364"/>
      <c r="EK342" s="364"/>
      <c r="EL342" s="364"/>
      <c r="EM342" s="364"/>
      <c r="EN342" s="364"/>
      <c r="EO342" s="364"/>
      <c r="EP342" s="364"/>
      <c r="EQ342" s="364"/>
      <c r="ER342" s="364"/>
      <c r="ES342" s="364"/>
      <c r="ET342" s="364"/>
      <c r="EU342" s="364"/>
      <c r="EV342" s="364"/>
      <c r="EW342" s="364"/>
      <c r="EX342" s="364"/>
      <c r="EY342" s="364"/>
      <c r="EZ342" s="364"/>
      <c r="FA342" s="364"/>
      <c r="FB342" s="364"/>
      <c r="FC342" s="364"/>
      <c r="FD342" s="364"/>
      <c r="FE342" s="364"/>
      <c r="FF342" s="364"/>
      <c r="FG342" s="364"/>
      <c r="FH342" s="364"/>
      <c r="FI342" s="364"/>
      <c r="FJ342" s="364"/>
      <c r="FK342" s="364"/>
    </row>
    <row r="343" customFormat="false" ht="15.75" hidden="false" customHeight="false" outlineLevel="0" collapsed="false">
      <c r="A343" s="364" t="n">
        <v>673</v>
      </c>
      <c r="B343" s="364" t="n">
        <f aca="false">COUNTA(D343:FK343)</f>
        <v>31</v>
      </c>
      <c r="C343" s="364" t="s">
        <v>1700</v>
      </c>
      <c r="D343" s="364" t="s">
        <v>2402</v>
      </c>
      <c r="E343" s="364" t="s">
        <v>2314</v>
      </c>
      <c r="F343" s="364" t="s">
        <v>2465</v>
      </c>
      <c r="G343" s="364" t="s">
        <v>2517</v>
      </c>
      <c r="H343" s="364" t="s">
        <v>2358</v>
      </c>
      <c r="I343" s="364" t="s">
        <v>2318</v>
      </c>
      <c r="J343" s="364" t="s">
        <v>2320</v>
      </c>
      <c r="K343" s="364" t="s">
        <v>2376</v>
      </c>
      <c r="L343" s="364" t="s">
        <v>2324</v>
      </c>
      <c r="M343" s="364" t="s">
        <v>2325</v>
      </c>
      <c r="N343" s="364" t="s">
        <v>2484</v>
      </c>
      <c r="O343" s="364" t="s">
        <v>2328</v>
      </c>
      <c r="P343" s="364" t="s">
        <v>2329</v>
      </c>
      <c r="Q343" s="364" t="s">
        <v>2521</v>
      </c>
      <c r="R343" s="364" t="s">
        <v>2381</v>
      </c>
      <c r="S343" s="364" t="s">
        <v>2330</v>
      </c>
      <c r="T343" s="364" t="s">
        <v>2468</v>
      </c>
      <c r="U343" s="364" t="s">
        <v>2337</v>
      </c>
      <c r="V343" s="364" t="s">
        <v>2469</v>
      </c>
      <c r="W343" s="364" t="s">
        <v>2564</v>
      </c>
      <c r="X343" s="364" t="s">
        <v>2340</v>
      </c>
      <c r="Y343" s="364" t="s">
        <v>2341</v>
      </c>
      <c r="Z343" s="364" t="s">
        <v>2342</v>
      </c>
      <c r="AA343" s="364" t="s">
        <v>2470</v>
      </c>
      <c r="AB343" s="364" t="s">
        <v>2344</v>
      </c>
      <c r="AC343" s="364" t="s">
        <v>2644</v>
      </c>
      <c r="AD343" s="364" t="s">
        <v>2445</v>
      </c>
      <c r="AE343" s="364" t="s">
        <v>2475</v>
      </c>
      <c r="AF343" s="364" t="s">
        <v>2476</v>
      </c>
      <c r="AG343" s="364" t="s">
        <v>2463</v>
      </c>
      <c r="AH343" s="364" t="s">
        <v>2446</v>
      </c>
      <c r="AI343" s="364"/>
      <c r="AJ343" s="364"/>
      <c r="AK343" s="364"/>
      <c r="AL343" s="364"/>
      <c r="AM343" s="364"/>
      <c r="AN343" s="364"/>
      <c r="AO343" s="364"/>
      <c r="AP343" s="364"/>
      <c r="AQ343" s="364"/>
      <c r="AR343" s="364"/>
      <c r="AS343" s="364"/>
      <c r="AT343" s="364"/>
      <c r="AU343" s="364"/>
      <c r="AV343" s="364"/>
      <c r="AW343" s="364"/>
      <c r="AX343" s="364"/>
      <c r="AY343" s="364"/>
      <c r="AZ343" s="364"/>
      <c r="BA343" s="364"/>
      <c r="BB343" s="364"/>
      <c r="BC343" s="364"/>
      <c r="BD343" s="364"/>
      <c r="BE343" s="364"/>
      <c r="BF343" s="364"/>
      <c r="BG343" s="364"/>
      <c r="BH343" s="364"/>
      <c r="BI343" s="364"/>
      <c r="BJ343" s="364"/>
      <c r="BK343" s="364"/>
      <c r="BL343" s="364"/>
      <c r="BM343" s="364"/>
      <c r="BN343" s="364"/>
      <c r="BO343" s="364"/>
      <c r="BP343" s="364"/>
      <c r="BQ343" s="364"/>
      <c r="BR343" s="364"/>
      <c r="BS343" s="364"/>
      <c r="BT343" s="364"/>
      <c r="BU343" s="364"/>
      <c r="BV343" s="364"/>
      <c r="BW343" s="364"/>
      <c r="BX343" s="364"/>
      <c r="BY343" s="364"/>
      <c r="BZ343" s="364"/>
      <c r="CA343" s="364"/>
      <c r="CB343" s="364"/>
      <c r="CC343" s="364"/>
      <c r="CD343" s="364"/>
      <c r="CE343" s="364"/>
      <c r="CF343" s="364"/>
      <c r="CG343" s="364"/>
      <c r="CH343" s="364"/>
      <c r="CI343" s="364"/>
      <c r="CJ343" s="364"/>
      <c r="CK343" s="364"/>
      <c r="CL343" s="364"/>
      <c r="CM343" s="364"/>
      <c r="CN343" s="364"/>
      <c r="CO343" s="364"/>
      <c r="CP343" s="364"/>
      <c r="CQ343" s="364"/>
      <c r="CR343" s="364"/>
      <c r="CS343" s="364"/>
      <c r="CT343" s="364"/>
      <c r="CU343" s="364"/>
      <c r="CV343" s="364"/>
      <c r="CW343" s="364"/>
      <c r="CX343" s="364"/>
      <c r="CY343" s="364"/>
      <c r="CZ343" s="364"/>
      <c r="DA343" s="364"/>
      <c r="DB343" s="364"/>
      <c r="DC343" s="364"/>
      <c r="DD343" s="364"/>
      <c r="DE343" s="364"/>
      <c r="DF343" s="364"/>
      <c r="DG343" s="364"/>
      <c r="DH343" s="364"/>
      <c r="DI343" s="364"/>
      <c r="DJ343" s="364"/>
      <c r="DK343" s="364"/>
      <c r="DL343" s="364"/>
      <c r="DM343" s="364"/>
      <c r="DN343" s="364"/>
      <c r="DO343" s="364"/>
      <c r="DP343" s="364"/>
      <c r="DQ343" s="364"/>
      <c r="DR343" s="364"/>
      <c r="DS343" s="364"/>
      <c r="DT343" s="364"/>
      <c r="DU343" s="364"/>
      <c r="DV343" s="364"/>
      <c r="DW343" s="364"/>
      <c r="DX343" s="364"/>
      <c r="DY343" s="364"/>
      <c r="DZ343" s="364"/>
      <c r="EA343" s="364"/>
      <c r="EB343" s="364"/>
      <c r="EC343" s="364"/>
      <c r="ED343" s="364"/>
      <c r="EE343" s="364"/>
      <c r="EF343" s="364"/>
      <c r="EG343" s="364"/>
      <c r="EH343" s="364"/>
      <c r="EI343" s="364"/>
      <c r="EJ343" s="364"/>
      <c r="EK343" s="364"/>
      <c r="EL343" s="364"/>
      <c r="EM343" s="364"/>
      <c r="EN343" s="364"/>
      <c r="EO343" s="364"/>
      <c r="EP343" s="364"/>
      <c r="EQ343" s="364"/>
      <c r="ER343" s="364"/>
      <c r="ES343" s="364"/>
      <c r="ET343" s="364"/>
      <c r="EU343" s="364"/>
      <c r="EV343" s="364"/>
      <c r="EW343" s="364"/>
      <c r="EX343" s="364"/>
      <c r="EY343" s="364"/>
      <c r="EZ343" s="364"/>
      <c r="FA343" s="364"/>
      <c r="FB343" s="364"/>
      <c r="FC343" s="364"/>
      <c r="FD343" s="364"/>
      <c r="FE343" s="364"/>
      <c r="FF343" s="364"/>
      <c r="FG343" s="364"/>
      <c r="FH343" s="364"/>
      <c r="FI343" s="364"/>
      <c r="FJ343" s="364"/>
      <c r="FK343" s="364"/>
    </row>
    <row r="344" customFormat="false" ht="15.75" hidden="false" customHeight="false" outlineLevel="0" collapsed="false">
      <c r="A344" s="364" t="n">
        <v>676</v>
      </c>
      <c r="B344" s="364" t="n">
        <f aca="false">COUNTA(D344:FK344)</f>
        <v>36</v>
      </c>
      <c r="C344" s="364" t="s">
        <v>1706</v>
      </c>
      <c r="D344" s="364" t="s">
        <v>2356</v>
      </c>
      <c r="E344" s="364" t="s">
        <v>2464</v>
      </c>
      <c r="F344" s="364" t="s">
        <v>2434</v>
      </c>
      <c r="G344" s="364" t="s">
        <v>2465</v>
      </c>
      <c r="H344" s="364" t="s">
        <v>2409</v>
      </c>
      <c r="I344" s="364" t="s">
        <v>2519</v>
      </c>
      <c r="J344" s="364" t="s">
        <v>2435</v>
      </c>
      <c r="K344" s="364" t="s">
        <v>2319</v>
      </c>
      <c r="L344" s="364" t="s">
        <v>2320</v>
      </c>
      <c r="M344" s="364" t="s">
        <v>2535</v>
      </c>
      <c r="N344" s="364" t="s">
        <v>2523</v>
      </c>
      <c r="O344" s="364" t="s">
        <v>2550</v>
      </c>
      <c r="P344" s="364" t="s">
        <v>2324</v>
      </c>
      <c r="Q344" s="364" t="s">
        <v>2325</v>
      </c>
      <c r="R344" s="364" t="s">
        <v>2328</v>
      </c>
      <c r="S344" s="364" t="s">
        <v>2329</v>
      </c>
      <c r="T344" s="364" t="s">
        <v>2540</v>
      </c>
      <c r="U344" s="364" t="s">
        <v>2452</v>
      </c>
      <c r="V344" s="364" t="s">
        <v>2582</v>
      </c>
      <c r="W344" s="364" t="s">
        <v>2387</v>
      </c>
      <c r="X344" s="364" t="s">
        <v>2439</v>
      </c>
      <c r="Y344" s="364" t="s">
        <v>157</v>
      </c>
      <c r="Z344" s="364" t="s">
        <v>2495</v>
      </c>
      <c r="AA344" s="364" t="s">
        <v>2337</v>
      </c>
      <c r="AB344" s="364" t="s">
        <v>2388</v>
      </c>
      <c r="AC344" s="364" t="s">
        <v>2389</v>
      </c>
      <c r="AD344" s="364" t="s">
        <v>2340</v>
      </c>
      <c r="AE344" s="364" t="s">
        <v>2341</v>
      </c>
      <c r="AF344" s="364" t="s">
        <v>2442</v>
      </c>
      <c r="AG344" s="364" t="s">
        <v>2470</v>
      </c>
      <c r="AH344" s="364" t="s">
        <v>2422</v>
      </c>
      <c r="AI344" s="364" t="s">
        <v>2344</v>
      </c>
      <c r="AJ344" s="364" t="s">
        <v>2445</v>
      </c>
      <c r="AK344" s="364" t="s">
        <v>2476</v>
      </c>
      <c r="AL344" s="364" t="s">
        <v>2463</v>
      </c>
      <c r="AM344" s="364" t="s">
        <v>2430</v>
      </c>
      <c r="AN344" s="364"/>
      <c r="AO344" s="364"/>
      <c r="AP344" s="364"/>
      <c r="AQ344" s="364"/>
      <c r="AR344" s="364"/>
      <c r="AS344" s="364"/>
      <c r="AT344" s="364"/>
      <c r="AU344" s="364"/>
      <c r="AV344" s="364"/>
      <c r="AW344" s="364"/>
      <c r="AX344" s="364"/>
      <c r="AY344" s="364"/>
      <c r="AZ344" s="364"/>
      <c r="BA344" s="364"/>
      <c r="BB344" s="364"/>
      <c r="BC344" s="364"/>
      <c r="BD344" s="364"/>
      <c r="BE344" s="364"/>
      <c r="BF344" s="364"/>
      <c r="BG344" s="364"/>
      <c r="BH344" s="364"/>
      <c r="BI344" s="364"/>
      <c r="BJ344" s="364"/>
      <c r="BK344" s="364"/>
      <c r="BL344" s="364"/>
      <c r="BM344" s="364"/>
      <c r="BN344" s="364"/>
      <c r="BO344" s="364"/>
      <c r="BP344" s="364"/>
      <c r="BQ344" s="364"/>
      <c r="BR344" s="364"/>
      <c r="BS344" s="364"/>
      <c r="BT344" s="364"/>
      <c r="BU344" s="364"/>
      <c r="BV344" s="364"/>
      <c r="BW344" s="364"/>
      <c r="BX344" s="364"/>
      <c r="BY344" s="364"/>
      <c r="BZ344" s="364"/>
      <c r="CA344" s="364"/>
      <c r="CB344" s="364"/>
      <c r="CC344" s="364"/>
      <c r="CD344" s="364"/>
      <c r="CE344" s="364"/>
      <c r="CF344" s="364"/>
      <c r="CG344" s="364"/>
      <c r="CH344" s="364"/>
      <c r="CI344" s="364"/>
      <c r="CJ344" s="364"/>
      <c r="CK344" s="364"/>
      <c r="CL344" s="364"/>
      <c r="CM344" s="364"/>
      <c r="CN344" s="364"/>
      <c r="CO344" s="364"/>
      <c r="CP344" s="364"/>
      <c r="CQ344" s="364"/>
      <c r="CR344" s="364"/>
      <c r="CS344" s="364"/>
      <c r="CT344" s="364"/>
      <c r="CU344" s="364"/>
      <c r="CV344" s="364"/>
      <c r="CW344" s="364"/>
      <c r="CX344" s="364"/>
      <c r="CY344" s="364"/>
      <c r="CZ344" s="364"/>
      <c r="DA344" s="364"/>
      <c r="DB344" s="364"/>
      <c r="DC344" s="364"/>
      <c r="DD344" s="364"/>
      <c r="DE344" s="364"/>
      <c r="DF344" s="364"/>
      <c r="DG344" s="364"/>
      <c r="DH344" s="364"/>
      <c r="DI344" s="364"/>
      <c r="DJ344" s="364"/>
      <c r="DK344" s="364"/>
      <c r="DL344" s="364"/>
      <c r="DM344" s="364"/>
      <c r="DN344" s="364"/>
      <c r="DO344" s="364"/>
      <c r="DP344" s="364"/>
      <c r="DQ344" s="364"/>
      <c r="DR344" s="364"/>
      <c r="DS344" s="364"/>
      <c r="DT344" s="364"/>
      <c r="DU344" s="364"/>
      <c r="DV344" s="364"/>
      <c r="DW344" s="364"/>
      <c r="DX344" s="364"/>
      <c r="DY344" s="364"/>
      <c r="DZ344" s="364"/>
      <c r="EA344" s="364"/>
      <c r="EB344" s="364"/>
      <c r="EC344" s="364"/>
      <c r="ED344" s="364"/>
      <c r="EE344" s="364"/>
      <c r="EF344" s="364"/>
      <c r="EG344" s="364"/>
      <c r="EH344" s="364"/>
      <c r="EI344" s="364"/>
      <c r="EJ344" s="364"/>
      <c r="EK344" s="364"/>
      <c r="EL344" s="364"/>
      <c r="EM344" s="364"/>
      <c r="EN344" s="364"/>
      <c r="EO344" s="364"/>
      <c r="EP344" s="364"/>
      <c r="EQ344" s="364"/>
      <c r="ER344" s="364"/>
      <c r="ES344" s="364"/>
      <c r="ET344" s="364"/>
      <c r="EU344" s="364"/>
      <c r="EV344" s="364"/>
      <c r="EW344" s="364"/>
      <c r="EX344" s="364"/>
      <c r="EY344" s="364"/>
      <c r="EZ344" s="364"/>
      <c r="FA344" s="364"/>
      <c r="FB344" s="364"/>
      <c r="FC344" s="364"/>
      <c r="FD344" s="364"/>
      <c r="FE344" s="364"/>
      <c r="FF344" s="364"/>
      <c r="FG344" s="364"/>
      <c r="FH344" s="364"/>
      <c r="FI344" s="364"/>
      <c r="FJ344" s="364"/>
      <c r="FK344" s="364"/>
    </row>
    <row r="345" customFormat="false" ht="15.75" hidden="false" customHeight="false" outlineLevel="0" collapsed="false">
      <c r="A345" s="364" t="n">
        <v>679</v>
      </c>
      <c r="B345" s="364" t="n">
        <f aca="false">COUNTA(D345:FK345)</f>
        <v>40</v>
      </c>
      <c r="C345" s="364" t="s">
        <v>1712</v>
      </c>
      <c r="D345" s="364" t="s">
        <v>2621</v>
      </c>
      <c r="E345" s="364" t="s">
        <v>2520</v>
      </c>
      <c r="F345" s="364" t="s">
        <v>2435</v>
      </c>
      <c r="G345" s="364" t="s">
        <v>2448</v>
      </c>
      <c r="H345" s="364" t="s">
        <v>2319</v>
      </c>
      <c r="I345" s="364" t="s">
        <v>2562</v>
      </c>
      <c r="J345" s="364" t="s">
        <v>2320</v>
      </c>
      <c r="K345" s="364" t="s">
        <v>2369</v>
      </c>
      <c r="L345" s="364" t="s">
        <v>2411</v>
      </c>
      <c r="M345" s="364" t="s">
        <v>2376</v>
      </c>
      <c r="N345" s="364" t="s">
        <v>2377</v>
      </c>
      <c r="O345" s="364" t="s">
        <v>2550</v>
      </c>
      <c r="P345" s="364" t="s">
        <v>2324</v>
      </c>
      <c r="Q345" s="364" t="s">
        <v>2325</v>
      </c>
      <c r="R345" s="364" t="s">
        <v>2412</v>
      </c>
      <c r="S345" s="364" t="s">
        <v>2328</v>
      </c>
      <c r="T345" s="364" t="s">
        <v>2329</v>
      </c>
      <c r="U345" s="364" t="s">
        <v>2416</v>
      </c>
      <c r="V345" s="364" t="s">
        <v>2438</v>
      </c>
      <c r="W345" s="364" t="s">
        <v>2330</v>
      </c>
      <c r="X345" s="364" t="s">
        <v>2387</v>
      </c>
      <c r="Y345" s="364" t="s">
        <v>157</v>
      </c>
      <c r="Z345" s="364" t="s">
        <v>2495</v>
      </c>
      <c r="AA345" s="364" t="s">
        <v>2440</v>
      </c>
      <c r="AB345" s="364" t="s">
        <v>2337</v>
      </c>
      <c r="AC345" s="364" t="s">
        <v>2388</v>
      </c>
      <c r="AD345" s="364" t="s">
        <v>2339</v>
      </c>
      <c r="AE345" s="364" t="s">
        <v>2389</v>
      </c>
      <c r="AF345" s="364" t="s">
        <v>2420</v>
      </c>
      <c r="AG345" s="364" t="s">
        <v>2340</v>
      </c>
      <c r="AH345" s="364" t="s">
        <v>2341</v>
      </c>
      <c r="AI345" s="364" t="s">
        <v>2442</v>
      </c>
      <c r="AJ345" s="364" t="s">
        <v>2470</v>
      </c>
      <c r="AK345" s="364" t="s">
        <v>2422</v>
      </c>
      <c r="AL345" s="364" t="s">
        <v>2344</v>
      </c>
      <c r="AM345" s="364" t="s">
        <v>2347</v>
      </c>
      <c r="AN345" s="364" t="s">
        <v>2511</v>
      </c>
      <c r="AO345" s="364" t="s">
        <v>2475</v>
      </c>
      <c r="AP345" s="364" t="s">
        <v>2399</v>
      </c>
      <c r="AQ345" s="364" t="s">
        <v>2430</v>
      </c>
      <c r="AR345" s="364"/>
      <c r="AS345" s="364"/>
      <c r="AT345" s="364"/>
      <c r="AU345" s="364"/>
      <c r="AV345" s="364"/>
      <c r="AW345" s="364"/>
      <c r="AX345" s="364"/>
      <c r="AY345" s="364"/>
      <c r="AZ345" s="364"/>
      <c r="BA345" s="364"/>
      <c r="BB345" s="364"/>
      <c r="BC345" s="364"/>
      <c r="BD345" s="364"/>
      <c r="BE345" s="364"/>
      <c r="BF345" s="364"/>
      <c r="BG345" s="364"/>
      <c r="BH345" s="364"/>
      <c r="BI345" s="364"/>
      <c r="BJ345" s="364"/>
      <c r="BK345" s="364"/>
      <c r="BL345" s="364"/>
      <c r="BM345" s="364"/>
      <c r="BN345" s="364"/>
      <c r="BO345" s="364"/>
      <c r="BP345" s="364"/>
      <c r="BQ345" s="364"/>
      <c r="BR345" s="364"/>
      <c r="BS345" s="364"/>
      <c r="BT345" s="364"/>
      <c r="BU345" s="364"/>
      <c r="BV345" s="364"/>
      <c r="BW345" s="364"/>
      <c r="BX345" s="364"/>
      <c r="BY345" s="364"/>
      <c r="BZ345" s="364"/>
      <c r="CA345" s="364"/>
      <c r="CB345" s="364"/>
      <c r="CC345" s="364"/>
      <c r="CD345" s="364"/>
      <c r="CE345" s="364"/>
      <c r="CF345" s="364"/>
      <c r="CG345" s="364"/>
      <c r="CH345" s="364"/>
      <c r="CI345" s="364"/>
      <c r="CJ345" s="364"/>
      <c r="CK345" s="364"/>
      <c r="CL345" s="364"/>
      <c r="CM345" s="364"/>
      <c r="CN345" s="364"/>
      <c r="CO345" s="364"/>
      <c r="CP345" s="364"/>
      <c r="CQ345" s="364"/>
      <c r="CR345" s="364"/>
      <c r="CS345" s="364"/>
      <c r="CT345" s="364"/>
      <c r="CU345" s="364"/>
      <c r="CV345" s="364"/>
      <c r="CW345" s="364"/>
      <c r="CX345" s="364"/>
      <c r="CY345" s="364"/>
      <c r="CZ345" s="364"/>
      <c r="DA345" s="364"/>
      <c r="DB345" s="364"/>
      <c r="DC345" s="364"/>
      <c r="DD345" s="364"/>
      <c r="DE345" s="364"/>
      <c r="DF345" s="364"/>
      <c r="DG345" s="364"/>
      <c r="DH345" s="364"/>
      <c r="DI345" s="364"/>
      <c r="DJ345" s="364"/>
      <c r="DK345" s="364"/>
      <c r="DL345" s="364"/>
      <c r="DM345" s="364"/>
      <c r="DN345" s="364"/>
      <c r="DO345" s="364"/>
      <c r="DP345" s="364"/>
      <c r="DQ345" s="364"/>
      <c r="DR345" s="364"/>
      <c r="DS345" s="364"/>
      <c r="DT345" s="364"/>
      <c r="DU345" s="364"/>
      <c r="DV345" s="364"/>
      <c r="DW345" s="364"/>
      <c r="DX345" s="364"/>
      <c r="DY345" s="364"/>
      <c r="DZ345" s="364"/>
      <c r="EA345" s="364"/>
      <c r="EB345" s="364"/>
      <c r="EC345" s="364"/>
      <c r="ED345" s="364"/>
      <c r="EE345" s="364"/>
      <c r="EF345" s="364"/>
      <c r="EG345" s="364"/>
      <c r="EH345" s="364"/>
      <c r="EI345" s="364"/>
      <c r="EJ345" s="364"/>
      <c r="EK345" s="364"/>
      <c r="EL345" s="364"/>
      <c r="EM345" s="364"/>
      <c r="EN345" s="364"/>
      <c r="EO345" s="364"/>
      <c r="EP345" s="364"/>
      <c r="EQ345" s="364"/>
      <c r="ER345" s="364"/>
      <c r="ES345" s="364"/>
      <c r="ET345" s="364"/>
      <c r="EU345" s="364"/>
      <c r="EV345" s="364"/>
      <c r="EW345" s="364"/>
      <c r="EX345" s="364"/>
      <c r="EY345" s="364"/>
      <c r="EZ345" s="364"/>
      <c r="FA345" s="364"/>
      <c r="FB345" s="364"/>
      <c r="FC345" s="364"/>
      <c r="FD345" s="364"/>
      <c r="FE345" s="364"/>
      <c r="FF345" s="364"/>
      <c r="FG345" s="364"/>
      <c r="FH345" s="364"/>
      <c r="FI345" s="364"/>
      <c r="FJ345" s="364"/>
      <c r="FK345" s="364"/>
    </row>
    <row r="346" customFormat="false" ht="15.75" hidden="false" customHeight="false" outlineLevel="0" collapsed="false">
      <c r="A346" s="364" t="n">
        <v>681</v>
      </c>
      <c r="B346" s="364" t="n">
        <f aca="false">COUNTA(D346:FK346)</f>
        <v>28</v>
      </c>
      <c r="C346" s="364" t="s">
        <v>1716</v>
      </c>
      <c r="D346" s="364" t="s">
        <v>2352</v>
      </c>
      <c r="E346" s="364" t="s">
        <v>2354</v>
      </c>
      <c r="F346" s="364" t="s">
        <v>2577</v>
      </c>
      <c r="G346" s="364" t="s">
        <v>2408</v>
      </c>
      <c r="H346" s="364" t="s">
        <v>2410</v>
      </c>
      <c r="I346" s="364" t="s">
        <v>2448</v>
      </c>
      <c r="J346" s="364" t="s">
        <v>2320</v>
      </c>
      <c r="K346" s="364" t="s">
        <v>2375</v>
      </c>
      <c r="L346" s="364" t="s">
        <v>2324</v>
      </c>
      <c r="M346" s="364" t="s">
        <v>2328</v>
      </c>
      <c r="N346" s="364" t="s">
        <v>2459</v>
      </c>
      <c r="O346" s="364" t="s">
        <v>2329</v>
      </c>
      <c r="P346" s="364" t="s">
        <v>2415</v>
      </c>
      <c r="Q346" s="364" t="s">
        <v>2417</v>
      </c>
      <c r="R346" s="364" t="s">
        <v>2418</v>
      </c>
      <c r="S346" s="364" t="s">
        <v>2460</v>
      </c>
      <c r="T346" s="364" t="s">
        <v>2337</v>
      </c>
      <c r="U346" s="364" t="s">
        <v>2340</v>
      </c>
      <c r="V346" s="364" t="s">
        <v>2421</v>
      </c>
      <c r="W346" s="364" t="s">
        <v>2341</v>
      </c>
      <c r="X346" s="364" t="s">
        <v>2462</v>
      </c>
      <c r="Y346" s="364" t="s">
        <v>2344</v>
      </c>
      <c r="Z346" s="364" t="s">
        <v>2396</v>
      </c>
      <c r="AA346" s="364" t="s">
        <v>2424</v>
      </c>
      <c r="AB346" s="364" t="s">
        <v>2463</v>
      </c>
      <c r="AC346" s="364" t="s">
        <v>2426</v>
      </c>
      <c r="AD346" s="364" t="s">
        <v>2428</v>
      </c>
      <c r="AE346" s="364" t="s">
        <v>2401</v>
      </c>
      <c r="AF346" s="364"/>
      <c r="AG346" s="364"/>
      <c r="AH346" s="364"/>
      <c r="AI346" s="364"/>
      <c r="AJ346" s="364"/>
      <c r="AK346" s="364"/>
      <c r="AL346" s="364"/>
      <c r="AM346" s="364"/>
      <c r="AN346" s="364"/>
      <c r="AO346" s="364"/>
      <c r="AP346" s="364"/>
      <c r="AQ346" s="364"/>
      <c r="AR346" s="364"/>
      <c r="AS346" s="364"/>
      <c r="AT346" s="364"/>
      <c r="AU346" s="364"/>
      <c r="AV346" s="364"/>
      <c r="AW346" s="364"/>
      <c r="AX346" s="364"/>
      <c r="AY346" s="364"/>
      <c r="AZ346" s="364"/>
      <c r="BA346" s="364"/>
      <c r="BB346" s="364"/>
      <c r="BC346" s="364"/>
      <c r="BD346" s="364"/>
      <c r="BE346" s="364"/>
      <c r="BF346" s="364"/>
      <c r="BG346" s="364"/>
      <c r="BH346" s="364"/>
      <c r="BI346" s="364"/>
      <c r="BJ346" s="364"/>
      <c r="BK346" s="364"/>
      <c r="BL346" s="364"/>
      <c r="BM346" s="364"/>
      <c r="BN346" s="364"/>
      <c r="BO346" s="364"/>
      <c r="BP346" s="364"/>
      <c r="BQ346" s="364"/>
      <c r="BR346" s="364"/>
      <c r="BS346" s="364"/>
      <c r="BT346" s="364"/>
      <c r="BU346" s="364"/>
      <c r="BV346" s="364"/>
      <c r="BW346" s="364"/>
      <c r="BX346" s="364"/>
      <c r="BY346" s="364"/>
      <c r="BZ346" s="364"/>
      <c r="CA346" s="364"/>
      <c r="CB346" s="364"/>
      <c r="CC346" s="364"/>
      <c r="CD346" s="364"/>
      <c r="CE346" s="364"/>
      <c r="CF346" s="364"/>
      <c r="CG346" s="364"/>
      <c r="CH346" s="364"/>
      <c r="CI346" s="364"/>
      <c r="CJ346" s="364"/>
      <c r="CK346" s="364"/>
      <c r="CL346" s="364"/>
      <c r="CM346" s="364"/>
      <c r="CN346" s="364"/>
      <c r="CO346" s="364"/>
      <c r="CP346" s="364"/>
      <c r="CQ346" s="364"/>
      <c r="CR346" s="364"/>
      <c r="CS346" s="364"/>
      <c r="CT346" s="364"/>
      <c r="CU346" s="364"/>
      <c r="CV346" s="364"/>
      <c r="CW346" s="364"/>
      <c r="CX346" s="364"/>
      <c r="CY346" s="364"/>
      <c r="CZ346" s="364"/>
      <c r="DA346" s="364"/>
      <c r="DB346" s="364"/>
      <c r="DC346" s="364"/>
      <c r="DD346" s="364"/>
      <c r="DE346" s="364"/>
      <c r="DF346" s="364"/>
      <c r="DG346" s="364"/>
      <c r="DH346" s="364"/>
      <c r="DI346" s="364"/>
      <c r="DJ346" s="364"/>
      <c r="DK346" s="364"/>
      <c r="DL346" s="364"/>
      <c r="DM346" s="364"/>
      <c r="DN346" s="364"/>
      <c r="DO346" s="364"/>
      <c r="DP346" s="364"/>
      <c r="DQ346" s="364"/>
      <c r="DR346" s="364"/>
      <c r="DS346" s="364"/>
      <c r="DT346" s="364"/>
      <c r="DU346" s="364"/>
      <c r="DV346" s="364"/>
      <c r="DW346" s="364"/>
      <c r="DX346" s="364"/>
      <c r="DY346" s="364"/>
      <c r="DZ346" s="364"/>
      <c r="EA346" s="364"/>
      <c r="EB346" s="364"/>
      <c r="EC346" s="364"/>
      <c r="ED346" s="364"/>
      <c r="EE346" s="364"/>
      <c r="EF346" s="364"/>
      <c r="EG346" s="364"/>
      <c r="EH346" s="364"/>
      <c r="EI346" s="364"/>
      <c r="EJ346" s="364"/>
      <c r="EK346" s="364"/>
      <c r="EL346" s="364"/>
      <c r="EM346" s="364"/>
      <c r="EN346" s="364"/>
      <c r="EO346" s="364"/>
      <c r="EP346" s="364"/>
      <c r="EQ346" s="364"/>
      <c r="ER346" s="364"/>
      <c r="ES346" s="364"/>
      <c r="ET346" s="364"/>
      <c r="EU346" s="364"/>
      <c r="EV346" s="364"/>
      <c r="EW346" s="364"/>
      <c r="EX346" s="364"/>
      <c r="EY346" s="364"/>
      <c r="EZ346" s="364"/>
      <c r="FA346" s="364"/>
      <c r="FB346" s="364"/>
      <c r="FC346" s="364"/>
      <c r="FD346" s="364"/>
      <c r="FE346" s="364"/>
      <c r="FF346" s="364"/>
      <c r="FG346" s="364"/>
      <c r="FH346" s="364"/>
      <c r="FI346" s="364"/>
      <c r="FJ346" s="364"/>
      <c r="FK346" s="364"/>
    </row>
    <row r="347" customFormat="false" ht="15.75" hidden="false" customHeight="false" outlineLevel="0" collapsed="false">
      <c r="A347" s="364" t="n">
        <v>684</v>
      </c>
      <c r="B347" s="364" t="n">
        <f aca="false">COUNTA(D347:FK347)</f>
        <v>24</v>
      </c>
      <c r="C347" s="364" t="s">
        <v>1722</v>
      </c>
      <c r="D347" s="364" t="s">
        <v>2528</v>
      </c>
      <c r="E347" s="364" t="s">
        <v>2403</v>
      </c>
      <c r="F347" s="364" t="s">
        <v>2405</v>
      </c>
      <c r="G347" s="364" t="s">
        <v>2562</v>
      </c>
      <c r="H347" s="364" t="s">
        <v>2320</v>
      </c>
      <c r="I347" s="364" t="s">
        <v>2411</v>
      </c>
      <c r="J347" s="364" t="s">
        <v>2629</v>
      </c>
      <c r="K347" s="364" t="s">
        <v>2502</v>
      </c>
      <c r="L347" s="364" t="s">
        <v>2324</v>
      </c>
      <c r="M347" s="364" t="s">
        <v>2328</v>
      </c>
      <c r="N347" s="364" t="s">
        <v>2329</v>
      </c>
      <c r="O347" s="364" t="s">
        <v>2415</v>
      </c>
      <c r="P347" s="364" t="s">
        <v>2505</v>
      </c>
      <c r="Q347" s="364" t="s">
        <v>2417</v>
      </c>
      <c r="R347" s="364" t="s">
        <v>2596</v>
      </c>
      <c r="S347" s="364" t="s">
        <v>2574</v>
      </c>
      <c r="T347" s="364" t="s">
        <v>2337</v>
      </c>
      <c r="U347" s="364" t="s">
        <v>2340</v>
      </c>
      <c r="V347" s="364" t="s">
        <v>2341</v>
      </c>
      <c r="W347" s="364" t="s">
        <v>2422</v>
      </c>
      <c r="X347" s="364" t="s">
        <v>2344</v>
      </c>
      <c r="Y347" s="364" t="s">
        <v>2463</v>
      </c>
      <c r="Z347" s="364" t="s">
        <v>2428</v>
      </c>
      <c r="AA347" s="364" t="s">
        <v>2650</v>
      </c>
      <c r="AB347" s="364"/>
      <c r="AC347" s="364"/>
      <c r="AD347" s="364"/>
      <c r="AE347" s="364"/>
      <c r="AF347" s="364"/>
      <c r="AG347" s="364"/>
      <c r="AH347" s="364"/>
      <c r="AI347" s="364"/>
      <c r="AJ347" s="364"/>
      <c r="AK347" s="364"/>
      <c r="AL347" s="364"/>
      <c r="AM347" s="364"/>
      <c r="AN347" s="364"/>
      <c r="AO347" s="364"/>
      <c r="AP347" s="364"/>
      <c r="AQ347" s="364"/>
      <c r="AR347" s="364"/>
      <c r="AS347" s="364"/>
      <c r="AT347" s="364"/>
      <c r="AU347" s="364"/>
      <c r="AV347" s="364"/>
      <c r="AW347" s="364"/>
      <c r="AX347" s="364"/>
      <c r="AY347" s="364"/>
      <c r="AZ347" s="364"/>
      <c r="BA347" s="364"/>
      <c r="BB347" s="364"/>
      <c r="BC347" s="364"/>
      <c r="BD347" s="364"/>
      <c r="BE347" s="364"/>
      <c r="BF347" s="364"/>
      <c r="BG347" s="364"/>
      <c r="BH347" s="364"/>
      <c r="BI347" s="364"/>
      <c r="BJ347" s="364"/>
      <c r="BK347" s="364"/>
      <c r="BL347" s="364"/>
      <c r="BM347" s="364"/>
      <c r="BN347" s="364"/>
      <c r="BO347" s="364"/>
      <c r="BP347" s="364"/>
      <c r="BQ347" s="364"/>
      <c r="BR347" s="364"/>
      <c r="BS347" s="364"/>
      <c r="BT347" s="364"/>
      <c r="BU347" s="364"/>
      <c r="BV347" s="364"/>
      <c r="BW347" s="364"/>
      <c r="BX347" s="364"/>
      <c r="BY347" s="364"/>
      <c r="BZ347" s="364"/>
      <c r="CA347" s="364"/>
      <c r="CB347" s="364"/>
      <c r="CC347" s="364"/>
      <c r="CD347" s="364"/>
      <c r="CE347" s="364"/>
      <c r="CF347" s="364"/>
      <c r="CG347" s="364"/>
      <c r="CH347" s="364"/>
      <c r="CI347" s="364"/>
      <c r="CJ347" s="364"/>
      <c r="CK347" s="364"/>
      <c r="CL347" s="364"/>
      <c r="CM347" s="364"/>
      <c r="CN347" s="364"/>
      <c r="CO347" s="364"/>
      <c r="CP347" s="364"/>
      <c r="CQ347" s="364"/>
      <c r="CR347" s="364"/>
      <c r="CS347" s="364"/>
      <c r="CT347" s="364"/>
      <c r="CU347" s="364"/>
      <c r="CV347" s="364"/>
      <c r="CW347" s="364"/>
      <c r="CX347" s="364"/>
      <c r="CY347" s="364"/>
      <c r="CZ347" s="364"/>
      <c r="DA347" s="364"/>
      <c r="DB347" s="364"/>
      <c r="DC347" s="364"/>
      <c r="DD347" s="364"/>
      <c r="DE347" s="364"/>
      <c r="DF347" s="364"/>
      <c r="DG347" s="364"/>
      <c r="DH347" s="364"/>
      <c r="DI347" s="364"/>
      <c r="DJ347" s="364"/>
      <c r="DK347" s="364"/>
      <c r="DL347" s="364"/>
      <c r="DM347" s="364"/>
      <c r="DN347" s="364"/>
      <c r="DO347" s="364"/>
      <c r="DP347" s="364"/>
      <c r="DQ347" s="364"/>
      <c r="DR347" s="364"/>
      <c r="DS347" s="364"/>
      <c r="DT347" s="364"/>
      <c r="DU347" s="364"/>
      <c r="DV347" s="364"/>
      <c r="DW347" s="364"/>
      <c r="DX347" s="364"/>
      <c r="DY347" s="364"/>
      <c r="DZ347" s="364"/>
      <c r="EA347" s="364"/>
      <c r="EB347" s="364"/>
      <c r="EC347" s="364"/>
      <c r="ED347" s="364"/>
      <c r="EE347" s="364"/>
      <c r="EF347" s="364"/>
      <c r="EG347" s="364"/>
      <c r="EH347" s="364"/>
      <c r="EI347" s="364"/>
      <c r="EJ347" s="364"/>
      <c r="EK347" s="364"/>
      <c r="EL347" s="364"/>
      <c r="EM347" s="364"/>
      <c r="EN347" s="364"/>
      <c r="EO347" s="364"/>
      <c r="EP347" s="364"/>
      <c r="EQ347" s="364"/>
      <c r="ER347" s="364"/>
      <c r="ES347" s="364"/>
      <c r="ET347" s="364"/>
      <c r="EU347" s="364"/>
      <c r="EV347" s="364"/>
      <c r="EW347" s="364"/>
      <c r="EX347" s="364"/>
      <c r="EY347" s="364"/>
      <c r="EZ347" s="364"/>
      <c r="FA347" s="364"/>
      <c r="FB347" s="364"/>
      <c r="FC347" s="364"/>
      <c r="FD347" s="364"/>
      <c r="FE347" s="364"/>
      <c r="FF347" s="364"/>
      <c r="FG347" s="364"/>
      <c r="FH347" s="364"/>
      <c r="FI347" s="364"/>
      <c r="FJ347" s="364"/>
      <c r="FK347" s="364"/>
    </row>
    <row r="348" customFormat="false" ht="15.75" hidden="false" customHeight="false" outlineLevel="0" collapsed="false">
      <c r="A348" s="364" t="n">
        <v>686</v>
      </c>
      <c r="B348" s="364" t="n">
        <f aca="false">COUNTA(D348:FK348)</f>
        <v>30</v>
      </c>
      <c r="C348" s="364" t="s">
        <v>1726</v>
      </c>
      <c r="D348" s="364" t="s">
        <v>2516</v>
      </c>
      <c r="E348" s="364" t="s">
        <v>2315</v>
      </c>
      <c r="F348" s="364" t="s">
        <v>2316</v>
      </c>
      <c r="G348" s="364" t="s">
        <v>2510</v>
      </c>
      <c r="H348" s="364" t="s">
        <v>2318</v>
      </c>
      <c r="I348" s="364" t="s">
        <v>2319</v>
      </c>
      <c r="J348" s="364" t="s">
        <v>2320</v>
      </c>
      <c r="K348" s="364" t="s">
        <v>2535</v>
      </c>
      <c r="L348" s="364" t="s">
        <v>2323</v>
      </c>
      <c r="M348" s="364" t="s">
        <v>2324</v>
      </c>
      <c r="N348" s="364" t="s">
        <v>2325</v>
      </c>
      <c r="O348" s="364" t="s">
        <v>2328</v>
      </c>
      <c r="P348" s="364" t="s">
        <v>2695</v>
      </c>
      <c r="Q348" s="364" t="s">
        <v>2329</v>
      </c>
      <c r="R348" s="364" t="s">
        <v>2580</v>
      </c>
      <c r="S348" s="364" t="s">
        <v>2468</v>
      </c>
      <c r="T348" s="364" t="s">
        <v>2513</v>
      </c>
      <c r="U348" s="364" t="s">
        <v>2337</v>
      </c>
      <c r="V348" s="364" t="s">
        <v>2469</v>
      </c>
      <c r="W348" s="364" t="s">
        <v>2339</v>
      </c>
      <c r="X348" s="364" t="s">
        <v>2340</v>
      </c>
      <c r="Y348" s="364" t="s">
        <v>2341</v>
      </c>
      <c r="Z348" s="364" t="s">
        <v>2342</v>
      </c>
      <c r="AA348" s="364" t="s">
        <v>2442</v>
      </c>
      <c r="AB348" s="364" t="s">
        <v>2344</v>
      </c>
      <c r="AC348" s="364" t="s">
        <v>2345</v>
      </c>
      <c r="AD348" s="364" t="s">
        <v>2346</v>
      </c>
      <c r="AE348" s="364" t="s">
        <v>2348</v>
      </c>
      <c r="AF348" s="364" t="s">
        <v>2349</v>
      </c>
      <c r="AG348" s="364" t="s">
        <v>2477</v>
      </c>
      <c r="AH348" s="364"/>
      <c r="AI348" s="364"/>
      <c r="AJ348" s="364"/>
      <c r="AK348" s="364"/>
      <c r="AL348" s="364"/>
      <c r="AM348" s="364"/>
      <c r="AN348" s="364"/>
      <c r="AO348" s="364"/>
      <c r="AP348" s="364"/>
      <c r="AQ348" s="364"/>
      <c r="AR348" s="364"/>
      <c r="AS348" s="364"/>
      <c r="AT348" s="364"/>
      <c r="AU348" s="364"/>
      <c r="AV348" s="364"/>
      <c r="AW348" s="364"/>
      <c r="AX348" s="364"/>
      <c r="AY348" s="364"/>
      <c r="AZ348" s="364"/>
      <c r="BA348" s="364"/>
      <c r="BB348" s="364"/>
      <c r="BC348" s="364"/>
      <c r="BD348" s="364"/>
      <c r="BE348" s="364"/>
      <c r="BF348" s="364"/>
      <c r="BG348" s="364"/>
      <c r="BH348" s="364"/>
      <c r="BI348" s="364"/>
      <c r="BJ348" s="364"/>
      <c r="BK348" s="364"/>
      <c r="BL348" s="364"/>
      <c r="BM348" s="364"/>
      <c r="BN348" s="364"/>
      <c r="BO348" s="364"/>
      <c r="BP348" s="364"/>
      <c r="BQ348" s="364"/>
      <c r="BR348" s="364"/>
      <c r="BS348" s="364"/>
      <c r="BT348" s="364"/>
      <c r="BU348" s="364"/>
      <c r="BV348" s="364"/>
      <c r="BW348" s="364"/>
      <c r="BX348" s="364"/>
      <c r="BY348" s="364"/>
      <c r="BZ348" s="364"/>
      <c r="CA348" s="364"/>
      <c r="CB348" s="364"/>
      <c r="CC348" s="364"/>
      <c r="CD348" s="364"/>
      <c r="CE348" s="364"/>
      <c r="CF348" s="364"/>
      <c r="CG348" s="364"/>
      <c r="CH348" s="364"/>
      <c r="CI348" s="364"/>
      <c r="CJ348" s="364"/>
      <c r="CK348" s="364"/>
      <c r="CL348" s="364"/>
      <c r="CM348" s="364"/>
      <c r="CN348" s="364"/>
      <c r="CO348" s="364"/>
      <c r="CP348" s="364"/>
      <c r="CQ348" s="364"/>
      <c r="CR348" s="364"/>
      <c r="CS348" s="364"/>
      <c r="CT348" s="364"/>
      <c r="CU348" s="364"/>
      <c r="CV348" s="364"/>
      <c r="CW348" s="364"/>
      <c r="CX348" s="364"/>
      <c r="CY348" s="364"/>
      <c r="CZ348" s="364"/>
      <c r="DA348" s="364"/>
      <c r="DB348" s="364"/>
      <c r="DC348" s="364"/>
      <c r="DD348" s="364"/>
      <c r="DE348" s="364"/>
      <c r="DF348" s="364"/>
      <c r="DG348" s="364"/>
      <c r="DH348" s="364"/>
      <c r="DI348" s="364"/>
      <c r="DJ348" s="364"/>
      <c r="DK348" s="364"/>
      <c r="DL348" s="364"/>
      <c r="DM348" s="364"/>
      <c r="DN348" s="364"/>
      <c r="DO348" s="364"/>
      <c r="DP348" s="364"/>
      <c r="DQ348" s="364"/>
      <c r="DR348" s="364"/>
      <c r="DS348" s="364"/>
      <c r="DT348" s="364"/>
      <c r="DU348" s="364"/>
      <c r="DV348" s="364"/>
      <c r="DW348" s="364"/>
      <c r="DX348" s="364"/>
      <c r="DY348" s="364"/>
      <c r="DZ348" s="364"/>
      <c r="EA348" s="364"/>
      <c r="EB348" s="364"/>
      <c r="EC348" s="364"/>
      <c r="ED348" s="364"/>
      <c r="EE348" s="364"/>
      <c r="EF348" s="364"/>
      <c r="EG348" s="364"/>
      <c r="EH348" s="364"/>
      <c r="EI348" s="364"/>
      <c r="EJ348" s="364"/>
      <c r="EK348" s="364"/>
      <c r="EL348" s="364"/>
      <c r="EM348" s="364"/>
      <c r="EN348" s="364"/>
      <c r="EO348" s="364"/>
      <c r="EP348" s="364"/>
      <c r="EQ348" s="364"/>
      <c r="ER348" s="364"/>
      <c r="ES348" s="364"/>
      <c r="ET348" s="364"/>
      <c r="EU348" s="364"/>
      <c r="EV348" s="364"/>
      <c r="EW348" s="364"/>
      <c r="EX348" s="364"/>
      <c r="EY348" s="364"/>
      <c r="EZ348" s="364"/>
      <c r="FA348" s="364"/>
      <c r="FB348" s="364"/>
      <c r="FC348" s="364"/>
      <c r="FD348" s="364"/>
      <c r="FE348" s="364"/>
      <c r="FF348" s="364"/>
      <c r="FG348" s="364"/>
      <c r="FH348" s="364"/>
      <c r="FI348" s="364"/>
      <c r="FJ348" s="364"/>
      <c r="FK348" s="364"/>
    </row>
    <row r="349" customFormat="false" ht="15.75" hidden="false" customHeight="false" outlineLevel="0" collapsed="false">
      <c r="A349" s="364" t="n">
        <v>687</v>
      </c>
      <c r="B349" s="364" t="n">
        <f aca="false">COUNTA(D349:FK349)</f>
        <v>30</v>
      </c>
      <c r="C349" s="364" t="s">
        <v>1728</v>
      </c>
      <c r="D349" s="364" t="s">
        <v>2431</v>
      </c>
      <c r="E349" s="364" t="s">
        <v>2352</v>
      </c>
      <c r="F349" s="364" t="s">
        <v>2354</v>
      </c>
      <c r="G349" s="364" t="s">
        <v>2528</v>
      </c>
      <c r="H349" s="364" t="s">
        <v>2464</v>
      </c>
      <c r="I349" s="364" t="s">
        <v>2465</v>
      </c>
      <c r="J349" s="364" t="s">
        <v>2315</v>
      </c>
      <c r="K349" s="364" t="s">
        <v>2569</v>
      </c>
      <c r="L349" s="364" t="s">
        <v>2436</v>
      </c>
      <c r="M349" s="364" t="s">
        <v>2320</v>
      </c>
      <c r="N349" s="364" t="s">
        <v>2328</v>
      </c>
      <c r="O349" s="364" t="s">
        <v>2381</v>
      </c>
      <c r="P349" s="364" t="s">
        <v>2330</v>
      </c>
      <c r="Q349" s="364" t="s">
        <v>2468</v>
      </c>
      <c r="R349" s="364" t="s">
        <v>2658</v>
      </c>
      <c r="S349" s="364" t="s">
        <v>2455</v>
      </c>
      <c r="T349" s="364" t="s">
        <v>2461</v>
      </c>
      <c r="U349" s="364" t="s">
        <v>2337</v>
      </c>
      <c r="V349" s="364" t="s">
        <v>2340</v>
      </c>
      <c r="W349" s="364" t="s">
        <v>2341</v>
      </c>
      <c r="X349" s="364" t="s">
        <v>2470</v>
      </c>
      <c r="Y349" s="364" t="s">
        <v>2422</v>
      </c>
      <c r="Z349" s="364" t="s">
        <v>2344</v>
      </c>
      <c r="AA349" s="364" t="s">
        <v>2570</v>
      </c>
      <c r="AB349" s="364" t="s">
        <v>2475</v>
      </c>
      <c r="AC349" s="364" t="s">
        <v>2476</v>
      </c>
      <c r="AD349" s="364" t="s">
        <v>2491</v>
      </c>
      <c r="AE349" s="364" t="s">
        <v>2446</v>
      </c>
      <c r="AF349" s="364" t="s">
        <v>2492</v>
      </c>
      <c r="AG349" s="364" t="s">
        <v>2477</v>
      </c>
      <c r="AH349" s="364"/>
      <c r="AI349" s="364"/>
      <c r="AJ349" s="364"/>
      <c r="AK349" s="364"/>
      <c r="AL349" s="364"/>
      <c r="AM349" s="364"/>
      <c r="AN349" s="364"/>
      <c r="AO349" s="364"/>
      <c r="AP349" s="364"/>
      <c r="AQ349" s="364"/>
      <c r="AR349" s="364"/>
      <c r="AS349" s="364"/>
      <c r="AT349" s="364"/>
      <c r="AU349" s="364"/>
      <c r="AV349" s="364"/>
      <c r="AW349" s="364"/>
      <c r="AX349" s="364"/>
      <c r="AY349" s="364"/>
      <c r="AZ349" s="364"/>
      <c r="BA349" s="364"/>
      <c r="BB349" s="364"/>
      <c r="BC349" s="364"/>
      <c r="BD349" s="364"/>
      <c r="BE349" s="364"/>
      <c r="BF349" s="364"/>
      <c r="BG349" s="364"/>
      <c r="BH349" s="364"/>
      <c r="BI349" s="364"/>
      <c r="BJ349" s="364"/>
      <c r="BK349" s="364"/>
      <c r="BL349" s="364"/>
      <c r="BM349" s="364"/>
      <c r="BN349" s="364"/>
      <c r="BO349" s="364"/>
      <c r="BP349" s="364"/>
      <c r="BQ349" s="364"/>
      <c r="BR349" s="364"/>
      <c r="BS349" s="364"/>
      <c r="BT349" s="364"/>
      <c r="BU349" s="364"/>
      <c r="BV349" s="364"/>
      <c r="BW349" s="364"/>
      <c r="BX349" s="364"/>
      <c r="BY349" s="364"/>
      <c r="BZ349" s="364"/>
      <c r="CA349" s="364"/>
      <c r="CB349" s="364"/>
      <c r="CC349" s="364"/>
      <c r="CD349" s="364"/>
      <c r="CE349" s="364"/>
      <c r="CF349" s="364"/>
      <c r="CG349" s="364"/>
      <c r="CH349" s="364"/>
      <c r="CI349" s="364"/>
      <c r="CJ349" s="364"/>
      <c r="CK349" s="364"/>
      <c r="CL349" s="364"/>
      <c r="CM349" s="364"/>
      <c r="CN349" s="364"/>
      <c r="CO349" s="364"/>
      <c r="CP349" s="364"/>
      <c r="CQ349" s="364"/>
      <c r="CR349" s="364"/>
      <c r="CS349" s="364"/>
      <c r="CT349" s="364"/>
      <c r="CU349" s="364"/>
      <c r="CV349" s="364"/>
      <c r="CW349" s="364"/>
      <c r="CX349" s="364"/>
      <c r="CY349" s="364"/>
      <c r="CZ349" s="364"/>
      <c r="DA349" s="364"/>
      <c r="DB349" s="364"/>
      <c r="DC349" s="364"/>
      <c r="DD349" s="364"/>
      <c r="DE349" s="364"/>
      <c r="DF349" s="364"/>
      <c r="DG349" s="364"/>
      <c r="DH349" s="364"/>
      <c r="DI349" s="364"/>
      <c r="DJ349" s="364"/>
      <c r="DK349" s="364"/>
      <c r="DL349" s="364"/>
      <c r="DM349" s="364"/>
      <c r="DN349" s="364"/>
      <c r="DO349" s="364"/>
      <c r="DP349" s="364"/>
      <c r="DQ349" s="364"/>
      <c r="DR349" s="364"/>
      <c r="DS349" s="364"/>
      <c r="DT349" s="364"/>
      <c r="DU349" s="364"/>
      <c r="DV349" s="364"/>
      <c r="DW349" s="364"/>
      <c r="DX349" s="364"/>
      <c r="DY349" s="364"/>
      <c r="DZ349" s="364"/>
      <c r="EA349" s="364"/>
      <c r="EB349" s="364"/>
      <c r="EC349" s="364"/>
      <c r="ED349" s="364"/>
      <c r="EE349" s="364"/>
      <c r="EF349" s="364"/>
      <c r="EG349" s="364"/>
      <c r="EH349" s="364"/>
      <c r="EI349" s="364"/>
      <c r="EJ349" s="364"/>
      <c r="EK349" s="364"/>
      <c r="EL349" s="364"/>
      <c r="EM349" s="364"/>
      <c r="EN349" s="364"/>
      <c r="EO349" s="364"/>
      <c r="EP349" s="364"/>
      <c r="EQ349" s="364"/>
      <c r="ER349" s="364"/>
      <c r="ES349" s="364"/>
      <c r="ET349" s="364"/>
      <c r="EU349" s="364"/>
      <c r="EV349" s="364"/>
      <c r="EW349" s="364"/>
      <c r="EX349" s="364"/>
      <c r="EY349" s="364"/>
      <c r="EZ349" s="364"/>
      <c r="FA349" s="364"/>
      <c r="FB349" s="364"/>
      <c r="FC349" s="364"/>
      <c r="FD349" s="364"/>
      <c r="FE349" s="364"/>
      <c r="FF349" s="364"/>
      <c r="FG349" s="364"/>
      <c r="FH349" s="364"/>
      <c r="FI349" s="364"/>
      <c r="FJ349" s="364"/>
      <c r="FK349" s="364"/>
    </row>
    <row r="350" customFormat="false" ht="15.75" hidden="false" customHeight="false" outlineLevel="0" collapsed="false">
      <c r="A350" s="364" t="n">
        <v>689</v>
      </c>
      <c r="B350" s="364" t="n">
        <f aca="false">COUNTA(D350:FK350)</f>
        <v>34</v>
      </c>
      <c r="C350" s="364" t="s">
        <v>1732</v>
      </c>
      <c r="D350" s="364" t="s">
        <v>2352</v>
      </c>
      <c r="E350" s="364" t="s">
        <v>2357</v>
      </c>
      <c r="F350" s="364" t="s">
        <v>2432</v>
      </c>
      <c r="G350" s="364" t="s">
        <v>2433</v>
      </c>
      <c r="H350" s="364" t="s">
        <v>2315</v>
      </c>
      <c r="I350" s="364" t="s">
        <v>2316</v>
      </c>
      <c r="J350" s="364" t="s">
        <v>184</v>
      </c>
      <c r="K350" s="364" t="s">
        <v>2319</v>
      </c>
      <c r="L350" s="364" t="s">
        <v>2320</v>
      </c>
      <c r="M350" s="364" t="s">
        <v>2449</v>
      </c>
      <c r="N350" s="364" t="s">
        <v>2450</v>
      </c>
      <c r="O350" s="364" t="s">
        <v>2376</v>
      </c>
      <c r="P350" s="364" t="s">
        <v>2451</v>
      </c>
      <c r="Q350" s="364" t="s">
        <v>2323</v>
      </c>
      <c r="R350" s="364" t="s">
        <v>2324</v>
      </c>
      <c r="S350" s="364" t="s">
        <v>2327</v>
      </c>
      <c r="T350" s="364" t="s">
        <v>2328</v>
      </c>
      <c r="U350" s="364" t="s">
        <v>2329</v>
      </c>
      <c r="V350" s="364" t="s">
        <v>2438</v>
      </c>
      <c r="W350" s="364" t="s">
        <v>2506</v>
      </c>
      <c r="X350" s="364" t="s">
        <v>2330</v>
      </c>
      <c r="Y350" s="364" t="s">
        <v>2480</v>
      </c>
      <c r="Z350" s="364" t="s">
        <v>2454</v>
      </c>
      <c r="AA350" s="364" t="s">
        <v>2337</v>
      </c>
      <c r="AB350" s="364" t="s">
        <v>2339</v>
      </c>
      <c r="AC350" s="364" t="s">
        <v>2340</v>
      </c>
      <c r="AD350" s="364" t="s">
        <v>2341</v>
      </c>
      <c r="AE350" s="364" t="s">
        <v>2422</v>
      </c>
      <c r="AF350" s="364" t="s">
        <v>2395</v>
      </c>
      <c r="AG350" s="364" t="s">
        <v>2514</v>
      </c>
      <c r="AH350" s="364" t="s">
        <v>2344</v>
      </c>
      <c r="AI350" s="364" t="s">
        <v>2444</v>
      </c>
      <c r="AJ350" s="364" t="s">
        <v>2457</v>
      </c>
      <c r="AK350" s="364" t="s">
        <v>2458</v>
      </c>
      <c r="AL350" s="364"/>
      <c r="AM350" s="364"/>
      <c r="AN350" s="364"/>
      <c r="AO350" s="364"/>
      <c r="AP350" s="364"/>
      <c r="AQ350" s="364"/>
      <c r="AR350" s="364"/>
      <c r="AS350" s="364"/>
      <c r="AT350" s="364"/>
      <c r="AU350" s="364"/>
      <c r="AV350" s="364"/>
      <c r="AW350" s="364"/>
      <c r="AX350" s="364"/>
      <c r="AY350" s="364"/>
      <c r="AZ350" s="364"/>
      <c r="BA350" s="364"/>
      <c r="BB350" s="364"/>
      <c r="BC350" s="364"/>
      <c r="BD350" s="364"/>
      <c r="BE350" s="364"/>
      <c r="BF350" s="364"/>
      <c r="BG350" s="364"/>
      <c r="BH350" s="364"/>
      <c r="BI350" s="364"/>
      <c r="BJ350" s="364"/>
      <c r="BK350" s="364"/>
      <c r="BL350" s="364"/>
      <c r="BM350" s="364"/>
      <c r="BN350" s="364"/>
      <c r="BO350" s="364"/>
      <c r="BP350" s="364"/>
      <c r="BQ350" s="364"/>
      <c r="BR350" s="364"/>
      <c r="BS350" s="364"/>
      <c r="BT350" s="364"/>
      <c r="BU350" s="364"/>
      <c r="BV350" s="364"/>
      <c r="BW350" s="364"/>
      <c r="BX350" s="364"/>
      <c r="BY350" s="364"/>
      <c r="BZ350" s="364"/>
      <c r="CA350" s="364"/>
      <c r="CB350" s="364"/>
      <c r="CC350" s="364"/>
      <c r="CD350" s="364"/>
      <c r="CE350" s="364"/>
      <c r="CF350" s="364"/>
      <c r="CG350" s="364"/>
      <c r="CH350" s="364"/>
      <c r="CI350" s="364"/>
      <c r="CJ350" s="364"/>
      <c r="CK350" s="364"/>
      <c r="CL350" s="364"/>
      <c r="CM350" s="364"/>
      <c r="CN350" s="364"/>
      <c r="CO350" s="364"/>
      <c r="CP350" s="364"/>
      <c r="CQ350" s="364"/>
      <c r="CR350" s="364"/>
      <c r="CS350" s="364"/>
      <c r="CT350" s="364"/>
      <c r="CU350" s="364"/>
      <c r="CV350" s="364"/>
      <c r="CW350" s="364"/>
      <c r="CX350" s="364"/>
      <c r="CY350" s="364"/>
      <c r="CZ350" s="364"/>
      <c r="DA350" s="364"/>
      <c r="DB350" s="364"/>
      <c r="DC350" s="364"/>
      <c r="DD350" s="364"/>
      <c r="DE350" s="364"/>
      <c r="DF350" s="364"/>
      <c r="DG350" s="364"/>
      <c r="DH350" s="364"/>
      <c r="DI350" s="364"/>
      <c r="DJ350" s="364"/>
      <c r="DK350" s="364"/>
      <c r="DL350" s="364"/>
      <c r="DM350" s="364"/>
      <c r="DN350" s="364"/>
      <c r="DO350" s="364"/>
      <c r="DP350" s="364"/>
      <c r="DQ350" s="364"/>
      <c r="DR350" s="364"/>
      <c r="DS350" s="364"/>
      <c r="DT350" s="364"/>
      <c r="DU350" s="364"/>
      <c r="DV350" s="364"/>
      <c r="DW350" s="364"/>
      <c r="DX350" s="364"/>
      <c r="DY350" s="364"/>
      <c r="DZ350" s="364"/>
      <c r="EA350" s="364"/>
      <c r="EB350" s="364"/>
      <c r="EC350" s="364"/>
      <c r="ED350" s="364"/>
      <c r="EE350" s="364"/>
      <c r="EF350" s="364"/>
      <c r="EG350" s="364"/>
      <c r="EH350" s="364"/>
      <c r="EI350" s="364"/>
      <c r="EJ350" s="364"/>
      <c r="EK350" s="364"/>
      <c r="EL350" s="364"/>
      <c r="EM350" s="364"/>
      <c r="EN350" s="364"/>
      <c r="EO350" s="364"/>
      <c r="EP350" s="364"/>
      <c r="EQ350" s="364"/>
      <c r="ER350" s="364"/>
      <c r="ES350" s="364"/>
      <c r="ET350" s="364"/>
      <c r="EU350" s="364"/>
      <c r="EV350" s="364"/>
      <c r="EW350" s="364"/>
      <c r="EX350" s="364"/>
      <c r="EY350" s="364"/>
      <c r="EZ350" s="364"/>
      <c r="FA350" s="364"/>
      <c r="FB350" s="364"/>
      <c r="FC350" s="364"/>
      <c r="FD350" s="364"/>
      <c r="FE350" s="364"/>
      <c r="FF350" s="364"/>
      <c r="FG350" s="364"/>
      <c r="FH350" s="364"/>
      <c r="FI350" s="364"/>
      <c r="FJ350" s="364"/>
      <c r="FK350" s="364"/>
    </row>
    <row r="351" customFormat="false" ht="15.75" hidden="false" customHeight="false" outlineLevel="0" collapsed="false">
      <c r="A351" s="364" t="n">
        <v>691</v>
      </c>
      <c r="B351" s="364" t="n">
        <f aca="false">COUNTA(D351:FK351)</f>
        <v>24</v>
      </c>
      <c r="C351" s="364" t="s">
        <v>1736</v>
      </c>
      <c r="D351" s="364" t="s">
        <v>2527</v>
      </c>
      <c r="E351" s="364" t="s">
        <v>2528</v>
      </c>
      <c r="F351" s="364" t="s">
        <v>2310</v>
      </c>
      <c r="G351" s="364" t="s">
        <v>2618</v>
      </c>
      <c r="H351" s="364" t="s">
        <v>2319</v>
      </c>
      <c r="I351" s="364" t="s">
        <v>2320</v>
      </c>
      <c r="J351" s="364" t="s">
        <v>2535</v>
      </c>
      <c r="K351" s="364" t="s">
        <v>2523</v>
      </c>
      <c r="L351" s="364" t="s">
        <v>2323</v>
      </c>
      <c r="M351" s="364" t="s">
        <v>2324</v>
      </c>
      <c r="N351" s="364" t="s">
        <v>2325</v>
      </c>
      <c r="O351" s="364" t="s">
        <v>2328</v>
      </c>
      <c r="P351" s="364" t="s">
        <v>2329</v>
      </c>
      <c r="Q351" s="364" t="s">
        <v>2331</v>
      </c>
      <c r="R351" s="364" t="s">
        <v>2452</v>
      </c>
      <c r="S351" s="364" t="s">
        <v>2337</v>
      </c>
      <c r="T351" s="364" t="s">
        <v>2340</v>
      </c>
      <c r="U351" s="364" t="s">
        <v>2341</v>
      </c>
      <c r="V351" s="364" t="s">
        <v>2342</v>
      </c>
      <c r="W351" s="364" t="s">
        <v>2343</v>
      </c>
      <c r="X351" s="364" t="s">
        <v>2344</v>
      </c>
      <c r="Y351" s="364" t="s">
        <v>2345</v>
      </c>
      <c r="Z351" s="364" t="s">
        <v>2346</v>
      </c>
      <c r="AA351" s="364" t="s">
        <v>2350</v>
      </c>
      <c r="AB351" s="364"/>
      <c r="AC351" s="364"/>
      <c r="AD351" s="364"/>
      <c r="AE351" s="364"/>
      <c r="AF351" s="364"/>
      <c r="AG351" s="364"/>
      <c r="AH351" s="364"/>
      <c r="AI351" s="364"/>
      <c r="AJ351" s="364"/>
      <c r="AK351" s="364"/>
      <c r="AL351" s="364"/>
      <c r="AM351" s="364"/>
      <c r="AN351" s="364"/>
      <c r="AO351" s="364"/>
      <c r="AP351" s="364"/>
      <c r="AQ351" s="364"/>
      <c r="AR351" s="364"/>
      <c r="AS351" s="364"/>
      <c r="AT351" s="364"/>
      <c r="AU351" s="364"/>
      <c r="AV351" s="364"/>
      <c r="AW351" s="364"/>
      <c r="AX351" s="364"/>
      <c r="AY351" s="364"/>
      <c r="AZ351" s="364"/>
      <c r="BA351" s="364"/>
      <c r="BB351" s="364"/>
      <c r="BC351" s="364"/>
      <c r="BD351" s="364"/>
      <c r="BE351" s="364"/>
      <c r="BF351" s="364"/>
      <c r="BG351" s="364"/>
      <c r="BH351" s="364"/>
      <c r="BI351" s="364"/>
      <c r="BJ351" s="364"/>
      <c r="BK351" s="364"/>
      <c r="BL351" s="364"/>
      <c r="BM351" s="364"/>
      <c r="BN351" s="364"/>
      <c r="BO351" s="364"/>
      <c r="BP351" s="364"/>
      <c r="BQ351" s="364"/>
      <c r="BR351" s="364"/>
      <c r="BS351" s="364"/>
      <c r="BT351" s="364"/>
      <c r="BU351" s="364"/>
      <c r="BV351" s="364"/>
      <c r="BW351" s="364"/>
      <c r="BX351" s="364"/>
      <c r="BY351" s="364"/>
      <c r="BZ351" s="364"/>
      <c r="CA351" s="364"/>
      <c r="CB351" s="364"/>
      <c r="CC351" s="364"/>
      <c r="CD351" s="364"/>
      <c r="CE351" s="364"/>
      <c r="CF351" s="364"/>
      <c r="CG351" s="364"/>
      <c r="CH351" s="364"/>
      <c r="CI351" s="364"/>
      <c r="CJ351" s="364"/>
      <c r="CK351" s="364"/>
      <c r="CL351" s="364"/>
      <c r="CM351" s="364"/>
      <c r="CN351" s="364"/>
      <c r="CO351" s="364"/>
      <c r="CP351" s="364"/>
      <c r="CQ351" s="364"/>
      <c r="CR351" s="364"/>
      <c r="CS351" s="364"/>
      <c r="CT351" s="364"/>
      <c r="CU351" s="364"/>
      <c r="CV351" s="364"/>
      <c r="CW351" s="364"/>
      <c r="CX351" s="364"/>
      <c r="CY351" s="364"/>
      <c r="CZ351" s="364"/>
      <c r="DA351" s="364"/>
      <c r="DB351" s="364"/>
      <c r="DC351" s="364"/>
      <c r="DD351" s="364"/>
      <c r="DE351" s="364"/>
      <c r="DF351" s="364"/>
      <c r="DG351" s="364"/>
      <c r="DH351" s="364"/>
      <c r="DI351" s="364"/>
      <c r="DJ351" s="364"/>
      <c r="DK351" s="364"/>
      <c r="DL351" s="364"/>
      <c r="DM351" s="364"/>
      <c r="DN351" s="364"/>
      <c r="DO351" s="364"/>
      <c r="DP351" s="364"/>
      <c r="DQ351" s="364"/>
      <c r="DR351" s="364"/>
      <c r="DS351" s="364"/>
      <c r="DT351" s="364"/>
      <c r="DU351" s="364"/>
      <c r="DV351" s="364"/>
      <c r="DW351" s="364"/>
      <c r="DX351" s="364"/>
      <c r="DY351" s="364"/>
      <c r="DZ351" s="364"/>
      <c r="EA351" s="364"/>
      <c r="EB351" s="364"/>
      <c r="EC351" s="364"/>
      <c r="ED351" s="364"/>
      <c r="EE351" s="364"/>
      <c r="EF351" s="364"/>
      <c r="EG351" s="364"/>
      <c r="EH351" s="364"/>
      <c r="EI351" s="364"/>
      <c r="EJ351" s="364"/>
      <c r="EK351" s="364"/>
      <c r="EL351" s="364"/>
      <c r="EM351" s="364"/>
      <c r="EN351" s="364"/>
      <c r="EO351" s="364"/>
      <c r="EP351" s="364"/>
      <c r="EQ351" s="364"/>
      <c r="ER351" s="364"/>
      <c r="ES351" s="364"/>
      <c r="ET351" s="364"/>
      <c r="EU351" s="364"/>
      <c r="EV351" s="364"/>
      <c r="EW351" s="364"/>
      <c r="EX351" s="364"/>
      <c r="EY351" s="364"/>
      <c r="EZ351" s="364"/>
      <c r="FA351" s="364"/>
      <c r="FB351" s="364"/>
      <c r="FC351" s="364"/>
      <c r="FD351" s="364"/>
      <c r="FE351" s="364"/>
      <c r="FF351" s="364"/>
      <c r="FG351" s="364"/>
      <c r="FH351" s="364"/>
      <c r="FI351" s="364"/>
      <c r="FJ351" s="364"/>
      <c r="FK351" s="364"/>
    </row>
    <row r="352" customFormat="false" ht="15.75" hidden="false" customHeight="false" outlineLevel="0" collapsed="false">
      <c r="A352" s="364" t="n">
        <v>693</v>
      </c>
      <c r="B352" s="364" t="n">
        <f aca="false">COUNTA(D352:FK352)</f>
        <v>36</v>
      </c>
      <c r="C352" s="364" t="s">
        <v>1740</v>
      </c>
      <c r="D352" s="364" t="s">
        <v>2527</v>
      </c>
      <c r="E352" s="364" t="s">
        <v>2311</v>
      </c>
      <c r="F352" s="364" t="s">
        <v>2405</v>
      </c>
      <c r="G352" s="364" t="s">
        <v>2406</v>
      </c>
      <c r="H352" s="364" t="s">
        <v>2407</v>
      </c>
      <c r="I352" s="364" t="s">
        <v>2408</v>
      </c>
      <c r="J352" s="364" t="s">
        <v>2409</v>
      </c>
      <c r="K352" s="364" t="s">
        <v>2517</v>
      </c>
      <c r="L352" s="364" t="s">
        <v>2410</v>
      </c>
      <c r="M352" s="364" t="s">
        <v>2435</v>
      </c>
      <c r="N352" s="364" t="s">
        <v>2319</v>
      </c>
      <c r="O352" s="364" t="s">
        <v>2320</v>
      </c>
      <c r="P352" s="364" t="s">
        <v>2323</v>
      </c>
      <c r="Q352" s="364" t="s">
        <v>2324</v>
      </c>
      <c r="R352" s="364" t="s">
        <v>2560</v>
      </c>
      <c r="S352" s="364" t="s">
        <v>2328</v>
      </c>
      <c r="T352" s="364" t="s">
        <v>2414</v>
      </c>
      <c r="U352" s="364" t="s">
        <v>2329</v>
      </c>
      <c r="V352" s="364" t="s">
        <v>2415</v>
      </c>
      <c r="W352" s="364" t="s">
        <v>2417</v>
      </c>
      <c r="X352" s="364" t="s">
        <v>2589</v>
      </c>
      <c r="Y352" s="364" t="s">
        <v>2385</v>
      </c>
      <c r="Z352" s="364" t="s">
        <v>157</v>
      </c>
      <c r="AA352" s="364" t="s">
        <v>2337</v>
      </c>
      <c r="AB352" s="364" t="s">
        <v>2340</v>
      </c>
      <c r="AC352" s="364" t="s">
        <v>2421</v>
      </c>
      <c r="AD352" s="364" t="s">
        <v>2341</v>
      </c>
      <c r="AE352" s="364" t="s">
        <v>2442</v>
      </c>
      <c r="AF352" s="364" t="s">
        <v>2470</v>
      </c>
      <c r="AG352" s="364" t="s">
        <v>2343</v>
      </c>
      <c r="AH352" s="364" t="s">
        <v>2471</v>
      </c>
      <c r="AI352" s="364" t="s">
        <v>2344</v>
      </c>
      <c r="AJ352" s="364" t="s">
        <v>2424</v>
      </c>
      <c r="AK352" s="364" t="s">
        <v>2425</v>
      </c>
      <c r="AL352" s="364" t="s">
        <v>2428</v>
      </c>
      <c r="AM352" s="364" t="s">
        <v>2660</v>
      </c>
      <c r="AN352" s="364"/>
      <c r="AO352" s="364"/>
      <c r="AP352" s="364"/>
      <c r="AQ352" s="364"/>
      <c r="AR352" s="364"/>
      <c r="AS352" s="364"/>
      <c r="AT352" s="364"/>
      <c r="AU352" s="364"/>
      <c r="AV352" s="364"/>
      <c r="AW352" s="364"/>
      <c r="AX352" s="364"/>
      <c r="AY352" s="364"/>
      <c r="AZ352" s="364"/>
      <c r="BA352" s="364"/>
      <c r="BB352" s="364"/>
      <c r="BC352" s="364"/>
      <c r="BD352" s="364"/>
      <c r="BE352" s="364"/>
      <c r="BF352" s="364"/>
      <c r="BG352" s="364"/>
      <c r="BH352" s="364"/>
      <c r="BI352" s="364"/>
      <c r="BJ352" s="364"/>
      <c r="BK352" s="364"/>
      <c r="BL352" s="364"/>
      <c r="BM352" s="364"/>
      <c r="BN352" s="364"/>
      <c r="BO352" s="364"/>
      <c r="BP352" s="364"/>
      <c r="BQ352" s="364"/>
      <c r="BR352" s="364"/>
      <c r="BS352" s="364"/>
      <c r="BT352" s="364"/>
      <c r="BU352" s="364"/>
      <c r="BV352" s="364"/>
      <c r="BW352" s="364"/>
      <c r="BX352" s="364"/>
      <c r="BY352" s="364"/>
      <c r="BZ352" s="364"/>
      <c r="CA352" s="364"/>
      <c r="CB352" s="364"/>
      <c r="CC352" s="364"/>
      <c r="CD352" s="364"/>
      <c r="CE352" s="364"/>
      <c r="CF352" s="364"/>
      <c r="CG352" s="364"/>
      <c r="CH352" s="364"/>
      <c r="CI352" s="364"/>
      <c r="CJ352" s="364"/>
      <c r="CK352" s="364"/>
      <c r="CL352" s="364"/>
      <c r="CM352" s="364"/>
      <c r="CN352" s="364"/>
      <c r="CO352" s="364"/>
      <c r="CP352" s="364"/>
      <c r="CQ352" s="364"/>
      <c r="CR352" s="364"/>
      <c r="CS352" s="364"/>
      <c r="CT352" s="364"/>
      <c r="CU352" s="364"/>
      <c r="CV352" s="364"/>
      <c r="CW352" s="364"/>
      <c r="CX352" s="364"/>
      <c r="CY352" s="364"/>
      <c r="CZ352" s="364"/>
      <c r="DA352" s="364"/>
      <c r="DB352" s="364"/>
      <c r="DC352" s="364"/>
      <c r="DD352" s="364"/>
      <c r="DE352" s="364"/>
      <c r="DF352" s="364"/>
      <c r="DG352" s="364"/>
      <c r="DH352" s="364"/>
      <c r="DI352" s="364"/>
      <c r="DJ352" s="364"/>
      <c r="DK352" s="364"/>
      <c r="DL352" s="364"/>
      <c r="DM352" s="364"/>
      <c r="DN352" s="364"/>
      <c r="DO352" s="364"/>
      <c r="DP352" s="364"/>
      <c r="DQ352" s="364"/>
      <c r="DR352" s="364"/>
      <c r="DS352" s="364"/>
      <c r="DT352" s="364"/>
      <c r="DU352" s="364"/>
      <c r="DV352" s="364"/>
      <c r="DW352" s="364"/>
      <c r="DX352" s="364"/>
      <c r="DY352" s="364"/>
      <c r="DZ352" s="364"/>
      <c r="EA352" s="364"/>
      <c r="EB352" s="364"/>
      <c r="EC352" s="364"/>
      <c r="ED352" s="364"/>
      <c r="EE352" s="364"/>
      <c r="EF352" s="364"/>
      <c r="EG352" s="364"/>
      <c r="EH352" s="364"/>
      <c r="EI352" s="364"/>
      <c r="EJ352" s="364"/>
      <c r="EK352" s="364"/>
      <c r="EL352" s="364"/>
      <c r="EM352" s="364"/>
      <c r="EN352" s="364"/>
      <c r="EO352" s="364"/>
      <c r="EP352" s="364"/>
      <c r="EQ352" s="364"/>
      <c r="ER352" s="364"/>
      <c r="ES352" s="364"/>
      <c r="ET352" s="364"/>
      <c r="EU352" s="364"/>
      <c r="EV352" s="364"/>
      <c r="EW352" s="364"/>
      <c r="EX352" s="364"/>
      <c r="EY352" s="364"/>
      <c r="EZ352" s="364"/>
      <c r="FA352" s="364"/>
      <c r="FB352" s="364"/>
      <c r="FC352" s="364"/>
      <c r="FD352" s="364"/>
      <c r="FE352" s="364"/>
      <c r="FF352" s="364"/>
      <c r="FG352" s="364"/>
      <c r="FH352" s="364"/>
      <c r="FI352" s="364"/>
      <c r="FJ352" s="364"/>
      <c r="FK352" s="364"/>
    </row>
    <row r="353" customFormat="false" ht="15.75" hidden="false" customHeight="false" outlineLevel="0" collapsed="false">
      <c r="A353" s="364" t="n">
        <v>694</v>
      </c>
      <c r="B353" s="364" t="n">
        <f aca="false">COUNTA(D353:FK353)</f>
        <v>27</v>
      </c>
      <c r="C353" s="364" t="s">
        <v>1742</v>
      </c>
      <c r="D353" s="364" t="s">
        <v>2538</v>
      </c>
      <c r="E353" s="364" t="s">
        <v>2405</v>
      </c>
      <c r="F353" s="364" t="s">
        <v>2516</v>
      </c>
      <c r="G353" s="364" t="s">
        <v>2406</v>
      </c>
      <c r="H353" s="364" t="s">
        <v>2410</v>
      </c>
      <c r="I353" s="364" t="s">
        <v>2519</v>
      </c>
      <c r="J353" s="364" t="s">
        <v>2320</v>
      </c>
      <c r="K353" s="364" t="s">
        <v>2328</v>
      </c>
      <c r="L353" s="364" t="s">
        <v>2414</v>
      </c>
      <c r="M353" s="364" t="s">
        <v>2415</v>
      </c>
      <c r="N353" s="364" t="s">
        <v>2417</v>
      </c>
      <c r="O353" s="364" t="s">
        <v>2330</v>
      </c>
      <c r="P353" s="364" t="s">
        <v>2418</v>
      </c>
      <c r="Q353" s="364" t="s">
        <v>2596</v>
      </c>
      <c r="R353" s="364" t="s">
        <v>2582</v>
      </c>
      <c r="S353" s="364" t="s">
        <v>157</v>
      </c>
      <c r="T353" s="364" t="s">
        <v>2337</v>
      </c>
      <c r="U353" s="364" t="s">
        <v>2340</v>
      </c>
      <c r="V353" s="364" t="s">
        <v>2421</v>
      </c>
      <c r="W353" s="364" t="s">
        <v>2341</v>
      </c>
      <c r="X353" s="364" t="s">
        <v>2442</v>
      </c>
      <c r="Y353" s="364" t="s">
        <v>2344</v>
      </c>
      <c r="Z353" s="364" t="s">
        <v>2424</v>
      </c>
      <c r="AA353" s="364" t="s">
        <v>2555</v>
      </c>
      <c r="AB353" s="364" t="s">
        <v>2425</v>
      </c>
      <c r="AC353" s="364" t="s">
        <v>2428</v>
      </c>
      <c r="AD353" s="364" t="s">
        <v>2429</v>
      </c>
      <c r="AE353" s="364"/>
      <c r="AF353" s="364"/>
      <c r="AG353" s="364"/>
      <c r="AH353" s="364"/>
      <c r="AI353" s="364"/>
      <c r="AJ353" s="364"/>
      <c r="AK353" s="364"/>
      <c r="AL353" s="364"/>
      <c r="AM353" s="364"/>
      <c r="AN353" s="364"/>
      <c r="AO353" s="364"/>
      <c r="AP353" s="364"/>
      <c r="AQ353" s="364"/>
      <c r="AR353" s="364"/>
      <c r="AS353" s="364"/>
      <c r="AT353" s="364"/>
      <c r="AU353" s="364"/>
      <c r="AV353" s="364"/>
      <c r="AW353" s="364"/>
      <c r="AX353" s="364"/>
      <c r="AY353" s="364"/>
      <c r="AZ353" s="364"/>
      <c r="BA353" s="364"/>
      <c r="BB353" s="364"/>
      <c r="BC353" s="364"/>
      <c r="BD353" s="364"/>
      <c r="BE353" s="364"/>
      <c r="BF353" s="364"/>
      <c r="BG353" s="364"/>
      <c r="BH353" s="364"/>
      <c r="BI353" s="364"/>
      <c r="BJ353" s="364"/>
      <c r="BK353" s="364"/>
      <c r="BL353" s="364"/>
      <c r="BM353" s="364"/>
      <c r="BN353" s="364"/>
      <c r="BO353" s="364"/>
      <c r="BP353" s="364"/>
      <c r="BQ353" s="364"/>
      <c r="BR353" s="364"/>
      <c r="BS353" s="364"/>
      <c r="BT353" s="364"/>
      <c r="BU353" s="364"/>
      <c r="BV353" s="364"/>
      <c r="BW353" s="364"/>
      <c r="BX353" s="364"/>
      <c r="BY353" s="364"/>
      <c r="BZ353" s="364"/>
      <c r="CA353" s="364"/>
      <c r="CB353" s="364"/>
      <c r="CC353" s="364"/>
      <c r="CD353" s="364"/>
      <c r="CE353" s="364"/>
      <c r="CF353" s="364"/>
      <c r="CG353" s="364"/>
      <c r="CH353" s="364"/>
      <c r="CI353" s="364"/>
      <c r="CJ353" s="364"/>
      <c r="CK353" s="364"/>
      <c r="CL353" s="364"/>
      <c r="CM353" s="364"/>
      <c r="CN353" s="364"/>
      <c r="CO353" s="364"/>
      <c r="CP353" s="364"/>
      <c r="CQ353" s="364"/>
      <c r="CR353" s="364"/>
      <c r="CS353" s="364"/>
      <c r="CT353" s="364"/>
      <c r="CU353" s="364"/>
      <c r="CV353" s="364"/>
      <c r="CW353" s="364"/>
      <c r="CX353" s="364"/>
      <c r="CY353" s="364"/>
      <c r="CZ353" s="364"/>
      <c r="DA353" s="364"/>
      <c r="DB353" s="364"/>
      <c r="DC353" s="364"/>
      <c r="DD353" s="364"/>
      <c r="DE353" s="364"/>
      <c r="DF353" s="364"/>
      <c r="DG353" s="364"/>
      <c r="DH353" s="364"/>
      <c r="DI353" s="364"/>
      <c r="DJ353" s="364"/>
      <c r="DK353" s="364"/>
      <c r="DL353" s="364"/>
      <c r="DM353" s="364"/>
      <c r="DN353" s="364"/>
      <c r="DO353" s="364"/>
      <c r="DP353" s="364"/>
      <c r="DQ353" s="364"/>
      <c r="DR353" s="364"/>
      <c r="DS353" s="364"/>
      <c r="DT353" s="364"/>
      <c r="DU353" s="364"/>
      <c r="DV353" s="364"/>
      <c r="DW353" s="364"/>
      <c r="DX353" s="364"/>
      <c r="DY353" s="364"/>
      <c r="DZ353" s="364"/>
      <c r="EA353" s="364"/>
      <c r="EB353" s="364"/>
      <c r="EC353" s="364"/>
      <c r="ED353" s="364"/>
      <c r="EE353" s="364"/>
      <c r="EF353" s="364"/>
      <c r="EG353" s="364"/>
      <c r="EH353" s="364"/>
      <c r="EI353" s="364"/>
      <c r="EJ353" s="364"/>
      <c r="EK353" s="364"/>
      <c r="EL353" s="364"/>
      <c r="EM353" s="364"/>
      <c r="EN353" s="364"/>
      <c r="EO353" s="364"/>
      <c r="EP353" s="364"/>
      <c r="EQ353" s="364"/>
      <c r="ER353" s="364"/>
      <c r="ES353" s="364"/>
      <c r="ET353" s="364"/>
      <c r="EU353" s="364"/>
      <c r="EV353" s="364"/>
      <c r="EW353" s="364"/>
      <c r="EX353" s="364"/>
      <c r="EY353" s="364"/>
      <c r="EZ353" s="364"/>
      <c r="FA353" s="364"/>
      <c r="FB353" s="364"/>
      <c r="FC353" s="364"/>
      <c r="FD353" s="364"/>
      <c r="FE353" s="364"/>
      <c r="FF353" s="364"/>
      <c r="FG353" s="364"/>
      <c r="FH353" s="364"/>
      <c r="FI353" s="364"/>
      <c r="FJ353" s="364"/>
      <c r="FK353" s="364"/>
    </row>
    <row r="354" customFormat="false" ht="15.75" hidden="false" customHeight="false" outlineLevel="0" collapsed="false">
      <c r="A354" s="364" t="n">
        <v>696</v>
      </c>
      <c r="B354" s="364" t="n">
        <f aca="false">COUNTA(D354:FK354)</f>
        <v>35</v>
      </c>
      <c r="C354" s="364" t="s">
        <v>1746</v>
      </c>
      <c r="D354" s="364" t="s">
        <v>2527</v>
      </c>
      <c r="E354" s="364" t="s">
        <v>2516</v>
      </c>
      <c r="F354" s="364" t="s">
        <v>2432</v>
      </c>
      <c r="G354" s="364" t="s">
        <v>2433</v>
      </c>
      <c r="H354" s="364" t="s">
        <v>2464</v>
      </c>
      <c r="I354" s="364" t="s">
        <v>2315</v>
      </c>
      <c r="J354" s="364" t="s">
        <v>2569</v>
      </c>
      <c r="K354" s="364" t="s">
        <v>2436</v>
      </c>
      <c r="L354" s="364" t="s">
        <v>2319</v>
      </c>
      <c r="M354" s="364" t="s">
        <v>2320</v>
      </c>
      <c r="N354" s="364" t="s">
        <v>2322</v>
      </c>
      <c r="O354" s="364" t="s">
        <v>2323</v>
      </c>
      <c r="P354" s="364" t="s">
        <v>2324</v>
      </c>
      <c r="Q354" s="364" t="s">
        <v>2328</v>
      </c>
      <c r="R354" s="364" t="s">
        <v>2329</v>
      </c>
      <c r="S354" s="364" t="s">
        <v>2438</v>
      </c>
      <c r="T354" s="364" t="s">
        <v>2507</v>
      </c>
      <c r="U354" s="364" t="s">
        <v>2454</v>
      </c>
      <c r="V354" s="364" t="s">
        <v>2455</v>
      </c>
      <c r="W354" s="364" t="s">
        <v>2337</v>
      </c>
      <c r="X354" s="364" t="s">
        <v>2340</v>
      </c>
      <c r="Y354" s="364" t="s">
        <v>2341</v>
      </c>
      <c r="Z354" s="364" t="s">
        <v>2470</v>
      </c>
      <c r="AA354" s="364" t="s">
        <v>2422</v>
      </c>
      <c r="AB354" s="364" t="s">
        <v>2395</v>
      </c>
      <c r="AC354" s="364" t="s">
        <v>2344</v>
      </c>
      <c r="AD354" s="364" t="s">
        <v>2444</v>
      </c>
      <c r="AE354" s="364" t="s">
        <v>2473</v>
      </c>
      <c r="AF354" s="364" t="s">
        <v>2445</v>
      </c>
      <c r="AG354" s="364" t="s">
        <v>2456</v>
      </c>
      <c r="AH354" s="364" t="s">
        <v>2475</v>
      </c>
      <c r="AI354" s="364" t="s">
        <v>2476</v>
      </c>
      <c r="AJ354" s="364" t="s">
        <v>2492</v>
      </c>
      <c r="AK354" s="364" t="s">
        <v>2477</v>
      </c>
      <c r="AL354" s="364" t="s">
        <v>2458</v>
      </c>
      <c r="AM354" s="364"/>
      <c r="AN354" s="364"/>
      <c r="AO354" s="364"/>
      <c r="AP354" s="364"/>
      <c r="AQ354" s="364"/>
      <c r="AR354" s="364"/>
      <c r="AS354" s="364"/>
      <c r="AT354" s="364"/>
      <c r="AU354" s="364"/>
      <c r="AV354" s="364"/>
      <c r="AW354" s="364"/>
      <c r="AX354" s="364"/>
      <c r="AY354" s="364"/>
      <c r="AZ354" s="364"/>
      <c r="BA354" s="364"/>
      <c r="BB354" s="364"/>
      <c r="BC354" s="364"/>
      <c r="BD354" s="364"/>
      <c r="BE354" s="364"/>
      <c r="BF354" s="364"/>
      <c r="BG354" s="364"/>
      <c r="BH354" s="364"/>
      <c r="BI354" s="364"/>
      <c r="BJ354" s="364"/>
      <c r="BK354" s="364"/>
      <c r="BL354" s="364"/>
      <c r="BM354" s="364"/>
      <c r="BN354" s="364"/>
      <c r="BO354" s="364"/>
      <c r="BP354" s="364"/>
      <c r="BQ354" s="364"/>
      <c r="BR354" s="364"/>
      <c r="BS354" s="364"/>
      <c r="BT354" s="364"/>
      <c r="BU354" s="364"/>
      <c r="BV354" s="364"/>
      <c r="BW354" s="364"/>
      <c r="BX354" s="364"/>
      <c r="BY354" s="364"/>
      <c r="BZ354" s="364"/>
      <c r="CA354" s="364"/>
      <c r="CB354" s="364"/>
      <c r="CC354" s="364"/>
      <c r="CD354" s="364"/>
      <c r="CE354" s="364"/>
      <c r="CF354" s="364"/>
      <c r="CG354" s="364"/>
      <c r="CH354" s="364"/>
      <c r="CI354" s="364"/>
      <c r="CJ354" s="364"/>
      <c r="CK354" s="364"/>
      <c r="CL354" s="364"/>
      <c r="CM354" s="364"/>
      <c r="CN354" s="364"/>
      <c r="CO354" s="364"/>
      <c r="CP354" s="364"/>
      <c r="CQ354" s="364"/>
      <c r="CR354" s="364"/>
      <c r="CS354" s="364"/>
      <c r="CT354" s="364"/>
      <c r="CU354" s="364"/>
      <c r="CV354" s="364"/>
      <c r="CW354" s="364"/>
      <c r="CX354" s="364"/>
      <c r="CY354" s="364"/>
      <c r="CZ354" s="364"/>
      <c r="DA354" s="364"/>
      <c r="DB354" s="364"/>
      <c r="DC354" s="364"/>
      <c r="DD354" s="364"/>
      <c r="DE354" s="364"/>
      <c r="DF354" s="364"/>
      <c r="DG354" s="364"/>
      <c r="DH354" s="364"/>
      <c r="DI354" s="364"/>
      <c r="DJ354" s="364"/>
      <c r="DK354" s="364"/>
      <c r="DL354" s="364"/>
      <c r="DM354" s="364"/>
      <c r="DN354" s="364"/>
      <c r="DO354" s="364"/>
      <c r="DP354" s="364"/>
      <c r="DQ354" s="364"/>
      <c r="DR354" s="364"/>
      <c r="DS354" s="364"/>
      <c r="DT354" s="364"/>
      <c r="DU354" s="364"/>
      <c r="DV354" s="364"/>
      <c r="DW354" s="364"/>
      <c r="DX354" s="364"/>
      <c r="DY354" s="364"/>
      <c r="DZ354" s="364"/>
      <c r="EA354" s="364"/>
      <c r="EB354" s="364"/>
      <c r="EC354" s="364"/>
      <c r="ED354" s="364"/>
      <c r="EE354" s="364"/>
      <c r="EF354" s="364"/>
      <c r="EG354" s="364"/>
      <c r="EH354" s="364"/>
      <c r="EI354" s="364"/>
      <c r="EJ354" s="364"/>
      <c r="EK354" s="364"/>
      <c r="EL354" s="364"/>
      <c r="EM354" s="364"/>
      <c r="EN354" s="364"/>
      <c r="EO354" s="364"/>
      <c r="EP354" s="364"/>
      <c r="EQ354" s="364"/>
      <c r="ER354" s="364"/>
      <c r="ES354" s="364"/>
      <c r="ET354" s="364"/>
      <c r="EU354" s="364"/>
      <c r="EV354" s="364"/>
      <c r="EW354" s="364"/>
      <c r="EX354" s="364"/>
      <c r="EY354" s="364"/>
      <c r="EZ354" s="364"/>
      <c r="FA354" s="364"/>
      <c r="FB354" s="364"/>
      <c r="FC354" s="364"/>
      <c r="FD354" s="364"/>
      <c r="FE354" s="364"/>
      <c r="FF354" s="364"/>
      <c r="FG354" s="364"/>
      <c r="FH354" s="364"/>
      <c r="FI354" s="364"/>
      <c r="FJ354" s="364"/>
      <c r="FK354" s="364"/>
    </row>
    <row r="355" customFormat="false" ht="15.75" hidden="false" customHeight="false" outlineLevel="0" collapsed="false">
      <c r="A355" s="364" t="n">
        <v>698</v>
      </c>
      <c r="B355" s="364" t="n">
        <f aca="false">COUNTA(D355:FK355)</f>
        <v>37</v>
      </c>
      <c r="C355" s="364" t="s">
        <v>1750</v>
      </c>
      <c r="D355" s="364" t="s">
        <v>2352</v>
      </c>
      <c r="E355" s="364" t="s">
        <v>2313</v>
      </c>
      <c r="F355" s="364" t="s">
        <v>2315</v>
      </c>
      <c r="G355" s="364" t="s">
        <v>2448</v>
      </c>
      <c r="H355" s="364" t="s">
        <v>2319</v>
      </c>
      <c r="I355" s="364" t="s">
        <v>2562</v>
      </c>
      <c r="J355" s="364" t="s">
        <v>2320</v>
      </c>
      <c r="K355" s="364" t="s">
        <v>2411</v>
      </c>
      <c r="L355" s="364" t="s">
        <v>2323</v>
      </c>
      <c r="M355" s="364" t="s">
        <v>2324</v>
      </c>
      <c r="N355" s="364" t="s">
        <v>2325</v>
      </c>
      <c r="O355" s="364" t="s">
        <v>2412</v>
      </c>
      <c r="P355" s="364" t="s">
        <v>2328</v>
      </c>
      <c r="Q355" s="364" t="s">
        <v>2329</v>
      </c>
      <c r="R355" s="364" t="s">
        <v>2506</v>
      </c>
      <c r="S355" s="364" t="s">
        <v>2330</v>
      </c>
      <c r="T355" s="364" t="s">
        <v>2384</v>
      </c>
      <c r="U355" s="364" t="s">
        <v>2574</v>
      </c>
      <c r="V355" s="364" t="s">
        <v>2452</v>
      </c>
      <c r="W355" s="364" t="s">
        <v>2453</v>
      </c>
      <c r="X355" s="364" t="s">
        <v>2454</v>
      </c>
      <c r="Y355" s="364" t="s">
        <v>2616</v>
      </c>
      <c r="Z355" s="364" t="s">
        <v>2337</v>
      </c>
      <c r="AA355" s="364" t="s">
        <v>2338</v>
      </c>
      <c r="AB355" s="364" t="s">
        <v>2339</v>
      </c>
      <c r="AC355" s="364" t="s">
        <v>2420</v>
      </c>
      <c r="AD355" s="364" t="s">
        <v>2340</v>
      </c>
      <c r="AE355" s="364" t="s">
        <v>2341</v>
      </c>
      <c r="AF355" s="364" t="s">
        <v>2342</v>
      </c>
      <c r="AG355" s="364" t="s">
        <v>2566</v>
      </c>
      <c r="AH355" s="364" t="s">
        <v>2392</v>
      </c>
      <c r="AI355" s="364" t="s">
        <v>2344</v>
      </c>
      <c r="AJ355" s="364" t="s">
        <v>2345</v>
      </c>
      <c r="AK355" s="364" t="s">
        <v>2347</v>
      </c>
      <c r="AL355" s="364" t="s">
        <v>2348</v>
      </c>
      <c r="AM355" s="364" t="s">
        <v>2475</v>
      </c>
      <c r="AN355" s="364" t="s">
        <v>2476</v>
      </c>
      <c r="AO355" s="364"/>
      <c r="AP355" s="364"/>
      <c r="AQ355" s="364"/>
      <c r="AR355" s="364"/>
      <c r="AS355" s="364"/>
      <c r="AT355" s="364"/>
      <c r="AU355" s="364"/>
      <c r="AV355" s="364"/>
      <c r="AW355" s="364"/>
      <c r="AX355" s="364"/>
      <c r="AY355" s="364"/>
      <c r="AZ355" s="364"/>
      <c r="BA355" s="364"/>
      <c r="BB355" s="364"/>
      <c r="BC355" s="364"/>
      <c r="BD355" s="364"/>
      <c r="BE355" s="364"/>
      <c r="BF355" s="364"/>
      <c r="BG355" s="364"/>
      <c r="BH355" s="364"/>
      <c r="BI355" s="364"/>
      <c r="BJ355" s="364"/>
      <c r="BK355" s="364"/>
      <c r="BL355" s="364"/>
      <c r="BM355" s="364"/>
      <c r="BN355" s="364"/>
      <c r="BO355" s="364"/>
      <c r="BP355" s="364"/>
      <c r="BQ355" s="364"/>
      <c r="BR355" s="364"/>
      <c r="BS355" s="364"/>
      <c r="BT355" s="364"/>
      <c r="BU355" s="364"/>
      <c r="BV355" s="364"/>
      <c r="BW355" s="364"/>
      <c r="BX355" s="364"/>
      <c r="BY355" s="364"/>
      <c r="BZ355" s="364"/>
      <c r="CA355" s="364"/>
      <c r="CB355" s="364"/>
      <c r="CC355" s="364"/>
      <c r="CD355" s="364"/>
      <c r="CE355" s="364"/>
      <c r="CF355" s="364"/>
      <c r="CG355" s="364"/>
      <c r="CH355" s="364"/>
      <c r="CI355" s="364"/>
      <c r="CJ355" s="364"/>
      <c r="CK355" s="364"/>
      <c r="CL355" s="364"/>
      <c r="CM355" s="364"/>
      <c r="CN355" s="364"/>
      <c r="CO355" s="364"/>
      <c r="CP355" s="364"/>
      <c r="CQ355" s="364"/>
      <c r="CR355" s="364"/>
      <c r="CS355" s="364"/>
      <c r="CT355" s="364"/>
      <c r="CU355" s="364"/>
      <c r="CV355" s="364"/>
      <c r="CW355" s="364"/>
      <c r="CX355" s="364"/>
      <c r="CY355" s="364"/>
      <c r="CZ355" s="364"/>
      <c r="DA355" s="364"/>
      <c r="DB355" s="364"/>
      <c r="DC355" s="364"/>
      <c r="DD355" s="364"/>
      <c r="DE355" s="364"/>
      <c r="DF355" s="364"/>
      <c r="DG355" s="364"/>
      <c r="DH355" s="364"/>
      <c r="DI355" s="364"/>
      <c r="DJ355" s="364"/>
      <c r="DK355" s="364"/>
      <c r="DL355" s="364"/>
      <c r="DM355" s="364"/>
      <c r="DN355" s="364"/>
      <c r="DO355" s="364"/>
      <c r="DP355" s="364"/>
      <c r="DQ355" s="364"/>
      <c r="DR355" s="364"/>
      <c r="DS355" s="364"/>
      <c r="DT355" s="364"/>
      <c r="DU355" s="364"/>
      <c r="DV355" s="364"/>
      <c r="DW355" s="364"/>
      <c r="DX355" s="364"/>
      <c r="DY355" s="364"/>
      <c r="DZ355" s="364"/>
      <c r="EA355" s="364"/>
      <c r="EB355" s="364"/>
      <c r="EC355" s="364"/>
      <c r="ED355" s="364"/>
      <c r="EE355" s="364"/>
      <c r="EF355" s="364"/>
      <c r="EG355" s="364"/>
      <c r="EH355" s="364"/>
      <c r="EI355" s="364"/>
      <c r="EJ355" s="364"/>
      <c r="EK355" s="364"/>
      <c r="EL355" s="364"/>
      <c r="EM355" s="364"/>
      <c r="EN355" s="364"/>
      <c r="EO355" s="364"/>
      <c r="EP355" s="364"/>
      <c r="EQ355" s="364"/>
      <c r="ER355" s="364"/>
      <c r="ES355" s="364"/>
      <c r="ET355" s="364"/>
      <c r="EU355" s="364"/>
      <c r="EV355" s="364"/>
      <c r="EW355" s="364"/>
      <c r="EX355" s="364"/>
      <c r="EY355" s="364"/>
      <c r="EZ355" s="364"/>
      <c r="FA355" s="364"/>
      <c r="FB355" s="364"/>
      <c r="FC355" s="364"/>
      <c r="FD355" s="364"/>
      <c r="FE355" s="364"/>
      <c r="FF355" s="364"/>
      <c r="FG355" s="364"/>
      <c r="FH355" s="364"/>
      <c r="FI355" s="364"/>
      <c r="FJ355" s="364"/>
      <c r="FK355" s="364"/>
    </row>
    <row r="356" customFormat="false" ht="15.75" hidden="false" customHeight="false" outlineLevel="0" collapsed="false">
      <c r="A356" s="364" t="n">
        <v>701</v>
      </c>
      <c r="B356" s="364" t="n">
        <f aca="false">COUNTA(D356:FK356)</f>
        <v>25</v>
      </c>
      <c r="C356" s="364" t="s">
        <v>1756</v>
      </c>
      <c r="D356" s="364" t="s">
        <v>2311</v>
      </c>
      <c r="E356" s="364" t="s">
        <v>2464</v>
      </c>
      <c r="F356" s="364" t="s">
        <v>2569</v>
      </c>
      <c r="G356" s="364" t="s">
        <v>2320</v>
      </c>
      <c r="H356" s="364" t="s">
        <v>2411</v>
      </c>
      <c r="I356" s="364" t="s">
        <v>2696</v>
      </c>
      <c r="J356" s="364" t="s">
        <v>2324</v>
      </c>
      <c r="K356" s="364" t="s">
        <v>2328</v>
      </c>
      <c r="L356" s="364" t="s">
        <v>2329</v>
      </c>
      <c r="M356" s="364" t="s">
        <v>2574</v>
      </c>
      <c r="N356" s="364" t="s">
        <v>2337</v>
      </c>
      <c r="O356" s="364" t="s">
        <v>2339</v>
      </c>
      <c r="P356" s="364" t="s">
        <v>2340</v>
      </c>
      <c r="Q356" s="364" t="s">
        <v>2341</v>
      </c>
      <c r="R356" s="364" t="s">
        <v>2470</v>
      </c>
      <c r="S356" s="364" t="s">
        <v>2422</v>
      </c>
      <c r="T356" s="364" t="s">
        <v>2344</v>
      </c>
      <c r="U356" s="364" t="s">
        <v>2475</v>
      </c>
      <c r="V356" s="364" t="s">
        <v>2476</v>
      </c>
      <c r="W356" s="364" t="s">
        <v>2491</v>
      </c>
      <c r="X356" s="364" t="s">
        <v>2463</v>
      </c>
      <c r="Y356" s="364" t="s">
        <v>2595</v>
      </c>
      <c r="Z356" s="364" t="s">
        <v>2492</v>
      </c>
      <c r="AA356" s="364" t="s">
        <v>2477</v>
      </c>
      <c r="AB356" s="364" t="s">
        <v>2493</v>
      </c>
      <c r="AC356" s="364"/>
      <c r="AD356" s="364"/>
      <c r="AE356" s="364"/>
      <c r="AF356" s="364"/>
      <c r="AG356" s="364"/>
      <c r="AH356" s="364"/>
      <c r="AI356" s="364"/>
      <c r="AJ356" s="364"/>
      <c r="AK356" s="364"/>
      <c r="AL356" s="364"/>
      <c r="AM356" s="364"/>
      <c r="AN356" s="364"/>
      <c r="AO356" s="364"/>
      <c r="AP356" s="364"/>
      <c r="AQ356" s="364"/>
      <c r="AR356" s="364"/>
      <c r="AS356" s="364"/>
      <c r="AT356" s="364"/>
      <c r="AU356" s="364"/>
      <c r="AV356" s="364"/>
      <c r="AW356" s="364"/>
      <c r="AX356" s="364"/>
      <c r="AY356" s="364"/>
      <c r="AZ356" s="364"/>
      <c r="BA356" s="364"/>
      <c r="BB356" s="364"/>
      <c r="BC356" s="364"/>
      <c r="BD356" s="364"/>
      <c r="BE356" s="364"/>
      <c r="BF356" s="364"/>
      <c r="BG356" s="364"/>
      <c r="BH356" s="364"/>
      <c r="BI356" s="364"/>
      <c r="BJ356" s="364"/>
      <c r="BK356" s="364"/>
      <c r="BL356" s="364"/>
      <c r="BM356" s="364"/>
      <c r="BN356" s="364"/>
      <c r="BO356" s="364"/>
      <c r="BP356" s="364"/>
      <c r="BQ356" s="364"/>
      <c r="BR356" s="364"/>
      <c r="BS356" s="364"/>
      <c r="BT356" s="364"/>
      <c r="BU356" s="364"/>
      <c r="BV356" s="364"/>
      <c r="BW356" s="364"/>
      <c r="BX356" s="364"/>
      <c r="BY356" s="364"/>
      <c r="BZ356" s="364"/>
      <c r="CA356" s="364"/>
      <c r="CB356" s="364"/>
      <c r="CC356" s="364"/>
      <c r="CD356" s="364"/>
      <c r="CE356" s="364"/>
      <c r="CF356" s="364"/>
      <c r="CG356" s="364"/>
      <c r="CH356" s="364"/>
      <c r="CI356" s="364"/>
      <c r="CJ356" s="364"/>
      <c r="CK356" s="364"/>
      <c r="CL356" s="364"/>
      <c r="CM356" s="364"/>
      <c r="CN356" s="364"/>
      <c r="CO356" s="364"/>
      <c r="CP356" s="364"/>
      <c r="CQ356" s="364"/>
      <c r="CR356" s="364"/>
      <c r="CS356" s="364"/>
      <c r="CT356" s="364"/>
      <c r="CU356" s="364"/>
      <c r="CV356" s="364"/>
      <c r="CW356" s="364"/>
      <c r="CX356" s="364"/>
      <c r="CY356" s="364"/>
      <c r="CZ356" s="364"/>
      <c r="DA356" s="364"/>
      <c r="DB356" s="364"/>
      <c r="DC356" s="364"/>
      <c r="DD356" s="364"/>
      <c r="DE356" s="364"/>
      <c r="DF356" s="364"/>
      <c r="DG356" s="364"/>
      <c r="DH356" s="364"/>
      <c r="DI356" s="364"/>
      <c r="DJ356" s="364"/>
      <c r="DK356" s="364"/>
      <c r="DL356" s="364"/>
      <c r="DM356" s="364"/>
      <c r="DN356" s="364"/>
      <c r="DO356" s="364"/>
      <c r="DP356" s="364"/>
      <c r="DQ356" s="364"/>
      <c r="DR356" s="364"/>
      <c r="DS356" s="364"/>
      <c r="DT356" s="364"/>
      <c r="DU356" s="364"/>
      <c r="DV356" s="364"/>
      <c r="DW356" s="364"/>
      <c r="DX356" s="364"/>
      <c r="DY356" s="364"/>
      <c r="DZ356" s="364"/>
      <c r="EA356" s="364"/>
      <c r="EB356" s="364"/>
      <c r="EC356" s="364"/>
      <c r="ED356" s="364"/>
      <c r="EE356" s="364"/>
      <c r="EF356" s="364"/>
      <c r="EG356" s="364"/>
      <c r="EH356" s="364"/>
      <c r="EI356" s="364"/>
      <c r="EJ356" s="364"/>
      <c r="EK356" s="364"/>
      <c r="EL356" s="364"/>
      <c r="EM356" s="364"/>
      <c r="EN356" s="364"/>
      <c r="EO356" s="364"/>
      <c r="EP356" s="364"/>
      <c r="EQ356" s="364"/>
      <c r="ER356" s="364"/>
      <c r="ES356" s="364"/>
      <c r="ET356" s="364"/>
      <c r="EU356" s="364"/>
      <c r="EV356" s="364"/>
      <c r="EW356" s="364"/>
      <c r="EX356" s="364"/>
      <c r="EY356" s="364"/>
      <c r="EZ356" s="364"/>
      <c r="FA356" s="364"/>
      <c r="FB356" s="364"/>
      <c r="FC356" s="364"/>
      <c r="FD356" s="364"/>
      <c r="FE356" s="364"/>
      <c r="FF356" s="364"/>
      <c r="FG356" s="364"/>
      <c r="FH356" s="364"/>
      <c r="FI356" s="364"/>
      <c r="FJ356" s="364"/>
      <c r="FK356" s="364"/>
    </row>
    <row r="357" customFormat="false" ht="15.75" hidden="false" customHeight="false" outlineLevel="0" collapsed="false">
      <c r="A357" s="364" t="n">
        <v>704</v>
      </c>
      <c r="B357" s="364" t="n">
        <f aca="false">COUNTA(D357:FK357)</f>
        <v>51</v>
      </c>
      <c r="C357" s="364" t="s">
        <v>1762</v>
      </c>
      <c r="D357" s="364" t="s">
        <v>2481</v>
      </c>
      <c r="E357" s="364" t="s">
        <v>2431</v>
      </c>
      <c r="F357" s="364" t="s">
        <v>2402</v>
      </c>
      <c r="G357" s="364" t="s">
        <v>2311</v>
      </c>
      <c r="H357" s="364" t="s">
        <v>2516</v>
      </c>
      <c r="I357" s="364" t="s">
        <v>2356</v>
      </c>
      <c r="J357" s="364" t="s">
        <v>2464</v>
      </c>
      <c r="K357" s="364" t="s">
        <v>2466</v>
      </c>
      <c r="L357" s="364" t="s">
        <v>2496</v>
      </c>
      <c r="M357" s="364" t="s">
        <v>2315</v>
      </c>
      <c r="N357" s="364" t="s">
        <v>2569</v>
      </c>
      <c r="O357" s="364" t="s">
        <v>2360</v>
      </c>
      <c r="P357" s="364" t="s">
        <v>2361</v>
      </c>
      <c r="Q357" s="364" t="s">
        <v>2363</v>
      </c>
      <c r="R357" s="364" t="s">
        <v>2520</v>
      </c>
      <c r="S357" s="364" t="s">
        <v>2320</v>
      </c>
      <c r="T357" s="364" t="s">
        <v>2369</v>
      </c>
      <c r="U357" s="364" t="s">
        <v>2373</v>
      </c>
      <c r="V357" s="364" t="s">
        <v>2411</v>
      </c>
      <c r="W357" s="364" t="s">
        <v>2377</v>
      </c>
      <c r="X357" s="364" t="s">
        <v>2323</v>
      </c>
      <c r="Y357" s="364" t="s">
        <v>2324</v>
      </c>
      <c r="Z357" s="364" t="s">
        <v>2325</v>
      </c>
      <c r="AA357" s="364" t="s">
        <v>2327</v>
      </c>
      <c r="AB357" s="364" t="s">
        <v>2328</v>
      </c>
      <c r="AC357" s="364" t="s">
        <v>2329</v>
      </c>
      <c r="AD357" s="364" t="s">
        <v>2381</v>
      </c>
      <c r="AE357" s="364" t="s">
        <v>2330</v>
      </c>
      <c r="AF357" s="364" t="s">
        <v>2332</v>
      </c>
      <c r="AG357" s="364" t="s">
        <v>2387</v>
      </c>
      <c r="AH357" s="364" t="s">
        <v>2337</v>
      </c>
      <c r="AI357" s="364" t="s">
        <v>2388</v>
      </c>
      <c r="AJ357" s="364" t="s">
        <v>2339</v>
      </c>
      <c r="AK357" s="364" t="s">
        <v>2389</v>
      </c>
      <c r="AL357" s="364" t="s">
        <v>2340</v>
      </c>
      <c r="AM357" s="364" t="s">
        <v>2341</v>
      </c>
      <c r="AN357" s="364" t="s">
        <v>2470</v>
      </c>
      <c r="AO357" s="364" t="s">
        <v>2422</v>
      </c>
      <c r="AP357" s="364" t="s">
        <v>2344</v>
      </c>
      <c r="AQ357" s="364" t="s">
        <v>2347</v>
      </c>
      <c r="AR357" s="364" t="s">
        <v>2474</v>
      </c>
      <c r="AS357" s="364" t="s">
        <v>2511</v>
      </c>
      <c r="AT357" s="364" t="s">
        <v>2515</v>
      </c>
      <c r="AU357" s="364" t="s">
        <v>2456</v>
      </c>
      <c r="AV357" s="364" t="s">
        <v>2475</v>
      </c>
      <c r="AW357" s="364" t="s">
        <v>2476</v>
      </c>
      <c r="AX357" s="364" t="s">
        <v>2399</v>
      </c>
      <c r="AY357" s="364" t="s">
        <v>2446</v>
      </c>
      <c r="AZ357" s="364" t="s">
        <v>2492</v>
      </c>
      <c r="BA357" s="364" t="s">
        <v>2477</v>
      </c>
      <c r="BB357" s="364" t="s">
        <v>2493</v>
      </c>
      <c r="BC357" s="364"/>
      <c r="BD357" s="364"/>
      <c r="BE357" s="364"/>
      <c r="BF357" s="364"/>
      <c r="BG357" s="364"/>
      <c r="BH357" s="364"/>
      <c r="BI357" s="364"/>
      <c r="BJ357" s="364"/>
      <c r="BK357" s="364"/>
      <c r="BL357" s="364"/>
      <c r="BM357" s="364"/>
      <c r="BN357" s="364"/>
      <c r="BO357" s="364"/>
      <c r="BP357" s="364"/>
      <c r="BQ357" s="364"/>
      <c r="BR357" s="364"/>
      <c r="BS357" s="364"/>
      <c r="BT357" s="364"/>
      <c r="BU357" s="364"/>
      <c r="BV357" s="364"/>
      <c r="BW357" s="364"/>
      <c r="BX357" s="364"/>
      <c r="BY357" s="364"/>
      <c r="BZ357" s="364"/>
      <c r="CA357" s="364"/>
      <c r="CB357" s="364"/>
      <c r="CC357" s="364"/>
      <c r="CD357" s="364"/>
      <c r="CE357" s="364"/>
      <c r="CF357" s="364"/>
      <c r="CG357" s="364"/>
      <c r="CH357" s="364"/>
      <c r="CI357" s="364"/>
      <c r="CJ357" s="364"/>
      <c r="CK357" s="364"/>
      <c r="CL357" s="364"/>
      <c r="CM357" s="364"/>
      <c r="CN357" s="364"/>
      <c r="CO357" s="364"/>
      <c r="CP357" s="364"/>
      <c r="CQ357" s="364"/>
      <c r="CR357" s="364"/>
      <c r="CS357" s="364"/>
      <c r="CT357" s="364"/>
      <c r="CU357" s="364"/>
      <c r="CV357" s="364"/>
      <c r="CW357" s="364"/>
      <c r="CX357" s="364"/>
      <c r="CY357" s="364"/>
      <c r="CZ357" s="364"/>
      <c r="DA357" s="364"/>
      <c r="DB357" s="364"/>
      <c r="DC357" s="364"/>
      <c r="DD357" s="364"/>
      <c r="DE357" s="364"/>
      <c r="DF357" s="364"/>
      <c r="DG357" s="364"/>
      <c r="DH357" s="364"/>
      <c r="DI357" s="364"/>
      <c r="DJ357" s="364"/>
      <c r="DK357" s="364"/>
      <c r="DL357" s="364"/>
      <c r="DM357" s="364"/>
      <c r="DN357" s="364"/>
      <c r="DO357" s="364"/>
      <c r="DP357" s="364"/>
      <c r="DQ357" s="364"/>
      <c r="DR357" s="364"/>
      <c r="DS357" s="364"/>
      <c r="DT357" s="364"/>
      <c r="DU357" s="364"/>
      <c r="DV357" s="364"/>
      <c r="DW357" s="364"/>
      <c r="DX357" s="364"/>
      <c r="DY357" s="364"/>
      <c r="DZ357" s="364"/>
      <c r="EA357" s="364"/>
      <c r="EB357" s="364"/>
      <c r="EC357" s="364"/>
      <c r="ED357" s="364"/>
      <c r="EE357" s="364"/>
      <c r="EF357" s="364"/>
      <c r="EG357" s="364"/>
      <c r="EH357" s="364"/>
      <c r="EI357" s="364"/>
      <c r="EJ357" s="364"/>
      <c r="EK357" s="364"/>
      <c r="EL357" s="364"/>
      <c r="EM357" s="364"/>
      <c r="EN357" s="364"/>
      <c r="EO357" s="364"/>
      <c r="EP357" s="364"/>
      <c r="EQ357" s="364"/>
      <c r="ER357" s="364"/>
      <c r="ES357" s="364"/>
      <c r="ET357" s="364"/>
      <c r="EU357" s="364"/>
      <c r="EV357" s="364"/>
      <c r="EW357" s="364"/>
      <c r="EX357" s="364"/>
      <c r="EY357" s="364"/>
      <c r="EZ357" s="364"/>
      <c r="FA357" s="364"/>
      <c r="FB357" s="364"/>
      <c r="FC357" s="364"/>
      <c r="FD357" s="364"/>
      <c r="FE357" s="364"/>
      <c r="FF357" s="364"/>
      <c r="FG357" s="364"/>
      <c r="FH357" s="364"/>
      <c r="FI357" s="364"/>
      <c r="FJ357" s="364"/>
      <c r="FK357" s="364"/>
    </row>
    <row r="358" customFormat="false" ht="15.75" hidden="false" customHeight="false" outlineLevel="0" collapsed="false">
      <c r="A358" s="364" t="n">
        <v>706</v>
      </c>
      <c r="B358" s="364" t="n">
        <f aca="false">COUNTA(D358:FK358)</f>
        <v>29</v>
      </c>
      <c r="C358" s="364" t="s">
        <v>1766</v>
      </c>
      <c r="D358" s="364" t="s">
        <v>2464</v>
      </c>
      <c r="E358" s="364" t="s">
        <v>2434</v>
      </c>
      <c r="F358" s="364" t="s">
        <v>2409</v>
      </c>
      <c r="G358" s="364" t="s">
        <v>2435</v>
      </c>
      <c r="H358" s="364" t="s">
        <v>2318</v>
      </c>
      <c r="I358" s="364" t="s">
        <v>2319</v>
      </c>
      <c r="J358" s="364" t="s">
        <v>2320</v>
      </c>
      <c r="K358" s="364" t="s">
        <v>2324</v>
      </c>
      <c r="L358" s="364" t="s">
        <v>2327</v>
      </c>
      <c r="M358" s="364" t="s">
        <v>2328</v>
      </c>
      <c r="N358" s="364" t="s">
        <v>2329</v>
      </c>
      <c r="O358" s="364" t="s">
        <v>2439</v>
      </c>
      <c r="P358" s="364" t="s">
        <v>157</v>
      </c>
      <c r="Q358" s="364" t="s">
        <v>2495</v>
      </c>
      <c r="R358" s="364" t="s">
        <v>2337</v>
      </c>
      <c r="S358" s="364" t="s">
        <v>2388</v>
      </c>
      <c r="T358" s="364" t="s">
        <v>2389</v>
      </c>
      <c r="U358" s="364" t="s">
        <v>2340</v>
      </c>
      <c r="V358" s="364" t="s">
        <v>2341</v>
      </c>
      <c r="W358" s="364" t="s">
        <v>2442</v>
      </c>
      <c r="X358" s="364" t="s">
        <v>2470</v>
      </c>
      <c r="Y358" s="364" t="s">
        <v>2422</v>
      </c>
      <c r="Z358" s="364" t="s">
        <v>2344</v>
      </c>
      <c r="AA358" s="364" t="s">
        <v>2396</v>
      </c>
      <c r="AB358" s="364" t="s">
        <v>2592</v>
      </c>
      <c r="AC358" s="364" t="s">
        <v>2445</v>
      </c>
      <c r="AD358" s="364" t="s">
        <v>2476</v>
      </c>
      <c r="AE358" s="364" t="s">
        <v>2463</v>
      </c>
      <c r="AF358" s="364" t="s">
        <v>2430</v>
      </c>
      <c r="AG358" s="364"/>
      <c r="AH358" s="364"/>
      <c r="AI358" s="364"/>
      <c r="AJ358" s="364"/>
      <c r="AK358" s="364"/>
      <c r="AL358" s="364"/>
      <c r="AM358" s="364"/>
      <c r="AN358" s="364"/>
      <c r="AO358" s="364"/>
      <c r="AP358" s="364"/>
      <c r="AQ358" s="364"/>
      <c r="AR358" s="364"/>
      <c r="AS358" s="364"/>
      <c r="AT358" s="364"/>
      <c r="AU358" s="364"/>
      <c r="AV358" s="364"/>
      <c r="AW358" s="364"/>
      <c r="AX358" s="364"/>
      <c r="AY358" s="364"/>
      <c r="AZ358" s="364"/>
      <c r="BA358" s="364"/>
      <c r="BB358" s="364"/>
      <c r="BC358" s="364"/>
      <c r="BD358" s="364"/>
      <c r="BE358" s="364"/>
      <c r="BF358" s="364"/>
      <c r="BG358" s="364"/>
      <c r="BH358" s="364"/>
      <c r="BI358" s="364"/>
      <c r="BJ358" s="364"/>
      <c r="BK358" s="364"/>
      <c r="BL358" s="364"/>
      <c r="BM358" s="364"/>
      <c r="BN358" s="364"/>
      <c r="BO358" s="364"/>
      <c r="BP358" s="364"/>
      <c r="BQ358" s="364"/>
      <c r="BR358" s="364"/>
      <c r="BS358" s="364"/>
      <c r="BT358" s="364"/>
      <c r="BU358" s="364"/>
      <c r="BV358" s="364"/>
      <c r="BW358" s="364"/>
      <c r="BX358" s="364"/>
      <c r="BY358" s="364"/>
      <c r="BZ358" s="364"/>
      <c r="CA358" s="364"/>
      <c r="CB358" s="364"/>
      <c r="CC358" s="364"/>
      <c r="CD358" s="364"/>
      <c r="CE358" s="364"/>
      <c r="CF358" s="364"/>
      <c r="CG358" s="364"/>
      <c r="CH358" s="364"/>
      <c r="CI358" s="364"/>
      <c r="CJ358" s="364"/>
      <c r="CK358" s="364"/>
      <c r="CL358" s="364"/>
      <c r="CM358" s="364"/>
      <c r="CN358" s="364"/>
      <c r="CO358" s="364"/>
      <c r="CP358" s="364"/>
      <c r="CQ358" s="364"/>
      <c r="CR358" s="364"/>
      <c r="CS358" s="364"/>
      <c r="CT358" s="364"/>
      <c r="CU358" s="364"/>
      <c r="CV358" s="364"/>
      <c r="CW358" s="364"/>
      <c r="CX358" s="364"/>
      <c r="CY358" s="364"/>
      <c r="CZ358" s="364"/>
      <c r="DA358" s="364"/>
      <c r="DB358" s="364"/>
      <c r="DC358" s="364"/>
      <c r="DD358" s="364"/>
      <c r="DE358" s="364"/>
      <c r="DF358" s="364"/>
      <c r="DG358" s="364"/>
      <c r="DH358" s="364"/>
      <c r="DI358" s="364"/>
      <c r="DJ358" s="364"/>
      <c r="DK358" s="364"/>
      <c r="DL358" s="364"/>
      <c r="DM358" s="364"/>
      <c r="DN358" s="364"/>
      <c r="DO358" s="364"/>
      <c r="DP358" s="364"/>
      <c r="DQ358" s="364"/>
      <c r="DR358" s="364"/>
      <c r="DS358" s="364"/>
      <c r="DT358" s="364"/>
      <c r="DU358" s="364"/>
      <c r="DV358" s="364"/>
      <c r="DW358" s="364"/>
      <c r="DX358" s="364"/>
      <c r="DY358" s="364"/>
      <c r="DZ358" s="364"/>
      <c r="EA358" s="364"/>
      <c r="EB358" s="364"/>
      <c r="EC358" s="364"/>
      <c r="ED358" s="364"/>
      <c r="EE358" s="364"/>
      <c r="EF358" s="364"/>
      <c r="EG358" s="364"/>
      <c r="EH358" s="364"/>
      <c r="EI358" s="364"/>
      <c r="EJ358" s="364"/>
      <c r="EK358" s="364"/>
      <c r="EL358" s="364"/>
      <c r="EM358" s="364"/>
      <c r="EN358" s="364"/>
      <c r="EO358" s="364"/>
      <c r="EP358" s="364"/>
      <c r="EQ358" s="364"/>
      <c r="ER358" s="364"/>
      <c r="ES358" s="364"/>
      <c r="ET358" s="364"/>
      <c r="EU358" s="364"/>
      <c r="EV358" s="364"/>
      <c r="EW358" s="364"/>
      <c r="EX358" s="364"/>
      <c r="EY358" s="364"/>
      <c r="EZ358" s="364"/>
      <c r="FA358" s="364"/>
      <c r="FB358" s="364"/>
      <c r="FC358" s="364"/>
      <c r="FD358" s="364"/>
      <c r="FE358" s="364"/>
      <c r="FF358" s="364"/>
      <c r="FG358" s="364"/>
      <c r="FH358" s="364"/>
      <c r="FI358" s="364"/>
      <c r="FJ358" s="364"/>
      <c r="FK358" s="364"/>
    </row>
    <row r="359" customFormat="false" ht="15.75" hidden="false" customHeight="false" outlineLevel="0" collapsed="false">
      <c r="A359" s="364" t="n">
        <v>709</v>
      </c>
      <c r="B359" s="364" t="n">
        <f aca="false">COUNTA(D359:FK359)</f>
        <v>26</v>
      </c>
      <c r="C359" s="364" t="s">
        <v>1772</v>
      </c>
      <c r="D359" s="364" t="s">
        <v>2409</v>
      </c>
      <c r="E359" s="364" t="s">
        <v>2435</v>
      </c>
      <c r="F359" s="364" t="s">
        <v>2319</v>
      </c>
      <c r="G359" s="364" t="s">
        <v>2320</v>
      </c>
      <c r="H359" s="364" t="s">
        <v>2366</v>
      </c>
      <c r="I359" s="364" t="s">
        <v>2371</v>
      </c>
      <c r="J359" s="364" t="s">
        <v>2372</v>
      </c>
      <c r="K359" s="364" t="s">
        <v>2373</v>
      </c>
      <c r="L359" s="364" t="s">
        <v>2324</v>
      </c>
      <c r="M359" s="364" t="s">
        <v>2378</v>
      </c>
      <c r="N359" s="364" t="s">
        <v>2560</v>
      </c>
      <c r="O359" s="364" t="s">
        <v>2328</v>
      </c>
      <c r="P359" s="364" t="s">
        <v>2329</v>
      </c>
      <c r="Q359" s="364" t="s">
        <v>2379</v>
      </c>
      <c r="R359" s="364" t="s">
        <v>2386</v>
      </c>
      <c r="S359" s="364" t="s">
        <v>2452</v>
      </c>
      <c r="T359" s="364" t="s">
        <v>157</v>
      </c>
      <c r="U359" s="364" t="s">
        <v>2337</v>
      </c>
      <c r="V359" s="364" t="s">
        <v>2340</v>
      </c>
      <c r="W359" s="364" t="s">
        <v>2341</v>
      </c>
      <c r="X359" s="364" t="s">
        <v>2442</v>
      </c>
      <c r="Y359" s="364" t="s">
        <v>2470</v>
      </c>
      <c r="Z359" s="364" t="s">
        <v>2619</v>
      </c>
      <c r="AA359" s="364" t="s">
        <v>2344</v>
      </c>
      <c r="AB359" s="364" t="s">
        <v>2345</v>
      </c>
      <c r="AC359" s="364" t="s">
        <v>2445</v>
      </c>
      <c r="AD359" s="364"/>
      <c r="AE359" s="364"/>
      <c r="AF359" s="364"/>
      <c r="AG359" s="364"/>
      <c r="AH359" s="364"/>
      <c r="AI359" s="364"/>
      <c r="AJ359" s="364"/>
      <c r="AK359" s="364"/>
      <c r="AL359" s="364"/>
      <c r="AM359" s="364"/>
      <c r="AN359" s="364"/>
      <c r="AO359" s="364"/>
      <c r="AP359" s="364"/>
      <c r="AQ359" s="364"/>
      <c r="AR359" s="364"/>
      <c r="AS359" s="364"/>
      <c r="AT359" s="364"/>
      <c r="AU359" s="364"/>
      <c r="AV359" s="364"/>
      <c r="AW359" s="364"/>
      <c r="AX359" s="364"/>
      <c r="AY359" s="364"/>
      <c r="AZ359" s="364"/>
      <c r="BA359" s="364"/>
      <c r="BB359" s="364"/>
      <c r="BC359" s="364"/>
      <c r="BD359" s="364"/>
      <c r="BE359" s="364"/>
      <c r="BF359" s="364"/>
      <c r="BG359" s="364"/>
      <c r="BH359" s="364"/>
      <c r="BI359" s="364"/>
      <c r="BJ359" s="364"/>
      <c r="BK359" s="364"/>
      <c r="BL359" s="364"/>
      <c r="BM359" s="364"/>
      <c r="BN359" s="364"/>
      <c r="BO359" s="364"/>
      <c r="BP359" s="364"/>
      <c r="BQ359" s="364"/>
      <c r="BR359" s="364"/>
      <c r="BS359" s="364"/>
      <c r="BT359" s="364"/>
      <c r="BU359" s="364"/>
      <c r="BV359" s="364"/>
      <c r="BW359" s="364"/>
      <c r="BX359" s="364"/>
      <c r="BY359" s="364"/>
      <c r="BZ359" s="364"/>
      <c r="CA359" s="364"/>
      <c r="CB359" s="364"/>
      <c r="CC359" s="364"/>
      <c r="CD359" s="364"/>
      <c r="CE359" s="364"/>
      <c r="CF359" s="364"/>
      <c r="CG359" s="364"/>
      <c r="CH359" s="364"/>
      <c r="CI359" s="364"/>
      <c r="CJ359" s="364"/>
      <c r="CK359" s="364"/>
      <c r="CL359" s="364"/>
      <c r="CM359" s="364"/>
      <c r="CN359" s="364"/>
      <c r="CO359" s="364"/>
      <c r="CP359" s="364"/>
      <c r="CQ359" s="364"/>
      <c r="CR359" s="364"/>
      <c r="CS359" s="364"/>
      <c r="CT359" s="364"/>
      <c r="CU359" s="364"/>
      <c r="CV359" s="364"/>
      <c r="CW359" s="364"/>
      <c r="CX359" s="364"/>
      <c r="CY359" s="364"/>
      <c r="CZ359" s="364"/>
      <c r="DA359" s="364"/>
      <c r="DB359" s="364"/>
      <c r="DC359" s="364"/>
      <c r="DD359" s="364"/>
      <c r="DE359" s="364"/>
      <c r="DF359" s="364"/>
      <c r="DG359" s="364"/>
      <c r="DH359" s="364"/>
      <c r="DI359" s="364"/>
      <c r="DJ359" s="364"/>
      <c r="DK359" s="364"/>
      <c r="DL359" s="364"/>
      <c r="DM359" s="364"/>
      <c r="DN359" s="364"/>
      <c r="DO359" s="364"/>
      <c r="DP359" s="364"/>
      <c r="DQ359" s="364"/>
      <c r="DR359" s="364"/>
      <c r="DS359" s="364"/>
      <c r="DT359" s="364"/>
      <c r="DU359" s="364"/>
      <c r="DV359" s="364"/>
      <c r="DW359" s="364"/>
      <c r="DX359" s="364"/>
      <c r="DY359" s="364"/>
      <c r="DZ359" s="364"/>
      <c r="EA359" s="364"/>
      <c r="EB359" s="364"/>
      <c r="EC359" s="364"/>
      <c r="ED359" s="364"/>
      <c r="EE359" s="364"/>
      <c r="EF359" s="364"/>
      <c r="EG359" s="364"/>
      <c r="EH359" s="364"/>
      <c r="EI359" s="364"/>
      <c r="EJ359" s="364"/>
      <c r="EK359" s="364"/>
      <c r="EL359" s="364"/>
      <c r="EM359" s="364"/>
      <c r="EN359" s="364"/>
      <c r="EO359" s="364"/>
      <c r="EP359" s="364"/>
      <c r="EQ359" s="364"/>
      <c r="ER359" s="364"/>
      <c r="ES359" s="364"/>
      <c r="ET359" s="364"/>
      <c r="EU359" s="364"/>
      <c r="EV359" s="364"/>
      <c r="EW359" s="364"/>
      <c r="EX359" s="364"/>
      <c r="EY359" s="364"/>
      <c r="EZ359" s="364"/>
      <c r="FA359" s="364"/>
      <c r="FB359" s="364"/>
      <c r="FC359" s="364"/>
      <c r="FD359" s="364"/>
      <c r="FE359" s="364"/>
      <c r="FF359" s="364"/>
      <c r="FG359" s="364"/>
      <c r="FH359" s="364"/>
      <c r="FI359" s="364"/>
      <c r="FJ359" s="364"/>
      <c r="FK359" s="364"/>
    </row>
    <row r="360" customFormat="false" ht="15.75" hidden="false" customHeight="false" outlineLevel="0" collapsed="false">
      <c r="A360" s="364" t="n">
        <v>712</v>
      </c>
      <c r="B360" s="364" t="n">
        <f aca="false">COUNTA(D360:FK360)</f>
        <v>45</v>
      </c>
      <c r="C360" s="364" t="s">
        <v>1778</v>
      </c>
      <c r="D360" s="364" t="s">
        <v>2352</v>
      </c>
      <c r="E360" s="364" t="s">
        <v>2402</v>
      </c>
      <c r="F360" s="364" t="s">
        <v>2447</v>
      </c>
      <c r="G360" s="364" t="s">
        <v>2356</v>
      </c>
      <c r="H360" s="364" t="s">
        <v>2357</v>
      </c>
      <c r="I360" s="364" t="s">
        <v>2313</v>
      </c>
      <c r="J360" s="364" t="s">
        <v>2315</v>
      </c>
      <c r="K360" s="364" t="s">
        <v>2358</v>
      </c>
      <c r="L360" s="364" t="s">
        <v>2601</v>
      </c>
      <c r="M360" s="364" t="s">
        <v>2360</v>
      </c>
      <c r="N360" s="364" t="s">
        <v>2361</v>
      </c>
      <c r="O360" s="364" t="s">
        <v>2362</v>
      </c>
      <c r="P360" s="364" t="s">
        <v>2363</v>
      </c>
      <c r="Q360" s="364" t="s">
        <v>2543</v>
      </c>
      <c r="R360" s="364" t="s">
        <v>2317</v>
      </c>
      <c r="S360" s="364" t="s">
        <v>2448</v>
      </c>
      <c r="T360" s="364" t="s">
        <v>2320</v>
      </c>
      <c r="U360" s="364" t="s">
        <v>2449</v>
      </c>
      <c r="V360" s="364" t="s">
        <v>2376</v>
      </c>
      <c r="W360" s="364" t="s">
        <v>2324</v>
      </c>
      <c r="X360" s="364" t="s">
        <v>2325</v>
      </c>
      <c r="Y360" s="364" t="s">
        <v>2328</v>
      </c>
      <c r="Z360" s="364" t="s">
        <v>2329</v>
      </c>
      <c r="AA360" s="364" t="s">
        <v>2379</v>
      </c>
      <c r="AB360" s="364" t="s">
        <v>2381</v>
      </c>
      <c r="AC360" s="364" t="s">
        <v>2539</v>
      </c>
      <c r="AD360" s="364" t="s">
        <v>2332</v>
      </c>
      <c r="AE360" s="364" t="s">
        <v>2452</v>
      </c>
      <c r="AF360" s="364" t="s">
        <v>2454</v>
      </c>
      <c r="AG360" s="364" t="s">
        <v>2337</v>
      </c>
      <c r="AH360" s="364" t="s">
        <v>2388</v>
      </c>
      <c r="AI360" s="364" t="s">
        <v>2339</v>
      </c>
      <c r="AJ360" s="364" t="s">
        <v>2389</v>
      </c>
      <c r="AK360" s="364" t="s">
        <v>2340</v>
      </c>
      <c r="AL360" s="364" t="s">
        <v>2390</v>
      </c>
      <c r="AM360" s="364" t="s">
        <v>2341</v>
      </c>
      <c r="AN360" s="364" t="s">
        <v>2392</v>
      </c>
      <c r="AO360" s="364" t="s">
        <v>2470</v>
      </c>
      <c r="AP360" s="364" t="s">
        <v>2395</v>
      </c>
      <c r="AQ360" s="364" t="s">
        <v>2344</v>
      </c>
      <c r="AR360" s="364" t="s">
        <v>2346</v>
      </c>
      <c r="AS360" s="364" t="s">
        <v>2347</v>
      </c>
      <c r="AT360" s="364" t="s">
        <v>2511</v>
      </c>
      <c r="AU360" s="364" t="s">
        <v>2424</v>
      </c>
      <c r="AV360" s="364" t="s">
        <v>2458</v>
      </c>
      <c r="AW360" s="364"/>
      <c r="AX360" s="364"/>
      <c r="AY360" s="364"/>
      <c r="AZ360" s="364"/>
      <c r="BA360" s="364"/>
      <c r="BB360" s="364"/>
      <c r="BC360" s="364"/>
      <c r="BD360" s="364"/>
      <c r="BE360" s="364"/>
      <c r="BF360" s="364"/>
      <c r="BG360" s="364"/>
      <c r="BH360" s="364"/>
      <c r="BI360" s="364"/>
      <c r="BJ360" s="364"/>
      <c r="BK360" s="364"/>
      <c r="BL360" s="364"/>
      <c r="BM360" s="364"/>
      <c r="BN360" s="364"/>
      <c r="BO360" s="364"/>
      <c r="BP360" s="364"/>
      <c r="BQ360" s="364"/>
      <c r="BR360" s="364"/>
      <c r="BS360" s="364"/>
      <c r="BT360" s="364"/>
      <c r="BU360" s="364"/>
      <c r="BV360" s="364"/>
      <c r="BW360" s="364"/>
      <c r="BX360" s="364"/>
      <c r="BY360" s="364"/>
      <c r="BZ360" s="364"/>
      <c r="CA360" s="364"/>
      <c r="CB360" s="364"/>
      <c r="CC360" s="364"/>
      <c r="CD360" s="364"/>
      <c r="CE360" s="364"/>
      <c r="CF360" s="364"/>
      <c r="CG360" s="364"/>
      <c r="CH360" s="364"/>
      <c r="CI360" s="364"/>
      <c r="CJ360" s="364"/>
      <c r="CK360" s="364"/>
      <c r="CL360" s="364"/>
      <c r="CM360" s="364"/>
      <c r="CN360" s="364"/>
      <c r="CO360" s="364"/>
      <c r="CP360" s="364"/>
      <c r="CQ360" s="364"/>
      <c r="CR360" s="364"/>
      <c r="CS360" s="364"/>
      <c r="CT360" s="364"/>
      <c r="CU360" s="364"/>
      <c r="CV360" s="364"/>
      <c r="CW360" s="364"/>
      <c r="CX360" s="364"/>
      <c r="CY360" s="364"/>
      <c r="CZ360" s="364"/>
      <c r="DA360" s="364"/>
      <c r="DB360" s="364"/>
      <c r="DC360" s="364"/>
      <c r="DD360" s="364"/>
      <c r="DE360" s="364"/>
      <c r="DF360" s="364"/>
      <c r="DG360" s="364"/>
      <c r="DH360" s="364"/>
      <c r="DI360" s="364"/>
      <c r="DJ360" s="364"/>
      <c r="DK360" s="364"/>
      <c r="DL360" s="364"/>
      <c r="DM360" s="364"/>
      <c r="DN360" s="364"/>
      <c r="DO360" s="364"/>
      <c r="DP360" s="364"/>
      <c r="DQ360" s="364"/>
      <c r="DR360" s="364"/>
      <c r="DS360" s="364"/>
      <c r="DT360" s="364"/>
      <c r="DU360" s="364"/>
      <c r="DV360" s="364"/>
      <c r="DW360" s="364"/>
      <c r="DX360" s="364"/>
      <c r="DY360" s="364"/>
      <c r="DZ360" s="364"/>
      <c r="EA360" s="364"/>
      <c r="EB360" s="364"/>
      <c r="EC360" s="364"/>
      <c r="ED360" s="364"/>
      <c r="EE360" s="364"/>
      <c r="EF360" s="364"/>
      <c r="EG360" s="364"/>
      <c r="EH360" s="364"/>
      <c r="EI360" s="364"/>
      <c r="EJ360" s="364"/>
      <c r="EK360" s="364"/>
      <c r="EL360" s="364"/>
      <c r="EM360" s="364"/>
      <c r="EN360" s="364"/>
      <c r="EO360" s="364"/>
      <c r="EP360" s="364"/>
      <c r="EQ360" s="364"/>
      <c r="ER360" s="364"/>
      <c r="ES360" s="364"/>
      <c r="ET360" s="364"/>
      <c r="EU360" s="364"/>
      <c r="EV360" s="364"/>
      <c r="EW360" s="364"/>
      <c r="EX360" s="364"/>
      <c r="EY360" s="364"/>
      <c r="EZ360" s="364"/>
      <c r="FA360" s="364"/>
      <c r="FB360" s="364"/>
      <c r="FC360" s="364"/>
      <c r="FD360" s="364"/>
      <c r="FE360" s="364"/>
      <c r="FF360" s="364"/>
      <c r="FG360" s="364"/>
      <c r="FH360" s="364"/>
      <c r="FI360" s="364"/>
      <c r="FJ360" s="364"/>
      <c r="FK360" s="364"/>
    </row>
    <row r="361" customFormat="false" ht="15.75" hidden="false" customHeight="false" outlineLevel="0" collapsed="false">
      <c r="A361" s="364" t="n">
        <v>714</v>
      </c>
      <c r="B361" s="364" t="n">
        <f aca="false">COUNTA(D361:FK361)</f>
        <v>44</v>
      </c>
      <c r="C361" s="364" t="s">
        <v>1782</v>
      </c>
      <c r="D361" s="364" t="s">
        <v>2352</v>
      </c>
      <c r="E361" s="364" t="s">
        <v>2538</v>
      </c>
      <c r="F361" s="364" t="s">
        <v>2310</v>
      </c>
      <c r="G361" s="364" t="s">
        <v>2405</v>
      </c>
      <c r="H361" s="364" t="s">
        <v>2356</v>
      </c>
      <c r="I361" s="364" t="s">
        <v>2406</v>
      </c>
      <c r="J361" s="364" t="s">
        <v>2313</v>
      </c>
      <c r="K361" s="364" t="s">
        <v>2465</v>
      </c>
      <c r="L361" s="364" t="s">
        <v>2315</v>
      </c>
      <c r="M361" s="364" t="s">
        <v>2358</v>
      </c>
      <c r="N361" s="364" t="s">
        <v>2410</v>
      </c>
      <c r="O361" s="364" t="s">
        <v>2318</v>
      </c>
      <c r="P361" s="364" t="s">
        <v>2320</v>
      </c>
      <c r="Q361" s="364" t="s">
        <v>2376</v>
      </c>
      <c r="R361" s="364" t="s">
        <v>2377</v>
      </c>
      <c r="S361" s="364" t="s">
        <v>2502</v>
      </c>
      <c r="T361" s="364" t="s">
        <v>2498</v>
      </c>
      <c r="U361" s="364" t="s">
        <v>2324</v>
      </c>
      <c r="V361" s="364" t="s">
        <v>2325</v>
      </c>
      <c r="W361" s="364" t="s">
        <v>2328</v>
      </c>
      <c r="X361" s="364" t="s">
        <v>2329</v>
      </c>
      <c r="Y361" s="364" t="s">
        <v>2415</v>
      </c>
      <c r="Z361" s="364" t="s">
        <v>2416</v>
      </c>
      <c r="AA361" s="364" t="s">
        <v>2504</v>
      </c>
      <c r="AB361" s="364" t="s">
        <v>2417</v>
      </c>
      <c r="AC361" s="364" t="s">
        <v>2539</v>
      </c>
      <c r="AD361" s="364" t="s">
        <v>2626</v>
      </c>
      <c r="AE361" s="364" t="s">
        <v>2387</v>
      </c>
      <c r="AF361" s="364" t="s">
        <v>2337</v>
      </c>
      <c r="AG361" s="364" t="s">
        <v>2388</v>
      </c>
      <c r="AH361" s="364" t="s">
        <v>2339</v>
      </c>
      <c r="AI361" s="364" t="s">
        <v>2389</v>
      </c>
      <c r="AJ361" s="364" t="s">
        <v>2340</v>
      </c>
      <c r="AK361" s="364" t="s">
        <v>2341</v>
      </c>
      <c r="AL361" s="364" t="s">
        <v>2392</v>
      </c>
      <c r="AM361" s="364" t="s">
        <v>2395</v>
      </c>
      <c r="AN361" s="364" t="s">
        <v>2344</v>
      </c>
      <c r="AO361" s="364" t="s">
        <v>2500</v>
      </c>
      <c r="AP361" s="364" t="s">
        <v>2347</v>
      </c>
      <c r="AQ361" s="364" t="s">
        <v>2511</v>
      </c>
      <c r="AR361" s="364" t="s">
        <v>2424</v>
      </c>
      <c r="AS361" s="364" t="s">
        <v>2515</v>
      </c>
      <c r="AT361" s="364" t="s">
        <v>2456</v>
      </c>
      <c r="AU361" s="364" t="s">
        <v>2428</v>
      </c>
      <c r="AV361" s="364"/>
      <c r="AW361" s="364"/>
      <c r="AX361" s="364"/>
      <c r="AY361" s="364"/>
      <c r="AZ361" s="364"/>
      <c r="BA361" s="364"/>
      <c r="BB361" s="364"/>
      <c r="BC361" s="364"/>
      <c r="BD361" s="364"/>
      <c r="BE361" s="364"/>
      <c r="BF361" s="364"/>
      <c r="BG361" s="364"/>
      <c r="BH361" s="364"/>
      <c r="BI361" s="364"/>
      <c r="BJ361" s="364"/>
      <c r="BK361" s="364"/>
      <c r="BL361" s="364"/>
      <c r="BM361" s="364"/>
      <c r="BN361" s="364"/>
      <c r="BO361" s="364"/>
      <c r="BP361" s="364"/>
      <c r="BQ361" s="364"/>
      <c r="BR361" s="364"/>
      <c r="BS361" s="364"/>
      <c r="BT361" s="364"/>
      <c r="BU361" s="364"/>
      <c r="BV361" s="364"/>
      <c r="BW361" s="364"/>
      <c r="BX361" s="364"/>
      <c r="BY361" s="364"/>
      <c r="BZ361" s="364"/>
      <c r="CA361" s="364"/>
      <c r="CB361" s="364"/>
      <c r="CC361" s="364"/>
      <c r="CD361" s="364"/>
      <c r="CE361" s="364"/>
      <c r="CF361" s="364"/>
      <c r="CG361" s="364"/>
      <c r="CH361" s="364"/>
      <c r="CI361" s="364"/>
      <c r="CJ361" s="364"/>
      <c r="CK361" s="364"/>
      <c r="CL361" s="364"/>
      <c r="CM361" s="364"/>
      <c r="CN361" s="364"/>
      <c r="CO361" s="364"/>
      <c r="CP361" s="364"/>
      <c r="CQ361" s="364"/>
      <c r="CR361" s="364"/>
      <c r="CS361" s="364"/>
      <c r="CT361" s="364"/>
      <c r="CU361" s="364"/>
      <c r="CV361" s="364"/>
      <c r="CW361" s="364"/>
      <c r="CX361" s="364"/>
      <c r="CY361" s="364"/>
      <c r="CZ361" s="364"/>
      <c r="DA361" s="364"/>
      <c r="DB361" s="364"/>
      <c r="DC361" s="364"/>
      <c r="DD361" s="364"/>
      <c r="DE361" s="364"/>
      <c r="DF361" s="364"/>
      <c r="DG361" s="364"/>
      <c r="DH361" s="364"/>
      <c r="DI361" s="364"/>
      <c r="DJ361" s="364"/>
      <c r="DK361" s="364"/>
      <c r="DL361" s="364"/>
      <c r="DM361" s="364"/>
      <c r="DN361" s="364"/>
      <c r="DO361" s="364"/>
      <c r="DP361" s="364"/>
      <c r="DQ361" s="364"/>
      <c r="DR361" s="364"/>
      <c r="DS361" s="364"/>
      <c r="DT361" s="364"/>
      <c r="DU361" s="364"/>
      <c r="DV361" s="364"/>
      <c r="DW361" s="364"/>
      <c r="DX361" s="364"/>
      <c r="DY361" s="364"/>
      <c r="DZ361" s="364"/>
      <c r="EA361" s="364"/>
      <c r="EB361" s="364"/>
      <c r="EC361" s="364"/>
      <c r="ED361" s="364"/>
      <c r="EE361" s="364"/>
      <c r="EF361" s="364"/>
      <c r="EG361" s="364"/>
      <c r="EH361" s="364"/>
      <c r="EI361" s="364"/>
      <c r="EJ361" s="364"/>
      <c r="EK361" s="364"/>
      <c r="EL361" s="364"/>
      <c r="EM361" s="364"/>
      <c r="EN361" s="364"/>
      <c r="EO361" s="364"/>
      <c r="EP361" s="364"/>
      <c r="EQ361" s="364"/>
      <c r="ER361" s="364"/>
      <c r="ES361" s="364"/>
      <c r="ET361" s="364"/>
      <c r="EU361" s="364"/>
      <c r="EV361" s="364"/>
      <c r="EW361" s="364"/>
      <c r="EX361" s="364"/>
      <c r="EY361" s="364"/>
      <c r="EZ361" s="364"/>
      <c r="FA361" s="364"/>
      <c r="FB361" s="364"/>
      <c r="FC361" s="364"/>
      <c r="FD361" s="364"/>
      <c r="FE361" s="364"/>
      <c r="FF361" s="364"/>
      <c r="FG361" s="364"/>
      <c r="FH361" s="364"/>
      <c r="FI361" s="364"/>
      <c r="FJ361" s="364"/>
      <c r="FK361" s="364"/>
    </row>
    <row r="362" customFormat="false" ht="15.75" hidden="false" customHeight="false" outlineLevel="0" collapsed="false">
      <c r="A362" s="364" t="n">
        <v>715</v>
      </c>
      <c r="B362" s="364" t="n">
        <f aca="false">COUNTA(D362:FK362)</f>
        <v>27</v>
      </c>
      <c r="C362" s="364" t="s">
        <v>1784</v>
      </c>
      <c r="D362" s="364" t="s">
        <v>2431</v>
      </c>
      <c r="E362" s="364" t="s">
        <v>2561</v>
      </c>
      <c r="F362" s="364" t="s">
        <v>2581</v>
      </c>
      <c r="G362" s="364" t="s">
        <v>2311</v>
      </c>
      <c r="H362" s="364" t="s">
        <v>2405</v>
      </c>
      <c r="I362" s="364" t="s">
        <v>2562</v>
      </c>
      <c r="J362" s="364" t="s">
        <v>2320</v>
      </c>
      <c r="K362" s="364" t="s">
        <v>2411</v>
      </c>
      <c r="L362" s="364" t="s">
        <v>2629</v>
      </c>
      <c r="M362" s="364" t="s">
        <v>2502</v>
      </c>
      <c r="N362" s="364" t="s">
        <v>2328</v>
      </c>
      <c r="O362" s="364" t="s">
        <v>2329</v>
      </c>
      <c r="P362" s="364" t="s">
        <v>2415</v>
      </c>
      <c r="Q362" s="364" t="s">
        <v>2525</v>
      </c>
      <c r="R362" s="364" t="s">
        <v>2417</v>
      </c>
      <c r="S362" s="364" t="s">
        <v>2330</v>
      </c>
      <c r="T362" s="364" t="s">
        <v>2531</v>
      </c>
      <c r="U362" s="364" t="s">
        <v>2454</v>
      </c>
      <c r="V362" s="364" t="s">
        <v>2419</v>
      </c>
      <c r="W362" s="364" t="s">
        <v>2337</v>
      </c>
      <c r="X362" s="364" t="s">
        <v>2340</v>
      </c>
      <c r="Y362" s="364" t="s">
        <v>2341</v>
      </c>
      <c r="Z362" s="364" t="s">
        <v>2422</v>
      </c>
      <c r="AA362" s="364" t="s">
        <v>2395</v>
      </c>
      <c r="AB362" s="364" t="s">
        <v>2344</v>
      </c>
      <c r="AC362" s="364" t="s">
        <v>2345</v>
      </c>
      <c r="AD362" s="364" t="s">
        <v>2428</v>
      </c>
      <c r="AE362" s="364"/>
      <c r="AF362" s="364"/>
      <c r="AG362" s="364"/>
      <c r="AH362" s="364"/>
      <c r="AI362" s="364"/>
      <c r="AJ362" s="364"/>
      <c r="AK362" s="364"/>
      <c r="AL362" s="364"/>
      <c r="AM362" s="364"/>
      <c r="AN362" s="364"/>
      <c r="AO362" s="364"/>
      <c r="AP362" s="364"/>
      <c r="AQ362" s="364"/>
      <c r="AR362" s="364"/>
      <c r="AS362" s="364"/>
      <c r="AT362" s="364"/>
      <c r="AU362" s="364"/>
      <c r="AV362" s="364"/>
      <c r="AW362" s="364"/>
      <c r="AX362" s="364"/>
      <c r="AY362" s="364"/>
      <c r="AZ362" s="364"/>
      <c r="BA362" s="364"/>
      <c r="BB362" s="364"/>
      <c r="BC362" s="364"/>
      <c r="BD362" s="364"/>
      <c r="BE362" s="364"/>
      <c r="BF362" s="364"/>
      <c r="BG362" s="364"/>
      <c r="BH362" s="364"/>
      <c r="BI362" s="364"/>
      <c r="BJ362" s="364"/>
      <c r="BK362" s="364"/>
      <c r="BL362" s="364"/>
      <c r="BM362" s="364"/>
      <c r="BN362" s="364"/>
      <c r="BO362" s="364"/>
      <c r="BP362" s="364"/>
      <c r="BQ362" s="364"/>
      <c r="BR362" s="364"/>
      <c r="BS362" s="364"/>
      <c r="BT362" s="364"/>
      <c r="BU362" s="364"/>
      <c r="BV362" s="364"/>
      <c r="BW362" s="364"/>
      <c r="BX362" s="364"/>
      <c r="BY362" s="364"/>
      <c r="BZ362" s="364"/>
      <c r="CA362" s="364"/>
      <c r="CB362" s="364"/>
      <c r="CC362" s="364"/>
      <c r="CD362" s="364"/>
      <c r="CE362" s="364"/>
      <c r="CF362" s="364"/>
      <c r="CG362" s="364"/>
      <c r="CH362" s="364"/>
      <c r="CI362" s="364"/>
      <c r="CJ362" s="364"/>
      <c r="CK362" s="364"/>
      <c r="CL362" s="364"/>
      <c r="CM362" s="364"/>
      <c r="CN362" s="364"/>
      <c r="CO362" s="364"/>
      <c r="CP362" s="364"/>
      <c r="CQ362" s="364"/>
      <c r="CR362" s="364"/>
      <c r="CS362" s="364"/>
      <c r="CT362" s="364"/>
      <c r="CU362" s="364"/>
      <c r="CV362" s="364"/>
      <c r="CW362" s="364"/>
      <c r="CX362" s="364"/>
      <c r="CY362" s="364"/>
      <c r="CZ362" s="364"/>
      <c r="DA362" s="364"/>
      <c r="DB362" s="364"/>
      <c r="DC362" s="364"/>
      <c r="DD362" s="364"/>
      <c r="DE362" s="364"/>
      <c r="DF362" s="364"/>
      <c r="DG362" s="364"/>
      <c r="DH362" s="364"/>
      <c r="DI362" s="364"/>
      <c r="DJ362" s="364"/>
      <c r="DK362" s="364"/>
      <c r="DL362" s="364"/>
      <c r="DM362" s="364"/>
      <c r="DN362" s="364"/>
      <c r="DO362" s="364"/>
      <c r="DP362" s="364"/>
      <c r="DQ362" s="364"/>
      <c r="DR362" s="364"/>
      <c r="DS362" s="364"/>
      <c r="DT362" s="364"/>
      <c r="DU362" s="364"/>
      <c r="DV362" s="364"/>
      <c r="DW362" s="364"/>
      <c r="DX362" s="364"/>
      <c r="DY362" s="364"/>
      <c r="DZ362" s="364"/>
      <c r="EA362" s="364"/>
      <c r="EB362" s="364"/>
      <c r="EC362" s="364"/>
      <c r="ED362" s="364"/>
      <c r="EE362" s="364"/>
      <c r="EF362" s="364"/>
      <c r="EG362" s="364"/>
      <c r="EH362" s="364"/>
      <c r="EI362" s="364"/>
      <c r="EJ362" s="364"/>
      <c r="EK362" s="364"/>
      <c r="EL362" s="364"/>
      <c r="EM362" s="364"/>
      <c r="EN362" s="364"/>
      <c r="EO362" s="364"/>
      <c r="EP362" s="364"/>
      <c r="EQ362" s="364"/>
      <c r="ER362" s="364"/>
      <c r="ES362" s="364"/>
      <c r="ET362" s="364"/>
      <c r="EU362" s="364"/>
      <c r="EV362" s="364"/>
      <c r="EW362" s="364"/>
      <c r="EX362" s="364"/>
      <c r="EY362" s="364"/>
      <c r="EZ362" s="364"/>
      <c r="FA362" s="364"/>
      <c r="FB362" s="364"/>
      <c r="FC362" s="364"/>
      <c r="FD362" s="364"/>
      <c r="FE362" s="364"/>
      <c r="FF362" s="364"/>
      <c r="FG362" s="364"/>
      <c r="FH362" s="364"/>
      <c r="FI362" s="364"/>
      <c r="FJ362" s="364"/>
      <c r="FK362" s="364"/>
    </row>
    <row r="363" customFormat="false" ht="15.75" hidden="false" customHeight="false" outlineLevel="0" collapsed="false">
      <c r="A363" s="364" t="n">
        <v>717</v>
      </c>
      <c r="B363" s="364" t="n">
        <f aca="false">COUNTA(D363:FK363)</f>
        <v>28</v>
      </c>
      <c r="C363" s="364" t="s">
        <v>1788</v>
      </c>
      <c r="D363" s="364" t="s">
        <v>2527</v>
      </c>
      <c r="E363" s="364" t="s">
        <v>2482</v>
      </c>
      <c r="F363" s="364" t="s">
        <v>2432</v>
      </c>
      <c r="G363" s="364" t="s">
        <v>2433</v>
      </c>
      <c r="H363" s="364" t="s">
        <v>2319</v>
      </c>
      <c r="I363" s="364" t="s">
        <v>2320</v>
      </c>
      <c r="J363" s="364" t="s">
        <v>2544</v>
      </c>
      <c r="K363" s="364" t="s">
        <v>2376</v>
      </c>
      <c r="L363" s="364" t="s">
        <v>2323</v>
      </c>
      <c r="M363" s="364" t="s">
        <v>2324</v>
      </c>
      <c r="N363" s="364" t="s">
        <v>2328</v>
      </c>
      <c r="O363" s="364" t="s">
        <v>2329</v>
      </c>
      <c r="P363" s="364" t="s">
        <v>2438</v>
      </c>
      <c r="Q363" s="364" t="s">
        <v>2330</v>
      </c>
      <c r="R363" s="364" t="s">
        <v>2507</v>
      </c>
      <c r="S363" s="364" t="s">
        <v>2331</v>
      </c>
      <c r="T363" s="364" t="s">
        <v>2461</v>
      </c>
      <c r="U363" s="364" t="s">
        <v>2337</v>
      </c>
      <c r="V363" s="364" t="s">
        <v>2340</v>
      </c>
      <c r="W363" s="364" t="s">
        <v>2341</v>
      </c>
      <c r="X363" s="364" t="s">
        <v>2422</v>
      </c>
      <c r="Y363" s="364" t="s">
        <v>2343</v>
      </c>
      <c r="Z363" s="364" t="s">
        <v>2344</v>
      </c>
      <c r="AA363" s="364" t="s">
        <v>2444</v>
      </c>
      <c r="AB363" s="364" t="s">
        <v>2398</v>
      </c>
      <c r="AC363" s="364" t="s">
        <v>2446</v>
      </c>
      <c r="AD363" s="364" t="s">
        <v>2350</v>
      </c>
      <c r="AE363" s="364" t="s">
        <v>2697</v>
      </c>
      <c r="AF363" s="364"/>
      <c r="AG363" s="364"/>
      <c r="AH363" s="364"/>
      <c r="AI363" s="364"/>
      <c r="AJ363" s="364"/>
      <c r="AK363" s="364"/>
      <c r="AL363" s="364"/>
      <c r="AM363" s="364"/>
      <c r="AN363" s="364"/>
      <c r="AO363" s="364"/>
      <c r="AP363" s="364"/>
      <c r="AQ363" s="364"/>
      <c r="AR363" s="364"/>
      <c r="AS363" s="364"/>
      <c r="AT363" s="364"/>
      <c r="AU363" s="364"/>
      <c r="AV363" s="364"/>
      <c r="AW363" s="364"/>
      <c r="AX363" s="364"/>
      <c r="AY363" s="364"/>
      <c r="AZ363" s="364"/>
      <c r="BA363" s="364"/>
      <c r="BB363" s="364"/>
      <c r="BC363" s="364"/>
      <c r="BD363" s="364"/>
      <c r="BE363" s="364"/>
      <c r="BF363" s="364"/>
      <c r="BG363" s="364"/>
      <c r="BH363" s="364"/>
      <c r="BI363" s="364"/>
      <c r="BJ363" s="364"/>
      <c r="BK363" s="364"/>
      <c r="BL363" s="364"/>
      <c r="BM363" s="364"/>
      <c r="BN363" s="364"/>
      <c r="BO363" s="364"/>
      <c r="BP363" s="364"/>
      <c r="BQ363" s="364"/>
      <c r="BR363" s="364"/>
      <c r="BS363" s="364"/>
      <c r="BT363" s="364"/>
      <c r="BU363" s="364"/>
      <c r="BV363" s="364"/>
      <c r="BW363" s="364"/>
      <c r="BX363" s="364"/>
      <c r="BY363" s="364"/>
      <c r="BZ363" s="364"/>
      <c r="CA363" s="364"/>
      <c r="CB363" s="364"/>
      <c r="CC363" s="364"/>
      <c r="CD363" s="364"/>
      <c r="CE363" s="364"/>
      <c r="CF363" s="364"/>
      <c r="CG363" s="364"/>
      <c r="CH363" s="364"/>
      <c r="CI363" s="364"/>
      <c r="CJ363" s="364"/>
      <c r="CK363" s="364"/>
      <c r="CL363" s="364"/>
      <c r="CM363" s="364"/>
      <c r="CN363" s="364"/>
      <c r="CO363" s="364"/>
      <c r="CP363" s="364"/>
      <c r="CQ363" s="364"/>
      <c r="CR363" s="364"/>
      <c r="CS363" s="364"/>
      <c r="CT363" s="364"/>
      <c r="CU363" s="364"/>
      <c r="CV363" s="364"/>
      <c r="CW363" s="364"/>
      <c r="CX363" s="364"/>
      <c r="CY363" s="364"/>
      <c r="CZ363" s="364"/>
      <c r="DA363" s="364"/>
      <c r="DB363" s="364"/>
      <c r="DC363" s="364"/>
      <c r="DD363" s="364"/>
      <c r="DE363" s="364"/>
      <c r="DF363" s="364"/>
      <c r="DG363" s="364"/>
      <c r="DH363" s="364"/>
      <c r="DI363" s="364"/>
      <c r="DJ363" s="364"/>
      <c r="DK363" s="364"/>
      <c r="DL363" s="364"/>
      <c r="DM363" s="364"/>
      <c r="DN363" s="364"/>
      <c r="DO363" s="364"/>
      <c r="DP363" s="364"/>
      <c r="DQ363" s="364"/>
      <c r="DR363" s="364"/>
      <c r="DS363" s="364"/>
      <c r="DT363" s="364"/>
      <c r="DU363" s="364"/>
      <c r="DV363" s="364"/>
      <c r="DW363" s="364"/>
      <c r="DX363" s="364"/>
      <c r="DY363" s="364"/>
      <c r="DZ363" s="364"/>
      <c r="EA363" s="364"/>
      <c r="EB363" s="364"/>
      <c r="EC363" s="364"/>
      <c r="ED363" s="364"/>
      <c r="EE363" s="364"/>
      <c r="EF363" s="364"/>
      <c r="EG363" s="364"/>
      <c r="EH363" s="364"/>
      <c r="EI363" s="364"/>
      <c r="EJ363" s="364"/>
      <c r="EK363" s="364"/>
      <c r="EL363" s="364"/>
      <c r="EM363" s="364"/>
      <c r="EN363" s="364"/>
      <c r="EO363" s="364"/>
      <c r="EP363" s="364"/>
      <c r="EQ363" s="364"/>
      <c r="ER363" s="364"/>
      <c r="ES363" s="364"/>
      <c r="ET363" s="364"/>
      <c r="EU363" s="364"/>
      <c r="EV363" s="364"/>
      <c r="EW363" s="364"/>
      <c r="EX363" s="364"/>
      <c r="EY363" s="364"/>
      <c r="EZ363" s="364"/>
      <c r="FA363" s="364"/>
      <c r="FB363" s="364"/>
      <c r="FC363" s="364"/>
      <c r="FD363" s="364"/>
      <c r="FE363" s="364"/>
      <c r="FF363" s="364"/>
      <c r="FG363" s="364"/>
      <c r="FH363" s="364"/>
      <c r="FI363" s="364"/>
      <c r="FJ363" s="364"/>
      <c r="FK363" s="364"/>
    </row>
    <row r="364" customFormat="false" ht="15.75" hidden="false" customHeight="false" outlineLevel="0" collapsed="false">
      <c r="A364" s="364" t="n">
        <v>718</v>
      </c>
      <c r="B364" s="364" t="n">
        <f aca="false">COUNTA(D364:FK364)</f>
        <v>43</v>
      </c>
      <c r="C364" s="364" t="s">
        <v>1790</v>
      </c>
      <c r="D364" s="364" t="s">
        <v>2402</v>
      </c>
      <c r="E364" s="364" t="s">
        <v>2528</v>
      </c>
      <c r="F364" s="364" t="s">
        <v>2310</v>
      </c>
      <c r="G364" s="364" t="s">
        <v>2516</v>
      </c>
      <c r="H364" s="364" t="s">
        <v>2313</v>
      </c>
      <c r="I364" s="364" t="s">
        <v>2358</v>
      </c>
      <c r="J364" s="364" t="s">
        <v>2569</v>
      </c>
      <c r="K364" s="364" t="s">
        <v>2497</v>
      </c>
      <c r="L364" s="364" t="s">
        <v>2317</v>
      </c>
      <c r="M364" s="364" t="s">
        <v>2436</v>
      </c>
      <c r="N364" s="364" t="s">
        <v>2448</v>
      </c>
      <c r="O364" s="364" t="s">
        <v>2320</v>
      </c>
      <c r="P364" s="364" t="s">
        <v>2523</v>
      </c>
      <c r="Q364" s="364" t="s">
        <v>2328</v>
      </c>
      <c r="R364" s="364" t="s">
        <v>2438</v>
      </c>
      <c r="S364" s="364" t="s">
        <v>2486</v>
      </c>
      <c r="T364" s="364" t="s">
        <v>2615</v>
      </c>
      <c r="U364" s="364" t="s">
        <v>2594</v>
      </c>
      <c r="V364" s="261" t="s">
        <v>183</v>
      </c>
      <c r="W364" s="364" t="s">
        <v>2452</v>
      </c>
      <c r="X364" s="364" t="s">
        <v>2337</v>
      </c>
      <c r="Y364" s="364" t="s">
        <v>2553</v>
      </c>
      <c r="Z364" s="364" t="s">
        <v>2388</v>
      </c>
      <c r="AA364" s="364" t="s">
        <v>2389</v>
      </c>
      <c r="AB364" s="364" t="s">
        <v>2340</v>
      </c>
      <c r="AC364" s="364" t="s">
        <v>2421</v>
      </c>
      <c r="AD364" s="364" t="s">
        <v>2341</v>
      </c>
      <c r="AE364" s="364" t="s">
        <v>2470</v>
      </c>
      <c r="AF364" s="364" t="s">
        <v>2343</v>
      </c>
      <c r="AG364" s="364" t="s">
        <v>2471</v>
      </c>
      <c r="AH364" s="364" t="s">
        <v>2344</v>
      </c>
      <c r="AI364" s="364" t="s">
        <v>2570</v>
      </c>
      <c r="AJ364" s="364" t="s">
        <v>2346</v>
      </c>
      <c r="AK364" s="364" t="s">
        <v>2500</v>
      </c>
      <c r="AL364" s="364" t="s">
        <v>2424</v>
      </c>
      <c r="AM364" s="364" t="s">
        <v>2348</v>
      </c>
      <c r="AN364" s="364" t="s">
        <v>2475</v>
      </c>
      <c r="AO364" s="364" t="s">
        <v>2476</v>
      </c>
      <c r="AP364" s="364" t="s">
        <v>2491</v>
      </c>
      <c r="AQ364" s="364" t="s">
        <v>2463</v>
      </c>
      <c r="AR364" s="364" t="s">
        <v>2426</v>
      </c>
      <c r="AS364" s="364" t="s">
        <v>2428</v>
      </c>
      <c r="AT364" s="364" t="s">
        <v>2572</v>
      </c>
      <c r="AU364" s="364"/>
      <c r="AV364" s="364"/>
      <c r="AW364" s="364"/>
      <c r="AX364" s="364"/>
      <c r="AY364" s="364"/>
      <c r="AZ364" s="364"/>
      <c r="BA364" s="364"/>
      <c r="BB364" s="364"/>
      <c r="BC364" s="364"/>
      <c r="BD364" s="364"/>
      <c r="BE364" s="364"/>
      <c r="BF364" s="364"/>
      <c r="BG364" s="364"/>
      <c r="BH364" s="364"/>
      <c r="BI364" s="364"/>
      <c r="BJ364" s="364"/>
      <c r="BK364" s="364"/>
      <c r="BL364" s="364"/>
      <c r="BM364" s="364"/>
      <c r="BN364" s="364"/>
      <c r="BO364" s="364"/>
      <c r="BP364" s="364"/>
      <c r="BQ364" s="364"/>
      <c r="BR364" s="364"/>
      <c r="BS364" s="364"/>
      <c r="BT364" s="364"/>
      <c r="BU364" s="364"/>
      <c r="BV364" s="364"/>
      <c r="BW364" s="364"/>
      <c r="BX364" s="364"/>
      <c r="BY364" s="364"/>
      <c r="BZ364" s="364"/>
      <c r="CA364" s="364"/>
      <c r="CB364" s="364"/>
      <c r="CC364" s="364"/>
      <c r="CD364" s="364"/>
      <c r="CE364" s="364"/>
      <c r="CF364" s="364"/>
      <c r="CG364" s="364"/>
      <c r="CH364" s="364"/>
      <c r="CI364" s="364"/>
      <c r="CJ364" s="364"/>
      <c r="CK364" s="364"/>
      <c r="CL364" s="364"/>
      <c r="CM364" s="364"/>
      <c r="CN364" s="364"/>
      <c r="CO364" s="364"/>
      <c r="CP364" s="364"/>
      <c r="CQ364" s="364"/>
      <c r="CR364" s="364"/>
      <c r="CS364" s="364"/>
      <c r="CT364" s="364"/>
      <c r="CU364" s="364"/>
      <c r="CV364" s="364"/>
      <c r="CW364" s="364"/>
      <c r="CX364" s="364"/>
      <c r="CY364" s="364"/>
      <c r="CZ364" s="364"/>
      <c r="DA364" s="364"/>
      <c r="DB364" s="364"/>
      <c r="DC364" s="364"/>
      <c r="DD364" s="364"/>
      <c r="DE364" s="364"/>
      <c r="DF364" s="364"/>
      <c r="DG364" s="364"/>
      <c r="DH364" s="364"/>
      <c r="DI364" s="364"/>
      <c r="DJ364" s="364"/>
      <c r="DK364" s="364"/>
      <c r="DL364" s="364"/>
      <c r="DM364" s="364"/>
      <c r="DN364" s="364"/>
      <c r="DO364" s="364"/>
      <c r="DP364" s="364"/>
      <c r="DQ364" s="364"/>
      <c r="DR364" s="364"/>
      <c r="DS364" s="364"/>
      <c r="DT364" s="364"/>
      <c r="DU364" s="364"/>
      <c r="DV364" s="364"/>
      <c r="DW364" s="364"/>
      <c r="DX364" s="364"/>
      <c r="DY364" s="364"/>
      <c r="DZ364" s="364"/>
      <c r="EA364" s="364"/>
      <c r="EB364" s="364"/>
      <c r="EC364" s="364"/>
      <c r="ED364" s="364"/>
      <c r="EE364" s="364"/>
      <c r="EF364" s="364"/>
      <c r="EG364" s="364"/>
      <c r="EH364" s="364"/>
      <c r="EI364" s="364"/>
      <c r="EJ364" s="364"/>
      <c r="EK364" s="364"/>
      <c r="EL364" s="364"/>
      <c r="EM364" s="364"/>
      <c r="EN364" s="364"/>
      <c r="EO364" s="364"/>
      <c r="EP364" s="364"/>
      <c r="EQ364" s="364"/>
      <c r="ER364" s="364"/>
      <c r="ES364" s="364"/>
      <c r="ET364" s="364"/>
      <c r="EU364" s="364"/>
      <c r="EV364" s="364"/>
      <c r="EW364" s="364"/>
      <c r="EX364" s="364"/>
      <c r="EY364" s="364"/>
      <c r="EZ364" s="364"/>
      <c r="FA364" s="364"/>
      <c r="FB364" s="364"/>
      <c r="FC364" s="364"/>
      <c r="FD364" s="364"/>
      <c r="FE364" s="364"/>
      <c r="FF364" s="364"/>
      <c r="FG364" s="364"/>
      <c r="FH364" s="364"/>
      <c r="FI364" s="364"/>
      <c r="FJ364" s="364"/>
      <c r="FK364" s="364"/>
    </row>
    <row r="365" customFormat="false" ht="15.75" hidden="false" customHeight="false" outlineLevel="0" collapsed="false">
      <c r="A365" s="364" t="n">
        <v>720</v>
      </c>
      <c r="B365" s="364" t="n">
        <f aca="false">COUNTA(D365:FK365)</f>
        <v>39</v>
      </c>
      <c r="C365" s="364" t="s">
        <v>1794</v>
      </c>
      <c r="D365" s="364" t="s">
        <v>2431</v>
      </c>
      <c r="E365" s="364" t="s">
        <v>2352</v>
      </c>
      <c r="F365" s="364" t="s">
        <v>2635</v>
      </c>
      <c r="G365" s="364" t="s">
        <v>2516</v>
      </c>
      <c r="H365" s="364" t="s">
        <v>2356</v>
      </c>
      <c r="I365" s="364" t="s">
        <v>2358</v>
      </c>
      <c r="J365" s="364" t="s">
        <v>2519</v>
      </c>
      <c r="K365" s="364" t="s">
        <v>2520</v>
      </c>
      <c r="L365" s="364" t="s">
        <v>2543</v>
      </c>
      <c r="M365" s="364" t="s">
        <v>2320</v>
      </c>
      <c r="N365" s="364" t="s">
        <v>2533</v>
      </c>
      <c r="O365" s="364" t="s">
        <v>2376</v>
      </c>
      <c r="P365" s="364" t="s">
        <v>2377</v>
      </c>
      <c r="Q365" s="364" t="s">
        <v>2655</v>
      </c>
      <c r="R365" s="364" t="s">
        <v>2324</v>
      </c>
      <c r="S365" s="364" t="s">
        <v>2325</v>
      </c>
      <c r="T365" s="364" t="s">
        <v>2328</v>
      </c>
      <c r="U365" s="364" t="s">
        <v>2609</v>
      </c>
      <c r="V365" s="364" t="s">
        <v>2329</v>
      </c>
      <c r="W365" s="364" t="s">
        <v>2580</v>
      </c>
      <c r="X365" s="364" t="s">
        <v>2330</v>
      </c>
      <c r="Y365" s="364" t="s">
        <v>2539</v>
      </c>
      <c r="Z365" s="364" t="s">
        <v>2540</v>
      </c>
      <c r="AA365" s="364" t="s">
        <v>2452</v>
      </c>
      <c r="AB365" s="364" t="s">
        <v>2454</v>
      </c>
      <c r="AC365" s="364" t="s">
        <v>2582</v>
      </c>
      <c r="AD365" s="364" t="s">
        <v>2387</v>
      </c>
      <c r="AE365" s="364" t="s">
        <v>2337</v>
      </c>
      <c r="AF365" s="364" t="s">
        <v>2469</v>
      </c>
      <c r="AG365" s="364" t="s">
        <v>2388</v>
      </c>
      <c r="AH365" s="364" t="s">
        <v>2339</v>
      </c>
      <c r="AI365" s="364" t="s">
        <v>2389</v>
      </c>
      <c r="AJ365" s="364" t="s">
        <v>2340</v>
      </c>
      <c r="AK365" s="364" t="s">
        <v>2341</v>
      </c>
      <c r="AL365" s="364" t="s">
        <v>2344</v>
      </c>
      <c r="AM365" s="364" t="s">
        <v>2500</v>
      </c>
      <c r="AN365" s="364" t="s">
        <v>2347</v>
      </c>
      <c r="AO365" s="364" t="s">
        <v>2398</v>
      </c>
      <c r="AP365" s="364" t="s">
        <v>2446</v>
      </c>
      <c r="AQ365" s="364"/>
      <c r="AR365" s="364"/>
      <c r="AS365" s="364"/>
      <c r="AT365" s="364"/>
      <c r="AU365" s="364"/>
      <c r="AV365" s="364"/>
      <c r="AW365" s="364"/>
      <c r="AX365" s="364"/>
      <c r="AY365" s="364"/>
      <c r="AZ365" s="364"/>
      <c r="BA365" s="364"/>
      <c r="BB365" s="364"/>
      <c r="BC365" s="364"/>
      <c r="BD365" s="364"/>
      <c r="BE365" s="364"/>
      <c r="BF365" s="364"/>
      <c r="BG365" s="364"/>
      <c r="BH365" s="364"/>
      <c r="BI365" s="364"/>
      <c r="BJ365" s="364"/>
      <c r="BK365" s="364"/>
      <c r="BL365" s="364"/>
      <c r="BM365" s="364"/>
      <c r="BN365" s="364"/>
      <c r="BO365" s="364"/>
      <c r="BP365" s="364"/>
      <c r="BQ365" s="364"/>
      <c r="BR365" s="364"/>
      <c r="BS365" s="364"/>
      <c r="BT365" s="364"/>
      <c r="BU365" s="364"/>
      <c r="BV365" s="364"/>
      <c r="BW365" s="364"/>
      <c r="BX365" s="364"/>
      <c r="BY365" s="364"/>
      <c r="BZ365" s="364"/>
      <c r="CA365" s="364"/>
      <c r="CB365" s="364"/>
      <c r="CC365" s="364"/>
      <c r="CD365" s="364"/>
      <c r="CE365" s="364"/>
      <c r="CF365" s="364"/>
      <c r="CG365" s="364"/>
      <c r="CH365" s="364"/>
      <c r="CI365" s="364"/>
      <c r="CJ365" s="364"/>
      <c r="CK365" s="364"/>
      <c r="CL365" s="364"/>
      <c r="CM365" s="364"/>
      <c r="CN365" s="364"/>
      <c r="CO365" s="364"/>
      <c r="CP365" s="364"/>
      <c r="CQ365" s="364"/>
      <c r="CR365" s="364"/>
      <c r="CS365" s="364"/>
      <c r="CT365" s="364"/>
      <c r="CU365" s="364"/>
      <c r="CV365" s="364"/>
      <c r="CW365" s="364"/>
      <c r="CX365" s="364"/>
      <c r="CY365" s="364"/>
      <c r="CZ365" s="364"/>
      <c r="DA365" s="364"/>
      <c r="DB365" s="364"/>
      <c r="DC365" s="364"/>
      <c r="DD365" s="364"/>
      <c r="DE365" s="364"/>
      <c r="DF365" s="364"/>
      <c r="DG365" s="364"/>
      <c r="DH365" s="364"/>
      <c r="DI365" s="364"/>
      <c r="DJ365" s="364"/>
      <c r="DK365" s="364"/>
      <c r="DL365" s="364"/>
      <c r="DM365" s="364"/>
      <c r="DN365" s="364"/>
      <c r="DO365" s="364"/>
      <c r="DP365" s="364"/>
      <c r="DQ365" s="364"/>
      <c r="DR365" s="364"/>
      <c r="DS365" s="364"/>
      <c r="DT365" s="364"/>
      <c r="DU365" s="364"/>
      <c r="DV365" s="364"/>
      <c r="DW365" s="364"/>
      <c r="DX365" s="364"/>
      <c r="DY365" s="364"/>
      <c r="DZ365" s="364"/>
      <c r="EA365" s="364"/>
      <c r="EB365" s="364"/>
      <c r="EC365" s="364"/>
      <c r="ED365" s="364"/>
      <c r="EE365" s="364"/>
      <c r="EF365" s="364"/>
      <c r="EG365" s="364"/>
      <c r="EH365" s="364"/>
      <c r="EI365" s="364"/>
      <c r="EJ365" s="364"/>
      <c r="EK365" s="364"/>
      <c r="EL365" s="364"/>
      <c r="EM365" s="364"/>
      <c r="EN365" s="364"/>
      <c r="EO365" s="364"/>
      <c r="EP365" s="364"/>
      <c r="EQ365" s="364"/>
      <c r="ER365" s="364"/>
      <c r="ES365" s="364"/>
      <c r="ET365" s="364"/>
      <c r="EU365" s="364"/>
      <c r="EV365" s="364"/>
      <c r="EW365" s="364"/>
      <c r="EX365" s="364"/>
      <c r="EY365" s="364"/>
      <c r="EZ365" s="364"/>
      <c r="FA365" s="364"/>
      <c r="FB365" s="364"/>
      <c r="FC365" s="364"/>
      <c r="FD365" s="364"/>
      <c r="FE365" s="364"/>
      <c r="FF365" s="364"/>
      <c r="FG365" s="364"/>
      <c r="FH365" s="364"/>
      <c r="FI365" s="364"/>
      <c r="FJ365" s="364"/>
      <c r="FK365" s="364"/>
    </row>
    <row r="366" customFormat="false" ht="15.75" hidden="false" customHeight="false" outlineLevel="0" collapsed="false">
      <c r="A366" s="364" t="n">
        <v>721</v>
      </c>
      <c r="B366" s="364" t="n">
        <f aca="false">COUNTA(D366:FK366)</f>
        <v>63</v>
      </c>
      <c r="C366" s="364" t="s">
        <v>1796</v>
      </c>
      <c r="D366" s="364" t="s">
        <v>2352</v>
      </c>
      <c r="E366" s="364" t="s">
        <v>2402</v>
      </c>
      <c r="F366" s="364" t="s">
        <v>2404</v>
      </c>
      <c r="G366" s="364" t="s">
        <v>2313</v>
      </c>
      <c r="H366" s="364" t="s">
        <v>2464</v>
      </c>
      <c r="I366" s="364" t="s">
        <v>2509</v>
      </c>
      <c r="J366" s="364" t="s">
        <v>2466</v>
      </c>
      <c r="K366" s="364" t="s">
        <v>2496</v>
      </c>
      <c r="L366" s="364" t="s">
        <v>2315</v>
      </c>
      <c r="M366" s="364" t="s">
        <v>2409</v>
      </c>
      <c r="N366" s="364" t="s">
        <v>2358</v>
      </c>
      <c r="O366" s="364" t="s">
        <v>2601</v>
      </c>
      <c r="P366" s="364" t="s">
        <v>2360</v>
      </c>
      <c r="Q366" s="364" t="s">
        <v>2361</v>
      </c>
      <c r="R366" s="364" t="s">
        <v>2362</v>
      </c>
      <c r="S366" s="364" t="s">
        <v>2363</v>
      </c>
      <c r="T366" s="364" t="s">
        <v>2317</v>
      </c>
      <c r="U366" s="364" t="s">
        <v>2320</v>
      </c>
      <c r="V366" s="364" t="s">
        <v>2535</v>
      </c>
      <c r="W366" s="364" t="s">
        <v>2367</v>
      </c>
      <c r="X366" s="364" t="s">
        <v>2369</v>
      </c>
      <c r="Y366" s="364" t="s">
        <v>2373</v>
      </c>
      <c r="Z366" s="364" t="s">
        <v>2411</v>
      </c>
      <c r="AA366" s="364" t="s">
        <v>2376</v>
      </c>
      <c r="AB366" s="364" t="s">
        <v>2324</v>
      </c>
      <c r="AC366" s="364" t="s">
        <v>2484</v>
      </c>
      <c r="AD366" s="364" t="s">
        <v>2378</v>
      </c>
      <c r="AE366" s="364" t="s">
        <v>2328</v>
      </c>
      <c r="AF366" s="364" t="s">
        <v>2329</v>
      </c>
      <c r="AG366" s="364" t="s">
        <v>2379</v>
      </c>
      <c r="AH366" s="364" t="s">
        <v>2506</v>
      </c>
      <c r="AI366" s="364" t="s">
        <v>2381</v>
      </c>
      <c r="AJ366" s="364" t="s">
        <v>2384</v>
      </c>
      <c r="AK366" s="364" t="s">
        <v>2531</v>
      </c>
      <c r="AL366" s="364" t="s">
        <v>2332</v>
      </c>
      <c r="AM366" s="364" t="s">
        <v>2452</v>
      </c>
      <c r="AN366" s="364" t="s">
        <v>2646</v>
      </c>
      <c r="AO366" s="364" t="s">
        <v>2387</v>
      </c>
      <c r="AP366" s="364" t="s">
        <v>2455</v>
      </c>
      <c r="AQ366" s="364" t="s">
        <v>2337</v>
      </c>
      <c r="AR366" s="364" t="s">
        <v>2469</v>
      </c>
      <c r="AS366" s="364" t="s">
        <v>2553</v>
      </c>
      <c r="AT366" s="364" t="s">
        <v>2338</v>
      </c>
      <c r="AU366" s="364" t="s">
        <v>2388</v>
      </c>
      <c r="AV366" s="364" t="s">
        <v>2339</v>
      </c>
      <c r="AW366" s="364" t="s">
        <v>2389</v>
      </c>
      <c r="AX366" s="364" t="s">
        <v>2340</v>
      </c>
      <c r="AY366" s="364" t="s">
        <v>2390</v>
      </c>
      <c r="AZ366" s="364" t="s">
        <v>2341</v>
      </c>
      <c r="BA366" s="364" t="s">
        <v>2392</v>
      </c>
      <c r="BB366" s="364" t="s">
        <v>2470</v>
      </c>
      <c r="BC366" s="364" t="s">
        <v>2395</v>
      </c>
      <c r="BD366" s="364" t="s">
        <v>2343</v>
      </c>
      <c r="BE366" s="364" t="s">
        <v>2423</v>
      </c>
      <c r="BF366" s="364" t="s">
        <v>2472</v>
      </c>
      <c r="BG366" s="364" t="s">
        <v>2344</v>
      </c>
      <c r="BH366" s="364" t="s">
        <v>2346</v>
      </c>
      <c r="BI366" s="364" t="s">
        <v>2347</v>
      </c>
      <c r="BJ366" s="364" t="s">
        <v>2473</v>
      </c>
      <c r="BK366" s="364" t="s">
        <v>2511</v>
      </c>
      <c r="BL366" s="364" t="s">
        <v>2424</v>
      </c>
      <c r="BM366" s="364" t="s">
        <v>2488</v>
      </c>
      <c r="BN366" s="364" t="s">
        <v>2399</v>
      </c>
      <c r="BO366" s="364"/>
      <c r="BP366" s="364"/>
      <c r="BQ366" s="364"/>
      <c r="BR366" s="364"/>
      <c r="BS366" s="364"/>
      <c r="BT366" s="364"/>
      <c r="BU366" s="364"/>
      <c r="BV366" s="364"/>
      <c r="BW366" s="364"/>
      <c r="BX366" s="364"/>
      <c r="BY366" s="364"/>
      <c r="BZ366" s="364"/>
      <c r="CA366" s="364"/>
      <c r="CB366" s="364"/>
      <c r="CC366" s="364"/>
      <c r="CD366" s="364"/>
      <c r="CE366" s="364"/>
      <c r="CF366" s="364"/>
      <c r="CG366" s="364"/>
      <c r="CH366" s="364"/>
      <c r="CI366" s="364"/>
      <c r="CJ366" s="364"/>
      <c r="CK366" s="364"/>
      <c r="CL366" s="364"/>
      <c r="CM366" s="364"/>
      <c r="CN366" s="364"/>
      <c r="CO366" s="364"/>
      <c r="CP366" s="364"/>
      <c r="CQ366" s="364"/>
      <c r="CR366" s="364"/>
      <c r="CS366" s="364"/>
      <c r="CT366" s="364"/>
      <c r="CU366" s="364"/>
      <c r="CV366" s="364"/>
      <c r="CW366" s="364"/>
      <c r="CX366" s="364"/>
      <c r="CY366" s="364"/>
      <c r="CZ366" s="364"/>
      <c r="DA366" s="364"/>
      <c r="DB366" s="364"/>
      <c r="DC366" s="364"/>
      <c r="DD366" s="364"/>
      <c r="DE366" s="364"/>
      <c r="DF366" s="364"/>
      <c r="DG366" s="364"/>
      <c r="DH366" s="364"/>
      <c r="DI366" s="364"/>
      <c r="DJ366" s="364"/>
      <c r="DK366" s="364"/>
      <c r="DL366" s="364"/>
      <c r="DM366" s="364"/>
      <c r="DN366" s="364"/>
      <c r="DO366" s="364"/>
      <c r="DP366" s="364"/>
      <c r="DQ366" s="364"/>
      <c r="DR366" s="364"/>
      <c r="DS366" s="364"/>
      <c r="DT366" s="364"/>
      <c r="DU366" s="364"/>
      <c r="DV366" s="364"/>
      <c r="DW366" s="364"/>
      <c r="DX366" s="364"/>
      <c r="DY366" s="364"/>
      <c r="DZ366" s="364"/>
      <c r="EA366" s="364"/>
      <c r="EB366" s="364"/>
      <c r="EC366" s="364"/>
      <c r="ED366" s="364"/>
      <c r="EE366" s="364"/>
      <c r="EF366" s="364"/>
      <c r="EG366" s="364"/>
      <c r="EH366" s="364"/>
      <c r="EI366" s="364"/>
      <c r="EJ366" s="364"/>
      <c r="EK366" s="364"/>
      <c r="EL366" s="364"/>
      <c r="EM366" s="364"/>
      <c r="EN366" s="364"/>
      <c r="EO366" s="364"/>
      <c r="EP366" s="364"/>
      <c r="EQ366" s="364"/>
      <c r="ER366" s="364"/>
      <c r="ES366" s="364"/>
      <c r="ET366" s="364"/>
      <c r="EU366" s="364"/>
      <c r="EV366" s="364"/>
      <c r="EW366" s="364"/>
      <c r="EX366" s="364"/>
      <c r="EY366" s="364"/>
      <c r="EZ366" s="364"/>
      <c r="FA366" s="364"/>
      <c r="FB366" s="364"/>
      <c r="FC366" s="364"/>
      <c r="FD366" s="364"/>
      <c r="FE366" s="364"/>
      <c r="FF366" s="364"/>
      <c r="FG366" s="364"/>
      <c r="FH366" s="364"/>
      <c r="FI366" s="364"/>
      <c r="FJ366" s="364"/>
      <c r="FK366" s="364"/>
    </row>
    <row r="367" customFormat="false" ht="15.75" hidden="false" customHeight="false" outlineLevel="0" collapsed="false">
      <c r="A367" s="364" t="n">
        <v>723</v>
      </c>
      <c r="B367" s="364" t="n">
        <f aca="false">COUNTA(D367:FK367)</f>
        <v>55</v>
      </c>
      <c r="C367" s="364" t="s">
        <v>1800</v>
      </c>
      <c r="D367" s="364" t="s">
        <v>2528</v>
      </c>
      <c r="E367" s="364" t="s">
        <v>2356</v>
      </c>
      <c r="F367" s="364" t="s">
        <v>2313</v>
      </c>
      <c r="G367" s="364" t="s">
        <v>2464</v>
      </c>
      <c r="H367" s="364" t="s">
        <v>2520</v>
      </c>
      <c r="I367" s="364" t="s">
        <v>2364</v>
      </c>
      <c r="J367" s="364" t="s">
        <v>2497</v>
      </c>
      <c r="K367" s="364" t="s">
        <v>2317</v>
      </c>
      <c r="L367" s="364" t="s">
        <v>2320</v>
      </c>
      <c r="M367" s="364" t="s">
        <v>2369</v>
      </c>
      <c r="N367" s="364" t="s">
        <v>2411</v>
      </c>
      <c r="O367" s="364" t="s">
        <v>2375</v>
      </c>
      <c r="P367" s="364" t="s">
        <v>2376</v>
      </c>
      <c r="Q367" s="364" t="s">
        <v>2377</v>
      </c>
      <c r="R367" s="364" t="s">
        <v>2324</v>
      </c>
      <c r="S367" s="364" t="s">
        <v>2325</v>
      </c>
      <c r="T367" s="364" t="s">
        <v>2412</v>
      </c>
      <c r="U367" s="364" t="s">
        <v>2614</v>
      </c>
      <c r="V367" s="364" t="s">
        <v>2563</v>
      </c>
      <c r="W367" s="364" t="s">
        <v>2328</v>
      </c>
      <c r="X367" s="364" t="s">
        <v>2631</v>
      </c>
      <c r="Y367" s="364" t="s">
        <v>2329</v>
      </c>
      <c r="Z367" s="364" t="s">
        <v>2415</v>
      </c>
      <c r="AA367" s="364" t="s">
        <v>2416</v>
      </c>
      <c r="AB367" s="364" t="s">
        <v>2417</v>
      </c>
      <c r="AC367" s="364" t="s">
        <v>2539</v>
      </c>
      <c r="AD367" s="364" t="s">
        <v>2540</v>
      </c>
      <c r="AE367" s="364" t="s">
        <v>2383</v>
      </c>
      <c r="AF367" s="261" t="s">
        <v>183</v>
      </c>
      <c r="AG367" s="364" t="s">
        <v>2589</v>
      </c>
      <c r="AH367" s="364" t="s">
        <v>2656</v>
      </c>
      <c r="AI367" s="364" t="s">
        <v>2582</v>
      </c>
      <c r="AJ367" s="364" t="s">
        <v>2387</v>
      </c>
      <c r="AK367" s="364" t="s">
        <v>157</v>
      </c>
      <c r="AL367" s="364" t="s">
        <v>2337</v>
      </c>
      <c r="AM367" s="364" t="s">
        <v>2388</v>
      </c>
      <c r="AN367" s="364" t="s">
        <v>2339</v>
      </c>
      <c r="AO367" s="364" t="s">
        <v>2389</v>
      </c>
      <c r="AP367" s="364" t="s">
        <v>2420</v>
      </c>
      <c r="AQ367" s="364" t="s">
        <v>2340</v>
      </c>
      <c r="AR367" s="364" t="s">
        <v>2341</v>
      </c>
      <c r="AS367" s="364" t="s">
        <v>2442</v>
      </c>
      <c r="AT367" s="364" t="s">
        <v>2590</v>
      </c>
      <c r="AU367" s="364" t="s">
        <v>2470</v>
      </c>
      <c r="AV367" s="364" t="s">
        <v>2422</v>
      </c>
      <c r="AW367" s="364" t="s">
        <v>2344</v>
      </c>
      <c r="AX367" s="364" t="s">
        <v>2345</v>
      </c>
      <c r="AY367" s="364" t="s">
        <v>2346</v>
      </c>
      <c r="AZ367" s="364" t="s">
        <v>2500</v>
      </c>
      <c r="BA367" s="364" t="s">
        <v>2347</v>
      </c>
      <c r="BB367" s="364" t="s">
        <v>2511</v>
      </c>
      <c r="BC367" s="364" t="s">
        <v>2445</v>
      </c>
      <c r="BD367" s="364" t="s">
        <v>2476</v>
      </c>
      <c r="BE367" s="364" t="s">
        <v>2399</v>
      </c>
      <c r="BF367" s="364" t="s">
        <v>2430</v>
      </c>
      <c r="BG367" s="364"/>
      <c r="BH367" s="364"/>
      <c r="BI367" s="364"/>
      <c r="BJ367" s="364"/>
      <c r="BK367" s="364"/>
      <c r="BL367" s="364"/>
      <c r="BM367" s="364"/>
      <c r="BN367" s="364"/>
      <c r="BO367" s="364"/>
      <c r="BP367" s="364"/>
      <c r="BQ367" s="364"/>
      <c r="BR367" s="364"/>
      <c r="BS367" s="364"/>
      <c r="BT367" s="364"/>
      <c r="BU367" s="364"/>
      <c r="BV367" s="364"/>
      <c r="BW367" s="364"/>
      <c r="BX367" s="364"/>
      <c r="BY367" s="364"/>
      <c r="BZ367" s="364"/>
      <c r="CA367" s="364"/>
      <c r="CB367" s="364"/>
      <c r="CC367" s="364"/>
      <c r="CD367" s="364"/>
      <c r="CE367" s="364"/>
      <c r="CF367" s="364"/>
      <c r="CG367" s="364"/>
      <c r="CH367" s="364"/>
      <c r="CI367" s="364"/>
      <c r="CJ367" s="364"/>
      <c r="CK367" s="364"/>
      <c r="CL367" s="364"/>
      <c r="CM367" s="364"/>
      <c r="CN367" s="364"/>
      <c r="CO367" s="364"/>
      <c r="CP367" s="364"/>
      <c r="CQ367" s="364"/>
      <c r="CR367" s="364"/>
      <c r="CS367" s="364"/>
      <c r="CT367" s="364"/>
      <c r="CU367" s="364"/>
      <c r="CV367" s="364"/>
      <c r="CW367" s="364"/>
      <c r="CX367" s="364"/>
      <c r="CY367" s="364"/>
      <c r="CZ367" s="364"/>
      <c r="DA367" s="364"/>
      <c r="DB367" s="364"/>
      <c r="DC367" s="364"/>
      <c r="DD367" s="364"/>
      <c r="DE367" s="364"/>
      <c r="DF367" s="364"/>
      <c r="DG367" s="364"/>
      <c r="DH367" s="364"/>
      <c r="DI367" s="364"/>
      <c r="DJ367" s="364"/>
      <c r="DK367" s="364"/>
      <c r="DL367" s="364"/>
      <c r="DM367" s="364"/>
      <c r="DN367" s="364"/>
      <c r="DO367" s="364"/>
      <c r="DP367" s="364"/>
      <c r="DQ367" s="364"/>
      <c r="DR367" s="364"/>
      <c r="DS367" s="364"/>
      <c r="DT367" s="364"/>
      <c r="DU367" s="364"/>
      <c r="DV367" s="364"/>
      <c r="DW367" s="364"/>
      <c r="DX367" s="364"/>
      <c r="DY367" s="364"/>
      <c r="DZ367" s="364"/>
      <c r="EA367" s="364"/>
      <c r="EB367" s="364"/>
      <c r="EC367" s="364"/>
      <c r="ED367" s="364"/>
      <c r="EE367" s="364"/>
      <c r="EF367" s="364"/>
      <c r="EG367" s="364"/>
      <c r="EH367" s="364"/>
      <c r="EI367" s="364"/>
      <c r="EJ367" s="364"/>
      <c r="EK367" s="364"/>
      <c r="EL367" s="364"/>
      <c r="EM367" s="364"/>
      <c r="EN367" s="364"/>
      <c r="EO367" s="364"/>
      <c r="EP367" s="364"/>
      <c r="EQ367" s="364"/>
      <c r="ER367" s="364"/>
      <c r="ES367" s="364"/>
      <c r="ET367" s="364"/>
      <c r="EU367" s="364"/>
      <c r="EV367" s="364"/>
      <c r="EW367" s="364"/>
      <c r="EX367" s="364"/>
      <c r="EY367" s="364"/>
      <c r="EZ367" s="364"/>
      <c r="FA367" s="364"/>
      <c r="FB367" s="364"/>
      <c r="FC367" s="364"/>
      <c r="FD367" s="364"/>
      <c r="FE367" s="364"/>
      <c r="FF367" s="364"/>
      <c r="FG367" s="364"/>
      <c r="FH367" s="364"/>
      <c r="FI367" s="364"/>
      <c r="FJ367" s="364"/>
      <c r="FK367" s="364"/>
    </row>
    <row r="368" customFormat="false" ht="15.75" hidden="false" customHeight="false" outlineLevel="0" collapsed="false">
      <c r="A368" s="364" t="n">
        <v>725</v>
      </c>
      <c r="B368" s="364" t="n">
        <f aca="false">COUNTA(D368:FK368)</f>
        <v>42</v>
      </c>
      <c r="C368" s="364" t="s">
        <v>1804</v>
      </c>
      <c r="D368" s="364" t="s">
        <v>2352</v>
      </c>
      <c r="E368" s="364" t="s">
        <v>2447</v>
      </c>
      <c r="F368" s="364" t="s">
        <v>2356</v>
      </c>
      <c r="G368" s="364" t="s">
        <v>2315</v>
      </c>
      <c r="H368" s="364" t="s">
        <v>2409</v>
      </c>
      <c r="I368" s="364" t="s">
        <v>2358</v>
      </c>
      <c r="J368" s="364" t="s">
        <v>2543</v>
      </c>
      <c r="K368" s="364" t="s">
        <v>2320</v>
      </c>
      <c r="L368" s="364" t="s">
        <v>2449</v>
      </c>
      <c r="M368" s="364" t="s">
        <v>2535</v>
      </c>
      <c r="N368" s="364" t="s">
        <v>2376</v>
      </c>
      <c r="O368" s="364" t="s">
        <v>2523</v>
      </c>
      <c r="P368" s="364" t="s">
        <v>2322</v>
      </c>
      <c r="Q368" s="364" t="s">
        <v>2324</v>
      </c>
      <c r="R368" s="364" t="s">
        <v>2325</v>
      </c>
      <c r="S368" s="364" t="s">
        <v>2328</v>
      </c>
      <c r="T368" s="364" t="s">
        <v>2329</v>
      </c>
      <c r="U368" s="364" t="s">
        <v>2506</v>
      </c>
      <c r="V368" s="364" t="s">
        <v>2330</v>
      </c>
      <c r="W368" s="364" t="s">
        <v>2539</v>
      </c>
      <c r="X368" s="364" t="s">
        <v>2540</v>
      </c>
      <c r="Y368" s="364" t="s">
        <v>2508</v>
      </c>
      <c r="Z368" s="364" t="s">
        <v>2384</v>
      </c>
      <c r="AA368" s="364" t="s">
        <v>2531</v>
      </c>
      <c r="AB368" s="364" t="s">
        <v>2452</v>
      </c>
      <c r="AC368" s="364" t="s">
        <v>2454</v>
      </c>
      <c r="AD368" s="364" t="s">
        <v>2387</v>
      </c>
      <c r="AE368" s="364" t="s">
        <v>2337</v>
      </c>
      <c r="AF368" s="364" t="s">
        <v>2469</v>
      </c>
      <c r="AG368" s="364" t="s">
        <v>2339</v>
      </c>
      <c r="AH368" s="364" t="s">
        <v>2389</v>
      </c>
      <c r="AI368" s="364" t="s">
        <v>2340</v>
      </c>
      <c r="AJ368" s="364" t="s">
        <v>2390</v>
      </c>
      <c r="AK368" s="364" t="s">
        <v>2341</v>
      </c>
      <c r="AL368" s="364" t="s">
        <v>2392</v>
      </c>
      <c r="AM368" s="364" t="s">
        <v>2395</v>
      </c>
      <c r="AN368" s="364" t="s">
        <v>2472</v>
      </c>
      <c r="AO368" s="364" t="s">
        <v>2344</v>
      </c>
      <c r="AP368" s="364" t="s">
        <v>2500</v>
      </c>
      <c r="AQ368" s="364" t="s">
        <v>2445</v>
      </c>
      <c r="AR368" s="364" t="s">
        <v>2456</v>
      </c>
      <c r="AS368" s="364" t="s">
        <v>2458</v>
      </c>
      <c r="AT368" s="364"/>
      <c r="AU368" s="364"/>
      <c r="AV368" s="364"/>
      <c r="AW368" s="364"/>
      <c r="AX368" s="364"/>
      <c r="AY368" s="364"/>
      <c r="AZ368" s="364"/>
      <c r="BA368" s="364"/>
      <c r="BB368" s="364"/>
      <c r="BC368" s="364"/>
      <c r="BD368" s="364"/>
      <c r="BE368" s="364"/>
      <c r="BF368" s="364"/>
      <c r="BG368" s="364"/>
      <c r="BH368" s="364"/>
      <c r="BI368" s="364"/>
      <c r="BJ368" s="364"/>
      <c r="BK368" s="364"/>
      <c r="BL368" s="364"/>
      <c r="BM368" s="364"/>
      <c r="BN368" s="364"/>
      <c r="BO368" s="364"/>
      <c r="BP368" s="364"/>
      <c r="BQ368" s="364"/>
      <c r="BR368" s="364"/>
      <c r="BS368" s="364"/>
      <c r="BT368" s="364"/>
      <c r="BU368" s="364"/>
      <c r="BV368" s="364"/>
      <c r="BW368" s="364"/>
      <c r="BX368" s="364"/>
      <c r="BY368" s="364"/>
      <c r="BZ368" s="364"/>
      <c r="CA368" s="364"/>
      <c r="CB368" s="364"/>
      <c r="CC368" s="364"/>
      <c r="CD368" s="364"/>
      <c r="CE368" s="364"/>
      <c r="CF368" s="364"/>
      <c r="CG368" s="364"/>
      <c r="CH368" s="364"/>
      <c r="CI368" s="364"/>
      <c r="CJ368" s="364"/>
      <c r="CK368" s="364"/>
      <c r="CL368" s="364"/>
      <c r="CM368" s="364"/>
      <c r="CN368" s="364"/>
      <c r="CO368" s="364"/>
      <c r="CP368" s="364"/>
      <c r="CQ368" s="364"/>
      <c r="CR368" s="364"/>
      <c r="CS368" s="364"/>
      <c r="CT368" s="364"/>
      <c r="CU368" s="364"/>
      <c r="CV368" s="364"/>
      <c r="CW368" s="364"/>
      <c r="CX368" s="364"/>
      <c r="CY368" s="364"/>
      <c r="CZ368" s="364"/>
      <c r="DA368" s="364"/>
      <c r="DB368" s="364"/>
      <c r="DC368" s="364"/>
      <c r="DD368" s="364"/>
      <c r="DE368" s="364"/>
      <c r="DF368" s="364"/>
      <c r="DG368" s="364"/>
      <c r="DH368" s="364"/>
      <c r="DI368" s="364"/>
      <c r="DJ368" s="364"/>
      <c r="DK368" s="364"/>
      <c r="DL368" s="364"/>
      <c r="DM368" s="364"/>
      <c r="DN368" s="364"/>
      <c r="DO368" s="364"/>
      <c r="DP368" s="364"/>
      <c r="DQ368" s="364"/>
      <c r="DR368" s="364"/>
      <c r="DS368" s="364"/>
      <c r="DT368" s="364"/>
      <c r="DU368" s="364"/>
      <c r="DV368" s="364"/>
      <c r="DW368" s="364"/>
      <c r="DX368" s="364"/>
      <c r="DY368" s="364"/>
      <c r="DZ368" s="364"/>
      <c r="EA368" s="364"/>
      <c r="EB368" s="364"/>
      <c r="EC368" s="364"/>
      <c r="ED368" s="364"/>
      <c r="EE368" s="364"/>
      <c r="EF368" s="364"/>
      <c r="EG368" s="364"/>
      <c r="EH368" s="364"/>
      <c r="EI368" s="364"/>
      <c r="EJ368" s="364"/>
      <c r="EK368" s="364"/>
      <c r="EL368" s="364"/>
      <c r="EM368" s="364"/>
      <c r="EN368" s="364"/>
      <c r="EO368" s="364"/>
      <c r="EP368" s="364"/>
      <c r="EQ368" s="364"/>
      <c r="ER368" s="364"/>
      <c r="ES368" s="364"/>
      <c r="ET368" s="364"/>
      <c r="EU368" s="364"/>
      <c r="EV368" s="364"/>
      <c r="EW368" s="364"/>
      <c r="EX368" s="364"/>
      <c r="EY368" s="364"/>
      <c r="EZ368" s="364"/>
      <c r="FA368" s="364"/>
      <c r="FB368" s="364"/>
      <c r="FC368" s="364"/>
      <c r="FD368" s="364"/>
      <c r="FE368" s="364"/>
      <c r="FF368" s="364"/>
      <c r="FG368" s="364"/>
      <c r="FH368" s="364"/>
      <c r="FI368" s="364"/>
      <c r="FJ368" s="364"/>
      <c r="FK368" s="364"/>
    </row>
    <row r="369" customFormat="false" ht="15.75" hidden="false" customHeight="false" outlineLevel="0" collapsed="false">
      <c r="A369" s="364" t="n">
        <v>726</v>
      </c>
      <c r="B369" s="364" t="n">
        <f aca="false">COUNTA(D369:FK369)</f>
        <v>44</v>
      </c>
      <c r="C369" s="364" t="s">
        <v>1806</v>
      </c>
      <c r="D369" s="364" t="s">
        <v>2352</v>
      </c>
      <c r="E369" s="364" t="s">
        <v>2483</v>
      </c>
      <c r="F369" s="364" t="s">
        <v>2313</v>
      </c>
      <c r="G369" s="364" t="s">
        <v>2315</v>
      </c>
      <c r="H369" s="364" t="s">
        <v>2317</v>
      </c>
      <c r="I369" s="364" t="s">
        <v>2448</v>
      </c>
      <c r="J369" s="364" t="s">
        <v>2320</v>
      </c>
      <c r="K369" s="364" t="s">
        <v>2451</v>
      </c>
      <c r="L369" s="364" t="s">
        <v>2324</v>
      </c>
      <c r="M369" s="364" t="s">
        <v>2327</v>
      </c>
      <c r="N369" s="364" t="s">
        <v>2698</v>
      </c>
      <c r="O369" s="364" t="s">
        <v>2328</v>
      </c>
      <c r="P369" s="364" t="s">
        <v>2512</v>
      </c>
      <c r="Q369" s="364" t="s">
        <v>2506</v>
      </c>
      <c r="R369" s="364" t="s">
        <v>2513</v>
      </c>
      <c r="S369" s="364" t="s">
        <v>2594</v>
      </c>
      <c r="T369" s="261" t="s">
        <v>183</v>
      </c>
      <c r="U369" s="364" t="s">
        <v>2332</v>
      </c>
      <c r="V369" s="364" t="s">
        <v>2452</v>
      </c>
      <c r="W369" s="364" t="s">
        <v>2454</v>
      </c>
      <c r="X369" s="364" t="s">
        <v>2455</v>
      </c>
      <c r="Y369" s="364" t="s">
        <v>2335</v>
      </c>
      <c r="Z369" s="364" t="s">
        <v>2337</v>
      </c>
      <c r="AA369" s="364" t="s">
        <v>2469</v>
      </c>
      <c r="AB369" s="364" t="s">
        <v>2553</v>
      </c>
      <c r="AC369" s="364" t="s">
        <v>2338</v>
      </c>
      <c r="AD369" s="364" t="s">
        <v>2388</v>
      </c>
      <c r="AE369" s="364" t="s">
        <v>2339</v>
      </c>
      <c r="AF369" s="364" t="s">
        <v>2389</v>
      </c>
      <c r="AG369" s="364" t="s">
        <v>2340</v>
      </c>
      <c r="AH369" s="364" t="s">
        <v>2341</v>
      </c>
      <c r="AI369" s="364" t="s">
        <v>2393</v>
      </c>
      <c r="AJ369" s="364" t="s">
        <v>2514</v>
      </c>
      <c r="AK369" s="364" t="s">
        <v>2344</v>
      </c>
      <c r="AL369" s="364" t="s">
        <v>2571</v>
      </c>
      <c r="AM369" s="364" t="s">
        <v>2346</v>
      </c>
      <c r="AN369" s="364" t="s">
        <v>2500</v>
      </c>
      <c r="AO369" s="364" t="s">
        <v>2347</v>
      </c>
      <c r="AP369" s="364" t="s">
        <v>2511</v>
      </c>
      <c r="AQ369" s="364" t="s">
        <v>2424</v>
      </c>
      <c r="AR369" s="364" t="s">
        <v>2515</v>
      </c>
      <c r="AS369" s="364" t="s">
        <v>2463</v>
      </c>
      <c r="AT369" s="364" t="s">
        <v>2477</v>
      </c>
      <c r="AU369" s="364" t="s">
        <v>2430</v>
      </c>
      <c r="AV369" s="364"/>
      <c r="AW369" s="364"/>
      <c r="AX369" s="364"/>
      <c r="AY369" s="364"/>
      <c r="AZ369" s="364"/>
      <c r="BA369" s="364"/>
      <c r="BB369" s="364"/>
      <c r="BC369" s="364"/>
      <c r="BD369" s="364"/>
      <c r="BE369" s="364"/>
      <c r="BF369" s="364"/>
      <c r="BG369" s="364"/>
      <c r="BH369" s="364"/>
      <c r="BI369" s="364"/>
      <c r="BJ369" s="364"/>
      <c r="BK369" s="364"/>
      <c r="BL369" s="364"/>
      <c r="BM369" s="364"/>
      <c r="BN369" s="364"/>
      <c r="BO369" s="364"/>
      <c r="BP369" s="364"/>
      <c r="BQ369" s="364"/>
      <c r="BR369" s="364"/>
      <c r="BS369" s="364"/>
      <c r="BT369" s="364"/>
      <c r="BU369" s="364"/>
      <c r="BV369" s="364"/>
      <c r="BW369" s="364"/>
      <c r="BX369" s="364"/>
      <c r="BY369" s="364"/>
      <c r="BZ369" s="364"/>
      <c r="CA369" s="364"/>
      <c r="CB369" s="364"/>
      <c r="CC369" s="364"/>
      <c r="CD369" s="364"/>
      <c r="CE369" s="364"/>
      <c r="CF369" s="364"/>
      <c r="CG369" s="364"/>
      <c r="CH369" s="364"/>
      <c r="CI369" s="364"/>
      <c r="CJ369" s="364"/>
      <c r="CK369" s="364"/>
      <c r="CL369" s="364"/>
      <c r="CM369" s="364"/>
      <c r="CN369" s="364"/>
      <c r="CO369" s="364"/>
      <c r="CP369" s="364"/>
      <c r="CQ369" s="364"/>
      <c r="CR369" s="364"/>
      <c r="CS369" s="364"/>
      <c r="CT369" s="364"/>
      <c r="CU369" s="364"/>
      <c r="CV369" s="364"/>
      <c r="CW369" s="364"/>
      <c r="CX369" s="364"/>
      <c r="CY369" s="364"/>
      <c r="CZ369" s="364"/>
      <c r="DA369" s="364"/>
      <c r="DB369" s="364"/>
      <c r="DC369" s="364"/>
      <c r="DD369" s="364"/>
      <c r="DE369" s="364"/>
      <c r="DF369" s="364"/>
      <c r="DG369" s="364"/>
      <c r="DH369" s="364"/>
      <c r="DI369" s="364"/>
      <c r="DJ369" s="364"/>
      <c r="DK369" s="364"/>
      <c r="DL369" s="364"/>
      <c r="DM369" s="364"/>
      <c r="DN369" s="364"/>
      <c r="DO369" s="364"/>
      <c r="DP369" s="364"/>
      <c r="DQ369" s="364"/>
      <c r="DR369" s="364"/>
      <c r="DS369" s="364"/>
      <c r="DT369" s="364"/>
      <c r="DU369" s="364"/>
      <c r="DV369" s="364"/>
      <c r="DW369" s="364"/>
      <c r="DX369" s="364"/>
      <c r="DY369" s="364"/>
      <c r="DZ369" s="364"/>
      <c r="EA369" s="364"/>
      <c r="EB369" s="364"/>
      <c r="EC369" s="364"/>
      <c r="ED369" s="364"/>
      <c r="EE369" s="364"/>
      <c r="EF369" s="364"/>
      <c r="EG369" s="364"/>
      <c r="EH369" s="364"/>
      <c r="EI369" s="364"/>
      <c r="EJ369" s="364"/>
      <c r="EK369" s="364"/>
      <c r="EL369" s="364"/>
      <c r="EM369" s="364"/>
      <c r="EN369" s="364"/>
      <c r="EO369" s="364"/>
      <c r="EP369" s="364"/>
      <c r="EQ369" s="364"/>
      <c r="ER369" s="364"/>
      <c r="ES369" s="364"/>
      <c r="ET369" s="364"/>
      <c r="EU369" s="364"/>
      <c r="EV369" s="364"/>
      <c r="EW369" s="364"/>
      <c r="EX369" s="364"/>
      <c r="EY369" s="364"/>
      <c r="EZ369" s="364"/>
      <c r="FA369" s="364"/>
      <c r="FB369" s="364"/>
      <c r="FC369" s="364"/>
      <c r="FD369" s="364"/>
      <c r="FE369" s="364"/>
      <c r="FF369" s="364"/>
      <c r="FG369" s="364"/>
      <c r="FH369" s="364"/>
      <c r="FI369" s="364"/>
      <c r="FJ369" s="364"/>
      <c r="FK369" s="364"/>
    </row>
    <row r="370" customFormat="false" ht="15.75" hidden="false" customHeight="false" outlineLevel="0" collapsed="false">
      <c r="A370" s="364" t="n">
        <v>728</v>
      </c>
      <c r="B370" s="364" t="n">
        <f aca="false">COUNTA(D370:FK370)</f>
        <v>33</v>
      </c>
      <c r="C370" s="364" t="s">
        <v>1810</v>
      </c>
      <c r="D370" s="364" t="s">
        <v>2352</v>
      </c>
      <c r="E370" s="364" t="s">
        <v>2354</v>
      </c>
      <c r="F370" s="364" t="s">
        <v>2577</v>
      </c>
      <c r="G370" s="364" t="s">
        <v>2496</v>
      </c>
      <c r="H370" s="364" t="s">
        <v>2315</v>
      </c>
      <c r="I370" s="364" t="s">
        <v>2320</v>
      </c>
      <c r="J370" s="364" t="s">
        <v>2375</v>
      </c>
      <c r="K370" s="364" t="s">
        <v>2451</v>
      </c>
      <c r="L370" s="364" t="s">
        <v>2324</v>
      </c>
      <c r="M370" s="364" t="s">
        <v>2378</v>
      </c>
      <c r="N370" s="364" t="s">
        <v>2328</v>
      </c>
      <c r="O370" s="364" t="s">
        <v>2329</v>
      </c>
      <c r="P370" s="364" t="s">
        <v>2480</v>
      </c>
      <c r="Q370" s="364" t="s">
        <v>2460</v>
      </c>
      <c r="R370" s="364" t="s">
        <v>2337</v>
      </c>
      <c r="S370" s="364" t="s">
        <v>2469</v>
      </c>
      <c r="T370" s="364" t="s">
        <v>2388</v>
      </c>
      <c r="U370" s="364" t="s">
        <v>2339</v>
      </c>
      <c r="V370" s="364" t="s">
        <v>2389</v>
      </c>
      <c r="W370" s="364" t="s">
        <v>2340</v>
      </c>
      <c r="X370" s="364" t="s">
        <v>2341</v>
      </c>
      <c r="Y370" s="364" t="s">
        <v>2392</v>
      </c>
      <c r="Z370" s="364" t="s">
        <v>2462</v>
      </c>
      <c r="AA370" s="364" t="s">
        <v>2394</v>
      </c>
      <c r="AB370" s="364" t="s">
        <v>2395</v>
      </c>
      <c r="AC370" s="364" t="s">
        <v>2344</v>
      </c>
      <c r="AD370" s="364" t="s">
        <v>2396</v>
      </c>
      <c r="AE370" s="364" t="s">
        <v>2347</v>
      </c>
      <c r="AF370" s="364" t="s">
        <v>2511</v>
      </c>
      <c r="AG370" s="364" t="s">
        <v>2515</v>
      </c>
      <c r="AH370" s="364" t="s">
        <v>2446</v>
      </c>
      <c r="AI370" s="364" t="s">
        <v>2401</v>
      </c>
      <c r="AJ370" s="364" t="s">
        <v>2430</v>
      </c>
      <c r="AK370" s="364"/>
      <c r="AL370" s="364"/>
      <c r="AM370" s="364"/>
      <c r="AN370" s="364"/>
      <c r="AO370" s="364"/>
      <c r="AP370" s="364"/>
      <c r="AQ370" s="364"/>
      <c r="AR370" s="364"/>
      <c r="AS370" s="364"/>
      <c r="AT370" s="364"/>
      <c r="AU370" s="364"/>
      <c r="AV370" s="364"/>
      <c r="AW370" s="364"/>
      <c r="AX370" s="364"/>
      <c r="AY370" s="364"/>
      <c r="AZ370" s="364"/>
      <c r="BA370" s="364"/>
      <c r="BB370" s="364"/>
      <c r="BC370" s="364"/>
      <c r="BD370" s="364"/>
      <c r="BE370" s="364"/>
      <c r="BF370" s="364"/>
      <c r="BG370" s="364"/>
      <c r="BH370" s="364"/>
      <c r="BI370" s="364"/>
      <c r="BJ370" s="364"/>
      <c r="BK370" s="364"/>
      <c r="BL370" s="364"/>
      <c r="BM370" s="364"/>
      <c r="BN370" s="364"/>
      <c r="BO370" s="364"/>
      <c r="BP370" s="364"/>
      <c r="BQ370" s="364"/>
      <c r="BR370" s="364"/>
      <c r="BS370" s="364"/>
      <c r="BT370" s="364"/>
      <c r="BU370" s="364"/>
      <c r="BV370" s="364"/>
      <c r="BW370" s="364"/>
      <c r="BX370" s="364"/>
      <c r="BY370" s="364"/>
      <c r="BZ370" s="364"/>
      <c r="CA370" s="364"/>
      <c r="CB370" s="364"/>
      <c r="CC370" s="364"/>
      <c r="CD370" s="364"/>
      <c r="CE370" s="364"/>
      <c r="CF370" s="364"/>
      <c r="CG370" s="364"/>
      <c r="CH370" s="364"/>
      <c r="CI370" s="364"/>
      <c r="CJ370" s="364"/>
      <c r="CK370" s="364"/>
      <c r="CL370" s="364"/>
      <c r="CM370" s="364"/>
      <c r="CN370" s="364"/>
      <c r="CO370" s="364"/>
      <c r="CP370" s="364"/>
      <c r="CQ370" s="364"/>
      <c r="CR370" s="364"/>
      <c r="CS370" s="364"/>
      <c r="CT370" s="364"/>
      <c r="CU370" s="364"/>
      <c r="CV370" s="364"/>
      <c r="CW370" s="364"/>
      <c r="CX370" s="364"/>
      <c r="CY370" s="364"/>
      <c r="CZ370" s="364"/>
      <c r="DA370" s="364"/>
      <c r="DB370" s="364"/>
      <c r="DC370" s="364"/>
      <c r="DD370" s="364"/>
      <c r="DE370" s="364"/>
      <c r="DF370" s="364"/>
      <c r="DG370" s="364"/>
      <c r="DH370" s="364"/>
      <c r="DI370" s="364"/>
      <c r="DJ370" s="364"/>
      <c r="DK370" s="364"/>
      <c r="DL370" s="364"/>
      <c r="DM370" s="364"/>
      <c r="DN370" s="364"/>
      <c r="DO370" s="364"/>
      <c r="DP370" s="364"/>
      <c r="DQ370" s="364"/>
      <c r="DR370" s="364"/>
      <c r="DS370" s="364"/>
      <c r="DT370" s="364"/>
      <c r="DU370" s="364"/>
      <c r="DV370" s="364"/>
      <c r="DW370" s="364"/>
      <c r="DX370" s="364"/>
      <c r="DY370" s="364"/>
      <c r="DZ370" s="364"/>
      <c r="EA370" s="364"/>
      <c r="EB370" s="364"/>
      <c r="EC370" s="364"/>
      <c r="ED370" s="364"/>
      <c r="EE370" s="364"/>
      <c r="EF370" s="364"/>
      <c r="EG370" s="364"/>
      <c r="EH370" s="364"/>
      <c r="EI370" s="364"/>
      <c r="EJ370" s="364"/>
      <c r="EK370" s="364"/>
      <c r="EL370" s="364"/>
      <c r="EM370" s="364"/>
      <c r="EN370" s="364"/>
      <c r="EO370" s="364"/>
      <c r="EP370" s="364"/>
      <c r="EQ370" s="364"/>
      <c r="ER370" s="364"/>
      <c r="ES370" s="364"/>
      <c r="ET370" s="364"/>
      <c r="EU370" s="364"/>
      <c r="EV370" s="364"/>
      <c r="EW370" s="364"/>
      <c r="EX370" s="364"/>
      <c r="EY370" s="364"/>
      <c r="EZ370" s="364"/>
      <c r="FA370" s="364"/>
      <c r="FB370" s="364"/>
      <c r="FC370" s="364"/>
      <c r="FD370" s="364"/>
      <c r="FE370" s="364"/>
      <c r="FF370" s="364"/>
      <c r="FG370" s="364"/>
      <c r="FH370" s="364"/>
      <c r="FI370" s="364"/>
      <c r="FJ370" s="364"/>
      <c r="FK370" s="364"/>
    </row>
    <row r="371" customFormat="false" ht="15.75" hidden="false" customHeight="false" outlineLevel="0" collapsed="false">
      <c r="A371" s="364" t="n">
        <v>730</v>
      </c>
      <c r="B371" s="364" t="n">
        <f aca="false">COUNTA(D371:FK371)</f>
        <v>33</v>
      </c>
      <c r="C371" s="364" t="s">
        <v>1814</v>
      </c>
      <c r="D371" s="364" t="s">
        <v>2352</v>
      </c>
      <c r="E371" s="364" t="s">
        <v>2354</v>
      </c>
      <c r="F371" s="364" t="s">
        <v>2605</v>
      </c>
      <c r="G371" s="364" t="s">
        <v>2577</v>
      </c>
      <c r="H371" s="364" t="s">
        <v>2315</v>
      </c>
      <c r="I371" s="364" t="s">
        <v>2409</v>
      </c>
      <c r="J371" s="364" t="s">
        <v>2320</v>
      </c>
      <c r="K371" s="364" t="s">
        <v>2535</v>
      </c>
      <c r="L371" s="364" t="s">
        <v>2375</v>
      </c>
      <c r="M371" s="364" t="s">
        <v>2523</v>
      </c>
      <c r="N371" s="364" t="s">
        <v>2451</v>
      </c>
      <c r="O371" s="364" t="s">
        <v>2324</v>
      </c>
      <c r="P371" s="364" t="s">
        <v>2437</v>
      </c>
      <c r="Q371" s="364" t="s">
        <v>2378</v>
      </c>
      <c r="R371" s="364" t="s">
        <v>2328</v>
      </c>
      <c r="S371" s="364" t="s">
        <v>2329</v>
      </c>
      <c r="T371" s="364" t="s">
        <v>2379</v>
      </c>
      <c r="U371" s="364" t="s">
        <v>2330</v>
      </c>
      <c r="V371" s="364" t="s">
        <v>2452</v>
      </c>
      <c r="W371" s="364" t="s">
        <v>2460</v>
      </c>
      <c r="X371" s="364" t="s">
        <v>2337</v>
      </c>
      <c r="Y371" s="364" t="s">
        <v>2469</v>
      </c>
      <c r="Z371" s="364" t="s">
        <v>2339</v>
      </c>
      <c r="AA371" s="364" t="s">
        <v>2389</v>
      </c>
      <c r="AB371" s="364" t="s">
        <v>2340</v>
      </c>
      <c r="AC371" s="364" t="s">
        <v>2341</v>
      </c>
      <c r="AD371" s="364" t="s">
        <v>2442</v>
      </c>
      <c r="AE371" s="364" t="s">
        <v>2462</v>
      </c>
      <c r="AF371" s="364" t="s">
        <v>2472</v>
      </c>
      <c r="AG371" s="364" t="s">
        <v>2344</v>
      </c>
      <c r="AH371" s="364" t="s">
        <v>2396</v>
      </c>
      <c r="AI371" s="364" t="s">
        <v>2445</v>
      </c>
      <c r="AJ371" s="364" t="s">
        <v>2446</v>
      </c>
      <c r="AK371" s="364"/>
      <c r="AL371" s="364"/>
      <c r="AM371" s="364"/>
      <c r="AN371" s="364"/>
      <c r="AO371" s="364"/>
      <c r="AP371" s="364"/>
      <c r="AQ371" s="364"/>
      <c r="AR371" s="364"/>
      <c r="AS371" s="364"/>
      <c r="AT371" s="364"/>
      <c r="AU371" s="364"/>
      <c r="AV371" s="364"/>
      <c r="AW371" s="364"/>
      <c r="AX371" s="364"/>
      <c r="AY371" s="364"/>
      <c r="AZ371" s="364"/>
      <c r="BA371" s="364"/>
      <c r="BB371" s="364"/>
      <c r="BC371" s="364"/>
      <c r="BD371" s="364"/>
      <c r="BE371" s="364"/>
      <c r="BF371" s="364"/>
      <c r="BG371" s="364"/>
      <c r="BH371" s="364"/>
      <c r="BI371" s="364"/>
      <c r="BJ371" s="364"/>
      <c r="BK371" s="364"/>
      <c r="BL371" s="364"/>
      <c r="BM371" s="364"/>
      <c r="BN371" s="364"/>
      <c r="BO371" s="364"/>
      <c r="BP371" s="364"/>
      <c r="BQ371" s="364"/>
      <c r="BR371" s="364"/>
      <c r="BS371" s="364"/>
      <c r="BT371" s="364"/>
      <c r="BU371" s="364"/>
      <c r="BV371" s="364"/>
      <c r="BW371" s="364"/>
      <c r="BX371" s="364"/>
      <c r="BY371" s="364"/>
      <c r="BZ371" s="364"/>
      <c r="CA371" s="364"/>
      <c r="CB371" s="364"/>
      <c r="CC371" s="364"/>
      <c r="CD371" s="364"/>
      <c r="CE371" s="364"/>
      <c r="CF371" s="364"/>
      <c r="CG371" s="364"/>
      <c r="CH371" s="364"/>
      <c r="CI371" s="364"/>
      <c r="CJ371" s="364"/>
      <c r="CK371" s="364"/>
      <c r="CL371" s="364"/>
      <c r="CM371" s="364"/>
      <c r="CN371" s="364"/>
      <c r="CO371" s="364"/>
      <c r="CP371" s="364"/>
      <c r="CQ371" s="364"/>
      <c r="CR371" s="364"/>
      <c r="CS371" s="364"/>
      <c r="CT371" s="364"/>
      <c r="CU371" s="364"/>
      <c r="CV371" s="364"/>
      <c r="CW371" s="364"/>
      <c r="CX371" s="364"/>
      <c r="CY371" s="364"/>
      <c r="CZ371" s="364"/>
      <c r="DA371" s="364"/>
      <c r="DB371" s="364"/>
      <c r="DC371" s="364"/>
      <c r="DD371" s="364"/>
      <c r="DE371" s="364"/>
      <c r="DF371" s="364"/>
      <c r="DG371" s="364"/>
      <c r="DH371" s="364"/>
      <c r="DI371" s="364"/>
      <c r="DJ371" s="364"/>
      <c r="DK371" s="364"/>
      <c r="DL371" s="364"/>
      <c r="DM371" s="364"/>
      <c r="DN371" s="364"/>
      <c r="DO371" s="364"/>
      <c r="DP371" s="364"/>
      <c r="DQ371" s="364"/>
      <c r="DR371" s="364"/>
      <c r="DS371" s="364"/>
      <c r="DT371" s="364"/>
      <c r="DU371" s="364"/>
      <c r="DV371" s="364"/>
      <c r="DW371" s="364"/>
      <c r="DX371" s="364"/>
      <c r="DY371" s="364"/>
      <c r="DZ371" s="364"/>
      <c r="EA371" s="364"/>
      <c r="EB371" s="364"/>
      <c r="EC371" s="364"/>
      <c r="ED371" s="364"/>
      <c r="EE371" s="364"/>
      <c r="EF371" s="364"/>
      <c r="EG371" s="364"/>
      <c r="EH371" s="364"/>
      <c r="EI371" s="364"/>
      <c r="EJ371" s="364"/>
      <c r="EK371" s="364"/>
      <c r="EL371" s="364"/>
      <c r="EM371" s="364"/>
      <c r="EN371" s="364"/>
      <c r="EO371" s="364"/>
      <c r="EP371" s="364"/>
      <c r="EQ371" s="364"/>
      <c r="ER371" s="364"/>
      <c r="ES371" s="364"/>
      <c r="ET371" s="364"/>
      <c r="EU371" s="364"/>
      <c r="EV371" s="364"/>
      <c r="EW371" s="364"/>
      <c r="EX371" s="364"/>
      <c r="EY371" s="364"/>
      <c r="EZ371" s="364"/>
      <c r="FA371" s="364"/>
      <c r="FB371" s="364"/>
      <c r="FC371" s="364"/>
      <c r="FD371" s="364"/>
      <c r="FE371" s="364"/>
      <c r="FF371" s="364"/>
      <c r="FG371" s="364"/>
      <c r="FH371" s="364"/>
      <c r="FI371" s="364"/>
      <c r="FJ371" s="364"/>
      <c r="FK371" s="364"/>
    </row>
    <row r="372" customFormat="false" ht="15.75" hidden="false" customHeight="false" outlineLevel="0" collapsed="false">
      <c r="A372" s="364" t="n">
        <v>731</v>
      </c>
      <c r="B372" s="364" t="n">
        <f aca="false">COUNTA(D372:FK372)</f>
        <v>49</v>
      </c>
      <c r="C372" s="364" t="s">
        <v>1816</v>
      </c>
      <c r="D372" s="364" t="s">
        <v>2352</v>
      </c>
      <c r="E372" s="364" t="s">
        <v>2483</v>
      </c>
      <c r="F372" s="364" t="s">
        <v>2311</v>
      </c>
      <c r="G372" s="364" t="s">
        <v>2312</v>
      </c>
      <c r="H372" s="364" t="s">
        <v>2432</v>
      </c>
      <c r="I372" s="364" t="s">
        <v>2315</v>
      </c>
      <c r="J372" s="364" t="s">
        <v>2358</v>
      </c>
      <c r="K372" s="364" t="s">
        <v>2320</v>
      </c>
      <c r="L372" s="364" t="s">
        <v>2535</v>
      </c>
      <c r="M372" s="364" t="s">
        <v>2366</v>
      </c>
      <c r="N372" s="364" t="s">
        <v>2699</v>
      </c>
      <c r="O372" s="364" t="s">
        <v>2369</v>
      </c>
      <c r="P372" s="364" t="s">
        <v>2370</v>
      </c>
      <c r="Q372" s="364" t="s">
        <v>2371</v>
      </c>
      <c r="R372" s="364" t="s">
        <v>2373</v>
      </c>
      <c r="S372" s="364" t="s">
        <v>2374</v>
      </c>
      <c r="T372" s="364" t="s">
        <v>2376</v>
      </c>
      <c r="U372" s="364" t="s">
        <v>2377</v>
      </c>
      <c r="V372" s="364" t="s">
        <v>2498</v>
      </c>
      <c r="W372" s="364" t="s">
        <v>2323</v>
      </c>
      <c r="X372" s="364" t="s">
        <v>2324</v>
      </c>
      <c r="Y372" s="364" t="s">
        <v>2378</v>
      </c>
      <c r="Z372" s="364" t="s">
        <v>2328</v>
      </c>
      <c r="AA372" s="364" t="s">
        <v>2379</v>
      </c>
      <c r="AB372" s="364" t="s">
        <v>2380</v>
      </c>
      <c r="AC372" s="364" t="s">
        <v>2330</v>
      </c>
      <c r="AD372" s="364" t="s">
        <v>2588</v>
      </c>
      <c r="AE372" s="364" t="s">
        <v>2539</v>
      </c>
      <c r="AF372" s="364" t="s">
        <v>2531</v>
      </c>
      <c r="AG372" s="364" t="s">
        <v>2386</v>
      </c>
      <c r="AH372" s="364" t="s">
        <v>2387</v>
      </c>
      <c r="AI372" s="364" t="s">
        <v>2455</v>
      </c>
      <c r="AJ372" s="364" t="s">
        <v>2337</v>
      </c>
      <c r="AK372" s="364" t="s">
        <v>2339</v>
      </c>
      <c r="AL372" s="364" t="s">
        <v>2389</v>
      </c>
      <c r="AM372" s="364" t="s">
        <v>2340</v>
      </c>
      <c r="AN372" s="364" t="s">
        <v>2341</v>
      </c>
      <c r="AO372" s="364" t="s">
        <v>2392</v>
      </c>
      <c r="AP372" s="364" t="s">
        <v>2395</v>
      </c>
      <c r="AQ372" s="364" t="s">
        <v>2344</v>
      </c>
      <c r="AR372" s="364" t="s">
        <v>2345</v>
      </c>
      <c r="AS372" s="364" t="s">
        <v>2346</v>
      </c>
      <c r="AT372" s="364" t="s">
        <v>2473</v>
      </c>
      <c r="AU372" s="364" t="s">
        <v>2511</v>
      </c>
      <c r="AV372" s="364" t="s">
        <v>2348</v>
      </c>
      <c r="AW372" s="364" t="s">
        <v>2445</v>
      </c>
      <c r="AX372" s="364" t="s">
        <v>2456</v>
      </c>
      <c r="AY372" s="364" t="s">
        <v>2399</v>
      </c>
      <c r="AZ372" s="364" t="s">
        <v>2489</v>
      </c>
      <c r="BA372" s="364"/>
      <c r="BB372" s="364"/>
      <c r="BC372" s="364"/>
      <c r="BD372" s="364"/>
      <c r="BE372" s="364"/>
      <c r="BF372" s="364"/>
      <c r="BG372" s="364"/>
      <c r="BH372" s="364"/>
      <c r="BI372" s="364"/>
      <c r="BJ372" s="364"/>
      <c r="BK372" s="364"/>
      <c r="BL372" s="364"/>
      <c r="BM372" s="364"/>
      <c r="BN372" s="364"/>
      <c r="BO372" s="364"/>
      <c r="BP372" s="364"/>
      <c r="BQ372" s="364"/>
      <c r="BR372" s="364"/>
      <c r="BS372" s="364"/>
      <c r="BT372" s="364"/>
      <c r="BU372" s="364"/>
      <c r="BV372" s="364"/>
      <c r="BW372" s="364"/>
      <c r="BX372" s="364"/>
      <c r="BY372" s="364"/>
      <c r="BZ372" s="364"/>
      <c r="CA372" s="364"/>
      <c r="CB372" s="364"/>
      <c r="CC372" s="364"/>
      <c r="CD372" s="364"/>
      <c r="CE372" s="364"/>
      <c r="CF372" s="364"/>
      <c r="CG372" s="364"/>
      <c r="CH372" s="364"/>
      <c r="CI372" s="364"/>
      <c r="CJ372" s="364"/>
      <c r="CK372" s="364"/>
      <c r="CL372" s="364"/>
      <c r="CM372" s="364"/>
      <c r="CN372" s="364"/>
      <c r="CO372" s="364"/>
      <c r="CP372" s="364"/>
      <c r="CQ372" s="364"/>
      <c r="CR372" s="364"/>
      <c r="CS372" s="364"/>
      <c r="CT372" s="364"/>
      <c r="CU372" s="364"/>
      <c r="CV372" s="364"/>
      <c r="CW372" s="364"/>
      <c r="CX372" s="364"/>
      <c r="CY372" s="364"/>
      <c r="CZ372" s="364"/>
      <c r="DA372" s="364"/>
      <c r="DB372" s="364"/>
      <c r="DC372" s="364"/>
      <c r="DD372" s="364"/>
      <c r="DE372" s="364"/>
      <c r="DF372" s="364"/>
      <c r="DG372" s="364"/>
      <c r="DH372" s="364"/>
      <c r="DI372" s="364"/>
      <c r="DJ372" s="364"/>
      <c r="DK372" s="364"/>
      <c r="DL372" s="364"/>
      <c r="DM372" s="364"/>
      <c r="DN372" s="364"/>
      <c r="DO372" s="364"/>
      <c r="DP372" s="364"/>
      <c r="DQ372" s="364"/>
      <c r="DR372" s="364"/>
      <c r="DS372" s="364"/>
      <c r="DT372" s="364"/>
      <c r="DU372" s="364"/>
      <c r="DV372" s="364"/>
      <c r="DW372" s="364"/>
      <c r="DX372" s="364"/>
      <c r="DY372" s="364"/>
      <c r="DZ372" s="364"/>
      <c r="EA372" s="364"/>
      <c r="EB372" s="364"/>
      <c r="EC372" s="364"/>
      <c r="ED372" s="364"/>
      <c r="EE372" s="364"/>
      <c r="EF372" s="364"/>
      <c r="EG372" s="364"/>
      <c r="EH372" s="364"/>
      <c r="EI372" s="364"/>
      <c r="EJ372" s="364"/>
      <c r="EK372" s="364"/>
      <c r="EL372" s="364"/>
      <c r="EM372" s="364"/>
      <c r="EN372" s="364"/>
      <c r="EO372" s="364"/>
      <c r="EP372" s="364"/>
      <c r="EQ372" s="364"/>
      <c r="ER372" s="364"/>
      <c r="ES372" s="364"/>
      <c r="ET372" s="364"/>
      <c r="EU372" s="364"/>
      <c r="EV372" s="364"/>
      <c r="EW372" s="364"/>
      <c r="EX372" s="364"/>
      <c r="EY372" s="364"/>
      <c r="EZ372" s="364"/>
      <c r="FA372" s="364"/>
      <c r="FB372" s="364"/>
      <c r="FC372" s="364"/>
      <c r="FD372" s="364"/>
      <c r="FE372" s="364"/>
      <c r="FF372" s="364"/>
      <c r="FG372" s="364"/>
      <c r="FH372" s="364"/>
      <c r="FI372" s="364"/>
      <c r="FJ372" s="364"/>
      <c r="FK372" s="364"/>
    </row>
    <row r="373" customFormat="false" ht="15.75" hidden="false" customHeight="false" outlineLevel="0" collapsed="false">
      <c r="A373" s="364" t="n">
        <v>732</v>
      </c>
      <c r="B373" s="364" t="n">
        <f aca="false">COUNTA(D373:FK373)</f>
        <v>33</v>
      </c>
      <c r="C373" s="364" t="s">
        <v>1818</v>
      </c>
      <c r="D373" s="364" t="s">
        <v>2352</v>
      </c>
      <c r="E373" s="364" t="s">
        <v>2404</v>
      </c>
      <c r="F373" s="364" t="s">
        <v>2432</v>
      </c>
      <c r="G373" s="364" t="s">
        <v>2466</v>
      </c>
      <c r="H373" s="364" t="s">
        <v>2315</v>
      </c>
      <c r="I373" s="364" t="s">
        <v>2358</v>
      </c>
      <c r="J373" s="364" t="s">
        <v>2448</v>
      </c>
      <c r="K373" s="364" t="s">
        <v>2319</v>
      </c>
      <c r="L373" s="364" t="s">
        <v>2320</v>
      </c>
      <c r="M373" s="364" t="s">
        <v>2535</v>
      </c>
      <c r="N373" s="364" t="s">
        <v>2411</v>
      </c>
      <c r="O373" s="364" t="s">
        <v>2322</v>
      </c>
      <c r="P373" s="364" t="s">
        <v>2324</v>
      </c>
      <c r="Q373" s="364" t="s">
        <v>2328</v>
      </c>
      <c r="R373" s="364" t="s">
        <v>2506</v>
      </c>
      <c r="S373" s="364" t="s">
        <v>2384</v>
      </c>
      <c r="T373" s="364" t="s">
        <v>2337</v>
      </c>
      <c r="U373" s="364" t="s">
        <v>2469</v>
      </c>
      <c r="V373" s="364" t="s">
        <v>2338</v>
      </c>
      <c r="W373" s="364" t="s">
        <v>2388</v>
      </c>
      <c r="X373" s="364" t="s">
        <v>2339</v>
      </c>
      <c r="Y373" s="364" t="s">
        <v>2389</v>
      </c>
      <c r="Z373" s="364" t="s">
        <v>2340</v>
      </c>
      <c r="AA373" s="364" t="s">
        <v>2341</v>
      </c>
      <c r="AB373" s="364" t="s">
        <v>2392</v>
      </c>
      <c r="AC373" s="364" t="s">
        <v>2344</v>
      </c>
      <c r="AD373" s="364" t="s">
        <v>2500</v>
      </c>
      <c r="AE373" s="364" t="s">
        <v>2347</v>
      </c>
      <c r="AF373" s="364" t="s">
        <v>2444</v>
      </c>
      <c r="AG373" s="364" t="s">
        <v>2511</v>
      </c>
      <c r="AH373" s="364" t="s">
        <v>2488</v>
      </c>
      <c r="AI373" s="364" t="s">
        <v>2595</v>
      </c>
      <c r="AJ373" s="364" t="s">
        <v>2458</v>
      </c>
      <c r="AK373" s="364"/>
      <c r="AL373" s="364"/>
      <c r="AM373" s="364"/>
      <c r="AN373" s="364"/>
      <c r="AO373" s="364"/>
      <c r="AP373" s="364"/>
      <c r="AQ373" s="364"/>
      <c r="AR373" s="364"/>
      <c r="AS373" s="364"/>
      <c r="AT373" s="364"/>
      <c r="AU373" s="364"/>
      <c r="AV373" s="364"/>
      <c r="AW373" s="364"/>
      <c r="AX373" s="364"/>
      <c r="AY373" s="364"/>
      <c r="AZ373" s="364"/>
      <c r="BA373" s="364"/>
      <c r="BB373" s="364"/>
      <c r="BC373" s="364"/>
      <c r="BD373" s="364"/>
      <c r="BE373" s="364"/>
      <c r="BF373" s="364"/>
      <c r="BG373" s="364"/>
      <c r="BH373" s="364"/>
      <c r="BI373" s="364"/>
      <c r="BJ373" s="364"/>
      <c r="BK373" s="364"/>
      <c r="BL373" s="364"/>
      <c r="BM373" s="364"/>
      <c r="BN373" s="364"/>
      <c r="BO373" s="364"/>
      <c r="BP373" s="364"/>
      <c r="BQ373" s="364"/>
      <c r="BR373" s="364"/>
      <c r="BS373" s="364"/>
      <c r="BT373" s="364"/>
      <c r="BU373" s="364"/>
      <c r="BV373" s="364"/>
      <c r="BW373" s="364"/>
      <c r="BX373" s="364"/>
      <c r="BY373" s="364"/>
      <c r="BZ373" s="364"/>
      <c r="CA373" s="364"/>
      <c r="CB373" s="364"/>
      <c r="CC373" s="364"/>
      <c r="CD373" s="364"/>
      <c r="CE373" s="364"/>
      <c r="CF373" s="364"/>
      <c r="CG373" s="364"/>
      <c r="CH373" s="364"/>
      <c r="CI373" s="364"/>
      <c r="CJ373" s="364"/>
      <c r="CK373" s="364"/>
      <c r="CL373" s="364"/>
      <c r="CM373" s="364"/>
      <c r="CN373" s="364"/>
      <c r="CO373" s="364"/>
      <c r="CP373" s="364"/>
      <c r="CQ373" s="364"/>
      <c r="CR373" s="364"/>
      <c r="CS373" s="364"/>
      <c r="CT373" s="364"/>
      <c r="CU373" s="364"/>
      <c r="CV373" s="364"/>
      <c r="CW373" s="364"/>
      <c r="CX373" s="364"/>
      <c r="CY373" s="364"/>
      <c r="CZ373" s="364"/>
      <c r="DA373" s="364"/>
      <c r="DB373" s="364"/>
      <c r="DC373" s="364"/>
      <c r="DD373" s="364"/>
      <c r="DE373" s="364"/>
      <c r="DF373" s="364"/>
      <c r="DG373" s="364"/>
      <c r="DH373" s="364"/>
      <c r="DI373" s="364"/>
      <c r="DJ373" s="364"/>
      <c r="DK373" s="364"/>
      <c r="DL373" s="364"/>
      <c r="DM373" s="364"/>
      <c r="DN373" s="364"/>
      <c r="DO373" s="364"/>
      <c r="DP373" s="364"/>
      <c r="DQ373" s="364"/>
      <c r="DR373" s="364"/>
      <c r="DS373" s="364"/>
      <c r="DT373" s="364"/>
      <c r="DU373" s="364"/>
      <c r="DV373" s="364"/>
      <c r="DW373" s="364"/>
      <c r="DX373" s="364"/>
      <c r="DY373" s="364"/>
      <c r="DZ373" s="364"/>
      <c r="EA373" s="364"/>
      <c r="EB373" s="364"/>
      <c r="EC373" s="364"/>
      <c r="ED373" s="364"/>
      <c r="EE373" s="364"/>
      <c r="EF373" s="364"/>
      <c r="EG373" s="364"/>
      <c r="EH373" s="364"/>
      <c r="EI373" s="364"/>
      <c r="EJ373" s="364"/>
      <c r="EK373" s="364"/>
      <c r="EL373" s="364"/>
      <c r="EM373" s="364"/>
      <c r="EN373" s="364"/>
      <c r="EO373" s="364"/>
      <c r="EP373" s="364"/>
      <c r="EQ373" s="364"/>
      <c r="ER373" s="364"/>
      <c r="ES373" s="364"/>
      <c r="ET373" s="364"/>
      <c r="EU373" s="364"/>
      <c r="EV373" s="364"/>
      <c r="EW373" s="364"/>
      <c r="EX373" s="364"/>
      <c r="EY373" s="364"/>
      <c r="EZ373" s="364"/>
      <c r="FA373" s="364"/>
      <c r="FB373" s="364"/>
      <c r="FC373" s="364"/>
      <c r="FD373" s="364"/>
      <c r="FE373" s="364"/>
      <c r="FF373" s="364"/>
      <c r="FG373" s="364"/>
      <c r="FH373" s="364"/>
      <c r="FI373" s="364"/>
      <c r="FJ373" s="364"/>
      <c r="FK373" s="364"/>
    </row>
    <row r="374" customFormat="false" ht="15.75" hidden="false" customHeight="false" outlineLevel="0" collapsed="false">
      <c r="A374" s="364" t="n">
        <v>735</v>
      </c>
      <c r="B374" s="364" t="n">
        <f aca="false">COUNTA(D374:FK374)</f>
        <v>55</v>
      </c>
      <c r="C374" s="364" t="s">
        <v>1824</v>
      </c>
      <c r="D374" s="364" t="s">
        <v>2431</v>
      </c>
      <c r="E374" s="364" t="s">
        <v>2402</v>
      </c>
      <c r="F374" s="364" t="s">
        <v>2404</v>
      </c>
      <c r="G374" s="364" t="s">
        <v>2312</v>
      </c>
      <c r="H374" s="364" t="s">
        <v>2357</v>
      </c>
      <c r="I374" s="364" t="s">
        <v>2313</v>
      </c>
      <c r="J374" s="364" t="s">
        <v>2464</v>
      </c>
      <c r="K374" s="364" t="s">
        <v>2466</v>
      </c>
      <c r="L374" s="364" t="s">
        <v>2409</v>
      </c>
      <c r="M374" s="364" t="s">
        <v>2601</v>
      </c>
      <c r="N374" s="364" t="s">
        <v>2359</v>
      </c>
      <c r="O374" s="364" t="s">
        <v>2361</v>
      </c>
      <c r="P374" s="364" t="s">
        <v>2362</v>
      </c>
      <c r="Q374" s="364" t="s">
        <v>2634</v>
      </c>
      <c r="R374" s="364" t="s">
        <v>2363</v>
      </c>
      <c r="S374" s="364" t="s">
        <v>2497</v>
      </c>
      <c r="T374" s="364" t="s">
        <v>2317</v>
      </c>
      <c r="U374" s="364" t="s">
        <v>2318</v>
      </c>
      <c r="V374" s="364" t="s">
        <v>2320</v>
      </c>
      <c r="W374" s="364" t="s">
        <v>2366</v>
      </c>
      <c r="X374" s="364" t="s">
        <v>2373</v>
      </c>
      <c r="Y374" s="364" t="s">
        <v>2411</v>
      </c>
      <c r="Z374" s="364" t="s">
        <v>2375</v>
      </c>
      <c r="AA374" s="364" t="s">
        <v>2376</v>
      </c>
      <c r="AB374" s="364" t="s">
        <v>2324</v>
      </c>
      <c r="AC374" s="364" t="s">
        <v>2327</v>
      </c>
      <c r="AD374" s="364" t="s">
        <v>2378</v>
      </c>
      <c r="AE374" s="364" t="s">
        <v>2328</v>
      </c>
      <c r="AF374" s="364" t="s">
        <v>2329</v>
      </c>
      <c r="AG374" s="364" t="s">
        <v>2521</v>
      </c>
      <c r="AH374" s="364" t="s">
        <v>2379</v>
      </c>
      <c r="AI374" s="364" t="s">
        <v>2381</v>
      </c>
      <c r="AJ374" s="364" t="s">
        <v>2332</v>
      </c>
      <c r="AK374" s="364" t="s">
        <v>2452</v>
      </c>
      <c r="AL374" s="364" t="s">
        <v>2337</v>
      </c>
      <c r="AM374" s="364" t="s">
        <v>2388</v>
      </c>
      <c r="AN374" s="364" t="s">
        <v>2339</v>
      </c>
      <c r="AO374" s="364" t="s">
        <v>2389</v>
      </c>
      <c r="AP374" s="364" t="s">
        <v>2340</v>
      </c>
      <c r="AQ374" s="364" t="s">
        <v>2341</v>
      </c>
      <c r="AR374" s="364" t="s">
        <v>2470</v>
      </c>
      <c r="AS374" s="364" t="s">
        <v>2422</v>
      </c>
      <c r="AT374" s="364" t="s">
        <v>2591</v>
      </c>
      <c r="AU374" s="364" t="s">
        <v>2344</v>
      </c>
      <c r="AV374" s="364" t="s">
        <v>2396</v>
      </c>
      <c r="AW374" s="364" t="s">
        <v>2500</v>
      </c>
      <c r="AX374" s="364" t="s">
        <v>2347</v>
      </c>
      <c r="AY374" s="364" t="s">
        <v>2511</v>
      </c>
      <c r="AZ374" s="364" t="s">
        <v>2424</v>
      </c>
      <c r="BA374" s="364" t="s">
        <v>2445</v>
      </c>
      <c r="BB374" s="364" t="s">
        <v>2456</v>
      </c>
      <c r="BC374" s="364" t="s">
        <v>2522</v>
      </c>
      <c r="BD374" s="364" t="s">
        <v>2463</v>
      </c>
      <c r="BE374" s="364" t="s">
        <v>2446</v>
      </c>
      <c r="BF374" s="364" t="s">
        <v>2430</v>
      </c>
      <c r="BG374" s="364"/>
      <c r="BH374" s="364"/>
      <c r="BI374" s="364"/>
      <c r="BJ374" s="364"/>
      <c r="BK374" s="364"/>
      <c r="BL374" s="364"/>
      <c r="BM374" s="364"/>
      <c r="BN374" s="364"/>
      <c r="BO374" s="364"/>
      <c r="BP374" s="364"/>
      <c r="BQ374" s="364"/>
      <c r="BR374" s="364"/>
      <c r="BS374" s="364"/>
      <c r="BT374" s="364"/>
      <c r="BU374" s="364"/>
      <c r="BV374" s="364"/>
      <c r="BW374" s="364"/>
      <c r="BX374" s="364"/>
      <c r="BY374" s="364"/>
      <c r="BZ374" s="364"/>
      <c r="CA374" s="364"/>
      <c r="CB374" s="364"/>
      <c r="CC374" s="364"/>
      <c r="CD374" s="364"/>
      <c r="CE374" s="364"/>
      <c r="CF374" s="364"/>
      <c r="CG374" s="364"/>
      <c r="CH374" s="364"/>
      <c r="CI374" s="364"/>
      <c r="CJ374" s="364"/>
      <c r="CK374" s="364"/>
      <c r="CL374" s="364"/>
      <c r="CM374" s="364"/>
      <c r="CN374" s="364"/>
      <c r="CO374" s="364"/>
      <c r="CP374" s="364"/>
      <c r="CQ374" s="364"/>
      <c r="CR374" s="364"/>
      <c r="CS374" s="364"/>
      <c r="CT374" s="364"/>
      <c r="CU374" s="364"/>
      <c r="CV374" s="364"/>
      <c r="CW374" s="364"/>
      <c r="CX374" s="364"/>
      <c r="CY374" s="364"/>
      <c r="CZ374" s="364"/>
      <c r="DA374" s="364"/>
      <c r="DB374" s="364"/>
      <c r="DC374" s="364"/>
      <c r="DD374" s="364"/>
      <c r="DE374" s="364"/>
      <c r="DF374" s="364"/>
      <c r="DG374" s="364"/>
      <c r="DH374" s="364"/>
      <c r="DI374" s="364"/>
      <c r="DJ374" s="364"/>
      <c r="DK374" s="364"/>
      <c r="DL374" s="364"/>
      <c r="DM374" s="364"/>
      <c r="DN374" s="364"/>
      <c r="DO374" s="364"/>
      <c r="DP374" s="364"/>
      <c r="DQ374" s="364"/>
      <c r="DR374" s="364"/>
      <c r="DS374" s="364"/>
      <c r="DT374" s="364"/>
      <c r="DU374" s="364"/>
      <c r="DV374" s="364"/>
      <c r="DW374" s="364"/>
      <c r="DX374" s="364"/>
      <c r="DY374" s="364"/>
      <c r="DZ374" s="364"/>
      <c r="EA374" s="364"/>
      <c r="EB374" s="364"/>
      <c r="EC374" s="364"/>
      <c r="ED374" s="364"/>
      <c r="EE374" s="364"/>
      <c r="EF374" s="364"/>
      <c r="EG374" s="364"/>
      <c r="EH374" s="364"/>
      <c r="EI374" s="364"/>
      <c r="EJ374" s="364"/>
      <c r="EK374" s="364"/>
      <c r="EL374" s="364"/>
      <c r="EM374" s="364"/>
      <c r="EN374" s="364"/>
      <c r="EO374" s="364"/>
      <c r="EP374" s="364"/>
      <c r="EQ374" s="364"/>
      <c r="ER374" s="364"/>
      <c r="ES374" s="364"/>
      <c r="ET374" s="364"/>
      <c r="EU374" s="364"/>
      <c r="EV374" s="364"/>
      <c r="EW374" s="364"/>
      <c r="EX374" s="364"/>
      <c r="EY374" s="364"/>
      <c r="EZ374" s="364"/>
      <c r="FA374" s="364"/>
      <c r="FB374" s="364"/>
      <c r="FC374" s="364"/>
      <c r="FD374" s="364"/>
      <c r="FE374" s="364"/>
      <c r="FF374" s="364"/>
      <c r="FG374" s="364"/>
      <c r="FH374" s="364"/>
      <c r="FI374" s="364"/>
      <c r="FJ374" s="364"/>
      <c r="FK374" s="364"/>
    </row>
    <row r="375" customFormat="false" ht="15.75" hidden="false" customHeight="false" outlineLevel="0" collapsed="false">
      <c r="A375" s="364" t="n">
        <v>737</v>
      </c>
      <c r="B375" s="364" t="n">
        <f aca="false">COUNTA(D375:FK375)</f>
        <v>39</v>
      </c>
      <c r="C375" s="364" t="s">
        <v>1828</v>
      </c>
      <c r="D375" s="364" t="s">
        <v>2527</v>
      </c>
      <c r="E375" s="364" t="s">
        <v>2431</v>
      </c>
      <c r="F375" s="364" t="s">
        <v>2352</v>
      </c>
      <c r="G375" s="364" t="s">
        <v>2432</v>
      </c>
      <c r="H375" s="364" t="s">
        <v>2433</v>
      </c>
      <c r="I375" s="364" t="s">
        <v>2365</v>
      </c>
      <c r="J375" s="364" t="s">
        <v>2320</v>
      </c>
      <c r="K375" s="364" t="s">
        <v>2700</v>
      </c>
      <c r="L375" s="364" t="s">
        <v>2366</v>
      </c>
      <c r="M375" s="364" t="s">
        <v>2370</v>
      </c>
      <c r="N375" s="364" t="s">
        <v>2372</v>
      </c>
      <c r="O375" s="364" t="s">
        <v>2373</v>
      </c>
      <c r="P375" s="364" t="s">
        <v>2548</v>
      </c>
      <c r="Q375" s="364" t="s">
        <v>2374</v>
      </c>
      <c r="R375" s="364" t="s">
        <v>2375</v>
      </c>
      <c r="S375" s="364" t="s">
        <v>2323</v>
      </c>
      <c r="T375" s="364" t="s">
        <v>2324</v>
      </c>
      <c r="U375" s="364" t="s">
        <v>2437</v>
      </c>
      <c r="V375" s="364" t="s">
        <v>2378</v>
      </c>
      <c r="W375" s="364" t="s">
        <v>2328</v>
      </c>
      <c r="X375" s="364" t="s">
        <v>2459</v>
      </c>
      <c r="Y375" s="364" t="s">
        <v>2329</v>
      </c>
      <c r="Z375" s="364" t="s">
        <v>2379</v>
      </c>
      <c r="AA375" s="364" t="s">
        <v>2507</v>
      </c>
      <c r="AB375" s="364" t="s">
        <v>2386</v>
      </c>
      <c r="AC375" s="364" t="s">
        <v>2454</v>
      </c>
      <c r="AD375" s="364" t="s">
        <v>157</v>
      </c>
      <c r="AE375" s="364" t="s">
        <v>2337</v>
      </c>
      <c r="AF375" s="364" t="s">
        <v>2340</v>
      </c>
      <c r="AG375" s="364" t="s">
        <v>2341</v>
      </c>
      <c r="AH375" s="364" t="s">
        <v>2422</v>
      </c>
      <c r="AI375" s="364" t="s">
        <v>2443</v>
      </c>
      <c r="AJ375" s="364" t="s">
        <v>2344</v>
      </c>
      <c r="AK375" s="364" t="s">
        <v>2345</v>
      </c>
      <c r="AL375" s="364" t="s">
        <v>2444</v>
      </c>
      <c r="AM375" s="364" t="s">
        <v>2515</v>
      </c>
      <c r="AN375" s="364" t="s">
        <v>2446</v>
      </c>
      <c r="AO375" s="364" t="s">
        <v>2477</v>
      </c>
      <c r="AP375" s="364" t="s">
        <v>2430</v>
      </c>
      <c r="AQ375" s="364"/>
      <c r="AR375" s="364"/>
      <c r="AS375" s="364"/>
      <c r="AT375" s="364"/>
      <c r="AU375" s="364"/>
      <c r="AV375" s="364"/>
      <c r="AW375" s="364"/>
      <c r="AX375" s="364"/>
      <c r="AY375" s="364"/>
      <c r="AZ375" s="364"/>
      <c r="BA375" s="364"/>
      <c r="BB375" s="364"/>
      <c r="BC375" s="364"/>
      <c r="BD375" s="364"/>
      <c r="BE375" s="364"/>
      <c r="BF375" s="364"/>
      <c r="BG375" s="364"/>
      <c r="BH375" s="364"/>
      <c r="BI375" s="364"/>
      <c r="BJ375" s="364"/>
      <c r="BK375" s="364"/>
      <c r="BL375" s="364"/>
      <c r="BM375" s="364"/>
      <c r="BN375" s="364"/>
      <c r="BO375" s="364"/>
      <c r="BP375" s="364"/>
      <c r="BQ375" s="364"/>
      <c r="BR375" s="364"/>
      <c r="BS375" s="364"/>
      <c r="BT375" s="364"/>
      <c r="BU375" s="364"/>
      <c r="BV375" s="364"/>
      <c r="BW375" s="364"/>
      <c r="BX375" s="364"/>
      <c r="BY375" s="364"/>
      <c r="BZ375" s="364"/>
      <c r="CA375" s="364"/>
      <c r="CB375" s="364"/>
      <c r="CC375" s="364"/>
      <c r="CD375" s="364"/>
      <c r="CE375" s="364"/>
      <c r="CF375" s="364"/>
      <c r="CG375" s="364"/>
      <c r="CH375" s="364"/>
      <c r="CI375" s="364"/>
      <c r="CJ375" s="364"/>
      <c r="CK375" s="364"/>
      <c r="CL375" s="364"/>
      <c r="CM375" s="364"/>
      <c r="CN375" s="364"/>
      <c r="CO375" s="364"/>
      <c r="CP375" s="364"/>
      <c r="CQ375" s="364"/>
      <c r="CR375" s="364"/>
      <c r="CS375" s="364"/>
      <c r="CT375" s="364"/>
      <c r="CU375" s="364"/>
      <c r="CV375" s="364"/>
      <c r="CW375" s="364"/>
      <c r="CX375" s="364"/>
      <c r="CY375" s="364"/>
      <c r="CZ375" s="364"/>
      <c r="DA375" s="364"/>
      <c r="DB375" s="364"/>
      <c r="DC375" s="364"/>
      <c r="DD375" s="364"/>
      <c r="DE375" s="364"/>
      <c r="DF375" s="364"/>
      <c r="DG375" s="364"/>
      <c r="DH375" s="364"/>
      <c r="DI375" s="364"/>
      <c r="DJ375" s="364"/>
      <c r="DK375" s="364"/>
      <c r="DL375" s="364"/>
      <c r="DM375" s="364"/>
      <c r="DN375" s="364"/>
      <c r="DO375" s="364"/>
      <c r="DP375" s="364"/>
      <c r="DQ375" s="364"/>
      <c r="DR375" s="364"/>
      <c r="DS375" s="364"/>
      <c r="DT375" s="364"/>
      <c r="DU375" s="364"/>
      <c r="DV375" s="364"/>
      <c r="DW375" s="364"/>
      <c r="DX375" s="364"/>
      <c r="DY375" s="364"/>
      <c r="DZ375" s="364"/>
      <c r="EA375" s="364"/>
      <c r="EB375" s="364"/>
      <c r="EC375" s="364"/>
      <c r="ED375" s="364"/>
      <c r="EE375" s="364"/>
      <c r="EF375" s="364"/>
      <c r="EG375" s="364"/>
      <c r="EH375" s="364"/>
      <c r="EI375" s="364"/>
      <c r="EJ375" s="364"/>
      <c r="EK375" s="364"/>
      <c r="EL375" s="364"/>
      <c r="EM375" s="364"/>
      <c r="EN375" s="364"/>
      <c r="EO375" s="364"/>
      <c r="EP375" s="364"/>
      <c r="EQ375" s="364"/>
      <c r="ER375" s="364"/>
      <c r="ES375" s="364"/>
      <c r="ET375" s="364"/>
      <c r="EU375" s="364"/>
      <c r="EV375" s="364"/>
      <c r="EW375" s="364"/>
      <c r="EX375" s="364"/>
      <c r="EY375" s="364"/>
      <c r="EZ375" s="364"/>
      <c r="FA375" s="364"/>
      <c r="FB375" s="364"/>
      <c r="FC375" s="364"/>
      <c r="FD375" s="364"/>
      <c r="FE375" s="364"/>
      <c r="FF375" s="364"/>
      <c r="FG375" s="364"/>
      <c r="FH375" s="364"/>
      <c r="FI375" s="364"/>
      <c r="FJ375" s="364"/>
      <c r="FK375" s="364"/>
    </row>
    <row r="376" customFormat="false" ht="15.75" hidden="false" customHeight="false" outlineLevel="0" collapsed="false">
      <c r="A376" s="364" t="n">
        <v>738</v>
      </c>
      <c r="B376" s="364" t="n">
        <f aca="false">COUNTA(D376:FK376)</f>
        <v>31</v>
      </c>
      <c r="C376" s="364" t="s">
        <v>1830</v>
      </c>
      <c r="D376" s="364" t="s">
        <v>2352</v>
      </c>
      <c r="E376" s="364" t="s">
        <v>2516</v>
      </c>
      <c r="F376" s="364" t="s">
        <v>2541</v>
      </c>
      <c r="G376" s="364" t="s">
        <v>2315</v>
      </c>
      <c r="H376" s="364" t="s">
        <v>2510</v>
      </c>
      <c r="I376" s="364" t="s">
        <v>2320</v>
      </c>
      <c r="J376" s="364" t="s">
        <v>2449</v>
      </c>
      <c r="K376" s="364" t="s">
        <v>2411</v>
      </c>
      <c r="L376" s="364" t="s">
        <v>2376</v>
      </c>
      <c r="M376" s="364" t="s">
        <v>2324</v>
      </c>
      <c r="N376" s="364" t="s">
        <v>2328</v>
      </c>
      <c r="O376" s="364" t="s">
        <v>2329</v>
      </c>
      <c r="P376" s="364" t="s">
        <v>2506</v>
      </c>
      <c r="Q376" s="364" t="s">
        <v>2508</v>
      </c>
      <c r="R376" s="364" t="s">
        <v>2384</v>
      </c>
      <c r="S376" s="364" t="s">
        <v>2454</v>
      </c>
      <c r="T376" s="364" t="s">
        <v>2461</v>
      </c>
      <c r="U376" s="364" t="s">
        <v>2337</v>
      </c>
      <c r="V376" s="364" t="s">
        <v>2469</v>
      </c>
      <c r="W376" s="364" t="s">
        <v>2339</v>
      </c>
      <c r="X376" s="364" t="s">
        <v>2340</v>
      </c>
      <c r="Y376" s="364" t="s">
        <v>2701</v>
      </c>
      <c r="Z376" s="364" t="s">
        <v>2341</v>
      </c>
      <c r="AA376" s="364" t="s">
        <v>2344</v>
      </c>
      <c r="AB376" s="364" t="s">
        <v>2500</v>
      </c>
      <c r="AC376" s="364" t="s">
        <v>2347</v>
      </c>
      <c r="AD376" s="364" t="s">
        <v>2511</v>
      </c>
      <c r="AE376" s="364" t="s">
        <v>2349</v>
      </c>
      <c r="AF376" s="364" t="s">
        <v>2492</v>
      </c>
      <c r="AG376" s="364" t="s">
        <v>2458</v>
      </c>
      <c r="AH376" s="364" t="s">
        <v>2430</v>
      </c>
      <c r="AI376" s="364"/>
      <c r="AJ376" s="364"/>
      <c r="AK376" s="364"/>
      <c r="AL376" s="364"/>
      <c r="AM376" s="364"/>
      <c r="AN376" s="364"/>
      <c r="AO376" s="364"/>
      <c r="AP376" s="364"/>
      <c r="AQ376" s="364"/>
      <c r="AR376" s="364"/>
      <c r="AS376" s="364"/>
      <c r="AT376" s="364"/>
      <c r="AU376" s="364"/>
      <c r="AV376" s="364"/>
      <c r="AW376" s="364"/>
      <c r="AX376" s="364"/>
      <c r="AY376" s="364"/>
      <c r="AZ376" s="364"/>
      <c r="BA376" s="364"/>
      <c r="BB376" s="364"/>
      <c r="BC376" s="364"/>
      <c r="BD376" s="364"/>
      <c r="BE376" s="364"/>
      <c r="BF376" s="364"/>
      <c r="BG376" s="364"/>
      <c r="BH376" s="364"/>
      <c r="BI376" s="364"/>
      <c r="BJ376" s="364"/>
      <c r="BK376" s="364"/>
      <c r="BL376" s="364"/>
      <c r="BM376" s="364"/>
      <c r="BN376" s="364"/>
      <c r="BO376" s="364"/>
      <c r="BP376" s="364"/>
      <c r="BQ376" s="364"/>
      <c r="BR376" s="364"/>
      <c r="BS376" s="364"/>
      <c r="BT376" s="364"/>
      <c r="BU376" s="364"/>
      <c r="BV376" s="364"/>
      <c r="BW376" s="364"/>
      <c r="BX376" s="364"/>
      <c r="BY376" s="364"/>
      <c r="BZ376" s="364"/>
      <c r="CA376" s="364"/>
      <c r="CB376" s="364"/>
      <c r="CC376" s="364"/>
      <c r="CD376" s="364"/>
      <c r="CE376" s="364"/>
      <c r="CF376" s="364"/>
      <c r="CG376" s="364"/>
      <c r="CH376" s="364"/>
      <c r="CI376" s="364"/>
      <c r="CJ376" s="364"/>
      <c r="CK376" s="364"/>
      <c r="CL376" s="364"/>
      <c r="CM376" s="364"/>
      <c r="CN376" s="364"/>
      <c r="CO376" s="364"/>
      <c r="CP376" s="364"/>
      <c r="CQ376" s="364"/>
      <c r="CR376" s="364"/>
      <c r="CS376" s="364"/>
      <c r="CT376" s="364"/>
      <c r="CU376" s="364"/>
      <c r="CV376" s="364"/>
      <c r="CW376" s="364"/>
      <c r="CX376" s="364"/>
      <c r="CY376" s="364"/>
      <c r="CZ376" s="364"/>
      <c r="DA376" s="364"/>
      <c r="DB376" s="364"/>
      <c r="DC376" s="364"/>
      <c r="DD376" s="364"/>
      <c r="DE376" s="364"/>
      <c r="DF376" s="364"/>
      <c r="DG376" s="364"/>
      <c r="DH376" s="364"/>
      <c r="DI376" s="364"/>
      <c r="DJ376" s="364"/>
      <c r="DK376" s="364"/>
      <c r="DL376" s="364"/>
      <c r="DM376" s="364"/>
      <c r="DN376" s="364"/>
      <c r="DO376" s="364"/>
      <c r="DP376" s="364"/>
      <c r="DQ376" s="364"/>
      <c r="DR376" s="364"/>
      <c r="DS376" s="364"/>
      <c r="DT376" s="364"/>
      <c r="DU376" s="364"/>
      <c r="DV376" s="364"/>
      <c r="DW376" s="364"/>
      <c r="DX376" s="364"/>
      <c r="DY376" s="364"/>
      <c r="DZ376" s="364"/>
      <c r="EA376" s="364"/>
      <c r="EB376" s="364"/>
      <c r="EC376" s="364"/>
      <c r="ED376" s="364"/>
      <c r="EE376" s="364"/>
      <c r="EF376" s="364"/>
      <c r="EG376" s="364"/>
      <c r="EH376" s="364"/>
      <c r="EI376" s="364"/>
      <c r="EJ376" s="364"/>
      <c r="EK376" s="364"/>
      <c r="EL376" s="364"/>
      <c r="EM376" s="364"/>
      <c r="EN376" s="364"/>
      <c r="EO376" s="364"/>
      <c r="EP376" s="364"/>
      <c r="EQ376" s="364"/>
      <c r="ER376" s="364"/>
      <c r="ES376" s="364"/>
      <c r="ET376" s="364"/>
      <c r="EU376" s="364"/>
      <c r="EV376" s="364"/>
      <c r="EW376" s="364"/>
      <c r="EX376" s="364"/>
      <c r="EY376" s="364"/>
      <c r="EZ376" s="364"/>
      <c r="FA376" s="364"/>
      <c r="FB376" s="364"/>
      <c r="FC376" s="364"/>
      <c r="FD376" s="364"/>
      <c r="FE376" s="364"/>
      <c r="FF376" s="364"/>
      <c r="FG376" s="364"/>
      <c r="FH376" s="364"/>
      <c r="FI376" s="364"/>
      <c r="FJ376" s="364"/>
      <c r="FK376" s="364"/>
    </row>
    <row r="377" customFormat="false" ht="15.75" hidden="false" customHeight="false" outlineLevel="0" collapsed="false">
      <c r="A377" s="364" t="n">
        <v>739</v>
      </c>
      <c r="B377" s="364" t="n">
        <f aca="false">COUNTA(D377:FK377)</f>
        <v>33</v>
      </c>
      <c r="C377" s="364" t="s">
        <v>1832</v>
      </c>
      <c r="D377" s="364" t="s">
        <v>2352</v>
      </c>
      <c r="E377" s="364" t="s">
        <v>2313</v>
      </c>
      <c r="F377" s="364" t="s">
        <v>2541</v>
      </c>
      <c r="G377" s="364" t="s">
        <v>2315</v>
      </c>
      <c r="H377" s="364" t="s">
        <v>2510</v>
      </c>
      <c r="I377" s="364" t="s">
        <v>2497</v>
      </c>
      <c r="J377" s="364" t="s">
        <v>2317</v>
      </c>
      <c r="K377" s="364" t="s">
        <v>2320</v>
      </c>
      <c r="L377" s="364" t="s">
        <v>2449</v>
      </c>
      <c r="M377" s="364" t="s">
        <v>2376</v>
      </c>
      <c r="N377" s="364" t="s">
        <v>2324</v>
      </c>
      <c r="O377" s="364" t="s">
        <v>2328</v>
      </c>
      <c r="P377" s="364" t="s">
        <v>2329</v>
      </c>
      <c r="Q377" s="364" t="s">
        <v>2506</v>
      </c>
      <c r="R377" s="364" t="s">
        <v>2454</v>
      </c>
      <c r="S377" s="364" t="s">
        <v>2461</v>
      </c>
      <c r="T377" s="364" t="s">
        <v>2337</v>
      </c>
      <c r="U377" s="364" t="s">
        <v>2469</v>
      </c>
      <c r="V377" s="364" t="s">
        <v>2388</v>
      </c>
      <c r="W377" s="364" t="s">
        <v>2339</v>
      </c>
      <c r="X377" s="364" t="s">
        <v>2389</v>
      </c>
      <c r="Y377" s="364" t="s">
        <v>2340</v>
      </c>
      <c r="Z377" s="364" t="s">
        <v>2701</v>
      </c>
      <c r="AA377" s="364" t="s">
        <v>2341</v>
      </c>
      <c r="AB377" s="364" t="s">
        <v>2423</v>
      </c>
      <c r="AC377" s="364" t="s">
        <v>2344</v>
      </c>
      <c r="AD377" s="364" t="s">
        <v>2346</v>
      </c>
      <c r="AE377" s="364" t="s">
        <v>2500</v>
      </c>
      <c r="AF377" s="364" t="s">
        <v>2347</v>
      </c>
      <c r="AG377" s="364" t="s">
        <v>2511</v>
      </c>
      <c r="AH377" s="364" t="s">
        <v>2349</v>
      </c>
      <c r="AI377" s="364" t="s">
        <v>2458</v>
      </c>
      <c r="AJ377" s="364" t="s">
        <v>2430</v>
      </c>
      <c r="AK377" s="364"/>
      <c r="AL377" s="364"/>
      <c r="AM377" s="364"/>
      <c r="AN377" s="364"/>
      <c r="AO377" s="364"/>
      <c r="AP377" s="364"/>
      <c r="AQ377" s="364"/>
      <c r="AR377" s="364"/>
      <c r="AS377" s="364"/>
      <c r="AT377" s="364"/>
      <c r="AU377" s="364"/>
      <c r="AV377" s="364"/>
      <c r="AW377" s="364"/>
      <c r="AX377" s="364"/>
      <c r="AY377" s="364"/>
      <c r="AZ377" s="364"/>
      <c r="BA377" s="364"/>
      <c r="BB377" s="364"/>
      <c r="BC377" s="364"/>
      <c r="BD377" s="364"/>
      <c r="BE377" s="364"/>
      <c r="BF377" s="364"/>
      <c r="BG377" s="364"/>
      <c r="BH377" s="364"/>
      <c r="BI377" s="364"/>
      <c r="BJ377" s="364"/>
      <c r="BK377" s="364"/>
      <c r="BL377" s="364"/>
      <c r="BM377" s="364"/>
      <c r="BN377" s="364"/>
      <c r="BO377" s="364"/>
      <c r="BP377" s="364"/>
      <c r="BQ377" s="364"/>
      <c r="BR377" s="364"/>
      <c r="BS377" s="364"/>
      <c r="BT377" s="364"/>
      <c r="BU377" s="364"/>
      <c r="BV377" s="364"/>
      <c r="BW377" s="364"/>
      <c r="BX377" s="364"/>
      <c r="BY377" s="364"/>
      <c r="BZ377" s="364"/>
      <c r="CA377" s="364"/>
      <c r="CB377" s="364"/>
      <c r="CC377" s="364"/>
      <c r="CD377" s="364"/>
      <c r="CE377" s="364"/>
      <c r="CF377" s="364"/>
      <c r="CG377" s="364"/>
      <c r="CH377" s="364"/>
      <c r="CI377" s="364"/>
      <c r="CJ377" s="364"/>
      <c r="CK377" s="364"/>
      <c r="CL377" s="364"/>
      <c r="CM377" s="364"/>
      <c r="CN377" s="364"/>
      <c r="CO377" s="364"/>
      <c r="CP377" s="364"/>
      <c r="CQ377" s="364"/>
      <c r="CR377" s="364"/>
      <c r="CS377" s="364"/>
      <c r="CT377" s="364"/>
      <c r="CU377" s="364"/>
      <c r="CV377" s="364"/>
      <c r="CW377" s="364"/>
      <c r="CX377" s="364"/>
      <c r="CY377" s="364"/>
      <c r="CZ377" s="364"/>
      <c r="DA377" s="364"/>
      <c r="DB377" s="364"/>
      <c r="DC377" s="364"/>
      <c r="DD377" s="364"/>
      <c r="DE377" s="364"/>
      <c r="DF377" s="364"/>
      <c r="DG377" s="364"/>
      <c r="DH377" s="364"/>
      <c r="DI377" s="364"/>
      <c r="DJ377" s="364"/>
      <c r="DK377" s="364"/>
      <c r="DL377" s="364"/>
      <c r="DM377" s="364"/>
      <c r="DN377" s="364"/>
      <c r="DO377" s="364"/>
      <c r="DP377" s="364"/>
      <c r="DQ377" s="364"/>
      <c r="DR377" s="364"/>
      <c r="DS377" s="364"/>
      <c r="DT377" s="364"/>
      <c r="DU377" s="364"/>
      <c r="DV377" s="364"/>
      <c r="DW377" s="364"/>
      <c r="DX377" s="364"/>
      <c r="DY377" s="364"/>
      <c r="DZ377" s="364"/>
      <c r="EA377" s="364"/>
      <c r="EB377" s="364"/>
      <c r="EC377" s="364"/>
      <c r="ED377" s="364"/>
      <c r="EE377" s="364"/>
      <c r="EF377" s="364"/>
      <c r="EG377" s="364"/>
      <c r="EH377" s="364"/>
      <c r="EI377" s="364"/>
      <c r="EJ377" s="364"/>
      <c r="EK377" s="364"/>
      <c r="EL377" s="364"/>
      <c r="EM377" s="364"/>
      <c r="EN377" s="364"/>
      <c r="EO377" s="364"/>
      <c r="EP377" s="364"/>
      <c r="EQ377" s="364"/>
      <c r="ER377" s="364"/>
      <c r="ES377" s="364"/>
      <c r="ET377" s="364"/>
      <c r="EU377" s="364"/>
      <c r="EV377" s="364"/>
      <c r="EW377" s="364"/>
      <c r="EX377" s="364"/>
      <c r="EY377" s="364"/>
      <c r="EZ377" s="364"/>
      <c r="FA377" s="364"/>
      <c r="FB377" s="364"/>
      <c r="FC377" s="364"/>
      <c r="FD377" s="364"/>
      <c r="FE377" s="364"/>
      <c r="FF377" s="364"/>
      <c r="FG377" s="364"/>
      <c r="FH377" s="364"/>
      <c r="FI377" s="364"/>
      <c r="FJ377" s="364"/>
      <c r="FK377" s="364"/>
    </row>
    <row r="378" customFormat="false" ht="15.75" hidden="false" customHeight="false" outlineLevel="0" collapsed="false">
      <c r="A378" s="364" t="n">
        <v>740</v>
      </c>
      <c r="B378" s="364" t="n">
        <f aca="false">COUNTA(D378:FK378)</f>
        <v>32</v>
      </c>
      <c r="C378" s="364" t="s">
        <v>1834</v>
      </c>
      <c r="D378" s="364" t="s">
        <v>2352</v>
      </c>
      <c r="E378" s="364" t="s">
        <v>2516</v>
      </c>
      <c r="F378" s="364" t="s">
        <v>2541</v>
      </c>
      <c r="G378" s="364" t="s">
        <v>2315</v>
      </c>
      <c r="H378" s="364" t="s">
        <v>2510</v>
      </c>
      <c r="I378" s="364" t="s">
        <v>2319</v>
      </c>
      <c r="J378" s="364" t="s">
        <v>2320</v>
      </c>
      <c r="K378" s="364" t="s">
        <v>2449</v>
      </c>
      <c r="L378" s="364" t="s">
        <v>2376</v>
      </c>
      <c r="M378" s="364" t="s">
        <v>2323</v>
      </c>
      <c r="N378" s="364" t="s">
        <v>2324</v>
      </c>
      <c r="O378" s="364" t="s">
        <v>2325</v>
      </c>
      <c r="P378" s="364" t="s">
        <v>2328</v>
      </c>
      <c r="Q378" s="364" t="s">
        <v>2329</v>
      </c>
      <c r="R378" s="364" t="s">
        <v>2556</v>
      </c>
      <c r="S378" s="364" t="s">
        <v>2623</v>
      </c>
      <c r="T378" s="364" t="s">
        <v>2461</v>
      </c>
      <c r="U378" s="364" t="s">
        <v>2337</v>
      </c>
      <c r="V378" s="364" t="s">
        <v>2469</v>
      </c>
      <c r="W378" s="364" t="s">
        <v>2339</v>
      </c>
      <c r="X378" s="364" t="s">
        <v>2340</v>
      </c>
      <c r="Y378" s="364" t="s">
        <v>2701</v>
      </c>
      <c r="Z378" s="364" t="s">
        <v>2341</v>
      </c>
      <c r="AA378" s="364" t="s">
        <v>2342</v>
      </c>
      <c r="AB378" s="364" t="s">
        <v>2344</v>
      </c>
      <c r="AC378" s="364" t="s">
        <v>2345</v>
      </c>
      <c r="AD378" s="364" t="s">
        <v>2500</v>
      </c>
      <c r="AE378" s="364" t="s">
        <v>2347</v>
      </c>
      <c r="AF378" s="364" t="s">
        <v>2511</v>
      </c>
      <c r="AG378" s="364" t="s">
        <v>2349</v>
      </c>
      <c r="AH378" s="364" t="s">
        <v>2458</v>
      </c>
      <c r="AI378" s="364" t="s">
        <v>2430</v>
      </c>
      <c r="AJ378" s="364"/>
      <c r="AK378" s="364"/>
      <c r="AL378" s="364"/>
      <c r="AM378" s="364"/>
      <c r="AN378" s="364"/>
      <c r="AO378" s="364"/>
      <c r="AP378" s="364"/>
      <c r="AQ378" s="364"/>
      <c r="AR378" s="364"/>
      <c r="AS378" s="364"/>
      <c r="AT378" s="364"/>
      <c r="AU378" s="364"/>
      <c r="AV378" s="364"/>
      <c r="AW378" s="364"/>
      <c r="AX378" s="364"/>
      <c r="AY378" s="364"/>
      <c r="AZ378" s="364"/>
      <c r="BA378" s="364"/>
      <c r="BB378" s="364"/>
      <c r="BC378" s="364"/>
      <c r="BD378" s="364"/>
      <c r="BE378" s="364"/>
      <c r="BF378" s="364"/>
      <c r="BG378" s="364"/>
      <c r="BH378" s="364"/>
      <c r="BI378" s="364"/>
      <c r="BJ378" s="364"/>
      <c r="BK378" s="364"/>
      <c r="BL378" s="364"/>
      <c r="BM378" s="364"/>
      <c r="BN378" s="364"/>
      <c r="BO378" s="364"/>
      <c r="BP378" s="364"/>
      <c r="BQ378" s="364"/>
      <c r="BR378" s="364"/>
      <c r="BS378" s="364"/>
      <c r="BT378" s="364"/>
      <c r="BU378" s="364"/>
      <c r="BV378" s="364"/>
      <c r="BW378" s="364"/>
      <c r="BX378" s="364"/>
      <c r="BY378" s="364"/>
      <c r="BZ378" s="364"/>
      <c r="CA378" s="364"/>
      <c r="CB378" s="364"/>
      <c r="CC378" s="364"/>
      <c r="CD378" s="364"/>
      <c r="CE378" s="364"/>
      <c r="CF378" s="364"/>
      <c r="CG378" s="364"/>
      <c r="CH378" s="364"/>
      <c r="CI378" s="364"/>
      <c r="CJ378" s="364"/>
      <c r="CK378" s="364"/>
      <c r="CL378" s="364"/>
      <c r="CM378" s="364"/>
      <c r="CN378" s="364"/>
      <c r="CO378" s="364"/>
      <c r="CP378" s="364"/>
      <c r="CQ378" s="364"/>
      <c r="CR378" s="364"/>
      <c r="CS378" s="364"/>
      <c r="CT378" s="364"/>
      <c r="CU378" s="364"/>
      <c r="CV378" s="364"/>
      <c r="CW378" s="364"/>
      <c r="CX378" s="364"/>
      <c r="CY378" s="364"/>
      <c r="CZ378" s="364"/>
      <c r="DA378" s="364"/>
      <c r="DB378" s="364"/>
      <c r="DC378" s="364"/>
      <c r="DD378" s="364"/>
      <c r="DE378" s="364"/>
      <c r="DF378" s="364"/>
      <c r="DG378" s="364"/>
      <c r="DH378" s="364"/>
      <c r="DI378" s="364"/>
      <c r="DJ378" s="364"/>
      <c r="DK378" s="364"/>
      <c r="DL378" s="364"/>
      <c r="DM378" s="364"/>
      <c r="DN378" s="364"/>
      <c r="DO378" s="364"/>
      <c r="DP378" s="364"/>
      <c r="DQ378" s="364"/>
      <c r="DR378" s="364"/>
      <c r="DS378" s="364"/>
      <c r="DT378" s="364"/>
      <c r="DU378" s="364"/>
      <c r="DV378" s="364"/>
      <c r="DW378" s="364"/>
      <c r="DX378" s="364"/>
      <c r="DY378" s="364"/>
      <c r="DZ378" s="364"/>
      <c r="EA378" s="364"/>
      <c r="EB378" s="364"/>
      <c r="EC378" s="364"/>
      <c r="ED378" s="364"/>
      <c r="EE378" s="364"/>
      <c r="EF378" s="364"/>
      <c r="EG378" s="364"/>
      <c r="EH378" s="364"/>
      <c r="EI378" s="364"/>
      <c r="EJ378" s="364"/>
      <c r="EK378" s="364"/>
      <c r="EL378" s="364"/>
      <c r="EM378" s="364"/>
      <c r="EN378" s="364"/>
      <c r="EO378" s="364"/>
      <c r="EP378" s="364"/>
      <c r="EQ378" s="364"/>
      <c r="ER378" s="364"/>
      <c r="ES378" s="364"/>
      <c r="ET378" s="364"/>
      <c r="EU378" s="364"/>
      <c r="EV378" s="364"/>
      <c r="EW378" s="364"/>
      <c r="EX378" s="364"/>
      <c r="EY378" s="364"/>
      <c r="EZ378" s="364"/>
      <c r="FA378" s="364"/>
      <c r="FB378" s="364"/>
      <c r="FC378" s="364"/>
      <c r="FD378" s="364"/>
      <c r="FE378" s="364"/>
      <c r="FF378" s="364"/>
      <c r="FG378" s="364"/>
      <c r="FH378" s="364"/>
      <c r="FI378" s="364"/>
      <c r="FJ378" s="364"/>
      <c r="FK378" s="364"/>
    </row>
    <row r="379" customFormat="false" ht="15.75" hidden="false" customHeight="false" outlineLevel="0" collapsed="false">
      <c r="A379" s="364" t="n">
        <v>741</v>
      </c>
      <c r="B379" s="364" t="n">
        <f aca="false">COUNTA(D379:FK379)</f>
        <v>45</v>
      </c>
      <c r="C379" s="364" t="s">
        <v>1837</v>
      </c>
      <c r="D379" s="364" t="s">
        <v>2431</v>
      </c>
      <c r="E379" s="364" t="s">
        <v>2352</v>
      </c>
      <c r="F379" s="364" t="s">
        <v>2353</v>
      </c>
      <c r="G379" s="364" t="s">
        <v>2354</v>
      </c>
      <c r="H379" s="364" t="s">
        <v>2528</v>
      </c>
      <c r="I379" s="364" t="s">
        <v>2404</v>
      </c>
      <c r="J379" s="364" t="s">
        <v>2356</v>
      </c>
      <c r="K379" s="364" t="s">
        <v>2357</v>
      </c>
      <c r="L379" s="364" t="s">
        <v>2466</v>
      </c>
      <c r="M379" s="364" t="s">
        <v>2409</v>
      </c>
      <c r="N379" s="364" t="s">
        <v>2632</v>
      </c>
      <c r="O379" s="364" t="s">
        <v>2320</v>
      </c>
      <c r="P379" s="364" t="s">
        <v>2375</v>
      </c>
      <c r="Q379" s="364" t="s">
        <v>2376</v>
      </c>
      <c r="R379" s="364" t="s">
        <v>2523</v>
      </c>
      <c r="S379" s="364" t="s">
        <v>2324</v>
      </c>
      <c r="T379" s="364" t="s">
        <v>2325</v>
      </c>
      <c r="U379" s="364" t="s">
        <v>2437</v>
      </c>
      <c r="V379" s="364" t="s">
        <v>2614</v>
      </c>
      <c r="W379" s="364" t="s">
        <v>2378</v>
      </c>
      <c r="X379" s="364" t="s">
        <v>2328</v>
      </c>
      <c r="Y379" s="364" t="s">
        <v>2459</v>
      </c>
      <c r="Z379" s="364" t="s">
        <v>2329</v>
      </c>
      <c r="AA379" s="364" t="s">
        <v>2417</v>
      </c>
      <c r="AB379" s="364" t="s">
        <v>2379</v>
      </c>
      <c r="AC379" s="364" t="s">
        <v>2381</v>
      </c>
      <c r="AD379" s="364" t="s">
        <v>2330</v>
      </c>
      <c r="AE379" s="364" t="s">
        <v>2452</v>
      </c>
      <c r="AF379" s="364" t="s">
        <v>157</v>
      </c>
      <c r="AG379" s="364" t="s">
        <v>2337</v>
      </c>
      <c r="AH379" s="364" t="s">
        <v>2553</v>
      </c>
      <c r="AI379" s="364" t="s">
        <v>2339</v>
      </c>
      <c r="AJ379" s="364" t="s">
        <v>2340</v>
      </c>
      <c r="AK379" s="364" t="s">
        <v>2341</v>
      </c>
      <c r="AL379" s="364" t="s">
        <v>2394</v>
      </c>
      <c r="AM379" s="364" t="s">
        <v>2343</v>
      </c>
      <c r="AN379" s="364" t="s">
        <v>2471</v>
      </c>
      <c r="AO379" s="364" t="s">
        <v>2423</v>
      </c>
      <c r="AP379" s="364" t="s">
        <v>2344</v>
      </c>
      <c r="AQ379" s="364" t="s">
        <v>2347</v>
      </c>
      <c r="AR379" s="364" t="s">
        <v>2511</v>
      </c>
      <c r="AS379" s="364" t="s">
        <v>2445</v>
      </c>
      <c r="AT379" s="364" t="s">
        <v>2515</v>
      </c>
      <c r="AU379" s="364" t="s">
        <v>2463</v>
      </c>
      <c r="AV379" s="364" t="s">
        <v>2446</v>
      </c>
      <c r="AW379" s="364"/>
      <c r="AX379" s="364"/>
      <c r="AY379" s="364"/>
      <c r="AZ379" s="364"/>
      <c r="BA379" s="364"/>
      <c r="BB379" s="364"/>
      <c r="BC379" s="364"/>
      <c r="BD379" s="364"/>
      <c r="BE379" s="364"/>
      <c r="BF379" s="364"/>
      <c r="BG379" s="364"/>
      <c r="BH379" s="364"/>
      <c r="BI379" s="364"/>
      <c r="BJ379" s="364"/>
      <c r="BK379" s="364"/>
      <c r="BL379" s="364"/>
      <c r="BM379" s="364"/>
      <c r="BN379" s="364"/>
      <c r="BO379" s="364"/>
      <c r="BP379" s="364"/>
      <c r="BQ379" s="364"/>
      <c r="BR379" s="364"/>
      <c r="BS379" s="364"/>
      <c r="BT379" s="364"/>
      <c r="BU379" s="364"/>
      <c r="BV379" s="364"/>
      <c r="BW379" s="364"/>
      <c r="BX379" s="364"/>
      <c r="BY379" s="364"/>
      <c r="BZ379" s="364"/>
      <c r="CA379" s="364"/>
      <c r="CB379" s="364"/>
      <c r="CC379" s="364"/>
      <c r="CD379" s="364"/>
      <c r="CE379" s="364"/>
      <c r="CF379" s="364"/>
      <c r="CG379" s="364"/>
      <c r="CH379" s="364"/>
      <c r="CI379" s="364"/>
      <c r="CJ379" s="364"/>
      <c r="CK379" s="364"/>
      <c r="CL379" s="364"/>
      <c r="CM379" s="364"/>
      <c r="CN379" s="364"/>
      <c r="CO379" s="364"/>
      <c r="CP379" s="364"/>
      <c r="CQ379" s="364"/>
      <c r="CR379" s="364"/>
      <c r="CS379" s="364"/>
      <c r="CT379" s="364"/>
      <c r="CU379" s="364"/>
      <c r="CV379" s="364"/>
      <c r="CW379" s="364"/>
      <c r="CX379" s="364"/>
      <c r="CY379" s="364"/>
      <c r="CZ379" s="364"/>
      <c r="DA379" s="364"/>
      <c r="DB379" s="364"/>
      <c r="DC379" s="364"/>
      <c r="DD379" s="364"/>
      <c r="DE379" s="364"/>
      <c r="DF379" s="364"/>
      <c r="DG379" s="364"/>
      <c r="DH379" s="364"/>
      <c r="DI379" s="364"/>
      <c r="DJ379" s="364"/>
      <c r="DK379" s="364"/>
      <c r="DL379" s="364"/>
      <c r="DM379" s="364"/>
      <c r="DN379" s="364"/>
      <c r="DO379" s="364"/>
      <c r="DP379" s="364"/>
      <c r="DQ379" s="364"/>
      <c r="DR379" s="364"/>
      <c r="DS379" s="364"/>
      <c r="DT379" s="364"/>
      <c r="DU379" s="364"/>
      <c r="DV379" s="364"/>
      <c r="DW379" s="364"/>
      <c r="DX379" s="364"/>
      <c r="DY379" s="364"/>
      <c r="DZ379" s="364"/>
      <c r="EA379" s="364"/>
      <c r="EB379" s="364"/>
      <c r="EC379" s="364"/>
      <c r="ED379" s="364"/>
      <c r="EE379" s="364"/>
      <c r="EF379" s="364"/>
      <c r="EG379" s="364"/>
      <c r="EH379" s="364"/>
      <c r="EI379" s="364"/>
      <c r="EJ379" s="364"/>
      <c r="EK379" s="364"/>
      <c r="EL379" s="364"/>
      <c r="EM379" s="364"/>
      <c r="EN379" s="364"/>
      <c r="EO379" s="364"/>
      <c r="EP379" s="364"/>
      <c r="EQ379" s="364"/>
      <c r="ER379" s="364"/>
      <c r="ES379" s="364"/>
      <c r="ET379" s="364"/>
      <c r="EU379" s="364"/>
      <c r="EV379" s="364"/>
      <c r="EW379" s="364"/>
      <c r="EX379" s="364"/>
      <c r="EY379" s="364"/>
      <c r="EZ379" s="364"/>
      <c r="FA379" s="364"/>
      <c r="FB379" s="364"/>
      <c r="FC379" s="364"/>
      <c r="FD379" s="364"/>
      <c r="FE379" s="364"/>
      <c r="FF379" s="364"/>
      <c r="FG379" s="364"/>
      <c r="FH379" s="364"/>
      <c r="FI379" s="364"/>
      <c r="FJ379" s="364"/>
      <c r="FK379" s="364"/>
    </row>
    <row r="380" customFormat="false" ht="15.75" hidden="false" customHeight="false" outlineLevel="0" collapsed="false">
      <c r="A380" s="364" t="n">
        <v>743</v>
      </c>
      <c r="B380" s="364" t="n">
        <f aca="false">COUNTA(D380:FK380)</f>
        <v>48</v>
      </c>
      <c r="C380" s="364" t="s">
        <v>1842</v>
      </c>
      <c r="D380" s="364" t="s">
        <v>2528</v>
      </c>
      <c r="E380" s="364" t="s">
        <v>2404</v>
      </c>
      <c r="F380" s="364" t="s">
        <v>2356</v>
      </c>
      <c r="G380" s="364" t="s">
        <v>2357</v>
      </c>
      <c r="H380" s="364" t="s">
        <v>2464</v>
      </c>
      <c r="I380" s="364" t="s">
        <v>2466</v>
      </c>
      <c r="J380" s="364" t="s">
        <v>2409</v>
      </c>
      <c r="K380" s="364" t="s">
        <v>2569</v>
      </c>
      <c r="L380" s="364" t="s">
        <v>2436</v>
      </c>
      <c r="M380" s="364" t="s">
        <v>2320</v>
      </c>
      <c r="N380" s="364" t="s">
        <v>2411</v>
      </c>
      <c r="O380" s="364" t="s">
        <v>2375</v>
      </c>
      <c r="P380" s="364" t="s">
        <v>2376</v>
      </c>
      <c r="Q380" s="364" t="s">
        <v>2523</v>
      </c>
      <c r="R380" s="364" t="s">
        <v>2324</v>
      </c>
      <c r="S380" s="364" t="s">
        <v>2325</v>
      </c>
      <c r="T380" s="364" t="s">
        <v>2614</v>
      </c>
      <c r="U380" s="364" t="s">
        <v>2328</v>
      </c>
      <c r="V380" s="364" t="s">
        <v>2329</v>
      </c>
      <c r="W380" s="364" t="s">
        <v>2379</v>
      </c>
      <c r="X380" s="364" t="s">
        <v>2381</v>
      </c>
      <c r="Y380" s="364" t="s">
        <v>2330</v>
      </c>
      <c r="Z380" s="364" t="s">
        <v>2452</v>
      </c>
      <c r="AA380" s="364" t="s">
        <v>157</v>
      </c>
      <c r="AB380" s="364" t="s">
        <v>2337</v>
      </c>
      <c r="AC380" s="364" t="s">
        <v>2553</v>
      </c>
      <c r="AD380" s="364" t="s">
        <v>2339</v>
      </c>
      <c r="AE380" s="364" t="s">
        <v>2340</v>
      </c>
      <c r="AF380" s="364" t="s">
        <v>2341</v>
      </c>
      <c r="AG380" s="364" t="s">
        <v>2470</v>
      </c>
      <c r="AH380" s="364" t="s">
        <v>2394</v>
      </c>
      <c r="AI380" s="364" t="s">
        <v>2343</v>
      </c>
      <c r="AJ380" s="364" t="s">
        <v>2471</v>
      </c>
      <c r="AK380" s="364" t="s">
        <v>2423</v>
      </c>
      <c r="AL380" s="364" t="s">
        <v>2514</v>
      </c>
      <c r="AM380" s="364" t="s">
        <v>2344</v>
      </c>
      <c r="AN380" s="364" t="s">
        <v>2347</v>
      </c>
      <c r="AO380" s="364" t="s">
        <v>2511</v>
      </c>
      <c r="AP380" s="364" t="s">
        <v>2445</v>
      </c>
      <c r="AQ380" s="364" t="s">
        <v>2515</v>
      </c>
      <c r="AR380" s="364" t="s">
        <v>2475</v>
      </c>
      <c r="AS380" s="364" t="s">
        <v>2476</v>
      </c>
      <c r="AT380" s="364" t="s">
        <v>2399</v>
      </c>
      <c r="AU380" s="364" t="s">
        <v>2491</v>
      </c>
      <c r="AV380" s="364" t="s">
        <v>2463</v>
      </c>
      <c r="AW380" s="364" t="s">
        <v>2446</v>
      </c>
      <c r="AX380" s="364" t="s">
        <v>2492</v>
      </c>
      <c r="AY380" s="364" t="s">
        <v>2477</v>
      </c>
      <c r="AZ380" s="364"/>
      <c r="BA380" s="364"/>
      <c r="BB380" s="364"/>
      <c r="BC380" s="364"/>
      <c r="BD380" s="364"/>
      <c r="BE380" s="364"/>
      <c r="BF380" s="364"/>
      <c r="BG380" s="364"/>
      <c r="BH380" s="364"/>
      <c r="BI380" s="364"/>
      <c r="BJ380" s="364"/>
      <c r="BK380" s="364"/>
      <c r="BL380" s="364"/>
      <c r="BM380" s="364"/>
      <c r="BN380" s="364"/>
      <c r="BO380" s="364"/>
      <c r="BP380" s="364"/>
      <c r="BQ380" s="364"/>
      <c r="BR380" s="364"/>
      <c r="BS380" s="364"/>
      <c r="BT380" s="364"/>
      <c r="BU380" s="364"/>
      <c r="BV380" s="364"/>
      <c r="BW380" s="364"/>
      <c r="BX380" s="364"/>
      <c r="BY380" s="364"/>
      <c r="BZ380" s="364"/>
      <c r="CA380" s="364"/>
      <c r="CB380" s="364"/>
      <c r="CC380" s="364"/>
      <c r="CD380" s="364"/>
      <c r="CE380" s="364"/>
      <c r="CF380" s="364"/>
      <c r="CG380" s="364"/>
      <c r="CH380" s="364"/>
      <c r="CI380" s="364"/>
      <c r="CJ380" s="364"/>
      <c r="CK380" s="364"/>
      <c r="CL380" s="364"/>
      <c r="CM380" s="364"/>
      <c r="CN380" s="364"/>
      <c r="CO380" s="364"/>
      <c r="CP380" s="364"/>
      <c r="CQ380" s="364"/>
      <c r="CR380" s="364"/>
      <c r="CS380" s="364"/>
      <c r="CT380" s="364"/>
      <c r="CU380" s="364"/>
      <c r="CV380" s="364"/>
      <c r="CW380" s="364"/>
      <c r="CX380" s="364"/>
      <c r="CY380" s="364"/>
      <c r="CZ380" s="364"/>
      <c r="DA380" s="364"/>
      <c r="DB380" s="364"/>
      <c r="DC380" s="364"/>
      <c r="DD380" s="364"/>
      <c r="DE380" s="364"/>
      <c r="DF380" s="364"/>
      <c r="DG380" s="364"/>
      <c r="DH380" s="364"/>
      <c r="DI380" s="364"/>
      <c r="DJ380" s="364"/>
      <c r="DK380" s="364"/>
      <c r="DL380" s="364"/>
      <c r="DM380" s="364"/>
      <c r="DN380" s="364"/>
      <c r="DO380" s="364"/>
      <c r="DP380" s="364"/>
      <c r="DQ380" s="364"/>
      <c r="DR380" s="364"/>
      <c r="DS380" s="364"/>
      <c r="DT380" s="364"/>
      <c r="DU380" s="364"/>
      <c r="DV380" s="364"/>
      <c r="DW380" s="364"/>
      <c r="DX380" s="364"/>
      <c r="DY380" s="364"/>
      <c r="DZ380" s="364"/>
      <c r="EA380" s="364"/>
      <c r="EB380" s="364"/>
      <c r="EC380" s="364"/>
      <c r="ED380" s="364"/>
      <c r="EE380" s="364"/>
      <c r="EF380" s="364"/>
      <c r="EG380" s="364"/>
      <c r="EH380" s="364"/>
      <c r="EI380" s="364"/>
      <c r="EJ380" s="364"/>
      <c r="EK380" s="364"/>
      <c r="EL380" s="364"/>
      <c r="EM380" s="364"/>
      <c r="EN380" s="364"/>
      <c r="EO380" s="364"/>
      <c r="EP380" s="364"/>
      <c r="EQ380" s="364"/>
      <c r="ER380" s="364"/>
      <c r="ES380" s="364"/>
      <c r="ET380" s="364"/>
      <c r="EU380" s="364"/>
      <c r="EV380" s="364"/>
      <c r="EW380" s="364"/>
      <c r="EX380" s="364"/>
      <c r="EY380" s="364"/>
      <c r="EZ380" s="364"/>
      <c r="FA380" s="364"/>
      <c r="FB380" s="364"/>
      <c r="FC380" s="364"/>
      <c r="FD380" s="364"/>
      <c r="FE380" s="364"/>
      <c r="FF380" s="364"/>
      <c r="FG380" s="364"/>
      <c r="FH380" s="364"/>
      <c r="FI380" s="364"/>
      <c r="FJ380" s="364"/>
      <c r="FK380" s="364"/>
    </row>
    <row r="381" customFormat="false" ht="15.75" hidden="false" customHeight="false" outlineLevel="0" collapsed="false">
      <c r="A381" s="364" t="n">
        <v>745</v>
      </c>
      <c r="B381" s="364" t="n">
        <f aca="false">COUNTA(D381:FK381)</f>
        <v>47</v>
      </c>
      <c r="C381" s="364" t="s">
        <v>1846</v>
      </c>
      <c r="D381" s="364" t="s">
        <v>2561</v>
      </c>
      <c r="E381" s="364" t="s">
        <v>2687</v>
      </c>
      <c r="F381" s="364" t="s">
        <v>2357</v>
      </c>
      <c r="G381" s="364" t="s">
        <v>2466</v>
      </c>
      <c r="H381" s="364" t="s">
        <v>2315</v>
      </c>
      <c r="I381" s="364" t="s">
        <v>2601</v>
      </c>
      <c r="J381" s="364" t="s">
        <v>2359</v>
      </c>
      <c r="K381" s="364" t="s">
        <v>2360</v>
      </c>
      <c r="L381" s="364" t="s">
        <v>2361</v>
      </c>
      <c r="M381" s="364" t="s">
        <v>2362</v>
      </c>
      <c r="N381" s="364" t="s">
        <v>2363</v>
      </c>
      <c r="O381" s="364" t="s">
        <v>2497</v>
      </c>
      <c r="P381" s="364" t="s">
        <v>2318</v>
      </c>
      <c r="Q381" s="364" t="s">
        <v>2632</v>
      </c>
      <c r="R381" s="364" t="s">
        <v>2320</v>
      </c>
      <c r="S381" s="364" t="s">
        <v>2366</v>
      </c>
      <c r="T381" s="364" t="s">
        <v>2367</v>
      </c>
      <c r="U381" s="364" t="s">
        <v>2372</v>
      </c>
      <c r="V381" s="364" t="s">
        <v>2373</v>
      </c>
      <c r="W381" s="364" t="s">
        <v>2375</v>
      </c>
      <c r="X381" s="364" t="s">
        <v>2376</v>
      </c>
      <c r="Y381" s="364" t="s">
        <v>2690</v>
      </c>
      <c r="Z381" s="364" t="s">
        <v>2324</v>
      </c>
      <c r="AA381" s="364" t="s">
        <v>2378</v>
      </c>
      <c r="AB381" s="364" t="s">
        <v>2328</v>
      </c>
      <c r="AC381" s="364" t="s">
        <v>2329</v>
      </c>
      <c r="AD381" s="364" t="s">
        <v>2521</v>
      </c>
      <c r="AE381" s="364" t="s">
        <v>2379</v>
      </c>
      <c r="AF381" s="364" t="s">
        <v>2332</v>
      </c>
      <c r="AG381" s="364" t="s">
        <v>2386</v>
      </c>
      <c r="AH381" s="364" t="s">
        <v>2452</v>
      </c>
      <c r="AI381" s="364" t="s">
        <v>157</v>
      </c>
      <c r="AJ381" s="364" t="s">
        <v>2337</v>
      </c>
      <c r="AK381" s="364" t="s">
        <v>2388</v>
      </c>
      <c r="AL381" s="364" t="s">
        <v>2339</v>
      </c>
      <c r="AM381" s="364" t="s">
        <v>2389</v>
      </c>
      <c r="AN381" s="364" t="s">
        <v>2340</v>
      </c>
      <c r="AO381" s="364" t="s">
        <v>2341</v>
      </c>
      <c r="AP381" s="364" t="s">
        <v>2442</v>
      </c>
      <c r="AQ381" s="364" t="s">
        <v>2392</v>
      </c>
      <c r="AR381" s="364" t="s">
        <v>2395</v>
      </c>
      <c r="AS381" s="364" t="s">
        <v>2344</v>
      </c>
      <c r="AT381" s="364" t="s">
        <v>2345</v>
      </c>
      <c r="AU381" s="364" t="s">
        <v>2396</v>
      </c>
      <c r="AV381" s="364" t="s">
        <v>2500</v>
      </c>
      <c r="AW381" s="364" t="s">
        <v>2347</v>
      </c>
      <c r="AX381" s="364" t="s">
        <v>2430</v>
      </c>
      <c r="AY381" s="364"/>
      <c r="AZ381" s="364"/>
      <c r="BA381" s="364"/>
      <c r="BB381" s="364"/>
      <c r="BC381" s="364"/>
      <c r="BD381" s="364"/>
      <c r="BE381" s="364"/>
      <c r="BF381" s="364"/>
      <c r="BG381" s="364"/>
      <c r="BH381" s="364"/>
      <c r="BI381" s="364"/>
      <c r="BJ381" s="364"/>
      <c r="BK381" s="364"/>
      <c r="BL381" s="364"/>
      <c r="BM381" s="364"/>
      <c r="BN381" s="364"/>
      <c r="BO381" s="364"/>
      <c r="BP381" s="364"/>
      <c r="BQ381" s="364"/>
      <c r="BR381" s="364"/>
      <c r="BS381" s="364"/>
      <c r="BT381" s="364"/>
      <c r="BU381" s="364"/>
      <c r="BV381" s="364"/>
      <c r="BW381" s="364"/>
      <c r="BX381" s="364"/>
      <c r="BY381" s="364"/>
      <c r="BZ381" s="364"/>
      <c r="CA381" s="364"/>
      <c r="CB381" s="364"/>
      <c r="CC381" s="364"/>
      <c r="CD381" s="364"/>
      <c r="CE381" s="364"/>
      <c r="CF381" s="364"/>
      <c r="CG381" s="364"/>
      <c r="CH381" s="364"/>
      <c r="CI381" s="364"/>
      <c r="CJ381" s="364"/>
      <c r="CK381" s="364"/>
      <c r="CL381" s="364"/>
      <c r="CM381" s="364"/>
      <c r="CN381" s="364"/>
      <c r="CO381" s="364"/>
      <c r="CP381" s="364"/>
      <c r="CQ381" s="364"/>
      <c r="CR381" s="364"/>
      <c r="CS381" s="364"/>
      <c r="CT381" s="364"/>
      <c r="CU381" s="364"/>
      <c r="CV381" s="364"/>
      <c r="CW381" s="364"/>
      <c r="CX381" s="364"/>
      <c r="CY381" s="364"/>
      <c r="CZ381" s="364"/>
      <c r="DA381" s="364"/>
      <c r="DB381" s="364"/>
      <c r="DC381" s="364"/>
      <c r="DD381" s="364"/>
      <c r="DE381" s="364"/>
      <c r="DF381" s="364"/>
      <c r="DG381" s="364"/>
      <c r="DH381" s="364"/>
      <c r="DI381" s="364"/>
      <c r="DJ381" s="364"/>
      <c r="DK381" s="364"/>
      <c r="DL381" s="364"/>
      <c r="DM381" s="364"/>
      <c r="DN381" s="364"/>
      <c r="DO381" s="364"/>
      <c r="DP381" s="364"/>
      <c r="DQ381" s="364"/>
      <c r="DR381" s="364"/>
      <c r="DS381" s="364"/>
      <c r="DT381" s="364"/>
      <c r="DU381" s="364"/>
      <c r="DV381" s="364"/>
      <c r="DW381" s="364"/>
      <c r="DX381" s="364"/>
      <c r="DY381" s="364"/>
      <c r="DZ381" s="364"/>
      <c r="EA381" s="364"/>
      <c r="EB381" s="364"/>
      <c r="EC381" s="364"/>
      <c r="ED381" s="364"/>
      <c r="EE381" s="364"/>
      <c r="EF381" s="364"/>
      <c r="EG381" s="364"/>
      <c r="EH381" s="364"/>
      <c r="EI381" s="364"/>
      <c r="EJ381" s="364"/>
      <c r="EK381" s="364"/>
      <c r="EL381" s="364"/>
      <c r="EM381" s="364"/>
      <c r="EN381" s="364"/>
      <c r="EO381" s="364"/>
      <c r="EP381" s="364"/>
      <c r="EQ381" s="364"/>
      <c r="ER381" s="364"/>
      <c r="ES381" s="364"/>
      <c r="ET381" s="364"/>
      <c r="EU381" s="364"/>
      <c r="EV381" s="364"/>
      <c r="EW381" s="364"/>
      <c r="EX381" s="364"/>
      <c r="EY381" s="364"/>
      <c r="EZ381" s="364"/>
      <c r="FA381" s="364"/>
      <c r="FB381" s="364"/>
      <c r="FC381" s="364"/>
      <c r="FD381" s="364"/>
      <c r="FE381" s="364"/>
      <c r="FF381" s="364"/>
      <c r="FG381" s="364"/>
      <c r="FH381" s="364"/>
      <c r="FI381" s="364"/>
      <c r="FJ381" s="364"/>
      <c r="FK381" s="364"/>
    </row>
    <row r="382" customFormat="false" ht="15.75" hidden="false" customHeight="false" outlineLevel="0" collapsed="false">
      <c r="A382" s="364" t="n">
        <v>746</v>
      </c>
      <c r="B382" s="364" t="n">
        <f aca="false">COUNTA(D382:FK382)</f>
        <v>48</v>
      </c>
      <c r="C382" s="364" t="s">
        <v>1848</v>
      </c>
      <c r="D382" s="364" t="s">
        <v>2561</v>
      </c>
      <c r="E382" s="364" t="s">
        <v>2688</v>
      </c>
      <c r="F382" s="364" t="s">
        <v>2357</v>
      </c>
      <c r="G382" s="364" t="s">
        <v>2464</v>
      </c>
      <c r="H382" s="364" t="s">
        <v>2466</v>
      </c>
      <c r="I382" s="364" t="s">
        <v>2315</v>
      </c>
      <c r="J382" s="364" t="s">
        <v>2601</v>
      </c>
      <c r="K382" s="364" t="s">
        <v>2359</v>
      </c>
      <c r="L382" s="364" t="s">
        <v>2360</v>
      </c>
      <c r="M382" s="364" t="s">
        <v>2361</v>
      </c>
      <c r="N382" s="364" t="s">
        <v>2362</v>
      </c>
      <c r="O382" s="364" t="s">
        <v>2363</v>
      </c>
      <c r="P382" s="364" t="s">
        <v>2497</v>
      </c>
      <c r="Q382" s="364" t="s">
        <v>2318</v>
      </c>
      <c r="R382" s="364" t="s">
        <v>2320</v>
      </c>
      <c r="S382" s="364" t="s">
        <v>2411</v>
      </c>
      <c r="T382" s="364" t="s">
        <v>2375</v>
      </c>
      <c r="U382" s="364" t="s">
        <v>2376</v>
      </c>
      <c r="V382" s="364" t="s">
        <v>2689</v>
      </c>
      <c r="W382" s="364" t="s">
        <v>2324</v>
      </c>
      <c r="X382" s="364" t="s">
        <v>2328</v>
      </c>
      <c r="Y382" s="364" t="s">
        <v>2329</v>
      </c>
      <c r="Z382" s="364" t="s">
        <v>2521</v>
      </c>
      <c r="AA382" s="364" t="s">
        <v>2332</v>
      </c>
      <c r="AB382" s="364" t="s">
        <v>2452</v>
      </c>
      <c r="AC382" s="364" t="s">
        <v>157</v>
      </c>
      <c r="AD382" s="364" t="s">
        <v>2337</v>
      </c>
      <c r="AE382" s="364" t="s">
        <v>2388</v>
      </c>
      <c r="AF382" s="364" t="s">
        <v>2339</v>
      </c>
      <c r="AG382" s="364" t="s">
        <v>2389</v>
      </c>
      <c r="AH382" s="364" t="s">
        <v>2340</v>
      </c>
      <c r="AI382" s="364" t="s">
        <v>2341</v>
      </c>
      <c r="AJ382" s="364" t="s">
        <v>2442</v>
      </c>
      <c r="AK382" s="364" t="s">
        <v>2392</v>
      </c>
      <c r="AL382" s="364" t="s">
        <v>2470</v>
      </c>
      <c r="AM382" s="364" t="s">
        <v>2422</v>
      </c>
      <c r="AN382" s="364" t="s">
        <v>2395</v>
      </c>
      <c r="AO382" s="364" t="s">
        <v>2344</v>
      </c>
      <c r="AP382" s="364" t="s">
        <v>2396</v>
      </c>
      <c r="AQ382" s="364" t="s">
        <v>2500</v>
      </c>
      <c r="AR382" s="364" t="s">
        <v>2347</v>
      </c>
      <c r="AS382" s="364" t="s">
        <v>2475</v>
      </c>
      <c r="AT382" s="364" t="s">
        <v>2476</v>
      </c>
      <c r="AU382" s="364" t="s">
        <v>2488</v>
      </c>
      <c r="AV382" s="364" t="s">
        <v>2399</v>
      </c>
      <c r="AW382" s="364" t="s">
        <v>2492</v>
      </c>
      <c r="AX382" s="364" t="s">
        <v>2477</v>
      </c>
      <c r="AY382" s="364" t="s">
        <v>2430</v>
      </c>
      <c r="AZ382" s="364"/>
      <c r="BA382" s="364"/>
      <c r="BB382" s="364"/>
      <c r="BC382" s="364"/>
      <c r="BD382" s="364"/>
      <c r="BE382" s="364"/>
      <c r="BF382" s="364"/>
      <c r="BG382" s="364"/>
      <c r="BH382" s="364"/>
      <c r="BI382" s="364"/>
      <c r="BJ382" s="364"/>
      <c r="BK382" s="364"/>
      <c r="BL382" s="364"/>
      <c r="BM382" s="364"/>
      <c r="BN382" s="364"/>
      <c r="BO382" s="364"/>
      <c r="BP382" s="364"/>
      <c r="BQ382" s="364"/>
      <c r="BR382" s="364"/>
      <c r="BS382" s="364"/>
      <c r="BT382" s="364"/>
      <c r="BU382" s="364"/>
      <c r="BV382" s="364"/>
      <c r="BW382" s="364"/>
      <c r="BX382" s="364"/>
      <c r="BY382" s="364"/>
      <c r="BZ382" s="364"/>
      <c r="CA382" s="364"/>
      <c r="CB382" s="364"/>
      <c r="CC382" s="364"/>
      <c r="CD382" s="364"/>
      <c r="CE382" s="364"/>
      <c r="CF382" s="364"/>
      <c r="CG382" s="364"/>
      <c r="CH382" s="364"/>
      <c r="CI382" s="364"/>
      <c r="CJ382" s="364"/>
      <c r="CK382" s="364"/>
      <c r="CL382" s="364"/>
      <c r="CM382" s="364"/>
      <c r="CN382" s="364"/>
      <c r="CO382" s="364"/>
      <c r="CP382" s="364"/>
      <c r="CQ382" s="364"/>
      <c r="CR382" s="364"/>
      <c r="CS382" s="364"/>
      <c r="CT382" s="364"/>
      <c r="CU382" s="364"/>
      <c r="CV382" s="364"/>
      <c r="CW382" s="364"/>
      <c r="CX382" s="364"/>
      <c r="CY382" s="364"/>
      <c r="CZ382" s="364"/>
      <c r="DA382" s="364"/>
      <c r="DB382" s="364"/>
      <c r="DC382" s="364"/>
      <c r="DD382" s="364"/>
      <c r="DE382" s="364"/>
      <c r="DF382" s="364"/>
      <c r="DG382" s="364"/>
      <c r="DH382" s="364"/>
      <c r="DI382" s="364"/>
      <c r="DJ382" s="364"/>
      <c r="DK382" s="364"/>
      <c r="DL382" s="364"/>
      <c r="DM382" s="364"/>
      <c r="DN382" s="364"/>
      <c r="DO382" s="364"/>
      <c r="DP382" s="364"/>
      <c r="DQ382" s="364"/>
      <c r="DR382" s="364"/>
      <c r="DS382" s="364"/>
      <c r="DT382" s="364"/>
      <c r="DU382" s="364"/>
      <c r="DV382" s="364"/>
      <c r="DW382" s="364"/>
      <c r="DX382" s="364"/>
      <c r="DY382" s="364"/>
      <c r="DZ382" s="364"/>
      <c r="EA382" s="364"/>
      <c r="EB382" s="364"/>
      <c r="EC382" s="364"/>
      <c r="ED382" s="364"/>
      <c r="EE382" s="364"/>
      <c r="EF382" s="364"/>
      <c r="EG382" s="364"/>
      <c r="EH382" s="364"/>
      <c r="EI382" s="364"/>
      <c r="EJ382" s="364"/>
      <c r="EK382" s="364"/>
      <c r="EL382" s="364"/>
      <c r="EM382" s="364"/>
      <c r="EN382" s="364"/>
      <c r="EO382" s="364"/>
      <c r="EP382" s="364"/>
      <c r="EQ382" s="364"/>
      <c r="ER382" s="364"/>
      <c r="ES382" s="364"/>
      <c r="ET382" s="364"/>
      <c r="EU382" s="364"/>
      <c r="EV382" s="364"/>
      <c r="EW382" s="364"/>
      <c r="EX382" s="364"/>
      <c r="EY382" s="364"/>
      <c r="EZ382" s="364"/>
      <c r="FA382" s="364"/>
      <c r="FB382" s="364"/>
      <c r="FC382" s="364"/>
      <c r="FD382" s="364"/>
      <c r="FE382" s="364"/>
      <c r="FF382" s="364"/>
      <c r="FG382" s="364"/>
      <c r="FH382" s="364"/>
      <c r="FI382" s="364"/>
      <c r="FJ382" s="364"/>
      <c r="FK382" s="364"/>
    </row>
    <row r="383" customFormat="false" ht="15.75" hidden="false" customHeight="false" outlineLevel="0" collapsed="false">
      <c r="A383" s="364" t="n">
        <v>747</v>
      </c>
      <c r="B383" s="364" t="n">
        <f aca="false">COUNTA(D383:FK383)</f>
        <v>37</v>
      </c>
      <c r="C383" s="364" t="s">
        <v>1850</v>
      </c>
      <c r="D383" s="364" t="s">
        <v>2356</v>
      </c>
      <c r="E383" s="364" t="s">
        <v>2357</v>
      </c>
      <c r="F383" s="364" t="s">
        <v>2313</v>
      </c>
      <c r="G383" s="364" t="s">
        <v>2358</v>
      </c>
      <c r="H383" s="364" t="s">
        <v>2497</v>
      </c>
      <c r="I383" s="364" t="s">
        <v>2317</v>
      </c>
      <c r="J383" s="364" t="s">
        <v>2562</v>
      </c>
      <c r="K383" s="364" t="s">
        <v>2632</v>
      </c>
      <c r="L383" s="364" t="s">
        <v>2320</v>
      </c>
      <c r="M383" s="364" t="s">
        <v>2375</v>
      </c>
      <c r="N383" s="364" t="s">
        <v>2376</v>
      </c>
      <c r="O383" s="364" t="s">
        <v>2324</v>
      </c>
      <c r="P383" s="364" t="s">
        <v>2325</v>
      </c>
      <c r="Q383" s="364" t="s">
        <v>2614</v>
      </c>
      <c r="R383" s="364" t="s">
        <v>2328</v>
      </c>
      <c r="S383" s="364" t="s">
        <v>2329</v>
      </c>
      <c r="T383" s="364" t="s">
        <v>2381</v>
      </c>
      <c r="U383" s="364" t="s">
        <v>2330</v>
      </c>
      <c r="V383" s="364" t="s">
        <v>2594</v>
      </c>
      <c r="W383" s="364" t="s">
        <v>2332</v>
      </c>
      <c r="X383" s="364" t="s">
        <v>2452</v>
      </c>
      <c r="Y383" s="364" t="s">
        <v>157</v>
      </c>
      <c r="Z383" s="364" t="s">
        <v>2337</v>
      </c>
      <c r="AA383" s="364" t="s">
        <v>2388</v>
      </c>
      <c r="AB383" s="364" t="s">
        <v>2339</v>
      </c>
      <c r="AC383" s="364" t="s">
        <v>2565</v>
      </c>
      <c r="AD383" s="364" t="s">
        <v>2389</v>
      </c>
      <c r="AE383" s="364" t="s">
        <v>2340</v>
      </c>
      <c r="AF383" s="364" t="s">
        <v>2341</v>
      </c>
      <c r="AG383" s="364" t="s">
        <v>2343</v>
      </c>
      <c r="AH383" s="364" t="s">
        <v>2471</v>
      </c>
      <c r="AI383" s="364" t="s">
        <v>2423</v>
      </c>
      <c r="AJ383" s="364" t="s">
        <v>2344</v>
      </c>
      <c r="AK383" s="364" t="s">
        <v>2500</v>
      </c>
      <c r="AL383" s="364" t="s">
        <v>2347</v>
      </c>
      <c r="AM383" s="364" t="s">
        <v>2511</v>
      </c>
      <c r="AN383" s="364" t="s">
        <v>2446</v>
      </c>
      <c r="AO383" s="364"/>
      <c r="AP383" s="364"/>
      <c r="AQ383" s="364"/>
      <c r="AR383" s="364"/>
      <c r="AS383" s="364"/>
      <c r="AT383" s="364"/>
      <c r="AU383" s="364"/>
      <c r="AV383" s="364"/>
      <c r="AW383" s="364"/>
      <c r="AX383" s="364"/>
      <c r="AY383" s="364"/>
      <c r="AZ383" s="364"/>
      <c r="BA383" s="364"/>
      <c r="BB383" s="364"/>
      <c r="BC383" s="364"/>
      <c r="BD383" s="364"/>
      <c r="BE383" s="364"/>
      <c r="BF383" s="364"/>
      <c r="BG383" s="364"/>
      <c r="BH383" s="364"/>
      <c r="BI383" s="364"/>
      <c r="BJ383" s="364"/>
      <c r="BK383" s="364"/>
      <c r="BL383" s="364"/>
      <c r="BM383" s="364"/>
      <c r="BN383" s="364"/>
      <c r="BO383" s="364"/>
      <c r="BP383" s="364"/>
      <c r="BQ383" s="364"/>
      <c r="BR383" s="364"/>
      <c r="BS383" s="364"/>
      <c r="BT383" s="364"/>
      <c r="BU383" s="364"/>
      <c r="BV383" s="364"/>
      <c r="BW383" s="364"/>
      <c r="BX383" s="364"/>
      <c r="BY383" s="364"/>
      <c r="BZ383" s="364"/>
      <c r="CA383" s="364"/>
      <c r="CB383" s="364"/>
      <c r="CC383" s="364"/>
      <c r="CD383" s="364"/>
      <c r="CE383" s="364"/>
      <c r="CF383" s="364"/>
      <c r="CG383" s="364"/>
      <c r="CH383" s="364"/>
      <c r="CI383" s="364"/>
      <c r="CJ383" s="364"/>
      <c r="CK383" s="364"/>
      <c r="CL383" s="364"/>
      <c r="CM383" s="364"/>
      <c r="CN383" s="364"/>
      <c r="CO383" s="364"/>
      <c r="CP383" s="364"/>
      <c r="CQ383" s="364"/>
      <c r="CR383" s="364"/>
      <c r="CS383" s="364"/>
      <c r="CT383" s="364"/>
      <c r="CU383" s="364"/>
      <c r="CV383" s="364"/>
      <c r="CW383" s="364"/>
      <c r="CX383" s="364"/>
      <c r="CY383" s="364"/>
      <c r="CZ383" s="364"/>
      <c r="DA383" s="364"/>
      <c r="DB383" s="364"/>
      <c r="DC383" s="364"/>
      <c r="DD383" s="364"/>
      <c r="DE383" s="364"/>
      <c r="DF383" s="364"/>
      <c r="DG383" s="364"/>
      <c r="DH383" s="364"/>
      <c r="DI383" s="364"/>
      <c r="DJ383" s="364"/>
      <c r="DK383" s="364"/>
      <c r="DL383" s="364"/>
      <c r="DM383" s="364"/>
      <c r="DN383" s="364"/>
      <c r="DO383" s="364"/>
      <c r="DP383" s="364"/>
      <c r="DQ383" s="364"/>
      <c r="DR383" s="364"/>
      <c r="DS383" s="364"/>
      <c r="DT383" s="364"/>
      <c r="DU383" s="364"/>
      <c r="DV383" s="364"/>
      <c r="DW383" s="364"/>
      <c r="DX383" s="364"/>
      <c r="DY383" s="364"/>
      <c r="DZ383" s="364"/>
      <c r="EA383" s="364"/>
      <c r="EB383" s="364"/>
      <c r="EC383" s="364"/>
      <c r="ED383" s="364"/>
      <c r="EE383" s="364"/>
      <c r="EF383" s="364"/>
      <c r="EG383" s="364"/>
      <c r="EH383" s="364"/>
      <c r="EI383" s="364"/>
      <c r="EJ383" s="364"/>
      <c r="EK383" s="364"/>
      <c r="EL383" s="364"/>
      <c r="EM383" s="364"/>
      <c r="EN383" s="364"/>
      <c r="EO383" s="364"/>
      <c r="EP383" s="364"/>
      <c r="EQ383" s="364"/>
      <c r="ER383" s="364"/>
      <c r="ES383" s="364"/>
      <c r="ET383" s="364"/>
      <c r="EU383" s="364"/>
      <c r="EV383" s="364"/>
      <c r="EW383" s="364"/>
      <c r="EX383" s="364"/>
      <c r="EY383" s="364"/>
      <c r="EZ383" s="364"/>
      <c r="FA383" s="364"/>
      <c r="FB383" s="364"/>
      <c r="FC383" s="364"/>
      <c r="FD383" s="364"/>
      <c r="FE383" s="364"/>
      <c r="FF383" s="364"/>
      <c r="FG383" s="364"/>
      <c r="FH383" s="364"/>
      <c r="FI383" s="364"/>
      <c r="FJ383" s="364"/>
      <c r="FK383" s="364"/>
    </row>
    <row r="384" customFormat="false" ht="15.75" hidden="false" customHeight="false" outlineLevel="0" collapsed="false">
      <c r="A384" s="364" t="n">
        <v>749</v>
      </c>
      <c r="B384" s="364" t="n">
        <f aca="false">COUNTA(D384:FK384)</f>
        <v>43</v>
      </c>
      <c r="C384" s="364" t="s">
        <v>1854</v>
      </c>
      <c r="D384" s="364" t="s">
        <v>2561</v>
      </c>
      <c r="E384" s="364" t="s">
        <v>2405</v>
      </c>
      <c r="F384" s="364" t="s">
        <v>2357</v>
      </c>
      <c r="G384" s="364" t="s">
        <v>2315</v>
      </c>
      <c r="H384" s="364" t="s">
        <v>2601</v>
      </c>
      <c r="I384" s="364" t="s">
        <v>2359</v>
      </c>
      <c r="J384" s="364" t="s">
        <v>2360</v>
      </c>
      <c r="K384" s="364" t="s">
        <v>2361</v>
      </c>
      <c r="L384" s="364" t="s">
        <v>2362</v>
      </c>
      <c r="M384" s="364" t="s">
        <v>2363</v>
      </c>
      <c r="N384" s="364" t="s">
        <v>2497</v>
      </c>
      <c r="O384" s="364" t="s">
        <v>2318</v>
      </c>
      <c r="P384" s="364" t="s">
        <v>2448</v>
      </c>
      <c r="Q384" s="364" t="s">
        <v>2320</v>
      </c>
      <c r="R384" s="364" t="s">
        <v>2411</v>
      </c>
      <c r="S384" s="364" t="s">
        <v>2375</v>
      </c>
      <c r="T384" s="364" t="s">
        <v>2376</v>
      </c>
      <c r="U384" s="364" t="s">
        <v>2324</v>
      </c>
      <c r="V384" s="364" t="s">
        <v>2691</v>
      </c>
      <c r="W384" s="364" t="s">
        <v>2328</v>
      </c>
      <c r="X384" s="364" t="s">
        <v>2329</v>
      </c>
      <c r="Y384" s="364" t="s">
        <v>2521</v>
      </c>
      <c r="Z384" s="364" t="s">
        <v>2415</v>
      </c>
      <c r="AA384" s="364" t="s">
        <v>2417</v>
      </c>
      <c r="AB384" s="364" t="s">
        <v>2506</v>
      </c>
      <c r="AC384" s="364" t="s">
        <v>2332</v>
      </c>
      <c r="AD384" s="364" t="s">
        <v>2452</v>
      </c>
      <c r="AE384" s="364" t="s">
        <v>157</v>
      </c>
      <c r="AF384" s="364" t="s">
        <v>2337</v>
      </c>
      <c r="AG384" s="364" t="s">
        <v>2388</v>
      </c>
      <c r="AH384" s="364" t="s">
        <v>2339</v>
      </c>
      <c r="AI384" s="364" t="s">
        <v>2389</v>
      </c>
      <c r="AJ384" s="364" t="s">
        <v>2340</v>
      </c>
      <c r="AK384" s="364" t="s">
        <v>2341</v>
      </c>
      <c r="AL384" s="364" t="s">
        <v>2442</v>
      </c>
      <c r="AM384" s="364" t="s">
        <v>2392</v>
      </c>
      <c r="AN384" s="364" t="s">
        <v>2422</v>
      </c>
      <c r="AO384" s="364" t="s">
        <v>2395</v>
      </c>
      <c r="AP384" s="364" t="s">
        <v>2344</v>
      </c>
      <c r="AQ384" s="364" t="s">
        <v>2396</v>
      </c>
      <c r="AR384" s="364" t="s">
        <v>2500</v>
      </c>
      <c r="AS384" s="364" t="s">
        <v>2347</v>
      </c>
      <c r="AT384" s="364" t="s">
        <v>2430</v>
      </c>
      <c r="AU384" s="364"/>
      <c r="AV384" s="364"/>
      <c r="AW384" s="364"/>
      <c r="AX384" s="364"/>
      <c r="AY384" s="364"/>
      <c r="AZ384" s="364"/>
      <c r="BA384" s="364"/>
      <c r="BB384" s="364"/>
      <c r="BC384" s="364"/>
      <c r="BD384" s="364"/>
      <c r="BE384" s="364"/>
      <c r="BF384" s="364"/>
      <c r="BG384" s="364"/>
      <c r="BH384" s="364"/>
      <c r="BI384" s="364"/>
      <c r="BJ384" s="364"/>
      <c r="BK384" s="364"/>
      <c r="BL384" s="364"/>
      <c r="BM384" s="364"/>
      <c r="BN384" s="364"/>
      <c r="BO384" s="364"/>
      <c r="BP384" s="364"/>
      <c r="BQ384" s="364"/>
      <c r="BR384" s="364"/>
      <c r="BS384" s="364"/>
      <c r="BT384" s="364"/>
      <c r="BU384" s="364"/>
      <c r="BV384" s="364"/>
      <c r="BW384" s="364"/>
      <c r="BX384" s="364"/>
      <c r="BY384" s="364"/>
      <c r="BZ384" s="364"/>
      <c r="CA384" s="364"/>
      <c r="CB384" s="364"/>
      <c r="CC384" s="364"/>
      <c r="CD384" s="364"/>
      <c r="CE384" s="364"/>
      <c r="CF384" s="364"/>
      <c r="CG384" s="364"/>
      <c r="CH384" s="364"/>
      <c r="CI384" s="364"/>
      <c r="CJ384" s="364"/>
      <c r="CK384" s="364"/>
      <c r="CL384" s="364"/>
      <c r="CM384" s="364"/>
      <c r="CN384" s="364"/>
      <c r="CO384" s="364"/>
      <c r="CP384" s="364"/>
      <c r="CQ384" s="364"/>
      <c r="CR384" s="364"/>
      <c r="CS384" s="364"/>
      <c r="CT384" s="364"/>
      <c r="CU384" s="364"/>
      <c r="CV384" s="364"/>
      <c r="CW384" s="364"/>
      <c r="CX384" s="364"/>
      <c r="CY384" s="364"/>
      <c r="CZ384" s="364"/>
      <c r="DA384" s="364"/>
      <c r="DB384" s="364"/>
      <c r="DC384" s="364"/>
      <c r="DD384" s="364"/>
      <c r="DE384" s="364"/>
      <c r="DF384" s="364"/>
      <c r="DG384" s="364"/>
      <c r="DH384" s="364"/>
      <c r="DI384" s="364"/>
      <c r="DJ384" s="364"/>
      <c r="DK384" s="364"/>
      <c r="DL384" s="364"/>
      <c r="DM384" s="364"/>
      <c r="DN384" s="364"/>
      <c r="DO384" s="364"/>
      <c r="DP384" s="364"/>
      <c r="DQ384" s="364"/>
      <c r="DR384" s="364"/>
      <c r="DS384" s="364"/>
      <c r="DT384" s="364"/>
      <c r="DU384" s="364"/>
      <c r="DV384" s="364"/>
      <c r="DW384" s="364"/>
      <c r="DX384" s="364"/>
      <c r="DY384" s="364"/>
      <c r="DZ384" s="364"/>
      <c r="EA384" s="364"/>
      <c r="EB384" s="364"/>
      <c r="EC384" s="364"/>
      <c r="ED384" s="364"/>
      <c r="EE384" s="364"/>
      <c r="EF384" s="364"/>
      <c r="EG384" s="364"/>
      <c r="EH384" s="364"/>
      <c r="EI384" s="364"/>
      <c r="EJ384" s="364"/>
      <c r="EK384" s="364"/>
      <c r="EL384" s="364"/>
      <c r="EM384" s="364"/>
      <c r="EN384" s="364"/>
      <c r="EO384" s="364"/>
      <c r="EP384" s="364"/>
      <c r="EQ384" s="364"/>
      <c r="ER384" s="364"/>
      <c r="ES384" s="364"/>
      <c r="ET384" s="364"/>
      <c r="EU384" s="364"/>
      <c r="EV384" s="364"/>
      <c r="EW384" s="364"/>
      <c r="EX384" s="364"/>
      <c r="EY384" s="364"/>
      <c r="EZ384" s="364"/>
      <c r="FA384" s="364"/>
      <c r="FB384" s="364"/>
      <c r="FC384" s="364"/>
      <c r="FD384" s="364"/>
      <c r="FE384" s="364"/>
      <c r="FF384" s="364"/>
      <c r="FG384" s="364"/>
      <c r="FH384" s="364"/>
      <c r="FI384" s="364"/>
      <c r="FJ384" s="364"/>
      <c r="FK384" s="364"/>
    </row>
    <row r="385" customFormat="false" ht="15.75" hidden="false" customHeight="false" outlineLevel="0" collapsed="false">
      <c r="A385" s="364" t="n">
        <v>750</v>
      </c>
      <c r="B385" s="364" t="n">
        <f aca="false">COUNTA(D385:FK385)</f>
        <v>44</v>
      </c>
      <c r="C385" s="364" t="s">
        <v>2702</v>
      </c>
      <c r="D385" s="364" t="s">
        <v>2561</v>
      </c>
      <c r="E385" s="364" t="s">
        <v>2405</v>
      </c>
      <c r="F385" s="364" t="s">
        <v>2357</v>
      </c>
      <c r="G385" s="364" t="s">
        <v>2315</v>
      </c>
      <c r="H385" s="364" t="s">
        <v>2601</v>
      </c>
      <c r="I385" s="364" t="s">
        <v>2359</v>
      </c>
      <c r="J385" s="364" t="s">
        <v>2360</v>
      </c>
      <c r="K385" s="364" t="s">
        <v>2361</v>
      </c>
      <c r="L385" s="364" t="s">
        <v>2362</v>
      </c>
      <c r="M385" s="364" t="s">
        <v>2363</v>
      </c>
      <c r="N385" s="364" t="s">
        <v>2497</v>
      </c>
      <c r="O385" s="364" t="s">
        <v>2318</v>
      </c>
      <c r="P385" s="364" t="s">
        <v>2448</v>
      </c>
      <c r="Q385" s="364" t="s">
        <v>2320</v>
      </c>
      <c r="R385" s="364" t="s">
        <v>2411</v>
      </c>
      <c r="S385" s="364" t="s">
        <v>2375</v>
      </c>
      <c r="T385" s="364" t="s">
        <v>2376</v>
      </c>
      <c r="U385" s="364" t="s">
        <v>2703</v>
      </c>
      <c r="V385" s="364" t="s">
        <v>2689</v>
      </c>
      <c r="W385" s="364" t="s">
        <v>2324</v>
      </c>
      <c r="X385" s="364" t="s">
        <v>2328</v>
      </c>
      <c r="Y385" s="364" t="s">
        <v>2329</v>
      </c>
      <c r="Z385" s="364" t="s">
        <v>2521</v>
      </c>
      <c r="AA385" s="364" t="s">
        <v>2415</v>
      </c>
      <c r="AB385" s="364" t="s">
        <v>2417</v>
      </c>
      <c r="AC385" s="364" t="s">
        <v>2506</v>
      </c>
      <c r="AD385" s="364" t="s">
        <v>2332</v>
      </c>
      <c r="AE385" s="364" t="s">
        <v>2452</v>
      </c>
      <c r="AF385" s="364" t="s">
        <v>157</v>
      </c>
      <c r="AG385" s="364" t="s">
        <v>2337</v>
      </c>
      <c r="AH385" s="364" t="s">
        <v>2388</v>
      </c>
      <c r="AI385" s="364" t="s">
        <v>2339</v>
      </c>
      <c r="AJ385" s="364" t="s">
        <v>2389</v>
      </c>
      <c r="AK385" s="364" t="s">
        <v>2340</v>
      </c>
      <c r="AL385" s="364" t="s">
        <v>2341</v>
      </c>
      <c r="AM385" s="364" t="s">
        <v>2442</v>
      </c>
      <c r="AN385" s="364" t="s">
        <v>2392</v>
      </c>
      <c r="AO385" s="364" t="s">
        <v>2422</v>
      </c>
      <c r="AP385" s="364" t="s">
        <v>2395</v>
      </c>
      <c r="AQ385" s="364" t="s">
        <v>2344</v>
      </c>
      <c r="AR385" s="364" t="s">
        <v>2396</v>
      </c>
      <c r="AS385" s="364" t="s">
        <v>2500</v>
      </c>
      <c r="AT385" s="364" t="s">
        <v>2347</v>
      </c>
      <c r="AU385" s="364" t="s">
        <v>2430</v>
      </c>
      <c r="AV385" s="364"/>
      <c r="AW385" s="364"/>
      <c r="AX385" s="364"/>
      <c r="AY385" s="364"/>
      <c r="AZ385" s="364"/>
      <c r="BA385" s="364"/>
      <c r="BB385" s="364"/>
      <c r="BC385" s="364"/>
      <c r="BD385" s="364"/>
      <c r="BE385" s="364"/>
      <c r="BF385" s="364"/>
      <c r="BG385" s="364"/>
      <c r="BH385" s="364"/>
      <c r="BI385" s="364"/>
      <c r="BJ385" s="364"/>
      <c r="BK385" s="364"/>
      <c r="BL385" s="364"/>
      <c r="BM385" s="364"/>
      <c r="BN385" s="364"/>
      <c r="BO385" s="364"/>
      <c r="BP385" s="364"/>
      <c r="BQ385" s="364"/>
      <c r="BR385" s="364"/>
      <c r="BS385" s="364"/>
      <c r="BT385" s="364"/>
      <c r="BU385" s="364"/>
      <c r="BV385" s="364"/>
      <c r="BW385" s="364"/>
      <c r="BX385" s="364"/>
      <c r="BY385" s="364"/>
      <c r="BZ385" s="364"/>
      <c r="CA385" s="364"/>
      <c r="CB385" s="364"/>
      <c r="CC385" s="364"/>
      <c r="CD385" s="364"/>
      <c r="CE385" s="364"/>
      <c r="CF385" s="364"/>
      <c r="CG385" s="364"/>
      <c r="CH385" s="364"/>
      <c r="CI385" s="364"/>
      <c r="CJ385" s="364"/>
      <c r="CK385" s="364"/>
      <c r="CL385" s="364"/>
      <c r="CM385" s="364"/>
      <c r="CN385" s="364"/>
      <c r="CO385" s="364"/>
      <c r="CP385" s="364"/>
      <c r="CQ385" s="364"/>
      <c r="CR385" s="364"/>
      <c r="CS385" s="364"/>
      <c r="CT385" s="364"/>
      <c r="CU385" s="364"/>
      <c r="CV385" s="364"/>
      <c r="CW385" s="364"/>
      <c r="CX385" s="364"/>
      <c r="CY385" s="364"/>
      <c r="CZ385" s="364"/>
      <c r="DA385" s="364"/>
      <c r="DB385" s="364"/>
      <c r="DC385" s="364"/>
      <c r="DD385" s="364"/>
      <c r="DE385" s="364"/>
      <c r="DF385" s="364"/>
      <c r="DG385" s="364"/>
      <c r="DH385" s="364"/>
      <c r="DI385" s="364"/>
      <c r="DJ385" s="364"/>
      <c r="DK385" s="364"/>
      <c r="DL385" s="364"/>
      <c r="DM385" s="364"/>
      <c r="DN385" s="364"/>
      <c r="DO385" s="364"/>
      <c r="DP385" s="364"/>
      <c r="DQ385" s="364"/>
      <c r="DR385" s="364"/>
      <c r="DS385" s="364"/>
      <c r="DT385" s="364"/>
      <c r="DU385" s="364"/>
      <c r="DV385" s="364"/>
      <c r="DW385" s="364"/>
      <c r="DX385" s="364"/>
      <c r="DY385" s="364"/>
      <c r="DZ385" s="364"/>
      <c r="EA385" s="364"/>
      <c r="EB385" s="364"/>
      <c r="EC385" s="364"/>
      <c r="ED385" s="364"/>
      <c r="EE385" s="364"/>
      <c r="EF385" s="364"/>
      <c r="EG385" s="364"/>
      <c r="EH385" s="364"/>
      <c r="EI385" s="364"/>
      <c r="EJ385" s="364"/>
      <c r="EK385" s="364"/>
      <c r="EL385" s="364"/>
      <c r="EM385" s="364"/>
      <c r="EN385" s="364"/>
      <c r="EO385" s="364"/>
      <c r="EP385" s="364"/>
      <c r="EQ385" s="364"/>
      <c r="ER385" s="364"/>
      <c r="ES385" s="364"/>
      <c r="ET385" s="364"/>
      <c r="EU385" s="364"/>
      <c r="EV385" s="364"/>
      <c r="EW385" s="364"/>
      <c r="EX385" s="364"/>
      <c r="EY385" s="364"/>
      <c r="EZ385" s="364"/>
      <c r="FA385" s="364"/>
      <c r="FB385" s="364"/>
      <c r="FC385" s="364"/>
      <c r="FD385" s="364"/>
      <c r="FE385" s="364"/>
      <c r="FF385" s="364"/>
      <c r="FG385" s="364"/>
      <c r="FH385" s="364"/>
      <c r="FI385" s="364"/>
      <c r="FJ385" s="364"/>
      <c r="FK385" s="364"/>
    </row>
    <row r="386" customFormat="false" ht="15.75" hidden="false" customHeight="false" outlineLevel="0" collapsed="false">
      <c r="A386" s="364" t="n">
        <v>751</v>
      </c>
      <c r="B386" s="364" t="n">
        <f aca="false">COUNTA(D386:FK386)</f>
        <v>44</v>
      </c>
      <c r="C386" s="364" t="s">
        <v>2704</v>
      </c>
      <c r="D386" s="364" t="s">
        <v>2561</v>
      </c>
      <c r="E386" s="364" t="s">
        <v>2405</v>
      </c>
      <c r="F386" s="364" t="s">
        <v>2357</v>
      </c>
      <c r="G386" s="364" t="s">
        <v>2315</v>
      </c>
      <c r="H386" s="364" t="s">
        <v>2601</v>
      </c>
      <c r="I386" s="364" t="s">
        <v>2359</v>
      </c>
      <c r="J386" s="364" t="s">
        <v>2360</v>
      </c>
      <c r="K386" s="364" t="s">
        <v>2361</v>
      </c>
      <c r="L386" s="364" t="s">
        <v>2362</v>
      </c>
      <c r="M386" s="364" t="s">
        <v>2363</v>
      </c>
      <c r="N386" s="364" t="s">
        <v>2497</v>
      </c>
      <c r="O386" s="364" t="s">
        <v>2318</v>
      </c>
      <c r="P386" s="364" t="s">
        <v>2448</v>
      </c>
      <c r="Q386" s="364" t="s">
        <v>2320</v>
      </c>
      <c r="R386" s="364" t="s">
        <v>2411</v>
      </c>
      <c r="S386" s="364" t="s">
        <v>2375</v>
      </c>
      <c r="T386" s="364" t="s">
        <v>2376</v>
      </c>
      <c r="U386" s="364" t="s">
        <v>2690</v>
      </c>
      <c r="V386" s="364" t="s">
        <v>2324</v>
      </c>
      <c r="W386" s="364" t="s">
        <v>2328</v>
      </c>
      <c r="X386" s="364" t="s">
        <v>2329</v>
      </c>
      <c r="Y386" s="364" t="s">
        <v>2521</v>
      </c>
      <c r="Z386" s="364" t="s">
        <v>2415</v>
      </c>
      <c r="AA386" s="364" t="s">
        <v>2705</v>
      </c>
      <c r="AB386" s="364" t="s">
        <v>2417</v>
      </c>
      <c r="AC386" s="364" t="s">
        <v>2506</v>
      </c>
      <c r="AD386" s="364" t="s">
        <v>2332</v>
      </c>
      <c r="AE386" s="364" t="s">
        <v>2452</v>
      </c>
      <c r="AF386" s="364" t="s">
        <v>157</v>
      </c>
      <c r="AG386" s="364" t="s">
        <v>2337</v>
      </c>
      <c r="AH386" s="364" t="s">
        <v>2388</v>
      </c>
      <c r="AI386" s="364" t="s">
        <v>2339</v>
      </c>
      <c r="AJ386" s="364" t="s">
        <v>2389</v>
      </c>
      <c r="AK386" s="364" t="s">
        <v>2340</v>
      </c>
      <c r="AL386" s="364" t="s">
        <v>2341</v>
      </c>
      <c r="AM386" s="364" t="s">
        <v>2442</v>
      </c>
      <c r="AN386" s="364" t="s">
        <v>2392</v>
      </c>
      <c r="AO386" s="364" t="s">
        <v>2422</v>
      </c>
      <c r="AP386" s="364" t="s">
        <v>2395</v>
      </c>
      <c r="AQ386" s="364" t="s">
        <v>2344</v>
      </c>
      <c r="AR386" s="364" t="s">
        <v>2396</v>
      </c>
      <c r="AS386" s="364" t="s">
        <v>2500</v>
      </c>
      <c r="AT386" s="364" t="s">
        <v>2347</v>
      </c>
      <c r="AU386" s="364" t="s">
        <v>2430</v>
      </c>
      <c r="AV386" s="364"/>
      <c r="AW386" s="364"/>
      <c r="AX386" s="364"/>
      <c r="AY386" s="364"/>
      <c r="AZ386" s="364"/>
      <c r="BA386" s="364"/>
      <c r="BB386" s="364"/>
      <c r="BC386" s="364"/>
      <c r="BD386" s="364"/>
      <c r="BE386" s="364"/>
      <c r="BF386" s="364"/>
      <c r="BG386" s="364"/>
      <c r="BH386" s="364"/>
      <c r="BI386" s="364"/>
      <c r="BJ386" s="364"/>
      <c r="BK386" s="364"/>
      <c r="BL386" s="364"/>
      <c r="BM386" s="364"/>
      <c r="BN386" s="364"/>
      <c r="BO386" s="364"/>
      <c r="BP386" s="364"/>
      <c r="BQ386" s="364"/>
      <c r="BR386" s="364"/>
      <c r="BS386" s="364"/>
      <c r="BT386" s="364"/>
      <c r="BU386" s="364"/>
      <c r="BV386" s="364"/>
      <c r="BW386" s="364"/>
      <c r="BX386" s="364"/>
      <c r="BY386" s="364"/>
      <c r="BZ386" s="364"/>
      <c r="CA386" s="364"/>
      <c r="CB386" s="364"/>
      <c r="CC386" s="364"/>
      <c r="CD386" s="364"/>
      <c r="CE386" s="364"/>
      <c r="CF386" s="364"/>
      <c r="CG386" s="364"/>
      <c r="CH386" s="364"/>
      <c r="CI386" s="364"/>
      <c r="CJ386" s="364"/>
      <c r="CK386" s="364"/>
      <c r="CL386" s="364"/>
      <c r="CM386" s="364"/>
      <c r="CN386" s="364"/>
      <c r="CO386" s="364"/>
      <c r="CP386" s="364"/>
      <c r="CQ386" s="364"/>
      <c r="CR386" s="364"/>
      <c r="CS386" s="364"/>
      <c r="CT386" s="364"/>
      <c r="CU386" s="364"/>
      <c r="CV386" s="364"/>
      <c r="CW386" s="364"/>
      <c r="CX386" s="364"/>
      <c r="CY386" s="364"/>
      <c r="CZ386" s="364"/>
      <c r="DA386" s="364"/>
      <c r="DB386" s="364"/>
      <c r="DC386" s="364"/>
      <c r="DD386" s="364"/>
      <c r="DE386" s="364"/>
      <c r="DF386" s="364"/>
      <c r="DG386" s="364"/>
      <c r="DH386" s="364"/>
      <c r="DI386" s="364"/>
      <c r="DJ386" s="364"/>
      <c r="DK386" s="364"/>
      <c r="DL386" s="364"/>
      <c r="DM386" s="364"/>
      <c r="DN386" s="364"/>
      <c r="DO386" s="364"/>
      <c r="DP386" s="364"/>
      <c r="DQ386" s="364"/>
      <c r="DR386" s="364"/>
      <c r="DS386" s="364"/>
      <c r="DT386" s="364"/>
      <c r="DU386" s="364"/>
      <c r="DV386" s="364"/>
      <c r="DW386" s="364"/>
      <c r="DX386" s="364"/>
      <c r="DY386" s="364"/>
      <c r="DZ386" s="364"/>
      <c r="EA386" s="364"/>
      <c r="EB386" s="364"/>
      <c r="EC386" s="364"/>
      <c r="ED386" s="364"/>
      <c r="EE386" s="364"/>
      <c r="EF386" s="364"/>
      <c r="EG386" s="364"/>
      <c r="EH386" s="364"/>
      <c r="EI386" s="364"/>
      <c r="EJ386" s="364"/>
      <c r="EK386" s="364"/>
      <c r="EL386" s="364"/>
      <c r="EM386" s="364"/>
      <c r="EN386" s="364"/>
      <c r="EO386" s="364"/>
      <c r="EP386" s="364"/>
      <c r="EQ386" s="364"/>
      <c r="ER386" s="364"/>
      <c r="ES386" s="364"/>
      <c r="ET386" s="364"/>
      <c r="EU386" s="364"/>
      <c r="EV386" s="364"/>
      <c r="EW386" s="364"/>
      <c r="EX386" s="364"/>
      <c r="EY386" s="364"/>
      <c r="EZ386" s="364"/>
      <c r="FA386" s="364"/>
      <c r="FB386" s="364"/>
      <c r="FC386" s="364"/>
      <c r="FD386" s="364"/>
      <c r="FE386" s="364"/>
      <c r="FF386" s="364"/>
      <c r="FG386" s="364"/>
      <c r="FH386" s="364"/>
      <c r="FI386" s="364"/>
      <c r="FJ386" s="364"/>
      <c r="FK386" s="364"/>
    </row>
    <row r="387" customFormat="false" ht="15.75" hidden="false" customHeight="false" outlineLevel="0" collapsed="false">
      <c r="A387" s="364" t="n">
        <v>752</v>
      </c>
      <c r="B387" s="364" t="n">
        <f aca="false">COUNTA(D387:FK387)</f>
        <v>38</v>
      </c>
      <c r="C387" s="364" t="s">
        <v>1862</v>
      </c>
      <c r="D387" s="364" t="s">
        <v>2352</v>
      </c>
      <c r="E387" s="364" t="s">
        <v>2538</v>
      </c>
      <c r="F387" s="364" t="s">
        <v>2402</v>
      </c>
      <c r="G387" s="364" t="s">
        <v>2516</v>
      </c>
      <c r="H387" s="364" t="s">
        <v>2408</v>
      </c>
      <c r="I387" s="364" t="s">
        <v>2541</v>
      </c>
      <c r="J387" s="364" t="s">
        <v>2465</v>
      </c>
      <c r="K387" s="364" t="s">
        <v>2315</v>
      </c>
      <c r="L387" s="364" t="s">
        <v>2510</v>
      </c>
      <c r="M387" s="364" t="s">
        <v>2448</v>
      </c>
      <c r="N387" s="364" t="s">
        <v>2320</v>
      </c>
      <c r="O387" s="364" t="s">
        <v>2449</v>
      </c>
      <c r="P387" s="364" t="s">
        <v>2376</v>
      </c>
      <c r="Q387" s="364" t="s">
        <v>2324</v>
      </c>
      <c r="R387" s="364" t="s">
        <v>2328</v>
      </c>
      <c r="S387" s="364" t="s">
        <v>2414</v>
      </c>
      <c r="T387" s="364" t="s">
        <v>2329</v>
      </c>
      <c r="U387" s="364" t="s">
        <v>2417</v>
      </c>
      <c r="V387" s="364" t="s">
        <v>2468</v>
      </c>
      <c r="W387" s="364" t="s">
        <v>2418</v>
      </c>
      <c r="X387" s="364" t="s">
        <v>2539</v>
      </c>
      <c r="Y387" s="364" t="s">
        <v>2454</v>
      </c>
      <c r="Z387" s="364" t="s">
        <v>2337</v>
      </c>
      <c r="AA387" s="364" t="s">
        <v>2469</v>
      </c>
      <c r="AB387" s="364" t="s">
        <v>2339</v>
      </c>
      <c r="AC387" s="364" t="s">
        <v>2340</v>
      </c>
      <c r="AD387" s="364" t="s">
        <v>2701</v>
      </c>
      <c r="AE387" s="364" t="s">
        <v>2421</v>
      </c>
      <c r="AF387" s="364" t="s">
        <v>2341</v>
      </c>
      <c r="AG387" s="364" t="s">
        <v>2706</v>
      </c>
      <c r="AH387" s="364" t="s">
        <v>2344</v>
      </c>
      <c r="AI387" s="364" t="s">
        <v>2500</v>
      </c>
      <c r="AJ387" s="364" t="s">
        <v>2347</v>
      </c>
      <c r="AK387" s="364" t="s">
        <v>2511</v>
      </c>
      <c r="AL387" s="364" t="s">
        <v>2424</v>
      </c>
      <c r="AM387" s="364" t="s">
        <v>2349</v>
      </c>
      <c r="AN387" s="364" t="s">
        <v>2428</v>
      </c>
      <c r="AO387" s="364" t="s">
        <v>2458</v>
      </c>
      <c r="AP387" s="364"/>
      <c r="AQ387" s="364"/>
      <c r="AR387" s="364"/>
      <c r="AS387" s="364"/>
      <c r="AT387" s="364"/>
      <c r="AU387" s="364"/>
      <c r="AV387" s="364"/>
      <c r="AW387" s="364"/>
      <c r="AX387" s="364"/>
      <c r="AY387" s="364"/>
      <c r="AZ387" s="364"/>
      <c r="BA387" s="364"/>
      <c r="BB387" s="364"/>
      <c r="BC387" s="364"/>
      <c r="BD387" s="364"/>
      <c r="BE387" s="364"/>
      <c r="BF387" s="364"/>
      <c r="BG387" s="364"/>
      <c r="BH387" s="364"/>
      <c r="BI387" s="364"/>
      <c r="BJ387" s="364"/>
      <c r="BK387" s="364"/>
      <c r="BL387" s="364"/>
      <c r="BM387" s="364"/>
      <c r="BN387" s="364"/>
      <c r="BO387" s="364"/>
      <c r="BP387" s="364"/>
      <c r="BQ387" s="364"/>
      <c r="BR387" s="364"/>
      <c r="BS387" s="364"/>
      <c r="BT387" s="364"/>
      <c r="BU387" s="364"/>
      <c r="BV387" s="364"/>
      <c r="BW387" s="364"/>
      <c r="BX387" s="364"/>
      <c r="BY387" s="364"/>
      <c r="BZ387" s="364"/>
      <c r="CA387" s="364"/>
      <c r="CB387" s="364"/>
      <c r="CC387" s="364"/>
      <c r="CD387" s="364"/>
      <c r="CE387" s="364"/>
      <c r="CF387" s="364"/>
      <c r="CG387" s="364"/>
      <c r="CH387" s="364"/>
      <c r="CI387" s="364"/>
      <c r="CJ387" s="364"/>
      <c r="CK387" s="364"/>
      <c r="CL387" s="364"/>
      <c r="CM387" s="364"/>
      <c r="CN387" s="364"/>
      <c r="CO387" s="364"/>
      <c r="CP387" s="364"/>
      <c r="CQ387" s="364"/>
      <c r="CR387" s="364"/>
      <c r="CS387" s="364"/>
      <c r="CT387" s="364"/>
      <c r="CU387" s="364"/>
      <c r="CV387" s="364"/>
      <c r="CW387" s="364"/>
      <c r="CX387" s="364"/>
      <c r="CY387" s="364"/>
      <c r="CZ387" s="364"/>
      <c r="DA387" s="364"/>
      <c r="DB387" s="364"/>
      <c r="DC387" s="364"/>
      <c r="DD387" s="364"/>
      <c r="DE387" s="364"/>
      <c r="DF387" s="364"/>
      <c r="DG387" s="364"/>
      <c r="DH387" s="364"/>
      <c r="DI387" s="364"/>
      <c r="DJ387" s="364"/>
      <c r="DK387" s="364"/>
      <c r="DL387" s="364"/>
      <c r="DM387" s="364"/>
      <c r="DN387" s="364"/>
      <c r="DO387" s="364"/>
      <c r="DP387" s="364"/>
      <c r="DQ387" s="364"/>
      <c r="DR387" s="364"/>
      <c r="DS387" s="364"/>
      <c r="DT387" s="364"/>
      <c r="DU387" s="364"/>
      <c r="DV387" s="364"/>
      <c r="DW387" s="364"/>
      <c r="DX387" s="364"/>
      <c r="DY387" s="364"/>
      <c r="DZ387" s="364"/>
      <c r="EA387" s="364"/>
      <c r="EB387" s="364"/>
      <c r="EC387" s="364"/>
      <c r="ED387" s="364"/>
      <c r="EE387" s="364"/>
      <c r="EF387" s="364"/>
      <c r="EG387" s="364"/>
      <c r="EH387" s="364"/>
      <c r="EI387" s="364"/>
      <c r="EJ387" s="364"/>
      <c r="EK387" s="364"/>
      <c r="EL387" s="364"/>
      <c r="EM387" s="364"/>
      <c r="EN387" s="364"/>
      <c r="EO387" s="364"/>
      <c r="EP387" s="364"/>
      <c r="EQ387" s="364"/>
      <c r="ER387" s="364"/>
      <c r="ES387" s="364"/>
      <c r="ET387" s="364"/>
      <c r="EU387" s="364"/>
      <c r="EV387" s="364"/>
      <c r="EW387" s="364"/>
      <c r="EX387" s="364"/>
      <c r="EY387" s="364"/>
      <c r="EZ387" s="364"/>
      <c r="FA387" s="364"/>
      <c r="FB387" s="364"/>
      <c r="FC387" s="364"/>
      <c r="FD387" s="364"/>
      <c r="FE387" s="364"/>
      <c r="FF387" s="364"/>
      <c r="FG387" s="364"/>
      <c r="FH387" s="364"/>
      <c r="FI387" s="364"/>
      <c r="FJ387" s="364"/>
      <c r="FK387" s="364"/>
    </row>
    <row r="388" customFormat="false" ht="15.75" hidden="false" customHeight="false" outlineLevel="0" collapsed="false">
      <c r="A388" s="364" t="n">
        <v>753</v>
      </c>
      <c r="B388" s="364" t="n">
        <f aca="false">COUNTA(D388:FK388)</f>
        <v>52</v>
      </c>
      <c r="C388" s="364" t="s">
        <v>1866</v>
      </c>
      <c r="D388" s="364" t="s">
        <v>2431</v>
      </c>
      <c r="E388" s="364" t="s">
        <v>2356</v>
      </c>
      <c r="F388" s="364" t="s">
        <v>2464</v>
      </c>
      <c r="G388" s="364" t="s">
        <v>2541</v>
      </c>
      <c r="H388" s="364" t="s">
        <v>2434</v>
      </c>
      <c r="I388" s="364" t="s">
        <v>2465</v>
      </c>
      <c r="J388" s="364" t="s">
        <v>2517</v>
      </c>
      <c r="K388" s="364" t="s">
        <v>2520</v>
      </c>
      <c r="L388" s="364" t="s">
        <v>2435</v>
      </c>
      <c r="M388" s="364" t="s">
        <v>2543</v>
      </c>
      <c r="N388" s="364" t="s">
        <v>2318</v>
      </c>
      <c r="O388" s="364" t="s">
        <v>2319</v>
      </c>
      <c r="P388" s="364" t="s">
        <v>2320</v>
      </c>
      <c r="Q388" s="364" t="s">
        <v>2369</v>
      </c>
      <c r="R388" s="364" t="s">
        <v>2376</v>
      </c>
      <c r="S388" s="364" t="s">
        <v>2377</v>
      </c>
      <c r="T388" s="364" t="s">
        <v>2324</v>
      </c>
      <c r="U388" s="364" t="s">
        <v>2325</v>
      </c>
      <c r="V388" s="364" t="s">
        <v>2328</v>
      </c>
      <c r="W388" s="364" t="s">
        <v>2329</v>
      </c>
      <c r="X388" s="364" t="s">
        <v>2521</v>
      </c>
      <c r="Y388" s="364" t="s">
        <v>2416</v>
      </c>
      <c r="Z388" s="364" t="s">
        <v>2330</v>
      </c>
      <c r="AA388" s="364" t="s">
        <v>2468</v>
      </c>
      <c r="AB388" s="364" t="s">
        <v>2539</v>
      </c>
      <c r="AC388" s="364" t="s">
        <v>2540</v>
      </c>
      <c r="AD388" s="364" t="s">
        <v>2452</v>
      </c>
      <c r="AE388" s="364" t="s">
        <v>2387</v>
      </c>
      <c r="AF388" s="364" t="s">
        <v>2439</v>
      </c>
      <c r="AG388" s="364" t="s">
        <v>157</v>
      </c>
      <c r="AH388" s="364" t="s">
        <v>2495</v>
      </c>
      <c r="AI388" s="364" t="s">
        <v>2461</v>
      </c>
      <c r="AJ388" s="364" t="s">
        <v>2707</v>
      </c>
      <c r="AK388" s="364" t="s">
        <v>2337</v>
      </c>
      <c r="AL388" s="364" t="s">
        <v>2469</v>
      </c>
      <c r="AM388" s="364" t="s">
        <v>2339</v>
      </c>
      <c r="AN388" s="364" t="s">
        <v>2340</v>
      </c>
      <c r="AO388" s="364" t="s">
        <v>2341</v>
      </c>
      <c r="AP388" s="364" t="s">
        <v>2442</v>
      </c>
      <c r="AQ388" s="364" t="s">
        <v>2392</v>
      </c>
      <c r="AR388" s="364" t="s">
        <v>2470</v>
      </c>
      <c r="AS388" s="364" t="s">
        <v>2422</v>
      </c>
      <c r="AT388" s="364" t="s">
        <v>2344</v>
      </c>
      <c r="AU388" s="364" t="s">
        <v>2500</v>
      </c>
      <c r="AV388" s="364" t="s">
        <v>2347</v>
      </c>
      <c r="AW388" s="364" t="s">
        <v>2475</v>
      </c>
      <c r="AX388" s="364" t="s">
        <v>2476</v>
      </c>
      <c r="AY388" s="364" t="s">
        <v>2399</v>
      </c>
      <c r="AZ388" s="364" t="s">
        <v>2463</v>
      </c>
      <c r="BA388" s="364" t="s">
        <v>2446</v>
      </c>
      <c r="BB388" s="364" t="s">
        <v>2555</v>
      </c>
      <c r="BC388" s="364" t="s">
        <v>2430</v>
      </c>
      <c r="BD388" s="364"/>
      <c r="BE388" s="364"/>
      <c r="BF388" s="364"/>
      <c r="BG388" s="364"/>
      <c r="BH388" s="364"/>
      <c r="BI388" s="364"/>
      <c r="BJ388" s="364"/>
      <c r="BK388" s="364"/>
      <c r="BL388" s="364"/>
      <c r="BM388" s="364"/>
      <c r="BN388" s="364"/>
      <c r="BO388" s="364"/>
      <c r="BP388" s="364"/>
      <c r="BQ388" s="364"/>
      <c r="BR388" s="364"/>
      <c r="BS388" s="364"/>
      <c r="BT388" s="364"/>
      <c r="BU388" s="364"/>
      <c r="BV388" s="364"/>
      <c r="BW388" s="364"/>
      <c r="BX388" s="364"/>
      <c r="BY388" s="364"/>
      <c r="BZ388" s="364"/>
      <c r="CA388" s="364"/>
      <c r="CB388" s="364"/>
      <c r="CC388" s="364"/>
      <c r="CD388" s="364"/>
      <c r="CE388" s="364"/>
      <c r="CF388" s="364"/>
      <c r="CG388" s="364"/>
      <c r="CH388" s="364"/>
      <c r="CI388" s="364"/>
      <c r="CJ388" s="364"/>
      <c r="CK388" s="364"/>
      <c r="CL388" s="364"/>
      <c r="CM388" s="364"/>
      <c r="CN388" s="364"/>
      <c r="CO388" s="364"/>
      <c r="CP388" s="364"/>
      <c r="CQ388" s="364"/>
      <c r="CR388" s="364"/>
      <c r="CS388" s="364"/>
      <c r="CT388" s="364"/>
      <c r="CU388" s="364"/>
      <c r="CV388" s="364"/>
      <c r="CW388" s="364"/>
      <c r="CX388" s="364"/>
      <c r="CY388" s="364"/>
      <c r="CZ388" s="364"/>
      <c r="DA388" s="364"/>
      <c r="DB388" s="364"/>
      <c r="DC388" s="364"/>
      <c r="DD388" s="364"/>
      <c r="DE388" s="364"/>
      <c r="DF388" s="364"/>
      <c r="DG388" s="364"/>
      <c r="DH388" s="364"/>
      <c r="DI388" s="364"/>
      <c r="DJ388" s="364"/>
      <c r="DK388" s="364"/>
      <c r="DL388" s="364"/>
      <c r="DM388" s="364"/>
      <c r="DN388" s="364"/>
      <c r="DO388" s="364"/>
      <c r="DP388" s="364"/>
      <c r="DQ388" s="364"/>
      <c r="DR388" s="364"/>
      <c r="DS388" s="364"/>
      <c r="DT388" s="364"/>
      <c r="DU388" s="364"/>
      <c r="DV388" s="364"/>
      <c r="DW388" s="364"/>
      <c r="DX388" s="364"/>
      <c r="DY388" s="364"/>
      <c r="DZ388" s="364"/>
      <c r="EA388" s="364"/>
      <c r="EB388" s="364"/>
      <c r="EC388" s="364"/>
      <c r="ED388" s="364"/>
      <c r="EE388" s="364"/>
      <c r="EF388" s="364"/>
      <c r="EG388" s="364"/>
      <c r="EH388" s="364"/>
      <c r="EI388" s="364"/>
      <c r="EJ388" s="364"/>
      <c r="EK388" s="364"/>
      <c r="EL388" s="364"/>
      <c r="EM388" s="364"/>
      <c r="EN388" s="364"/>
      <c r="EO388" s="364"/>
      <c r="EP388" s="364"/>
      <c r="EQ388" s="364"/>
      <c r="ER388" s="364"/>
      <c r="ES388" s="364"/>
      <c r="ET388" s="364"/>
      <c r="EU388" s="364"/>
      <c r="EV388" s="364"/>
      <c r="EW388" s="364"/>
      <c r="EX388" s="364"/>
      <c r="EY388" s="364"/>
      <c r="EZ388" s="364"/>
      <c r="FA388" s="364"/>
      <c r="FB388" s="364"/>
      <c r="FC388" s="364"/>
      <c r="FD388" s="364"/>
      <c r="FE388" s="364"/>
      <c r="FF388" s="364"/>
      <c r="FG388" s="364"/>
      <c r="FH388" s="364"/>
      <c r="FI388" s="364"/>
      <c r="FJ388" s="364"/>
      <c r="FK388" s="364"/>
    </row>
    <row r="389" customFormat="false" ht="15.75" hidden="false" customHeight="false" outlineLevel="0" collapsed="false">
      <c r="A389" s="364" t="n">
        <v>755</v>
      </c>
      <c r="B389" s="364" t="n">
        <f aca="false">COUNTA(D389:FK389)</f>
        <v>50</v>
      </c>
      <c r="C389" s="364" t="s">
        <v>1871</v>
      </c>
      <c r="D389" s="364" t="s">
        <v>2352</v>
      </c>
      <c r="E389" s="364" t="s">
        <v>2608</v>
      </c>
      <c r="F389" s="364" t="s">
        <v>2405</v>
      </c>
      <c r="G389" s="364" t="s">
        <v>2432</v>
      </c>
      <c r="H389" s="364" t="s">
        <v>2433</v>
      </c>
      <c r="I389" s="364" t="s">
        <v>2464</v>
      </c>
      <c r="J389" s="364" t="s">
        <v>2409</v>
      </c>
      <c r="K389" s="364" t="s">
        <v>2436</v>
      </c>
      <c r="L389" s="364" t="s">
        <v>2319</v>
      </c>
      <c r="M389" s="364" t="s">
        <v>2562</v>
      </c>
      <c r="N389" s="364" t="s">
        <v>2547</v>
      </c>
      <c r="O389" s="364" t="s">
        <v>2320</v>
      </c>
      <c r="P389" s="364" t="s">
        <v>2450</v>
      </c>
      <c r="Q389" s="364" t="s">
        <v>2372</v>
      </c>
      <c r="R389" s="364" t="s">
        <v>2373</v>
      </c>
      <c r="S389" s="364" t="s">
        <v>2411</v>
      </c>
      <c r="T389" s="364" t="s">
        <v>2375</v>
      </c>
      <c r="U389" s="364" t="s">
        <v>2322</v>
      </c>
      <c r="V389" s="364" t="s">
        <v>2323</v>
      </c>
      <c r="W389" s="364" t="s">
        <v>2324</v>
      </c>
      <c r="X389" s="364" t="s">
        <v>2484</v>
      </c>
      <c r="Y389" s="364" t="s">
        <v>2328</v>
      </c>
      <c r="Z389" s="364" t="s">
        <v>2329</v>
      </c>
      <c r="AA389" s="364" t="s">
        <v>2415</v>
      </c>
      <c r="AB389" s="364" t="s">
        <v>2438</v>
      </c>
      <c r="AC389" s="364" t="s">
        <v>2506</v>
      </c>
      <c r="AD389" s="364" t="s">
        <v>2468</v>
      </c>
      <c r="AE389" s="364" t="s">
        <v>2573</v>
      </c>
      <c r="AF389" s="364" t="s">
        <v>2384</v>
      </c>
      <c r="AG389" s="364" t="s">
        <v>157</v>
      </c>
      <c r="AH389" s="364" t="s">
        <v>2461</v>
      </c>
      <c r="AI389" s="364" t="s">
        <v>2337</v>
      </c>
      <c r="AJ389" s="364" t="s">
        <v>2340</v>
      </c>
      <c r="AK389" s="364" t="s">
        <v>2341</v>
      </c>
      <c r="AL389" s="364" t="s">
        <v>2566</v>
      </c>
      <c r="AM389" s="364" t="s">
        <v>2392</v>
      </c>
      <c r="AN389" s="364" t="s">
        <v>2470</v>
      </c>
      <c r="AO389" s="364" t="s">
        <v>2422</v>
      </c>
      <c r="AP389" s="364" t="s">
        <v>2395</v>
      </c>
      <c r="AQ389" s="364" t="s">
        <v>2344</v>
      </c>
      <c r="AR389" s="364" t="s">
        <v>2345</v>
      </c>
      <c r="AS389" s="364" t="s">
        <v>2444</v>
      </c>
      <c r="AT389" s="364" t="s">
        <v>2708</v>
      </c>
      <c r="AU389" s="364" t="s">
        <v>2475</v>
      </c>
      <c r="AV389" s="364" t="s">
        <v>2476</v>
      </c>
      <c r="AW389" s="364" t="s">
        <v>2522</v>
      </c>
      <c r="AX389" s="364" t="s">
        <v>2446</v>
      </c>
      <c r="AY389" s="364" t="s">
        <v>2458</v>
      </c>
      <c r="AZ389" s="364" t="s">
        <v>2493</v>
      </c>
      <c r="BA389" s="364" t="s">
        <v>2430</v>
      </c>
      <c r="BB389" s="364"/>
      <c r="BC389" s="364"/>
      <c r="BD389" s="364"/>
      <c r="BE389" s="364"/>
      <c r="BF389" s="364"/>
      <c r="BG389" s="364"/>
      <c r="BH389" s="364"/>
      <c r="BI389" s="364"/>
      <c r="BJ389" s="364"/>
      <c r="BK389" s="364"/>
      <c r="BL389" s="364"/>
      <c r="BM389" s="364"/>
      <c r="BN389" s="364"/>
      <c r="BO389" s="364"/>
      <c r="BP389" s="364"/>
      <c r="BQ389" s="364"/>
      <c r="BR389" s="364"/>
      <c r="BS389" s="364"/>
      <c r="BT389" s="364"/>
      <c r="BU389" s="364"/>
      <c r="BV389" s="364"/>
      <c r="BW389" s="364"/>
      <c r="BX389" s="364"/>
      <c r="BY389" s="364"/>
      <c r="BZ389" s="364"/>
      <c r="CA389" s="364"/>
      <c r="CB389" s="364"/>
      <c r="CC389" s="364"/>
      <c r="CD389" s="364"/>
      <c r="CE389" s="364"/>
      <c r="CF389" s="364"/>
      <c r="CG389" s="364"/>
      <c r="CH389" s="364"/>
      <c r="CI389" s="364"/>
      <c r="CJ389" s="364"/>
      <c r="CK389" s="364"/>
      <c r="CL389" s="364"/>
      <c r="CM389" s="364"/>
      <c r="CN389" s="364"/>
      <c r="CO389" s="364"/>
      <c r="CP389" s="364"/>
      <c r="CQ389" s="364"/>
      <c r="CR389" s="364"/>
      <c r="CS389" s="364"/>
      <c r="CT389" s="364"/>
      <c r="CU389" s="364"/>
      <c r="CV389" s="364"/>
      <c r="CW389" s="364"/>
      <c r="CX389" s="364"/>
      <c r="CY389" s="364"/>
      <c r="CZ389" s="364"/>
      <c r="DA389" s="364"/>
      <c r="DB389" s="364"/>
      <c r="DC389" s="364"/>
      <c r="DD389" s="364"/>
      <c r="DE389" s="364"/>
      <c r="DF389" s="364"/>
      <c r="DG389" s="364"/>
      <c r="DH389" s="364"/>
      <c r="DI389" s="364"/>
      <c r="DJ389" s="364"/>
      <c r="DK389" s="364"/>
      <c r="DL389" s="364"/>
      <c r="DM389" s="364"/>
      <c r="DN389" s="364"/>
      <c r="DO389" s="364"/>
      <c r="DP389" s="364"/>
      <c r="DQ389" s="364"/>
      <c r="DR389" s="364"/>
      <c r="DS389" s="364"/>
      <c r="DT389" s="364"/>
      <c r="DU389" s="364"/>
      <c r="DV389" s="364"/>
      <c r="DW389" s="364"/>
      <c r="DX389" s="364"/>
      <c r="DY389" s="364"/>
      <c r="DZ389" s="364"/>
      <c r="EA389" s="364"/>
      <c r="EB389" s="364"/>
      <c r="EC389" s="364"/>
      <c r="ED389" s="364"/>
      <c r="EE389" s="364"/>
      <c r="EF389" s="364"/>
      <c r="EG389" s="364"/>
      <c r="EH389" s="364"/>
      <c r="EI389" s="364"/>
      <c r="EJ389" s="364"/>
      <c r="EK389" s="364"/>
      <c r="EL389" s="364"/>
      <c r="EM389" s="364"/>
      <c r="EN389" s="364"/>
      <c r="EO389" s="364"/>
      <c r="EP389" s="364"/>
      <c r="EQ389" s="364"/>
      <c r="ER389" s="364"/>
      <c r="ES389" s="364"/>
      <c r="ET389" s="364"/>
      <c r="EU389" s="364"/>
      <c r="EV389" s="364"/>
      <c r="EW389" s="364"/>
      <c r="EX389" s="364"/>
      <c r="EY389" s="364"/>
      <c r="EZ389" s="364"/>
      <c r="FA389" s="364"/>
      <c r="FB389" s="364"/>
      <c r="FC389" s="364"/>
      <c r="FD389" s="364"/>
      <c r="FE389" s="364"/>
      <c r="FF389" s="364"/>
      <c r="FG389" s="364"/>
      <c r="FH389" s="364"/>
      <c r="FI389" s="364"/>
      <c r="FJ389" s="364"/>
      <c r="FK389" s="364"/>
    </row>
    <row r="390" customFormat="false" ht="15.75" hidden="false" customHeight="false" outlineLevel="0" collapsed="false">
      <c r="A390" s="364" t="n">
        <v>758</v>
      </c>
      <c r="B390" s="364" t="n">
        <f aca="false">COUNTA(D390:FK390)</f>
        <v>61</v>
      </c>
      <c r="C390" s="364" t="s">
        <v>1878</v>
      </c>
      <c r="D390" s="364" t="s">
        <v>2352</v>
      </c>
      <c r="E390" s="364" t="s">
        <v>2404</v>
      </c>
      <c r="F390" s="364" t="s">
        <v>2312</v>
      </c>
      <c r="G390" s="364" t="s">
        <v>2356</v>
      </c>
      <c r="H390" s="364" t="s">
        <v>2313</v>
      </c>
      <c r="I390" s="364" t="s">
        <v>2315</v>
      </c>
      <c r="J390" s="364" t="s">
        <v>2358</v>
      </c>
      <c r="K390" s="364" t="s">
        <v>2360</v>
      </c>
      <c r="L390" s="364" t="s">
        <v>2520</v>
      </c>
      <c r="M390" s="364" t="s">
        <v>2543</v>
      </c>
      <c r="N390" s="364" t="s">
        <v>2317</v>
      </c>
      <c r="O390" s="364" t="s">
        <v>2448</v>
      </c>
      <c r="P390" s="364" t="s">
        <v>2319</v>
      </c>
      <c r="Q390" s="364" t="s">
        <v>2320</v>
      </c>
      <c r="R390" s="364" t="s">
        <v>2534</v>
      </c>
      <c r="S390" s="364" t="s">
        <v>2376</v>
      </c>
      <c r="T390" s="364" t="s">
        <v>2377</v>
      </c>
      <c r="U390" s="364" t="s">
        <v>2321</v>
      </c>
      <c r="V390" s="364" t="s">
        <v>2323</v>
      </c>
      <c r="W390" s="364" t="s">
        <v>2324</v>
      </c>
      <c r="X390" s="364" t="s">
        <v>2325</v>
      </c>
      <c r="Y390" s="364" t="s">
        <v>2326</v>
      </c>
      <c r="Z390" s="364" t="s">
        <v>2412</v>
      </c>
      <c r="AA390" s="364" t="s">
        <v>2614</v>
      </c>
      <c r="AB390" s="364" t="s">
        <v>2328</v>
      </c>
      <c r="AC390" s="364" t="s">
        <v>2329</v>
      </c>
      <c r="AD390" s="364" t="s">
        <v>2506</v>
      </c>
      <c r="AE390" s="364" t="s">
        <v>2381</v>
      </c>
      <c r="AF390" s="364" t="s">
        <v>2539</v>
      </c>
      <c r="AG390" s="364" t="s">
        <v>2540</v>
      </c>
      <c r="AH390" s="364" t="s">
        <v>2594</v>
      </c>
      <c r="AI390" s="364" t="s">
        <v>2661</v>
      </c>
      <c r="AJ390" s="364" t="s">
        <v>2452</v>
      </c>
      <c r="AK390" s="364" t="s">
        <v>2453</v>
      </c>
      <c r="AL390" s="364" t="s">
        <v>2454</v>
      </c>
      <c r="AM390" s="364" t="s">
        <v>2387</v>
      </c>
      <c r="AN390" s="364" t="s">
        <v>2337</v>
      </c>
      <c r="AO390" s="364" t="s">
        <v>2469</v>
      </c>
      <c r="AP390" s="364" t="s">
        <v>2388</v>
      </c>
      <c r="AQ390" s="364" t="s">
        <v>2339</v>
      </c>
      <c r="AR390" s="364" t="s">
        <v>2389</v>
      </c>
      <c r="AS390" s="364" t="s">
        <v>2420</v>
      </c>
      <c r="AT390" s="364" t="s">
        <v>2340</v>
      </c>
      <c r="AU390" s="364" t="s">
        <v>2341</v>
      </c>
      <c r="AV390" s="364" t="s">
        <v>2342</v>
      </c>
      <c r="AW390" s="364" t="s">
        <v>2392</v>
      </c>
      <c r="AX390" s="364" t="s">
        <v>2343</v>
      </c>
      <c r="AY390" s="364" t="s">
        <v>2423</v>
      </c>
      <c r="AZ390" s="364" t="s">
        <v>2344</v>
      </c>
      <c r="BA390" s="364" t="s">
        <v>2345</v>
      </c>
      <c r="BB390" s="364" t="s">
        <v>2346</v>
      </c>
      <c r="BC390" s="364" t="s">
        <v>2500</v>
      </c>
      <c r="BD390" s="364" t="s">
        <v>2347</v>
      </c>
      <c r="BE390" s="364" t="s">
        <v>2474</v>
      </c>
      <c r="BF390" s="364" t="s">
        <v>2511</v>
      </c>
      <c r="BG390" s="364" t="s">
        <v>2348</v>
      </c>
      <c r="BH390" s="364" t="s">
        <v>2349</v>
      </c>
      <c r="BI390" s="364" t="s">
        <v>2399</v>
      </c>
      <c r="BJ390" s="364" t="s">
        <v>2351</v>
      </c>
      <c r="BK390" s="364" t="s">
        <v>2599</v>
      </c>
      <c r="BL390" s="364" t="s">
        <v>2430</v>
      </c>
      <c r="BM390" s="364"/>
      <c r="BN390" s="364"/>
      <c r="BO390" s="364"/>
      <c r="BP390" s="364"/>
      <c r="BQ390" s="364"/>
      <c r="BR390" s="364"/>
      <c r="BS390" s="364"/>
      <c r="BT390" s="364"/>
      <c r="BU390" s="364"/>
      <c r="BV390" s="364"/>
      <c r="BW390" s="364"/>
      <c r="BX390" s="364"/>
      <c r="BY390" s="364"/>
      <c r="BZ390" s="364"/>
      <c r="CA390" s="364"/>
      <c r="CB390" s="364"/>
      <c r="CC390" s="364"/>
      <c r="CD390" s="364"/>
      <c r="CE390" s="364"/>
      <c r="CF390" s="364"/>
      <c r="CG390" s="364"/>
      <c r="CH390" s="364"/>
      <c r="CI390" s="364"/>
      <c r="CJ390" s="364"/>
      <c r="CK390" s="364"/>
      <c r="CL390" s="364"/>
      <c r="CM390" s="364"/>
      <c r="CN390" s="364"/>
      <c r="CO390" s="364"/>
      <c r="CP390" s="364"/>
      <c r="CQ390" s="364"/>
      <c r="CR390" s="364"/>
      <c r="CS390" s="364"/>
      <c r="CT390" s="364"/>
      <c r="CU390" s="364"/>
      <c r="CV390" s="364"/>
      <c r="CW390" s="364"/>
      <c r="CX390" s="364"/>
      <c r="CY390" s="364"/>
      <c r="CZ390" s="364"/>
      <c r="DA390" s="364"/>
      <c r="DB390" s="364"/>
      <c r="DC390" s="364"/>
      <c r="DD390" s="364"/>
      <c r="DE390" s="364"/>
      <c r="DF390" s="364"/>
      <c r="DG390" s="364"/>
      <c r="DH390" s="364"/>
      <c r="DI390" s="364"/>
      <c r="DJ390" s="364"/>
      <c r="DK390" s="364"/>
      <c r="DL390" s="364"/>
      <c r="DM390" s="364"/>
      <c r="DN390" s="364"/>
      <c r="DO390" s="364"/>
      <c r="DP390" s="364"/>
      <c r="DQ390" s="364"/>
      <c r="DR390" s="364"/>
      <c r="DS390" s="364"/>
      <c r="DT390" s="364"/>
      <c r="DU390" s="364"/>
      <c r="DV390" s="364"/>
      <c r="DW390" s="364"/>
      <c r="DX390" s="364"/>
      <c r="DY390" s="364"/>
      <c r="DZ390" s="364"/>
      <c r="EA390" s="364"/>
      <c r="EB390" s="364"/>
      <c r="EC390" s="364"/>
      <c r="ED390" s="364"/>
      <c r="EE390" s="364"/>
      <c r="EF390" s="364"/>
      <c r="EG390" s="364"/>
      <c r="EH390" s="364"/>
      <c r="EI390" s="364"/>
      <c r="EJ390" s="364"/>
      <c r="EK390" s="364"/>
      <c r="EL390" s="364"/>
      <c r="EM390" s="364"/>
      <c r="EN390" s="364"/>
      <c r="EO390" s="364"/>
      <c r="EP390" s="364"/>
      <c r="EQ390" s="364"/>
      <c r="ER390" s="364"/>
      <c r="ES390" s="364"/>
      <c r="ET390" s="364"/>
      <c r="EU390" s="364"/>
      <c r="EV390" s="364"/>
      <c r="EW390" s="364"/>
      <c r="EX390" s="364"/>
      <c r="EY390" s="364"/>
      <c r="EZ390" s="364"/>
      <c r="FA390" s="364"/>
      <c r="FB390" s="364"/>
      <c r="FC390" s="364"/>
      <c r="FD390" s="364"/>
      <c r="FE390" s="364"/>
      <c r="FF390" s="364"/>
      <c r="FG390" s="364"/>
      <c r="FH390" s="364"/>
      <c r="FI390" s="364"/>
      <c r="FJ390" s="364"/>
      <c r="FK390" s="364"/>
    </row>
    <row r="391" customFormat="false" ht="15.75" hidden="false" customHeight="false" outlineLevel="0" collapsed="false">
      <c r="A391" s="364" t="n">
        <v>761</v>
      </c>
      <c r="B391" s="364" t="n">
        <f aca="false">COUNTA(D391:FK391)</f>
        <v>42</v>
      </c>
      <c r="C391" s="364" t="s">
        <v>1884</v>
      </c>
      <c r="D391" s="364" t="s">
        <v>2355</v>
      </c>
      <c r="E391" s="364" t="s">
        <v>2465</v>
      </c>
      <c r="F391" s="364" t="s">
        <v>2315</v>
      </c>
      <c r="G391" s="364" t="s">
        <v>2517</v>
      </c>
      <c r="H391" s="364" t="s">
        <v>2435</v>
      </c>
      <c r="I391" s="364" t="s">
        <v>2318</v>
      </c>
      <c r="J391" s="364" t="s">
        <v>2365</v>
      </c>
      <c r="K391" s="364" t="s">
        <v>2320</v>
      </c>
      <c r="L391" s="364" t="s">
        <v>2366</v>
      </c>
      <c r="M391" s="364" t="s">
        <v>2368</v>
      </c>
      <c r="N391" s="364" t="s">
        <v>2369</v>
      </c>
      <c r="O391" s="364" t="s">
        <v>2370</v>
      </c>
      <c r="P391" s="364" t="s">
        <v>2372</v>
      </c>
      <c r="Q391" s="364" t="s">
        <v>2373</v>
      </c>
      <c r="R391" s="364" t="s">
        <v>2523</v>
      </c>
      <c r="S391" s="364" t="s">
        <v>2550</v>
      </c>
      <c r="T391" s="364" t="s">
        <v>2324</v>
      </c>
      <c r="U391" s="364" t="s">
        <v>2325</v>
      </c>
      <c r="V391" s="364" t="s">
        <v>2378</v>
      </c>
      <c r="W391" s="364" t="s">
        <v>2328</v>
      </c>
      <c r="X391" s="364" t="s">
        <v>2329</v>
      </c>
      <c r="Y391" s="364" t="s">
        <v>2379</v>
      </c>
      <c r="Z391" s="364" t="s">
        <v>2381</v>
      </c>
      <c r="AA391" s="364" t="s">
        <v>2539</v>
      </c>
      <c r="AB391" s="364" t="s">
        <v>2673</v>
      </c>
      <c r="AC391" s="364" t="s">
        <v>2386</v>
      </c>
      <c r="AD391" s="364" t="s">
        <v>2387</v>
      </c>
      <c r="AE391" s="364" t="s">
        <v>2439</v>
      </c>
      <c r="AF391" s="364" t="s">
        <v>157</v>
      </c>
      <c r="AG391" s="364" t="s">
        <v>2495</v>
      </c>
      <c r="AH391" s="364" t="s">
        <v>2337</v>
      </c>
      <c r="AI391" s="364" t="s">
        <v>2340</v>
      </c>
      <c r="AJ391" s="364" t="s">
        <v>2390</v>
      </c>
      <c r="AK391" s="364" t="s">
        <v>2341</v>
      </c>
      <c r="AL391" s="364" t="s">
        <v>2442</v>
      </c>
      <c r="AM391" s="364" t="s">
        <v>2470</v>
      </c>
      <c r="AN391" s="364" t="s">
        <v>2422</v>
      </c>
      <c r="AO391" s="364" t="s">
        <v>2344</v>
      </c>
      <c r="AP391" s="364" t="s">
        <v>2345</v>
      </c>
      <c r="AQ391" s="364" t="s">
        <v>2445</v>
      </c>
      <c r="AR391" s="364" t="s">
        <v>2399</v>
      </c>
      <c r="AS391" s="364" t="s">
        <v>2430</v>
      </c>
      <c r="AT391" s="364"/>
      <c r="AU391" s="364"/>
      <c r="AV391" s="364"/>
      <c r="AW391" s="364"/>
      <c r="AX391" s="364"/>
      <c r="AY391" s="364"/>
      <c r="AZ391" s="364"/>
      <c r="BA391" s="364"/>
      <c r="BB391" s="364"/>
      <c r="BC391" s="364"/>
      <c r="BD391" s="364"/>
      <c r="BE391" s="364"/>
      <c r="BF391" s="364"/>
      <c r="BG391" s="364"/>
      <c r="BH391" s="364"/>
      <c r="BI391" s="364"/>
      <c r="BJ391" s="364"/>
      <c r="BK391" s="364"/>
      <c r="BL391" s="364"/>
      <c r="BM391" s="364"/>
      <c r="BN391" s="364"/>
      <c r="BO391" s="364"/>
      <c r="BP391" s="364"/>
      <c r="BQ391" s="364"/>
      <c r="BR391" s="364"/>
      <c r="BS391" s="364"/>
      <c r="BT391" s="364"/>
      <c r="BU391" s="364"/>
      <c r="BV391" s="364"/>
      <c r="BW391" s="364"/>
      <c r="BX391" s="364"/>
      <c r="BY391" s="364"/>
      <c r="BZ391" s="364"/>
      <c r="CA391" s="364"/>
      <c r="CB391" s="364"/>
      <c r="CC391" s="364"/>
      <c r="CD391" s="364"/>
      <c r="CE391" s="364"/>
      <c r="CF391" s="364"/>
      <c r="CG391" s="364"/>
      <c r="CH391" s="364"/>
      <c r="CI391" s="364"/>
      <c r="CJ391" s="364"/>
      <c r="CK391" s="364"/>
      <c r="CL391" s="364"/>
      <c r="CM391" s="364"/>
      <c r="CN391" s="364"/>
      <c r="CO391" s="364"/>
      <c r="CP391" s="364"/>
      <c r="CQ391" s="364"/>
      <c r="CR391" s="364"/>
      <c r="CS391" s="364"/>
      <c r="CT391" s="364"/>
      <c r="CU391" s="364"/>
      <c r="CV391" s="364"/>
      <c r="CW391" s="364"/>
      <c r="CX391" s="364"/>
      <c r="CY391" s="364"/>
      <c r="CZ391" s="364"/>
      <c r="DA391" s="364"/>
      <c r="DB391" s="364"/>
      <c r="DC391" s="364"/>
      <c r="DD391" s="364"/>
      <c r="DE391" s="364"/>
      <c r="DF391" s="364"/>
      <c r="DG391" s="364"/>
      <c r="DH391" s="364"/>
      <c r="DI391" s="364"/>
      <c r="DJ391" s="364"/>
      <c r="DK391" s="364"/>
      <c r="DL391" s="364"/>
      <c r="DM391" s="364"/>
      <c r="DN391" s="364"/>
      <c r="DO391" s="364"/>
      <c r="DP391" s="364"/>
      <c r="DQ391" s="364"/>
      <c r="DR391" s="364"/>
      <c r="DS391" s="364"/>
      <c r="DT391" s="364"/>
      <c r="DU391" s="364"/>
      <c r="DV391" s="364"/>
      <c r="DW391" s="364"/>
      <c r="DX391" s="364"/>
      <c r="DY391" s="364"/>
      <c r="DZ391" s="364"/>
      <c r="EA391" s="364"/>
      <c r="EB391" s="364"/>
      <c r="EC391" s="364"/>
      <c r="ED391" s="364"/>
      <c r="EE391" s="364"/>
      <c r="EF391" s="364"/>
      <c r="EG391" s="364"/>
      <c r="EH391" s="364"/>
      <c r="EI391" s="364"/>
      <c r="EJ391" s="364"/>
      <c r="EK391" s="364"/>
      <c r="EL391" s="364"/>
      <c r="EM391" s="364"/>
      <c r="EN391" s="364"/>
      <c r="EO391" s="364"/>
      <c r="EP391" s="364"/>
      <c r="EQ391" s="364"/>
      <c r="ER391" s="364"/>
      <c r="ES391" s="364"/>
      <c r="ET391" s="364"/>
      <c r="EU391" s="364"/>
      <c r="EV391" s="364"/>
      <c r="EW391" s="364"/>
      <c r="EX391" s="364"/>
      <c r="EY391" s="364"/>
      <c r="EZ391" s="364"/>
      <c r="FA391" s="364"/>
      <c r="FB391" s="364"/>
      <c r="FC391" s="364"/>
      <c r="FD391" s="364"/>
      <c r="FE391" s="364"/>
      <c r="FF391" s="364"/>
      <c r="FG391" s="364"/>
      <c r="FH391" s="364"/>
      <c r="FI391" s="364"/>
      <c r="FJ391" s="364"/>
      <c r="FK391" s="364"/>
    </row>
    <row r="392" customFormat="false" ht="15.75" hidden="false" customHeight="false" outlineLevel="0" collapsed="false">
      <c r="A392" s="364" t="n">
        <v>764</v>
      </c>
      <c r="B392" s="364" t="n">
        <f aca="false">COUNTA(D392:FK392)</f>
        <v>48</v>
      </c>
      <c r="C392" s="364" t="s">
        <v>1890</v>
      </c>
      <c r="D392" s="364" t="s">
        <v>2431</v>
      </c>
      <c r="E392" s="364" t="s">
        <v>2352</v>
      </c>
      <c r="F392" s="364" t="s">
        <v>2405</v>
      </c>
      <c r="G392" s="364" t="s">
        <v>2516</v>
      </c>
      <c r="H392" s="364" t="s">
        <v>2357</v>
      </c>
      <c r="I392" s="364" t="s">
        <v>2407</v>
      </c>
      <c r="J392" s="364" t="s">
        <v>2315</v>
      </c>
      <c r="K392" s="364" t="s">
        <v>2409</v>
      </c>
      <c r="L392" s="364" t="s">
        <v>2358</v>
      </c>
      <c r="M392" s="364" t="s">
        <v>2410</v>
      </c>
      <c r="N392" s="364" t="s">
        <v>2318</v>
      </c>
      <c r="O392" s="364" t="s">
        <v>2632</v>
      </c>
      <c r="P392" s="364" t="s">
        <v>2320</v>
      </c>
      <c r="Q392" s="364" t="s">
        <v>2535</v>
      </c>
      <c r="R392" s="364" t="s">
        <v>2324</v>
      </c>
      <c r="S392" s="364" t="s">
        <v>2325</v>
      </c>
      <c r="T392" s="364" t="s">
        <v>2484</v>
      </c>
      <c r="U392" s="364" t="s">
        <v>2328</v>
      </c>
      <c r="V392" s="364" t="s">
        <v>2413</v>
      </c>
      <c r="W392" s="364" t="s">
        <v>2414</v>
      </c>
      <c r="X392" s="364" t="s">
        <v>2329</v>
      </c>
      <c r="Y392" s="364" t="s">
        <v>2415</v>
      </c>
      <c r="Z392" s="364" t="s">
        <v>2416</v>
      </c>
      <c r="AA392" s="364" t="s">
        <v>2417</v>
      </c>
      <c r="AB392" s="364" t="s">
        <v>2588</v>
      </c>
      <c r="AC392" s="364" t="s">
        <v>2539</v>
      </c>
      <c r="AD392" s="364" t="s">
        <v>2531</v>
      </c>
      <c r="AE392" s="364" t="s">
        <v>2582</v>
      </c>
      <c r="AF392" s="364" t="s">
        <v>2387</v>
      </c>
      <c r="AG392" s="364" t="s">
        <v>2461</v>
      </c>
      <c r="AH392" s="364" t="s">
        <v>2337</v>
      </c>
      <c r="AI392" s="364" t="s">
        <v>2388</v>
      </c>
      <c r="AJ392" s="364" t="s">
        <v>2339</v>
      </c>
      <c r="AK392" s="364" t="s">
        <v>2389</v>
      </c>
      <c r="AL392" s="364" t="s">
        <v>2340</v>
      </c>
      <c r="AM392" s="364" t="s">
        <v>2421</v>
      </c>
      <c r="AN392" s="364" t="s">
        <v>2341</v>
      </c>
      <c r="AO392" s="364" t="s">
        <v>2639</v>
      </c>
      <c r="AP392" s="364" t="s">
        <v>2423</v>
      </c>
      <c r="AQ392" s="364" t="s">
        <v>2344</v>
      </c>
      <c r="AR392" s="364" t="s">
        <v>2347</v>
      </c>
      <c r="AS392" s="364" t="s">
        <v>2424</v>
      </c>
      <c r="AT392" s="364" t="s">
        <v>2445</v>
      </c>
      <c r="AU392" s="364" t="s">
        <v>2446</v>
      </c>
      <c r="AV392" s="364" t="s">
        <v>2425</v>
      </c>
      <c r="AW392" s="364" t="s">
        <v>2427</v>
      </c>
      <c r="AX392" s="364" t="s">
        <v>2428</v>
      </c>
      <c r="AY392" s="364" t="s">
        <v>2697</v>
      </c>
      <c r="AZ392" s="364"/>
      <c r="BA392" s="364"/>
      <c r="BB392" s="364"/>
      <c r="BC392" s="364"/>
      <c r="BD392" s="364"/>
      <c r="BE392" s="364"/>
      <c r="BF392" s="364"/>
      <c r="BG392" s="364"/>
      <c r="BH392" s="364"/>
      <c r="BI392" s="364"/>
      <c r="BJ392" s="364"/>
      <c r="BK392" s="364"/>
      <c r="BL392" s="364"/>
      <c r="BM392" s="364"/>
      <c r="BN392" s="364"/>
      <c r="BO392" s="364"/>
      <c r="BP392" s="364"/>
      <c r="BQ392" s="364"/>
      <c r="BR392" s="364"/>
      <c r="BS392" s="364"/>
      <c r="BT392" s="364"/>
      <c r="BU392" s="364"/>
      <c r="BV392" s="364"/>
      <c r="BW392" s="364"/>
      <c r="BX392" s="364"/>
      <c r="BY392" s="364"/>
      <c r="BZ392" s="364"/>
      <c r="CA392" s="364"/>
      <c r="CB392" s="364"/>
      <c r="CC392" s="364"/>
      <c r="CD392" s="364"/>
      <c r="CE392" s="364"/>
      <c r="CF392" s="364"/>
      <c r="CG392" s="364"/>
      <c r="CH392" s="364"/>
      <c r="CI392" s="364"/>
      <c r="CJ392" s="364"/>
      <c r="CK392" s="364"/>
      <c r="CL392" s="364"/>
      <c r="CM392" s="364"/>
      <c r="CN392" s="364"/>
      <c r="CO392" s="364"/>
      <c r="CP392" s="364"/>
      <c r="CQ392" s="364"/>
      <c r="CR392" s="364"/>
      <c r="CS392" s="364"/>
      <c r="CT392" s="364"/>
      <c r="CU392" s="364"/>
      <c r="CV392" s="364"/>
      <c r="CW392" s="364"/>
      <c r="CX392" s="364"/>
      <c r="CY392" s="364"/>
      <c r="CZ392" s="364"/>
      <c r="DA392" s="364"/>
      <c r="DB392" s="364"/>
      <c r="DC392" s="364"/>
      <c r="DD392" s="364"/>
      <c r="DE392" s="364"/>
      <c r="DF392" s="364"/>
      <c r="DG392" s="364"/>
      <c r="DH392" s="364"/>
      <c r="DI392" s="364"/>
      <c r="DJ392" s="364"/>
      <c r="DK392" s="364"/>
      <c r="DL392" s="364"/>
      <c r="DM392" s="364"/>
      <c r="DN392" s="364"/>
      <c r="DO392" s="364"/>
      <c r="DP392" s="364"/>
      <c r="DQ392" s="364"/>
      <c r="DR392" s="364"/>
      <c r="DS392" s="364"/>
      <c r="DT392" s="364"/>
      <c r="DU392" s="364"/>
      <c r="DV392" s="364"/>
      <c r="DW392" s="364"/>
      <c r="DX392" s="364"/>
      <c r="DY392" s="364"/>
      <c r="DZ392" s="364"/>
      <c r="EA392" s="364"/>
      <c r="EB392" s="364"/>
      <c r="EC392" s="364"/>
      <c r="ED392" s="364"/>
      <c r="EE392" s="364"/>
      <c r="EF392" s="364"/>
      <c r="EG392" s="364"/>
      <c r="EH392" s="364"/>
      <c r="EI392" s="364"/>
      <c r="EJ392" s="364"/>
      <c r="EK392" s="364"/>
      <c r="EL392" s="364"/>
      <c r="EM392" s="364"/>
      <c r="EN392" s="364"/>
      <c r="EO392" s="364"/>
      <c r="EP392" s="364"/>
      <c r="EQ392" s="364"/>
      <c r="ER392" s="364"/>
      <c r="ES392" s="364"/>
      <c r="ET392" s="364"/>
      <c r="EU392" s="364"/>
      <c r="EV392" s="364"/>
      <c r="EW392" s="364"/>
      <c r="EX392" s="364"/>
      <c r="EY392" s="364"/>
      <c r="EZ392" s="364"/>
      <c r="FA392" s="364"/>
      <c r="FB392" s="364"/>
      <c r="FC392" s="364"/>
      <c r="FD392" s="364"/>
      <c r="FE392" s="364"/>
      <c r="FF392" s="364"/>
      <c r="FG392" s="364"/>
      <c r="FH392" s="364"/>
      <c r="FI392" s="364"/>
      <c r="FJ392" s="364"/>
      <c r="FK392" s="364"/>
    </row>
    <row r="393" customFormat="false" ht="15.75" hidden="false" customHeight="false" outlineLevel="0" collapsed="false">
      <c r="A393" s="364" t="n">
        <v>767</v>
      </c>
      <c r="B393" s="364" t="n">
        <f aca="false">COUNTA(D393:FK393)</f>
        <v>54</v>
      </c>
      <c r="C393" s="364" t="s">
        <v>1897</v>
      </c>
      <c r="D393" s="364" t="s">
        <v>2516</v>
      </c>
      <c r="E393" s="364" t="s">
        <v>2356</v>
      </c>
      <c r="F393" s="364" t="s">
        <v>2357</v>
      </c>
      <c r="G393" s="364" t="s">
        <v>2313</v>
      </c>
      <c r="H393" s="364" t="s">
        <v>2315</v>
      </c>
      <c r="I393" s="364" t="s">
        <v>2358</v>
      </c>
      <c r="J393" s="364" t="s">
        <v>2510</v>
      </c>
      <c r="K393" s="364" t="s">
        <v>2519</v>
      </c>
      <c r="L393" s="364" t="s">
        <v>2497</v>
      </c>
      <c r="M393" s="364" t="s">
        <v>2317</v>
      </c>
      <c r="N393" s="364" t="s">
        <v>2448</v>
      </c>
      <c r="O393" s="364" t="s">
        <v>2320</v>
      </c>
      <c r="P393" s="364" t="s">
        <v>2369</v>
      </c>
      <c r="Q393" s="364" t="s">
        <v>2377</v>
      </c>
      <c r="R393" s="364" t="s">
        <v>2523</v>
      </c>
      <c r="S393" s="364" t="s">
        <v>2324</v>
      </c>
      <c r="T393" s="364" t="s">
        <v>2325</v>
      </c>
      <c r="U393" s="364" t="s">
        <v>2484</v>
      </c>
      <c r="V393" s="364" t="s">
        <v>2614</v>
      </c>
      <c r="W393" s="364" t="s">
        <v>2328</v>
      </c>
      <c r="X393" s="364" t="s">
        <v>2329</v>
      </c>
      <c r="Y393" s="364" t="s">
        <v>2416</v>
      </c>
      <c r="Z393" s="364" t="s">
        <v>2506</v>
      </c>
      <c r="AA393" s="364" t="s">
        <v>2381</v>
      </c>
      <c r="AB393" s="364" t="s">
        <v>2330</v>
      </c>
      <c r="AC393" s="364" t="s">
        <v>2468</v>
      </c>
      <c r="AD393" s="364" t="s">
        <v>2539</v>
      </c>
      <c r="AE393" s="364" t="s">
        <v>2594</v>
      </c>
      <c r="AF393" s="261" t="s">
        <v>183</v>
      </c>
      <c r="AG393" s="364" t="s">
        <v>2452</v>
      </c>
      <c r="AH393" s="364" t="s">
        <v>2387</v>
      </c>
      <c r="AI393" s="364" t="s">
        <v>2461</v>
      </c>
      <c r="AJ393" s="364" t="s">
        <v>2337</v>
      </c>
      <c r="AK393" s="364" t="s">
        <v>2388</v>
      </c>
      <c r="AL393" s="364" t="s">
        <v>2339</v>
      </c>
      <c r="AM393" s="364" t="s">
        <v>2389</v>
      </c>
      <c r="AN393" s="364" t="s">
        <v>2340</v>
      </c>
      <c r="AO393" s="364" t="s">
        <v>2341</v>
      </c>
      <c r="AP393" s="364" t="s">
        <v>2343</v>
      </c>
      <c r="AQ393" s="364" t="s">
        <v>2423</v>
      </c>
      <c r="AR393" s="364" t="s">
        <v>2344</v>
      </c>
      <c r="AS393" s="364" t="s">
        <v>2346</v>
      </c>
      <c r="AT393" s="364" t="s">
        <v>2500</v>
      </c>
      <c r="AU393" s="364" t="s">
        <v>2347</v>
      </c>
      <c r="AV393" s="364" t="s">
        <v>2474</v>
      </c>
      <c r="AW393" s="364" t="s">
        <v>2511</v>
      </c>
      <c r="AX393" s="364" t="s">
        <v>2424</v>
      </c>
      <c r="AY393" s="364" t="s">
        <v>2348</v>
      </c>
      <c r="AZ393" s="364" t="s">
        <v>2349</v>
      </c>
      <c r="BA393" s="364" t="s">
        <v>2445</v>
      </c>
      <c r="BB393" s="364" t="s">
        <v>2399</v>
      </c>
      <c r="BC393" s="364" t="s">
        <v>2463</v>
      </c>
      <c r="BD393" s="364" t="s">
        <v>2446</v>
      </c>
      <c r="BE393" s="364" t="s">
        <v>2477</v>
      </c>
      <c r="BF393" s="364"/>
      <c r="BG393" s="364"/>
      <c r="BH393" s="364"/>
      <c r="BI393" s="364"/>
      <c r="BJ393" s="364"/>
      <c r="BK393" s="364"/>
      <c r="BL393" s="364"/>
      <c r="BM393" s="364"/>
      <c r="BN393" s="364"/>
      <c r="BO393" s="364"/>
      <c r="BP393" s="364"/>
      <c r="BQ393" s="364"/>
      <c r="BR393" s="364"/>
      <c r="BS393" s="364"/>
      <c r="BT393" s="364"/>
      <c r="BU393" s="364"/>
      <c r="BV393" s="364"/>
      <c r="BW393" s="364"/>
      <c r="BX393" s="364"/>
      <c r="BY393" s="364"/>
      <c r="BZ393" s="364"/>
      <c r="CA393" s="364"/>
      <c r="CB393" s="364"/>
      <c r="CC393" s="364"/>
      <c r="CD393" s="364"/>
      <c r="CE393" s="364"/>
      <c r="CF393" s="364"/>
      <c r="CG393" s="364"/>
      <c r="CH393" s="364"/>
      <c r="CI393" s="364"/>
      <c r="CJ393" s="364"/>
      <c r="CK393" s="364"/>
      <c r="CL393" s="364"/>
      <c r="CM393" s="364"/>
      <c r="CN393" s="364"/>
      <c r="CO393" s="364"/>
      <c r="CP393" s="364"/>
      <c r="CQ393" s="364"/>
      <c r="CR393" s="364"/>
      <c r="CS393" s="364"/>
      <c r="CT393" s="364"/>
      <c r="CU393" s="364"/>
      <c r="CV393" s="364"/>
      <c r="CW393" s="364"/>
      <c r="CX393" s="364"/>
      <c r="CY393" s="364"/>
      <c r="CZ393" s="364"/>
      <c r="DA393" s="364"/>
      <c r="DB393" s="364"/>
      <c r="DC393" s="364"/>
      <c r="DD393" s="364"/>
      <c r="DE393" s="364"/>
      <c r="DF393" s="364"/>
      <c r="DG393" s="364"/>
      <c r="DH393" s="364"/>
      <c r="DI393" s="364"/>
      <c r="DJ393" s="364"/>
      <c r="DK393" s="364"/>
      <c r="DL393" s="364"/>
      <c r="DM393" s="364"/>
      <c r="DN393" s="364"/>
      <c r="DO393" s="364"/>
      <c r="DP393" s="364"/>
      <c r="DQ393" s="364"/>
      <c r="DR393" s="364"/>
      <c r="DS393" s="364"/>
      <c r="DT393" s="364"/>
      <c r="DU393" s="364"/>
      <c r="DV393" s="364"/>
      <c r="DW393" s="364"/>
      <c r="DX393" s="364"/>
      <c r="DY393" s="364"/>
      <c r="DZ393" s="364"/>
      <c r="EA393" s="364"/>
      <c r="EB393" s="364"/>
      <c r="EC393" s="364"/>
      <c r="ED393" s="364"/>
      <c r="EE393" s="364"/>
      <c r="EF393" s="364"/>
      <c r="EG393" s="364"/>
      <c r="EH393" s="364"/>
      <c r="EI393" s="364"/>
      <c r="EJ393" s="364"/>
      <c r="EK393" s="364"/>
      <c r="EL393" s="364"/>
      <c r="EM393" s="364"/>
      <c r="EN393" s="364"/>
      <c r="EO393" s="364"/>
      <c r="EP393" s="364"/>
      <c r="EQ393" s="364"/>
      <c r="ER393" s="364"/>
      <c r="ES393" s="364"/>
      <c r="ET393" s="364"/>
      <c r="EU393" s="364"/>
      <c r="EV393" s="364"/>
      <c r="EW393" s="364"/>
      <c r="EX393" s="364"/>
      <c r="EY393" s="364"/>
      <c r="EZ393" s="364"/>
      <c r="FA393" s="364"/>
      <c r="FB393" s="364"/>
      <c r="FC393" s="364"/>
      <c r="FD393" s="364"/>
      <c r="FE393" s="364"/>
      <c r="FF393" s="364"/>
      <c r="FG393" s="364"/>
      <c r="FH393" s="364"/>
      <c r="FI393" s="364"/>
      <c r="FJ393" s="364"/>
      <c r="FK393" s="364"/>
    </row>
    <row r="394" customFormat="false" ht="15.75" hidden="false" customHeight="false" outlineLevel="0" collapsed="false">
      <c r="A394" s="364" t="n">
        <v>770</v>
      </c>
      <c r="B394" s="364" t="n">
        <f aca="false">COUNTA(D394:FK394)</f>
        <v>28</v>
      </c>
      <c r="C394" s="364" t="s">
        <v>1903</v>
      </c>
      <c r="D394" s="364" t="s">
        <v>2431</v>
      </c>
      <c r="E394" s="364" t="s">
        <v>2352</v>
      </c>
      <c r="F394" s="364" t="s">
        <v>2577</v>
      </c>
      <c r="G394" s="364" t="s">
        <v>2365</v>
      </c>
      <c r="H394" s="364" t="s">
        <v>2320</v>
      </c>
      <c r="I394" s="364" t="s">
        <v>2366</v>
      </c>
      <c r="J394" s="364" t="s">
        <v>2372</v>
      </c>
      <c r="K394" s="364" t="s">
        <v>2373</v>
      </c>
      <c r="L394" s="364" t="s">
        <v>2374</v>
      </c>
      <c r="M394" s="364" t="s">
        <v>2375</v>
      </c>
      <c r="N394" s="364" t="s">
        <v>2324</v>
      </c>
      <c r="O394" s="364" t="s">
        <v>2378</v>
      </c>
      <c r="P394" s="364" t="s">
        <v>2328</v>
      </c>
      <c r="Q394" s="364" t="s">
        <v>2329</v>
      </c>
      <c r="R394" s="364" t="s">
        <v>2379</v>
      </c>
      <c r="S394" s="364" t="s">
        <v>2386</v>
      </c>
      <c r="T394" s="364" t="s">
        <v>2480</v>
      </c>
      <c r="U394" s="364" t="s">
        <v>2461</v>
      </c>
      <c r="V394" s="364" t="s">
        <v>2441</v>
      </c>
      <c r="W394" s="364" t="s">
        <v>2337</v>
      </c>
      <c r="X394" s="364" t="s">
        <v>2340</v>
      </c>
      <c r="Y394" s="364" t="s">
        <v>2341</v>
      </c>
      <c r="Z394" s="364" t="s">
        <v>2344</v>
      </c>
      <c r="AA394" s="364" t="s">
        <v>2345</v>
      </c>
      <c r="AB394" s="364" t="s">
        <v>2396</v>
      </c>
      <c r="AC394" s="364" t="s">
        <v>2348</v>
      </c>
      <c r="AD394" s="364" t="s">
        <v>2445</v>
      </c>
      <c r="AE394" s="364" t="s">
        <v>2446</v>
      </c>
      <c r="AF394" s="364"/>
      <c r="AG394" s="364"/>
      <c r="AH394" s="364"/>
      <c r="AI394" s="364"/>
      <c r="AJ394" s="364"/>
      <c r="AK394" s="364"/>
      <c r="AL394" s="364"/>
      <c r="AM394" s="364"/>
      <c r="AN394" s="364"/>
      <c r="AO394" s="364"/>
      <c r="AP394" s="364"/>
      <c r="AQ394" s="364"/>
      <c r="AR394" s="364"/>
      <c r="AS394" s="364"/>
      <c r="AT394" s="364"/>
      <c r="AU394" s="364"/>
      <c r="AV394" s="364"/>
      <c r="AW394" s="364"/>
      <c r="AX394" s="364"/>
      <c r="AY394" s="364"/>
      <c r="AZ394" s="364"/>
      <c r="BA394" s="364"/>
      <c r="BB394" s="364"/>
      <c r="BC394" s="364"/>
      <c r="BD394" s="364"/>
      <c r="BE394" s="364"/>
      <c r="BF394" s="364"/>
      <c r="BG394" s="364"/>
      <c r="BH394" s="364"/>
      <c r="BI394" s="364"/>
      <c r="BJ394" s="364"/>
      <c r="BK394" s="364"/>
      <c r="BL394" s="364"/>
      <c r="BM394" s="364"/>
      <c r="BN394" s="364"/>
      <c r="BO394" s="364"/>
      <c r="BP394" s="364"/>
      <c r="BQ394" s="364"/>
      <c r="BR394" s="364"/>
      <c r="BS394" s="364"/>
      <c r="BT394" s="364"/>
      <c r="BU394" s="364"/>
      <c r="BV394" s="364"/>
      <c r="BW394" s="364"/>
      <c r="BX394" s="364"/>
      <c r="BY394" s="364"/>
      <c r="BZ394" s="364"/>
      <c r="CA394" s="364"/>
      <c r="CB394" s="364"/>
      <c r="CC394" s="364"/>
      <c r="CD394" s="364"/>
      <c r="CE394" s="364"/>
      <c r="CF394" s="364"/>
      <c r="CG394" s="364"/>
      <c r="CH394" s="364"/>
      <c r="CI394" s="364"/>
      <c r="CJ394" s="364"/>
      <c r="CK394" s="364"/>
      <c r="CL394" s="364"/>
      <c r="CM394" s="364"/>
      <c r="CN394" s="364"/>
      <c r="CO394" s="364"/>
      <c r="CP394" s="364"/>
      <c r="CQ394" s="364"/>
      <c r="CR394" s="364"/>
      <c r="CS394" s="364"/>
      <c r="CT394" s="364"/>
      <c r="CU394" s="364"/>
      <c r="CV394" s="364"/>
      <c r="CW394" s="364"/>
      <c r="CX394" s="364"/>
      <c r="CY394" s="364"/>
      <c r="CZ394" s="364"/>
      <c r="DA394" s="364"/>
      <c r="DB394" s="364"/>
      <c r="DC394" s="364"/>
      <c r="DD394" s="364"/>
      <c r="DE394" s="364"/>
      <c r="DF394" s="364"/>
      <c r="DG394" s="364"/>
      <c r="DH394" s="364"/>
      <c r="DI394" s="364"/>
      <c r="DJ394" s="364"/>
      <c r="DK394" s="364"/>
      <c r="DL394" s="364"/>
      <c r="DM394" s="364"/>
      <c r="DN394" s="364"/>
      <c r="DO394" s="364"/>
      <c r="DP394" s="364"/>
      <c r="DQ394" s="364"/>
      <c r="DR394" s="364"/>
      <c r="DS394" s="364"/>
      <c r="DT394" s="364"/>
      <c r="DU394" s="364"/>
      <c r="DV394" s="364"/>
      <c r="DW394" s="364"/>
      <c r="DX394" s="364"/>
      <c r="DY394" s="364"/>
      <c r="DZ394" s="364"/>
      <c r="EA394" s="364"/>
      <c r="EB394" s="364"/>
      <c r="EC394" s="364"/>
      <c r="ED394" s="364"/>
      <c r="EE394" s="364"/>
      <c r="EF394" s="364"/>
      <c r="EG394" s="364"/>
      <c r="EH394" s="364"/>
      <c r="EI394" s="364"/>
      <c r="EJ394" s="364"/>
      <c r="EK394" s="364"/>
      <c r="EL394" s="364"/>
      <c r="EM394" s="364"/>
      <c r="EN394" s="364"/>
      <c r="EO394" s="364"/>
      <c r="EP394" s="364"/>
      <c r="EQ394" s="364"/>
      <c r="ER394" s="364"/>
      <c r="ES394" s="364"/>
      <c r="ET394" s="364"/>
      <c r="EU394" s="364"/>
      <c r="EV394" s="364"/>
      <c r="EW394" s="364"/>
      <c r="EX394" s="364"/>
      <c r="EY394" s="364"/>
      <c r="EZ394" s="364"/>
      <c r="FA394" s="364"/>
      <c r="FB394" s="364"/>
      <c r="FC394" s="364"/>
      <c r="FD394" s="364"/>
      <c r="FE394" s="364"/>
      <c r="FF394" s="364"/>
      <c r="FG394" s="364"/>
      <c r="FH394" s="364"/>
      <c r="FI394" s="364"/>
      <c r="FJ394" s="364"/>
      <c r="FK394" s="364"/>
    </row>
    <row r="395" customFormat="false" ht="15.75" hidden="false" customHeight="false" outlineLevel="0" collapsed="false">
      <c r="A395" s="364" t="n">
        <v>773</v>
      </c>
      <c r="B395" s="364" t="n">
        <f aca="false">COUNTA(D395:FK395)</f>
        <v>28</v>
      </c>
      <c r="C395" s="364" t="s">
        <v>1909</v>
      </c>
      <c r="D395" s="364" t="s">
        <v>2431</v>
      </c>
      <c r="E395" s="364" t="s">
        <v>2352</v>
      </c>
      <c r="F395" s="364" t="s">
        <v>2432</v>
      </c>
      <c r="G395" s="364" t="s">
        <v>2433</v>
      </c>
      <c r="H395" s="364" t="s">
        <v>2624</v>
      </c>
      <c r="I395" s="364" t="s">
        <v>2435</v>
      </c>
      <c r="J395" s="364" t="s">
        <v>2436</v>
      </c>
      <c r="K395" s="364" t="s">
        <v>2448</v>
      </c>
      <c r="L395" s="364" t="s">
        <v>2319</v>
      </c>
      <c r="M395" s="364" t="s">
        <v>2320</v>
      </c>
      <c r="N395" s="364" t="s">
        <v>2323</v>
      </c>
      <c r="O395" s="364" t="s">
        <v>2324</v>
      </c>
      <c r="P395" s="364" t="s">
        <v>2437</v>
      </c>
      <c r="Q395" s="364" t="s">
        <v>2328</v>
      </c>
      <c r="R395" s="364" t="s">
        <v>2459</v>
      </c>
      <c r="S395" s="364" t="s">
        <v>2329</v>
      </c>
      <c r="T395" s="364" t="s">
        <v>2438</v>
      </c>
      <c r="U395" s="364" t="s">
        <v>2439</v>
      </c>
      <c r="V395" s="364" t="s">
        <v>157</v>
      </c>
      <c r="W395" s="364" t="s">
        <v>2337</v>
      </c>
      <c r="X395" s="364" t="s">
        <v>2340</v>
      </c>
      <c r="Y395" s="364" t="s">
        <v>2341</v>
      </c>
      <c r="Z395" s="364" t="s">
        <v>2422</v>
      </c>
      <c r="AA395" s="364" t="s">
        <v>2344</v>
      </c>
      <c r="AB395" s="364" t="s">
        <v>2345</v>
      </c>
      <c r="AC395" s="364" t="s">
        <v>2444</v>
      </c>
      <c r="AD395" s="364" t="s">
        <v>2445</v>
      </c>
      <c r="AE395" s="364" t="s">
        <v>2446</v>
      </c>
      <c r="AF395" s="364"/>
      <c r="AG395" s="364"/>
      <c r="AH395" s="364"/>
      <c r="AI395" s="364"/>
      <c r="AJ395" s="364"/>
      <c r="AK395" s="364"/>
      <c r="AL395" s="364"/>
      <c r="AM395" s="364"/>
      <c r="AN395" s="364"/>
      <c r="AO395" s="364"/>
      <c r="AP395" s="364"/>
      <c r="AQ395" s="364"/>
      <c r="AR395" s="364"/>
      <c r="AS395" s="364"/>
      <c r="AT395" s="364"/>
      <c r="AU395" s="364"/>
      <c r="AV395" s="364"/>
      <c r="AW395" s="364"/>
      <c r="AX395" s="364"/>
      <c r="AY395" s="364"/>
      <c r="AZ395" s="364"/>
      <c r="BA395" s="364"/>
      <c r="BB395" s="364"/>
      <c r="BC395" s="364"/>
      <c r="BD395" s="364"/>
      <c r="BE395" s="364"/>
      <c r="BF395" s="364"/>
      <c r="BG395" s="364"/>
      <c r="BH395" s="364"/>
      <c r="BI395" s="364"/>
      <c r="BJ395" s="364"/>
      <c r="BK395" s="364"/>
      <c r="BL395" s="364"/>
      <c r="BM395" s="364"/>
      <c r="BN395" s="364"/>
      <c r="BO395" s="364"/>
      <c r="BP395" s="364"/>
      <c r="BQ395" s="364"/>
      <c r="BR395" s="364"/>
      <c r="BS395" s="364"/>
      <c r="BT395" s="364"/>
      <c r="BU395" s="364"/>
      <c r="BV395" s="364"/>
      <c r="BW395" s="364"/>
      <c r="BX395" s="364"/>
      <c r="BY395" s="364"/>
      <c r="BZ395" s="364"/>
      <c r="CA395" s="364"/>
      <c r="CB395" s="364"/>
      <c r="CC395" s="364"/>
      <c r="CD395" s="364"/>
      <c r="CE395" s="364"/>
      <c r="CF395" s="364"/>
      <c r="CG395" s="364"/>
      <c r="CH395" s="364"/>
      <c r="CI395" s="364"/>
      <c r="CJ395" s="364"/>
      <c r="CK395" s="364"/>
      <c r="CL395" s="364"/>
      <c r="CM395" s="364"/>
      <c r="CN395" s="364"/>
      <c r="CO395" s="364"/>
      <c r="CP395" s="364"/>
      <c r="CQ395" s="364"/>
      <c r="CR395" s="364"/>
      <c r="CS395" s="364"/>
      <c r="CT395" s="364"/>
      <c r="CU395" s="364"/>
      <c r="CV395" s="364"/>
      <c r="CW395" s="364"/>
      <c r="CX395" s="364"/>
      <c r="CY395" s="364"/>
      <c r="CZ395" s="364"/>
      <c r="DA395" s="364"/>
      <c r="DB395" s="364"/>
      <c r="DC395" s="364"/>
      <c r="DD395" s="364"/>
      <c r="DE395" s="364"/>
      <c r="DF395" s="364"/>
      <c r="DG395" s="364"/>
      <c r="DH395" s="364"/>
      <c r="DI395" s="364"/>
      <c r="DJ395" s="364"/>
      <c r="DK395" s="364"/>
      <c r="DL395" s="364"/>
      <c r="DM395" s="364"/>
      <c r="DN395" s="364"/>
      <c r="DO395" s="364"/>
      <c r="DP395" s="364"/>
      <c r="DQ395" s="364"/>
      <c r="DR395" s="364"/>
      <c r="DS395" s="364"/>
      <c r="DT395" s="364"/>
      <c r="DU395" s="364"/>
      <c r="DV395" s="364"/>
      <c r="DW395" s="364"/>
      <c r="DX395" s="364"/>
      <c r="DY395" s="364"/>
      <c r="DZ395" s="364"/>
      <c r="EA395" s="364"/>
      <c r="EB395" s="364"/>
      <c r="EC395" s="364"/>
      <c r="ED395" s="364"/>
      <c r="EE395" s="364"/>
      <c r="EF395" s="364"/>
      <c r="EG395" s="364"/>
      <c r="EH395" s="364"/>
      <c r="EI395" s="364"/>
      <c r="EJ395" s="364"/>
      <c r="EK395" s="364"/>
      <c r="EL395" s="364"/>
      <c r="EM395" s="364"/>
      <c r="EN395" s="364"/>
      <c r="EO395" s="364"/>
      <c r="EP395" s="364"/>
      <c r="EQ395" s="364"/>
      <c r="ER395" s="364"/>
      <c r="ES395" s="364"/>
      <c r="ET395" s="364"/>
      <c r="EU395" s="364"/>
      <c r="EV395" s="364"/>
      <c r="EW395" s="364"/>
      <c r="EX395" s="364"/>
      <c r="EY395" s="364"/>
      <c r="EZ395" s="364"/>
      <c r="FA395" s="364"/>
      <c r="FB395" s="364"/>
      <c r="FC395" s="364"/>
      <c r="FD395" s="364"/>
      <c r="FE395" s="364"/>
      <c r="FF395" s="364"/>
      <c r="FG395" s="364"/>
      <c r="FH395" s="364"/>
      <c r="FI395" s="364"/>
      <c r="FJ395" s="364"/>
      <c r="FK395" s="364"/>
    </row>
    <row r="396" customFormat="false" ht="15.75" hidden="false" customHeight="false" outlineLevel="0" collapsed="false">
      <c r="A396" s="364" t="n">
        <v>775</v>
      </c>
      <c r="B396" s="364" t="n">
        <f aca="false">COUNTA(D396:FK396)</f>
        <v>36</v>
      </c>
      <c r="C396" s="364" t="s">
        <v>1913</v>
      </c>
      <c r="D396" s="364" t="s">
        <v>2516</v>
      </c>
      <c r="E396" s="364" t="s">
        <v>2313</v>
      </c>
      <c r="F396" s="364" t="s">
        <v>2466</v>
      </c>
      <c r="G396" s="364" t="s">
        <v>2409</v>
      </c>
      <c r="H396" s="364" t="s">
        <v>2358</v>
      </c>
      <c r="I396" s="364" t="s">
        <v>2318</v>
      </c>
      <c r="J396" s="364" t="s">
        <v>2365</v>
      </c>
      <c r="K396" s="364" t="s">
        <v>2448</v>
      </c>
      <c r="L396" s="364" t="s">
        <v>2320</v>
      </c>
      <c r="M396" s="364" t="s">
        <v>2366</v>
      </c>
      <c r="N396" s="364" t="s">
        <v>2367</v>
      </c>
      <c r="O396" s="364" t="s">
        <v>2372</v>
      </c>
      <c r="P396" s="364" t="s">
        <v>2373</v>
      </c>
      <c r="Q396" s="364" t="s">
        <v>2324</v>
      </c>
      <c r="R396" s="364" t="s">
        <v>2327</v>
      </c>
      <c r="S396" s="364" t="s">
        <v>2378</v>
      </c>
      <c r="T396" s="364" t="s">
        <v>2328</v>
      </c>
      <c r="U396" s="364" t="s">
        <v>2329</v>
      </c>
      <c r="V396" s="364" t="s">
        <v>2521</v>
      </c>
      <c r="W396" s="364" t="s">
        <v>2379</v>
      </c>
      <c r="X396" s="364" t="s">
        <v>2381</v>
      </c>
      <c r="Y396" s="364" t="s">
        <v>2386</v>
      </c>
      <c r="Z396" s="364" t="s">
        <v>2452</v>
      </c>
      <c r="AA396" s="364" t="s">
        <v>2337</v>
      </c>
      <c r="AB396" s="364" t="s">
        <v>2469</v>
      </c>
      <c r="AC396" s="364" t="s">
        <v>2339</v>
      </c>
      <c r="AD396" s="364" t="s">
        <v>2340</v>
      </c>
      <c r="AE396" s="364" t="s">
        <v>2341</v>
      </c>
      <c r="AF396" s="364" t="s">
        <v>2472</v>
      </c>
      <c r="AG396" s="364" t="s">
        <v>2344</v>
      </c>
      <c r="AH396" s="364" t="s">
        <v>2345</v>
      </c>
      <c r="AI396" s="364" t="s">
        <v>2347</v>
      </c>
      <c r="AJ396" s="364" t="s">
        <v>2348</v>
      </c>
      <c r="AK396" s="364" t="s">
        <v>2349</v>
      </c>
      <c r="AL396" s="364" t="s">
        <v>2445</v>
      </c>
      <c r="AM396" s="364" t="s">
        <v>2477</v>
      </c>
      <c r="AN396" s="364"/>
      <c r="AO396" s="364"/>
      <c r="AP396" s="364"/>
      <c r="AQ396" s="364"/>
      <c r="AR396" s="364"/>
      <c r="AS396" s="364"/>
      <c r="AT396" s="364"/>
      <c r="AU396" s="364"/>
      <c r="AV396" s="364"/>
      <c r="AW396" s="364"/>
      <c r="AX396" s="364"/>
      <c r="AY396" s="364"/>
      <c r="AZ396" s="364"/>
      <c r="BA396" s="364"/>
      <c r="BB396" s="364"/>
      <c r="BC396" s="364"/>
      <c r="BD396" s="364"/>
      <c r="BE396" s="364"/>
      <c r="BF396" s="364"/>
      <c r="BG396" s="364"/>
      <c r="BH396" s="364"/>
      <c r="BI396" s="364"/>
      <c r="BJ396" s="364"/>
      <c r="BK396" s="364"/>
      <c r="BL396" s="364"/>
      <c r="BM396" s="364"/>
      <c r="BN396" s="364"/>
      <c r="BO396" s="364"/>
      <c r="BP396" s="364"/>
      <c r="BQ396" s="364"/>
      <c r="BR396" s="364"/>
      <c r="BS396" s="364"/>
      <c r="BT396" s="364"/>
      <c r="BU396" s="364"/>
      <c r="BV396" s="364"/>
      <c r="BW396" s="364"/>
      <c r="BX396" s="364"/>
      <c r="BY396" s="364"/>
      <c r="BZ396" s="364"/>
      <c r="CA396" s="364"/>
      <c r="CB396" s="364"/>
      <c r="CC396" s="364"/>
      <c r="CD396" s="364"/>
      <c r="CE396" s="364"/>
      <c r="CF396" s="364"/>
      <c r="CG396" s="364"/>
      <c r="CH396" s="364"/>
      <c r="CI396" s="364"/>
      <c r="CJ396" s="364"/>
      <c r="CK396" s="364"/>
      <c r="CL396" s="364"/>
      <c r="CM396" s="364"/>
      <c r="CN396" s="364"/>
      <c r="CO396" s="364"/>
      <c r="CP396" s="364"/>
      <c r="CQ396" s="364"/>
      <c r="CR396" s="364"/>
      <c r="CS396" s="364"/>
      <c r="CT396" s="364"/>
      <c r="CU396" s="364"/>
      <c r="CV396" s="364"/>
      <c r="CW396" s="364"/>
      <c r="CX396" s="364"/>
      <c r="CY396" s="364"/>
      <c r="CZ396" s="364"/>
      <c r="DA396" s="364"/>
      <c r="DB396" s="364"/>
      <c r="DC396" s="364"/>
      <c r="DD396" s="364"/>
      <c r="DE396" s="364"/>
      <c r="DF396" s="364"/>
      <c r="DG396" s="364"/>
      <c r="DH396" s="364"/>
      <c r="DI396" s="364"/>
      <c r="DJ396" s="364"/>
      <c r="DK396" s="364"/>
      <c r="DL396" s="364"/>
      <c r="DM396" s="364"/>
      <c r="DN396" s="364"/>
      <c r="DO396" s="364"/>
      <c r="DP396" s="364"/>
      <c r="DQ396" s="364"/>
      <c r="DR396" s="364"/>
      <c r="DS396" s="364"/>
      <c r="DT396" s="364"/>
      <c r="DU396" s="364"/>
      <c r="DV396" s="364"/>
      <c r="DW396" s="364"/>
      <c r="DX396" s="364"/>
      <c r="DY396" s="364"/>
      <c r="DZ396" s="364"/>
      <c r="EA396" s="364"/>
      <c r="EB396" s="364"/>
      <c r="EC396" s="364"/>
      <c r="ED396" s="364"/>
      <c r="EE396" s="364"/>
      <c r="EF396" s="364"/>
      <c r="EG396" s="364"/>
      <c r="EH396" s="364"/>
      <c r="EI396" s="364"/>
      <c r="EJ396" s="364"/>
      <c r="EK396" s="364"/>
      <c r="EL396" s="364"/>
      <c r="EM396" s="364"/>
      <c r="EN396" s="364"/>
      <c r="EO396" s="364"/>
      <c r="EP396" s="364"/>
      <c r="EQ396" s="364"/>
      <c r="ER396" s="364"/>
      <c r="ES396" s="364"/>
      <c r="ET396" s="364"/>
      <c r="EU396" s="364"/>
      <c r="EV396" s="364"/>
      <c r="EW396" s="364"/>
      <c r="EX396" s="364"/>
      <c r="EY396" s="364"/>
      <c r="EZ396" s="364"/>
      <c r="FA396" s="364"/>
      <c r="FB396" s="364"/>
      <c r="FC396" s="364"/>
      <c r="FD396" s="364"/>
      <c r="FE396" s="364"/>
      <c r="FF396" s="364"/>
      <c r="FG396" s="364"/>
      <c r="FH396" s="364"/>
      <c r="FI396" s="364"/>
      <c r="FJ396" s="364"/>
      <c r="FK396" s="364"/>
    </row>
    <row r="397" customFormat="false" ht="15.75" hidden="false" customHeight="false" outlineLevel="0" collapsed="false">
      <c r="A397" s="364" t="n">
        <v>778</v>
      </c>
      <c r="B397" s="364" t="n">
        <f aca="false">COUNTA(D397:FK397)</f>
        <v>25</v>
      </c>
      <c r="C397" s="364" t="s">
        <v>2709</v>
      </c>
      <c r="D397" s="364" t="s">
        <v>2465</v>
      </c>
      <c r="E397" s="364" t="s">
        <v>2517</v>
      </c>
      <c r="F397" s="364" t="s">
        <v>2318</v>
      </c>
      <c r="G397" s="364" t="s">
        <v>2448</v>
      </c>
      <c r="H397" s="364" t="s">
        <v>2319</v>
      </c>
      <c r="I397" s="364" t="s">
        <v>2320</v>
      </c>
      <c r="J397" s="364" t="s">
        <v>2640</v>
      </c>
      <c r="K397" s="364" t="s">
        <v>2323</v>
      </c>
      <c r="L397" s="364" t="s">
        <v>2325</v>
      </c>
      <c r="M397" s="364" t="s">
        <v>2328</v>
      </c>
      <c r="N397" s="364" t="s">
        <v>2710</v>
      </c>
      <c r="O397" s="364" t="s">
        <v>2623</v>
      </c>
      <c r="P397" s="364" t="s">
        <v>2638</v>
      </c>
      <c r="Q397" s="364" t="s">
        <v>2333</v>
      </c>
      <c r="R397" s="364" t="s">
        <v>2334</v>
      </c>
      <c r="S397" s="364" t="s">
        <v>157</v>
      </c>
      <c r="T397" s="364" t="s">
        <v>2336</v>
      </c>
      <c r="U397" s="364" t="s">
        <v>2337</v>
      </c>
      <c r="V397" s="364" t="s">
        <v>2340</v>
      </c>
      <c r="W397" s="364" t="s">
        <v>2341</v>
      </c>
      <c r="X397" s="364" t="s">
        <v>2342</v>
      </c>
      <c r="Y397" s="364" t="s">
        <v>2344</v>
      </c>
      <c r="Z397" s="364" t="s">
        <v>2345</v>
      </c>
      <c r="AA397" s="364" t="s">
        <v>2348</v>
      </c>
      <c r="AB397" s="364" t="s">
        <v>2351</v>
      </c>
      <c r="AC397" s="364"/>
      <c r="AD397" s="364"/>
      <c r="AE397" s="364"/>
      <c r="AF397" s="364"/>
      <c r="AG397" s="364"/>
      <c r="AH397" s="364"/>
      <c r="AI397" s="364"/>
      <c r="AJ397" s="364"/>
      <c r="AK397" s="364"/>
      <c r="AL397" s="364"/>
      <c r="AM397" s="364"/>
      <c r="AN397" s="364"/>
      <c r="AO397" s="364"/>
      <c r="AP397" s="364"/>
      <c r="AQ397" s="364"/>
      <c r="AR397" s="364"/>
      <c r="AS397" s="364"/>
      <c r="AT397" s="364"/>
      <c r="AU397" s="364"/>
      <c r="AV397" s="364"/>
      <c r="AW397" s="364"/>
      <c r="AX397" s="364"/>
      <c r="AY397" s="364"/>
      <c r="AZ397" s="364"/>
      <c r="BA397" s="364"/>
      <c r="BB397" s="364"/>
      <c r="BC397" s="364"/>
      <c r="BD397" s="364"/>
      <c r="BE397" s="364"/>
      <c r="BF397" s="364"/>
      <c r="BG397" s="364"/>
      <c r="BH397" s="364"/>
      <c r="BI397" s="364"/>
      <c r="BJ397" s="364"/>
      <c r="BK397" s="364"/>
      <c r="BL397" s="364"/>
      <c r="BM397" s="364"/>
      <c r="BN397" s="364"/>
      <c r="BO397" s="364"/>
      <c r="BP397" s="364"/>
      <c r="BQ397" s="364"/>
      <c r="BR397" s="364"/>
      <c r="BS397" s="364"/>
      <c r="BT397" s="364"/>
      <c r="BU397" s="364"/>
      <c r="BV397" s="364"/>
      <c r="BW397" s="364"/>
      <c r="BX397" s="364"/>
      <c r="BY397" s="364"/>
      <c r="BZ397" s="364"/>
      <c r="CA397" s="364"/>
      <c r="CB397" s="364"/>
      <c r="CC397" s="364"/>
      <c r="CD397" s="364"/>
      <c r="CE397" s="364"/>
      <c r="CF397" s="364"/>
      <c r="CG397" s="364"/>
      <c r="CH397" s="364"/>
      <c r="CI397" s="364"/>
      <c r="CJ397" s="364"/>
      <c r="CK397" s="364"/>
      <c r="CL397" s="364"/>
      <c r="CM397" s="364"/>
      <c r="CN397" s="364"/>
      <c r="CO397" s="364"/>
      <c r="CP397" s="364"/>
      <c r="CQ397" s="364"/>
      <c r="CR397" s="364"/>
      <c r="CS397" s="364"/>
      <c r="CT397" s="364"/>
      <c r="CU397" s="364"/>
      <c r="CV397" s="364"/>
      <c r="CW397" s="364"/>
      <c r="CX397" s="364"/>
      <c r="CY397" s="364"/>
      <c r="CZ397" s="364"/>
      <c r="DA397" s="364"/>
      <c r="DB397" s="364"/>
      <c r="DC397" s="364"/>
      <c r="DD397" s="364"/>
      <c r="DE397" s="364"/>
      <c r="DF397" s="364"/>
      <c r="DG397" s="364"/>
      <c r="DH397" s="364"/>
      <c r="DI397" s="364"/>
      <c r="DJ397" s="364"/>
      <c r="DK397" s="364"/>
      <c r="DL397" s="364"/>
      <c r="DM397" s="364"/>
      <c r="DN397" s="364"/>
      <c r="DO397" s="364"/>
      <c r="DP397" s="364"/>
      <c r="DQ397" s="364"/>
      <c r="DR397" s="364"/>
      <c r="DS397" s="364"/>
      <c r="DT397" s="364"/>
      <c r="DU397" s="364"/>
      <c r="DV397" s="364"/>
      <c r="DW397" s="364"/>
      <c r="DX397" s="364"/>
      <c r="DY397" s="364"/>
      <c r="DZ397" s="364"/>
      <c r="EA397" s="364"/>
      <c r="EB397" s="364"/>
      <c r="EC397" s="364"/>
      <c r="ED397" s="364"/>
      <c r="EE397" s="364"/>
      <c r="EF397" s="364"/>
      <c r="EG397" s="364"/>
      <c r="EH397" s="364"/>
      <c r="EI397" s="364"/>
      <c r="EJ397" s="364"/>
      <c r="EK397" s="364"/>
      <c r="EL397" s="364"/>
      <c r="EM397" s="364"/>
      <c r="EN397" s="364"/>
      <c r="EO397" s="364"/>
      <c r="EP397" s="364"/>
      <c r="EQ397" s="364"/>
      <c r="ER397" s="364"/>
      <c r="ES397" s="364"/>
      <c r="ET397" s="364"/>
      <c r="EU397" s="364"/>
      <c r="EV397" s="364"/>
      <c r="EW397" s="364"/>
      <c r="EX397" s="364"/>
      <c r="EY397" s="364"/>
      <c r="EZ397" s="364"/>
      <c r="FA397" s="364"/>
      <c r="FB397" s="364"/>
      <c r="FC397" s="364"/>
      <c r="FD397" s="364"/>
      <c r="FE397" s="364"/>
      <c r="FF397" s="364"/>
      <c r="FG397" s="364"/>
      <c r="FH397" s="364"/>
      <c r="FI397" s="364"/>
      <c r="FJ397" s="364"/>
      <c r="FK397" s="364"/>
    </row>
    <row r="398" customFormat="false" ht="15.75" hidden="false" customHeight="false" outlineLevel="0" collapsed="false">
      <c r="A398" s="364" t="n">
        <v>779</v>
      </c>
      <c r="B398" s="364" t="n">
        <f aca="false">COUNTA(D398:FK398)</f>
        <v>23</v>
      </c>
      <c r="C398" s="364" t="s">
        <v>1922</v>
      </c>
      <c r="D398" s="364" t="s">
        <v>2465</v>
      </c>
      <c r="E398" s="364" t="s">
        <v>2517</v>
      </c>
      <c r="F398" s="364" t="s">
        <v>2518</v>
      </c>
      <c r="G398" s="364" t="s">
        <v>2318</v>
      </c>
      <c r="H398" s="364" t="s">
        <v>2448</v>
      </c>
      <c r="I398" s="364" t="s">
        <v>2319</v>
      </c>
      <c r="J398" s="364" t="s">
        <v>2320</v>
      </c>
      <c r="K398" s="364" t="s">
        <v>2323</v>
      </c>
      <c r="L398" s="364" t="s">
        <v>2324</v>
      </c>
      <c r="M398" s="364" t="s">
        <v>2325</v>
      </c>
      <c r="N398" s="364" t="s">
        <v>2328</v>
      </c>
      <c r="O398" s="364" t="s">
        <v>2329</v>
      </c>
      <c r="P398" s="364" t="s">
        <v>2623</v>
      </c>
      <c r="Q398" s="364" t="s">
        <v>2638</v>
      </c>
      <c r="R398" s="364" t="s">
        <v>2333</v>
      </c>
      <c r="S398" s="364" t="s">
        <v>2334</v>
      </c>
      <c r="T398" s="364" t="s">
        <v>157</v>
      </c>
      <c r="U398" s="364" t="s">
        <v>2337</v>
      </c>
      <c r="V398" s="364" t="s">
        <v>2340</v>
      </c>
      <c r="W398" s="364" t="s">
        <v>2341</v>
      </c>
      <c r="X398" s="364" t="s">
        <v>2342</v>
      </c>
      <c r="Y398" s="364" t="s">
        <v>2344</v>
      </c>
      <c r="Z398" s="364" t="s">
        <v>2345</v>
      </c>
      <c r="AA398" s="364"/>
      <c r="AB398" s="364"/>
      <c r="AC398" s="364"/>
      <c r="AD398" s="364"/>
      <c r="AE398" s="364"/>
      <c r="AF398" s="364"/>
      <c r="AG398" s="364"/>
      <c r="AH398" s="364"/>
      <c r="AI398" s="364"/>
      <c r="AJ398" s="364"/>
      <c r="AK398" s="364"/>
      <c r="AL398" s="364"/>
      <c r="AM398" s="364"/>
      <c r="AN398" s="364"/>
      <c r="AO398" s="364"/>
      <c r="AP398" s="364"/>
      <c r="AQ398" s="364"/>
      <c r="AR398" s="364"/>
      <c r="AS398" s="364"/>
      <c r="AT398" s="364"/>
      <c r="AU398" s="364"/>
      <c r="AV398" s="364"/>
      <c r="AW398" s="364"/>
      <c r="AX398" s="364"/>
      <c r="AY398" s="364"/>
      <c r="AZ398" s="364"/>
      <c r="BA398" s="364"/>
      <c r="BB398" s="364"/>
      <c r="BC398" s="364"/>
      <c r="BD398" s="364"/>
      <c r="BE398" s="364"/>
      <c r="BF398" s="364"/>
      <c r="BG398" s="364"/>
      <c r="BH398" s="364"/>
      <c r="BI398" s="364"/>
      <c r="BJ398" s="364"/>
      <c r="BK398" s="364"/>
      <c r="BL398" s="364"/>
      <c r="BM398" s="364"/>
      <c r="BN398" s="364"/>
      <c r="BO398" s="364"/>
      <c r="BP398" s="364"/>
      <c r="BQ398" s="364"/>
      <c r="BR398" s="364"/>
      <c r="BS398" s="364"/>
      <c r="BT398" s="364"/>
      <c r="BU398" s="364"/>
      <c r="BV398" s="364"/>
      <c r="BW398" s="364"/>
      <c r="BX398" s="364"/>
      <c r="BY398" s="364"/>
      <c r="BZ398" s="364"/>
      <c r="CA398" s="364"/>
      <c r="CB398" s="364"/>
      <c r="CC398" s="364"/>
      <c r="CD398" s="364"/>
      <c r="CE398" s="364"/>
      <c r="CF398" s="364"/>
      <c r="CG398" s="364"/>
      <c r="CH398" s="364"/>
      <c r="CI398" s="364"/>
      <c r="CJ398" s="364"/>
      <c r="CK398" s="364"/>
      <c r="CL398" s="364"/>
      <c r="CM398" s="364"/>
      <c r="CN398" s="364"/>
      <c r="CO398" s="364"/>
      <c r="CP398" s="364"/>
      <c r="CQ398" s="364"/>
      <c r="CR398" s="364"/>
      <c r="CS398" s="364"/>
      <c r="CT398" s="364"/>
      <c r="CU398" s="364"/>
      <c r="CV398" s="364"/>
      <c r="CW398" s="364"/>
      <c r="CX398" s="364"/>
      <c r="CY398" s="364"/>
      <c r="CZ398" s="364"/>
      <c r="DA398" s="364"/>
      <c r="DB398" s="364"/>
      <c r="DC398" s="364"/>
      <c r="DD398" s="364"/>
      <c r="DE398" s="364"/>
      <c r="DF398" s="364"/>
      <c r="DG398" s="364"/>
      <c r="DH398" s="364"/>
      <c r="DI398" s="364"/>
      <c r="DJ398" s="364"/>
      <c r="DK398" s="364"/>
      <c r="DL398" s="364"/>
      <c r="DM398" s="364"/>
      <c r="DN398" s="364"/>
      <c r="DO398" s="364"/>
      <c r="DP398" s="364"/>
      <c r="DQ398" s="364"/>
      <c r="DR398" s="364"/>
      <c r="DS398" s="364"/>
      <c r="DT398" s="364"/>
      <c r="DU398" s="364"/>
      <c r="DV398" s="364"/>
      <c r="DW398" s="364"/>
      <c r="DX398" s="364"/>
      <c r="DY398" s="364"/>
      <c r="DZ398" s="364"/>
      <c r="EA398" s="364"/>
      <c r="EB398" s="364"/>
      <c r="EC398" s="364"/>
      <c r="ED398" s="364"/>
      <c r="EE398" s="364"/>
      <c r="EF398" s="364"/>
      <c r="EG398" s="364"/>
      <c r="EH398" s="364"/>
      <c r="EI398" s="364"/>
      <c r="EJ398" s="364"/>
      <c r="EK398" s="364"/>
      <c r="EL398" s="364"/>
      <c r="EM398" s="364"/>
      <c r="EN398" s="364"/>
      <c r="EO398" s="364"/>
      <c r="EP398" s="364"/>
      <c r="EQ398" s="364"/>
      <c r="ER398" s="364"/>
      <c r="ES398" s="364"/>
      <c r="ET398" s="364"/>
      <c r="EU398" s="364"/>
      <c r="EV398" s="364"/>
      <c r="EW398" s="364"/>
      <c r="EX398" s="364"/>
      <c r="EY398" s="364"/>
      <c r="EZ398" s="364"/>
      <c r="FA398" s="364"/>
      <c r="FB398" s="364"/>
      <c r="FC398" s="364"/>
      <c r="FD398" s="364"/>
      <c r="FE398" s="364"/>
      <c r="FF398" s="364"/>
      <c r="FG398" s="364"/>
      <c r="FH398" s="364"/>
      <c r="FI398" s="364"/>
      <c r="FJ398" s="364"/>
      <c r="FK398" s="364"/>
    </row>
    <row r="399" customFormat="false" ht="15.75" hidden="false" customHeight="false" outlineLevel="0" collapsed="false">
      <c r="A399" s="364" t="n">
        <v>781</v>
      </c>
      <c r="B399" s="364" t="n">
        <f aca="false">COUNTA(D399:FK399)</f>
        <v>37</v>
      </c>
      <c r="C399" s="364" t="s">
        <v>1926</v>
      </c>
      <c r="D399" s="364" t="s">
        <v>2352</v>
      </c>
      <c r="E399" s="364" t="s">
        <v>2516</v>
      </c>
      <c r="F399" s="364" t="s">
        <v>2356</v>
      </c>
      <c r="G399" s="364" t="s">
        <v>2313</v>
      </c>
      <c r="H399" s="364" t="s">
        <v>2358</v>
      </c>
      <c r="I399" s="364" t="s">
        <v>2316</v>
      </c>
      <c r="J399" s="364" t="s">
        <v>2317</v>
      </c>
      <c r="K399" s="364" t="s">
        <v>2319</v>
      </c>
      <c r="L399" s="364" t="s">
        <v>2320</v>
      </c>
      <c r="M399" s="364" t="s">
        <v>2323</v>
      </c>
      <c r="N399" s="364" t="s">
        <v>2324</v>
      </c>
      <c r="O399" s="364" t="s">
        <v>2325</v>
      </c>
      <c r="P399" s="364" t="s">
        <v>2328</v>
      </c>
      <c r="Q399" s="364" t="s">
        <v>2695</v>
      </c>
      <c r="R399" s="364" t="s">
        <v>2329</v>
      </c>
      <c r="S399" s="364" t="s">
        <v>2381</v>
      </c>
      <c r="T399" s="364" t="s">
        <v>2556</v>
      </c>
      <c r="U399" s="364" t="s">
        <v>2452</v>
      </c>
      <c r="V399" s="364" t="s">
        <v>2336</v>
      </c>
      <c r="W399" s="364" t="s">
        <v>2337</v>
      </c>
      <c r="X399" s="364" t="s">
        <v>2469</v>
      </c>
      <c r="Y399" s="364" t="s">
        <v>2388</v>
      </c>
      <c r="Z399" s="364" t="s">
        <v>2339</v>
      </c>
      <c r="AA399" s="364" t="s">
        <v>2340</v>
      </c>
      <c r="AB399" s="364" t="s">
        <v>2341</v>
      </c>
      <c r="AC399" s="364" t="s">
        <v>2342</v>
      </c>
      <c r="AD399" s="364" t="s">
        <v>2344</v>
      </c>
      <c r="AE399" s="364" t="s">
        <v>2345</v>
      </c>
      <c r="AF399" s="364" t="s">
        <v>2346</v>
      </c>
      <c r="AG399" s="364" t="s">
        <v>2347</v>
      </c>
      <c r="AH399" s="364" t="s">
        <v>2511</v>
      </c>
      <c r="AI399" s="364" t="s">
        <v>2424</v>
      </c>
      <c r="AJ399" s="364" t="s">
        <v>2348</v>
      </c>
      <c r="AK399" s="364" t="s">
        <v>2349</v>
      </c>
      <c r="AL399" s="364" t="s">
        <v>2351</v>
      </c>
      <c r="AM399" s="364" t="s">
        <v>2477</v>
      </c>
      <c r="AN399" s="364" t="s">
        <v>2430</v>
      </c>
      <c r="AO399" s="364"/>
      <c r="AP399" s="364"/>
      <c r="AQ399" s="364"/>
      <c r="AR399" s="364"/>
      <c r="AS399" s="364"/>
      <c r="AT399" s="364"/>
      <c r="AU399" s="364"/>
      <c r="AV399" s="364"/>
      <c r="AW399" s="364"/>
      <c r="AX399" s="364"/>
      <c r="AY399" s="364"/>
      <c r="AZ399" s="364"/>
      <c r="BA399" s="364"/>
      <c r="BB399" s="364"/>
      <c r="BC399" s="364"/>
      <c r="BD399" s="364"/>
      <c r="BE399" s="364"/>
      <c r="BF399" s="364"/>
      <c r="BG399" s="364"/>
      <c r="BH399" s="364"/>
      <c r="BI399" s="364"/>
      <c r="BJ399" s="364"/>
      <c r="BK399" s="364"/>
      <c r="BL399" s="364"/>
      <c r="BM399" s="364"/>
      <c r="BN399" s="364"/>
      <c r="BO399" s="364"/>
      <c r="BP399" s="364"/>
      <c r="BQ399" s="364"/>
      <c r="BR399" s="364"/>
      <c r="BS399" s="364"/>
      <c r="BT399" s="364"/>
      <c r="BU399" s="364"/>
      <c r="BV399" s="364"/>
      <c r="BW399" s="364"/>
      <c r="BX399" s="364"/>
      <c r="BY399" s="364"/>
      <c r="BZ399" s="364"/>
      <c r="CA399" s="364"/>
      <c r="CB399" s="364"/>
      <c r="CC399" s="364"/>
      <c r="CD399" s="364"/>
      <c r="CE399" s="364"/>
      <c r="CF399" s="364"/>
      <c r="CG399" s="364"/>
      <c r="CH399" s="364"/>
      <c r="CI399" s="364"/>
      <c r="CJ399" s="364"/>
      <c r="CK399" s="364"/>
      <c r="CL399" s="364"/>
      <c r="CM399" s="364"/>
      <c r="CN399" s="364"/>
      <c r="CO399" s="364"/>
      <c r="CP399" s="364"/>
      <c r="CQ399" s="364"/>
      <c r="CR399" s="364"/>
      <c r="CS399" s="364"/>
      <c r="CT399" s="364"/>
      <c r="CU399" s="364"/>
      <c r="CV399" s="364"/>
      <c r="CW399" s="364"/>
      <c r="CX399" s="364"/>
      <c r="CY399" s="364"/>
      <c r="CZ399" s="364"/>
      <c r="DA399" s="364"/>
      <c r="DB399" s="364"/>
      <c r="DC399" s="364"/>
      <c r="DD399" s="364"/>
      <c r="DE399" s="364"/>
      <c r="DF399" s="364"/>
      <c r="DG399" s="364"/>
      <c r="DH399" s="364"/>
      <c r="DI399" s="364"/>
      <c r="DJ399" s="364"/>
      <c r="DK399" s="364"/>
      <c r="DL399" s="364"/>
      <c r="DM399" s="364"/>
      <c r="DN399" s="364"/>
      <c r="DO399" s="364"/>
      <c r="DP399" s="364"/>
      <c r="DQ399" s="364"/>
      <c r="DR399" s="364"/>
      <c r="DS399" s="364"/>
      <c r="DT399" s="364"/>
      <c r="DU399" s="364"/>
      <c r="DV399" s="364"/>
      <c r="DW399" s="364"/>
      <c r="DX399" s="364"/>
      <c r="DY399" s="364"/>
      <c r="DZ399" s="364"/>
      <c r="EA399" s="364"/>
      <c r="EB399" s="364"/>
      <c r="EC399" s="364"/>
      <c r="ED399" s="364"/>
      <c r="EE399" s="364"/>
      <c r="EF399" s="364"/>
      <c r="EG399" s="364"/>
      <c r="EH399" s="364"/>
      <c r="EI399" s="364"/>
      <c r="EJ399" s="364"/>
      <c r="EK399" s="364"/>
      <c r="EL399" s="364"/>
      <c r="EM399" s="364"/>
      <c r="EN399" s="364"/>
      <c r="EO399" s="364"/>
      <c r="EP399" s="364"/>
      <c r="EQ399" s="364"/>
      <c r="ER399" s="364"/>
      <c r="ES399" s="364"/>
      <c r="ET399" s="364"/>
      <c r="EU399" s="364"/>
      <c r="EV399" s="364"/>
      <c r="EW399" s="364"/>
      <c r="EX399" s="364"/>
      <c r="EY399" s="364"/>
      <c r="EZ399" s="364"/>
      <c r="FA399" s="364"/>
      <c r="FB399" s="364"/>
      <c r="FC399" s="364"/>
      <c r="FD399" s="364"/>
      <c r="FE399" s="364"/>
      <c r="FF399" s="364"/>
      <c r="FG399" s="364"/>
      <c r="FH399" s="364"/>
      <c r="FI399" s="364"/>
      <c r="FJ399" s="364"/>
      <c r="FK399" s="364"/>
    </row>
    <row r="400" customFormat="false" ht="15.75" hidden="false" customHeight="false" outlineLevel="0" collapsed="false">
      <c r="A400" s="364" t="n">
        <v>783</v>
      </c>
      <c r="B400" s="364" t="n">
        <f aca="false">COUNTA(D400:FK400)</f>
        <v>69</v>
      </c>
      <c r="C400" s="364" t="s">
        <v>1930</v>
      </c>
      <c r="D400" s="364" t="s">
        <v>2352</v>
      </c>
      <c r="E400" s="364" t="s">
        <v>2647</v>
      </c>
      <c r="F400" s="364" t="s">
        <v>2312</v>
      </c>
      <c r="G400" s="364" t="s">
        <v>2356</v>
      </c>
      <c r="H400" s="364" t="s">
        <v>2313</v>
      </c>
      <c r="I400" s="364" t="s">
        <v>2552</v>
      </c>
      <c r="J400" s="364" t="s">
        <v>2549</v>
      </c>
      <c r="K400" s="364" t="s">
        <v>2612</v>
      </c>
      <c r="L400" s="364" t="s">
        <v>2465</v>
      </c>
      <c r="M400" s="364" t="s">
        <v>2466</v>
      </c>
      <c r="N400" s="364" t="s">
        <v>2315</v>
      </c>
      <c r="O400" s="364" t="s">
        <v>2409</v>
      </c>
      <c r="P400" s="364" t="s">
        <v>2358</v>
      </c>
      <c r="Q400" s="364" t="s">
        <v>2360</v>
      </c>
      <c r="R400" s="364" t="s">
        <v>2520</v>
      </c>
      <c r="S400" s="364" t="s">
        <v>2543</v>
      </c>
      <c r="T400" s="364" t="s">
        <v>2317</v>
      </c>
      <c r="U400" s="364" t="s">
        <v>2318</v>
      </c>
      <c r="V400" s="364" t="s">
        <v>2448</v>
      </c>
      <c r="W400" s="364" t="s">
        <v>2320</v>
      </c>
      <c r="X400" s="364" t="s">
        <v>2449</v>
      </c>
      <c r="Y400" s="364" t="s">
        <v>2369</v>
      </c>
      <c r="Z400" s="364" t="s">
        <v>2376</v>
      </c>
      <c r="AA400" s="364" t="s">
        <v>2377</v>
      </c>
      <c r="AB400" s="364" t="s">
        <v>2523</v>
      </c>
      <c r="AC400" s="364" t="s">
        <v>2324</v>
      </c>
      <c r="AD400" s="364" t="s">
        <v>2325</v>
      </c>
      <c r="AE400" s="364" t="s">
        <v>2484</v>
      </c>
      <c r="AF400" s="364" t="s">
        <v>2614</v>
      </c>
      <c r="AG400" s="364" t="s">
        <v>2328</v>
      </c>
      <c r="AH400" s="364" t="s">
        <v>2329</v>
      </c>
      <c r="AI400" s="364" t="s">
        <v>2521</v>
      </c>
      <c r="AJ400" s="364" t="s">
        <v>2416</v>
      </c>
      <c r="AK400" s="364" t="s">
        <v>2438</v>
      </c>
      <c r="AL400" s="364" t="s">
        <v>2506</v>
      </c>
      <c r="AM400" s="364" t="s">
        <v>2545</v>
      </c>
      <c r="AN400" s="364" t="s">
        <v>2330</v>
      </c>
      <c r="AO400" s="364" t="s">
        <v>2539</v>
      </c>
      <c r="AP400" s="364" t="s">
        <v>2540</v>
      </c>
      <c r="AQ400" s="364" t="s">
        <v>2332</v>
      </c>
      <c r="AR400" s="364" t="s">
        <v>2452</v>
      </c>
      <c r="AS400" s="364" t="s">
        <v>2454</v>
      </c>
      <c r="AT400" s="364" t="s">
        <v>2387</v>
      </c>
      <c r="AU400" s="364" t="s">
        <v>2337</v>
      </c>
      <c r="AV400" s="364" t="s">
        <v>2469</v>
      </c>
      <c r="AW400" s="364" t="s">
        <v>2388</v>
      </c>
      <c r="AX400" s="364" t="s">
        <v>2339</v>
      </c>
      <c r="AY400" s="364" t="s">
        <v>2389</v>
      </c>
      <c r="AZ400" s="364" t="s">
        <v>2340</v>
      </c>
      <c r="BA400" s="364" t="s">
        <v>2341</v>
      </c>
      <c r="BB400" s="364" t="s">
        <v>2392</v>
      </c>
      <c r="BC400" s="364" t="s">
        <v>2613</v>
      </c>
      <c r="BD400" s="364" t="s">
        <v>2395</v>
      </c>
      <c r="BE400" s="364" t="s">
        <v>2343</v>
      </c>
      <c r="BF400" s="364" t="s">
        <v>2472</v>
      </c>
      <c r="BG400" s="364" t="s">
        <v>2344</v>
      </c>
      <c r="BH400" s="364" t="s">
        <v>2346</v>
      </c>
      <c r="BI400" s="364" t="s">
        <v>2500</v>
      </c>
      <c r="BJ400" s="364" t="s">
        <v>2347</v>
      </c>
      <c r="BK400" s="364" t="s">
        <v>2511</v>
      </c>
      <c r="BL400" s="364" t="s">
        <v>2424</v>
      </c>
      <c r="BM400" s="364" t="s">
        <v>2348</v>
      </c>
      <c r="BN400" s="364" t="s">
        <v>2445</v>
      </c>
      <c r="BO400" s="364" t="s">
        <v>2456</v>
      </c>
      <c r="BP400" s="364" t="s">
        <v>2399</v>
      </c>
      <c r="BQ400" s="364" t="s">
        <v>2463</v>
      </c>
      <c r="BR400" s="364" t="s">
        <v>2554</v>
      </c>
      <c r="BS400" s="364" t="s">
        <v>2458</v>
      </c>
      <c r="BT400" s="364" t="s">
        <v>2430</v>
      </c>
      <c r="BU400" s="364"/>
      <c r="BV400" s="364"/>
      <c r="BW400" s="364"/>
      <c r="BX400" s="364"/>
      <c r="BY400" s="364"/>
      <c r="BZ400" s="364"/>
      <c r="CA400" s="364"/>
      <c r="CB400" s="364"/>
      <c r="CC400" s="364"/>
      <c r="CD400" s="364"/>
      <c r="CE400" s="364"/>
      <c r="CF400" s="364"/>
      <c r="CG400" s="364"/>
      <c r="CH400" s="364"/>
      <c r="CI400" s="364"/>
      <c r="CJ400" s="364"/>
      <c r="CK400" s="364"/>
      <c r="CL400" s="364"/>
      <c r="CM400" s="364"/>
      <c r="CN400" s="364"/>
      <c r="CO400" s="364"/>
      <c r="CP400" s="364"/>
      <c r="CQ400" s="364"/>
      <c r="CR400" s="364"/>
      <c r="CS400" s="364"/>
      <c r="CT400" s="364"/>
      <c r="CU400" s="364"/>
      <c r="CV400" s="364"/>
      <c r="CW400" s="364"/>
      <c r="CX400" s="364"/>
      <c r="CY400" s="364"/>
      <c r="CZ400" s="364"/>
      <c r="DA400" s="364"/>
      <c r="DB400" s="364"/>
      <c r="DC400" s="364"/>
      <c r="DD400" s="364"/>
      <c r="DE400" s="364"/>
      <c r="DF400" s="364"/>
      <c r="DG400" s="364"/>
      <c r="DH400" s="364"/>
      <c r="DI400" s="364"/>
      <c r="DJ400" s="364"/>
      <c r="DK400" s="364"/>
      <c r="DL400" s="364"/>
      <c r="DM400" s="364"/>
      <c r="DN400" s="364"/>
      <c r="DO400" s="364"/>
      <c r="DP400" s="364"/>
      <c r="DQ400" s="364"/>
      <c r="DR400" s="364"/>
      <c r="DS400" s="364"/>
      <c r="DT400" s="364"/>
      <c r="DU400" s="364"/>
      <c r="DV400" s="364"/>
      <c r="DW400" s="364"/>
      <c r="DX400" s="364"/>
      <c r="DY400" s="364"/>
      <c r="DZ400" s="364"/>
      <c r="EA400" s="364"/>
      <c r="EB400" s="364"/>
      <c r="EC400" s="364"/>
      <c r="ED400" s="364"/>
      <c r="EE400" s="364"/>
      <c r="EF400" s="364"/>
      <c r="EG400" s="364"/>
      <c r="EH400" s="364"/>
      <c r="EI400" s="364"/>
      <c r="EJ400" s="364"/>
      <c r="EK400" s="364"/>
      <c r="EL400" s="364"/>
      <c r="EM400" s="364"/>
      <c r="EN400" s="364"/>
      <c r="EO400" s="364"/>
      <c r="EP400" s="364"/>
      <c r="EQ400" s="364"/>
      <c r="ER400" s="364"/>
      <c r="ES400" s="364"/>
      <c r="ET400" s="364"/>
      <c r="EU400" s="364"/>
      <c r="EV400" s="364"/>
      <c r="EW400" s="364"/>
      <c r="EX400" s="364"/>
      <c r="EY400" s="364"/>
      <c r="EZ400" s="364"/>
      <c r="FA400" s="364"/>
      <c r="FB400" s="364"/>
      <c r="FC400" s="364"/>
      <c r="FD400" s="364"/>
      <c r="FE400" s="364"/>
      <c r="FF400" s="364"/>
      <c r="FG400" s="364"/>
      <c r="FH400" s="364"/>
      <c r="FI400" s="364"/>
      <c r="FJ400" s="364"/>
      <c r="FK400" s="364"/>
    </row>
    <row r="401" customFormat="false" ht="15.75" hidden="false" customHeight="false" outlineLevel="0" collapsed="false">
      <c r="A401" s="364" t="n">
        <v>784</v>
      </c>
      <c r="B401" s="364" t="n">
        <f aca="false">COUNTA(D401:FK401)</f>
        <v>29</v>
      </c>
      <c r="C401" s="364" t="s">
        <v>1932</v>
      </c>
      <c r="D401" s="364" t="s">
        <v>2404</v>
      </c>
      <c r="E401" s="364" t="s">
        <v>2464</v>
      </c>
      <c r="F401" s="364" t="s">
        <v>2409</v>
      </c>
      <c r="G401" s="364" t="s">
        <v>2358</v>
      </c>
      <c r="H401" s="364" t="s">
        <v>2318</v>
      </c>
      <c r="I401" s="364" t="s">
        <v>2448</v>
      </c>
      <c r="J401" s="364" t="s">
        <v>2320</v>
      </c>
      <c r="K401" s="364" t="s">
        <v>2324</v>
      </c>
      <c r="L401" s="364" t="s">
        <v>2325</v>
      </c>
      <c r="M401" s="364" t="s">
        <v>2327</v>
      </c>
      <c r="N401" s="364" t="s">
        <v>2328</v>
      </c>
      <c r="O401" s="364" t="s">
        <v>2521</v>
      </c>
      <c r="P401" s="364" t="s">
        <v>2381</v>
      </c>
      <c r="Q401" s="364" t="s">
        <v>2468</v>
      </c>
      <c r="R401" s="364" t="s">
        <v>2337</v>
      </c>
      <c r="S401" s="364" t="s">
        <v>2469</v>
      </c>
      <c r="T401" s="364" t="s">
        <v>2339</v>
      </c>
      <c r="U401" s="364" t="s">
        <v>2340</v>
      </c>
      <c r="V401" s="364" t="s">
        <v>2341</v>
      </c>
      <c r="W401" s="364" t="s">
        <v>2472</v>
      </c>
      <c r="X401" s="364" t="s">
        <v>2344</v>
      </c>
      <c r="Y401" s="364" t="s">
        <v>2473</v>
      </c>
      <c r="Z401" s="364" t="s">
        <v>2424</v>
      </c>
      <c r="AA401" s="364" t="s">
        <v>2348</v>
      </c>
      <c r="AB401" s="364" t="s">
        <v>2349</v>
      </c>
      <c r="AC401" s="364" t="s">
        <v>2463</v>
      </c>
      <c r="AD401" s="364" t="s">
        <v>2446</v>
      </c>
      <c r="AE401" s="364" t="s">
        <v>2477</v>
      </c>
      <c r="AF401" s="364" t="s">
        <v>2430</v>
      </c>
      <c r="AG401" s="364"/>
      <c r="AH401" s="364"/>
      <c r="AI401" s="364"/>
      <c r="AJ401" s="364"/>
      <c r="AK401" s="364"/>
      <c r="AL401" s="364"/>
      <c r="AM401" s="364"/>
      <c r="AN401" s="364"/>
      <c r="AO401" s="364"/>
      <c r="AP401" s="364"/>
      <c r="AQ401" s="364"/>
      <c r="AR401" s="364"/>
      <c r="AS401" s="364"/>
      <c r="AT401" s="364"/>
      <c r="AU401" s="364"/>
      <c r="AV401" s="364"/>
      <c r="AW401" s="364"/>
      <c r="AX401" s="364"/>
      <c r="AY401" s="364"/>
      <c r="AZ401" s="364"/>
      <c r="BA401" s="364"/>
      <c r="BB401" s="364"/>
      <c r="BC401" s="364"/>
      <c r="BD401" s="364"/>
      <c r="BE401" s="364"/>
      <c r="BF401" s="364"/>
      <c r="BG401" s="364"/>
      <c r="BH401" s="364"/>
      <c r="BI401" s="364"/>
      <c r="BJ401" s="364"/>
      <c r="BK401" s="364"/>
      <c r="BL401" s="364"/>
      <c r="BM401" s="364"/>
      <c r="BN401" s="364"/>
      <c r="BO401" s="364"/>
      <c r="BP401" s="364"/>
      <c r="BQ401" s="364"/>
      <c r="BR401" s="364"/>
      <c r="BS401" s="364"/>
      <c r="BT401" s="364"/>
      <c r="BU401" s="364"/>
      <c r="BV401" s="364"/>
      <c r="BW401" s="364"/>
      <c r="BX401" s="364"/>
      <c r="BY401" s="364"/>
      <c r="BZ401" s="364"/>
      <c r="CA401" s="364"/>
      <c r="CB401" s="364"/>
      <c r="CC401" s="364"/>
      <c r="CD401" s="364"/>
      <c r="CE401" s="364"/>
      <c r="CF401" s="364"/>
      <c r="CG401" s="364"/>
      <c r="CH401" s="364"/>
      <c r="CI401" s="364"/>
      <c r="CJ401" s="364"/>
      <c r="CK401" s="364"/>
      <c r="CL401" s="364"/>
      <c r="CM401" s="364"/>
      <c r="CN401" s="364"/>
      <c r="CO401" s="364"/>
      <c r="CP401" s="364"/>
      <c r="CQ401" s="364"/>
      <c r="CR401" s="364"/>
      <c r="CS401" s="364"/>
      <c r="CT401" s="364"/>
      <c r="CU401" s="364"/>
      <c r="CV401" s="364"/>
      <c r="CW401" s="364"/>
      <c r="CX401" s="364"/>
      <c r="CY401" s="364"/>
      <c r="CZ401" s="364"/>
      <c r="DA401" s="364"/>
      <c r="DB401" s="364"/>
      <c r="DC401" s="364"/>
      <c r="DD401" s="364"/>
      <c r="DE401" s="364"/>
      <c r="DF401" s="364"/>
      <c r="DG401" s="364"/>
      <c r="DH401" s="364"/>
      <c r="DI401" s="364"/>
      <c r="DJ401" s="364"/>
      <c r="DK401" s="364"/>
      <c r="DL401" s="364"/>
      <c r="DM401" s="364"/>
      <c r="DN401" s="364"/>
      <c r="DO401" s="364"/>
      <c r="DP401" s="364"/>
      <c r="DQ401" s="364"/>
      <c r="DR401" s="364"/>
      <c r="DS401" s="364"/>
      <c r="DT401" s="364"/>
      <c r="DU401" s="364"/>
      <c r="DV401" s="364"/>
      <c r="DW401" s="364"/>
      <c r="DX401" s="364"/>
      <c r="DY401" s="364"/>
      <c r="DZ401" s="364"/>
      <c r="EA401" s="364"/>
      <c r="EB401" s="364"/>
      <c r="EC401" s="364"/>
      <c r="ED401" s="364"/>
      <c r="EE401" s="364"/>
      <c r="EF401" s="364"/>
      <c r="EG401" s="364"/>
      <c r="EH401" s="364"/>
      <c r="EI401" s="364"/>
      <c r="EJ401" s="364"/>
      <c r="EK401" s="364"/>
      <c r="EL401" s="364"/>
      <c r="EM401" s="364"/>
      <c r="EN401" s="364"/>
      <c r="EO401" s="364"/>
      <c r="EP401" s="364"/>
      <c r="EQ401" s="364"/>
      <c r="ER401" s="364"/>
      <c r="ES401" s="364"/>
      <c r="ET401" s="364"/>
      <c r="EU401" s="364"/>
      <c r="EV401" s="364"/>
      <c r="EW401" s="364"/>
      <c r="EX401" s="364"/>
      <c r="EY401" s="364"/>
      <c r="EZ401" s="364"/>
      <c r="FA401" s="364"/>
      <c r="FB401" s="364"/>
      <c r="FC401" s="364"/>
      <c r="FD401" s="364"/>
      <c r="FE401" s="364"/>
      <c r="FF401" s="364"/>
      <c r="FG401" s="364"/>
      <c r="FH401" s="364"/>
      <c r="FI401" s="364"/>
      <c r="FJ401" s="364"/>
      <c r="FK401" s="364"/>
    </row>
    <row r="402" customFormat="false" ht="15.75" hidden="false" customHeight="false" outlineLevel="0" collapsed="false">
      <c r="A402" s="364" t="n">
        <v>786</v>
      </c>
      <c r="B402" s="364" t="n">
        <f aca="false">COUNTA(D402:FK402)</f>
        <v>32</v>
      </c>
      <c r="C402" s="364" t="s">
        <v>1937</v>
      </c>
      <c r="D402" s="364" t="s">
        <v>2464</v>
      </c>
      <c r="E402" s="364" t="s">
        <v>2434</v>
      </c>
      <c r="F402" s="364" t="s">
        <v>2465</v>
      </c>
      <c r="G402" s="364" t="s">
        <v>2315</v>
      </c>
      <c r="H402" s="364" t="s">
        <v>2409</v>
      </c>
      <c r="I402" s="364" t="s">
        <v>2358</v>
      </c>
      <c r="J402" s="364" t="s">
        <v>2518</v>
      </c>
      <c r="K402" s="364" t="s">
        <v>2435</v>
      </c>
      <c r="L402" s="364" t="s">
        <v>2318</v>
      </c>
      <c r="M402" s="364" t="s">
        <v>2319</v>
      </c>
      <c r="N402" s="364" t="s">
        <v>2320</v>
      </c>
      <c r="O402" s="364" t="s">
        <v>2533</v>
      </c>
      <c r="P402" s="364" t="s">
        <v>2324</v>
      </c>
      <c r="Q402" s="364" t="s">
        <v>2328</v>
      </c>
      <c r="R402" s="364" t="s">
        <v>2329</v>
      </c>
      <c r="S402" s="364" t="s">
        <v>2381</v>
      </c>
      <c r="T402" s="364" t="s">
        <v>2452</v>
      </c>
      <c r="U402" s="364" t="s">
        <v>2387</v>
      </c>
      <c r="V402" s="364" t="s">
        <v>2439</v>
      </c>
      <c r="W402" s="364" t="s">
        <v>157</v>
      </c>
      <c r="X402" s="364" t="s">
        <v>2495</v>
      </c>
      <c r="Y402" s="364" t="s">
        <v>2337</v>
      </c>
      <c r="Z402" s="364" t="s">
        <v>2340</v>
      </c>
      <c r="AA402" s="364" t="s">
        <v>2390</v>
      </c>
      <c r="AB402" s="364" t="s">
        <v>2341</v>
      </c>
      <c r="AC402" s="364" t="s">
        <v>2442</v>
      </c>
      <c r="AD402" s="364" t="s">
        <v>2470</v>
      </c>
      <c r="AE402" s="364" t="s">
        <v>2422</v>
      </c>
      <c r="AF402" s="364" t="s">
        <v>2344</v>
      </c>
      <c r="AG402" s="364" t="s">
        <v>2473</v>
      </c>
      <c r="AH402" s="364" t="s">
        <v>2476</v>
      </c>
      <c r="AI402" s="364" t="s">
        <v>2430</v>
      </c>
      <c r="AJ402" s="364"/>
      <c r="AK402" s="364"/>
      <c r="AL402" s="364"/>
      <c r="AM402" s="364"/>
      <c r="AN402" s="364"/>
      <c r="AO402" s="364"/>
      <c r="AP402" s="364"/>
      <c r="AQ402" s="364"/>
      <c r="AR402" s="364"/>
      <c r="AS402" s="364"/>
      <c r="AT402" s="364"/>
      <c r="AU402" s="364"/>
      <c r="AV402" s="364"/>
      <c r="AW402" s="364"/>
      <c r="AX402" s="364"/>
      <c r="AY402" s="364"/>
      <c r="AZ402" s="364"/>
      <c r="BA402" s="364"/>
      <c r="BB402" s="364"/>
      <c r="BC402" s="364"/>
      <c r="BD402" s="364"/>
      <c r="BE402" s="364"/>
      <c r="BF402" s="364"/>
      <c r="BG402" s="364"/>
      <c r="BH402" s="364"/>
      <c r="BI402" s="364"/>
      <c r="BJ402" s="364"/>
      <c r="BK402" s="364"/>
      <c r="BL402" s="364"/>
      <c r="BM402" s="364"/>
      <c r="BN402" s="364"/>
      <c r="BO402" s="364"/>
      <c r="BP402" s="364"/>
      <c r="BQ402" s="364"/>
      <c r="BR402" s="364"/>
      <c r="BS402" s="364"/>
      <c r="BT402" s="364"/>
      <c r="BU402" s="364"/>
      <c r="BV402" s="364"/>
      <c r="BW402" s="364"/>
      <c r="BX402" s="364"/>
      <c r="BY402" s="364"/>
      <c r="BZ402" s="364"/>
      <c r="CA402" s="364"/>
      <c r="CB402" s="364"/>
      <c r="CC402" s="364"/>
      <c r="CD402" s="364"/>
      <c r="CE402" s="364"/>
      <c r="CF402" s="364"/>
      <c r="CG402" s="364"/>
      <c r="CH402" s="364"/>
      <c r="CI402" s="364"/>
      <c r="CJ402" s="364"/>
      <c r="CK402" s="364"/>
      <c r="CL402" s="364"/>
      <c r="CM402" s="364"/>
      <c r="CN402" s="364"/>
      <c r="CO402" s="364"/>
      <c r="CP402" s="364"/>
      <c r="CQ402" s="364"/>
      <c r="CR402" s="364"/>
      <c r="CS402" s="364"/>
      <c r="CT402" s="364"/>
      <c r="CU402" s="364"/>
      <c r="CV402" s="364"/>
      <c r="CW402" s="364"/>
      <c r="CX402" s="364"/>
      <c r="CY402" s="364"/>
      <c r="CZ402" s="364"/>
      <c r="DA402" s="364"/>
      <c r="DB402" s="364"/>
      <c r="DC402" s="364"/>
      <c r="DD402" s="364"/>
      <c r="DE402" s="364"/>
      <c r="DF402" s="364"/>
      <c r="DG402" s="364"/>
      <c r="DH402" s="364"/>
      <c r="DI402" s="364"/>
      <c r="DJ402" s="364"/>
      <c r="DK402" s="364"/>
      <c r="DL402" s="364"/>
      <c r="DM402" s="364"/>
      <c r="DN402" s="364"/>
      <c r="DO402" s="364"/>
      <c r="DP402" s="364"/>
      <c r="DQ402" s="364"/>
      <c r="DR402" s="364"/>
      <c r="DS402" s="364"/>
      <c r="DT402" s="364"/>
      <c r="DU402" s="364"/>
      <c r="DV402" s="364"/>
      <c r="DW402" s="364"/>
      <c r="DX402" s="364"/>
      <c r="DY402" s="364"/>
      <c r="DZ402" s="364"/>
      <c r="EA402" s="364"/>
      <c r="EB402" s="364"/>
      <c r="EC402" s="364"/>
      <c r="ED402" s="364"/>
      <c r="EE402" s="364"/>
      <c r="EF402" s="364"/>
      <c r="EG402" s="364"/>
      <c r="EH402" s="364"/>
      <c r="EI402" s="364"/>
      <c r="EJ402" s="364"/>
      <c r="EK402" s="364"/>
      <c r="EL402" s="364"/>
      <c r="EM402" s="364"/>
      <c r="EN402" s="364"/>
      <c r="EO402" s="364"/>
      <c r="EP402" s="364"/>
      <c r="EQ402" s="364"/>
      <c r="ER402" s="364"/>
      <c r="ES402" s="364"/>
      <c r="ET402" s="364"/>
      <c r="EU402" s="364"/>
      <c r="EV402" s="364"/>
      <c r="EW402" s="364"/>
      <c r="EX402" s="364"/>
      <c r="EY402" s="364"/>
      <c r="EZ402" s="364"/>
      <c r="FA402" s="364"/>
      <c r="FB402" s="364"/>
      <c r="FC402" s="364"/>
      <c r="FD402" s="364"/>
      <c r="FE402" s="364"/>
      <c r="FF402" s="364"/>
      <c r="FG402" s="364"/>
      <c r="FH402" s="364"/>
      <c r="FI402" s="364"/>
      <c r="FJ402" s="364"/>
      <c r="FK402" s="364"/>
    </row>
    <row r="403" customFormat="false" ht="15.75" hidden="false" customHeight="false" outlineLevel="0" collapsed="false">
      <c r="A403" s="364" t="n">
        <v>789</v>
      </c>
      <c r="B403" s="364" t="n">
        <f aca="false">COUNTA(D403:FK403)</f>
        <v>29</v>
      </c>
      <c r="C403" s="364" t="s">
        <v>1945</v>
      </c>
      <c r="D403" s="364" t="s">
        <v>2352</v>
      </c>
      <c r="E403" s="364" t="s">
        <v>2356</v>
      </c>
      <c r="F403" s="364" t="s">
        <v>2357</v>
      </c>
      <c r="G403" s="364" t="s">
        <v>2315</v>
      </c>
      <c r="H403" s="364" t="s">
        <v>2320</v>
      </c>
      <c r="I403" s="364" t="s">
        <v>2449</v>
      </c>
      <c r="J403" s="364" t="s">
        <v>2411</v>
      </c>
      <c r="K403" s="364" t="s">
        <v>2322</v>
      </c>
      <c r="L403" s="364" t="s">
        <v>2324</v>
      </c>
      <c r="M403" s="364" t="s">
        <v>2412</v>
      </c>
      <c r="N403" s="364" t="s">
        <v>2642</v>
      </c>
      <c r="O403" s="364" t="s">
        <v>2328</v>
      </c>
      <c r="P403" s="364" t="s">
        <v>2329</v>
      </c>
      <c r="Q403" s="364" t="s">
        <v>2506</v>
      </c>
      <c r="R403" s="364" t="s">
        <v>2531</v>
      </c>
      <c r="S403" s="364" t="s">
        <v>2455</v>
      </c>
      <c r="T403" s="364" t="s">
        <v>2337</v>
      </c>
      <c r="U403" s="364" t="s">
        <v>2469</v>
      </c>
      <c r="V403" s="364" t="s">
        <v>2388</v>
      </c>
      <c r="W403" s="364" t="s">
        <v>2339</v>
      </c>
      <c r="X403" s="364" t="s">
        <v>2340</v>
      </c>
      <c r="Y403" s="364" t="s">
        <v>2701</v>
      </c>
      <c r="Z403" s="364" t="s">
        <v>2341</v>
      </c>
      <c r="AA403" s="364" t="s">
        <v>2442</v>
      </c>
      <c r="AB403" s="364" t="s">
        <v>2392</v>
      </c>
      <c r="AC403" s="364" t="s">
        <v>2639</v>
      </c>
      <c r="AD403" s="364" t="s">
        <v>2470</v>
      </c>
      <c r="AE403" s="364" t="s">
        <v>2395</v>
      </c>
      <c r="AF403" s="364" t="s">
        <v>2344</v>
      </c>
      <c r="AG403" s="364"/>
      <c r="AH403" s="364"/>
      <c r="AI403" s="364"/>
      <c r="AJ403" s="364"/>
      <c r="AK403" s="364"/>
      <c r="AL403" s="364"/>
      <c r="AM403" s="364"/>
      <c r="AN403" s="364"/>
      <c r="AO403" s="364"/>
      <c r="AP403" s="364"/>
      <c r="AQ403" s="364"/>
      <c r="AR403" s="364"/>
      <c r="AS403" s="364"/>
      <c r="AT403" s="364"/>
      <c r="AU403" s="364"/>
      <c r="AV403" s="364"/>
      <c r="AW403" s="364"/>
      <c r="AX403" s="364"/>
      <c r="AY403" s="364"/>
      <c r="AZ403" s="364"/>
      <c r="BA403" s="364"/>
      <c r="BB403" s="364"/>
      <c r="BC403" s="364"/>
      <c r="BD403" s="364"/>
      <c r="BE403" s="364"/>
      <c r="BF403" s="364"/>
      <c r="BG403" s="364"/>
      <c r="BH403" s="364"/>
      <c r="BI403" s="364"/>
      <c r="BJ403" s="364"/>
      <c r="BK403" s="364"/>
      <c r="BL403" s="364"/>
      <c r="BM403" s="364"/>
      <c r="BN403" s="364"/>
      <c r="BO403" s="364"/>
      <c r="BP403" s="364"/>
      <c r="BQ403" s="364"/>
      <c r="BR403" s="364"/>
      <c r="BS403" s="364"/>
      <c r="BT403" s="364"/>
      <c r="BU403" s="364"/>
      <c r="BV403" s="364"/>
      <c r="BW403" s="364"/>
      <c r="BX403" s="364"/>
      <c r="BY403" s="364"/>
      <c r="BZ403" s="364"/>
      <c r="CA403" s="364"/>
      <c r="CB403" s="364"/>
      <c r="CC403" s="364"/>
      <c r="CD403" s="364"/>
      <c r="CE403" s="364"/>
      <c r="CF403" s="364"/>
      <c r="CG403" s="364"/>
      <c r="CH403" s="364"/>
      <c r="CI403" s="364"/>
      <c r="CJ403" s="364"/>
      <c r="CK403" s="364"/>
      <c r="CL403" s="364"/>
      <c r="CM403" s="364"/>
      <c r="CN403" s="364"/>
      <c r="CO403" s="364"/>
      <c r="CP403" s="364"/>
      <c r="CQ403" s="364"/>
      <c r="CR403" s="364"/>
      <c r="CS403" s="364"/>
      <c r="CT403" s="364"/>
      <c r="CU403" s="364"/>
      <c r="CV403" s="364"/>
      <c r="CW403" s="364"/>
      <c r="CX403" s="364"/>
      <c r="CY403" s="364"/>
      <c r="CZ403" s="364"/>
      <c r="DA403" s="364"/>
      <c r="DB403" s="364"/>
      <c r="DC403" s="364"/>
      <c r="DD403" s="364"/>
      <c r="DE403" s="364"/>
      <c r="DF403" s="364"/>
      <c r="DG403" s="364"/>
      <c r="DH403" s="364"/>
      <c r="DI403" s="364"/>
      <c r="DJ403" s="364"/>
      <c r="DK403" s="364"/>
      <c r="DL403" s="364"/>
      <c r="DM403" s="364"/>
      <c r="DN403" s="364"/>
      <c r="DO403" s="364"/>
      <c r="DP403" s="364"/>
      <c r="DQ403" s="364"/>
      <c r="DR403" s="364"/>
      <c r="DS403" s="364"/>
      <c r="DT403" s="364"/>
      <c r="DU403" s="364"/>
      <c r="DV403" s="364"/>
      <c r="DW403" s="364"/>
      <c r="DX403" s="364"/>
      <c r="DY403" s="364"/>
      <c r="DZ403" s="364"/>
      <c r="EA403" s="364"/>
      <c r="EB403" s="364"/>
      <c r="EC403" s="364"/>
      <c r="ED403" s="364"/>
      <c r="EE403" s="364"/>
      <c r="EF403" s="364"/>
      <c r="EG403" s="364"/>
      <c r="EH403" s="364"/>
      <c r="EI403" s="364"/>
      <c r="EJ403" s="364"/>
      <c r="EK403" s="364"/>
      <c r="EL403" s="364"/>
      <c r="EM403" s="364"/>
      <c r="EN403" s="364"/>
      <c r="EO403" s="364"/>
      <c r="EP403" s="364"/>
      <c r="EQ403" s="364"/>
      <c r="ER403" s="364"/>
      <c r="ES403" s="364"/>
      <c r="ET403" s="364"/>
      <c r="EU403" s="364"/>
      <c r="EV403" s="364"/>
      <c r="EW403" s="364"/>
      <c r="EX403" s="364"/>
      <c r="EY403" s="364"/>
      <c r="EZ403" s="364"/>
      <c r="FA403" s="364"/>
      <c r="FB403" s="364"/>
      <c r="FC403" s="364"/>
      <c r="FD403" s="364"/>
      <c r="FE403" s="364"/>
      <c r="FF403" s="364"/>
      <c r="FG403" s="364"/>
      <c r="FH403" s="364"/>
      <c r="FI403" s="364"/>
      <c r="FJ403" s="364"/>
      <c r="FK403" s="364"/>
    </row>
    <row r="404" customFormat="false" ht="15.75" hidden="false" customHeight="false" outlineLevel="0" collapsed="false">
      <c r="A404" s="364" t="n">
        <v>792</v>
      </c>
      <c r="B404" s="364" t="n">
        <f aca="false">COUNTA(D404:FK404)</f>
        <v>26</v>
      </c>
      <c r="C404" s="364" t="s">
        <v>1952</v>
      </c>
      <c r="D404" s="364" t="s">
        <v>2464</v>
      </c>
      <c r="E404" s="364" t="s">
        <v>2465</v>
      </c>
      <c r="F404" s="364" t="s">
        <v>2517</v>
      </c>
      <c r="G404" s="364" t="s">
        <v>2518</v>
      </c>
      <c r="H404" s="364" t="s">
        <v>2624</v>
      </c>
      <c r="I404" s="364" t="s">
        <v>2520</v>
      </c>
      <c r="J404" s="364" t="s">
        <v>2435</v>
      </c>
      <c r="K404" s="364" t="s">
        <v>2318</v>
      </c>
      <c r="L404" s="364" t="s">
        <v>2448</v>
      </c>
      <c r="M404" s="364" t="s">
        <v>2319</v>
      </c>
      <c r="N404" s="364" t="s">
        <v>2320</v>
      </c>
      <c r="O404" s="364" t="s">
        <v>2640</v>
      </c>
      <c r="P404" s="364" t="s">
        <v>2411</v>
      </c>
      <c r="Q404" s="364" t="s">
        <v>2324</v>
      </c>
      <c r="R404" s="364" t="s">
        <v>2412</v>
      </c>
      <c r="S404" s="364" t="s">
        <v>2328</v>
      </c>
      <c r="T404" s="364" t="s">
        <v>2329</v>
      </c>
      <c r="U404" s="364" t="s">
        <v>2638</v>
      </c>
      <c r="V404" s="364" t="s">
        <v>157</v>
      </c>
      <c r="W404" s="364" t="s">
        <v>2495</v>
      </c>
      <c r="X404" s="364" t="s">
        <v>2337</v>
      </c>
      <c r="Y404" s="364" t="s">
        <v>2340</v>
      </c>
      <c r="Z404" s="364" t="s">
        <v>2341</v>
      </c>
      <c r="AA404" s="364" t="s">
        <v>2344</v>
      </c>
      <c r="AB404" s="364" t="s">
        <v>2475</v>
      </c>
      <c r="AC404" s="364" t="s">
        <v>2476</v>
      </c>
      <c r="AD404" s="364"/>
      <c r="AE404" s="364"/>
      <c r="AF404" s="364"/>
      <c r="AG404" s="364"/>
      <c r="AH404" s="364"/>
      <c r="AI404" s="364"/>
      <c r="AJ404" s="364"/>
      <c r="AK404" s="364"/>
      <c r="AL404" s="364"/>
      <c r="AM404" s="364"/>
      <c r="AN404" s="364"/>
      <c r="AO404" s="364"/>
      <c r="AP404" s="364"/>
      <c r="AQ404" s="364"/>
      <c r="AR404" s="364"/>
      <c r="AS404" s="364"/>
      <c r="AT404" s="364"/>
      <c r="AU404" s="364"/>
      <c r="AV404" s="364"/>
      <c r="AW404" s="364"/>
      <c r="AX404" s="364"/>
      <c r="AY404" s="364"/>
      <c r="AZ404" s="364"/>
      <c r="BA404" s="364"/>
      <c r="BB404" s="364"/>
      <c r="BC404" s="364"/>
      <c r="BD404" s="364"/>
      <c r="BE404" s="364"/>
      <c r="BF404" s="364"/>
      <c r="BG404" s="364"/>
      <c r="BH404" s="364"/>
      <c r="BI404" s="364"/>
      <c r="BJ404" s="364"/>
      <c r="BK404" s="364"/>
      <c r="BL404" s="364"/>
      <c r="BM404" s="364"/>
      <c r="BN404" s="364"/>
      <c r="BO404" s="364"/>
      <c r="BP404" s="364"/>
      <c r="BQ404" s="364"/>
      <c r="BR404" s="364"/>
      <c r="BS404" s="364"/>
      <c r="BT404" s="364"/>
      <c r="BU404" s="364"/>
      <c r="BV404" s="364"/>
      <c r="BW404" s="364"/>
      <c r="BX404" s="364"/>
      <c r="BY404" s="364"/>
      <c r="BZ404" s="364"/>
      <c r="CA404" s="364"/>
      <c r="CB404" s="364"/>
      <c r="CC404" s="364"/>
      <c r="CD404" s="364"/>
      <c r="CE404" s="364"/>
      <c r="CF404" s="364"/>
      <c r="CG404" s="364"/>
      <c r="CH404" s="364"/>
      <c r="CI404" s="364"/>
      <c r="CJ404" s="364"/>
      <c r="CK404" s="364"/>
      <c r="CL404" s="364"/>
      <c r="CM404" s="364"/>
      <c r="CN404" s="364"/>
      <c r="CO404" s="364"/>
      <c r="CP404" s="364"/>
      <c r="CQ404" s="364"/>
      <c r="CR404" s="364"/>
      <c r="CS404" s="364"/>
      <c r="CT404" s="364"/>
      <c r="CU404" s="364"/>
      <c r="CV404" s="364"/>
      <c r="CW404" s="364"/>
      <c r="CX404" s="364"/>
      <c r="CY404" s="364"/>
      <c r="CZ404" s="364"/>
      <c r="DA404" s="364"/>
      <c r="DB404" s="364"/>
      <c r="DC404" s="364"/>
      <c r="DD404" s="364"/>
      <c r="DE404" s="364"/>
      <c r="DF404" s="364"/>
      <c r="DG404" s="364"/>
      <c r="DH404" s="364"/>
      <c r="DI404" s="364"/>
      <c r="DJ404" s="364"/>
      <c r="DK404" s="364"/>
      <c r="DL404" s="364"/>
      <c r="DM404" s="364"/>
      <c r="DN404" s="364"/>
      <c r="DO404" s="364"/>
      <c r="DP404" s="364"/>
      <c r="DQ404" s="364"/>
      <c r="DR404" s="364"/>
      <c r="DS404" s="364"/>
      <c r="DT404" s="364"/>
      <c r="DU404" s="364"/>
      <c r="DV404" s="364"/>
      <c r="DW404" s="364"/>
      <c r="DX404" s="364"/>
      <c r="DY404" s="364"/>
      <c r="DZ404" s="364"/>
      <c r="EA404" s="364"/>
      <c r="EB404" s="364"/>
      <c r="EC404" s="364"/>
      <c r="ED404" s="364"/>
      <c r="EE404" s="364"/>
      <c r="EF404" s="364"/>
      <c r="EG404" s="364"/>
      <c r="EH404" s="364"/>
      <c r="EI404" s="364"/>
      <c r="EJ404" s="364"/>
      <c r="EK404" s="364"/>
      <c r="EL404" s="364"/>
      <c r="EM404" s="364"/>
      <c r="EN404" s="364"/>
      <c r="EO404" s="364"/>
      <c r="EP404" s="364"/>
      <c r="EQ404" s="364"/>
      <c r="ER404" s="364"/>
      <c r="ES404" s="364"/>
      <c r="ET404" s="364"/>
      <c r="EU404" s="364"/>
      <c r="EV404" s="364"/>
      <c r="EW404" s="364"/>
      <c r="EX404" s="364"/>
      <c r="EY404" s="364"/>
      <c r="EZ404" s="364"/>
      <c r="FA404" s="364"/>
      <c r="FB404" s="364"/>
      <c r="FC404" s="364"/>
      <c r="FD404" s="364"/>
      <c r="FE404" s="364"/>
      <c r="FF404" s="364"/>
      <c r="FG404" s="364"/>
      <c r="FH404" s="364"/>
      <c r="FI404" s="364"/>
      <c r="FJ404" s="364"/>
      <c r="FK404" s="364"/>
    </row>
    <row r="405" customFormat="false" ht="15.75" hidden="false" customHeight="false" outlineLevel="0" collapsed="false">
      <c r="A405" s="364" t="n">
        <v>794</v>
      </c>
      <c r="B405" s="364" t="n">
        <f aca="false">COUNTA(D405:FK405)</f>
        <v>23</v>
      </c>
      <c r="C405" s="364" t="s">
        <v>1956</v>
      </c>
      <c r="D405" s="364" t="s">
        <v>2465</v>
      </c>
      <c r="E405" s="364" t="s">
        <v>2517</v>
      </c>
      <c r="F405" s="364" t="s">
        <v>2624</v>
      </c>
      <c r="G405" s="364" t="s">
        <v>2520</v>
      </c>
      <c r="H405" s="364" t="s">
        <v>2435</v>
      </c>
      <c r="I405" s="364" t="s">
        <v>2448</v>
      </c>
      <c r="J405" s="364" t="s">
        <v>2319</v>
      </c>
      <c r="K405" s="364" t="s">
        <v>2320</v>
      </c>
      <c r="L405" s="364" t="s">
        <v>2640</v>
      </c>
      <c r="M405" s="364" t="s">
        <v>2373</v>
      </c>
      <c r="N405" s="364" t="s">
        <v>2324</v>
      </c>
      <c r="O405" s="364" t="s">
        <v>2328</v>
      </c>
      <c r="P405" s="364" t="s">
        <v>2329</v>
      </c>
      <c r="Q405" s="364" t="s">
        <v>2526</v>
      </c>
      <c r="R405" s="364" t="s">
        <v>157</v>
      </c>
      <c r="S405" s="364" t="s">
        <v>2337</v>
      </c>
      <c r="T405" s="364" t="s">
        <v>2340</v>
      </c>
      <c r="U405" s="364" t="s">
        <v>2341</v>
      </c>
      <c r="V405" s="364" t="s">
        <v>2344</v>
      </c>
      <c r="W405" s="364" t="s">
        <v>2424</v>
      </c>
      <c r="X405" s="364" t="s">
        <v>2348</v>
      </c>
      <c r="Y405" s="364" t="s">
        <v>2445</v>
      </c>
      <c r="Z405" s="364" t="s">
        <v>2476</v>
      </c>
      <c r="AA405" s="364"/>
      <c r="AB405" s="364"/>
      <c r="AC405" s="364"/>
      <c r="AD405" s="364"/>
      <c r="AE405" s="364"/>
      <c r="AF405" s="364"/>
      <c r="AG405" s="364"/>
      <c r="AH405" s="364"/>
      <c r="AI405" s="364"/>
      <c r="AJ405" s="364"/>
      <c r="AK405" s="364"/>
      <c r="AL405" s="364"/>
      <c r="AM405" s="364"/>
      <c r="AN405" s="364"/>
      <c r="AO405" s="364"/>
      <c r="AP405" s="364"/>
      <c r="AQ405" s="364"/>
      <c r="AR405" s="364"/>
      <c r="AS405" s="364"/>
      <c r="AT405" s="364"/>
      <c r="AU405" s="364"/>
      <c r="AV405" s="364"/>
      <c r="AW405" s="364"/>
      <c r="AX405" s="364"/>
      <c r="AY405" s="364"/>
      <c r="AZ405" s="364"/>
      <c r="BA405" s="364"/>
      <c r="BB405" s="364"/>
      <c r="BC405" s="364"/>
      <c r="BD405" s="364"/>
      <c r="BE405" s="364"/>
      <c r="BF405" s="364"/>
      <c r="BG405" s="364"/>
      <c r="BH405" s="364"/>
      <c r="BI405" s="364"/>
      <c r="BJ405" s="364"/>
      <c r="BK405" s="364"/>
      <c r="BL405" s="364"/>
      <c r="BM405" s="364"/>
      <c r="BN405" s="364"/>
      <c r="BO405" s="364"/>
      <c r="BP405" s="364"/>
      <c r="BQ405" s="364"/>
      <c r="BR405" s="364"/>
      <c r="BS405" s="364"/>
      <c r="BT405" s="364"/>
      <c r="BU405" s="364"/>
      <c r="BV405" s="364"/>
      <c r="BW405" s="364"/>
      <c r="BX405" s="364"/>
      <c r="BY405" s="364"/>
      <c r="BZ405" s="364"/>
      <c r="CA405" s="364"/>
      <c r="CB405" s="364"/>
      <c r="CC405" s="364"/>
      <c r="CD405" s="364"/>
      <c r="CE405" s="364"/>
      <c r="CF405" s="364"/>
      <c r="CG405" s="364"/>
      <c r="CH405" s="364"/>
      <c r="CI405" s="364"/>
      <c r="CJ405" s="364"/>
      <c r="CK405" s="364"/>
      <c r="CL405" s="364"/>
      <c r="CM405" s="364"/>
      <c r="CN405" s="364"/>
      <c r="CO405" s="364"/>
      <c r="CP405" s="364"/>
      <c r="CQ405" s="364"/>
      <c r="CR405" s="364"/>
      <c r="CS405" s="364"/>
      <c r="CT405" s="364"/>
      <c r="CU405" s="364"/>
      <c r="CV405" s="364"/>
      <c r="CW405" s="364"/>
      <c r="CX405" s="364"/>
      <c r="CY405" s="364"/>
      <c r="CZ405" s="364"/>
      <c r="DA405" s="364"/>
      <c r="DB405" s="364"/>
      <c r="DC405" s="364"/>
      <c r="DD405" s="364"/>
      <c r="DE405" s="364"/>
      <c r="DF405" s="364"/>
      <c r="DG405" s="364"/>
      <c r="DH405" s="364"/>
      <c r="DI405" s="364"/>
      <c r="DJ405" s="364"/>
      <c r="DK405" s="364"/>
      <c r="DL405" s="364"/>
      <c r="DM405" s="364"/>
      <c r="DN405" s="364"/>
      <c r="DO405" s="364"/>
      <c r="DP405" s="364"/>
      <c r="DQ405" s="364"/>
      <c r="DR405" s="364"/>
      <c r="DS405" s="364"/>
      <c r="DT405" s="364"/>
      <c r="DU405" s="364"/>
      <c r="DV405" s="364"/>
      <c r="DW405" s="364"/>
      <c r="DX405" s="364"/>
      <c r="DY405" s="364"/>
      <c r="DZ405" s="364"/>
      <c r="EA405" s="364"/>
      <c r="EB405" s="364"/>
      <c r="EC405" s="364"/>
      <c r="ED405" s="364"/>
      <c r="EE405" s="364"/>
      <c r="EF405" s="364"/>
      <c r="EG405" s="364"/>
      <c r="EH405" s="364"/>
      <c r="EI405" s="364"/>
      <c r="EJ405" s="364"/>
      <c r="EK405" s="364"/>
      <c r="EL405" s="364"/>
      <c r="EM405" s="364"/>
      <c r="EN405" s="364"/>
      <c r="EO405" s="364"/>
      <c r="EP405" s="364"/>
      <c r="EQ405" s="364"/>
      <c r="ER405" s="364"/>
      <c r="ES405" s="364"/>
      <c r="ET405" s="364"/>
      <c r="EU405" s="364"/>
      <c r="EV405" s="364"/>
      <c r="EW405" s="364"/>
      <c r="EX405" s="364"/>
      <c r="EY405" s="364"/>
      <c r="EZ405" s="364"/>
      <c r="FA405" s="364"/>
      <c r="FB405" s="364"/>
      <c r="FC405" s="364"/>
      <c r="FD405" s="364"/>
      <c r="FE405" s="364"/>
      <c r="FF405" s="364"/>
      <c r="FG405" s="364"/>
      <c r="FH405" s="364"/>
      <c r="FI405" s="364"/>
      <c r="FJ405" s="364"/>
      <c r="FK405" s="364"/>
    </row>
    <row r="406" customFormat="false" ht="15.75" hidden="false" customHeight="false" outlineLevel="0" collapsed="false">
      <c r="A406" s="364" t="n">
        <v>796</v>
      </c>
      <c r="B406" s="364" t="n">
        <f aca="false">COUNTA(D406:FK406)</f>
        <v>35</v>
      </c>
      <c r="C406" s="364" t="s">
        <v>1960</v>
      </c>
      <c r="D406" s="364" t="s">
        <v>2352</v>
      </c>
      <c r="E406" s="364" t="s">
        <v>2311</v>
      </c>
      <c r="F406" s="364" t="s">
        <v>2357</v>
      </c>
      <c r="G406" s="364" t="s">
        <v>2559</v>
      </c>
      <c r="H406" s="364" t="s">
        <v>2315</v>
      </c>
      <c r="I406" s="364" t="s">
        <v>2409</v>
      </c>
      <c r="J406" s="364" t="s">
        <v>2320</v>
      </c>
      <c r="K406" s="364" t="s">
        <v>2373</v>
      </c>
      <c r="L406" s="364" t="s">
        <v>2523</v>
      </c>
      <c r="M406" s="364" t="s">
        <v>2324</v>
      </c>
      <c r="N406" s="364" t="s">
        <v>2328</v>
      </c>
      <c r="O406" s="364" t="s">
        <v>2329</v>
      </c>
      <c r="P406" s="364" t="s">
        <v>2330</v>
      </c>
      <c r="Q406" s="364" t="s">
        <v>2531</v>
      </c>
      <c r="R406" s="364" t="s">
        <v>2452</v>
      </c>
      <c r="S406" s="364" t="s">
        <v>2480</v>
      </c>
      <c r="T406" s="364" t="s">
        <v>2460</v>
      </c>
      <c r="U406" s="364" t="s">
        <v>2439</v>
      </c>
      <c r="V406" s="364" t="s">
        <v>157</v>
      </c>
      <c r="W406" s="364" t="s">
        <v>2551</v>
      </c>
      <c r="X406" s="364" t="s">
        <v>2495</v>
      </c>
      <c r="Y406" s="364" t="s">
        <v>2440</v>
      </c>
      <c r="Z406" s="364" t="s">
        <v>2337</v>
      </c>
      <c r="AA406" s="364" t="s">
        <v>2469</v>
      </c>
      <c r="AB406" s="364" t="s">
        <v>2388</v>
      </c>
      <c r="AC406" s="364" t="s">
        <v>2340</v>
      </c>
      <c r="AD406" s="364" t="s">
        <v>2341</v>
      </c>
      <c r="AE406" s="364" t="s">
        <v>2422</v>
      </c>
      <c r="AF406" s="364" t="s">
        <v>2395</v>
      </c>
      <c r="AG406" s="364" t="s">
        <v>2344</v>
      </c>
      <c r="AH406" s="364" t="s">
        <v>2511</v>
      </c>
      <c r="AI406" s="364" t="s">
        <v>2348</v>
      </c>
      <c r="AJ406" s="364" t="s">
        <v>2445</v>
      </c>
      <c r="AK406" s="364" t="s">
        <v>2456</v>
      </c>
      <c r="AL406" s="364" t="s">
        <v>2476</v>
      </c>
      <c r="AM406" s="364"/>
      <c r="AN406" s="364"/>
      <c r="AO406" s="364"/>
      <c r="AP406" s="364"/>
      <c r="AQ406" s="364"/>
      <c r="AR406" s="364"/>
      <c r="AS406" s="364"/>
      <c r="AT406" s="364"/>
      <c r="AU406" s="364"/>
      <c r="AV406" s="364"/>
      <c r="AW406" s="364"/>
      <c r="AX406" s="364"/>
      <c r="AY406" s="364"/>
      <c r="AZ406" s="364"/>
      <c r="BA406" s="364"/>
      <c r="BB406" s="364"/>
      <c r="BC406" s="364"/>
      <c r="BD406" s="364"/>
      <c r="BE406" s="364"/>
      <c r="BF406" s="364"/>
      <c r="BG406" s="364"/>
      <c r="BH406" s="364"/>
      <c r="BI406" s="364"/>
      <c r="BJ406" s="364"/>
      <c r="BK406" s="364"/>
      <c r="BL406" s="364"/>
      <c r="BM406" s="364"/>
      <c r="BN406" s="364"/>
      <c r="BO406" s="364"/>
      <c r="BP406" s="364"/>
      <c r="BQ406" s="364"/>
      <c r="BR406" s="364"/>
      <c r="BS406" s="364"/>
      <c r="BT406" s="364"/>
      <c r="BU406" s="364"/>
      <c r="BV406" s="364"/>
      <c r="BW406" s="364"/>
      <c r="BX406" s="364"/>
      <c r="BY406" s="364"/>
      <c r="BZ406" s="364"/>
      <c r="CA406" s="364"/>
      <c r="CB406" s="364"/>
      <c r="CC406" s="364"/>
      <c r="CD406" s="364"/>
      <c r="CE406" s="364"/>
      <c r="CF406" s="364"/>
      <c r="CG406" s="364"/>
      <c r="CH406" s="364"/>
      <c r="CI406" s="364"/>
      <c r="CJ406" s="364"/>
      <c r="CK406" s="364"/>
      <c r="CL406" s="364"/>
      <c r="CM406" s="364"/>
      <c r="CN406" s="364"/>
      <c r="CO406" s="364"/>
      <c r="CP406" s="364"/>
      <c r="CQ406" s="364"/>
      <c r="CR406" s="364"/>
      <c r="CS406" s="364"/>
      <c r="CT406" s="364"/>
      <c r="CU406" s="364"/>
      <c r="CV406" s="364"/>
      <c r="CW406" s="364"/>
      <c r="CX406" s="364"/>
      <c r="CY406" s="364"/>
      <c r="CZ406" s="364"/>
      <c r="DA406" s="364"/>
      <c r="DB406" s="364"/>
      <c r="DC406" s="364"/>
      <c r="DD406" s="364"/>
      <c r="DE406" s="364"/>
      <c r="DF406" s="364"/>
      <c r="DG406" s="364"/>
      <c r="DH406" s="364"/>
      <c r="DI406" s="364"/>
      <c r="DJ406" s="364"/>
      <c r="DK406" s="364"/>
      <c r="DL406" s="364"/>
      <c r="DM406" s="364"/>
      <c r="DN406" s="364"/>
      <c r="DO406" s="364"/>
      <c r="DP406" s="364"/>
      <c r="DQ406" s="364"/>
      <c r="DR406" s="364"/>
      <c r="DS406" s="364"/>
      <c r="DT406" s="364"/>
      <c r="DU406" s="364"/>
      <c r="DV406" s="364"/>
      <c r="DW406" s="364"/>
      <c r="DX406" s="364"/>
      <c r="DY406" s="364"/>
      <c r="DZ406" s="364"/>
      <c r="EA406" s="364"/>
      <c r="EB406" s="364"/>
      <c r="EC406" s="364"/>
      <c r="ED406" s="364"/>
      <c r="EE406" s="364"/>
      <c r="EF406" s="364"/>
      <c r="EG406" s="364"/>
      <c r="EH406" s="364"/>
      <c r="EI406" s="364"/>
      <c r="EJ406" s="364"/>
      <c r="EK406" s="364"/>
      <c r="EL406" s="364"/>
      <c r="EM406" s="364"/>
      <c r="EN406" s="364"/>
      <c r="EO406" s="364"/>
      <c r="EP406" s="364"/>
      <c r="EQ406" s="364"/>
      <c r="ER406" s="364"/>
      <c r="ES406" s="364"/>
      <c r="ET406" s="364"/>
      <c r="EU406" s="364"/>
      <c r="EV406" s="364"/>
      <c r="EW406" s="364"/>
      <c r="EX406" s="364"/>
      <c r="EY406" s="364"/>
      <c r="EZ406" s="364"/>
      <c r="FA406" s="364"/>
      <c r="FB406" s="364"/>
      <c r="FC406" s="364"/>
      <c r="FD406" s="364"/>
      <c r="FE406" s="364"/>
      <c r="FF406" s="364"/>
      <c r="FG406" s="364"/>
      <c r="FH406" s="364"/>
      <c r="FI406" s="364"/>
      <c r="FJ406" s="364"/>
      <c r="FK406" s="364"/>
    </row>
    <row r="407" customFormat="false" ht="15.75" hidden="false" customHeight="false" outlineLevel="0" collapsed="false">
      <c r="A407" s="364" t="n">
        <v>798</v>
      </c>
      <c r="B407" s="364" t="n">
        <f aca="false">COUNTA(D407:FK407)</f>
        <v>58</v>
      </c>
      <c r="C407" s="364" t="s">
        <v>1964</v>
      </c>
      <c r="D407" s="364" t="s">
        <v>2352</v>
      </c>
      <c r="E407" s="364" t="s">
        <v>2561</v>
      </c>
      <c r="F407" s="364" t="s">
        <v>2405</v>
      </c>
      <c r="G407" s="364" t="s">
        <v>2356</v>
      </c>
      <c r="H407" s="364" t="s">
        <v>2357</v>
      </c>
      <c r="I407" s="364" t="s">
        <v>2313</v>
      </c>
      <c r="J407" s="364" t="s">
        <v>2585</v>
      </c>
      <c r="K407" s="364" t="s">
        <v>2542</v>
      </c>
      <c r="L407" s="364" t="s">
        <v>2315</v>
      </c>
      <c r="M407" s="364" t="s">
        <v>2358</v>
      </c>
      <c r="N407" s="364" t="s">
        <v>2360</v>
      </c>
      <c r="O407" s="364" t="s">
        <v>2543</v>
      </c>
      <c r="P407" s="364" t="s">
        <v>2497</v>
      </c>
      <c r="Q407" s="364" t="s">
        <v>2317</v>
      </c>
      <c r="R407" s="364" t="s">
        <v>2448</v>
      </c>
      <c r="S407" s="364" t="s">
        <v>2320</v>
      </c>
      <c r="T407" s="364" t="s">
        <v>2449</v>
      </c>
      <c r="U407" s="364" t="s">
        <v>2376</v>
      </c>
      <c r="V407" s="364" t="s">
        <v>2322</v>
      </c>
      <c r="W407" s="364" t="s">
        <v>2498</v>
      </c>
      <c r="X407" s="364" t="s">
        <v>2324</v>
      </c>
      <c r="Y407" s="364" t="s">
        <v>2325</v>
      </c>
      <c r="Z407" s="364" t="s">
        <v>2328</v>
      </c>
      <c r="AA407" s="364" t="s">
        <v>2329</v>
      </c>
      <c r="AB407" s="364" t="s">
        <v>2415</v>
      </c>
      <c r="AC407" s="364" t="s">
        <v>2417</v>
      </c>
      <c r="AD407" s="364" t="s">
        <v>2438</v>
      </c>
      <c r="AE407" s="364" t="s">
        <v>2418</v>
      </c>
      <c r="AF407" s="364" t="s">
        <v>2539</v>
      </c>
      <c r="AG407" s="261" t="s">
        <v>183</v>
      </c>
      <c r="AH407" s="364" t="s">
        <v>2531</v>
      </c>
      <c r="AI407" s="364" t="s">
        <v>2452</v>
      </c>
      <c r="AJ407" s="364" t="s">
        <v>2454</v>
      </c>
      <c r="AK407" s="364" t="s">
        <v>2387</v>
      </c>
      <c r="AL407" s="364" t="s">
        <v>2586</v>
      </c>
      <c r="AM407" s="364" t="s">
        <v>2337</v>
      </c>
      <c r="AN407" s="364" t="s">
        <v>2388</v>
      </c>
      <c r="AO407" s="364" t="s">
        <v>2339</v>
      </c>
      <c r="AP407" s="364" t="s">
        <v>2389</v>
      </c>
      <c r="AQ407" s="364" t="s">
        <v>2340</v>
      </c>
      <c r="AR407" s="364" t="s">
        <v>2421</v>
      </c>
      <c r="AS407" s="364" t="s">
        <v>2390</v>
      </c>
      <c r="AT407" s="364" t="s">
        <v>2341</v>
      </c>
      <c r="AU407" s="364" t="s">
        <v>2392</v>
      </c>
      <c r="AV407" s="364" t="s">
        <v>2393</v>
      </c>
      <c r="AW407" s="364" t="s">
        <v>2395</v>
      </c>
      <c r="AX407" s="364" t="s">
        <v>2343</v>
      </c>
      <c r="AY407" s="364" t="s">
        <v>2471</v>
      </c>
      <c r="AZ407" s="364" t="s">
        <v>2423</v>
      </c>
      <c r="BA407" s="364" t="s">
        <v>2344</v>
      </c>
      <c r="BB407" s="364" t="s">
        <v>2500</v>
      </c>
      <c r="BC407" s="364" t="s">
        <v>2347</v>
      </c>
      <c r="BD407" s="364" t="s">
        <v>2511</v>
      </c>
      <c r="BE407" s="364" t="s">
        <v>2424</v>
      </c>
      <c r="BF407" s="364" t="s">
        <v>2445</v>
      </c>
      <c r="BG407" s="364" t="s">
        <v>2426</v>
      </c>
      <c r="BH407" s="364" t="s">
        <v>2428</v>
      </c>
      <c r="BI407" s="364" t="s">
        <v>2458</v>
      </c>
      <c r="BJ407" s="364"/>
      <c r="BK407" s="364"/>
      <c r="BL407" s="364"/>
      <c r="BM407" s="364"/>
      <c r="BN407" s="364"/>
      <c r="BO407" s="364"/>
      <c r="BP407" s="364"/>
      <c r="BQ407" s="364"/>
      <c r="BR407" s="364"/>
      <c r="BS407" s="364"/>
      <c r="BT407" s="364"/>
      <c r="BU407" s="364"/>
      <c r="BV407" s="364"/>
      <c r="BW407" s="364"/>
      <c r="BX407" s="364"/>
      <c r="BY407" s="364"/>
      <c r="BZ407" s="364"/>
      <c r="CA407" s="364"/>
      <c r="CB407" s="364"/>
      <c r="CC407" s="364"/>
      <c r="CD407" s="364"/>
      <c r="CE407" s="364"/>
      <c r="CF407" s="364"/>
      <c r="CG407" s="364"/>
      <c r="CH407" s="364"/>
      <c r="CI407" s="364"/>
      <c r="CJ407" s="364"/>
      <c r="CK407" s="364"/>
      <c r="CL407" s="364"/>
      <c r="CM407" s="364"/>
      <c r="CN407" s="364"/>
      <c r="CO407" s="364"/>
      <c r="CP407" s="364"/>
      <c r="CQ407" s="364"/>
      <c r="CR407" s="364"/>
      <c r="CS407" s="364"/>
      <c r="CT407" s="364"/>
      <c r="CU407" s="364"/>
      <c r="CV407" s="364"/>
      <c r="CW407" s="364"/>
      <c r="CX407" s="364"/>
      <c r="CY407" s="364"/>
      <c r="CZ407" s="364"/>
      <c r="DA407" s="364"/>
      <c r="DB407" s="364"/>
      <c r="DC407" s="364"/>
      <c r="DD407" s="364"/>
      <c r="DE407" s="364"/>
      <c r="DF407" s="364"/>
      <c r="DG407" s="364"/>
      <c r="DH407" s="364"/>
      <c r="DI407" s="364"/>
      <c r="DJ407" s="364"/>
      <c r="DK407" s="364"/>
      <c r="DL407" s="364"/>
      <c r="DM407" s="364"/>
      <c r="DN407" s="364"/>
      <c r="DO407" s="364"/>
      <c r="DP407" s="364"/>
      <c r="DQ407" s="364"/>
      <c r="DR407" s="364"/>
      <c r="DS407" s="364"/>
      <c r="DT407" s="364"/>
      <c r="DU407" s="364"/>
      <c r="DV407" s="364"/>
      <c r="DW407" s="364"/>
      <c r="DX407" s="364"/>
      <c r="DY407" s="364"/>
      <c r="DZ407" s="364"/>
      <c r="EA407" s="364"/>
      <c r="EB407" s="364"/>
      <c r="EC407" s="364"/>
      <c r="ED407" s="364"/>
      <c r="EE407" s="364"/>
      <c r="EF407" s="364"/>
      <c r="EG407" s="364"/>
      <c r="EH407" s="364"/>
      <c r="EI407" s="364"/>
      <c r="EJ407" s="364"/>
      <c r="EK407" s="364"/>
      <c r="EL407" s="364"/>
      <c r="EM407" s="364"/>
      <c r="EN407" s="364"/>
      <c r="EO407" s="364"/>
      <c r="EP407" s="364"/>
      <c r="EQ407" s="364"/>
      <c r="ER407" s="364"/>
      <c r="ES407" s="364"/>
      <c r="ET407" s="364"/>
      <c r="EU407" s="364"/>
      <c r="EV407" s="364"/>
      <c r="EW407" s="364"/>
      <c r="EX407" s="364"/>
      <c r="EY407" s="364"/>
      <c r="EZ407" s="364"/>
      <c r="FA407" s="364"/>
      <c r="FB407" s="364"/>
      <c r="FC407" s="364"/>
      <c r="FD407" s="364"/>
      <c r="FE407" s="364"/>
      <c r="FF407" s="364"/>
      <c r="FG407" s="364"/>
      <c r="FH407" s="364"/>
      <c r="FI407" s="364"/>
      <c r="FJ407" s="364"/>
      <c r="FK407" s="364"/>
    </row>
    <row r="408" customFormat="false" ht="15.75" hidden="false" customHeight="false" outlineLevel="0" collapsed="false">
      <c r="A408" s="364" t="n">
        <v>800</v>
      </c>
      <c r="B408" s="364" t="n">
        <f aca="false">COUNTA(D408:FK408)</f>
        <v>38</v>
      </c>
      <c r="C408" s="364" t="s">
        <v>1968</v>
      </c>
      <c r="D408" s="364" t="s">
        <v>2481</v>
      </c>
      <c r="E408" s="364" t="s">
        <v>2402</v>
      </c>
      <c r="F408" s="364" t="s">
        <v>2516</v>
      </c>
      <c r="G408" s="364" t="s">
        <v>2407</v>
      </c>
      <c r="H408" s="364" t="s">
        <v>2410</v>
      </c>
      <c r="I408" s="364" t="s">
        <v>2601</v>
      </c>
      <c r="J408" s="364" t="s">
        <v>2361</v>
      </c>
      <c r="K408" s="364" t="s">
        <v>2363</v>
      </c>
      <c r="L408" s="364" t="s">
        <v>2320</v>
      </c>
      <c r="M408" s="364" t="s">
        <v>2535</v>
      </c>
      <c r="N408" s="364" t="s">
        <v>2376</v>
      </c>
      <c r="O408" s="364" t="s">
        <v>2324</v>
      </c>
      <c r="P408" s="364" t="s">
        <v>2484</v>
      </c>
      <c r="Q408" s="364" t="s">
        <v>2328</v>
      </c>
      <c r="R408" s="364" t="s">
        <v>2414</v>
      </c>
      <c r="S408" s="364" t="s">
        <v>2329</v>
      </c>
      <c r="T408" s="364" t="s">
        <v>2417</v>
      </c>
      <c r="U408" s="364" t="s">
        <v>2381</v>
      </c>
      <c r="V408" s="364" t="s">
        <v>2332</v>
      </c>
      <c r="W408" s="364" t="s">
        <v>2646</v>
      </c>
      <c r="X408" s="364" t="s">
        <v>2337</v>
      </c>
      <c r="Y408" s="364" t="s">
        <v>2340</v>
      </c>
      <c r="Z408" s="364" t="s">
        <v>2421</v>
      </c>
      <c r="AA408" s="364" t="s">
        <v>2341</v>
      </c>
      <c r="AB408" s="364" t="s">
        <v>2442</v>
      </c>
      <c r="AC408" s="364" t="s">
        <v>2470</v>
      </c>
      <c r="AD408" s="364" t="s">
        <v>2343</v>
      </c>
      <c r="AE408" s="364" t="s">
        <v>2471</v>
      </c>
      <c r="AF408" s="364" t="s">
        <v>2344</v>
      </c>
      <c r="AG408" s="364" t="s">
        <v>2424</v>
      </c>
      <c r="AH408" s="364" t="s">
        <v>2348</v>
      </c>
      <c r="AI408" s="364" t="s">
        <v>2475</v>
      </c>
      <c r="AJ408" s="364" t="s">
        <v>2476</v>
      </c>
      <c r="AK408" s="364" t="s">
        <v>2400</v>
      </c>
      <c r="AL408" s="364" t="s">
        <v>2350</v>
      </c>
      <c r="AM408" s="364" t="s">
        <v>2425</v>
      </c>
      <c r="AN408" s="364" t="s">
        <v>2426</v>
      </c>
      <c r="AO408" s="364" t="s">
        <v>2428</v>
      </c>
      <c r="AP408" s="364"/>
      <c r="AQ408" s="364"/>
      <c r="AR408" s="364"/>
      <c r="AS408" s="364"/>
      <c r="AT408" s="364"/>
      <c r="AU408" s="364"/>
      <c r="AV408" s="364"/>
      <c r="AW408" s="364"/>
      <c r="AX408" s="364"/>
      <c r="AY408" s="364"/>
      <c r="AZ408" s="364"/>
      <c r="BA408" s="364"/>
      <c r="BB408" s="364"/>
      <c r="BC408" s="364"/>
      <c r="BD408" s="364"/>
      <c r="BE408" s="364"/>
      <c r="BF408" s="364"/>
      <c r="BG408" s="364"/>
      <c r="BH408" s="364"/>
      <c r="BI408" s="364"/>
      <c r="BJ408" s="364"/>
      <c r="BK408" s="364"/>
      <c r="BL408" s="364"/>
      <c r="BM408" s="364"/>
      <c r="BN408" s="364"/>
      <c r="BO408" s="364"/>
      <c r="BP408" s="364"/>
      <c r="BQ408" s="364"/>
      <c r="BR408" s="364"/>
      <c r="BS408" s="364"/>
      <c r="BT408" s="364"/>
      <c r="BU408" s="364"/>
      <c r="BV408" s="364"/>
      <c r="BW408" s="364"/>
      <c r="BX408" s="364"/>
      <c r="BY408" s="364"/>
      <c r="BZ408" s="364"/>
      <c r="CA408" s="364"/>
      <c r="CB408" s="364"/>
      <c r="CC408" s="364"/>
      <c r="CD408" s="364"/>
      <c r="CE408" s="364"/>
      <c r="CF408" s="364"/>
      <c r="CG408" s="364"/>
      <c r="CH408" s="364"/>
      <c r="CI408" s="364"/>
      <c r="CJ408" s="364"/>
      <c r="CK408" s="364"/>
      <c r="CL408" s="364"/>
      <c r="CM408" s="364"/>
      <c r="CN408" s="364"/>
      <c r="CO408" s="364"/>
      <c r="CP408" s="364"/>
      <c r="CQ408" s="364"/>
      <c r="CR408" s="364"/>
      <c r="CS408" s="364"/>
      <c r="CT408" s="364"/>
      <c r="CU408" s="364"/>
      <c r="CV408" s="364"/>
      <c r="CW408" s="364"/>
      <c r="CX408" s="364"/>
      <c r="CY408" s="364"/>
      <c r="CZ408" s="364"/>
      <c r="DA408" s="364"/>
      <c r="DB408" s="364"/>
      <c r="DC408" s="364"/>
      <c r="DD408" s="364"/>
      <c r="DE408" s="364"/>
      <c r="DF408" s="364"/>
      <c r="DG408" s="364"/>
      <c r="DH408" s="364"/>
      <c r="DI408" s="364"/>
      <c r="DJ408" s="364"/>
      <c r="DK408" s="364"/>
      <c r="DL408" s="364"/>
      <c r="DM408" s="364"/>
      <c r="DN408" s="364"/>
      <c r="DO408" s="364"/>
      <c r="DP408" s="364"/>
      <c r="DQ408" s="364"/>
      <c r="DR408" s="364"/>
      <c r="DS408" s="364"/>
      <c r="DT408" s="364"/>
      <c r="DU408" s="364"/>
      <c r="DV408" s="364"/>
      <c r="DW408" s="364"/>
      <c r="DX408" s="364"/>
      <c r="DY408" s="364"/>
      <c r="DZ408" s="364"/>
      <c r="EA408" s="364"/>
      <c r="EB408" s="364"/>
      <c r="EC408" s="364"/>
      <c r="ED408" s="364"/>
      <c r="EE408" s="364"/>
      <c r="EF408" s="364"/>
      <c r="EG408" s="364"/>
      <c r="EH408" s="364"/>
      <c r="EI408" s="364"/>
      <c r="EJ408" s="364"/>
      <c r="EK408" s="364"/>
      <c r="EL408" s="364"/>
      <c r="EM408" s="364"/>
      <c r="EN408" s="364"/>
      <c r="EO408" s="364"/>
      <c r="EP408" s="364"/>
      <c r="EQ408" s="364"/>
      <c r="ER408" s="364"/>
      <c r="ES408" s="364"/>
      <c r="ET408" s="364"/>
      <c r="EU408" s="364"/>
      <c r="EV408" s="364"/>
      <c r="EW408" s="364"/>
      <c r="EX408" s="364"/>
      <c r="EY408" s="364"/>
      <c r="EZ408" s="364"/>
      <c r="FA408" s="364"/>
      <c r="FB408" s="364"/>
      <c r="FC408" s="364"/>
      <c r="FD408" s="364"/>
      <c r="FE408" s="364"/>
      <c r="FF408" s="364"/>
      <c r="FG408" s="364"/>
      <c r="FH408" s="364"/>
      <c r="FI408" s="364"/>
      <c r="FJ408" s="364"/>
      <c r="FK408" s="364"/>
    </row>
    <row r="409" customFormat="false" ht="15.75" hidden="false" customHeight="false" outlineLevel="0" collapsed="false">
      <c r="A409" s="364" t="n">
        <v>802</v>
      </c>
      <c r="B409" s="364" t="n">
        <f aca="false">COUNTA(D409:FK409)</f>
        <v>40</v>
      </c>
      <c r="C409" s="364" t="s">
        <v>1972</v>
      </c>
      <c r="D409" s="364" t="s">
        <v>2538</v>
      </c>
      <c r="E409" s="364" t="s">
        <v>2402</v>
      </c>
      <c r="F409" s="364" t="s">
        <v>2635</v>
      </c>
      <c r="G409" s="364" t="s">
        <v>2516</v>
      </c>
      <c r="H409" s="364" t="s">
        <v>2407</v>
      </c>
      <c r="I409" s="364" t="s">
        <v>2408</v>
      </c>
      <c r="J409" s="364" t="s">
        <v>2593</v>
      </c>
      <c r="K409" s="364" t="s">
        <v>2315</v>
      </c>
      <c r="L409" s="364" t="s">
        <v>2409</v>
      </c>
      <c r="M409" s="364" t="s">
        <v>2410</v>
      </c>
      <c r="N409" s="364" t="s">
        <v>2361</v>
      </c>
      <c r="O409" s="364" t="s">
        <v>2320</v>
      </c>
      <c r="P409" s="364" t="s">
        <v>2411</v>
      </c>
      <c r="Q409" s="364" t="s">
        <v>2376</v>
      </c>
      <c r="R409" s="364" t="s">
        <v>2324</v>
      </c>
      <c r="S409" s="364" t="s">
        <v>2328</v>
      </c>
      <c r="T409" s="364" t="s">
        <v>2329</v>
      </c>
      <c r="U409" s="364" t="s">
        <v>2415</v>
      </c>
      <c r="V409" s="364" t="s">
        <v>2417</v>
      </c>
      <c r="W409" s="364" t="s">
        <v>2381</v>
      </c>
      <c r="X409" s="364" t="s">
        <v>2418</v>
      </c>
      <c r="Y409" s="364" t="s">
        <v>2615</v>
      </c>
      <c r="Z409" s="364" t="s">
        <v>2337</v>
      </c>
      <c r="AA409" s="364" t="s">
        <v>2388</v>
      </c>
      <c r="AB409" s="364" t="s">
        <v>2340</v>
      </c>
      <c r="AC409" s="364" t="s">
        <v>2421</v>
      </c>
      <c r="AD409" s="364" t="s">
        <v>2341</v>
      </c>
      <c r="AE409" s="364" t="s">
        <v>2442</v>
      </c>
      <c r="AF409" s="364" t="s">
        <v>2343</v>
      </c>
      <c r="AG409" s="364" t="s">
        <v>2471</v>
      </c>
      <c r="AH409" s="364" t="s">
        <v>2423</v>
      </c>
      <c r="AI409" s="364" t="s">
        <v>2344</v>
      </c>
      <c r="AJ409" s="364" t="s">
        <v>2643</v>
      </c>
      <c r="AK409" s="364" t="s">
        <v>2424</v>
      </c>
      <c r="AL409" s="364" t="s">
        <v>2446</v>
      </c>
      <c r="AM409" s="364" t="s">
        <v>2350</v>
      </c>
      <c r="AN409" s="364" t="s">
        <v>2595</v>
      </c>
      <c r="AO409" s="364" t="s">
        <v>2425</v>
      </c>
      <c r="AP409" s="364" t="s">
        <v>2426</v>
      </c>
      <c r="AQ409" s="364" t="s">
        <v>2428</v>
      </c>
      <c r="AR409" s="364"/>
      <c r="AS409" s="364"/>
      <c r="AT409" s="364"/>
      <c r="AU409" s="364"/>
      <c r="AV409" s="364"/>
      <c r="AW409" s="364"/>
      <c r="AX409" s="364"/>
      <c r="AY409" s="364"/>
      <c r="AZ409" s="364"/>
      <c r="BA409" s="364"/>
      <c r="BB409" s="364"/>
      <c r="BC409" s="364"/>
      <c r="BD409" s="364"/>
      <c r="BE409" s="364"/>
      <c r="BF409" s="364"/>
      <c r="BG409" s="364"/>
      <c r="BH409" s="364"/>
      <c r="BI409" s="364"/>
      <c r="BJ409" s="364"/>
      <c r="BK409" s="364"/>
      <c r="BL409" s="364"/>
      <c r="BM409" s="364"/>
      <c r="BN409" s="364"/>
      <c r="BO409" s="364"/>
      <c r="BP409" s="364"/>
      <c r="BQ409" s="364"/>
      <c r="BR409" s="364"/>
      <c r="BS409" s="364"/>
      <c r="BT409" s="364"/>
      <c r="BU409" s="364"/>
      <c r="BV409" s="364"/>
      <c r="BW409" s="364"/>
      <c r="BX409" s="364"/>
      <c r="BY409" s="364"/>
      <c r="BZ409" s="364"/>
      <c r="CA409" s="364"/>
      <c r="CB409" s="364"/>
      <c r="CC409" s="364"/>
      <c r="CD409" s="364"/>
      <c r="CE409" s="364"/>
      <c r="CF409" s="364"/>
      <c r="CG409" s="364"/>
      <c r="CH409" s="364"/>
      <c r="CI409" s="364"/>
      <c r="CJ409" s="364"/>
      <c r="CK409" s="364"/>
      <c r="CL409" s="364"/>
      <c r="CM409" s="364"/>
      <c r="CN409" s="364"/>
      <c r="CO409" s="364"/>
      <c r="CP409" s="364"/>
      <c r="CQ409" s="364"/>
      <c r="CR409" s="364"/>
      <c r="CS409" s="364"/>
      <c r="CT409" s="364"/>
      <c r="CU409" s="364"/>
      <c r="CV409" s="364"/>
      <c r="CW409" s="364"/>
      <c r="CX409" s="364"/>
      <c r="CY409" s="364"/>
      <c r="CZ409" s="364"/>
      <c r="DA409" s="364"/>
      <c r="DB409" s="364"/>
      <c r="DC409" s="364"/>
      <c r="DD409" s="364"/>
      <c r="DE409" s="364"/>
      <c r="DF409" s="364"/>
      <c r="DG409" s="364"/>
      <c r="DH409" s="364"/>
      <c r="DI409" s="364"/>
      <c r="DJ409" s="364"/>
      <c r="DK409" s="364"/>
      <c r="DL409" s="364"/>
      <c r="DM409" s="364"/>
      <c r="DN409" s="364"/>
      <c r="DO409" s="364"/>
      <c r="DP409" s="364"/>
      <c r="DQ409" s="364"/>
      <c r="DR409" s="364"/>
      <c r="DS409" s="364"/>
      <c r="DT409" s="364"/>
      <c r="DU409" s="364"/>
      <c r="DV409" s="364"/>
      <c r="DW409" s="364"/>
      <c r="DX409" s="364"/>
      <c r="DY409" s="364"/>
      <c r="DZ409" s="364"/>
      <c r="EA409" s="364"/>
      <c r="EB409" s="364"/>
      <c r="EC409" s="364"/>
      <c r="ED409" s="364"/>
      <c r="EE409" s="364"/>
      <c r="EF409" s="364"/>
      <c r="EG409" s="364"/>
      <c r="EH409" s="364"/>
      <c r="EI409" s="364"/>
      <c r="EJ409" s="364"/>
      <c r="EK409" s="364"/>
      <c r="EL409" s="364"/>
      <c r="EM409" s="364"/>
      <c r="EN409" s="364"/>
      <c r="EO409" s="364"/>
      <c r="EP409" s="364"/>
      <c r="EQ409" s="364"/>
      <c r="ER409" s="364"/>
      <c r="ES409" s="364"/>
      <c r="ET409" s="364"/>
      <c r="EU409" s="364"/>
      <c r="EV409" s="364"/>
      <c r="EW409" s="364"/>
      <c r="EX409" s="364"/>
      <c r="EY409" s="364"/>
      <c r="EZ409" s="364"/>
      <c r="FA409" s="364"/>
      <c r="FB409" s="364"/>
      <c r="FC409" s="364"/>
      <c r="FD409" s="364"/>
      <c r="FE409" s="364"/>
      <c r="FF409" s="364"/>
      <c r="FG409" s="364"/>
      <c r="FH409" s="364"/>
      <c r="FI409" s="364"/>
      <c r="FJ409" s="364"/>
      <c r="FK409" s="364"/>
    </row>
    <row r="410" customFormat="false" ht="15.75" hidden="false" customHeight="false" outlineLevel="0" collapsed="false">
      <c r="A410" s="364" t="n">
        <v>804</v>
      </c>
      <c r="B410" s="364" t="n">
        <f aca="false">COUNTA(D410:FK410)</f>
        <v>38</v>
      </c>
      <c r="C410" s="364" t="s">
        <v>1976</v>
      </c>
      <c r="D410" s="364" t="s">
        <v>2357</v>
      </c>
      <c r="E410" s="364" t="s">
        <v>2313</v>
      </c>
      <c r="F410" s="364" t="s">
        <v>2464</v>
      </c>
      <c r="G410" s="364" t="s">
        <v>2315</v>
      </c>
      <c r="H410" s="364" t="s">
        <v>2409</v>
      </c>
      <c r="I410" s="364" t="s">
        <v>2358</v>
      </c>
      <c r="J410" s="364" t="s">
        <v>2361</v>
      </c>
      <c r="K410" s="364" t="s">
        <v>2363</v>
      </c>
      <c r="L410" s="364" t="s">
        <v>2436</v>
      </c>
      <c r="M410" s="364" t="s">
        <v>2320</v>
      </c>
      <c r="N410" s="364" t="s">
        <v>2369</v>
      </c>
      <c r="O410" s="364" t="s">
        <v>2376</v>
      </c>
      <c r="P410" s="364" t="s">
        <v>2324</v>
      </c>
      <c r="Q410" s="364" t="s">
        <v>2325</v>
      </c>
      <c r="R410" s="364" t="s">
        <v>2328</v>
      </c>
      <c r="S410" s="364" t="s">
        <v>2329</v>
      </c>
      <c r="T410" s="364" t="s">
        <v>2521</v>
      </c>
      <c r="U410" s="364" t="s">
        <v>2381</v>
      </c>
      <c r="V410" s="364" t="s">
        <v>2539</v>
      </c>
      <c r="W410" s="364" t="s">
        <v>2540</v>
      </c>
      <c r="X410" s="364" t="s">
        <v>2711</v>
      </c>
      <c r="Y410" s="364" t="s">
        <v>2461</v>
      </c>
      <c r="Z410" s="364" t="s">
        <v>2441</v>
      </c>
      <c r="AA410" s="364" t="s">
        <v>2337</v>
      </c>
      <c r="AB410" s="364" t="s">
        <v>2388</v>
      </c>
      <c r="AC410" s="364" t="s">
        <v>2389</v>
      </c>
      <c r="AD410" s="364" t="s">
        <v>2340</v>
      </c>
      <c r="AE410" s="364" t="s">
        <v>2341</v>
      </c>
      <c r="AF410" s="364" t="s">
        <v>2470</v>
      </c>
      <c r="AG410" s="364" t="s">
        <v>2422</v>
      </c>
      <c r="AH410" s="364" t="s">
        <v>2344</v>
      </c>
      <c r="AI410" s="364" t="s">
        <v>2424</v>
      </c>
      <c r="AJ410" s="364" t="s">
        <v>2475</v>
      </c>
      <c r="AK410" s="364" t="s">
        <v>2476</v>
      </c>
      <c r="AL410" s="364" t="s">
        <v>2399</v>
      </c>
      <c r="AM410" s="364" t="s">
        <v>2446</v>
      </c>
      <c r="AN410" s="364" t="s">
        <v>2492</v>
      </c>
      <c r="AO410" s="364" t="s">
        <v>2477</v>
      </c>
      <c r="AP410" s="364"/>
      <c r="AQ410" s="364"/>
      <c r="AR410" s="364"/>
      <c r="AS410" s="364"/>
      <c r="AT410" s="364"/>
      <c r="AU410" s="364"/>
      <c r="AV410" s="364"/>
      <c r="AW410" s="364"/>
      <c r="AX410" s="364"/>
      <c r="AY410" s="364"/>
      <c r="AZ410" s="364"/>
      <c r="BA410" s="364"/>
      <c r="BB410" s="364"/>
      <c r="BC410" s="364"/>
      <c r="BD410" s="364"/>
      <c r="BE410" s="364"/>
      <c r="BF410" s="364"/>
      <c r="BG410" s="364"/>
      <c r="BH410" s="364"/>
      <c r="BI410" s="364"/>
      <c r="BJ410" s="364"/>
      <c r="BK410" s="364"/>
      <c r="BL410" s="364"/>
      <c r="BM410" s="364"/>
      <c r="BN410" s="364"/>
      <c r="BO410" s="364"/>
      <c r="BP410" s="364"/>
      <c r="BQ410" s="364"/>
      <c r="BR410" s="364"/>
      <c r="BS410" s="364"/>
      <c r="BT410" s="364"/>
      <c r="BU410" s="364"/>
      <c r="BV410" s="364"/>
      <c r="BW410" s="364"/>
      <c r="BX410" s="364"/>
      <c r="BY410" s="364"/>
      <c r="BZ410" s="364"/>
      <c r="CA410" s="364"/>
      <c r="CB410" s="364"/>
      <c r="CC410" s="364"/>
      <c r="CD410" s="364"/>
      <c r="CE410" s="364"/>
      <c r="CF410" s="364"/>
      <c r="CG410" s="364"/>
      <c r="CH410" s="364"/>
      <c r="CI410" s="364"/>
      <c r="CJ410" s="364"/>
      <c r="CK410" s="364"/>
      <c r="CL410" s="364"/>
      <c r="CM410" s="364"/>
      <c r="CN410" s="364"/>
      <c r="CO410" s="364"/>
      <c r="CP410" s="364"/>
      <c r="CQ410" s="364"/>
      <c r="CR410" s="364"/>
      <c r="CS410" s="364"/>
      <c r="CT410" s="364"/>
      <c r="CU410" s="364"/>
      <c r="CV410" s="364"/>
      <c r="CW410" s="364"/>
      <c r="CX410" s="364"/>
      <c r="CY410" s="364"/>
      <c r="CZ410" s="364"/>
      <c r="DA410" s="364"/>
      <c r="DB410" s="364"/>
      <c r="DC410" s="364"/>
      <c r="DD410" s="364"/>
      <c r="DE410" s="364"/>
      <c r="DF410" s="364"/>
      <c r="DG410" s="364"/>
      <c r="DH410" s="364"/>
      <c r="DI410" s="364"/>
      <c r="DJ410" s="364"/>
      <c r="DK410" s="364"/>
      <c r="DL410" s="364"/>
      <c r="DM410" s="364"/>
      <c r="DN410" s="364"/>
      <c r="DO410" s="364"/>
      <c r="DP410" s="364"/>
      <c r="DQ410" s="364"/>
      <c r="DR410" s="364"/>
      <c r="DS410" s="364"/>
      <c r="DT410" s="364"/>
      <c r="DU410" s="364"/>
      <c r="DV410" s="364"/>
      <c r="DW410" s="364"/>
      <c r="DX410" s="364"/>
      <c r="DY410" s="364"/>
      <c r="DZ410" s="364"/>
      <c r="EA410" s="364"/>
      <c r="EB410" s="364"/>
      <c r="EC410" s="364"/>
      <c r="ED410" s="364"/>
      <c r="EE410" s="364"/>
      <c r="EF410" s="364"/>
      <c r="EG410" s="364"/>
      <c r="EH410" s="364"/>
      <c r="EI410" s="364"/>
      <c r="EJ410" s="364"/>
      <c r="EK410" s="364"/>
      <c r="EL410" s="364"/>
      <c r="EM410" s="364"/>
      <c r="EN410" s="364"/>
      <c r="EO410" s="364"/>
      <c r="EP410" s="364"/>
      <c r="EQ410" s="364"/>
      <c r="ER410" s="364"/>
      <c r="ES410" s="364"/>
      <c r="ET410" s="364"/>
      <c r="EU410" s="364"/>
      <c r="EV410" s="364"/>
      <c r="EW410" s="364"/>
      <c r="EX410" s="364"/>
      <c r="EY410" s="364"/>
      <c r="EZ410" s="364"/>
      <c r="FA410" s="364"/>
      <c r="FB410" s="364"/>
      <c r="FC410" s="364"/>
      <c r="FD410" s="364"/>
      <c r="FE410" s="364"/>
      <c r="FF410" s="364"/>
      <c r="FG410" s="364"/>
      <c r="FH410" s="364"/>
      <c r="FI410" s="364"/>
      <c r="FJ410" s="364"/>
      <c r="FK410" s="364"/>
    </row>
    <row r="411" customFormat="false" ht="15.75" hidden="false" customHeight="false" outlineLevel="0" collapsed="false">
      <c r="A411" s="364" t="n">
        <v>806</v>
      </c>
      <c r="B411" s="364" t="n">
        <f aca="false">COUNTA(D411:FK411)</f>
        <v>40</v>
      </c>
      <c r="C411" s="364" t="s">
        <v>1980</v>
      </c>
      <c r="D411" s="364" t="s">
        <v>2352</v>
      </c>
      <c r="E411" s="364" t="s">
        <v>2561</v>
      </c>
      <c r="F411" s="364" t="s">
        <v>2310</v>
      </c>
      <c r="G411" s="364" t="s">
        <v>2404</v>
      </c>
      <c r="H411" s="364" t="s">
        <v>2356</v>
      </c>
      <c r="I411" s="364" t="s">
        <v>2357</v>
      </c>
      <c r="J411" s="364" t="s">
        <v>2313</v>
      </c>
      <c r="K411" s="364" t="s">
        <v>2466</v>
      </c>
      <c r="L411" s="364" t="s">
        <v>2409</v>
      </c>
      <c r="M411" s="364" t="s">
        <v>2358</v>
      </c>
      <c r="N411" s="364" t="s">
        <v>2601</v>
      </c>
      <c r="O411" s="364" t="s">
        <v>2360</v>
      </c>
      <c r="P411" s="364" t="s">
        <v>2361</v>
      </c>
      <c r="Q411" s="364" t="s">
        <v>2363</v>
      </c>
      <c r="R411" s="364" t="s">
        <v>2497</v>
      </c>
      <c r="S411" s="364" t="s">
        <v>2317</v>
      </c>
      <c r="T411" s="364" t="s">
        <v>2320</v>
      </c>
      <c r="U411" s="364" t="s">
        <v>2324</v>
      </c>
      <c r="V411" s="364" t="s">
        <v>2642</v>
      </c>
      <c r="W411" s="364" t="s">
        <v>2328</v>
      </c>
      <c r="X411" s="364" t="s">
        <v>2329</v>
      </c>
      <c r="Y411" s="364" t="s">
        <v>2521</v>
      </c>
      <c r="Z411" s="364" t="s">
        <v>2506</v>
      </c>
      <c r="AA411" s="364" t="s">
        <v>2381</v>
      </c>
      <c r="AB411" s="364" t="s">
        <v>2332</v>
      </c>
      <c r="AC411" s="364" t="s">
        <v>2337</v>
      </c>
      <c r="AD411" s="364" t="s">
        <v>2388</v>
      </c>
      <c r="AE411" s="364" t="s">
        <v>2339</v>
      </c>
      <c r="AF411" s="364" t="s">
        <v>2389</v>
      </c>
      <c r="AG411" s="364" t="s">
        <v>2340</v>
      </c>
      <c r="AH411" s="364" t="s">
        <v>2341</v>
      </c>
      <c r="AI411" s="364" t="s">
        <v>2344</v>
      </c>
      <c r="AJ411" s="364" t="s">
        <v>2571</v>
      </c>
      <c r="AK411" s="364" t="s">
        <v>2346</v>
      </c>
      <c r="AL411" s="364" t="s">
        <v>2500</v>
      </c>
      <c r="AM411" s="364" t="s">
        <v>2347</v>
      </c>
      <c r="AN411" s="364" t="s">
        <v>2511</v>
      </c>
      <c r="AO411" s="364" t="s">
        <v>2348</v>
      </c>
      <c r="AP411" s="364" t="s">
        <v>2515</v>
      </c>
      <c r="AQ411" s="364" t="s">
        <v>2430</v>
      </c>
      <c r="AR411" s="364"/>
      <c r="AS411" s="364"/>
      <c r="AT411" s="364"/>
      <c r="AU411" s="364"/>
      <c r="AV411" s="364"/>
      <c r="AW411" s="364"/>
      <c r="AX411" s="364"/>
      <c r="AY411" s="364"/>
      <c r="AZ411" s="364"/>
      <c r="BA411" s="364"/>
      <c r="BB411" s="364"/>
      <c r="BC411" s="364"/>
      <c r="BD411" s="364"/>
      <c r="BE411" s="364"/>
      <c r="BF411" s="364"/>
      <c r="BG411" s="364"/>
      <c r="BH411" s="364"/>
      <c r="BI411" s="364"/>
      <c r="BJ411" s="364"/>
      <c r="BK411" s="364"/>
      <c r="BL411" s="364"/>
      <c r="BM411" s="364"/>
      <c r="BN411" s="364"/>
      <c r="BO411" s="364"/>
      <c r="BP411" s="364"/>
      <c r="BQ411" s="364"/>
      <c r="BR411" s="364"/>
      <c r="BS411" s="364"/>
      <c r="BT411" s="364"/>
      <c r="BU411" s="364"/>
      <c r="BV411" s="364"/>
      <c r="BW411" s="364"/>
      <c r="BX411" s="364"/>
      <c r="BY411" s="364"/>
      <c r="BZ411" s="364"/>
      <c r="CA411" s="364"/>
      <c r="CB411" s="364"/>
      <c r="CC411" s="364"/>
      <c r="CD411" s="364"/>
      <c r="CE411" s="364"/>
      <c r="CF411" s="364"/>
      <c r="CG411" s="364"/>
      <c r="CH411" s="364"/>
      <c r="CI411" s="364"/>
      <c r="CJ411" s="364"/>
      <c r="CK411" s="364"/>
      <c r="CL411" s="364"/>
      <c r="CM411" s="364"/>
      <c r="CN411" s="364"/>
      <c r="CO411" s="364"/>
      <c r="CP411" s="364"/>
      <c r="CQ411" s="364"/>
      <c r="CR411" s="364"/>
      <c r="CS411" s="364"/>
      <c r="CT411" s="364"/>
      <c r="CU411" s="364"/>
      <c r="CV411" s="364"/>
      <c r="CW411" s="364"/>
      <c r="CX411" s="364"/>
      <c r="CY411" s="364"/>
      <c r="CZ411" s="364"/>
      <c r="DA411" s="364"/>
      <c r="DB411" s="364"/>
      <c r="DC411" s="364"/>
      <c r="DD411" s="364"/>
      <c r="DE411" s="364"/>
      <c r="DF411" s="364"/>
      <c r="DG411" s="364"/>
      <c r="DH411" s="364"/>
      <c r="DI411" s="364"/>
      <c r="DJ411" s="364"/>
      <c r="DK411" s="364"/>
      <c r="DL411" s="364"/>
      <c r="DM411" s="364"/>
      <c r="DN411" s="364"/>
      <c r="DO411" s="364"/>
      <c r="DP411" s="364"/>
      <c r="DQ411" s="364"/>
      <c r="DR411" s="364"/>
      <c r="DS411" s="364"/>
      <c r="DT411" s="364"/>
      <c r="DU411" s="364"/>
      <c r="DV411" s="364"/>
      <c r="DW411" s="364"/>
      <c r="DX411" s="364"/>
      <c r="DY411" s="364"/>
      <c r="DZ411" s="364"/>
      <c r="EA411" s="364"/>
      <c r="EB411" s="364"/>
      <c r="EC411" s="364"/>
      <c r="ED411" s="364"/>
      <c r="EE411" s="364"/>
      <c r="EF411" s="364"/>
      <c r="EG411" s="364"/>
      <c r="EH411" s="364"/>
      <c r="EI411" s="364"/>
      <c r="EJ411" s="364"/>
      <c r="EK411" s="364"/>
      <c r="EL411" s="364"/>
      <c r="EM411" s="364"/>
      <c r="EN411" s="364"/>
      <c r="EO411" s="364"/>
      <c r="EP411" s="364"/>
      <c r="EQ411" s="364"/>
      <c r="ER411" s="364"/>
      <c r="ES411" s="364"/>
      <c r="ET411" s="364"/>
      <c r="EU411" s="364"/>
      <c r="EV411" s="364"/>
      <c r="EW411" s="364"/>
      <c r="EX411" s="364"/>
      <c r="EY411" s="364"/>
      <c r="EZ411" s="364"/>
      <c r="FA411" s="364"/>
      <c r="FB411" s="364"/>
      <c r="FC411" s="364"/>
      <c r="FD411" s="364"/>
      <c r="FE411" s="364"/>
      <c r="FF411" s="364"/>
      <c r="FG411" s="364"/>
      <c r="FH411" s="364"/>
      <c r="FI411" s="364"/>
      <c r="FJ411" s="364"/>
      <c r="FK411" s="364"/>
    </row>
    <row r="412" customFormat="false" ht="15.75" hidden="false" customHeight="false" outlineLevel="0" collapsed="false">
      <c r="A412" s="364" t="n">
        <v>808</v>
      </c>
      <c r="B412" s="364" t="n">
        <f aca="false">COUNTA(D412:FK412)</f>
        <v>42</v>
      </c>
      <c r="C412" s="364" t="s">
        <v>1984</v>
      </c>
      <c r="D412" s="364" t="s">
        <v>2561</v>
      </c>
      <c r="E412" s="364" t="s">
        <v>2402</v>
      </c>
      <c r="F412" s="364" t="s">
        <v>2581</v>
      </c>
      <c r="G412" s="364" t="s">
        <v>2403</v>
      </c>
      <c r="H412" s="364" t="s">
        <v>2405</v>
      </c>
      <c r="I412" s="364" t="s">
        <v>2313</v>
      </c>
      <c r="J412" s="364" t="s">
        <v>2464</v>
      </c>
      <c r="K412" s="364" t="s">
        <v>2409</v>
      </c>
      <c r="L412" s="364" t="s">
        <v>2363</v>
      </c>
      <c r="M412" s="364" t="s">
        <v>2435</v>
      </c>
      <c r="N412" s="364" t="s">
        <v>2497</v>
      </c>
      <c r="O412" s="364" t="s">
        <v>2317</v>
      </c>
      <c r="P412" s="364" t="s">
        <v>2318</v>
      </c>
      <c r="Q412" s="364" t="s">
        <v>2320</v>
      </c>
      <c r="R412" s="364" t="s">
        <v>2411</v>
      </c>
      <c r="S412" s="364" t="s">
        <v>2629</v>
      </c>
      <c r="T412" s="364" t="s">
        <v>2502</v>
      </c>
      <c r="U412" s="364" t="s">
        <v>2324</v>
      </c>
      <c r="V412" s="364" t="s">
        <v>2328</v>
      </c>
      <c r="W412" s="364" t="s">
        <v>2329</v>
      </c>
      <c r="X412" s="364" t="s">
        <v>2521</v>
      </c>
      <c r="Y412" s="364" t="s">
        <v>2415</v>
      </c>
      <c r="Z412" s="364" t="s">
        <v>2417</v>
      </c>
      <c r="AA412" s="364" t="s">
        <v>2506</v>
      </c>
      <c r="AB412" s="364" t="s">
        <v>2381</v>
      </c>
      <c r="AC412" s="364" t="s">
        <v>2332</v>
      </c>
      <c r="AD412" s="364" t="s">
        <v>2626</v>
      </c>
      <c r="AE412" s="364" t="s">
        <v>157</v>
      </c>
      <c r="AF412" s="364" t="s">
        <v>2337</v>
      </c>
      <c r="AG412" s="364" t="s">
        <v>2388</v>
      </c>
      <c r="AH412" s="364" t="s">
        <v>2339</v>
      </c>
      <c r="AI412" s="364" t="s">
        <v>2565</v>
      </c>
      <c r="AJ412" s="364" t="s">
        <v>2389</v>
      </c>
      <c r="AK412" s="364" t="s">
        <v>2340</v>
      </c>
      <c r="AL412" s="364" t="s">
        <v>2341</v>
      </c>
      <c r="AM412" s="364" t="s">
        <v>2344</v>
      </c>
      <c r="AN412" s="364" t="s">
        <v>2500</v>
      </c>
      <c r="AO412" s="364" t="s">
        <v>2349</v>
      </c>
      <c r="AP412" s="364" t="s">
        <v>2475</v>
      </c>
      <c r="AQ412" s="364" t="s">
        <v>2476</v>
      </c>
      <c r="AR412" s="364" t="s">
        <v>2428</v>
      </c>
      <c r="AS412" s="364" t="s">
        <v>2430</v>
      </c>
      <c r="AT412" s="364"/>
      <c r="AU412" s="364"/>
      <c r="AV412" s="364"/>
      <c r="AW412" s="364"/>
      <c r="AX412" s="364"/>
      <c r="AY412" s="364"/>
      <c r="AZ412" s="364"/>
      <c r="BA412" s="364"/>
      <c r="BB412" s="364"/>
      <c r="BC412" s="364"/>
      <c r="BD412" s="364"/>
      <c r="BE412" s="364"/>
      <c r="BF412" s="364"/>
      <c r="BG412" s="364"/>
      <c r="BH412" s="364"/>
      <c r="BI412" s="364"/>
      <c r="BJ412" s="364"/>
      <c r="BK412" s="364"/>
      <c r="BL412" s="364"/>
      <c r="BM412" s="364"/>
      <c r="BN412" s="364"/>
      <c r="BO412" s="364"/>
      <c r="BP412" s="364"/>
      <c r="BQ412" s="364"/>
      <c r="BR412" s="364"/>
      <c r="BS412" s="364"/>
      <c r="BT412" s="364"/>
      <c r="BU412" s="364"/>
      <c r="BV412" s="364"/>
      <c r="BW412" s="364"/>
      <c r="BX412" s="364"/>
      <c r="BY412" s="364"/>
      <c r="BZ412" s="364"/>
      <c r="CA412" s="364"/>
      <c r="CB412" s="364"/>
      <c r="CC412" s="364"/>
      <c r="CD412" s="364"/>
      <c r="CE412" s="364"/>
      <c r="CF412" s="364"/>
      <c r="CG412" s="364"/>
      <c r="CH412" s="364"/>
      <c r="CI412" s="364"/>
      <c r="CJ412" s="364"/>
      <c r="CK412" s="364"/>
      <c r="CL412" s="364"/>
      <c r="CM412" s="364"/>
      <c r="CN412" s="364"/>
      <c r="CO412" s="364"/>
      <c r="CP412" s="364"/>
      <c r="CQ412" s="364"/>
      <c r="CR412" s="364"/>
      <c r="CS412" s="364"/>
      <c r="CT412" s="364"/>
      <c r="CU412" s="364"/>
      <c r="CV412" s="364"/>
      <c r="CW412" s="364"/>
      <c r="CX412" s="364"/>
      <c r="CY412" s="364"/>
      <c r="CZ412" s="364"/>
      <c r="DA412" s="364"/>
      <c r="DB412" s="364"/>
      <c r="DC412" s="364"/>
      <c r="DD412" s="364"/>
      <c r="DE412" s="364"/>
      <c r="DF412" s="364"/>
      <c r="DG412" s="364"/>
      <c r="DH412" s="364"/>
      <c r="DI412" s="364"/>
      <c r="DJ412" s="364"/>
      <c r="DK412" s="364"/>
      <c r="DL412" s="364"/>
      <c r="DM412" s="364"/>
      <c r="DN412" s="364"/>
      <c r="DO412" s="364"/>
      <c r="DP412" s="364"/>
      <c r="DQ412" s="364"/>
      <c r="DR412" s="364"/>
      <c r="DS412" s="364"/>
      <c r="DT412" s="364"/>
      <c r="DU412" s="364"/>
      <c r="DV412" s="364"/>
      <c r="DW412" s="364"/>
      <c r="DX412" s="364"/>
      <c r="DY412" s="364"/>
      <c r="DZ412" s="364"/>
      <c r="EA412" s="364"/>
      <c r="EB412" s="364"/>
      <c r="EC412" s="364"/>
      <c r="ED412" s="364"/>
      <c r="EE412" s="364"/>
      <c r="EF412" s="364"/>
      <c r="EG412" s="364"/>
      <c r="EH412" s="364"/>
      <c r="EI412" s="364"/>
      <c r="EJ412" s="364"/>
      <c r="EK412" s="364"/>
      <c r="EL412" s="364"/>
      <c r="EM412" s="364"/>
      <c r="EN412" s="364"/>
      <c r="EO412" s="364"/>
      <c r="EP412" s="364"/>
      <c r="EQ412" s="364"/>
      <c r="ER412" s="364"/>
      <c r="ES412" s="364"/>
      <c r="ET412" s="364"/>
      <c r="EU412" s="364"/>
      <c r="EV412" s="364"/>
      <c r="EW412" s="364"/>
      <c r="EX412" s="364"/>
      <c r="EY412" s="364"/>
      <c r="EZ412" s="364"/>
      <c r="FA412" s="364"/>
      <c r="FB412" s="364"/>
      <c r="FC412" s="364"/>
      <c r="FD412" s="364"/>
      <c r="FE412" s="364"/>
      <c r="FF412" s="364"/>
      <c r="FG412" s="364"/>
      <c r="FH412" s="364"/>
      <c r="FI412" s="364"/>
      <c r="FJ412" s="364"/>
      <c r="FK412" s="364"/>
    </row>
    <row r="413" customFormat="false" ht="15.75" hidden="false" customHeight="false" outlineLevel="0" collapsed="false">
      <c r="A413" s="364" t="n">
        <v>809</v>
      </c>
      <c r="B413" s="364" t="n">
        <f aca="false">COUNTA(D413:FK413)</f>
        <v>26</v>
      </c>
      <c r="C413" s="364" t="s">
        <v>1986</v>
      </c>
      <c r="D413" s="364" t="s">
        <v>2465</v>
      </c>
      <c r="E413" s="364" t="s">
        <v>2315</v>
      </c>
      <c r="F413" s="364" t="s">
        <v>2517</v>
      </c>
      <c r="G413" s="364" t="s">
        <v>2358</v>
      </c>
      <c r="H413" s="364" t="s">
        <v>2518</v>
      </c>
      <c r="I413" s="364" t="s">
        <v>2624</v>
      </c>
      <c r="J413" s="364" t="s">
        <v>2318</v>
      </c>
      <c r="K413" s="364" t="s">
        <v>2320</v>
      </c>
      <c r="L413" s="364" t="s">
        <v>2640</v>
      </c>
      <c r="M413" s="364" t="s">
        <v>2324</v>
      </c>
      <c r="N413" s="364" t="s">
        <v>2328</v>
      </c>
      <c r="O413" s="364" t="s">
        <v>2329</v>
      </c>
      <c r="P413" s="364" t="s">
        <v>2521</v>
      </c>
      <c r="Q413" s="364" t="s">
        <v>2381</v>
      </c>
      <c r="R413" s="364" t="s">
        <v>2468</v>
      </c>
      <c r="S413" s="364" t="s">
        <v>2638</v>
      </c>
      <c r="T413" s="364" t="s">
        <v>2495</v>
      </c>
      <c r="U413" s="364" t="s">
        <v>2461</v>
      </c>
      <c r="V413" s="364" t="s">
        <v>2337</v>
      </c>
      <c r="W413" s="364" t="s">
        <v>2469</v>
      </c>
      <c r="X413" s="364" t="s">
        <v>2340</v>
      </c>
      <c r="Y413" s="364" t="s">
        <v>2341</v>
      </c>
      <c r="Z413" s="364" t="s">
        <v>2442</v>
      </c>
      <c r="AA413" s="364" t="s">
        <v>2344</v>
      </c>
      <c r="AB413" s="364" t="s">
        <v>2398</v>
      </c>
      <c r="AC413" s="364" t="s">
        <v>2348</v>
      </c>
      <c r="AD413" s="364"/>
      <c r="AE413" s="364"/>
      <c r="AF413" s="364"/>
      <c r="AG413" s="364"/>
      <c r="AH413" s="364"/>
      <c r="AI413" s="364"/>
      <c r="AJ413" s="364"/>
      <c r="AK413" s="364"/>
      <c r="AL413" s="364"/>
      <c r="AM413" s="364"/>
      <c r="AN413" s="364"/>
      <c r="AO413" s="364"/>
      <c r="AP413" s="364"/>
      <c r="AQ413" s="364"/>
      <c r="AR413" s="364"/>
      <c r="AS413" s="364"/>
      <c r="AT413" s="364"/>
      <c r="AU413" s="364"/>
      <c r="AV413" s="364"/>
      <c r="AW413" s="364"/>
      <c r="AX413" s="364"/>
      <c r="AY413" s="364"/>
      <c r="AZ413" s="364"/>
      <c r="BA413" s="364"/>
      <c r="BB413" s="364"/>
      <c r="BC413" s="364"/>
      <c r="BD413" s="364"/>
      <c r="BE413" s="364"/>
      <c r="BF413" s="364"/>
      <c r="BG413" s="364"/>
      <c r="BH413" s="364"/>
      <c r="BI413" s="364"/>
      <c r="BJ413" s="364"/>
      <c r="BK413" s="364"/>
      <c r="BL413" s="364"/>
      <c r="BM413" s="364"/>
      <c r="BN413" s="364"/>
      <c r="BO413" s="364"/>
      <c r="BP413" s="364"/>
      <c r="BQ413" s="364"/>
      <c r="BR413" s="364"/>
      <c r="BS413" s="364"/>
      <c r="BT413" s="364"/>
      <c r="BU413" s="364"/>
      <c r="BV413" s="364"/>
      <c r="BW413" s="364"/>
      <c r="BX413" s="364"/>
      <c r="BY413" s="364"/>
      <c r="BZ413" s="364"/>
      <c r="CA413" s="364"/>
      <c r="CB413" s="364"/>
      <c r="CC413" s="364"/>
      <c r="CD413" s="364"/>
      <c r="CE413" s="364"/>
      <c r="CF413" s="364"/>
      <c r="CG413" s="364"/>
      <c r="CH413" s="364"/>
      <c r="CI413" s="364"/>
      <c r="CJ413" s="364"/>
      <c r="CK413" s="364"/>
      <c r="CL413" s="364"/>
      <c r="CM413" s="364"/>
      <c r="CN413" s="364"/>
      <c r="CO413" s="364"/>
      <c r="CP413" s="364"/>
      <c r="CQ413" s="364"/>
      <c r="CR413" s="364"/>
      <c r="CS413" s="364"/>
      <c r="CT413" s="364"/>
      <c r="CU413" s="364"/>
      <c r="CV413" s="364"/>
      <c r="CW413" s="364"/>
      <c r="CX413" s="364"/>
      <c r="CY413" s="364"/>
      <c r="CZ413" s="364"/>
      <c r="DA413" s="364"/>
      <c r="DB413" s="364"/>
      <c r="DC413" s="364"/>
      <c r="DD413" s="364"/>
      <c r="DE413" s="364"/>
      <c r="DF413" s="364"/>
      <c r="DG413" s="364"/>
      <c r="DH413" s="364"/>
      <c r="DI413" s="364"/>
      <c r="DJ413" s="364"/>
      <c r="DK413" s="364"/>
      <c r="DL413" s="364"/>
      <c r="DM413" s="364"/>
      <c r="DN413" s="364"/>
      <c r="DO413" s="364"/>
      <c r="DP413" s="364"/>
      <c r="DQ413" s="364"/>
      <c r="DR413" s="364"/>
      <c r="DS413" s="364"/>
      <c r="DT413" s="364"/>
      <c r="DU413" s="364"/>
      <c r="DV413" s="364"/>
      <c r="DW413" s="364"/>
      <c r="DX413" s="364"/>
      <c r="DY413" s="364"/>
      <c r="DZ413" s="364"/>
      <c r="EA413" s="364"/>
      <c r="EB413" s="364"/>
      <c r="EC413" s="364"/>
      <c r="ED413" s="364"/>
      <c r="EE413" s="364"/>
      <c r="EF413" s="364"/>
      <c r="EG413" s="364"/>
      <c r="EH413" s="364"/>
      <c r="EI413" s="364"/>
      <c r="EJ413" s="364"/>
      <c r="EK413" s="364"/>
      <c r="EL413" s="364"/>
      <c r="EM413" s="364"/>
      <c r="EN413" s="364"/>
      <c r="EO413" s="364"/>
      <c r="EP413" s="364"/>
      <c r="EQ413" s="364"/>
      <c r="ER413" s="364"/>
      <c r="ES413" s="364"/>
      <c r="ET413" s="364"/>
      <c r="EU413" s="364"/>
      <c r="EV413" s="364"/>
      <c r="EW413" s="364"/>
      <c r="EX413" s="364"/>
      <c r="EY413" s="364"/>
      <c r="EZ413" s="364"/>
      <c r="FA413" s="364"/>
      <c r="FB413" s="364"/>
      <c r="FC413" s="364"/>
      <c r="FD413" s="364"/>
      <c r="FE413" s="364"/>
      <c r="FF413" s="364"/>
      <c r="FG413" s="364"/>
      <c r="FH413" s="364"/>
      <c r="FI413" s="364"/>
      <c r="FJ413" s="364"/>
      <c r="FK413" s="364"/>
    </row>
    <row r="414" customFormat="false" ht="15.75" hidden="false" customHeight="false" outlineLevel="0" collapsed="false">
      <c r="A414" s="364" t="n">
        <v>810</v>
      </c>
      <c r="B414" s="364" t="n">
        <f aca="false">COUNTA(D414:FK414)</f>
        <v>50</v>
      </c>
      <c r="C414" s="364" t="s">
        <v>1988</v>
      </c>
      <c r="D414" s="364" t="s">
        <v>2431</v>
      </c>
      <c r="E414" s="364" t="s">
        <v>2352</v>
      </c>
      <c r="F414" s="364" t="s">
        <v>2516</v>
      </c>
      <c r="G414" s="364" t="s">
        <v>2356</v>
      </c>
      <c r="H414" s="364" t="s">
        <v>2315</v>
      </c>
      <c r="I414" s="364" t="s">
        <v>2358</v>
      </c>
      <c r="J414" s="364" t="s">
        <v>2520</v>
      </c>
      <c r="K414" s="364" t="s">
        <v>2543</v>
      </c>
      <c r="L414" s="364" t="s">
        <v>2448</v>
      </c>
      <c r="M414" s="364" t="s">
        <v>2320</v>
      </c>
      <c r="N414" s="364" t="s">
        <v>2449</v>
      </c>
      <c r="O414" s="364" t="s">
        <v>2534</v>
      </c>
      <c r="P414" s="364" t="s">
        <v>2369</v>
      </c>
      <c r="Q414" s="364" t="s">
        <v>2375</v>
      </c>
      <c r="R414" s="364" t="s">
        <v>2712</v>
      </c>
      <c r="S414" s="364" t="s">
        <v>2376</v>
      </c>
      <c r="T414" s="364" t="s">
        <v>2377</v>
      </c>
      <c r="U414" s="364" t="s">
        <v>2324</v>
      </c>
      <c r="V414" s="364" t="s">
        <v>2325</v>
      </c>
      <c r="W414" s="364" t="s">
        <v>2328</v>
      </c>
      <c r="X414" s="364" t="s">
        <v>2609</v>
      </c>
      <c r="Y414" s="364" t="s">
        <v>2506</v>
      </c>
      <c r="Z414" s="364" t="s">
        <v>2545</v>
      </c>
      <c r="AA414" s="364" t="s">
        <v>2468</v>
      </c>
      <c r="AB414" s="364" t="s">
        <v>2539</v>
      </c>
      <c r="AC414" s="364" t="s">
        <v>2540</v>
      </c>
      <c r="AD414" s="364" t="s">
        <v>2452</v>
      </c>
      <c r="AE414" s="364" t="s">
        <v>2454</v>
      </c>
      <c r="AF414" s="364" t="s">
        <v>2387</v>
      </c>
      <c r="AG414" s="364" t="s">
        <v>2337</v>
      </c>
      <c r="AH414" s="364" t="s">
        <v>2469</v>
      </c>
      <c r="AI414" s="364" t="s">
        <v>2388</v>
      </c>
      <c r="AJ414" s="364" t="s">
        <v>2339</v>
      </c>
      <c r="AK414" s="364" t="s">
        <v>2389</v>
      </c>
      <c r="AL414" s="364" t="s">
        <v>2340</v>
      </c>
      <c r="AM414" s="364" t="s">
        <v>2341</v>
      </c>
      <c r="AN414" s="364" t="s">
        <v>2462</v>
      </c>
      <c r="AO414" s="364" t="s">
        <v>2394</v>
      </c>
      <c r="AP414" s="364" t="s">
        <v>2344</v>
      </c>
      <c r="AQ414" s="364" t="s">
        <v>2396</v>
      </c>
      <c r="AR414" s="364" t="s">
        <v>2500</v>
      </c>
      <c r="AS414" s="364" t="s">
        <v>2347</v>
      </c>
      <c r="AT414" s="364" t="s">
        <v>2511</v>
      </c>
      <c r="AU414" s="364" t="s">
        <v>2348</v>
      </c>
      <c r="AV414" s="364" t="s">
        <v>2456</v>
      </c>
      <c r="AW414" s="364" t="s">
        <v>2399</v>
      </c>
      <c r="AX414" s="364" t="s">
        <v>2446</v>
      </c>
      <c r="AY414" s="364" t="s">
        <v>2401</v>
      </c>
      <c r="AZ414" s="364" t="s">
        <v>2458</v>
      </c>
      <c r="BA414" s="364" t="s">
        <v>2430</v>
      </c>
      <c r="BB414" s="364"/>
      <c r="BC414" s="364"/>
      <c r="BD414" s="364"/>
      <c r="BE414" s="364"/>
      <c r="BF414" s="364"/>
      <c r="BG414" s="364"/>
      <c r="BH414" s="364"/>
      <c r="BI414" s="364"/>
      <c r="BJ414" s="364"/>
      <c r="BK414" s="364"/>
      <c r="BL414" s="364"/>
      <c r="BM414" s="364"/>
      <c r="BN414" s="364"/>
      <c r="BO414" s="364"/>
      <c r="BP414" s="364"/>
      <c r="BQ414" s="364"/>
      <c r="BR414" s="364"/>
      <c r="BS414" s="364"/>
      <c r="BT414" s="364"/>
      <c r="BU414" s="364"/>
      <c r="BV414" s="364"/>
      <c r="BW414" s="364"/>
      <c r="BX414" s="364"/>
      <c r="BY414" s="364"/>
      <c r="BZ414" s="364"/>
      <c r="CA414" s="364"/>
      <c r="CB414" s="364"/>
      <c r="CC414" s="364"/>
      <c r="CD414" s="364"/>
      <c r="CE414" s="364"/>
      <c r="CF414" s="364"/>
      <c r="CG414" s="364"/>
      <c r="CH414" s="364"/>
      <c r="CI414" s="364"/>
      <c r="CJ414" s="364"/>
      <c r="CK414" s="364"/>
      <c r="CL414" s="364"/>
      <c r="CM414" s="364"/>
      <c r="CN414" s="364"/>
      <c r="CO414" s="364"/>
      <c r="CP414" s="364"/>
      <c r="CQ414" s="364"/>
      <c r="CR414" s="364"/>
      <c r="CS414" s="364"/>
      <c r="CT414" s="364"/>
      <c r="CU414" s="364"/>
      <c r="CV414" s="364"/>
      <c r="CW414" s="364"/>
      <c r="CX414" s="364"/>
      <c r="CY414" s="364"/>
      <c r="CZ414" s="364"/>
      <c r="DA414" s="364"/>
      <c r="DB414" s="364"/>
      <c r="DC414" s="364"/>
      <c r="DD414" s="364"/>
      <c r="DE414" s="364"/>
      <c r="DF414" s="364"/>
      <c r="DG414" s="364"/>
      <c r="DH414" s="364"/>
      <c r="DI414" s="364"/>
      <c r="DJ414" s="364"/>
      <c r="DK414" s="364"/>
      <c r="DL414" s="364"/>
      <c r="DM414" s="364"/>
      <c r="DN414" s="364"/>
      <c r="DO414" s="364"/>
      <c r="DP414" s="364"/>
      <c r="DQ414" s="364"/>
      <c r="DR414" s="364"/>
      <c r="DS414" s="364"/>
      <c r="DT414" s="364"/>
      <c r="DU414" s="364"/>
      <c r="DV414" s="364"/>
      <c r="DW414" s="364"/>
      <c r="DX414" s="364"/>
      <c r="DY414" s="364"/>
      <c r="DZ414" s="364"/>
      <c r="EA414" s="364"/>
      <c r="EB414" s="364"/>
      <c r="EC414" s="364"/>
      <c r="ED414" s="364"/>
      <c r="EE414" s="364"/>
      <c r="EF414" s="364"/>
      <c r="EG414" s="364"/>
      <c r="EH414" s="364"/>
      <c r="EI414" s="364"/>
      <c r="EJ414" s="364"/>
      <c r="EK414" s="364"/>
      <c r="EL414" s="364"/>
      <c r="EM414" s="364"/>
      <c r="EN414" s="364"/>
      <c r="EO414" s="364"/>
      <c r="EP414" s="364"/>
      <c r="EQ414" s="364"/>
      <c r="ER414" s="364"/>
      <c r="ES414" s="364"/>
      <c r="ET414" s="364"/>
      <c r="EU414" s="364"/>
      <c r="EV414" s="364"/>
      <c r="EW414" s="364"/>
      <c r="EX414" s="364"/>
      <c r="EY414" s="364"/>
      <c r="EZ414" s="364"/>
      <c r="FA414" s="364"/>
      <c r="FB414" s="364"/>
      <c r="FC414" s="364"/>
      <c r="FD414" s="364"/>
      <c r="FE414" s="364"/>
      <c r="FF414" s="364"/>
      <c r="FG414" s="364"/>
      <c r="FH414" s="364"/>
      <c r="FI414" s="364"/>
      <c r="FJ414" s="364"/>
      <c r="FK414" s="364"/>
    </row>
    <row r="415" customFormat="false" ht="15.75" hidden="false" customHeight="false" outlineLevel="0" collapsed="false">
      <c r="A415" s="364" t="n">
        <v>811</v>
      </c>
      <c r="B415" s="364" t="n">
        <f aca="false">COUNTA(D415:FK415)</f>
        <v>33</v>
      </c>
      <c r="C415" s="364" t="s">
        <v>1990</v>
      </c>
      <c r="D415" s="364" t="s">
        <v>2352</v>
      </c>
      <c r="E415" s="364" t="s">
        <v>2464</v>
      </c>
      <c r="F415" s="364" t="s">
        <v>2465</v>
      </c>
      <c r="G415" s="364" t="s">
        <v>2315</v>
      </c>
      <c r="H415" s="364" t="s">
        <v>2358</v>
      </c>
      <c r="I415" s="364" t="s">
        <v>2569</v>
      </c>
      <c r="J415" s="364" t="s">
        <v>2436</v>
      </c>
      <c r="K415" s="364" t="s">
        <v>2320</v>
      </c>
      <c r="L415" s="364" t="s">
        <v>2324</v>
      </c>
      <c r="M415" s="364" t="s">
        <v>2325</v>
      </c>
      <c r="N415" s="364" t="s">
        <v>2328</v>
      </c>
      <c r="O415" s="364" t="s">
        <v>2381</v>
      </c>
      <c r="P415" s="364" t="s">
        <v>2468</v>
      </c>
      <c r="Q415" s="364" t="s">
        <v>2658</v>
      </c>
      <c r="R415" s="364" t="s">
        <v>2711</v>
      </c>
      <c r="S415" s="364" t="s">
        <v>2526</v>
      </c>
      <c r="T415" s="364" t="s">
        <v>2337</v>
      </c>
      <c r="U415" s="364" t="s">
        <v>2469</v>
      </c>
      <c r="V415" s="364" t="s">
        <v>2340</v>
      </c>
      <c r="W415" s="364" t="s">
        <v>2341</v>
      </c>
      <c r="X415" s="364" t="s">
        <v>2470</v>
      </c>
      <c r="Y415" s="364" t="s">
        <v>2422</v>
      </c>
      <c r="Z415" s="364" t="s">
        <v>2344</v>
      </c>
      <c r="AA415" s="364" t="s">
        <v>2474</v>
      </c>
      <c r="AB415" s="364" t="s">
        <v>2348</v>
      </c>
      <c r="AC415" s="364" t="s">
        <v>2445</v>
      </c>
      <c r="AD415" s="364" t="s">
        <v>2475</v>
      </c>
      <c r="AE415" s="364" t="s">
        <v>2476</v>
      </c>
      <c r="AF415" s="364" t="s">
        <v>2399</v>
      </c>
      <c r="AG415" s="364" t="s">
        <v>2491</v>
      </c>
      <c r="AH415" s="364" t="s">
        <v>2446</v>
      </c>
      <c r="AI415" s="364" t="s">
        <v>2492</v>
      </c>
      <c r="AJ415" s="364" t="s">
        <v>2477</v>
      </c>
      <c r="AK415" s="364"/>
      <c r="AL415" s="364"/>
      <c r="AM415" s="364"/>
      <c r="AN415" s="364"/>
      <c r="AO415" s="364"/>
      <c r="AP415" s="364"/>
      <c r="AQ415" s="364"/>
      <c r="AR415" s="364"/>
      <c r="AS415" s="364"/>
      <c r="AT415" s="364"/>
      <c r="AU415" s="364"/>
      <c r="AV415" s="364"/>
      <c r="AW415" s="364"/>
      <c r="AX415" s="364"/>
      <c r="AY415" s="364"/>
      <c r="AZ415" s="364"/>
      <c r="BA415" s="364"/>
      <c r="BB415" s="364"/>
      <c r="BC415" s="364"/>
      <c r="BD415" s="364"/>
      <c r="BE415" s="364"/>
      <c r="BF415" s="364"/>
      <c r="BG415" s="364"/>
      <c r="BH415" s="364"/>
      <c r="BI415" s="364"/>
      <c r="BJ415" s="364"/>
      <c r="BK415" s="364"/>
      <c r="BL415" s="364"/>
      <c r="BM415" s="364"/>
      <c r="BN415" s="364"/>
      <c r="BO415" s="364"/>
      <c r="BP415" s="364"/>
      <c r="BQ415" s="364"/>
      <c r="BR415" s="364"/>
      <c r="BS415" s="364"/>
      <c r="BT415" s="364"/>
      <c r="BU415" s="364"/>
      <c r="BV415" s="364"/>
      <c r="BW415" s="364"/>
      <c r="BX415" s="364"/>
      <c r="BY415" s="364"/>
      <c r="BZ415" s="364"/>
      <c r="CA415" s="364"/>
      <c r="CB415" s="364"/>
      <c r="CC415" s="364"/>
      <c r="CD415" s="364"/>
      <c r="CE415" s="364"/>
      <c r="CF415" s="364"/>
      <c r="CG415" s="364"/>
      <c r="CH415" s="364"/>
      <c r="CI415" s="364"/>
      <c r="CJ415" s="364"/>
      <c r="CK415" s="364"/>
      <c r="CL415" s="364"/>
      <c r="CM415" s="364"/>
      <c r="CN415" s="364"/>
      <c r="CO415" s="364"/>
      <c r="CP415" s="364"/>
      <c r="CQ415" s="364"/>
      <c r="CR415" s="364"/>
      <c r="CS415" s="364"/>
      <c r="CT415" s="364"/>
      <c r="CU415" s="364"/>
      <c r="CV415" s="364"/>
      <c r="CW415" s="364"/>
      <c r="CX415" s="364"/>
      <c r="CY415" s="364"/>
      <c r="CZ415" s="364"/>
      <c r="DA415" s="364"/>
      <c r="DB415" s="364"/>
      <c r="DC415" s="364"/>
      <c r="DD415" s="364"/>
      <c r="DE415" s="364"/>
      <c r="DF415" s="364"/>
      <c r="DG415" s="364"/>
      <c r="DH415" s="364"/>
      <c r="DI415" s="364"/>
      <c r="DJ415" s="364"/>
      <c r="DK415" s="364"/>
      <c r="DL415" s="364"/>
      <c r="DM415" s="364"/>
      <c r="DN415" s="364"/>
      <c r="DO415" s="364"/>
      <c r="DP415" s="364"/>
      <c r="DQ415" s="364"/>
      <c r="DR415" s="364"/>
      <c r="DS415" s="364"/>
      <c r="DT415" s="364"/>
      <c r="DU415" s="364"/>
      <c r="DV415" s="364"/>
      <c r="DW415" s="364"/>
      <c r="DX415" s="364"/>
      <c r="DY415" s="364"/>
      <c r="DZ415" s="364"/>
      <c r="EA415" s="364"/>
      <c r="EB415" s="364"/>
      <c r="EC415" s="364"/>
      <c r="ED415" s="364"/>
      <c r="EE415" s="364"/>
      <c r="EF415" s="364"/>
      <c r="EG415" s="364"/>
      <c r="EH415" s="364"/>
      <c r="EI415" s="364"/>
      <c r="EJ415" s="364"/>
      <c r="EK415" s="364"/>
      <c r="EL415" s="364"/>
      <c r="EM415" s="364"/>
      <c r="EN415" s="364"/>
      <c r="EO415" s="364"/>
      <c r="EP415" s="364"/>
      <c r="EQ415" s="364"/>
      <c r="ER415" s="364"/>
      <c r="ES415" s="364"/>
      <c r="ET415" s="364"/>
      <c r="EU415" s="364"/>
      <c r="EV415" s="364"/>
      <c r="EW415" s="364"/>
      <c r="EX415" s="364"/>
      <c r="EY415" s="364"/>
      <c r="EZ415" s="364"/>
      <c r="FA415" s="364"/>
      <c r="FB415" s="364"/>
      <c r="FC415" s="364"/>
      <c r="FD415" s="364"/>
      <c r="FE415" s="364"/>
      <c r="FF415" s="364"/>
      <c r="FG415" s="364"/>
      <c r="FH415" s="364"/>
      <c r="FI415" s="364"/>
      <c r="FJ415" s="364"/>
      <c r="FK415" s="364"/>
    </row>
    <row r="416" customFormat="false" ht="15.75" hidden="false" customHeight="false" outlineLevel="0" collapsed="false">
      <c r="A416" s="364" t="n">
        <v>812</v>
      </c>
      <c r="B416" s="364" t="n">
        <f aca="false">COUNTA(D416:FK416)</f>
        <v>22</v>
      </c>
      <c r="C416" s="364" t="s">
        <v>1992</v>
      </c>
      <c r="D416" s="364" t="s">
        <v>2561</v>
      </c>
      <c r="E416" s="364" t="s">
        <v>2465</v>
      </c>
      <c r="F416" s="364" t="s">
        <v>2517</v>
      </c>
      <c r="G416" s="364" t="s">
        <v>2497</v>
      </c>
      <c r="H416" s="364" t="s">
        <v>2562</v>
      </c>
      <c r="I416" s="364" t="s">
        <v>2320</v>
      </c>
      <c r="J416" s="364" t="s">
        <v>2412</v>
      </c>
      <c r="K416" s="364" t="s">
        <v>2328</v>
      </c>
      <c r="L416" s="364" t="s">
        <v>2638</v>
      </c>
      <c r="M416" s="364" t="s">
        <v>2536</v>
      </c>
      <c r="N416" s="364" t="s">
        <v>157</v>
      </c>
      <c r="O416" s="364" t="s">
        <v>2337</v>
      </c>
      <c r="P416" s="364" t="s">
        <v>2388</v>
      </c>
      <c r="Q416" s="364" t="s">
        <v>2565</v>
      </c>
      <c r="R416" s="364" t="s">
        <v>2389</v>
      </c>
      <c r="S416" s="364" t="s">
        <v>2340</v>
      </c>
      <c r="T416" s="364" t="s">
        <v>2341</v>
      </c>
      <c r="U416" s="364" t="s">
        <v>2423</v>
      </c>
      <c r="V416" s="364" t="s">
        <v>2344</v>
      </c>
      <c r="W416" s="364" t="s">
        <v>2346</v>
      </c>
      <c r="X416" s="364" t="s">
        <v>2500</v>
      </c>
      <c r="Y416" s="364" t="s">
        <v>2348</v>
      </c>
      <c r="Z416" s="364"/>
      <c r="AA416" s="364"/>
      <c r="AB416" s="364"/>
      <c r="AC416" s="364"/>
      <c r="AD416" s="364"/>
      <c r="AE416" s="364"/>
      <c r="AF416" s="364"/>
      <c r="AG416" s="364"/>
      <c r="AH416" s="364"/>
      <c r="AI416" s="364"/>
      <c r="AJ416" s="364"/>
      <c r="AK416" s="364"/>
      <c r="AL416" s="364"/>
      <c r="AM416" s="364"/>
      <c r="AN416" s="364"/>
      <c r="AO416" s="364"/>
      <c r="AP416" s="364"/>
      <c r="AQ416" s="364"/>
      <c r="AR416" s="364"/>
      <c r="AS416" s="364"/>
      <c r="AT416" s="364"/>
      <c r="AU416" s="364"/>
      <c r="AV416" s="364"/>
      <c r="AW416" s="364"/>
      <c r="AX416" s="364"/>
      <c r="AY416" s="364"/>
      <c r="AZ416" s="364"/>
      <c r="BA416" s="364"/>
      <c r="BB416" s="364"/>
      <c r="BC416" s="364"/>
      <c r="BD416" s="364"/>
      <c r="BE416" s="364"/>
      <c r="BF416" s="364"/>
      <c r="BG416" s="364"/>
      <c r="BH416" s="364"/>
      <c r="BI416" s="364"/>
      <c r="BJ416" s="364"/>
      <c r="BK416" s="364"/>
      <c r="BL416" s="364"/>
      <c r="BM416" s="364"/>
      <c r="BN416" s="364"/>
      <c r="BO416" s="364"/>
      <c r="BP416" s="364"/>
      <c r="BQ416" s="364"/>
      <c r="BR416" s="364"/>
      <c r="BS416" s="364"/>
      <c r="BT416" s="364"/>
      <c r="BU416" s="364"/>
      <c r="BV416" s="364"/>
      <c r="BW416" s="364"/>
      <c r="BX416" s="364"/>
      <c r="BY416" s="364"/>
      <c r="BZ416" s="364"/>
      <c r="CA416" s="364"/>
      <c r="CB416" s="364"/>
      <c r="CC416" s="364"/>
      <c r="CD416" s="364"/>
      <c r="CE416" s="364"/>
      <c r="CF416" s="364"/>
      <c r="CG416" s="364"/>
      <c r="CH416" s="364"/>
      <c r="CI416" s="364"/>
      <c r="CJ416" s="364"/>
      <c r="CK416" s="364"/>
      <c r="CL416" s="364"/>
      <c r="CM416" s="364"/>
      <c r="CN416" s="364"/>
      <c r="CO416" s="364"/>
      <c r="CP416" s="364"/>
      <c r="CQ416" s="364"/>
      <c r="CR416" s="364"/>
      <c r="CS416" s="364"/>
      <c r="CT416" s="364"/>
      <c r="CU416" s="364"/>
      <c r="CV416" s="364"/>
      <c r="CW416" s="364"/>
      <c r="CX416" s="364"/>
      <c r="CY416" s="364"/>
      <c r="CZ416" s="364"/>
      <c r="DA416" s="364"/>
      <c r="DB416" s="364"/>
      <c r="DC416" s="364"/>
      <c r="DD416" s="364"/>
      <c r="DE416" s="364"/>
      <c r="DF416" s="364"/>
      <c r="DG416" s="364"/>
      <c r="DH416" s="364"/>
      <c r="DI416" s="364"/>
      <c r="DJ416" s="364"/>
      <c r="DK416" s="364"/>
      <c r="DL416" s="364"/>
      <c r="DM416" s="364"/>
      <c r="DN416" s="364"/>
      <c r="DO416" s="364"/>
      <c r="DP416" s="364"/>
      <c r="DQ416" s="364"/>
      <c r="DR416" s="364"/>
      <c r="DS416" s="364"/>
      <c r="DT416" s="364"/>
      <c r="DU416" s="364"/>
      <c r="DV416" s="364"/>
      <c r="DW416" s="364"/>
      <c r="DX416" s="364"/>
      <c r="DY416" s="364"/>
      <c r="DZ416" s="364"/>
      <c r="EA416" s="364"/>
      <c r="EB416" s="364"/>
      <c r="EC416" s="364"/>
      <c r="ED416" s="364"/>
      <c r="EE416" s="364"/>
      <c r="EF416" s="364"/>
      <c r="EG416" s="364"/>
      <c r="EH416" s="364"/>
      <c r="EI416" s="364"/>
      <c r="EJ416" s="364"/>
      <c r="EK416" s="364"/>
      <c r="EL416" s="364"/>
      <c r="EM416" s="364"/>
      <c r="EN416" s="364"/>
      <c r="EO416" s="364"/>
      <c r="EP416" s="364"/>
      <c r="EQ416" s="364"/>
      <c r="ER416" s="364"/>
      <c r="ES416" s="364"/>
      <c r="ET416" s="364"/>
      <c r="EU416" s="364"/>
      <c r="EV416" s="364"/>
      <c r="EW416" s="364"/>
      <c r="EX416" s="364"/>
      <c r="EY416" s="364"/>
      <c r="EZ416" s="364"/>
      <c r="FA416" s="364"/>
      <c r="FB416" s="364"/>
      <c r="FC416" s="364"/>
      <c r="FD416" s="364"/>
      <c r="FE416" s="364"/>
      <c r="FF416" s="364"/>
      <c r="FG416" s="364"/>
      <c r="FH416" s="364"/>
      <c r="FI416" s="364"/>
      <c r="FJ416" s="364"/>
      <c r="FK416" s="364"/>
    </row>
    <row r="417" customFormat="false" ht="15.75" hidden="false" customHeight="false" outlineLevel="0" collapsed="false">
      <c r="A417" s="364" t="n">
        <v>815</v>
      </c>
      <c r="B417" s="364" t="n">
        <f aca="false">COUNTA(D417:FK417)</f>
        <v>47</v>
      </c>
      <c r="C417" s="364" t="s">
        <v>1998</v>
      </c>
      <c r="D417" s="364" t="s">
        <v>2527</v>
      </c>
      <c r="E417" s="364" t="s">
        <v>2402</v>
      </c>
      <c r="F417" s="364" t="s">
        <v>2310</v>
      </c>
      <c r="G417" s="364" t="s">
        <v>2405</v>
      </c>
      <c r="H417" s="364" t="s">
        <v>2312</v>
      </c>
      <c r="I417" s="364" t="s">
        <v>2357</v>
      </c>
      <c r="J417" s="364" t="s">
        <v>2407</v>
      </c>
      <c r="K417" s="364" t="s">
        <v>2313</v>
      </c>
      <c r="L417" s="364" t="s">
        <v>2601</v>
      </c>
      <c r="M417" s="364" t="s">
        <v>2359</v>
      </c>
      <c r="N417" s="364" t="s">
        <v>2361</v>
      </c>
      <c r="O417" s="364" t="s">
        <v>2363</v>
      </c>
      <c r="P417" s="364" t="s">
        <v>2317</v>
      </c>
      <c r="Q417" s="364" t="s">
        <v>2320</v>
      </c>
      <c r="R417" s="364" t="s">
        <v>2534</v>
      </c>
      <c r="S417" s="364" t="s">
        <v>2366</v>
      </c>
      <c r="T417" s="364" t="s">
        <v>2369</v>
      </c>
      <c r="U417" s="364" t="s">
        <v>2373</v>
      </c>
      <c r="V417" s="364" t="s">
        <v>2376</v>
      </c>
      <c r="W417" s="364" t="s">
        <v>2377</v>
      </c>
      <c r="X417" s="364" t="s">
        <v>2324</v>
      </c>
      <c r="Y417" s="364" t="s">
        <v>2328</v>
      </c>
      <c r="Z417" s="364" t="s">
        <v>2329</v>
      </c>
      <c r="AA417" s="364" t="s">
        <v>2415</v>
      </c>
      <c r="AB417" s="364" t="s">
        <v>2379</v>
      </c>
      <c r="AC417" s="364" t="s">
        <v>2438</v>
      </c>
      <c r="AD417" s="364" t="s">
        <v>2381</v>
      </c>
      <c r="AE417" s="364" t="s">
        <v>2615</v>
      </c>
      <c r="AF417" s="364" t="s">
        <v>2332</v>
      </c>
      <c r="AG417" s="364" t="s">
        <v>2616</v>
      </c>
      <c r="AH417" s="364" t="s">
        <v>2337</v>
      </c>
      <c r="AI417" s="364" t="s">
        <v>2388</v>
      </c>
      <c r="AJ417" s="364" t="s">
        <v>2339</v>
      </c>
      <c r="AK417" s="364" t="s">
        <v>2340</v>
      </c>
      <c r="AL417" s="364" t="s">
        <v>2341</v>
      </c>
      <c r="AM417" s="364" t="s">
        <v>2470</v>
      </c>
      <c r="AN417" s="364" t="s">
        <v>2343</v>
      </c>
      <c r="AO417" s="364" t="s">
        <v>2471</v>
      </c>
      <c r="AP417" s="364" t="s">
        <v>2344</v>
      </c>
      <c r="AQ417" s="364" t="s">
        <v>2346</v>
      </c>
      <c r="AR417" s="364" t="s">
        <v>2347</v>
      </c>
      <c r="AS417" s="364" t="s">
        <v>2511</v>
      </c>
      <c r="AT417" s="364" t="s">
        <v>2348</v>
      </c>
      <c r="AU417" s="364" t="s">
        <v>2475</v>
      </c>
      <c r="AV417" s="364" t="s">
        <v>2476</v>
      </c>
      <c r="AW417" s="364" t="s">
        <v>2399</v>
      </c>
      <c r="AX417" s="364" t="s">
        <v>2428</v>
      </c>
      <c r="AY417" s="364"/>
      <c r="AZ417" s="364"/>
      <c r="BA417" s="364"/>
      <c r="BB417" s="364"/>
      <c r="BC417" s="364"/>
      <c r="BD417" s="364"/>
      <c r="BE417" s="364"/>
      <c r="BF417" s="364"/>
      <c r="BG417" s="364"/>
      <c r="BH417" s="364"/>
      <c r="BI417" s="364"/>
      <c r="BJ417" s="364"/>
      <c r="BK417" s="364"/>
      <c r="BL417" s="364"/>
      <c r="BM417" s="364"/>
      <c r="BN417" s="364"/>
      <c r="BO417" s="364"/>
      <c r="BP417" s="364"/>
      <c r="BQ417" s="364"/>
      <c r="BR417" s="364"/>
      <c r="BS417" s="364"/>
      <c r="BT417" s="364"/>
      <c r="BU417" s="364"/>
      <c r="BV417" s="364"/>
      <c r="BW417" s="364"/>
      <c r="BX417" s="364"/>
      <c r="BY417" s="364"/>
      <c r="BZ417" s="364"/>
      <c r="CA417" s="364"/>
      <c r="CB417" s="364"/>
      <c r="CC417" s="364"/>
      <c r="CD417" s="364"/>
      <c r="CE417" s="364"/>
      <c r="CF417" s="364"/>
      <c r="CG417" s="364"/>
      <c r="CH417" s="364"/>
      <c r="CI417" s="364"/>
      <c r="CJ417" s="364"/>
      <c r="CK417" s="364"/>
      <c r="CL417" s="364"/>
      <c r="CM417" s="364"/>
      <c r="CN417" s="364"/>
      <c r="CO417" s="364"/>
      <c r="CP417" s="364"/>
      <c r="CQ417" s="364"/>
      <c r="CR417" s="364"/>
      <c r="CS417" s="364"/>
      <c r="CT417" s="364"/>
      <c r="CU417" s="364"/>
      <c r="CV417" s="364"/>
      <c r="CW417" s="364"/>
      <c r="CX417" s="364"/>
      <c r="CY417" s="364"/>
      <c r="CZ417" s="364"/>
      <c r="DA417" s="364"/>
      <c r="DB417" s="364"/>
      <c r="DC417" s="364"/>
      <c r="DD417" s="364"/>
      <c r="DE417" s="364"/>
      <c r="DF417" s="364"/>
      <c r="DG417" s="364"/>
      <c r="DH417" s="364"/>
      <c r="DI417" s="364"/>
      <c r="DJ417" s="364"/>
      <c r="DK417" s="364"/>
      <c r="DL417" s="364"/>
      <c r="DM417" s="364"/>
      <c r="DN417" s="364"/>
      <c r="DO417" s="364"/>
      <c r="DP417" s="364"/>
      <c r="DQ417" s="364"/>
      <c r="DR417" s="364"/>
      <c r="DS417" s="364"/>
      <c r="DT417" s="364"/>
      <c r="DU417" s="364"/>
      <c r="DV417" s="364"/>
      <c r="DW417" s="364"/>
      <c r="DX417" s="364"/>
      <c r="DY417" s="364"/>
      <c r="DZ417" s="364"/>
      <c r="EA417" s="364"/>
      <c r="EB417" s="364"/>
      <c r="EC417" s="364"/>
      <c r="ED417" s="364"/>
      <c r="EE417" s="364"/>
      <c r="EF417" s="364"/>
      <c r="EG417" s="364"/>
      <c r="EH417" s="364"/>
      <c r="EI417" s="364"/>
      <c r="EJ417" s="364"/>
      <c r="EK417" s="364"/>
      <c r="EL417" s="364"/>
      <c r="EM417" s="364"/>
      <c r="EN417" s="364"/>
      <c r="EO417" s="364"/>
      <c r="EP417" s="364"/>
      <c r="EQ417" s="364"/>
      <c r="ER417" s="364"/>
      <c r="ES417" s="364"/>
      <c r="ET417" s="364"/>
      <c r="EU417" s="364"/>
      <c r="EV417" s="364"/>
      <c r="EW417" s="364"/>
      <c r="EX417" s="364"/>
      <c r="EY417" s="364"/>
      <c r="EZ417" s="364"/>
      <c r="FA417" s="364"/>
      <c r="FB417" s="364"/>
      <c r="FC417" s="364"/>
      <c r="FD417" s="364"/>
      <c r="FE417" s="364"/>
      <c r="FF417" s="364"/>
      <c r="FG417" s="364"/>
      <c r="FH417" s="364"/>
      <c r="FI417" s="364"/>
      <c r="FJ417" s="364"/>
      <c r="FK417" s="364"/>
    </row>
    <row r="418" customFormat="false" ht="15.75" hidden="false" customHeight="false" outlineLevel="0" collapsed="false">
      <c r="A418" s="364" t="n">
        <v>816</v>
      </c>
      <c r="B418" s="364" t="n">
        <f aca="false">COUNTA(D418:FK418)</f>
        <v>23</v>
      </c>
      <c r="C418" s="364" t="s">
        <v>2000</v>
      </c>
      <c r="D418" s="364" t="s">
        <v>2528</v>
      </c>
      <c r="E418" s="364" t="s">
        <v>2465</v>
      </c>
      <c r="F418" s="364" t="s">
        <v>2315</v>
      </c>
      <c r="G418" s="364" t="s">
        <v>2517</v>
      </c>
      <c r="H418" s="364" t="s">
        <v>2624</v>
      </c>
      <c r="I418" s="364" t="s">
        <v>2320</v>
      </c>
      <c r="J418" s="364" t="s">
        <v>2640</v>
      </c>
      <c r="K418" s="364" t="s">
        <v>2411</v>
      </c>
      <c r="L418" s="364" t="s">
        <v>2523</v>
      </c>
      <c r="M418" s="364" t="s">
        <v>2324</v>
      </c>
      <c r="N418" s="364" t="s">
        <v>2328</v>
      </c>
      <c r="O418" s="364" t="s">
        <v>2329</v>
      </c>
      <c r="P418" s="364" t="s">
        <v>2468</v>
      </c>
      <c r="Q418" s="364" t="s">
        <v>2574</v>
      </c>
      <c r="R418" s="364" t="s">
        <v>2526</v>
      </c>
      <c r="S418" s="364" t="s">
        <v>157</v>
      </c>
      <c r="T418" s="364" t="s">
        <v>2495</v>
      </c>
      <c r="U418" s="364" t="s">
        <v>2337</v>
      </c>
      <c r="V418" s="364" t="s">
        <v>2340</v>
      </c>
      <c r="W418" s="364" t="s">
        <v>2341</v>
      </c>
      <c r="X418" s="364" t="s">
        <v>2344</v>
      </c>
      <c r="Y418" s="364" t="s">
        <v>2348</v>
      </c>
      <c r="Z418" s="364" t="s">
        <v>2445</v>
      </c>
      <c r="AA418" s="364"/>
      <c r="AB418" s="364"/>
      <c r="AC418" s="364"/>
      <c r="AD418" s="364"/>
      <c r="AE418" s="364"/>
      <c r="AF418" s="364"/>
      <c r="AG418" s="364"/>
      <c r="AH418" s="364"/>
      <c r="AI418" s="364"/>
      <c r="AJ418" s="364"/>
      <c r="AK418" s="364"/>
      <c r="AL418" s="364"/>
      <c r="AM418" s="364"/>
      <c r="AN418" s="364"/>
      <c r="AO418" s="364"/>
      <c r="AP418" s="364"/>
      <c r="AQ418" s="364"/>
      <c r="AR418" s="364"/>
      <c r="AS418" s="364"/>
      <c r="AT418" s="364"/>
      <c r="AU418" s="364"/>
      <c r="AV418" s="364"/>
      <c r="AW418" s="364"/>
      <c r="AX418" s="364"/>
      <c r="AY418" s="364"/>
      <c r="AZ418" s="364"/>
      <c r="BA418" s="364"/>
      <c r="BB418" s="364"/>
      <c r="BC418" s="364"/>
      <c r="BD418" s="364"/>
      <c r="BE418" s="364"/>
      <c r="BF418" s="364"/>
      <c r="BG418" s="364"/>
      <c r="BH418" s="364"/>
      <c r="BI418" s="364"/>
      <c r="BJ418" s="364"/>
      <c r="BK418" s="364"/>
      <c r="BL418" s="364"/>
      <c r="BM418" s="364"/>
      <c r="BN418" s="364"/>
      <c r="BO418" s="364"/>
      <c r="BP418" s="364"/>
      <c r="BQ418" s="364"/>
      <c r="BR418" s="364"/>
      <c r="BS418" s="364"/>
      <c r="BT418" s="364"/>
      <c r="BU418" s="364"/>
      <c r="BV418" s="364"/>
      <c r="BW418" s="364"/>
      <c r="BX418" s="364"/>
      <c r="BY418" s="364"/>
      <c r="BZ418" s="364"/>
      <c r="CA418" s="364"/>
      <c r="CB418" s="364"/>
      <c r="CC418" s="364"/>
      <c r="CD418" s="364"/>
      <c r="CE418" s="364"/>
      <c r="CF418" s="364"/>
      <c r="CG418" s="364"/>
      <c r="CH418" s="364"/>
      <c r="CI418" s="364"/>
      <c r="CJ418" s="364"/>
      <c r="CK418" s="364"/>
      <c r="CL418" s="364"/>
      <c r="CM418" s="364"/>
      <c r="CN418" s="364"/>
      <c r="CO418" s="364"/>
      <c r="CP418" s="364"/>
      <c r="CQ418" s="364"/>
      <c r="CR418" s="364"/>
      <c r="CS418" s="364"/>
      <c r="CT418" s="364"/>
      <c r="CU418" s="364"/>
      <c r="CV418" s="364"/>
      <c r="CW418" s="364"/>
      <c r="CX418" s="364"/>
      <c r="CY418" s="364"/>
      <c r="CZ418" s="364"/>
      <c r="DA418" s="364"/>
      <c r="DB418" s="364"/>
      <c r="DC418" s="364"/>
      <c r="DD418" s="364"/>
      <c r="DE418" s="364"/>
      <c r="DF418" s="364"/>
      <c r="DG418" s="364"/>
      <c r="DH418" s="364"/>
      <c r="DI418" s="364"/>
      <c r="DJ418" s="364"/>
      <c r="DK418" s="364"/>
      <c r="DL418" s="364"/>
      <c r="DM418" s="364"/>
      <c r="DN418" s="364"/>
      <c r="DO418" s="364"/>
      <c r="DP418" s="364"/>
      <c r="DQ418" s="364"/>
      <c r="DR418" s="364"/>
      <c r="DS418" s="364"/>
      <c r="DT418" s="364"/>
      <c r="DU418" s="364"/>
      <c r="DV418" s="364"/>
      <c r="DW418" s="364"/>
      <c r="DX418" s="364"/>
      <c r="DY418" s="364"/>
      <c r="DZ418" s="364"/>
      <c r="EA418" s="364"/>
      <c r="EB418" s="364"/>
      <c r="EC418" s="364"/>
      <c r="ED418" s="364"/>
      <c r="EE418" s="364"/>
      <c r="EF418" s="364"/>
      <c r="EG418" s="364"/>
      <c r="EH418" s="364"/>
      <c r="EI418" s="364"/>
      <c r="EJ418" s="364"/>
      <c r="EK418" s="364"/>
      <c r="EL418" s="364"/>
      <c r="EM418" s="364"/>
      <c r="EN418" s="364"/>
      <c r="EO418" s="364"/>
      <c r="EP418" s="364"/>
      <c r="EQ418" s="364"/>
      <c r="ER418" s="364"/>
      <c r="ES418" s="364"/>
      <c r="ET418" s="364"/>
      <c r="EU418" s="364"/>
      <c r="EV418" s="364"/>
      <c r="EW418" s="364"/>
      <c r="EX418" s="364"/>
      <c r="EY418" s="364"/>
      <c r="EZ418" s="364"/>
      <c r="FA418" s="364"/>
      <c r="FB418" s="364"/>
      <c r="FC418" s="364"/>
      <c r="FD418" s="364"/>
      <c r="FE418" s="364"/>
      <c r="FF418" s="364"/>
      <c r="FG418" s="364"/>
      <c r="FH418" s="364"/>
      <c r="FI418" s="364"/>
      <c r="FJ418" s="364"/>
      <c r="FK418" s="364"/>
    </row>
    <row r="419" customFormat="false" ht="15.75" hidden="false" customHeight="false" outlineLevel="0" collapsed="false">
      <c r="A419" s="364" t="n">
        <v>818</v>
      </c>
      <c r="B419" s="364" t="n">
        <f aca="false">COUNTA(D419:FK419)</f>
        <v>39</v>
      </c>
      <c r="C419" s="364" t="s">
        <v>2004</v>
      </c>
      <c r="D419" s="364" t="s">
        <v>2528</v>
      </c>
      <c r="E419" s="364" t="s">
        <v>2357</v>
      </c>
      <c r="F419" s="364" t="s">
        <v>2313</v>
      </c>
      <c r="G419" s="364" t="s">
        <v>2315</v>
      </c>
      <c r="H419" s="364" t="s">
        <v>2409</v>
      </c>
      <c r="I419" s="364" t="s">
        <v>2358</v>
      </c>
      <c r="J419" s="364" t="s">
        <v>2520</v>
      </c>
      <c r="K419" s="364" t="s">
        <v>2435</v>
      </c>
      <c r="L419" s="364" t="s">
        <v>2317</v>
      </c>
      <c r="M419" s="364" t="s">
        <v>2319</v>
      </c>
      <c r="N419" s="364" t="s">
        <v>2320</v>
      </c>
      <c r="O419" s="364" t="s">
        <v>2535</v>
      </c>
      <c r="P419" s="364" t="s">
        <v>2376</v>
      </c>
      <c r="Q419" s="364" t="s">
        <v>2523</v>
      </c>
      <c r="R419" s="364" t="s">
        <v>2323</v>
      </c>
      <c r="S419" s="364" t="s">
        <v>2324</v>
      </c>
      <c r="T419" s="364" t="s">
        <v>2325</v>
      </c>
      <c r="U419" s="364" t="s">
        <v>2328</v>
      </c>
      <c r="V419" s="364" t="s">
        <v>2695</v>
      </c>
      <c r="W419" s="364" t="s">
        <v>2329</v>
      </c>
      <c r="X419" s="364" t="s">
        <v>2656</v>
      </c>
      <c r="Y419" s="364" t="s">
        <v>2454</v>
      </c>
      <c r="Z419" s="364" t="s">
        <v>2387</v>
      </c>
      <c r="AA419" s="364" t="s">
        <v>157</v>
      </c>
      <c r="AB419" s="364" t="s">
        <v>2337</v>
      </c>
      <c r="AC419" s="364" t="s">
        <v>2388</v>
      </c>
      <c r="AD419" s="364" t="s">
        <v>2339</v>
      </c>
      <c r="AE419" s="364" t="s">
        <v>2340</v>
      </c>
      <c r="AF419" s="364" t="s">
        <v>2341</v>
      </c>
      <c r="AG419" s="364" t="s">
        <v>2342</v>
      </c>
      <c r="AH419" s="364" t="s">
        <v>2442</v>
      </c>
      <c r="AI419" s="364" t="s">
        <v>2392</v>
      </c>
      <c r="AJ419" s="364" t="s">
        <v>2344</v>
      </c>
      <c r="AK419" s="364" t="s">
        <v>2345</v>
      </c>
      <c r="AL419" s="364" t="s">
        <v>2347</v>
      </c>
      <c r="AM419" s="364" t="s">
        <v>2348</v>
      </c>
      <c r="AN419" s="364" t="s">
        <v>2445</v>
      </c>
      <c r="AO419" s="364" t="s">
        <v>2599</v>
      </c>
      <c r="AP419" s="364" t="s">
        <v>2458</v>
      </c>
      <c r="AQ419" s="364"/>
      <c r="AR419" s="364"/>
      <c r="AS419" s="364"/>
      <c r="AT419" s="364"/>
      <c r="AU419" s="364"/>
      <c r="AV419" s="364"/>
      <c r="AW419" s="364"/>
      <c r="AX419" s="364"/>
      <c r="AY419" s="364"/>
      <c r="AZ419" s="364"/>
      <c r="BA419" s="364"/>
      <c r="BB419" s="364"/>
      <c r="BC419" s="364"/>
      <c r="BD419" s="364"/>
      <c r="BE419" s="364"/>
      <c r="BF419" s="364"/>
      <c r="BG419" s="364"/>
      <c r="BH419" s="364"/>
      <c r="BI419" s="364"/>
      <c r="BJ419" s="364"/>
      <c r="BK419" s="364"/>
      <c r="BL419" s="364"/>
      <c r="BM419" s="364"/>
      <c r="BN419" s="364"/>
      <c r="BO419" s="364"/>
      <c r="BP419" s="364"/>
      <c r="BQ419" s="364"/>
      <c r="BR419" s="364"/>
      <c r="BS419" s="364"/>
      <c r="BT419" s="364"/>
      <c r="BU419" s="364"/>
      <c r="BV419" s="364"/>
      <c r="BW419" s="364"/>
      <c r="BX419" s="364"/>
      <c r="BY419" s="364"/>
      <c r="BZ419" s="364"/>
      <c r="CA419" s="364"/>
      <c r="CB419" s="364"/>
      <c r="CC419" s="364"/>
      <c r="CD419" s="364"/>
      <c r="CE419" s="364"/>
      <c r="CF419" s="364"/>
      <c r="CG419" s="364"/>
      <c r="CH419" s="364"/>
      <c r="CI419" s="364"/>
      <c r="CJ419" s="364"/>
      <c r="CK419" s="364"/>
      <c r="CL419" s="364"/>
      <c r="CM419" s="364"/>
      <c r="CN419" s="364"/>
      <c r="CO419" s="364"/>
      <c r="CP419" s="364"/>
      <c r="CQ419" s="364"/>
      <c r="CR419" s="364"/>
      <c r="CS419" s="364"/>
      <c r="CT419" s="364"/>
      <c r="CU419" s="364"/>
      <c r="CV419" s="364"/>
      <c r="CW419" s="364"/>
      <c r="CX419" s="364"/>
      <c r="CY419" s="364"/>
      <c r="CZ419" s="364"/>
      <c r="DA419" s="364"/>
      <c r="DB419" s="364"/>
      <c r="DC419" s="364"/>
      <c r="DD419" s="364"/>
      <c r="DE419" s="364"/>
      <c r="DF419" s="364"/>
      <c r="DG419" s="364"/>
      <c r="DH419" s="364"/>
      <c r="DI419" s="364"/>
      <c r="DJ419" s="364"/>
      <c r="DK419" s="364"/>
      <c r="DL419" s="364"/>
      <c r="DM419" s="364"/>
      <c r="DN419" s="364"/>
      <c r="DO419" s="364"/>
      <c r="DP419" s="364"/>
      <c r="DQ419" s="364"/>
      <c r="DR419" s="364"/>
      <c r="DS419" s="364"/>
      <c r="DT419" s="364"/>
      <c r="DU419" s="364"/>
      <c r="DV419" s="364"/>
      <c r="DW419" s="364"/>
      <c r="DX419" s="364"/>
      <c r="DY419" s="364"/>
      <c r="DZ419" s="364"/>
      <c r="EA419" s="364"/>
      <c r="EB419" s="364"/>
      <c r="EC419" s="364"/>
      <c r="ED419" s="364"/>
      <c r="EE419" s="364"/>
      <c r="EF419" s="364"/>
      <c r="EG419" s="364"/>
      <c r="EH419" s="364"/>
      <c r="EI419" s="364"/>
      <c r="EJ419" s="364"/>
      <c r="EK419" s="364"/>
      <c r="EL419" s="364"/>
      <c r="EM419" s="364"/>
      <c r="EN419" s="364"/>
      <c r="EO419" s="364"/>
      <c r="EP419" s="364"/>
      <c r="EQ419" s="364"/>
      <c r="ER419" s="364"/>
      <c r="ES419" s="364"/>
      <c r="ET419" s="364"/>
      <c r="EU419" s="364"/>
      <c r="EV419" s="364"/>
      <c r="EW419" s="364"/>
      <c r="EX419" s="364"/>
      <c r="EY419" s="364"/>
      <c r="EZ419" s="364"/>
      <c r="FA419" s="364"/>
      <c r="FB419" s="364"/>
      <c r="FC419" s="364"/>
      <c r="FD419" s="364"/>
      <c r="FE419" s="364"/>
      <c r="FF419" s="364"/>
      <c r="FG419" s="364"/>
      <c r="FH419" s="364"/>
      <c r="FI419" s="364"/>
      <c r="FJ419" s="364"/>
      <c r="FK419" s="364"/>
    </row>
    <row r="420" customFormat="false" ht="15.75" hidden="false" customHeight="false" outlineLevel="0" collapsed="false">
      <c r="A420" s="364" t="n">
        <v>823</v>
      </c>
      <c r="B420" s="364" t="n">
        <f aca="false">COUNTA(D420:FK420)</f>
        <v>34</v>
      </c>
      <c r="C420" s="364" t="s">
        <v>2020</v>
      </c>
      <c r="D420" s="364" t="s">
        <v>2528</v>
      </c>
      <c r="E420" s="364" t="s">
        <v>2314</v>
      </c>
      <c r="F420" s="364" t="s">
        <v>2464</v>
      </c>
      <c r="G420" s="364" t="s">
        <v>2409</v>
      </c>
      <c r="H420" s="364" t="s">
        <v>2435</v>
      </c>
      <c r="I420" s="364" t="s">
        <v>2319</v>
      </c>
      <c r="J420" s="364" t="s">
        <v>2562</v>
      </c>
      <c r="K420" s="364" t="s">
        <v>2320</v>
      </c>
      <c r="L420" s="364" t="s">
        <v>2366</v>
      </c>
      <c r="M420" s="364" t="s">
        <v>2372</v>
      </c>
      <c r="N420" s="364" t="s">
        <v>2373</v>
      </c>
      <c r="O420" s="364" t="s">
        <v>2376</v>
      </c>
      <c r="P420" s="364" t="s">
        <v>2523</v>
      </c>
      <c r="Q420" s="364" t="s">
        <v>2323</v>
      </c>
      <c r="R420" s="364" t="s">
        <v>2324</v>
      </c>
      <c r="S420" s="364" t="s">
        <v>2325</v>
      </c>
      <c r="T420" s="364" t="s">
        <v>2412</v>
      </c>
      <c r="U420" s="364" t="s">
        <v>2328</v>
      </c>
      <c r="V420" s="364" t="s">
        <v>2329</v>
      </c>
      <c r="W420" s="364" t="s">
        <v>2379</v>
      </c>
      <c r="X420" s="364" t="s">
        <v>2656</v>
      </c>
      <c r="Y420" s="364" t="s">
        <v>157</v>
      </c>
      <c r="Z420" s="364" t="s">
        <v>2336</v>
      </c>
      <c r="AA420" s="364" t="s">
        <v>2337</v>
      </c>
      <c r="AB420" s="364" t="s">
        <v>2388</v>
      </c>
      <c r="AC420" s="364" t="s">
        <v>2339</v>
      </c>
      <c r="AD420" s="364" t="s">
        <v>2340</v>
      </c>
      <c r="AE420" s="364" t="s">
        <v>2341</v>
      </c>
      <c r="AF420" s="364" t="s">
        <v>2342</v>
      </c>
      <c r="AG420" s="364" t="s">
        <v>2442</v>
      </c>
      <c r="AH420" s="364" t="s">
        <v>2639</v>
      </c>
      <c r="AI420" s="364" t="s">
        <v>2343</v>
      </c>
      <c r="AJ420" s="364" t="s">
        <v>2345</v>
      </c>
      <c r="AK420" s="364" t="s">
        <v>2445</v>
      </c>
      <c r="AL420" s="364"/>
      <c r="AM420" s="364"/>
      <c r="AN420" s="364"/>
      <c r="AO420" s="364"/>
      <c r="AP420" s="364"/>
      <c r="AQ420" s="364"/>
      <c r="AR420" s="364"/>
      <c r="AS420" s="364"/>
      <c r="AT420" s="364"/>
      <c r="AU420" s="364"/>
      <c r="AV420" s="364"/>
      <c r="AW420" s="364"/>
      <c r="AX420" s="364"/>
      <c r="AY420" s="364"/>
      <c r="AZ420" s="364"/>
      <c r="BA420" s="364"/>
      <c r="BB420" s="364"/>
      <c r="BC420" s="364"/>
      <c r="BD420" s="364"/>
      <c r="BE420" s="364"/>
      <c r="BF420" s="364"/>
      <c r="BG420" s="364"/>
      <c r="BH420" s="364"/>
      <c r="BI420" s="364"/>
      <c r="BJ420" s="364"/>
      <c r="BK420" s="364"/>
      <c r="BL420" s="364"/>
      <c r="BM420" s="364"/>
      <c r="BN420" s="364"/>
      <c r="BO420" s="364"/>
      <c r="BP420" s="364"/>
      <c r="BQ420" s="364"/>
      <c r="BR420" s="364"/>
      <c r="BS420" s="364"/>
      <c r="BT420" s="364"/>
      <c r="BU420" s="364"/>
      <c r="BV420" s="364"/>
      <c r="BW420" s="364"/>
      <c r="BX420" s="364"/>
      <c r="BY420" s="364"/>
      <c r="BZ420" s="364"/>
      <c r="CA420" s="364"/>
      <c r="CB420" s="364"/>
      <c r="CC420" s="364"/>
      <c r="CD420" s="364"/>
      <c r="CE420" s="364"/>
      <c r="CF420" s="364"/>
      <c r="CG420" s="364"/>
      <c r="CH420" s="364"/>
      <c r="CI420" s="364"/>
      <c r="CJ420" s="364"/>
      <c r="CK420" s="364"/>
      <c r="CL420" s="364"/>
      <c r="CM420" s="364"/>
      <c r="CN420" s="364"/>
      <c r="CO420" s="364"/>
      <c r="CP420" s="364"/>
      <c r="CQ420" s="364"/>
      <c r="CR420" s="364"/>
      <c r="CS420" s="364"/>
      <c r="CT420" s="364"/>
      <c r="CU420" s="364"/>
      <c r="CV420" s="364"/>
      <c r="CW420" s="364"/>
      <c r="CX420" s="364"/>
      <c r="CY420" s="364"/>
      <c r="CZ420" s="364"/>
      <c r="DA420" s="364"/>
      <c r="DB420" s="364"/>
      <c r="DC420" s="364"/>
      <c r="DD420" s="364"/>
      <c r="DE420" s="364"/>
      <c r="DF420" s="364"/>
      <c r="DG420" s="364"/>
      <c r="DH420" s="364"/>
      <c r="DI420" s="364"/>
      <c r="DJ420" s="364"/>
      <c r="DK420" s="364"/>
      <c r="DL420" s="364"/>
      <c r="DM420" s="364"/>
      <c r="DN420" s="364"/>
      <c r="DO420" s="364"/>
      <c r="DP420" s="364"/>
      <c r="DQ420" s="364"/>
      <c r="DR420" s="364"/>
      <c r="DS420" s="364"/>
      <c r="DT420" s="364"/>
      <c r="DU420" s="364"/>
      <c r="DV420" s="364"/>
      <c r="DW420" s="364"/>
      <c r="DX420" s="364"/>
      <c r="DY420" s="364"/>
      <c r="DZ420" s="364"/>
      <c r="EA420" s="364"/>
      <c r="EB420" s="364"/>
      <c r="EC420" s="364"/>
      <c r="ED420" s="364"/>
      <c r="EE420" s="364"/>
      <c r="EF420" s="364"/>
      <c r="EG420" s="364"/>
      <c r="EH420" s="364"/>
      <c r="EI420" s="364"/>
      <c r="EJ420" s="364"/>
      <c r="EK420" s="364"/>
      <c r="EL420" s="364"/>
      <c r="EM420" s="364"/>
      <c r="EN420" s="364"/>
      <c r="EO420" s="364"/>
      <c r="EP420" s="364"/>
      <c r="EQ420" s="364"/>
      <c r="ER420" s="364"/>
      <c r="ES420" s="364"/>
      <c r="ET420" s="364"/>
      <c r="EU420" s="364"/>
      <c r="EV420" s="364"/>
      <c r="EW420" s="364"/>
      <c r="EX420" s="364"/>
      <c r="EY420" s="364"/>
      <c r="EZ420" s="364"/>
      <c r="FA420" s="364"/>
      <c r="FB420" s="364"/>
      <c r="FC420" s="364"/>
      <c r="FD420" s="364"/>
      <c r="FE420" s="364"/>
      <c r="FF420" s="364"/>
      <c r="FG420" s="364"/>
      <c r="FH420" s="364"/>
      <c r="FI420" s="364"/>
      <c r="FJ420" s="364"/>
      <c r="FK420" s="364"/>
    </row>
    <row r="421" customFormat="false" ht="15.75" hidden="false" customHeight="false" outlineLevel="0" collapsed="false">
      <c r="A421" s="364" t="n">
        <v>828</v>
      </c>
      <c r="B421" s="364" t="n">
        <f aca="false">COUNTA(D421:FK421)</f>
        <v>38</v>
      </c>
      <c r="C421" s="364" t="s">
        <v>2030</v>
      </c>
      <c r="D421" s="364" t="s">
        <v>2403</v>
      </c>
      <c r="E421" s="364" t="s">
        <v>2404</v>
      </c>
      <c r="F421" s="364" t="s">
        <v>2405</v>
      </c>
      <c r="G421" s="364" t="s">
        <v>2312</v>
      </c>
      <c r="H421" s="364" t="s">
        <v>2313</v>
      </c>
      <c r="I421" s="364" t="s">
        <v>2466</v>
      </c>
      <c r="J421" s="364" t="s">
        <v>2316</v>
      </c>
      <c r="K421" s="364" t="s">
        <v>2317</v>
      </c>
      <c r="L421" s="364" t="s">
        <v>2320</v>
      </c>
      <c r="M421" s="364" t="s">
        <v>2411</v>
      </c>
      <c r="N421" s="364" t="s">
        <v>2502</v>
      </c>
      <c r="O421" s="364" t="s">
        <v>2324</v>
      </c>
      <c r="P421" s="364" t="s">
        <v>2412</v>
      </c>
      <c r="Q421" s="364" t="s">
        <v>2328</v>
      </c>
      <c r="R421" s="364" t="s">
        <v>2329</v>
      </c>
      <c r="S421" s="364" t="s">
        <v>2503</v>
      </c>
      <c r="T421" s="364" t="s">
        <v>2415</v>
      </c>
      <c r="U421" s="364" t="s">
        <v>2485</v>
      </c>
      <c r="V421" s="364" t="s">
        <v>2417</v>
      </c>
      <c r="W421" s="364" t="s">
        <v>2506</v>
      </c>
      <c r="X421" s="364" t="s">
        <v>2626</v>
      </c>
      <c r="Y421" s="364" t="s">
        <v>2419</v>
      </c>
      <c r="Z421" s="364" t="s">
        <v>2337</v>
      </c>
      <c r="AA421" s="364" t="s">
        <v>2388</v>
      </c>
      <c r="AB421" s="364" t="s">
        <v>2339</v>
      </c>
      <c r="AC421" s="364" t="s">
        <v>2389</v>
      </c>
      <c r="AD421" s="364" t="s">
        <v>2340</v>
      </c>
      <c r="AE421" s="364" t="s">
        <v>2341</v>
      </c>
      <c r="AF421" s="364" t="s">
        <v>2393</v>
      </c>
      <c r="AG421" s="364" t="s">
        <v>2344</v>
      </c>
      <c r="AH421" s="364" t="s">
        <v>2346</v>
      </c>
      <c r="AI421" s="364" t="s">
        <v>2500</v>
      </c>
      <c r="AJ421" s="364" t="s">
        <v>2347</v>
      </c>
      <c r="AK421" s="364" t="s">
        <v>2511</v>
      </c>
      <c r="AL421" s="364" t="s">
        <v>2424</v>
      </c>
      <c r="AM421" s="364" t="s">
        <v>2348</v>
      </c>
      <c r="AN421" s="364" t="s">
        <v>2349</v>
      </c>
      <c r="AO421" s="364" t="s">
        <v>2428</v>
      </c>
      <c r="AP421" s="364"/>
      <c r="AQ421" s="364"/>
      <c r="AR421" s="364"/>
      <c r="AS421" s="364"/>
      <c r="AT421" s="364"/>
      <c r="AU421" s="364"/>
      <c r="AV421" s="364"/>
      <c r="AW421" s="364"/>
      <c r="AX421" s="364"/>
      <c r="AY421" s="364"/>
      <c r="AZ421" s="364"/>
      <c r="BA421" s="364"/>
      <c r="BB421" s="364"/>
      <c r="BC421" s="364"/>
      <c r="BD421" s="364"/>
      <c r="BE421" s="364"/>
      <c r="BF421" s="364"/>
      <c r="BG421" s="364"/>
      <c r="BH421" s="364"/>
      <c r="BI421" s="364"/>
      <c r="BJ421" s="364"/>
      <c r="BK421" s="364"/>
      <c r="BL421" s="364"/>
      <c r="BM421" s="364"/>
      <c r="BN421" s="364"/>
      <c r="BO421" s="364"/>
      <c r="BP421" s="364"/>
      <c r="BQ421" s="364"/>
      <c r="BR421" s="364"/>
      <c r="BS421" s="364"/>
      <c r="BT421" s="364"/>
      <c r="BU421" s="364"/>
      <c r="BV421" s="364"/>
      <c r="BW421" s="364"/>
      <c r="BX421" s="364"/>
      <c r="BY421" s="364"/>
      <c r="BZ421" s="364"/>
      <c r="CA421" s="364"/>
      <c r="CB421" s="364"/>
      <c r="CC421" s="364"/>
      <c r="CD421" s="364"/>
      <c r="CE421" s="364"/>
      <c r="CF421" s="364"/>
      <c r="CG421" s="364"/>
      <c r="CH421" s="364"/>
      <c r="CI421" s="364"/>
      <c r="CJ421" s="364"/>
      <c r="CK421" s="364"/>
      <c r="CL421" s="364"/>
      <c r="CM421" s="364"/>
      <c r="CN421" s="364"/>
      <c r="CO421" s="364"/>
      <c r="CP421" s="364"/>
      <c r="CQ421" s="364"/>
      <c r="CR421" s="364"/>
      <c r="CS421" s="364"/>
      <c r="CT421" s="364"/>
      <c r="CU421" s="364"/>
      <c r="CV421" s="364"/>
      <c r="CW421" s="364"/>
      <c r="CX421" s="364"/>
      <c r="CY421" s="364"/>
      <c r="CZ421" s="364"/>
      <c r="DA421" s="364"/>
      <c r="DB421" s="364"/>
      <c r="DC421" s="364"/>
      <c r="DD421" s="364"/>
      <c r="DE421" s="364"/>
      <c r="DF421" s="364"/>
      <c r="DG421" s="364"/>
      <c r="DH421" s="364"/>
      <c r="DI421" s="364"/>
      <c r="DJ421" s="364"/>
      <c r="DK421" s="364"/>
      <c r="DL421" s="364"/>
      <c r="DM421" s="364"/>
      <c r="DN421" s="364"/>
      <c r="DO421" s="364"/>
      <c r="DP421" s="364"/>
      <c r="DQ421" s="364"/>
      <c r="DR421" s="364"/>
      <c r="DS421" s="364"/>
      <c r="DT421" s="364"/>
      <c r="DU421" s="364"/>
      <c r="DV421" s="364"/>
      <c r="DW421" s="364"/>
      <c r="DX421" s="364"/>
      <c r="DY421" s="364"/>
      <c r="DZ421" s="364"/>
      <c r="EA421" s="364"/>
      <c r="EB421" s="364"/>
      <c r="EC421" s="364"/>
      <c r="ED421" s="364"/>
      <c r="EE421" s="364"/>
      <c r="EF421" s="364"/>
      <c r="EG421" s="364"/>
      <c r="EH421" s="364"/>
      <c r="EI421" s="364"/>
      <c r="EJ421" s="364"/>
      <c r="EK421" s="364"/>
      <c r="EL421" s="364"/>
      <c r="EM421" s="364"/>
      <c r="EN421" s="364"/>
      <c r="EO421" s="364"/>
      <c r="EP421" s="364"/>
      <c r="EQ421" s="364"/>
      <c r="ER421" s="364"/>
      <c r="ES421" s="364"/>
      <c r="ET421" s="364"/>
      <c r="EU421" s="364"/>
      <c r="EV421" s="364"/>
      <c r="EW421" s="364"/>
      <c r="EX421" s="364"/>
      <c r="EY421" s="364"/>
      <c r="EZ421" s="364"/>
      <c r="FA421" s="364"/>
      <c r="FB421" s="364"/>
      <c r="FC421" s="364"/>
      <c r="FD421" s="364"/>
      <c r="FE421" s="364"/>
      <c r="FF421" s="364"/>
      <c r="FG421" s="364"/>
      <c r="FH421" s="364"/>
      <c r="FI421" s="364"/>
      <c r="FJ421" s="364"/>
      <c r="FK421" s="364"/>
    </row>
    <row r="422" customFormat="false" ht="15.75" hidden="false" customHeight="false" outlineLevel="0" collapsed="false">
      <c r="A422" s="364" t="n">
        <v>830</v>
      </c>
      <c r="B422" s="364" t="n">
        <f aca="false">COUNTA(D422:FK422)</f>
        <v>49</v>
      </c>
      <c r="C422" s="364" t="s">
        <v>2034</v>
      </c>
      <c r="D422" s="364" t="s">
        <v>2527</v>
      </c>
      <c r="E422" s="364" t="s">
        <v>2431</v>
      </c>
      <c r="F422" s="364" t="s">
        <v>2352</v>
      </c>
      <c r="G422" s="364" t="s">
        <v>2353</v>
      </c>
      <c r="H422" s="364" t="s">
        <v>2354</v>
      </c>
      <c r="I422" s="364" t="s">
        <v>2404</v>
      </c>
      <c r="J422" s="364" t="s">
        <v>2657</v>
      </c>
      <c r="K422" s="364" t="s">
        <v>2356</v>
      </c>
      <c r="L422" s="364" t="s">
        <v>2315</v>
      </c>
      <c r="M422" s="364" t="s">
        <v>2409</v>
      </c>
      <c r="N422" s="364" t="s">
        <v>2601</v>
      </c>
      <c r="O422" s="364" t="s">
        <v>2360</v>
      </c>
      <c r="P422" s="364" t="s">
        <v>2361</v>
      </c>
      <c r="Q422" s="364" t="s">
        <v>2435</v>
      </c>
      <c r="R422" s="364" t="s">
        <v>2318</v>
      </c>
      <c r="S422" s="364" t="s">
        <v>2320</v>
      </c>
      <c r="T422" s="364" t="s">
        <v>2373</v>
      </c>
      <c r="U422" s="364" t="s">
        <v>2375</v>
      </c>
      <c r="V422" s="364" t="s">
        <v>2376</v>
      </c>
      <c r="W422" s="364" t="s">
        <v>2324</v>
      </c>
      <c r="X422" s="364" t="s">
        <v>2437</v>
      </c>
      <c r="Y422" s="364" t="s">
        <v>2378</v>
      </c>
      <c r="Z422" s="364" t="s">
        <v>2328</v>
      </c>
      <c r="AA422" s="364" t="s">
        <v>2459</v>
      </c>
      <c r="AB422" s="364" t="s">
        <v>2329</v>
      </c>
      <c r="AC422" s="364" t="s">
        <v>2521</v>
      </c>
      <c r="AD422" s="364" t="s">
        <v>2381</v>
      </c>
      <c r="AE422" s="364" t="s">
        <v>2507</v>
      </c>
      <c r="AF422" s="364" t="s">
        <v>2332</v>
      </c>
      <c r="AG422" s="364" t="s">
        <v>157</v>
      </c>
      <c r="AH422" s="364" t="s">
        <v>2441</v>
      </c>
      <c r="AI422" s="364" t="s">
        <v>2337</v>
      </c>
      <c r="AJ422" s="364" t="s">
        <v>2340</v>
      </c>
      <c r="AK422" s="364" t="s">
        <v>2341</v>
      </c>
      <c r="AL422" s="364" t="s">
        <v>2442</v>
      </c>
      <c r="AM422" s="364" t="s">
        <v>2392</v>
      </c>
      <c r="AN422" s="364" t="s">
        <v>2462</v>
      </c>
      <c r="AO422" s="364" t="s">
        <v>2344</v>
      </c>
      <c r="AP422" s="364" t="s">
        <v>2345</v>
      </c>
      <c r="AQ422" s="364" t="s">
        <v>2396</v>
      </c>
      <c r="AR422" s="364" t="s">
        <v>2474</v>
      </c>
      <c r="AS422" s="364" t="s">
        <v>2348</v>
      </c>
      <c r="AT422" s="364" t="s">
        <v>2445</v>
      </c>
      <c r="AU422" s="364" t="s">
        <v>2463</v>
      </c>
      <c r="AV422" s="364" t="s">
        <v>2446</v>
      </c>
      <c r="AW422" s="364" t="s">
        <v>2428</v>
      </c>
      <c r="AX422" s="364" t="s">
        <v>2477</v>
      </c>
      <c r="AY422" s="364" t="s">
        <v>2401</v>
      </c>
      <c r="AZ422" s="364" t="s">
        <v>2458</v>
      </c>
      <c r="BA422" s="364"/>
      <c r="BB422" s="364"/>
      <c r="BC422" s="364"/>
      <c r="BD422" s="364"/>
      <c r="BE422" s="364"/>
      <c r="BF422" s="364"/>
      <c r="BG422" s="364"/>
      <c r="BH422" s="364"/>
      <c r="BI422" s="364"/>
      <c r="BJ422" s="364"/>
      <c r="BK422" s="364"/>
      <c r="BL422" s="364"/>
      <c r="BM422" s="364"/>
      <c r="BN422" s="364"/>
      <c r="BO422" s="364"/>
      <c r="BP422" s="364"/>
      <c r="BQ422" s="364"/>
      <c r="BR422" s="364"/>
      <c r="BS422" s="364"/>
      <c r="BT422" s="364"/>
      <c r="BU422" s="364"/>
      <c r="BV422" s="364"/>
      <c r="BW422" s="364"/>
      <c r="BX422" s="364"/>
      <c r="BY422" s="364"/>
      <c r="BZ422" s="364"/>
      <c r="CA422" s="364"/>
      <c r="CB422" s="364"/>
      <c r="CC422" s="364"/>
      <c r="CD422" s="364"/>
      <c r="CE422" s="364"/>
      <c r="CF422" s="364"/>
      <c r="CG422" s="364"/>
      <c r="CH422" s="364"/>
      <c r="CI422" s="364"/>
      <c r="CJ422" s="364"/>
      <c r="CK422" s="364"/>
      <c r="CL422" s="364"/>
      <c r="CM422" s="364"/>
      <c r="CN422" s="364"/>
      <c r="CO422" s="364"/>
      <c r="CP422" s="364"/>
      <c r="CQ422" s="364"/>
      <c r="CR422" s="364"/>
      <c r="CS422" s="364"/>
      <c r="CT422" s="364"/>
      <c r="CU422" s="364"/>
      <c r="CV422" s="364"/>
      <c r="CW422" s="364"/>
      <c r="CX422" s="364"/>
      <c r="CY422" s="364"/>
      <c r="CZ422" s="364"/>
      <c r="DA422" s="364"/>
      <c r="DB422" s="364"/>
      <c r="DC422" s="364"/>
      <c r="DD422" s="364"/>
      <c r="DE422" s="364"/>
      <c r="DF422" s="364"/>
      <c r="DG422" s="364"/>
      <c r="DH422" s="364"/>
      <c r="DI422" s="364"/>
      <c r="DJ422" s="364"/>
      <c r="DK422" s="364"/>
      <c r="DL422" s="364"/>
      <c r="DM422" s="364"/>
      <c r="DN422" s="364"/>
      <c r="DO422" s="364"/>
      <c r="DP422" s="364"/>
      <c r="DQ422" s="364"/>
      <c r="DR422" s="364"/>
      <c r="DS422" s="364"/>
      <c r="DT422" s="364"/>
      <c r="DU422" s="364"/>
      <c r="DV422" s="364"/>
      <c r="DW422" s="364"/>
      <c r="DX422" s="364"/>
      <c r="DY422" s="364"/>
      <c r="DZ422" s="364"/>
      <c r="EA422" s="364"/>
      <c r="EB422" s="364"/>
      <c r="EC422" s="364"/>
      <c r="ED422" s="364"/>
      <c r="EE422" s="364"/>
      <c r="EF422" s="364"/>
      <c r="EG422" s="364"/>
      <c r="EH422" s="364"/>
      <c r="EI422" s="364"/>
      <c r="EJ422" s="364"/>
      <c r="EK422" s="364"/>
      <c r="EL422" s="364"/>
      <c r="EM422" s="364"/>
      <c r="EN422" s="364"/>
      <c r="EO422" s="364"/>
      <c r="EP422" s="364"/>
      <c r="EQ422" s="364"/>
      <c r="ER422" s="364"/>
      <c r="ES422" s="364"/>
      <c r="ET422" s="364"/>
      <c r="EU422" s="364"/>
      <c r="EV422" s="364"/>
      <c r="EW422" s="364"/>
      <c r="EX422" s="364"/>
      <c r="EY422" s="364"/>
      <c r="EZ422" s="364"/>
      <c r="FA422" s="364"/>
      <c r="FB422" s="364"/>
      <c r="FC422" s="364"/>
      <c r="FD422" s="364"/>
      <c r="FE422" s="364"/>
      <c r="FF422" s="364"/>
      <c r="FG422" s="364"/>
      <c r="FH422" s="364"/>
      <c r="FI422" s="364"/>
      <c r="FJ422" s="364"/>
      <c r="FK422" s="364"/>
    </row>
    <row r="423" customFormat="false" ht="15.75" hidden="false" customHeight="false" outlineLevel="0" collapsed="false">
      <c r="A423" s="364" t="n">
        <v>831</v>
      </c>
      <c r="B423" s="364" t="n">
        <f aca="false">COUNTA(D423:FK423)</f>
        <v>30</v>
      </c>
      <c r="C423" s="364" t="s">
        <v>2036</v>
      </c>
      <c r="D423" s="364" t="s">
        <v>2581</v>
      </c>
      <c r="E423" s="364" t="s">
        <v>2541</v>
      </c>
      <c r="F423" s="364" t="s">
        <v>2315</v>
      </c>
      <c r="G423" s="364" t="s">
        <v>2517</v>
      </c>
      <c r="H423" s="364" t="s">
        <v>2318</v>
      </c>
      <c r="I423" s="364" t="s">
        <v>2448</v>
      </c>
      <c r="J423" s="364" t="s">
        <v>2320</v>
      </c>
      <c r="K423" s="364" t="s">
        <v>2411</v>
      </c>
      <c r="L423" s="364" t="s">
        <v>2376</v>
      </c>
      <c r="M423" s="364" t="s">
        <v>2324</v>
      </c>
      <c r="N423" s="364" t="s">
        <v>2325</v>
      </c>
      <c r="O423" s="364" t="s">
        <v>2328</v>
      </c>
      <c r="P423" s="364" t="s">
        <v>2695</v>
      </c>
      <c r="Q423" s="364" t="s">
        <v>2329</v>
      </c>
      <c r="R423" s="364" t="s">
        <v>2521</v>
      </c>
      <c r="S423" s="364" t="s">
        <v>2513</v>
      </c>
      <c r="T423" s="364" t="s">
        <v>2638</v>
      </c>
      <c r="U423" s="364" t="s">
        <v>2531</v>
      </c>
      <c r="V423" s="364" t="s">
        <v>2332</v>
      </c>
      <c r="W423" s="364" t="s">
        <v>157</v>
      </c>
      <c r="X423" s="364" t="s">
        <v>2495</v>
      </c>
      <c r="Y423" s="364" t="s">
        <v>2337</v>
      </c>
      <c r="Z423" s="364" t="s">
        <v>2388</v>
      </c>
      <c r="AA423" s="364" t="s">
        <v>2340</v>
      </c>
      <c r="AB423" s="364" t="s">
        <v>2341</v>
      </c>
      <c r="AC423" s="364" t="s">
        <v>2344</v>
      </c>
      <c r="AD423" s="364" t="s">
        <v>2349</v>
      </c>
      <c r="AE423" s="364" t="s">
        <v>2475</v>
      </c>
      <c r="AF423" s="364" t="s">
        <v>2476</v>
      </c>
      <c r="AG423" s="364" t="s">
        <v>2430</v>
      </c>
      <c r="AH423" s="364"/>
      <c r="AI423" s="364"/>
      <c r="AJ423" s="364"/>
      <c r="AK423" s="364"/>
      <c r="AL423" s="364"/>
      <c r="AM423" s="364"/>
      <c r="AN423" s="364"/>
      <c r="AO423" s="364"/>
      <c r="AP423" s="364"/>
      <c r="AQ423" s="364"/>
      <c r="AR423" s="364"/>
      <c r="AS423" s="364"/>
      <c r="AT423" s="364"/>
      <c r="AU423" s="364"/>
      <c r="AV423" s="364"/>
      <c r="AW423" s="364"/>
      <c r="AX423" s="364"/>
      <c r="AY423" s="364"/>
      <c r="AZ423" s="364"/>
      <c r="BA423" s="364"/>
      <c r="BB423" s="364"/>
      <c r="BC423" s="364"/>
      <c r="BD423" s="364"/>
      <c r="BE423" s="364"/>
      <c r="BF423" s="364"/>
      <c r="BG423" s="364"/>
      <c r="BH423" s="364"/>
      <c r="BI423" s="364"/>
      <c r="BJ423" s="364"/>
      <c r="BK423" s="364"/>
      <c r="BL423" s="364"/>
      <c r="BM423" s="364"/>
      <c r="BN423" s="364"/>
      <c r="BO423" s="364"/>
      <c r="BP423" s="364"/>
      <c r="BQ423" s="364"/>
      <c r="BR423" s="364"/>
      <c r="BS423" s="364"/>
      <c r="BT423" s="364"/>
      <c r="BU423" s="364"/>
      <c r="BV423" s="364"/>
      <c r="BW423" s="364"/>
      <c r="BX423" s="364"/>
      <c r="BY423" s="364"/>
      <c r="BZ423" s="364"/>
      <c r="CA423" s="364"/>
      <c r="CB423" s="364"/>
      <c r="CC423" s="364"/>
      <c r="CD423" s="364"/>
      <c r="CE423" s="364"/>
      <c r="CF423" s="364"/>
      <c r="CG423" s="364"/>
      <c r="CH423" s="364"/>
      <c r="CI423" s="364"/>
      <c r="CJ423" s="364"/>
      <c r="CK423" s="364"/>
      <c r="CL423" s="364"/>
      <c r="CM423" s="364"/>
      <c r="CN423" s="364"/>
      <c r="CO423" s="364"/>
      <c r="CP423" s="364"/>
      <c r="CQ423" s="364"/>
      <c r="CR423" s="364"/>
      <c r="CS423" s="364"/>
      <c r="CT423" s="364"/>
      <c r="CU423" s="364"/>
      <c r="CV423" s="364"/>
      <c r="CW423" s="364"/>
      <c r="CX423" s="364"/>
      <c r="CY423" s="364"/>
      <c r="CZ423" s="364"/>
      <c r="DA423" s="364"/>
      <c r="DB423" s="364"/>
      <c r="DC423" s="364"/>
      <c r="DD423" s="364"/>
      <c r="DE423" s="364"/>
      <c r="DF423" s="364"/>
      <c r="DG423" s="364"/>
      <c r="DH423" s="364"/>
      <c r="DI423" s="364"/>
      <c r="DJ423" s="364"/>
      <c r="DK423" s="364"/>
      <c r="DL423" s="364"/>
      <c r="DM423" s="364"/>
      <c r="DN423" s="364"/>
      <c r="DO423" s="364"/>
      <c r="DP423" s="364"/>
      <c r="DQ423" s="364"/>
      <c r="DR423" s="364"/>
      <c r="DS423" s="364"/>
      <c r="DT423" s="364"/>
      <c r="DU423" s="364"/>
      <c r="DV423" s="364"/>
      <c r="DW423" s="364"/>
      <c r="DX423" s="364"/>
      <c r="DY423" s="364"/>
      <c r="DZ423" s="364"/>
      <c r="EA423" s="364"/>
      <c r="EB423" s="364"/>
      <c r="EC423" s="364"/>
      <c r="ED423" s="364"/>
      <c r="EE423" s="364"/>
      <c r="EF423" s="364"/>
      <c r="EG423" s="364"/>
      <c r="EH423" s="364"/>
      <c r="EI423" s="364"/>
      <c r="EJ423" s="364"/>
      <c r="EK423" s="364"/>
      <c r="EL423" s="364"/>
      <c r="EM423" s="364"/>
      <c r="EN423" s="364"/>
      <c r="EO423" s="364"/>
      <c r="EP423" s="364"/>
      <c r="EQ423" s="364"/>
      <c r="ER423" s="364"/>
      <c r="ES423" s="364"/>
      <c r="ET423" s="364"/>
      <c r="EU423" s="364"/>
      <c r="EV423" s="364"/>
      <c r="EW423" s="364"/>
      <c r="EX423" s="364"/>
      <c r="EY423" s="364"/>
      <c r="EZ423" s="364"/>
      <c r="FA423" s="364"/>
      <c r="FB423" s="364"/>
      <c r="FC423" s="364"/>
      <c r="FD423" s="364"/>
      <c r="FE423" s="364"/>
      <c r="FF423" s="364"/>
      <c r="FG423" s="364"/>
      <c r="FH423" s="364"/>
      <c r="FI423" s="364"/>
      <c r="FJ423" s="364"/>
      <c r="FK423" s="364"/>
    </row>
    <row r="424" customFormat="false" ht="15.75" hidden="false" customHeight="false" outlineLevel="0" collapsed="false">
      <c r="A424" s="364" t="n">
        <v>832</v>
      </c>
      <c r="B424" s="364" t="n">
        <f aca="false">COUNTA(D424:FK424)</f>
        <v>38</v>
      </c>
      <c r="C424" s="364" t="s">
        <v>2038</v>
      </c>
      <c r="D424" s="364" t="s">
        <v>2431</v>
      </c>
      <c r="E424" s="364" t="s">
        <v>2352</v>
      </c>
      <c r="F424" s="364" t="s">
        <v>2354</v>
      </c>
      <c r="G424" s="364" t="s">
        <v>2315</v>
      </c>
      <c r="H424" s="364" t="s">
        <v>2409</v>
      </c>
      <c r="I424" s="364" t="s">
        <v>2360</v>
      </c>
      <c r="J424" s="364" t="s">
        <v>2634</v>
      </c>
      <c r="K424" s="364" t="s">
        <v>2435</v>
      </c>
      <c r="L424" s="364" t="s">
        <v>2320</v>
      </c>
      <c r="M424" s="364" t="s">
        <v>2375</v>
      </c>
      <c r="N424" s="364" t="s">
        <v>2376</v>
      </c>
      <c r="O424" s="364" t="s">
        <v>2523</v>
      </c>
      <c r="P424" s="364" t="s">
        <v>2324</v>
      </c>
      <c r="Q424" s="364" t="s">
        <v>2378</v>
      </c>
      <c r="R424" s="364" t="s">
        <v>2328</v>
      </c>
      <c r="S424" s="364" t="s">
        <v>2459</v>
      </c>
      <c r="T424" s="364" t="s">
        <v>2329</v>
      </c>
      <c r="U424" s="364" t="s">
        <v>2521</v>
      </c>
      <c r="V424" s="364" t="s">
        <v>2330</v>
      </c>
      <c r="W424" s="364" t="s">
        <v>2713</v>
      </c>
      <c r="X424" s="364" t="s">
        <v>2656</v>
      </c>
      <c r="Y424" s="364" t="s">
        <v>157</v>
      </c>
      <c r="Z424" s="364" t="s">
        <v>2441</v>
      </c>
      <c r="AA424" s="364" t="s">
        <v>2337</v>
      </c>
      <c r="AB424" s="364" t="s">
        <v>2388</v>
      </c>
      <c r="AC424" s="364" t="s">
        <v>2340</v>
      </c>
      <c r="AD424" s="364" t="s">
        <v>2341</v>
      </c>
      <c r="AE424" s="364" t="s">
        <v>2442</v>
      </c>
      <c r="AF424" s="364" t="s">
        <v>2392</v>
      </c>
      <c r="AG424" s="364" t="s">
        <v>2462</v>
      </c>
      <c r="AH424" s="364" t="s">
        <v>2394</v>
      </c>
      <c r="AI424" s="364" t="s">
        <v>2472</v>
      </c>
      <c r="AJ424" s="364" t="s">
        <v>2344</v>
      </c>
      <c r="AK424" s="364" t="s">
        <v>2396</v>
      </c>
      <c r="AL424" s="364" t="s">
        <v>2473</v>
      </c>
      <c r="AM424" s="364" t="s">
        <v>2445</v>
      </c>
      <c r="AN424" s="364" t="s">
        <v>2446</v>
      </c>
      <c r="AO424" s="364" t="s">
        <v>2430</v>
      </c>
      <c r="AP424" s="364"/>
      <c r="AQ424" s="364"/>
      <c r="AR424" s="364"/>
      <c r="AS424" s="364"/>
      <c r="AT424" s="364"/>
      <c r="AU424" s="364"/>
      <c r="AV424" s="364"/>
      <c r="AW424" s="364"/>
      <c r="AX424" s="364"/>
      <c r="AY424" s="364"/>
      <c r="AZ424" s="364"/>
      <c r="BA424" s="364"/>
      <c r="BB424" s="364"/>
      <c r="BC424" s="364"/>
      <c r="BD424" s="364"/>
      <c r="BE424" s="364"/>
      <c r="BF424" s="364"/>
      <c r="BG424" s="364"/>
      <c r="BH424" s="364"/>
      <c r="BI424" s="364"/>
      <c r="BJ424" s="364"/>
      <c r="BK424" s="364"/>
      <c r="BL424" s="364"/>
      <c r="BM424" s="364"/>
      <c r="BN424" s="364"/>
      <c r="BO424" s="364"/>
      <c r="BP424" s="364"/>
      <c r="BQ424" s="364"/>
      <c r="BR424" s="364"/>
      <c r="BS424" s="364"/>
      <c r="BT424" s="364"/>
      <c r="BU424" s="364"/>
      <c r="BV424" s="364"/>
      <c r="BW424" s="364"/>
      <c r="BX424" s="364"/>
      <c r="BY424" s="364"/>
      <c r="BZ424" s="364"/>
      <c r="CA424" s="364"/>
      <c r="CB424" s="364"/>
      <c r="CC424" s="364"/>
      <c r="CD424" s="364"/>
      <c r="CE424" s="364"/>
      <c r="CF424" s="364"/>
      <c r="CG424" s="364"/>
      <c r="CH424" s="364"/>
      <c r="CI424" s="364"/>
      <c r="CJ424" s="364"/>
      <c r="CK424" s="364"/>
      <c r="CL424" s="364"/>
      <c r="CM424" s="364"/>
      <c r="CN424" s="364"/>
      <c r="CO424" s="364"/>
      <c r="CP424" s="364"/>
      <c r="CQ424" s="364"/>
      <c r="CR424" s="364"/>
      <c r="CS424" s="364"/>
      <c r="CT424" s="364"/>
      <c r="CU424" s="364"/>
      <c r="CV424" s="364"/>
      <c r="CW424" s="364"/>
      <c r="CX424" s="364"/>
      <c r="CY424" s="364"/>
      <c r="CZ424" s="364"/>
      <c r="DA424" s="364"/>
      <c r="DB424" s="364"/>
      <c r="DC424" s="364"/>
      <c r="DD424" s="364"/>
      <c r="DE424" s="364"/>
      <c r="DF424" s="364"/>
      <c r="DG424" s="364"/>
      <c r="DH424" s="364"/>
      <c r="DI424" s="364"/>
      <c r="DJ424" s="364"/>
      <c r="DK424" s="364"/>
      <c r="DL424" s="364"/>
      <c r="DM424" s="364"/>
      <c r="DN424" s="364"/>
      <c r="DO424" s="364"/>
      <c r="DP424" s="364"/>
      <c r="DQ424" s="364"/>
      <c r="DR424" s="364"/>
      <c r="DS424" s="364"/>
      <c r="DT424" s="364"/>
      <c r="DU424" s="364"/>
      <c r="DV424" s="364"/>
      <c r="DW424" s="364"/>
      <c r="DX424" s="364"/>
      <c r="DY424" s="364"/>
      <c r="DZ424" s="364"/>
      <c r="EA424" s="364"/>
      <c r="EB424" s="364"/>
      <c r="EC424" s="364"/>
      <c r="ED424" s="364"/>
      <c r="EE424" s="364"/>
      <c r="EF424" s="364"/>
      <c r="EG424" s="364"/>
      <c r="EH424" s="364"/>
      <c r="EI424" s="364"/>
      <c r="EJ424" s="364"/>
      <c r="EK424" s="364"/>
      <c r="EL424" s="364"/>
      <c r="EM424" s="364"/>
      <c r="EN424" s="364"/>
      <c r="EO424" s="364"/>
      <c r="EP424" s="364"/>
      <c r="EQ424" s="364"/>
      <c r="ER424" s="364"/>
      <c r="ES424" s="364"/>
      <c r="ET424" s="364"/>
      <c r="EU424" s="364"/>
      <c r="EV424" s="364"/>
      <c r="EW424" s="364"/>
      <c r="EX424" s="364"/>
      <c r="EY424" s="364"/>
      <c r="EZ424" s="364"/>
      <c r="FA424" s="364"/>
      <c r="FB424" s="364"/>
      <c r="FC424" s="364"/>
      <c r="FD424" s="364"/>
      <c r="FE424" s="364"/>
      <c r="FF424" s="364"/>
      <c r="FG424" s="364"/>
      <c r="FH424" s="364"/>
      <c r="FI424" s="364"/>
      <c r="FJ424" s="364"/>
      <c r="FK424" s="364"/>
    </row>
    <row r="425" customFormat="false" ht="15.75" hidden="false" customHeight="false" outlineLevel="0" collapsed="false">
      <c r="A425" s="364" t="n">
        <v>833</v>
      </c>
      <c r="B425" s="364" t="n">
        <f aca="false">COUNTA(D425:FK425)</f>
        <v>38</v>
      </c>
      <c r="C425" s="364" t="s">
        <v>2041</v>
      </c>
      <c r="D425" s="364" t="s">
        <v>2311</v>
      </c>
      <c r="E425" s="364" t="s">
        <v>2404</v>
      </c>
      <c r="F425" s="364" t="s">
        <v>2356</v>
      </c>
      <c r="G425" s="364" t="s">
        <v>2313</v>
      </c>
      <c r="H425" s="364" t="s">
        <v>2714</v>
      </c>
      <c r="I425" s="364" t="s">
        <v>2466</v>
      </c>
      <c r="J425" s="364" t="s">
        <v>2358</v>
      </c>
      <c r="K425" s="364" t="s">
        <v>2601</v>
      </c>
      <c r="L425" s="364" t="s">
        <v>2359</v>
      </c>
      <c r="M425" s="364" t="s">
        <v>2361</v>
      </c>
      <c r="N425" s="364" t="s">
        <v>2363</v>
      </c>
      <c r="O425" s="364" t="s">
        <v>2497</v>
      </c>
      <c r="P425" s="364" t="s">
        <v>2317</v>
      </c>
      <c r="Q425" s="364" t="s">
        <v>2547</v>
      </c>
      <c r="R425" s="364" t="s">
        <v>2320</v>
      </c>
      <c r="S425" s="364" t="s">
        <v>2376</v>
      </c>
      <c r="T425" s="364" t="s">
        <v>2324</v>
      </c>
      <c r="U425" s="364" t="s">
        <v>2325</v>
      </c>
      <c r="V425" s="364" t="s">
        <v>2328</v>
      </c>
      <c r="W425" s="364" t="s">
        <v>2329</v>
      </c>
      <c r="X425" s="364" t="s">
        <v>2521</v>
      </c>
      <c r="Y425" s="364" t="s">
        <v>2381</v>
      </c>
      <c r="Z425" s="364" t="s">
        <v>2332</v>
      </c>
      <c r="AA425" s="364" t="s">
        <v>2337</v>
      </c>
      <c r="AB425" s="364" t="s">
        <v>2388</v>
      </c>
      <c r="AC425" s="364" t="s">
        <v>2339</v>
      </c>
      <c r="AD425" s="364" t="s">
        <v>2340</v>
      </c>
      <c r="AE425" s="364" t="s">
        <v>2341</v>
      </c>
      <c r="AF425" s="364" t="s">
        <v>2470</v>
      </c>
      <c r="AG425" s="364" t="s">
        <v>2471</v>
      </c>
      <c r="AH425" s="364" t="s">
        <v>2344</v>
      </c>
      <c r="AI425" s="364" t="s">
        <v>2346</v>
      </c>
      <c r="AJ425" s="364" t="s">
        <v>2500</v>
      </c>
      <c r="AK425" s="364" t="s">
        <v>2347</v>
      </c>
      <c r="AL425" s="364" t="s">
        <v>2511</v>
      </c>
      <c r="AM425" s="364" t="s">
        <v>2715</v>
      </c>
      <c r="AN425" s="364" t="s">
        <v>2716</v>
      </c>
      <c r="AO425" s="364" t="s">
        <v>2430</v>
      </c>
      <c r="AP425" s="364"/>
      <c r="AQ425" s="364"/>
      <c r="AR425" s="364"/>
      <c r="AS425" s="364"/>
      <c r="AT425" s="364"/>
      <c r="AU425" s="364"/>
      <c r="AV425" s="364"/>
      <c r="AW425" s="364"/>
      <c r="AX425" s="364"/>
      <c r="AY425" s="364"/>
      <c r="AZ425" s="364"/>
      <c r="BA425" s="364"/>
      <c r="BB425" s="364"/>
      <c r="BC425" s="364"/>
      <c r="BD425" s="364"/>
      <c r="BE425" s="364"/>
      <c r="BF425" s="364"/>
      <c r="BG425" s="364"/>
      <c r="BH425" s="364"/>
      <c r="BI425" s="364"/>
      <c r="BJ425" s="364"/>
      <c r="BK425" s="364"/>
      <c r="BL425" s="364"/>
      <c r="BM425" s="364"/>
      <c r="BN425" s="364"/>
      <c r="BO425" s="364"/>
      <c r="BP425" s="364"/>
      <c r="BQ425" s="364"/>
      <c r="BR425" s="364"/>
      <c r="BS425" s="364"/>
      <c r="BT425" s="364"/>
      <c r="BU425" s="364"/>
      <c r="BV425" s="364"/>
      <c r="BW425" s="364"/>
      <c r="BX425" s="364"/>
      <c r="BY425" s="364"/>
      <c r="BZ425" s="364"/>
      <c r="CA425" s="364"/>
      <c r="CB425" s="364"/>
      <c r="CC425" s="364"/>
      <c r="CD425" s="364"/>
      <c r="CE425" s="364"/>
      <c r="CF425" s="364"/>
      <c r="CG425" s="364"/>
      <c r="CH425" s="364"/>
      <c r="CI425" s="364"/>
      <c r="CJ425" s="364"/>
      <c r="CK425" s="364"/>
      <c r="CL425" s="364"/>
      <c r="CM425" s="364"/>
      <c r="CN425" s="364"/>
      <c r="CO425" s="364"/>
      <c r="CP425" s="364"/>
      <c r="CQ425" s="364"/>
      <c r="CR425" s="364"/>
      <c r="CS425" s="364"/>
      <c r="CT425" s="364"/>
      <c r="CU425" s="364"/>
      <c r="CV425" s="364"/>
      <c r="CW425" s="364"/>
      <c r="CX425" s="364"/>
      <c r="CY425" s="364"/>
      <c r="CZ425" s="364"/>
      <c r="DA425" s="364"/>
      <c r="DB425" s="364"/>
      <c r="DC425" s="364"/>
      <c r="DD425" s="364"/>
      <c r="DE425" s="364"/>
      <c r="DF425" s="364"/>
      <c r="DG425" s="364"/>
      <c r="DH425" s="364"/>
      <c r="DI425" s="364"/>
      <c r="DJ425" s="364"/>
      <c r="DK425" s="364"/>
      <c r="DL425" s="364"/>
      <c r="DM425" s="364"/>
      <c r="DN425" s="364"/>
      <c r="DO425" s="364"/>
      <c r="DP425" s="364"/>
      <c r="DQ425" s="364"/>
      <c r="DR425" s="364"/>
      <c r="DS425" s="364"/>
      <c r="DT425" s="364"/>
      <c r="DU425" s="364"/>
      <c r="DV425" s="364"/>
      <c r="DW425" s="364"/>
      <c r="DX425" s="364"/>
      <c r="DY425" s="364"/>
      <c r="DZ425" s="364"/>
      <c r="EA425" s="364"/>
      <c r="EB425" s="364"/>
      <c r="EC425" s="364"/>
      <c r="ED425" s="364"/>
      <c r="EE425" s="364"/>
      <c r="EF425" s="364"/>
      <c r="EG425" s="364"/>
      <c r="EH425" s="364"/>
      <c r="EI425" s="364"/>
      <c r="EJ425" s="364"/>
      <c r="EK425" s="364"/>
      <c r="EL425" s="364"/>
      <c r="EM425" s="364"/>
      <c r="EN425" s="364"/>
      <c r="EO425" s="364"/>
      <c r="EP425" s="364"/>
      <c r="EQ425" s="364"/>
      <c r="ER425" s="364"/>
      <c r="ES425" s="364"/>
      <c r="ET425" s="364"/>
      <c r="EU425" s="364"/>
      <c r="EV425" s="364"/>
      <c r="EW425" s="364"/>
      <c r="EX425" s="364"/>
      <c r="EY425" s="364"/>
      <c r="EZ425" s="364"/>
      <c r="FA425" s="364"/>
      <c r="FB425" s="364"/>
      <c r="FC425" s="364"/>
      <c r="FD425" s="364"/>
      <c r="FE425" s="364"/>
      <c r="FF425" s="364"/>
      <c r="FG425" s="364"/>
      <c r="FH425" s="364"/>
      <c r="FI425" s="364"/>
      <c r="FJ425" s="364"/>
      <c r="FK425" s="364"/>
    </row>
    <row r="426" customFormat="false" ht="15.75" hidden="false" customHeight="false" outlineLevel="0" collapsed="false">
      <c r="A426" s="364" t="n">
        <v>836</v>
      </c>
      <c r="B426" s="364" t="n">
        <f aca="false">COUNTA(D426:FK426)</f>
        <v>27</v>
      </c>
      <c r="C426" s="364" t="s">
        <v>2050</v>
      </c>
      <c r="D426" s="364" t="s">
        <v>2561</v>
      </c>
      <c r="E426" s="364" t="s">
        <v>2465</v>
      </c>
      <c r="F426" s="364" t="s">
        <v>2517</v>
      </c>
      <c r="G426" s="364" t="s">
        <v>2717</v>
      </c>
      <c r="H426" s="364" t="s">
        <v>2497</v>
      </c>
      <c r="I426" s="364" t="s">
        <v>2448</v>
      </c>
      <c r="J426" s="364" t="s">
        <v>2562</v>
      </c>
      <c r="K426" s="364" t="s">
        <v>2320</v>
      </c>
      <c r="L426" s="364" t="s">
        <v>2324</v>
      </c>
      <c r="M426" s="364" t="s">
        <v>2412</v>
      </c>
      <c r="N426" s="364" t="s">
        <v>2328</v>
      </c>
      <c r="O426" s="364" t="s">
        <v>2329</v>
      </c>
      <c r="P426" s="364" t="s">
        <v>2468</v>
      </c>
      <c r="Q426" s="364" t="s">
        <v>2638</v>
      </c>
      <c r="R426" s="364" t="s">
        <v>2536</v>
      </c>
      <c r="S426" s="364" t="s">
        <v>157</v>
      </c>
      <c r="T426" s="364" t="s">
        <v>2495</v>
      </c>
      <c r="U426" s="364" t="s">
        <v>2337</v>
      </c>
      <c r="V426" s="364" t="s">
        <v>2388</v>
      </c>
      <c r="W426" s="364" t="s">
        <v>2565</v>
      </c>
      <c r="X426" s="364" t="s">
        <v>2389</v>
      </c>
      <c r="Y426" s="364" t="s">
        <v>2340</v>
      </c>
      <c r="Z426" s="364" t="s">
        <v>2341</v>
      </c>
      <c r="AA426" s="364" t="s">
        <v>2423</v>
      </c>
      <c r="AB426" s="364" t="s">
        <v>2344</v>
      </c>
      <c r="AC426" s="364" t="s">
        <v>2500</v>
      </c>
      <c r="AD426" s="364" t="s">
        <v>2348</v>
      </c>
      <c r="AE426" s="364"/>
      <c r="AF426" s="364"/>
      <c r="AG426" s="364"/>
      <c r="AH426" s="364"/>
      <c r="AI426" s="364"/>
      <c r="AJ426" s="364"/>
      <c r="AK426" s="364"/>
      <c r="AL426" s="364"/>
      <c r="AM426" s="364"/>
      <c r="AN426" s="364"/>
      <c r="AO426" s="364"/>
      <c r="AP426" s="364"/>
      <c r="AQ426" s="364"/>
      <c r="AR426" s="364"/>
      <c r="AS426" s="364"/>
      <c r="AT426" s="364"/>
      <c r="AU426" s="364"/>
      <c r="AV426" s="364"/>
      <c r="AW426" s="364"/>
      <c r="AX426" s="364"/>
      <c r="AY426" s="364"/>
      <c r="AZ426" s="364"/>
      <c r="BA426" s="364"/>
      <c r="BB426" s="364"/>
      <c r="BC426" s="364"/>
      <c r="BD426" s="364"/>
      <c r="BE426" s="364"/>
      <c r="BF426" s="364"/>
      <c r="BG426" s="364"/>
      <c r="BH426" s="364"/>
      <c r="BI426" s="364"/>
      <c r="BJ426" s="364"/>
      <c r="BK426" s="364"/>
      <c r="BL426" s="364"/>
      <c r="BM426" s="364"/>
      <c r="BN426" s="364"/>
      <c r="BO426" s="364"/>
      <c r="BP426" s="364"/>
      <c r="BQ426" s="364"/>
      <c r="BR426" s="364"/>
      <c r="BS426" s="364"/>
      <c r="BT426" s="364"/>
      <c r="BU426" s="364"/>
      <c r="BV426" s="364"/>
      <c r="BW426" s="364"/>
      <c r="BX426" s="364"/>
      <c r="BY426" s="364"/>
      <c r="BZ426" s="364"/>
      <c r="CA426" s="364"/>
      <c r="CB426" s="364"/>
      <c r="CC426" s="364"/>
      <c r="CD426" s="364"/>
      <c r="CE426" s="364"/>
      <c r="CF426" s="364"/>
      <c r="CG426" s="364"/>
      <c r="CH426" s="364"/>
      <c r="CI426" s="364"/>
      <c r="CJ426" s="364"/>
      <c r="CK426" s="364"/>
      <c r="CL426" s="364"/>
      <c r="CM426" s="364"/>
      <c r="CN426" s="364"/>
      <c r="CO426" s="364"/>
      <c r="CP426" s="364"/>
      <c r="CQ426" s="364"/>
      <c r="CR426" s="364"/>
      <c r="CS426" s="364"/>
      <c r="CT426" s="364"/>
      <c r="CU426" s="364"/>
      <c r="CV426" s="364"/>
      <c r="CW426" s="364"/>
      <c r="CX426" s="364"/>
      <c r="CY426" s="364"/>
      <c r="CZ426" s="364"/>
      <c r="DA426" s="364"/>
      <c r="DB426" s="364"/>
      <c r="DC426" s="364"/>
      <c r="DD426" s="364"/>
      <c r="DE426" s="364"/>
      <c r="DF426" s="364"/>
      <c r="DG426" s="364"/>
      <c r="DH426" s="364"/>
      <c r="DI426" s="364"/>
      <c r="DJ426" s="364"/>
      <c r="DK426" s="364"/>
      <c r="DL426" s="364"/>
      <c r="DM426" s="364"/>
      <c r="DN426" s="364"/>
      <c r="DO426" s="364"/>
      <c r="DP426" s="364"/>
      <c r="DQ426" s="364"/>
      <c r="DR426" s="364"/>
      <c r="DS426" s="364"/>
      <c r="DT426" s="364"/>
      <c r="DU426" s="364"/>
      <c r="DV426" s="364"/>
      <c r="DW426" s="364"/>
      <c r="DX426" s="364"/>
      <c r="DY426" s="364"/>
      <c r="DZ426" s="364"/>
      <c r="EA426" s="364"/>
      <c r="EB426" s="364"/>
      <c r="EC426" s="364"/>
      <c r="ED426" s="364"/>
      <c r="EE426" s="364"/>
      <c r="EF426" s="364"/>
      <c r="EG426" s="364"/>
      <c r="EH426" s="364"/>
      <c r="EI426" s="364"/>
      <c r="EJ426" s="364"/>
      <c r="EK426" s="364"/>
      <c r="EL426" s="364"/>
      <c r="EM426" s="364"/>
      <c r="EN426" s="364"/>
      <c r="EO426" s="364"/>
      <c r="EP426" s="364"/>
      <c r="EQ426" s="364"/>
      <c r="ER426" s="364"/>
      <c r="ES426" s="364"/>
      <c r="ET426" s="364"/>
      <c r="EU426" s="364"/>
      <c r="EV426" s="364"/>
      <c r="EW426" s="364"/>
      <c r="EX426" s="364"/>
      <c r="EY426" s="364"/>
      <c r="EZ426" s="364"/>
      <c r="FA426" s="364"/>
      <c r="FB426" s="364"/>
      <c r="FC426" s="364"/>
      <c r="FD426" s="364"/>
      <c r="FE426" s="364"/>
      <c r="FF426" s="364"/>
      <c r="FG426" s="364"/>
      <c r="FH426" s="364"/>
      <c r="FI426" s="364"/>
      <c r="FJ426" s="364"/>
      <c r="FK426" s="364"/>
    </row>
    <row r="427" customFormat="false" ht="15.75" hidden="false" customHeight="false" outlineLevel="0" collapsed="false">
      <c r="A427" s="364" t="n">
        <v>838</v>
      </c>
      <c r="B427" s="364" t="n">
        <f aca="false">COUNTA(D427:FK427)</f>
        <v>43</v>
      </c>
      <c r="C427" s="364" t="s">
        <v>2057</v>
      </c>
      <c r="D427" s="364" t="s">
        <v>2528</v>
      </c>
      <c r="E427" s="364" t="s">
        <v>2356</v>
      </c>
      <c r="F427" s="364" t="s">
        <v>2464</v>
      </c>
      <c r="G427" s="364" t="s">
        <v>2434</v>
      </c>
      <c r="H427" s="364" t="s">
        <v>2465</v>
      </c>
      <c r="I427" s="364" t="s">
        <v>2409</v>
      </c>
      <c r="J427" s="364" t="s">
        <v>2520</v>
      </c>
      <c r="K427" s="364" t="s">
        <v>2435</v>
      </c>
      <c r="L427" s="364" t="s">
        <v>2543</v>
      </c>
      <c r="M427" s="364" t="s">
        <v>2319</v>
      </c>
      <c r="N427" s="364" t="s">
        <v>2320</v>
      </c>
      <c r="O427" s="364" t="s">
        <v>2369</v>
      </c>
      <c r="P427" s="364" t="s">
        <v>2376</v>
      </c>
      <c r="Q427" s="364" t="s">
        <v>2377</v>
      </c>
      <c r="R427" s="364" t="s">
        <v>2523</v>
      </c>
      <c r="S427" s="364" t="s">
        <v>2324</v>
      </c>
      <c r="T427" s="364" t="s">
        <v>2325</v>
      </c>
      <c r="U427" s="364" t="s">
        <v>2484</v>
      </c>
      <c r="V427" s="364" t="s">
        <v>2328</v>
      </c>
      <c r="W427" s="364" t="s">
        <v>2329</v>
      </c>
      <c r="X427" s="364" t="s">
        <v>2718</v>
      </c>
      <c r="Y427" s="364" t="s">
        <v>2719</v>
      </c>
      <c r="Z427" s="364" t="s">
        <v>2416</v>
      </c>
      <c r="AA427" s="364" t="s">
        <v>2330</v>
      </c>
      <c r="AB427" s="364" t="s">
        <v>2468</v>
      </c>
      <c r="AC427" s="364" t="s">
        <v>2656</v>
      </c>
      <c r="AD427" s="364" t="s">
        <v>2387</v>
      </c>
      <c r="AE427" s="364" t="s">
        <v>2439</v>
      </c>
      <c r="AF427" s="364" t="s">
        <v>157</v>
      </c>
      <c r="AG427" s="364" t="s">
        <v>2495</v>
      </c>
      <c r="AH427" s="364" t="s">
        <v>2337</v>
      </c>
      <c r="AI427" s="364" t="s">
        <v>2340</v>
      </c>
      <c r="AJ427" s="364" t="s">
        <v>2341</v>
      </c>
      <c r="AK427" s="364" t="s">
        <v>2442</v>
      </c>
      <c r="AL427" s="364" t="s">
        <v>2470</v>
      </c>
      <c r="AM427" s="364" t="s">
        <v>2422</v>
      </c>
      <c r="AN427" s="364" t="s">
        <v>2344</v>
      </c>
      <c r="AO427" s="364" t="s">
        <v>2445</v>
      </c>
      <c r="AP427" s="364" t="s">
        <v>2456</v>
      </c>
      <c r="AQ427" s="364" t="s">
        <v>2476</v>
      </c>
      <c r="AR427" s="364" t="s">
        <v>2399</v>
      </c>
      <c r="AS427" s="364" t="s">
        <v>2463</v>
      </c>
      <c r="AT427" s="364" t="s">
        <v>2430</v>
      </c>
      <c r="AU427" s="364"/>
      <c r="AV427" s="364"/>
      <c r="AW427" s="364"/>
      <c r="AX427" s="364"/>
      <c r="AY427" s="364"/>
      <c r="AZ427" s="364"/>
      <c r="BA427" s="364"/>
      <c r="BB427" s="364"/>
      <c r="BC427" s="364"/>
      <c r="BD427" s="364"/>
      <c r="BE427" s="364"/>
      <c r="BF427" s="364"/>
      <c r="BG427" s="364"/>
      <c r="BH427" s="364"/>
      <c r="BI427" s="364"/>
      <c r="BJ427" s="364"/>
      <c r="BK427" s="364"/>
      <c r="BL427" s="364"/>
      <c r="BM427" s="364"/>
      <c r="BN427" s="364"/>
      <c r="BO427" s="364"/>
      <c r="BP427" s="364"/>
      <c r="BQ427" s="364"/>
      <c r="BR427" s="364"/>
      <c r="BS427" s="364"/>
      <c r="BT427" s="364"/>
      <c r="BU427" s="364"/>
      <c r="BV427" s="364"/>
      <c r="BW427" s="364"/>
      <c r="BX427" s="364"/>
      <c r="BY427" s="364"/>
      <c r="BZ427" s="364"/>
      <c r="CA427" s="364"/>
      <c r="CB427" s="364"/>
      <c r="CC427" s="364"/>
      <c r="CD427" s="364"/>
      <c r="CE427" s="364"/>
      <c r="CF427" s="364"/>
      <c r="CG427" s="364"/>
      <c r="CH427" s="364"/>
      <c r="CI427" s="364"/>
      <c r="CJ427" s="364"/>
      <c r="CK427" s="364"/>
      <c r="CL427" s="364"/>
      <c r="CM427" s="364"/>
      <c r="CN427" s="364"/>
      <c r="CO427" s="364"/>
      <c r="CP427" s="364"/>
      <c r="CQ427" s="364"/>
      <c r="CR427" s="364"/>
      <c r="CS427" s="364"/>
      <c r="CT427" s="364"/>
      <c r="CU427" s="364"/>
      <c r="CV427" s="364"/>
      <c r="CW427" s="364"/>
      <c r="CX427" s="364"/>
      <c r="CY427" s="364"/>
      <c r="CZ427" s="364"/>
      <c r="DA427" s="364"/>
      <c r="DB427" s="364"/>
      <c r="DC427" s="364"/>
      <c r="DD427" s="364"/>
      <c r="DE427" s="364"/>
      <c r="DF427" s="364"/>
      <c r="DG427" s="364"/>
      <c r="DH427" s="364"/>
      <c r="DI427" s="364"/>
      <c r="DJ427" s="364"/>
      <c r="DK427" s="364"/>
      <c r="DL427" s="364"/>
      <c r="DM427" s="364"/>
      <c r="DN427" s="364"/>
      <c r="DO427" s="364"/>
      <c r="DP427" s="364"/>
      <c r="DQ427" s="364"/>
      <c r="DR427" s="364"/>
      <c r="DS427" s="364"/>
      <c r="DT427" s="364"/>
      <c r="DU427" s="364"/>
      <c r="DV427" s="364"/>
      <c r="DW427" s="364"/>
      <c r="DX427" s="364"/>
      <c r="DY427" s="364"/>
      <c r="DZ427" s="364"/>
      <c r="EA427" s="364"/>
      <c r="EB427" s="364"/>
      <c r="EC427" s="364"/>
      <c r="ED427" s="364"/>
      <c r="EE427" s="364"/>
      <c r="EF427" s="364"/>
      <c r="EG427" s="364"/>
      <c r="EH427" s="364"/>
      <c r="EI427" s="364"/>
      <c r="EJ427" s="364"/>
      <c r="EK427" s="364"/>
      <c r="EL427" s="364"/>
      <c r="EM427" s="364"/>
      <c r="EN427" s="364"/>
      <c r="EO427" s="364"/>
      <c r="EP427" s="364"/>
      <c r="EQ427" s="364"/>
      <c r="ER427" s="364"/>
      <c r="ES427" s="364"/>
      <c r="ET427" s="364"/>
      <c r="EU427" s="364"/>
      <c r="EV427" s="364"/>
      <c r="EW427" s="364"/>
      <c r="EX427" s="364"/>
      <c r="EY427" s="364"/>
      <c r="EZ427" s="364"/>
      <c r="FA427" s="364"/>
      <c r="FB427" s="364"/>
      <c r="FC427" s="364"/>
      <c r="FD427" s="364"/>
      <c r="FE427" s="364"/>
      <c r="FF427" s="364"/>
      <c r="FG427" s="364"/>
      <c r="FH427" s="364"/>
      <c r="FI427" s="364"/>
      <c r="FJ427" s="364"/>
      <c r="FK427" s="364"/>
    </row>
    <row r="428" customFormat="false" ht="15.75" hidden="false" customHeight="false" outlineLevel="0" collapsed="false">
      <c r="A428" s="364" t="n">
        <v>840</v>
      </c>
      <c r="B428" s="364" t="n">
        <f aca="false">COUNTA(D428:FK428)</f>
        <v>43</v>
      </c>
      <c r="C428" s="364" t="s">
        <v>2062</v>
      </c>
      <c r="D428" s="364" t="s">
        <v>2312</v>
      </c>
      <c r="E428" s="364" t="s">
        <v>2356</v>
      </c>
      <c r="F428" s="364" t="s">
        <v>2313</v>
      </c>
      <c r="G428" s="364" t="s">
        <v>2315</v>
      </c>
      <c r="H428" s="364" t="s">
        <v>2497</v>
      </c>
      <c r="I428" s="364" t="s">
        <v>2317</v>
      </c>
      <c r="J428" s="364" t="s">
        <v>2562</v>
      </c>
      <c r="K428" s="364" t="s">
        <v>2320</v>
      </c>
      <c r="L428" s="364" t="s">
        <v>2366</v>
      </c>
      <c r="M428" s="364" t="s">
        <v>2372</v>
      </c>
      <c r="N428" s="364" t="s">
        <v>2373</v>
      </c>
      <c r="O428" s="364" t="s">
        <v>2374</v>
      </c>
      <c r="P428" s="364" t="s">
        <v>2411</v>
      </c>
      <c r="Q428" s="364" t="s">
        <v>2376</v>
      </c>
      <c r="R428" s="364" t="s">
        <v>2324</v>
      </c>
      <c r="S428" s="364" t="s">
        <v>2412</v>
      </c>
      <c r="T428" s="364" t="s">
        <v>2378</v>
      </c>
      <c r="U428" s="364" t="s">
        <v>2328</v>
      </c>
      <c r="V428" s="364" t="s">
        <v>2414</v>
      </c>
      <c r="W428" s="364" t="s">
        <v>2329</v>
      </c>
      <c r="X428" s="364" t="s">
        <v>2379</v>
      </c>
      <c r="Y428" s="364" t="s">
        <v>2418</v>
      </c>
      <c r="Z428" s="364" t="s">
        <v>2386</v>
      </c>
      <c r="AA428" s="364" t="s">
        <v>2337</v>
      </c>
      <c r="AB428" s="364" t="s">
        <v>2388</v>
      </c>
      <c r="AC428" s="364" t="s">
        <v>2339</v>
      </c>
      <c r="AD428" s="364" t="s">
        <v>2340</v>
      </c>
      <c r="AE428" s="364" t="s">
        <v>2421</v>
      </c>
      <c r="AF428" s="364" t="s">
        <v>2341</v>
      </c>
      <c r="AG428" s="364" t="s">
        <v>2343</v>
      </c>
      <c r="AH428" s="364" t="s">
        <v>2471</v>
      </c>
      <c r="AI428" s="364" t="s">
        <v>2423</v>
      </c>
      <c r="AJ428" s="364" t="s">
        <v>2344</v>
      </c>
      <c r="AK428" s="364" t="s">
        <v>2345</v>
      </c>
      <c r="AL428" s="364" t="s">
        <v>2720</v>
      </c>
      <c r="AM428" s="364" t="s">
        <v>2571</v>
      </c>
      <c r="AN428" s="364" t="s">
        <v>2346</v>
      </c>
      <c r="AO428" s="364" t="s">
        <v>2500</v>
      </c>
      <c r="AP428" s="364" t="s">
        <v>2347</v>
      </c>
      <c r="AQ428" s="364" t="s">
        <v>2511</v>
      </c>
      <c r="AR428" s="364" t="s">
        <v>2349</v>
      </c>
      <c r="AS428" s="364" t="s">
        <v>2428</v>
      </c>
      <c r="AT428" s="364" t="s">
        <v>2650</v>
      </c>
      <c r="AU428" s="364"/>
      <c r="AV428" s="364"/>
      <c r="AW428" s="364"/>
      <c r="AX428" s="364"/>
      <c r="AY428" s="364"/>
      <c r="AZ428" s="364"/>
      <c r="BA428" s="364"/>
      <c r="BB428" s="364"/>
      <c r="BC428" s="364"/>
      <c r="BD428" s="364"/>
      <c r="BE428" s="364"/>
      <c r="BF428" s="364"/>
      <c r="BG428" s="364"/>
      <c r="BH428" s="364"/>
      <c r="BI428" s="364"/>
      <c r="BJ428" s="364"/>
      <c r="BK428" s="364"/>
      <c r="BL428" s="364"/>
      <c r="BM428" s="364"/>
      <c r="BN428" s="364"/>
      <c r="BO428" s="364"/>
      <c r="BP428" s="364"/>
      <c r="BQ428" s="364"/>
      <c r="BR428" s="364"/>
      <c r="BS428" s="364"/>
      <c r="BT428" s="364"/>
      <c r="BU428" s="364"/>
      <c r="BV428" s="364"/>
      <c r="BW428" s="364"/>
      <c r="BX428" s="364"/>
      <c r="BY428" s="364"/>
      <c r="BZ428" s="364"/>
      <c r="CA428" s="364"/>
      <c r="CB428" s="364"/>
      <c r="CC428" s="364"/>
      <c r="CD428" s="364"/>
      <c r="CE428" s="364"/>
      <c r="CF428" s="364"/>
      <c r="CG428" s="364"/>
      <c r="CH428" s="364"/>
      <c r="CI428" s="364"/>
      <c r="CJ428" s="364"/>
      <c r="CK428" s="364"/>
      <c r="CL428" s="364"/>
      <c r="CM428" s="364"/>
      <c r="CN428" s="364"/>
      <c r="CO428" s="364"/>
      <c r="CP428" s="364"/>
      <c r="CQ428" s="364"/>
      <c r="CR428" s="364"/>
      <c r="CS428" s="364"/>
      <c r="CT428" s="364"/>
      <c r="CU428" s="364"/>
      <c r="CV428" s="364"/>
      <c r="CW428" s="364"/>
      <c r="CX428" s="364"/>
      <c r="CY428" s="364"/>
      <c r="CZ428" s="364"/>
      <c r="DA428" s="364"/>
      <c r="DB428" s="364"/>
      <c r="DC428" s="364"/>
      <c r="DD428" s="364"/>
      <c r="DE428" s="364"/>
      <c r="DF428" s="364"/>
      <c r="DG428" s="364"/>
      <c r="DH428" s="364"/>
      <c r="DI428" s="364"/>
      <c r="DJ428" s="364"/>
      <c r="DK428" s="364"/>
      <c r="DL428" s="364"/>
      <c r="DM428" s="364"/>
      <c r="DN428" s="364"/>
      <c r="DO428" s="364"/>
      <c r="DP428" s="364"/>
      <c r="DQ428" s="364"/>
      <c r="DR428" s="364"/>
      <c r="DS428" s="364"/>
      <c r="DT428" s="364"/>
      <c r="DU428" s="364"/>
      <c r="DV428" s="364"/>
      <c r="DW428" s="364"/>
      <c r="DX428" s="364"/>
      <c r="DY428" s="364"/>
      <c r="DZ428" s="364"/>
      <c r="EA428" s="364"/>
      <c r="EB428" s="364"/>
      <c r="EC428" s="364"/>
      <c r="ED428" s="364"/>
      <c r="EE428" s="364"/>
      <c r="EF428" s="364"/>
      <c r="EG428" s="364"/>
      <c r="EH428" s="364"/>
      <c r="EI428" s="364"/>
      <c r="EJ428" s="364"/>
      <c r="EK428" s="364"/>
      <c r="EL428" s="364"/>
      <c r="EM428" s="364"/>
      <c r="EN428" s="364"/>
      <c r="EO428" s="364"/>
      <c r="EP428" s="364"/>
      <c r="EQ428" s="364"/>
      <c r="ER428" s="364"/>
      <c r="ES428" s="364"/>
      <c r="ET428" s="364"/>
      <c r="EU428" s="364"/>
      <c r="EV428" s="364"/>
      <c r="EW428" s="364"/>
      <c r="EX428" s="364"/>
      <c r="EY428" s="364"/>
      <c r="EZ428" s="364"/>
      <c r="FA428" s="364"/>
      <c r="FB428" s="364"/>
      <c r="FC428" s="364"/>
      <c r="FD428" s="364"/>
      <c r="FE428" s="364"/>
      <c r="FF428" s="364"/>
      <c r="FG428" s="364"/>
      <c r="FH428" s="364"/>
      <c r="FI428" s="364"/>
      <c r="FJ428" s="364"/>
      <c r="FK428" s="364"/>
    </row>
    <row r="429" customFormat="false" ht="15.75" hidden="false" customHeight="false" outlineLevel="0" collapsed="false">
      <c r="A429" s="364" t="n">
        <v>843</v>
      </c>
      <c r="B429" s="364" t="n">
        <f aca="false">COUNTA(D429:FK429)</f>
        <v>39</v>
      </c>
      <c r="C429" s="364" t="s">
        <v>2068</v>
      </c>
      <c r="D429" s="364" t="s">
        <v>2431</v>
      </c>
      <c r="E429" s="364" t="s">
        <v>2528</v>
      </c>
      <c r="F429" s="364" t="s">
        <v>2577</v>
      </c>
      <c r="G429" s="364" t="s">
        <v>2465</v>
      </c>
      <c r="H429" s="364" t="s">
        <v>2318</v>
      </c>
      <c r="I429" s="364" t="s">
        <v>2319</v>
      </c>
      <c r="J429" s="364" t="s">
        <v>2320</v>
      </c>
      <c r="K429" s="364" t="s">
        <v>2449</v>
      </c>
      <c r="L429" s="364" t="s">
        <v>2321</v>
      </c>
      <c r="M429" s="364" t="s">
        <v>2451</v>
      </c>
      <c r="N429" s="364" t="s">
        <v>2323</v>
      </c>
      <c r="O429" s="364" t="s">
        <v>2324</v>
      </c>
      <c r="P429" s="364" t="s">
        <v>2325</v>
      </c>
      <c r="Q429" s="364" t="s">
        <v>2326</v>
      </c>
      <c r="R429" s="364" t="s">
        <v>2328</v>
      </c>
      <c r="S429" s="364" t="s">
        <v>2721</v>
      </c>
      <c r="T429" s="364" t="s">
        <v>2556</v>
      </c>
      <c r="U429" s="364" t="s">
        <v>2557</v>
      </c>
      <c r="V429" s="364" t="s">
        <v>2540</v>
      </c>
      <c r="W429" s="364" t="s">
        <v>2385</v>
      </c>
      <c r="X429" s="364" t="s">
        <v>2480</v>
      </c>
      <c r="Y429" s="364" t="s">
        <v>2656</v>
      </c>
      <c r="Z429" s="364" t="s">
        <v>2460</v>
      </c>
      <c r="AA429" s="364" t="s">
        <v>2336</v>
      </c>
      <c r="AB429" s="364" t="s">
        <v>2337</v>
      </c>
      <c r="AC429" s="364" t="s">
        <v>2340</v>
      </c>
      <c r="AD429" s="364" t="s">
        <v>2342</v>
      </c>
      <c r="AE429" s="364" t="s">
        <v>2442</v>
      </c>
      <c r="AF429" s="364" t="s">
        <v>2392</v>
      </c>
      <c r="AG429" s="364" t="s">
        <v>2639</v>
      </c>
      <c r="AH429" s="364" t="s">
        <v>2462</v>
      </c>
      <c r="AI429" s="364" t="s">
        <v>2423</v>
      </c>
      <c r="AJ429" s="364" t="s">
        <v>2344</v>
      </c>
      <c r="AK429" s="364" t="s">
        <v>2345</v>
      </c>
      <c r="AL429" s="364" t="s">
        <v>2722</v>
      </c>
      <c r="AM429" s="364" t="s">
        <v>2396</v>
      </c>
      <c r="AN429" s="364" t="s">
        <v>2473</v>
      </c>
      <c r="AO429" s="364" t="s">
        <v>2348</v>
      </c>
      <c r="AP429" s="364" t="s">
        <v>2446</v>
      </c>
      <c r="AQ429" s="364"/>
      <c r="AR429" s="364"/>
      <c r="AS429" s="364"/>
      <c r="AT429" s="364"/>
      <c r="AU429" s="364"/>
      <c r="AV429" s="364"/>
      <c r="AW429" s="364"/>
      <c r="AX429" s="364"/>
      <c r="AY429" s="364"/>
      <c r="AZ429" s="364"/>
      <c r="BA429" s="364"/>
      <c r="BB429" s="364"/>
      <c r="BC429" s="364"/>
      <c r="BD429" s="364"/>
      <c r="BE429" s="364"/>
      <c r="BF429" s="364"/>
      <c r="BG429" s="364"/>
      <c r="BH429" s="364"/>
      <c r="BI429" s="364"/>
      <c r="BJ429" s="364"/>
      <c r="BK429" s="364"/>
      <c r="BL429" s="364"/>
      <c r="BM429" s="364"/>
      <c r="BN429" s="364"/>
      <c r="BO429" s="364"/>
      <c r="BP429" s="364"/>
      <c r="BQ429" s="364"/>
      <c r="BR429" s="364"/>
      <c r="BS429" s="364"/>
      <c r="BT429" s="364"/>
      <c r="BU429" s="364"/>
      <c r="BV429" s="364"/>
      <c r="BW429" s="364"/>
      <c r="BX429" s="364"/>
      <c r="BY429" s="364"/>
      <c r="BZ429" s="364"/>
      <c r="CA429" s="364"/>
      <c r="CB429" s="364"/>
      <c r="CC429" s="364"/>
      <c r="CD429" s="364"/>
      <c r="CE429" s="364"/>
      <c r="CF429" s="364"/>
      <c r="CG429" s="364"/>
      <c r="CH429" s="364"/>
      <c r="CI429" s="364"/>
      <c r="CJ429" s="364"/>
      <c r="CK429" s="364"/>
      <c r="CL429" s="364"/>
      <c r="CM429" s="364"/>
      <c r="CN429" s="364"/>
      <c r="CO429" s="364"/>
      <c r="CP429" s="364"/>
      <c r="CQ429" s="364"/>
      <c r="CR429" s="364"/>
      <c r="CS429" s="364"/>
      <c r="CT429" s="364"/>
      <c r="CU429" s="364"/>
      <c r="CV429" s="364"/>
      <c r="CW429" s="364"/>
      <c r="CX429" s="364"/>
      <c r="CY429" s="364"/>
      <c r="CZ429" s="364"/>
      <c r="DA429" s="364"/>
      <c r="DB429" s="364"/>
      <c r="DC429" s="364"/>
      <c r="DD429" s="364"/>
      <c r="DE429" s="364"/>
      <c r="DF429" s="364"/>
      <c r="DG429" s="364"/>
      <c r="DH429" s="364"/>
      <c r="DI429" s="364"/>
      <c r="DJ429" s="364"/>
      <c r="DK429" s="364"/>
      <c r="DL429" s="364"/>
      <c r="DM429" s="364"/>
      <c r="DN429" s="364"/>
      <c r="DO429" s="364"/>
      <c r="DP429" s="364"/>
      <c r="DQ429" s="364"/>
      <c r="DR429" s="364"/>
      <c r="DS429" s="364"/>
      <c r="DT429" s="364"/>
      <c r="DU429" s="364"/>
      <c r="DV429" s="364"/>
      <c r="DW429" s="364"/>
      <c r="DX429" s="364"/>
      <c r="DY429" s="364"/>
      <c r="DZ429" s="364"/>
      <c r="EA429" s="364"/>
      <c r="EB429" s="364"/>
      <c r="EC429" s="364"/>
      <c r="ED429" s="364"/>
      <c r="EE429" s="364"/>
      <c r="EF429" s="364"/>
      <c r="EG429" s="364"/>
      <c r="EH429" s="364"/>
      <c r="EI429" s="364"/>
      <c r="EJ429" s="364"/>
      <c r="EK429" s="364"/>
      <c r="EL429" s="364"/>
      <c r="EM429" s="364"/>
      <c r="EN429" s="364"/>
      <c r="EO429" s="364"/>
      <c r="EP429" s="364"/>
      <c r="EQ429" s="364"/>
      <c r="ER429" s="364"/>
      <c r="ES429" s="364"/>
      <c r="ET429" s="364"/>
      <c r="EU429" s="364"/>
      <c r="EV429" s="364"/>
      <c r="EW429" s="364"/>
      <c r="EX429" s="364"/>
      <c r="EY429" s="364"/>
      <c r="EZ429" s="364"/>
      <c r="FA429" s="364"/>
      <c r="FB429" s="364"/>
      <c r="FC429" s="364"/>
      <c r="FD429" s="364"/>
      <c r="FE429" s="364"/>
      <c r="FF429" s="364"/>
      <c r="FG429" s="364"/>
      <c r="FH429" s="364"/>
      <c r="FI429" s="364"/>
      <c r="FJ429" s="364"/>
      <c r="FK429" s="364"/>
    </row>
    <row r="430" customFormat="false" ht="15.75" hidden="false" customHeight="false" outlineLevel="0" collapsed="false">
      <c r="A430" s="364" t="n">
        <v>846</v>
      </c>
      <c r="B430" s="364" t="n">
        <f aca="false">COUNTA(D430:FK430)</f>
        <v>53</v>
      </c>
      <c r="C430" s="364" t="s">
        <v>2074</v>
      </c>
      <c r="D430" s="364" t="s">
        <v>2431</v>
      </c>
      <c r="E430" s="364" t="s">
        <v>2311</v>
      </c>
      <c r="F430" s="364" t="s">
        <v>2404</v>
      </c>
      <c r="G430" s="364" t="s">
        <v>2355</v>
      </c>
      <c r="H430" s="364" t="s">
        <v>2356</v>
      </c>
      <c r="I430" s="364" t="s">
        <v>2357</v>
      </c>
      <c r="J430" s="364" t="s">
        <v>2313</v>
      </c>
      <c r="K430" s="364" t="s">
        <v>2465</v>
      </c>
      <c r="L430" s="364" t="s">
        <v>2542</v>
      </c>
      <c r="M430" s="364" t="s">
        <v>2723</v>
      </c>
      <c r="N430" s="364" t="s">
        <v>2409</v>
      </c>
      <c r="O430" s="364" t="s">
        <v>2510</v>
      </c>
      <c r="P430" s="364" t="s">
        <v>2520</v>
      </c>
      <c r="Q430" s="364" t="s">
        <v>2543</v>
      </c>
      <c r="R430" s="364" t="s">
        <v>2317</v>
      </c>
      <c r="S430" s="364" t="s">
        <v>2365</v>
      </c>
      <c r="T430" s="364" t="s">
        <v>2448</v>
      </c>
      <c r="U430" s="364" t="s">
        <v>2320</v>
      </c>
      <c r="V430" s="364" t="s">
        <v>2533</v>
      </c>
      <c r="W430" s="364" t="s">
        <v>2366</v>
      </c>
      <c r="X430" s="364" t="s">
        <v>2367</v>
      </c>
      <c r="Y430" s="364" t="s">
        <v>2368</v>
      </c>
      <c r="Z430" s="364" t="s">
        <v>2369</v>
      </c>
      <c r="AA430" s="364" t="s">
        <v>2372</v>
      </c>
      <c r="AB430" s="364" t="s">
        <v>2373</v>
      </c>
      <c r="AC430" s="364" t="s">
        <v>2374</v>
      </c>
      <c r="AD430" s="364" t="s">
        <v>2376</v>
      </c>
      <c r="AE430" s="364" t="s">
        <v>2377</v>
      </c>
      <c r="AF430" s="364" t="s">
        <v>2498</v>
      </c>
      <c r="AG430" s="364" t="s">
        <v>2324</v>
      </c>
      <c r="AH430" s="364" t="s">
        <v>2378</v>
      </c>
      <c r="AI430" s="364" t="s">
        <v>2328</v>
      </c>
      <c r="AJ430" s="364" t="s">
        <v>2329</v>
      </c>
      <c r="AK430" s="364" t="s">
        <v>2506</v>
      </c>
      <c r="AL430" s="364" t="s">
        <v>2330</v>
      </c>
      <c r="AM430" s="364" t="s">
        <v>2507</v>
      </c>
      <c r="AN430" s="364" t="s">
        <v>2588</v>
      </c>
      <c r="AO430" s="364" t="s">
        <v>2539</v>
      </c>
      <c r="AP430" s="364" t="s">
        <v>2540</v>
      </c>
      <c r="AQ430" s="364" t="s">
        <v>2332</v>
      </c>
      <c r="AR430" s="364" t="s">
        <v>2386</v>
      </c>
      <c r="AS430" s="364" t="s">
        <v>2337</v>
      </c>
      <c r="AT430" s="364" t="s">
        <v>2340</v>
      </c>
      <c r="AU430" s="364" t="s">
        <v>2390</v>
      </c>
      <c r="AV430" s="364" t="s">
        <v>2392</v>
      </c>
      <c r="AW430" s="364" t="s">
        <v>2472</v>
      </c>
      <c r="AX430" s="364" t="s">
        <v>2344</v>
      </c>
      <c r="AY430" s="364" t="s">
        <v>2346</v>
      </c>
      <c r="AZ430" s="364" t="s">
        <v>2511</v>
      </c>
      <c r="BA430" s="364" t="s">
        <v>2515</v>
      </c>
      <c r="BB430" s="364" t="s">
        <v>2456</v>
      </c>
      <c r="BC430" s="364" t="s">
        <v>2399</v>
      </c>
      <c r="BD430" s="364" t="s">
        <v>2446</v>
      </c>
      <c r="BE430" s="364"/>
      <c r="BF430" s="364"/>
      <c r="BG430" s="364"/>
      <c r="BH430" s="364"/>
      <c r="BI430" s="364"/>
      <c r="BJ430" s="364"/>
      <c r="BK430" s="364"/>
      <c r="BL430" s="364"/>
      <c r="BM430" s="364"/>
      <c r="BN430" s="364"/>
      <c r="BO430" s="364"/>
      <c r="BP430" s="364"/>
      <c r="BQ430" s="364"/>
      <c r="BR430" s="364"/>
      <c r="BS430" s="364"/>
      <c r="BT430" s="364"/>
      <c r="BU430" s="364"/>
      <c r="BV430" s="364"/>
      <c r="BW430" s="364"/>
      <c r="BX430" s="364"/>
      <c r="BY430" s="364"/>
      <c r="BZ430" s="364"/>
      <c r="CA430" s="364"/>
      <c r="CB430" s="364"/>
      <c r="CC430" s="364"/>
      <c r="CD430" s="364"/>
      <c r="CE430" s="364"/>
      <c r="CF430" s="364"/>
      <c r="CG430" s="364"/>
      <c r="CH430" s="364"/>
      <c r="CI430" s="364"/>
      <c r="CJ430" s="364"/>
      <c r="CK430" s="364"/>
      <c r="CL430" s="364"/>
      <c r="CM430" s="364"/>
      <c r="CN430" s="364"/>
      <c r="CO430" s="364"/>
      <c r="CP430" s="364"/>
      <c r="CQ430" s="364"/>
      <c r="CR430" s="364"/>
      <c r="CS430" s="364"/>
      <c r="CT430" s="364"/>
      <c r="CU430" s="364"/>
      <c r="CV430" s="364"/>
      <c r="CW430" s="364"/>
      <c r="CX430" s="364"/>
      <c r="CY430" s="364"/>
      <c r="CZ430" s="364"/>
      <c r="DA430" s="364"/>
      <c r="DB430" s="364"/>
      <c r="DC430" s="364"/>
      <c r="DD430" s="364"/>
      <c r="DE430" s="364"/>
      <c r="DF430" s="364"/>
      <c r="DG430" s="364"/>
      <c r="DH430" s="364"/>
      <c r="DI430" s="364"/>
      <c r="DJ430" s="364"/>
      <c r="DK430" s="364"/>
      <c r="DL430" s="364"/>
      <c r="DM430" s="364"/>
      <c r="DN430" s="364"/>
      <c r="DO430" s="364"/>
      <c r="DP430" s="364"/>
      <c r="DQ430" s="364"/>
      <c r="DR430" s="364"/>
      <c r="DS430" s="364"/>
      <c r="DT430" s="364"/>
      <c r="DU430" s="364"/>
      <c r="DV430" s="364"/>
      <c r="DW430" s="364"/>
      <c r="DX430" s="364"/>
      <c r="DY430" s="364"/>
      <c r="DZ430" s="364"/>
      <c r="EA430" s="364"/>
      <c r="EB430" s="364"/>
      <c r="EC430" s="364"/>
      <c r="ED430" s="364"/>
      <c r="EE430" s="364"/>
      <c r="EF430" s="364"/>
      <c r="EG430" s="364"/>
      <c r="EH430" s="364"/>
      <c r="EI430" s="364"/>
      <c r="EJ430" s="364"/>
      <c r="EK430" s="364"/>
      <c r="EL430" s="364"/>
      <c r="EM430" s="364"/>
      <c r="EN430" s="364"/>
      <c r="EO430" s="364"/>
      <c r="EP430" s="364"/>
      <c r="EQ430" s="364"/>
      <c r="ER430" s="364"/>
      <c r="ES430" s="364"/>
      <c r="ET430" s="364"/>
      <c r="EU430" s="364"/>
      <c r="EV430" s="364"/>
      <c r="EW430" s="364"/>
      <c r="EX430" s="364"/>
      <c r="EY430" s="364"/>
      <c r="EZ430" s="364"/>
      <c r="FA430" s="364"/>
      <c r="FB430" s="364"/>
      <c r="FC430" s="364"/>
      <c r="FD430" s="364"/>
      <c r="FE430" s="364"/>
      <c r="FF430" s="364"/>
      <c r="FG430" s="364"/>
      <c r="FH430" s="364"/>
      <c r="FI430" s="364"/>
      <c r="FJ430" s="364"/>
      <c r="FK430" s="364"/>
    </row>
    <row r="431" customFormat="false" ht="15.75" hidden="false" customHeight="false" outlineLevel="0" collapsed="false">
      <c r="A431" s="364" t="n">
        <v>849</v>
      </c>
      <c r="B431" s="364" t="n">
        <f aca="false">COUNTA(D431:FK431)</f>
        <v>36</v>
      </c>
      <c r="C431" s="364" t="s">
        <v>2080</v>
      </c>
      <c r="D431" s="364" t="s">
        <v>2431</v>
      </c>
      <c r="E431" s="364" t="s">
        <v>2538</v>
      </c>
      <c r="F431" s="364" t="s">
        <v>2402</v>
      </c>
      <c r="G431" s="364" t="s">
        <v>2405</v>
      </c>
      <c r="H431" s="364" t="s">
        <v>2408</v>
      </c>
      <c r="I431" s="364" t="s">
        <v>2465</v>
      </c>
      <c r="J431" s="364" t="s">
        <v>2517</v>
      </c>
      <c r="K431" s="364" t="s">
        <v>2518</v>
      </c>
      <c r="L431" s="364" t="s">
        <v>2519</v>
      </c>
      <c r="M431" s="364" t="s">
        <v>2318</v>
      </c>
      <c r="N431" s="364" t="s">
        <v>2319</v>
      </c>
      <c r="O431" s="364" t="s">
        <v>2320</v>
      </c>
      <c r="P431" s="364" t="s">
        <v>2324</v>
      </c>
      <c r="Q431" s="364" t="s">
        <v>2328</v>
      </c>
      <c r="R431" s="364" t="s">
        <v>2413</v>
      </c>
      <c r="S431" s="364" t="s">
        <v>2414</v>
      </c>
      <c r="T431" s="364" t="s">
        <v>2521</v>
      </c>
      <c r="U431" s="364" t="s">
        <v>2415</v>
      </c>
      <c r="V431" s="364" t="s">
        <v>2417</v>
      </c>
      <c r="W431" s="364" t="s">
        <v>2381</v>
      </c>
      <c r="X431" s="364" t="s">
        <v>2418</v>
      </c>
      <c r="Y431" s="364" t="s">
        <v>2638</v>
      </c>
      <c r="Z431" s="364" t="s">
        <v>2582</v>
      </c>
      <c r="AA431" s="364" t="s">
        <v>157</v>
      </c>
      <c r="AB431" s="364" t="s">
        <v>2337</v>
      </c>
      <c r="AC431" s="364" t="s">
        <v>2340</v>
      </c>
      <c r="AD431" s="364" t="s">
        <v>2421</v>
      </c>
      <c r="AE431" s="364" t="s">
        <v>2442</v>
      </c>
      <c r="AF431" s="364" t="s">
        <v>2344</v>
      </c>
      <c r="AG431" s="364" t="s">
        <v>2724</v>
      </c>
      <c r="AH431" s="364" t="s">
        <v>2424</v>
      </c>
      <c r="AI431" s="364" t="s">
        <v>2463</v>
      </c>
      <c r="AJ431" s="364" t="s">
        <v>2425</v>
      </c>
      <c r="AK431" s="364" t="s">
        <v>2426</v>
      </c>
      <c r="AL431" s="364" t="s">
        <v>2427</v>
      </c>
      <c r="AM431" s="364" t="s">
        <v>2428</v>
      </c>
      <c r="AN431" s="364"/>
      <c r="AO431" s="364"/>
      <c r="AP431" s="364"/>
      <c r="AQ431" s="364"/>
      <c r="AR431" s="364"/>
      <c r="AS431" s="364"/>
      <c r="AT431" s="364"/>
      <c r="AU431" s="364"/>
      <c r="AV431" s="364"/>
      <c r="AW431" s="364"/>
      <c r="AX431" s="364"/>
      <c r="AY431" s="364"/>
      <c r="AZ431" s="364"/>
      <c r="BA431" s="364"/>
      <c r="BB431" s="364"/>
      <c r="BC431" s="364"/>
      <c r="BD431" s="364"/>
      <c r="BE431" s="364"/>
      <c r="BF431" s="364"/>
      <c r="BG431" s="364"/>
      <c r="BH431" s="364"/>
      <c r="BI431" s="364"/>
      <c r="BJ431" s="364"/>
      <c r="BK431" s="364"/>
      <c r="BL431" s="364"/>
      <c r="BM431" s="364"/>
      <c r="BN431" s="364"/>
      <c r="BO431" s="364"/>
      <c r="BP431" s="364"/>
      <c r="BQ431" s="364"/>
      <c r="BR431" s="364"/>
      <c r="BS431" s="364"/>
      <c r="BT431" s="364"/>
      <c r="BU431" s="364"/>
      <c r="BV431" s="364"/>
      <c r="BW431" s="364"/>
      <c r="BX431" s="364"/>
      <c r="BY431" s="364"/>
      <c r="BZ431" s="364"/>
      <c r="CA431" s="364"/>
      <c r="CB431" s="364"/>
      <c r="CC431" s="364"/>
      <c r="CD431" s="364"/>
      <c r="CE431" s="364"/>
      <c r="CF431" s="364"/>
      <c r="CG431" s="364"/>
      <c r="CH431" s="364"/>
      <c r="CI431" s="364"/>
      <c r="CJ431" s="364"/>
      <c r="CK431" s="364"/>
      <c r="CL431" s="364"/>
      <c r="CM431" s="364"/>
      <c r="CN431" s="364"/>
      <c r="CO431" s="364"/>
      <c r="CP431" s="364"/>
      <c r="CQ431" s="364"/>
      <c r="CR431" s="364"/>
      <c r="CS431" s="364"/>
      <c r="CT431" s="364"/>
      <c r="CU431" s="364"/>
      <c r="CV431" s="364"/>
      <c r="CW431" s="364"/>
      <c r="CX431" s="364"/>
      <c r="CY431" s="364"/>
      <c r="CZ431" s="364"/>
      <c r="DA431" s="364"/>
      <c r="DB431" s="364"/>
      <c r="DC431" s="364"/>
      <c r="DD431" s="364"/>
      <c r="DE431" s="364"/>
      <c r="DF431" s="364"/>
      <c r="DG431" s="364"/>
      <c r="DH431" s="364"/>
      <c r="DI431" s="364"/>
      <c r="DJ431" s="364"/>
      <c r="DK431" s="364"/>
      <c r="DL431" s="364"/>
      <c r="DM431" s="364"/>
      <c r="DN431" s="364"/>
      <c r="DO431" s="364"/>
      <c r="DP431" s="364"/>
      <c r="DQ431" s="364"/>
      <c r="DR431" s="364"/>
      <c r="DS431" s="364"/>
      <c r="DT431" s="364"/>
      <c r="DU431" s="364"/>
      <c r="DV431" s="364"/>
      <c r="DW431" s="364"/>
      <c r="DX431" s="364"/>
      <c r="DY431" s="364"/>
      <c r="DZ431" s="364"/>
      <c r="EA431" s="364"/>
      <c r="EB431" s="364"/>
      <c r="EC431" s="364"/>
      <c r="ED431" s="364"/>
      <c r="EE431" s="364"/>
      <c r="EF431" s="364"/>
      <c r="EG431" s="364"/>
      <c r="EH431" s="364"/>
      <c r="EI431" s="364"/>
      <c r="EJ431" s="364"/>
      <c r="EK431" s="364"/>
      <c r="EL431" s="364"/>
      <c r="EM431" s="364"/>
      <c r="EN431" s="364"/>
      <c r="EO431" s="364"/>
      <c r="EP431" s="364"/>
      <c r="EQ431" s="364"/>
      <c r="ER431" s="364"/>
      <c r="ES431" s="364"/>
      <c r="ET431" s="364"/>
      <c r="EU431" s="364"/>
      <c r="EV431" s="364"/>
      <c r="EW431" s="364"/>
      <c r="EX431" s="364"/>
      <c r="EY431" s="364"/>
      <c r="EZ431" s="364"/>
      <c r="FA431" s="364"/>
      <c r="FB431" s="364"/>
      <c r="FC431" s="364"/>
      <c r="FD431" s="364"/>
      <c r="FE431" s="364"/>
      <c r="FF431" s="364"/>
      <c r="FG431" s="364"/>
      <c r="FH431" s="364"/>
      <c r="FI431" s="364"/>
      <c r="FJ431" s="364"/>
      <c r="FK431" s="364"/>
    </row>
    <row r="432" customFormat="false" ht="15.75" hidden="false" customHeight="false" outlineLevel="0" collapsed="false">
      <c r="A432" s="364" t="n">
        <v>852</v>
      </c>
      <c r="B432" s="364" t="n">
        <f aca="false">COUNTA(D432:FK432)</f>
        <v>30</v>
      </c>
      <c r="C432" s="364" t="s">
        <v>2086</v>
      </c>
      <c r="D432" s="364" t="s">
        <v>2352</v>
      </c>
      <c r="E432" s="364" t="s">
        <v>2725</v>
      </c>
      <c r="F432" s="364" t="s">
        <v>2356</v>
      </c>
      <c r="G432" s="364" t="s">
        <v>2314</v>
      </c>
      <c r="H432" s="364" t="s">
        <v>2479</v>
      </c>
      <c r="I432" s="364" t="s">
        <v>2318</v>
      </c>
      <c r="J432" s="364" t="s">
        <v>2372</v>
      </c>
      <c r="K432" s="364" t="s">
        <v>2411</v>
      </c>
      <c r="L432" s="364" t="s">
        <v>2375</v>
      </c>
      <c r="M432" s="364" t="s">
        <v>2451</v>
      </c>
      <c r="N432" s="364" t="s">
        <v>2484</v>
      </c>
      <c r="O432" s="364" t="s">
        <v>2378</v>
      </c>
      <c r="P432" s="364" t="s">
        <v>2328</v>
      </c>
      <c r="Q432" s="364" t="s">
        <v>2521</v>
      </c>
      <c r="R432" s="364" t="s">
        <v>2330</v>
      </c>
      <c r="S432" s="364" t="s">
        <v>2386</v>
      </c>
      <c r="T432" s="364" t="s">
        <v>2480</v>
      </c>
      <c r="U432" s="364" t="s">
        <v>2460</v>
      </c>
      <c r="V432" s="364" t="s">
        <v>2337</v>
      </c>
      <c r="W432" s="364" t="s">
        <v>2564</v>
      </c>
      <c r="X432" s="364" t="s">
        <v>2339</v>
      </c>
      <c r="Y432" s="364" t="s">
        <v>2340</v>
      </c>
      <c r="Z432" s="364" t="s">
        <v>2342</v>
      </c>
      <c r="AA432" s="364" t="s">
        <v>2462</v>
      </c>
      <c r="AB432" s="364" t="s">
        <v>2423</v>
      </c>
      <c r="AC432" s="364" t="s">
        <v>2344</v>
      </c>
      <c r="AD432" s="364" t="s">
        <v>2396</v>
      </c>
      <c r="AE432" s="364" t="s">
        <v>2445</v>
      </c>
      <c r="AF432" s="364" t="s">
        <v>2463</v>
      </c>
      <c r="AG432" s="364" t="s">
        <v>2446</v>
      </c>
      <c r="AH432" s="364"/>
      <c r="AI432" s="364"/>
      <c r="AJ432" s="364"/>
      <c r="AK432" s="364"/>
      <c r="AL432" s="364"/>
      <c r="AM432" s="364"/>
      <c r="AN432" s="364"/>
      <c r="AO432" s="364"/>
      <c r="AP432" s="364"/>
      <c r="AQ432" s="364"/>
      <c r="AR432" s="364"/>
      <c r="AS432" s="364"/>
      <c r="AT432" s="364"/>
      <c r="AU432" s="364"/>
      <c r="AV432" s="364"/>
      <c r="AW432" s="364"/>
      <c r="AX432" s="364"/>
      <c r="AY432" s="364"/>
      <c r="AZ432" s="364"/>
      <c r="BA432" s="364"/>
      <c r="BB432" s="364"/>
      <c r="BC432" s="364"/>
      <c r="BD432" s="364"/>
      <c r="BE432" s="364"/>
      <c r="BF432" s="364"/>
      <c r="BG432" s="364"/>
      <c r="BH432" s="364"/>
      <c r="BI432" s="364"/>
      <c r="BJ432" s="364"/>
      <c r="BK432" s="364"/>
      <c r="BL432" s="364"/>
      <c r="BM432" s="364"/>
      <c r="BN432" s="364"/>
      <c r="BO432" s="364"/>
      <c r="BP432" s="364"/>
      <c r="BQ432" s="364"/>
      <c r="BR432" s="364"/>
      <c r="BS432" s="364"/>
      <c r="BT432" s="364"/>
      <c r="BU432" s="364"/>
      <c r="BV432" s="364"/>
      <c r="BW432" s="364"/>
      <c r="BX432" s="364"/>
      <c r="BY432" s="364"/>
      <c r="BZ432" s="364"/>
      <c r="CA432" s="364"/>
      <c r="CB432" s="364"/>
      <c r="CC432" s="364"/>
      <c r="CD432" s="364"/>
      <c r="CE432" s="364"/>
      <c r="CF432" s="364"/>
      <c r="CG432" s="364"/>
      <c r="CH432" s="364"/>
      <c r="CI432" s="364"/>
      <c r="CJ432" s="364"/>
      <c r="CK432" s="364"/>
      <c r="CL432" s="364"/>
      <c r="CM432" s="364"/>
      <c r="CN432" s="364"/>
      <c r="CO432" s="364"/>
      <c r="CP432" s="364"/>
      <c r="CQ432" s="364"/>
      <c r="CR432" s="364"/>
      <c r="CS432" s="364"/>
      <c r="CT432" s="364"/>
      <c r="CU432" s="364"/>
      <c r="CV432" s="364"/>
      <c r="CW432" s="364"/>
      <c r="CX432" s="364"/>
      <c r="CY432" s="364"/>
      <c r="CZ432" s="364"/>
      <c r="DA432" s="364"/>
      <c r="DB432" s="364"/>
      <c r="DC432" s="364"/>
      <c r="DD432" s="364"/>
      <c r="DE432" s="364"/>
      <c r="DF432" s="364"/>
      <c r="DG432" s="364"/>
      <c r="DH432" s="364"/>
      <c r="DI432" s="364"/>
      <c r="DJ432" s="364"/>
      <c r="DK432" s="364"/>
      <c r="DL432" s="364"/>
      <c r="DM432" s="364"/>
      <c r="DN432" s="364"/>
      <c r="DO432" s="364"/>
      <c r="DP432" s="364"/>
      <c r="DQ432" s="364"/>
      <c r="DR432" s="364"/>
      <c r="DS432" s="364"/>
      <c r="DT432" s="364"/>
      <c r="DU432" s="364"/>
      <c r="DV432" s="364"/>
      <c r="DW432" s="364"/>
      <c r="DX432" s="364"/>
      <c r="DY432" s="364"/>
      <c r="DZ432" s="364"/>
      <c r="EA432" s="364"/>
      <c r="EB432" s="364"/>
      <c r="EC432" s="364"/>
      <c r="ED432" s="364"/>
      <c r="EE432" s="364"/>
      <c r="EF432" s="364"/>
      <c r="EG432" s="364"/>
      <c r="EH432" s="364"/>
      <c r="EI432" s="364"/>
      <c r="EJ432" s="364"/>
      <c r="EK432" s="364"/>
      <c r="EL432" s="364"/>
      <c r="EM432" s="364"/>
      <c r="EN432" s="364"/>
      <c r="EO432" s="364"/>
      <c r="EP432" s="364"/>
      <c r="EQ432" s="364"/>
      <c r="ER432" s="364"/>
      <c r="ES432" s="364"/>
      <c r="ET432" s="364"/>
      <c r="EU432" s="364"/>
      <c r="EV432" s="364"/>
      <c r="EW432" s="364"/>
      <c r="EX432" s="364"/>
      <c r="EY432" s="364"/>
      <c r="EZ432" s="364"/>
      <c r="FA432" s="364"/>
      <c r="FB432" s="364"/>
      <c r="FC432" s="364"/>
      <c r="FD432" s="364"/>
      <c r="FE432" s="364"/>
      <c r="FF432" s="364"/>
      <c r="FG432" s="364"/>
      <c r="FH432" s="364"/>
      <c r="FI432" s="364"/>
      <c r="FJ432" s="364"/>
      <c r="FK432" s="364"/>
    </row>
    <row r="433" customFormat="false" ht="15.75" hidden="false" customHeight="false" outlineLevel="0" collapsed="false">
      <c r="A433" s="364" t="n">
        <v>854</v>
      </c>
      <c r="B433" s="364" t="n">
        <f aca="false">COUNTA(D433:FK433)</f>
        <v>35</v>
      </c>
      <c r="C433" s="364" t="s">
        <v>2090</v>
      </c>
      <c r="D433" s="364" t="s">
        <v>2310</v>
      </c>
      <c r="E433" s="364" t="s">
        <v>2404</v>
      </c>
      <c r="F433" s="364" t="s">
        <v>2313</v>
      </c>
      <c r="G433" s="364" t="s">
        <v>2466</v>
      </c>
      <c r="H433" s="364" t="s">
        <v>2543</v>
      </c>
      <c r="I433" s="364" t="s">
        <v>2317</v>
      </c>
      <c r="J433" s="364" t="s">
        <v>2318</v>
      </c>
      <c r="K433" s="364" t="s">
        <v>2448</v>
      </c>
      <c r="L433" s="364" t="s">
        <v>2320</v>
      </c>
      <c r="M433" s="364" t="s">
        <v>2369</v>
      </c>
      <c r="N433" s="364" t="s">
        <v>2328</v>
      </c>
      <c r="O433" s="364" t="s">
        <v>2467</v>
      </c>
      <c r="P433" s="364" t="s">
        <v>2416</v>
      </c>
      <c r="Q433" s="364" t="s">
        <v>2506</v>
      </c>
      <c r="R433" s="364" t="s">
        <v>2381</v>
      </c>
      <c r="S433" s="364" t="s">
        <v>2468</v>
      </c>
      <c r="T433" s="261" t="s">
        <v>183</v>
      </c>
      <c r="U433" s="364" t="s">
        <v>2452</v>
      </c>
      <c r="V433" s="364" t="s">
        <v>2455</v>
      </c>
      <c r="W433" s="364" t="s">
        <v>2337</v>
      </c>
      <c r="X433" s="364" t="s">
        <v>2389</v>
      </c>
      <c r="Y433" s="364" t="s">
        <v>2340</v>
      </c>
      <c r="Z433" s="364" t="s">
        <v>2470</v>
      </c>
      <c r="AA433" s="364" t="s">
        <v>2344</v>
      </c>
      <c r="AB433" s="364" t="s">
        <v>2346</v>
      </c>
      <c r="AC433" s="364" t="s">
        <v>2474</v>
      </c>
      <c r="AD433" s="364" t="s">
        <v>2348</v>
      </c>
      <c r="AE433" s="364" t="s">
        <v>2349</v>
      </c>
      <c r="AF433" s="364" t="s">
        <v>2445</v>
      </c>
      <c r="AG433" s="364" t="s">
        <v>2515</v>
      </c>
      <c r="AH433" s="364" t="s">
        <v>2399</v>
      </c>
      <c r="AI433" s="364" t="s">
        <v>2463</v>
      </c>
      <c r="AJ433" s="364" t="s">
        <v>2446</v>
      </c>
      <c r="AK433" s="364" t="s">
        <v>2572</v>
      </c>
      <c r="AL433" s="364" t="s">
        <v>2430</v>
      </c>
      <c r="AM433" s="364"/>
      <c r="AN433" s="364"/>
      <c r="AO433" s="364"/>
      <c r="AP433" s="364"/>
      <c r="AQ433" s="364"/>
      <c r="AR433" s="364"/>
      <c r="AS433" s="364"/>
      <c r="AT433" s="364"/>
      <c r="AU433" s="364"/>
      <c r="AV433" s="364"/>
      <c r="AW433" s="364"/>
      <c r="AX433" s="364"/>
      <c r="AY433" s="364"/>
      <c r="AZ433" s="364"/>
      <c r="BA433" s="364"/>
      <c r="BB433" s="364"/>
      <c r="BC433" s="364"/>
      <c r="BD433" s="364"/>
      <c r="BE433" s="364"/>
      <c r="BF433" s="364"/>
      <c r="BG433" s="364"/>
      <c r="BH433" s="364"/>
      <c r="BI433" s="364"/>
      <c r="BJ433" s="364"/>
      <c r="BK433" s="364"/>
      <c r="BL433" s="364"/>
      <c r="BM433" s="364"/>
      <c r="BN433" s="364"/>
      <c r="BO433" s="364"/>
      <c r="BP433" s="364"/>
      <c r="BQ433" s="364"/>
      <c r="BR433" s="364"/>
      <c r="BS433" s="364"/>
      <c r="BT433" s="364"/>
      <c r="BU433" s="364"/>
      <c r="BV433" s="364"/>
      <c r="BW433" s="364"/>
      <c r="BX433" s="364"/>
      <c r="BY433" s="364"/>
      <c r="BZ433" s="364"/>
      <c r="CA433" s="364"/>
      <c r="CB433" s="364"/>
      <c r="CC433" s="364"/>
      <c r="CD433" s="364"/>
      <c r="CE433" s="364"/>
      <c r="CF433" s="364"/>
      <c r="CG433" s="364"/>
      <c r="CH433" s="364"/>
      <c r="CI433" s="364"/>
      <c r="CJ433" s="364"/>
      <c r="CK433" s="364"/>
      <c r="CL433" s="364"/>
      <c r="CM433" s="364"/>
      <c r="CN433" s="364"/>
      <c r="CO433" s="364"/>
      <c r="CP433" s="364"/>
      <c r="CQ433" s="364"/>
      <c r="CR433" s="364"/>
      <c r="CS433" s="364"/>
      <c r="CT433" s="364"/>
      <c r="CU433" s="364"/>
      <c r="CV433" s="364"/>
      <c r="CW433" s="364"/>
      <c r="CX433" s="364"/>
      <c r="CY433" s="364"/>
      <c r="CZ433" s="364"/>
      <c r="DA433" s="364"/>
      <c r="DB433" s="364"/>
      <c r="DC433" s="364"/>
      <c r="DD433" s="364"/>
      <c r="DE433" s="364"/>
      <c r="DF433" s="364"/>
      <c r="DG433" s="364"/>
      <c r="DH433" s="364"/>
      <c r="DI433" s="364"/>
      <c r="DJ433" s="364"/>
      <c r="DK433" s="364"/>
      <c r="DL433" s="364"/>
      <c r="DM433" s="364"/>
      <c r="DN433" s="364"/>
      <c r="DO433" s="364"/>
      <c r="DP433" s="364"/>
      <c r="DQ433" s="364"/>
      <c r="DR433" s="364"/>
      <c r="DS433" s="364"/>
      <c r="DT433" s="364"/>
      <c r="DU433" s="364"/>
      <c r="DV433" s="364"/>
      <c r="DW433" s="364"/>
      <c r="DX433" s="364"/>
      <c r="DY433" s="364"/>
      <c r="DZ433" s="364"/>
      <c r="EA433" s="364"/>
      <c r="EB433" s="364"/>
      <c r="EC433" s="364"/>
      <c r="ED433" s="364"/>
      <c r="EE433" s="364"/>
      <c r="EF433" s="364"/>
      <c r="EG433" s="364"/>
      <c r="EH433" s="364"/>
      <c r="EI433" s="364"/>
      <c r="EJ433" s="364"/>
      <c r="EK433" s="364"/>
      <c r="EL433" s="364"/>
      <c r="EM433" s="364"/>
      <c r="EN433" s="364"/>
      <c r="EO433" s="364"/>
      <c r="EP433" s="364"/>
      <c r="EQ433" s="364"/>
      <c r="ER433" s="364"/>
      <c r="ES433" s="364"/>
      <c r="ET433" s="364"/>
      <c r="EU433" s="364"/>
      <c r="EV433" s="364"/>
      <c r="EW433" s="364"/>
      <c r="EX433" s="364"/>
      <c r="EY433" s="364"/>
      <c r="EZ433" s="364"/>
      <c r="FA433" s="364"/>
      <c r="FB433" s="364"/>
      <c r="FC433" s="364"/>
      <c r="FD433" s="364"/>
      <c r="FE433" s="364"/>
      <c r="FF433" s="364"/>
      <c r="FG433" s="364"/>
      <c r="FH433" s="364"/>
      <c r="FI433" s="364"/>
      <c r="FJ433" s="364"/>
      <c r="FK433" s="364"/>
    </row>
    <row r="434" customFormat="false" ht="15.75" hidden="false" customHeight="false" outlineLevel="0" collapsed="false">
      <c r="A434" s="364" t="n">
        <v>857</v>
      </c>
      <c r="B434" s="364" t="n">
        <f aca="false">COUNTA(D434:FK434)</f>
        <v>31</v>
      </c>
      <c r="C434" s="364" t="s">
        <v>2096</v>
      </c>
      <c r="D434" s="364" t="s">
        <v>2431</v>
      </c>
      <c r="E434" s="364" t="s">
        <v>2354</v>
      </c>
      <c r="F434" s="364" t="s">
        <v>2404</v>
      </c>
      <c r="G434" s="364" t="s">
        <v>2432</v>
      </c>
      <c r="H434" s="364" t="s">
        <v>2433</v>
      </c>
      <c r="I434" s="364" t="s">
        <v>2464</v>
      </c>
      <c r="J434" s="364" t="s">
        <v>2358</v>
      </c>
      <c r="K434" s="364" t="s">
        <v>2436</v>
      </c>
      <c r="L434" s="364" t="s">
        <v>2319</v>
      </c>
      <c r="M434" s="364" t="s">
        <v>2320</v>
      </c>
      <c r="N434" s="364" t="s">
        <v>2411</v>
      </c>
      <c r="O434" s="364" t="s">
        <v>2324</v>
      </c>
      <c r="P434" s="364" t="s">
        <v>2328</v>
      </c>
      <c r="Q434" s="364" t="s">
        <v>2329</v>
      </c>
      <c r="R434" s="261" t="s">
        <v>183</v>
      </c>
      <c r="S434" s="364" t="s">
        <v>2454</v>
      </c>
      <c r="T434" s="364" t="s">
        <v>2337</v>
      </c>
      <c r="U434" s="364" t="s">
        <v>2340</v>
      </c>
      <c r="V434" s="364" t="s">
        <v>2470</v>
      </c>
      <c r="W434" s="364" t="s">
        <v>2422</v>
      </c>
      <c r="X434" s="364" t="s">
        <v>2394</v>
      </c>
      <c r="Y434" s="364" t="s">
        <v>2344</v>
      </c>
      <c r="Z434" s="364" t="s">
        <v>2345</v>
      </c>
      <c r="AA434" s="364" t="s">
        <v>2570</v>
      </c>
      <c r="AB434" s="364" t="s">
        <v>2475</v>
      </c>
      <c r="AC434" s="364" t="s">
        <v>2476</v>
      </c>
      <c r="AD434" s="364" t="s">
        <v>2595</v>
      </c>
      <c r="AE434" s="364" t="s">
        <v>2492</v>
      </c>
      <c r="AF434" s="364" t="s">
        <v>2477</v>
      </c>
      <c r="AG434" s="364" t="s">
        <v>2458</v>
      </c>
      <c r="AH434" s="364" t="s">
        <v>2493</v>
      </c>
      <c r="AI434" s="364"/>
      <c r="AJ434" s="364"/>
      <c r="AK434" s="364"/>
      <c r="AL434" s="364"/>
      <c r="AM434" s="364"/>
      <c r="AN434" s="364"/>
      <c r="AO434" s="364"/>
      <c r="AP434" s="364"/>
      <c r="AQ434" s="364"/>
      <c r="AR434" s="364"/>
      <c r="AS434" s="364"/>
      <c r="AT434" s="364"/>
      <c r="AU434" s="364"/>
      <c r="AV434" s="364"/>
      <c r="AW434" s="364"/>
      <c r="AX434" s="364"/>
      <c r="AY434" s="364"/>
      <c r="AZ434" s="364"/>
      <c r="BA434" s="364"/>
      <c r="BB434" s="364"/>
      <c r="BC434" s="364"/>
      <c r="BD434" s="364"/>
      <c r="BE434" s="364"/>
      <c r="BF434" s="364"/>
      <c r="BG434" s="364"/>
      <c r="BH434" s="364"/>
      <c r="BI434" s="364"/>
      <c r="BJ434" s="364"/>
      <c r="BK434" s="364"/>
      <c r="BL434" s="364"/>
      <c r="BM434" s="364"/>
      <c r="BN434" s="364"/>
      <c r="BO434" s="364"/>
      <c r="BP434" s="364"/>
      <c r="BQ434" s="364"/>
      <c r="BR434" s="364"/>
      <c r="BS434" s="364"/>
      <c r="BT434" s="364"/>
      <c r="BU434" s="364"/>
      <c r="BV434" s="364"/>
      <c r="BW434" s="364"/>
      <c r="BX434" s="364"/>
      <c r="BY434" s="364"/>
      <c r="BZ434" s="364"/>
      <c r="CA434" s="364"/>
      <c r="CB434" s="364"/>
      <c r="CC434" s="364"/>
      <c r="CD434" s="364"/>
      <c r="CE434" s="364"/>
      <c r="CF434" s="364"/>
      <c r="CG434" s="364"/>
      <c r="CH434" s="364"/>
      <c r="CI434" s="364"/>
      <c r="CJ434" s="364"/>
      <c r="CK434" s="364"/>
      <c r="CL434" s="364"/>
      <c r="CM434" s="364"/>
      <c r="CN434" s="364"/>
      <c r="CO434" s="364"/>
      <c r="CP434" s="364"/>
      <c r="CQ434" s="364"/>
      <c r="CR434" s="364"/>
      <c r="CS434" s="364"/>
      <c r="CT434" s="364"/>
      <c r="CU434" s="364"/>
      <c r="CV434" s="364"/>
      <c r="CW434" s="364"/>
      <c r="CX434" s="364"/>
      <c r="CY434" s="364"/>
      <c r="CZ434" s="364"/>
      <c r="DA434" s="364"/>
      <c r="DB434" s="364"/>
      <c r="DC434" s="364"/>
      <c r="DD434" s="364"/>
      <c r="DE434" s="364"/>
      <c r="DF434" s="364"/>
      <c r="DG434" s="364"/>
      <c r="DH434" s="364"/>
      <c r="DI434" s="364"/>
      <c r="DJ434" s="364"/>
      <c r="DK434" s="364"/>
      <c r="DL434" s="364"/>
      <c r="DM434" s="364"/>
      <c r="DN434" s="364"/>
      <c r="DO434" s="364"/>
      <c r="DP434" s="364"/>
      <c r="DQ434" s="364"/>
      <c r="DR434" s="364"/>
      <c r="DS434" s="364"/>
      <c r="DT434" s="364"/>
      <c r="DU434" s="364"/>
      <c r="DV434" s="364"/>
      <c r="DW434" s="364"/>
      <c r="DX434" s="364"/>
      <c r="DY434" s="364"/>
      <c r="DZ434" s="364"/>
      <c r="EA434" s="364"/>
      <c r="EB434" s="364"/>
      <c r="EC434" s="364"/>
      <c r="ED434" s="364"/>
      <c r="EE434" s="364"/>
      <c r="EF434" s="364"/>
      <c r="EG434" s="364"/>
      <c r="EH434" s="364"/>
      <c r="EI434" s="364"/>
      <c r="EJ434" s="364"/>
      <c r="EK434" s="364"/>
      <c r="EL434" s="364"/>
      <c r="EM434" s="364"/>
      <c r="EN434" s="364"/>
      <c r="EO434" s="364"/>
      <c r="EP434" s="364"/>
      <c r="EQ434" s="364"/>
      <c r="ER434" s="364"/>
      <c r="ES434" s="364"/>
      <c r="ET434" s="364"/>
      <c r="EU434" s="364"/>
      <c r="EV434" s="364"/>
      <c r="EW434" s="364"/>
      <c r="EX434" s="364"/>
      <c r="EY434" s="364"/>
      <c r="EZ434" s="364"/>
      <c r="FA434" s="364"/>
      <c r="FB434" s="364"/>
      <c r="FC434" s="364"/>
      <c r="FD434" s="364"/>
      <c r="FE434" s="364"/>
      <c r="FF434" s="364"/>
      <c r="FG434" s="364"/>
      <c r="FH434" s="364"/>
      <c r="FI434" s="364"/>
      <c r="FJ434" s="364"/>
      <c r="FK434" s="364"/>
    </row>
    <row r="435" customFormat="false" ht="15.75" hidden="false" customHeight="false" outlineLevel="0" collapsed="false">
      <c r="A435" s="364" t="n">
        <v>859</v>
      </c>
      <c r="B435" s="364" t="n">
        <f aca="false">COUNTA(D435:FK435)</f>
        <v>40</v>
      </c>
      <c r="C435" s="364" t="s">
        <v>2100</v>
      </c>
      <c r="D435" s="364" t="s">
        <v>2403</v>
      </c>
      <c r="E435" s="364" t="s">
        <v>2405</v>
      </c>
      <c r="F435" s="364" t="s">
        <v>2356</v>
      </c>
      <c r="G435" s="364" t="s">
        <v>2357</v>
      </c>
      <c r="H435" s="364" t="s">
        <v>2407</v>
      </c>
      <c r="I435" s="364" t="s">
        <v>2408</v>
      </c>
      <c r="J435" s="364" t="s">
        <v>2313</v>
      </c>
      <c r="K435" s="364" t="s">
        <v>2541</v>
      </c>
      <c r="L435" s="364" t="s">
        <v>2621</v>
      </c>
      <c r="M435" s="364" t="s">
        <v>2520</v>
      </c>
      <c r="N435" s="364" t="s">
        <v>2543</v>
      </c>
      <c r="O435" s="364" t="s">
        <v>2364</v>
      </c>
      <c r="P435" s="364" t="s">
        <v>2317</v>
      </c>
      <c r="Q435" s="364" t="s">
        <v>2448</v>
      </c>
      <c r="R435" s="364" t="s">
        <v>2320</v>
      </c>
      <c r="S435" s="364" t="s">
        <v>2376</v>
      </c>
      <c r="T435" s="364" t="s">
        <v>2377</v>
      </c>
      <c r="U435" s="364" t="s">
        <v>2502</v>
      </c>
      <c r="V435" s="364" t="s">
        <v>2324</v>
      </c>
      <c r="W435" s="364" t="s">
        <v>2328</v>
      </c>
      <c r="X435" s="364" t="s">
        <v>2415</v>
      </c>
      <c r="Y435" s="364" t="s">
        <v>2726</v>
      </c>
      <c r="Z435" s="364" t="s">
        <v>2416</v>
      </c>
      <c r="AA435" s="364" t="s">
        <v>2417</v>
      </c>
      <c r="AB435" s="364" t="s">
        <v>2506</v>
      </c>
      <c r="AC435" s="364" t="s">
        <v>2452</v>
      </c>
      <c r="AD435" s="364" t="s">
        <v>2387</v>
      </c>
      <c r="AE435" s="364" t="s">
        <v>2455</v>
      </c>
      <c r="AF435" s="364" t="s">
        <v>2337</v>
      </c>
      <c r="AG435" s="364" t="s">
        <v>2388</v>
      </c>
      <c r="AH435" s="364" t="s">
        <v>2339</v>
      </c>
      <c r="AI435" s="364" t="s">
        <v>2389</v>
      </c>
      <c r="AJ435" s="364" t="s">
        <v>2340</v>
      </c>
      <c r="AK435" s="364" t="s">
        <v>2421</v>
      </c>
      <c r="AL435" s="364" t="s">
        <v>2344</v>
      </c>
      <c r="AM435" s="364" t="s">
        <v>2500</v>
      </c>
      <c r="AN435" s="364" t="s">
        <v>2511</v>
      </c>
      <c r="AO435" s="364" t="s">
        <v>2445</v>
      </c>
      <c r="AP435" s="364" t="s">
        <v>2399</v>
      </c>
      <c r="AQ435" s="364" t="s">
        <v>2430</v>
      </c>
      <c r="AR435" s="364"/>
      <c r="AS435" s="364"/>
      <c r="AT435" s="364"/>
      <c r="AU435" s="364"/>
      <c r="AV435" s="364"/>
      <c r="AW435" s="364"/>
      <c r="AX435" s="364"/>
      <c r="AY435" s="364"/>
      <c r="AZ435" s="364"/>
      <c r="BA435" s="364"/>
      <c r="BB435" s="364"/>
      <c r="BC435" s="364"/>
      <c r="BD435" s="364"/>
      <c r="BE435" s="364"/>
      <c r="BF435" s="364"/>
      <c r="BG435" s="364"/>
      <c r="BH435" s="364"/>
      <c r="BI435" s="364"/>
      <c r="BJ435" s="364"/>
      <c r="BK435" s="364"/>
      <c r="BL435" s="364"/>
      <c r="BM435" s="364"/>
      <c r="BN435" s="364"/>
      <c r="BO435" s="364"/>
      <c r="BP435" s="364"/>
      <c r="BQ435" s="364"/>
      <c r="BR435" s="364"/>
      <c r="BS435" s="364"/>
      <c r="BT435" s="364"/>
      <c r="BU435" s="364"/>
      <c r="BV435" s="364"/>
      <c r="BW435" s="364"/>
      <c r="BX435" s="364"/>
      <c r="BY435" s="364"/>
      <c r="BZ435" s="364"/>
      <c r="CA435" s="364"/>
      <c r="CB435" s="364"/>
      <c r="CC435" s="364"/>
      <c r="CD435" s="364"/>
      <c r="CE435" s="364"/>
      <c r="CF435" s="364"/>
      <c r="CG435" s="364"/>
      <c r="CH435" s="364"/>
      <c r="CI435" s="364"/>
      <c r="CJ435" s="364"/>
      <c r="CK435" s="364"/>
      <c r="CL435" s="364"/>
      <c r="CM435" s="364"/>
      <c r="CN435" s="364"/>
      <c r="CO435" s="364"/>
      <c r="CP435" s="364"/>
      <c r="CQ435" s="364"/>
      <c r="CR435" s="364"/>
      <c r="CS435" s="364"/>
      <c r="CT435" s="364"/>
      <c r="CU435" s="364"/>
      <c r="CV435" s="364"/>
      <c r="CW435" s="364"/>
      <c r="CX435" s="364"/>
      <c r="CY435" s="364"/>
      <c r="CZ435" s="364"/>
      <c r="DA435" s="364"/>
      <c r="DB435" s="364"/>
      <c r="DC435" s="364"/>
      <c r="DD435" s="364"/>
      <c r="DE435" s="364"/>
      <c r="DF435" s="364"/>
      <c r="DG435" s="364"/>
      <c r="DH435" s="364"/>
      <c r="DI435" s="364"/>
      <c r="DJ435" s="364"/>
      <c r="DK435" s="364"/>
      <c r="DL435" s="364"/>
      <c r="DM435" s="364"/>
      <c r="DN435" s="364"/>
      <c r="DO435" s="364"/>
      <c r="DP435" s="364"/>
      <c r="DQ435" s="364"/>
      <c r="DR435" s="364"/>
      <c r="DS435" s="364"/>
      <c r="DT435" s="364"/>
      <c r="DU435" s="364"/>
      <c r="DV435" s="364"/>
      <c r="DW435" s="364"/>
      <c r="DX435" s="364"/>
      <c r="DY435" s="364"/>
      <c r="DZ435" s="364"/>
      <c r="EA435" s="364"/>
      <c r="EB435" s="364"/>
      <c r="EC435" s="364"/>
      <c r="ED435" s="364"/>
      <c r="EE435" s="364"/>
      <c r="EF435" s="364"/>
      <c r="EG435" s="364"/>
      <c r="EH435" s="364"/>
      <c r="EI435" s="364"/>
      <c r="EJ435" s="364"/>
      <c r="EK435" s="364"/>
      <c r="EL435" s="364"/>
      <c r="EM435" s="364"/>
      <c r="EN435" s="364"/>
      <c r="EO435" s="364"/>
      <c r="EP435" s="364"/>
      <c r="EQ435" s="364"/>
      <c r="ER435" s="364"/>
      <c r="ES435" s="364"/>
      <c r="ET435" s="364"/>
      <c r="EU435" s="364"/>
      <c r="EV435" s="364"/>
      <c r="EW435" s="364"/>
      <c r="EX435" s="364"/>
      <c r="EY435" s="364"/>
      <c r="EZ435" s="364"/>
      <c r="FA435" s="364"/>
      <c r="FB435" s="364"/>
      <c r="FC435" s="364"/>
      <c r="FD435" s="364"/>
      <c r="FE435" s="364"/>
      <c r="FF435" s="364"/>
      <c r="FG435" s="364"/>
      <c r="FH435" s="364"/>
      <c r="FI435" s="364"/>
      <c r="FJ435" s="364"/>
      <c r="FK435" s="364"/>
    </row>
    <row r="436" customFormat="false" ht="15.75" hidden="false" customHeight="false" outlineLevel="0" collapsed="false">
      <c r="A436" s="364" t="n">
        <v>860</v>
      </c>
      <c r="B436" s="364" t="n">
        <f aca="false">COUNTA(D436:FK436)</f>
        <v>21</v>
      </c>
      <c r="C436" s="364" t="s">
        <v>2102</v>
      </c>
      <c r="D436" s="364" t="s">
        <v>2431</v>
      </c>
      <c r="E436" s="364" t="s">
        <v>2352</v>
      </c>
      <c r="F436" s="364" t="s">
        <v>2353</v>
      </c>
      <c r="G436" s="364" t="s">
        <v>2354</v>
      </c>
      <c r="H436" s="364" t="s">
        <v>2465</v>
      </c>
      <c r="I436" s="364" t="s">
        <v>2519</v>
      </c>
      <c r="J436" s="364" t="s">
        <v>2320</v>
      </c>
      <c r="K436" s="364" t="s">
        <v>2375</v>
      </c>
      <c r="L436" s="364" t="s">
        <v>2328</v>
      </c>
      <c r="M436" s="364" t="s">
        <v>2459</v>
      </c>
      <c r="N436" s="364" t="s">
        <v>2417</v>
      </c>
      <c r="O436" s="364" t="s">
        <v>2480</v>
      </c>
      <c r="P436" s="364" t="s">
        <v>2460</v>
      </c>
      <c r="Q436" s="364" t="s">
        <v>2582</v>
      </c>
      <c r="R436" s="364" t="s">
        <v>2337</v>
      </c>
      <c r="S436" s="364" t="s">
        <v>2727</v>
      </c>
      <c r="T436" s="364" t="s">
        <v>2340</v>
      </c>
      <c r="U436" s="364" t="s">
        <v>2462</v>
      </c>
      <c r="V436" s="364" t="s">
        <v>2344</v>
      </c>
      <c r="W436" s="364" t="s">
        <v>2396</v>
      </c>
      <c r="X436" s="364" t="s">
        <v>2446</v>
      </c>
      <c r="Y436" s="364"/>
      <c r="Z436" s="364"/>
      <c r="AA436" s="364"/>
      <c r="AB436" s="364"/>
      <c r="AC436" s="364"/>
      <c r="AD436" s="364"/>
      <c r="AE436" s="364"/>
      <c r="AF436" s="364"/>
      <c r="AG436" s="364"/>
      <c r="AH436" s="364"/>
      <c r="AI436" s="364"/>
      <c r="AJ436" s="364"/>
      <c r="AK436" s="364"/>
      <c r="AL436" s="364"/>
      <c r="AM436" s="364"/>
      <c r="AN436" s="364"/>
      <c r="AO436" s="364"/>
      <c r="AP436" s="364"/>
      <c r="AQ436" s="364"/>
      <c r="AR436" s="364"/>
      <c r="AS436" s="364"/>
      <c r="AT436" s="364"/>
      <c r="AU436" s="364"/>
      <c r="AV436" s="364"/>
      <c r="AW436" s="364"/>
      <c r="AX436" s="364"/>
      <c r="AY436" s="364"/>
      <c r="AZ436" s="364"/>
      <c r="BA436" s="364"/>
      <c r="BB436" s="364"/>
      <c r="BC436" s="364"/>
      <c r="BD436" s="364"/>
      <c r="BE436" s="364"/>
      <c r="BF436" s="364"/>
      <c r="BG436" s="364"/>
      <c r="BH436" s="364"/>
      <c r="BI436" s="364"/>
      <c r="BJ436" s="364"/>
      <c r="BK436" s="364"/>
      <c r="BL436" s="364"/>
      <c r="BM436" s="364"/>
      <c r="BN436" s="364"/>
      <c r="BO436" s="364"/>
      <c r="BP436" s="364"/>
      <c r="BQ436" s="364"/>
      <c r="BR436" s="364"/>
      <c r="BS436" s="364"/>
      <c r="BT436" s="364"/>
      <c r="BU436" s="364"/>
      <c r="BV436" s="364"/>
      <c r="BW436" s="364"/>
      <c r="BX436" s="364"/>
      <c r="BY436" s="364"/>
      <c r="BZ436" s="364"/>
      <c r="CA436" s="364"/>
      <c r="CB436" s="364"/>
      <c r="CC436" s="364"/>
      <c r="CD436" s="364"/>
      <c r="CE436" s="364"/>
      <c r="CF436" s="364"/>
      <c r="CG436" s="364"/>
      <c r="CH436" s="364"/>
      <c r="CI436" s="364"/>
      <c r="CJ436" s="364"/>
      <c r="CK436" s="364"/>
      <c r="CL436" s="364"/>
      <c r="CM436" s="364"/>
      <c r="CN436" s="364"/>
      <c r="CO436" s="364"/>
      <c r="CP436" s="364"/>
      <c r="CQ436" s="364"/>
      <c r="CR436" s="364"/>
      <c r="CS436" s="364"/>
      <c r="CT436" s="364"/>
      <c r="CU436" s="364"/>
      <c r="CV436" s="364"/>
      <c r="CW436" s="364"/>
      <c r="CX436" s="364"/>
      <c r="CY436" s="364"/>
      <c r="CZ436" s="364"/>
      <c r="DA436" s="364"/>
      <c r="DB436" s="364"/>
      <c r="DC436" s="364"/>
      <c r="DD436" s="364"/>
      <c r="DE436" s="364"/>
      <c r="DF436" s="364"/>
      <c r="DG436" s="364"/>
      <c r="DH436" s="364"/>
      <c r="DI436" s="364"/>
      <c r="DJ436" s="364"/>
      <c r="DK436" s="364"/>
      <c r="DL436" s="364"/>
      <c r="DM436" s="364"/>
      <c r="DN436" s="364"/>
      <c r="DO436" s="364"/>
      <c r="DP436" s="364"/>
      <c r="DQ436" s="364"/>
      <c r="DR436" s="364"/>
      <c r="DS436" s="364"/>
      <c r="DT436" s="364"/>
      <c r="DU436" s="364"/>
      <c r="DV436" s="364"/>
      <c r="DW436" s="364"/>
      <c r="DX436" s="364"/>
      <c r="DY436" s="364"/>
      <c r="DZ436" s="364"/>
      <c r="EA436" s="364"/>
      <c r="EB436" s="364"/>
      <c r="EC436" s="364"/>
      <c r="ED436" s="364"/>
      <c r="EE436" s="364"/>
      <c r="EF436" s="364"/>
      <c r="EG436" s="364"/>
      <c r="EH436" s="364"/>
      <c r="EI436" s="364"/>
      <c r="EJ436" s="364"/>
      <c r="EK436" s="364"/>
      <c r="EL436" s="364"/>
      <c r="EM436" s="364"/>
      <c r="EN436" s="364"/>
      <c r="EO436" s="364"/>
      <c r="EP436" s="364"/>
      <c r="EQ436" s="364"/>
      <c r="ER436" s="364"/>
      <c r="ES436" s="364"/>
      <c r="ET436" s="364"/>
      <c r="EU436" s="364"/>
      <c r="EV436" s="364"/>
      <c r="EW436" s="364"/>
      <c r="EX436" s="364"/>
      <c r="EY436" s="364"/>
      <c r="EZ436" s="364"/>
      <c r="FA436" s="364"/>
      <c r="FB436" s="364"/>
      <c r="FC436" s="364"/>
      <c r="FD436" s="364"/>
      <c r="FE436" s="364"/>
      <c r="FF436" s="364"/>
      <c r="FG436" s="364"/>
      <c r="FH436" s="364"/>
      <c r="FI436" s="364"/>
      <c r="FJ436" s="364"/>
      <c r="FK436" s="364"/>
    </row>
    <row r="437" customFormat="false" ht="15.75" hidden="false" customHeight="false" outlineLevel="0" collapsed="false">
      <c r="A437" s="364" t="n">
        <v>862</v>
      </c>
      <c r="B437" s="364" t="n">
        <f aca="false">COUNTA(D437:FK437)</f>
        <v>27</v>
      </c>
      <c r="C437" s="364" t="s">
        <v>2106</v>
      </c>
      <c r="D437" s="364" t="s">
        <v>2527</v>
      </c>
      <c r="E437" s="364" t="s">
        <v>2431</v>
      </c>
      <c r="F437" s="364" t="s">
        <v>2352</v>
      </c>
      <c r="G437" s="364" t="s">
        <v>2432</v>
      </c>
      <c r="H437" s="364" t="s">
        <v>2433</v>
      </c>
      <c r="I437" s="364" t="s">
        <v>2465</v>
      </c>
      <c r="J437" s="364" t="s">
        <v>2517</v>
      </c>
      <c r="K437" s="364" t="s">
        <v>2624</v>
      </c>
      <c r="L437" s="364" t="s">
        <v>2435</v>
      </c>
      <c r="M437" s="364" t="s">
        <v>2319</v>
      </c>
      <c r="N437" s="364" t="s">
        <v>2320</v>
      </c>
      <c r="O437" s="364" t="s">
        <v>2640</v>
      </c>
      <c r="P437" s="364" t="s">
        <v>2328</v>
      </c>
      <c r="Q437" s="364" t="s">
        <v>2438</v>
      </c>
      <c r="R437" s="364" t="s">
        <v>2468</v>
      </c>
      <c r="S437" s="364" t="s">
        <v>2507</v>
      </c>
      <c r="T437" s="364" t="s">
        <v>2728</v>
      </c>
      <c r="U437" s="364" t="s">
        <v>157</v>
      </c>
      <c r="V437" s="364" t="s">
        <v>2337</v>
      </c>
      <c r="W437" s="364" t="s">
        <v>2340</v>
      </c>
      <c r="X437" s="364" t="s">
        <v>2422</v>
      </c>
      <c r="Y437" s="364" t="s">
        <v>2443</v>
      </c>
      <c r="Z437" s="364" t="s">
        <v>2344</v>
      </c>
      <c r="AA437" s="364" t="s">
        <v>2345</v>
      </c>
      <c r="AB437" s="364" t="s">
        <v>2444</v>
      </c>
      <c r="AC437" s="364" t="s">
        <v>2445</v>
      </c>
      <c r="AD437" s="364" t="s">
        <v>2446</v>
      </c>
      <c r="AE437" s="364"/>
      <c r="AF437" s="364"/>
      <c r="AG437" s="364"/>
      <c r="AH437" s="364"/>
      <c r="AI437" s="364"/>
      <c r="AJ437" s="364"/>
      <c r="AK437" s="364"/>
      <c r="AL437" s="364"/>
      <c r="AM437" s="364"/>
      <c r="AN437" s="364"/>
      <c r="AO437" s="364"/>
      <c r="AP437" s="364"/>
      <c r="AQ437" s="364"/>
      <c r="AR437" s="364"/>
      <c r="AS437" s="364"/>
      <c r="AT437" s="364"/>
      <c r="AU437" s="364"/>
      <c r="AV437" s="364"/>
      <c r="AW437" s="364"/>
      <c r="AX437" s="364"/>
      <c r="AY437" s="364"/>
      <c r="AZ437" s="364"/>
      <c r="BA437" s="364"/>
      <c r="BB437" s="364"/>
      <c r="BC437" s="364"/>
      <c r="BD437" s="364"/>
      <c r="BE437" s="364"/>
      <c r="BF437" s="364"/>
      <c r="BG437" s="364"/>
      <c r="BH437" s="364"/>
      <c r="BI437" s="364"/>
      <c r="BJ437" s="364"/>
      <c r="BK437" s="364"/>
      <c r="BL437" s="364"/>
      <c r="BM437" s="364"/>
      <c r="BN437" s="364"/>
      <c r="BO437" s="364"/>
      <c r="BP437" s="364"/>
      <c r="BQ437" s="364"/>
      <c r="BR437" s="364"/>
      <c r="BS437" s="364"/>
      <c r="BT437" s="364"/>
      <c r="BU437" s="364"/>
      <c r="BV437" s="364"/>
      <c r="BW437" s="364"/>
      <c r="BX437" s="364"/>
      <c r="BY437" s="364"/>
      <c r="BZ437" s="364"/>
      <c r="CA437" s="364"/>
      <c r="CB437" s="364"/>
      <c r="CC437" s="364"/>
      <c r="CD437" s="364"/>
      <c r="CE437" s="364"/>
      <c r="CF437" s="364"/>
      <c r="CG437" s="364"/>
      <c r="CH437" s="364"/>
      <c r="CI437" s="364"/>
      <c r="CJ437" s="364"/>
      <c r="CK437" s="364"/>
      <c r="CL437" s="364"/>
      <c r="CM437" s="364"/>
      <c r="CN437" s="364"/>
      <c r="CO437" s="364"/>
      <c r="CP437" s="364"/>
      <c r="CQ437" s="364"/>
      <c r="CR437" s="364"/>
      <c r="CS437" s="364"/>
      <c r="CT437" s="364"/>
      <c r="CU437" s="364"/>
      <c r="CV437" s="364"/>
      <c r="CW437" s="364"/>
      <c r="CX437" s="364"/>
      <c r="CY437" s="364"/>
      <c r="CZ437" s="364"/>
      <c r="DA437" s="364"/>
      <c r="DB437" s="364"/>
      <c r="DC437" s="364"/>
      <c r="DD437" s="364"/>
      <c r="DE437" s="364"/>
      <c r="DF437" s="364"/>
      <c r="DG437" s="364"/>
      <c r="DH437" s="364"/>
      <c r="DI437" s="364"/>
      <c r="DJ437" s="364"/>
      <c r="DK437" s="364"/>
      <c r="DL437" s="364"/>
      <c r="DM437" s="364"/>
      <c r="DN437" s="364"/>
      <c r="DO437" s="364"/>
      <c r="DP437" s="364"/>
      <c r="DQ437" s="364"/>
      <c r="DR437" s="364"/>
      <c r="DS437" s="364"/>
      <c r="DT437" s="364"/>
      <c r="DU437" s="364"/>
      <c r="DV437" s="364"/>
      <c r="DW437" s="364"/>
      <c r="DX437" s="364"/>
      <c r="DY437" s="364"/>
      <c r="DZ437" s="364"/>
      <c r="EA437" s="364"/>
      <c r="EB437" s="364"/>
      <c r="EC437" s="364"/>
      <c r="ED437" s="364"/>
      <c r="EE437" s="364"/>
      <c r="EF437" s="364"/>
      <c r="EG437" s="364"/>
      <c r="EH437" s="364"/>
      <c r="EI437" s="364"/>
      <c r="EJ437" s="364"/>
      <c r="EK437" s="364"/>
      <c r="EL437" s="364"/>
      <c r="EM437" s="364"/>
      <c r="EN437" s="364"/>
      <c r="EO437" s="364"/>
      <c r="EP437" s="364"/>
      <c r="EQ437" s="364"/>
      <c r="ER437" s="364"/>
      <c r="ES437" s="364"/>
      <c r="ET437" s="364"/>
      <c r="EU437" s="364"/>
      <c r="EV437" s="364"/>
      <c r="EW437" s="364"/>
      <c r="EX437" s="364"/>
      <c r="EY437" s="364"/>
      <c r="EZ437" s="364"/>
      <c r="FA437" s="364"/>
      <c r="FB437" s="364"/>
      <c r="FC437" s="364"/>
      <c r="FD437" s="364"/>
      <c r="FE437" s="364"/>
      <c r="FF437" s="364"/>
      <c r="FG437" s="364"/>
      <c r="FH437" s="364"/>
      <c r="FI437" s="364"/>
      <c r="FJ437" s="364"/>
      <c r="FK437" s="364"/>
    </row>
    <row r="438" customFormat="false" ht="15.75" hidden="false" customHeight="false" outlineLevel="0" collapsed="false">
      <c r="A438" s="364" t="n">
        <v>864</v>
      </c>
      <c r="B438" s="364" t="n">
        <f aca="false">COUNTA(D438:FK438)</f>
        <v>28</v>
      </c>
      <c r="C438" s="364" t="s">
        <v>2113</v>
      </c>
      <c r="D438" s="364" t="s">
        <v>2729</v>
      </c>
      <c r="E438" s="364" t="s">
        <v>2404</v>
      </c>
      <c r="F438" s="364" t="s">
        <v>2356</v>
      </c>
      <c r="G438" s="364" t="s">
        <v>2465</v>
      </c>
      <c r="H438" s="364" t="s">
        <v>2466</v>
      </c>
      <c r="I438" s="364" t="s">
        <v>184</v>
      </c>
      <c r="J438" s="364" t="s">
        <v>2497</v>
      </c>
      <c r="K438" s="364" t="s">
        <v>2318</v>
      </c>
      <c r="L438" s="364" t="s">
        <v>2448</v>
      </c>
      <c r="M438" s="364" t="s">
        <v>2320</v>
      </c>
      <c r="N438" s="364" t="s">
        <v>2328</v>
      </c>
      <c r="O438" s="364" t="s">
        <v>2521</v>
      </c>
      <c r="P438" s="364" t="s">
        <v>2506</v>
      </c>
      <c r="Q438" s="364" t="s">
        <v>2381</v>
      </c>
      <c r="R438" s="364" t="s">
        <v>2468</v>
      </c>
      <c r="S438" s="364" t="s">
        <v>2461</v>
      </c>
      <c r="T438" s="364" t="s">
        <v>2337</v>
      </c>
      <c r="U438" s="364" t="s">
        <v>2338</v>
      </c>
      <c r="V438" s="364" t="s">
        <v>2388</v>
      </c>
      <c r="W438" s="364" t="s">
        <v>2565</v>
      </c>
      <c r="X438" s="364" t="s">
        <v>2389</v>
      </c>
      <c r="Y438" s="364" t="s">
        <v>2340</v>
      </c>
      <c r="Z438" s="364" t="s">
        <v>2472</v>
      </c>
      <c r="AA438" s="364" t="s">
        <v>2344</v>
      </c>
      <c r="AB438" s="364" t="s">
        <v>2346</v>
      </c>
      <c r="AC438" s="364" t="s">
        <v>2500</v>
      </c>
      <c r="AD438" s="364" t="s">
        <v>2348</v>
      </c>
      <c r="AE438" s="364" t="s">
        <v>2430</v>
      </c>
      <c r="AF438" s="364"/>
      <c r="AG438" s="364"/>
      <c r="AH438" s="364"/>
      <c r="AI438" s="364"/>
      <c r="AJ438" s="364"/>
      <c r="AK438" s="364"/>
      <c r="AL438" s="364"/>
      <c r="AM438" s="364"/>
      <c r="AN438" s="364"/>
      <c r="AO438" s="364"/>
      <c r="AP438" s="364"/>
      <c r="AQ438" s="364"/>
      <c r="AR438" s="364"/>
      <c r="AS438" s="364"/>
      <c r="AT438" s="364"/>
      <c r="AU438" s="364"/>
      <c r="AV438" s="364"/>
      <c r="AW438" s="364"/>
      <c r="AX438" s="364"/>
      <c r="AY438" s="364"/>
      <c r="AZ438" s="364"/>
      <c r="BA438" s="364"/>
      <c r="BB438" s="364"/>
      <c r="BC438" s="364"/>
      <c r="BD438" s="364"/>
      <c r="BE438" s="364"/>
      <c r="BF438" s="364"/>
      <c r="BG438" s="364"/>
      <c r="BH438" s="364"/>
      <c r="BI438" s="364"/>
      <c r="BJ438" s="364"/>
      <c r="BK438" s="364"/>
      <c r="BL438" s="364"/>
      <c r="BM438" s="364"/>
      <c r="BN438" s="364"/>
      <c r="BO438" s="364"/>
      <c r="BP438" s="364"/>
      <c r="BQ438" s="364"/>
      <c r="BR438" s="364"/>
      <c r="BS438" s="364"/>
      <c r="BT438" s="364"/>
      <c r="BU438" s="364"/>
      <c r="BV438" s="364"/>
      <c r="BW438" s="364"/>
      <c r="BX438" s="364"/>
      <c r="BY438" s="364"/>
      <c r="BZ438" s="364"/>
      <c r="CA438" s="364"/>
      <c r="CB438" s="364"/>
      <c r="CC438" s="364"/>
      <c r="CD438" s="364"/>
      <c r="CE438" s="364"/>
      <c r="CF438" s="364"/>
      <c r="CG438" s="364"/>
      <c r="CH438" s="364"/>
      <c r="CI438" s="364"/>
      <c r="CJ438" s="364"/>
      <c r="CK438" s="364"/>
      <c r="CL438" s="364"/>
      <c r="CM438" s="364"/>
      <c r="CN438" s="364"/>
      <c r="CO438" s="364"/>
      <c r="CP438" s="364"/>
      <c r="CQ438" s="364"/>
      <c r="CR438" s="364"/>
      <c r="CS438" s="364"/>
      <c r="CT438" s="364"/>
      <c r="CU438" s="364"/>
      <c r="CV438" s="364"/>
      <c r="CW438" s="364"/>
      <c r="CX438" s="364"/>
      <c r="CY438" s="364"/>
      <c r="CZ438" s="364"/>
      <c r="DA438" s="364"/>
      <c r="DB438" s="364"/>
      <c r="DC438" s="364"/>
      <c r="DD438" s="364"/>
      <c r="DE438" s="364"/>
      <c r="DF438" s="364"/>
      <c r="DG438" s="364"/>
      <c r="DH438" s="364"/>
      <c r="DI438" s="364"/>
      <c r="DJ438" s="364"/>
      <c r="DK438" s="364"/>
      <c r="DL438" s="364"/>
      <c r="DM438" s="364"/>
      <c r="DN438" s="364"/>
      <c r="DO438" s="364"/>
      <c r="DP438" s="364"/>
      <c r="DQ438" s="364"/>
      <c r="DR438" s="364"/>
      <c r="DS438" s="364"/>
      <c r="DT438" s="364"/>
      <c r="DU438" s="364"/>
      <c r="DV438" s="364"/>
      <c r="DW438" s="364"/>
      <c r="DX438" s="364"/>
      <c r="DY438" s="364"/>
      <c r="DZ438" s="364"/>
      <c r="EA438" s="364"/>
      <c r="EB438" s="364"/>
      <c r="EC438" s="364"/>
      <c r="ED438" s="364"/>
      <c r="EE438" s="364"/>
      <c r="EF438" s="364"/>
      <c r="EG438" s="364"/>
      <c r="EH438" s="364"/>
      <c r="EI438" s="364"/>
      <c r="EJ438" s="364"/>
      <c r="EK438" s="364"/>
      <c r="EL438" s="364"/>
      <c r="EM438" s="364"/>
      <c r="EN438" s="364"/>
      <c r="EO438" s="364"/>
      <c r="EP438" s="364"/>
      <c r="EQ438" s="364"/>
      <c r="ER438" s="364"/>
      <c r="ES438" s="364"/>
      <c r="ET438" s="364"/>
      <c r="EU438" s="364"/>
      <c r="EV438" s="364"/>
      <c r="EW438" s="364"/>
      <c r="EX438" s="364"/>
      <c r="EY438" s="364"/>
      <c r="EZ438" s="364"/>
      <c r="FA438" s="364"/>
      <c r="FB438" s="364"/>
      <c r="FC438" s="364"/>
      <c r="FD438" s="364"/>
      <c r="FE438" s="364"/>
      <c r="FF438" s="364"/>
      <c r="FG438" s="364"/>
      <c r="FH438" s="364"/>
      <c r="FI438" s="364"/>
      <c r="FJ438" s="364"/>
      <c r="FK438" s="364"/>
    </row>
    <row r="439" customFormat="false" ht="15.75" hidden="false" customHeight="false" outlineLevel="0" collapsed="false">
      <c r="A439" s="364" t="n">
        <v>865</v>
      </c>
      <c r="B439" s="364" t="n">
        <f aca="false">COUNTA(D439:FK439)</f>
        <v>36</v>
      </c>
      <c r="C439" s="364" t="s">
        <v>2730</v>
      </c>
      <c r="D439" s="364" t="s">
        <v>2404</v>
      </c>
      <c r="E439" s="364" t="s">
        <v>2356</v>
      </c>
      <c r="F439" s="364" t="s">
        <v>138</v>
      </c>
      <c r="G439" s="364" t="s">
        <v>2465</v>
      </c>
      <c r="H439" s="364" t="s">
        <v>2466</v>
      </c>
      <c r="I439" s="364" t="s">
        <v>2543</v>
      </c>
      <c r="J439" s="364" t="s">
        <v>2497</v>
      </c>
      <c r="K439" s="364" t="s">
        <v>2318</v>
      </c>
      <c r="L439" s="364" t="s">
        <v>2448</v>
      </c>
      <c r="M439" s="364" t="s">
        <v>2320</v>
      </c>
      <c r="N439" s="364" t="s">
        <v>2367</v>
      </c>
      <c r="O439" s="364" t="s">
        <v>2369</v>
      </c>
      <c r="P439" s="364" t="s">
        <v>2377</v>
      </c>
      <c r="Q439" s="364" t="s">
        <v>2523</v>
      </c>
      <c r="R439" s="364" t="s">
        <v>2328</v>
      </c>
      <c r="S439" s="364" t="s">
        <v>2521</v>
      </c>
      <c r="T439" s="364" t="s">
        <v>2506</v>
      </c>
      <c r="U439" s="364" t="s">
        <v>2381</v>
      </c>
      <c r="V439" s="364" t="s">
        <v>2468</v>
      </c>
      <c r="W439" s="364" t="s">
        <v>2332</v>
      </c>
      <c r="X439" s="364" t="s">
        <v>2337</v>
      </c>
      <c r="Y439" s="364" t="s">
        <v>2338</v>
      </c>
      <c r="Z439" s="364" t="s">
        <v>2388</v>
      </c>
      <c r="AA439" s="364" t="s">
        <v>2565</v>
      </c>
      <c r="AB439" s="364" t="s">
        <v>2389</v>
      </c>
      <c r="AC439" s="364" t="s">
        <v>2340</v>
      </c>
      <c r="AD439" s="364" t="s">
        <v>2472</v>
      </c>
      <c r="AE439" s="364" t="s">
        <v>2344</v>
      </c>
      <c r="AF439" s="364" t="s">
        <v>2346</v>
      </c>
      <c r="AG439" s="364" t="s">
        <v>2500</v>
      </c>
      <c r="AH439" s="364" t="s">
        <v>2473</v>
      </c>
      <c r="AI439" s="364" t="s">
        <v>2348</v>
      </c>
      <c r="AJ439" s="364" t="s">
        <v>2456</v>
      </c>
      <c r="AK439" s="364" t="s">
        <v>2399</v>
      </c>
      <c r="AL439" s="364" t="s">
        <v>2463</v>
      </c>
      <c r="AM439" s="364" t="s">
        <v>2430</v>
      </c>
      <c r="AN439" s="364"/>
      <c r="AO439" s="364"/>
      <c r="AP439" s="364"/>
      <c r="AQ439" s="364"/>
      <c r="AR439" s="364"/>
      <c r="AS439" s="364"/>
      <c r="AT439" s="364"/>
      <c r="AU439" s="364"/>
      <c r="AV439" s="364"/>
      <c r="AW439" s="364"/>
      <c r="AX439" s="364"/>
      <c r="AY439" s="364"/>
      <c r="AZ439" s="364"/>
      <c r="BA439" s="364"/>
      <c r="BB439" s="364"/>
      <c r="BC439" s="364"/>
      <c r="BD439" s="364"/>
      <c r="BE439" s="364"/>
      <c r="BF439" s="364"/>
      <c r="BG439" s="364"/>
      <c r="BH439" s="364"/>
      <c r="BI439" s="364"/>
      <c r="BJ439" s="364"/>
      <c r="BK439" s="364"/>
      <c r="BL439" s="364"/>
      <c r="BM439" s="364"/>
      <c r="BN439" s="364"/>
      <c r="BO439" s="364"/>
      <c r="BP439" s="364"/>
      <c r="BQ439" s="364"/>
      <c r="BR439" s="364"/>
      <c r="BS439" s="364"/>
      <c r="BT439" s="364"/>
      <c r="BU439" s="364"/>
      <c r="BV439" s="364"/>
      <c r="BW439" s="364"/>
      <c r="BX439" s="364"/>
      <c r="BY439" s="364"/>
      <c r="BZ439" s="364"/>
      <c r="CA439" s="364"/>
      <c r="CB439" s="364"/>
      <c r="CC439" s="364"/>
      <c r="CD439" s="364"/>
      <c r="CE439" s="364"/>
      <c r="CF439" s="364"/>
      <c r="CG439" s="364"/>
      <c r="CH439" s="364"/>
      <c r="CI439" s="364"/>
      <c r="CJ439" s="364"/>
      <c r="CK439" s="364"/>
      <c r="CL439" s="364"/>
      <c r="CM439" s="364"/>
      <c r="CN439" s="364"/>
      <c r="CO439" s="364"/>
      <c r="CP439" s="364"/>
      <c r="CQ439" s="364"/>
      <c r="CR439" s="364"/>
      <c r="CS439" s="364"/>
      <c r="CT439" s="364"/>
      <c r="CU439" s="364"/>
      <c r="CV439" s="364"/>
      <c r="CW439" s="364"/>
      <c r="CX439" s="364"/>
      <c r="CY439" s="364"/>
      <c r="CZ439" s="364"/>
      <c r="DA439" s="364"/>
      <c r="DB439" s="364"/>
      <c r="DC439" s="364"/>
      <c r="DD439" s="364"/>
      <c r="DE439" s="364"/>
      <c r="DF439" s="364"/>
      <c r="DG439" s="364"/>
      <c r="DH439" s="364"/>
      <c r="DI439" s="364"/>
      <c r="DJ439" s="364"/>
      <c r="DK439" s="364"/>
      <c r="DL439" s="364"/>
      <c r="DM439" s="364"/>
      <c r="DN439" s="364"/>
      <c r="DO439" s="364"/>
      <c r="DP439" s="364"/>
      <c r="DQ439" s="364"/>
      <c r="DR439" s="364"/>
      <c r="DS439" s="364"/>
      <c r="DT439" s="364"/>
      <c r="DU439" s="364"/>
      <c r="DV439" s="364"/>
      <c r="DW439" s="364"/>
      <c r="DX439" s="364"/>
      <c r="DY439" s="364"/>
      <c r="DZ439" s="364"/>
      <c r="EA439" s="364"/>
      <c r="EB439" s="364"/>
      <c r="EC439" s="364"/>
      <c r="ED439" s="364"/>
      <c r="EE439" s="364"/>
      <c r="EF439" s="364"/>
      <c r="EG439" s="364"/>
      <c r="EH439" s="364"/>
      <c r="EI439" s="364"/>
      <c r="EJ439" s="364"/>
      <c r="EK439" s="364"/>
      <c r="EL439" s="364"/>
      <c r="EM439" s="364"/>
      <c r="EN439" s="364"/>
      <c r="EO439" s="364"/>
      <c r="EP439" s="364"/>
      <c r="EQ439" s="364"/>
      <c r="ER439" s="364"/>
      <c r="ES439" s="364"/>
      <c r="ET439" s="364"/>
      <c r="EU439" s="364"/>
      <c r="EV439" s="364"/>
      <c r="EW439" s="364"/>
      <c r="EX439" s="364"/>
      <c r="EY439" s="364"/>
      <c r="EZ439" s="364"/>
      <c r="FA439" s="364"/>
      <c r="FB439" s="364"/>
      <c r="FC439" s="364"/>
      <c r="FD439" s="364"/>
      <c r="FE439" s="364"/>
      <c r="FF439" s="364"/>
      <c r="FG439" s="364"/>
      <c r="FH439" s="364"/>
      <c r="FI439" s="364"/>
      <c r="FJ439" s="364"/>
      <c r="FK439" s="364"/>
    </row>
    <row r="440" customFormat="false" ht="15.75" hidden="false" customHeight="false" outlineLevel="0" collapsed="false">
      <c r="A440" s="364" t="n">
        <v>866</v>
      </c>
      <c r="B440" s="364" t="n">
        <f aca="false">COUNTA(D440:FK440)</f>
        <v>30</v>
      </c>
      <c r="C440" s="364" t="s">
        <v>2731</v>
      </c>
      <c r="D440" s="364" t="s">
        <v>2729</v>
      </c>
      <c r="E440" s="364" t="s">
        <v>2404</v>
      </c>
      <c r="F440" s="364" t="s">
        <v>2356</v>
      </c>
      <c r="G440" s="364" t="s">
        <v>138</v>
      </c>
      <c r="H440" s="364" t="s">
        <v>2465</v>
      </c>
      <c r="I440" s="364" t="s">
        <v>2466</v>
      </c>
      <c r="J440" s="364" t="s">
        <v>184</v>
      </c>
      <c r="K440" s="364" t="s">
        <v>2497</v>
      </c>
      <c r="L440" s="364" t="s">
        <v>2318</v>
      </c>
      <c r="M440" s="364" t="s">
        <v>2448</v>
      </c>
      <c r="N440" s="364" t="s">
        <v>2320</v>
      </c>
      <c r="O440" s="364" t="s">
        <v>2328</v>
      </c>
      <c r="P440" s="364" t="s">
        <v>2521</v>
      </c>
      <c r="Q440" s="364" t="s">
        <v>2506</v>
      </c>
      <c r="R440" s="364" t="s">
        <v>2381</v>
      </c>
      <c r="S440" s="364" t="s">
        <v>2468</v>
      </c>
      <c r="T440" s="364" t="s">
        <v>2332</v>
      </c>
      <c r="U440" s="364" t="s">
        <v>2337</v>
      </c>
      <c r="V440" s="364" t="s">
        <v>2338</v>
      </c>
      <c r="W440" s="364" t="s">
        <v>2388</v>
      </c>
      <c r="X440" s="364" t="s">
        <v>2565</v>
      </c>
      <c r="Y440" s="364" t="s">
        <v>2389</v>
      </c>
      <c r="Z440" s="364" t="s">
        <v>2340</v>
      </c>
      <c r="AA440" s="364" t="s">
        <v>2472</v>
      </c>
      <c r="AB440" s="364" t="s">
        <v>2344</v>
      </c>
      <c r="AC440" s="364" t="s">
        <v>2346</v>
      </c>
      <c r="AD440" s="364" t="s">
        <v>2500</v>
      </c>
      <c r="AE440" s="364" t="s">
        <v>2348</v>
      </c>
      <c r="AF440" s="364" t="s">
        <v>2515</v>
      </c>
      <c r="AG440" s="364" t="s">
        <v>2430</v>
      </c>
      <c r="AH440" s="364"/>
      <c r="AI440" s="364"/>
      <c r="AJ440" s="364"/>
      <c r="AK440" s="364"/>
      <c r="AL440" s="364"/>
      <c r="AM440" s="364"/>
      <c r="AN440" s="364"/>
      <c r="AO440" s="364"/>
      <c r="AP440" s="364"/>
      <c r="AQ440" s="364"/>
      <c r="AR440" s="364"/>
      <c r="AS440" s="364"/>
      <c r="AT440" s="364"/>
      <c r="AU440" s="364"/>
      <c r="AV440" s="364"/>
      <c r="AW440" s="364"/>
      <c r="AX440" s="364"/>
      <c r="AY440" s="364"/>
      <c r="AZ440" s="364"/>
      <c r="BA440" s="364"/>
      <c r="BB440" s="364"/>
      <c r="BC440" s="364"/>
      <c r="BD440" s="364"/>
      <c r="BE440" s="364"/>
      <c r="BF440" s="364"/>
      <c r="BG440" s="364"/>
      <c r="BH440" s="364"/>
      <c r="BI440" s="364"/>
      <c r="BJ440" s="364"/>
      <c r="BK440" s="364"/>
      <c r="BL440" s="364"/>
      <c r="BM440" s="364"/>
      <c r="BN440" s="364"/>
      <c r="BO440" s="364"/>
      <c r="BP440" s="364"/>
      <c r="BQ440" s="364"/>
      <c r="BR440" s="364"/>
      <c r="BS440" s="364"/>
      <c r="BT440" s="364"/>
      <c r="BU440" s="364"/>
      <c r="BV440" s="364"/>
      <c r="BW440" s="364"/>
      <c r="BX440" s="364"/>
      <c r="BY440" s="364"/>
      <c r="BZ440" s="364"/>
      <c r="CA440" s="364"/>
      <c r="CB440" s="364"/>
      <c r="CC440" s="364"/>
      <c r="CD440" s="364"/>
      <c r="CE440" s="364"/>
      <c r="CF440" s="364"/>
      <c r="CG440" s="364"/>
      <c r="CH440" s="364"/>
      <c r="CI440" s="364"/>
      <c r="CJ440" s="364"/>
      <c r="CK440" s="364"/>
      <c r="CL440" s="364"/>
      <c r="CM440" s="364"/>
      <c r="CN440" s="364"/>
      <c r="CO440" s="364"/>
      <c r="CP440" s="364"/>
      <c r="CQ440" s="364"/>
      <c r="CR440" s="364"/>
      <c r="CS440" s="364"/>
      <c r="CT440" s="364"/>
      <c r="CU440" s="364"/>
      <c r="CV440" s="364"/>
      <c r="CW440" s="364"/>
      <c r="CX440" s="364"/>
      <c r="CY440" s="364"/>
      <c r="CZ440" s="364"/>
      <c r="DA440" s="364"/>
      <c r="DB440" s="364"/>
      <c r="DC440" s="364"/>
      <c r="DD440" s="364"/>
      <c r="DE440" s="364"/>
      <c r="DF440" s="364"/>
      <c r="DG440" s="364"/>
      <c r="DH440" s="364"/>
      <c r="DI440" s="364"/>
      <c r="DJ440" s="364"/>
      <c r="DK440" s="364"/>
      <c r="DL440" s="364"/>
      <c r="DM440" s="364"/>
      <c r="DN440" s="364"/>
      <c r="DO440" s="364"/>
      <c r="DP440" s="364"/>
      <c r="DQ440" s="364"/>
      <c r="DR440" s="364"/>
      <c r="DS440" s="364"/>
      <c r="DT440" s="364"/>
      <c r="DU440" s="364"/>
      <c r="DV440" s="364"/>
      <c r="DW440" s="364"/>
      <c r="DX440" s="364"/>
      <c r="DY440" s="364"/>
      <c r="DZ440" s="364"/>
      <c r="EA440" s="364"/>
      <c r="EB440" s="364"/>
      <c r="EC440" s="364"/>
      <c r="ED440" s="364"/>
      <c r="EE440" s="364"/>
      <c r="EF440" s="364"/>
      <c r="EG440" s="364"/>
      <c r="EH440" s="364"/>
      <c r="EI440" s="364"/>
      <c r="EJ440" s="364"/>
      <c r="EK440" s="364"/>
      <c r="EL440" s="364"/>
      <c r="EM440" s="364"/>
      <c r="EN440" s="364"/>
      <c r="EO440" s="364"/>
      <c r="EP440" s="364"/>
      <c r="EQ440" s="364"/>
      <c r="ER440" s="364"/>
      <c r="ES440" s="364"/>
      <c r="ET440" s="364"/>
      <c r="EU440" s="364"/>
      <c r="EV440" s="364"/>
      <c r="EW440" s="364"/>
      <c r="EX440" s="364"/>
      <c r="EY440" s="364"/>
      <c r="EZ440" s="364"/>
      <c r="FA440" s="364"/>
      <c r="FB440" s="364"/>
      <c r="FC440" s="364"/>
      <c r="FD440" s="364"/>
      <c r="FE440" s="364"/>
      <c r="FF440" s="364"/>
      <c r="FG440" s="364"/>
      <c r="FH440" s="364"/>
      <c r="FI440" s="364"/>
      <c r="FJ440" s="364"/>
      <c r="FK440" s="364"/>
    </row>
    <row r="441" customFormat="false" ht="15.75" hidden="false" customHeight="false" outlineLevel="0" collapsed="false">
      <c r="A441" s="364" t="n">
        <v>867</v>
      </c>
      <c r="B441" s="364" t="n">
        <f aca="false">COUNTA(D441:FK441)</f>
        <v>26</v>
      </c>
      <c r="C441" s="364" t="s">
        <v>2123</v>
      </c>
      <c r="D441" s="364" t="s">
        <v>2402</v>
      </c>
      <c r="E441" s="364" t="s">
        <v>2406</v>
      </c>
      <c r="F441" s="364" t="s">
        <v>2313</v>
      </c>
      <c r="G441" s="364" t="s">
        <v>2465</v>
      </c>
      <c r="H441" s="364" t="s">
        <v>2410</v>
      </c>
      <c r="I441" s="364" t="s">
        <v>2316</v>
      </c>
      <c r="J441" s="364" t="s">
        <v>2317</v>
      </c>
      <c r="K441" s="364" t="s">
        <v>2448</v>
      </c>
      <c r="L441" s="364" t="s">
        <v>2320</v>
      </c>
      <c r="M441" s="364" t="s">
        <v>2535</v>
      </c>
      <c r="N441" s="364" t="s">
        <v>2328</v>
      </c>
      <c r="O441" s="364" t="s">
        <v>2414</v>
      </c>
      <c r="P441" s="364" t="s">
        <v>2415</v>
      </c>
      <c r="Q441" s="364" t="s">
        <v>2381</v>
      </c>
      <c r="R441" s="364" t="s">
        <v>2615</v>
      </c>
      <c r="S441" s="364" t="s">
        <v>2337</v>
      </c>
      <c r="T441" s="364" t="s">
        <v>2340</v>
      </c>
      <c r="U441" s="364" t="s">
        <v>2421</v>
      </c>
      <c r="V441" s="364" t="s">
        <v>2344</v>
      </c>
      <c r="W441" s="364" t="s">
        <v>2424</v>
      </c>
      <c r="X441" s="364" t="s">
        <v>2349</v>
      </c>
      <c r="Y441" s="364" t="s">
        <v>2446</v>
      </c>
      <c r="Z441" s="364" t="s">
        <v>2425</v>
      </c>
      <c r="AA441" s="364" t="s">
        <v>2426</v>
      </c>
      <c r="AB441" s="364" t="s">
        <v>2428</v>
      </c>
      <c r="AC441" s="364" t="s">
        <v>2429</v>
      </c>
      <c r="AD441" s="364"/>
      <c r="AE441" s="364"/>
      <c r="AF441" s="364"/>
      <c r="AG441" s="364"/>
      <c r="AH441" s="364"/>
      <c r="AI441" s="364"/>
      <c r="AJ441" s="364"/>
      <c r="AK441" s="364"/>
      <c r="AL441" s="364"/>
      <c r="AM441" s="364"/>
      <c r="AN441" s="364"/>
      <c r="AO441" s="364"/>
      <c r="AP441" s="364"/>
      <c r="AQ441" s="364"/>
      <c r="AR441" s="364"/>
      <c r="AS441" s="364"/>
      <c r="AT441" s="364"/>
      <c r="AU441" s="364"/>
      <c r="AV441" s="364"/>
      <c r="AW441" s="364"/>
      <c r="AX441" s="364"/>
      <c r="AY441" s="364"/>
      <c r="AZ441" s="364"/>
      <c r="BA441" s="364"/>
      <c r="BB441" s="364"/>
      <c r="BC441" s="364"/>
      <c r="BD441" s="364"/>
      <c r="BE441" s="364"/>
      <c r="BF441" s="364"/>
      <c r="BG441" s="364"/>
      <c r="BH441" s="364"/>
      <c r="BI441" s="364"/>
      <c r="BJ441" s="364"/>
      <c r="BK441" s="364"/>
      <c r="BL441" s="364"/>
      <c r="BM441" s="364"/>
      <c r="BN441" s="364"/>
      <c r="BO441" s="364"/>
      <c r="BP441" s="364"/>
      <c r="BQ441" s="364"/>
      <c r="BR441" s="364"/>
      <c r="BS441" s="364"/>
      <c r="BT441" s="364"/>
      <c r="BU441" s="364"/>
      <c r="BV441" s="364"/>
      <c r="BW441" s="364"/>
      <c r="BX441" s="364"/>
      <c r="BY441" s="364"/>
      <c r="BZ441" s="364"/>
      <c r="CA441" s="364"/>
      <c r="CB441" s="364"/>
      <c r="CC441" s="364"/>
      <c r="CD441" s="364"/>
      <c r="CE441" s="364"/>
      <c r="CF441" s="364"/>
      <c r="CG441" s="364"/>
      <c r="CH441" s="364"/>
      <c r="CI441" s="364"/>
      <c r="CJ441" s="364"/>
      <c r="CK441" s="364"/>
      <c r="CL441" s="364"/>
      <c r="CM441" s="364"/>
      <c r="CN441" s="364"/>
      <c r="CO441" s="364"/>
      <c r="CP441" s="364"/>
      <c r="CQ441" s="364"/>
      <c r="CR441" s="364"/>
      <c r="CS441" s="364"/>
      <c r="CT441" s="364"/>
      <c r="CU441" s="364"/>
      <c r="CV441" s="364"/>
      <c r="CW441" s="364"/>
      <c r="CX441" s="364"/>
      <c r="CY441" s="364"/>
      <c r="CZ441" s="364"/>
      <c r="DA441" s="364"/>
      <c r="DB441" s="364"/>
      <c r="DC441" s="364"/>
      <c r="DD441" s="364"/>
      <c r="DE441" s="364"/>
      <c r="DF441" s="364"/>
      <c r="DG441" s="364"/>
      <c r="DH441" s="364"/>
      <c r="DI441" s="364"/>
      <c r="DJ441" s="364"/>
      <c r="DK441" s="364"/>
      <c r="DL441" s="364"/>
      <c r="DM441" s="364"/>
      <c r="DN441" s="364"/>
      <c r="DO441" s="364"/>
      <c r="DP441" s="364"/>
      <c r="DQ441" s="364"/>
      <c r="DR441" s="364"/>
      <c r="DS441" s="364"/>
      <c r="DT441" s="364"/>
      <c r="DU441" s="364"/>
      <c r="DV441" s="364"/>
      <c r="DW441" s="364"/>
      <c r="DX441" s="364"/>
      <c r="DY441" s="364"/>
      <c r="DZ441" s="364"/>
      <c r="EA441" s="364"/>
      <c r="EB441" s="364"/>
      <c r="EC441" s="364"/>
      <c r="ED441" s="364"/>
      <c r="EE441" s="364"/>
      <c r="EF441" s="364"/>
      <c r="EG441" s="364"/>
      <c r="EH441" s="364"/>
      <c r="EI441" s="364"/>
      <c r="EJ441" s="364"/>
      <c r="EK441" s="364"/>
      <c r="EL441" s="364"/>
      <c r="EM441" s="364"/>
      <c r="EN441" s="364"/>
      <c r="EO441" s="364"/>
      <c r="EP441" s="364"/>
      <c r="EQ441" s="364"/>
      <c r="ER441" s="364"/>
      <c r="ES441" s="364"/>
      <c r="ET441" s="364"/>
      <c r="EU441" s="364"/>
      <c r="EV441" s="364"/>
      <c r="EW441" s="364"/>
      <c r="EX441" s="364"/>
      <c r="EY441" s="364"/>
      <c r="EZ441" s="364"/>
      <c r="FA441" s="364"/>
      <c r="FB441" s="364"/>
      <c r="FC441" s="364"/>
      <c r="FD441" s="364"/>
      <c r="FE441" s="364"/>
      <c r="FF441" s="364"/>
      <c r="FG441" s="364"/>
      <c r="FH441" s="364"/>
      <c r="FI441" s="364"/>
      <c r="FJ441" s="364"/>
      <c r="FK441" s="364"/>
    </row>
    <row r="442" customFormat="false" ht="15.75" hidden="false" customHeight="false" outlineLevel="0" collapsed="false">
      <c r="A442" s="364" t="n">
        <v>870</v>
      </c>
      <c r="B442" s="364" t="n">
        <f aca="false">COUNTA(D442:FK442)</f>
        <v>28</v>
      </c>
      <c r="C442" s="364" t="s">
        <v>2130</v>
      </c>
      <c r="D442" s="364" t="s">
        <v>2404</v>
      </c>
      <c r="E442" s="364" t="s">
        <v>2405</v>
      </c>
      <c r="F442" s="364" t="s">
        <v>2465</v>
      </c>
      <c r="G442" s="364" t="s">
        <v>2320</v>
      </c>
      <c r="H442" s="364" t="s">
        <v>2502</v>
      </c>
      <c r="I442" s="364" t="s">
        <v>2484</v>
      </c>
      <c r="J442" s="364" t="s">
        <v>2328</v>
      </c>
      <c r="K442" s="364" t="s">
        <v>2415</v>
      </c>
      <c r="L442" s="364" t="s">
        <v>2417</v>
      </c>
      <c r="M442" s="364" t="s">
        <v>2438</v>
      </c>
      <c r="N442" s="364" t="s">
        <v>2330</v>
      </c>
      <c r="O442" s="364" t="s">
        <v>2418</v>
      </c>
      <c r="P442" s="364" t="s">
        <v>2452</v>
      </c>
      <c r="Q442" s="364" t="s">
        <v>2480</v>
      </c>
      <c r="R442" s="364" t="s">
        <v>2453</v>
      </c>
      <c r="S442" s="364" t="s">
        <v>2454</v>
      </c>
      <c r="T442" s="364" t="s">
        <v>2487</v>
      </c>
      <c r="U442" s="364" t="s">
        <v>2337</v>
      </c>
      <c r="V442" s="364" t="s">
        <v>2340</v>
      </c>
      <c r="W442" s="364" t="s">
        <v>2421</v>
      </c>
      <c r="X442" s="364" t="s">
        <v>2343</v>
      </c>
      <c r="Y442" s="364" t="s">
        <v>2471</v>
      </c>
      <c r="Z442" s="364" t="s">
        <v>2423</v>
      </c>
      <c r="AA442" s="364" t="s">
        <v>2344</v>
      </c>
      <c r="AB442" s="364" t="s">
        <v>2587</v>
      </c>
      <c r="AC442" s="364" t="s">
        <v>2424</v>
      </c>
      <c r="AD442" s="364" t="s">
        <v>2350</v>
      </c>
      <c r="AE442" s="364" t="s">
        <v>2428</v>
      </c>
      <c r="AF442" s="364"/>
      <c r="AG442" s="364"/>
      <c r="AH442" s="364"/>
      <c r="AI442" s="364"/>
      <c r="AJ442" s="364"/>
      <c r="AK442" s="364"/>
      <c r="AL442" s="364"/>
      <c r="AM442" s="364"/>
      <c r="AN442" s="364"/>
      <c r="AO442" s="364"/>
      <c r="AP442" s="364"/>
      <c r="AQ442" s="364"/>
      <c r="AR442" s="364"/>
      <c r="AS442" s="364"/>
      <c r="AT442" s="364"/>
      <c r="AU442" s="364"/>
      <c r="AV442" s="364"/>
      <c r="AW442" s="364"/>
      <c r="AX442" s="364"/>
      <c r="AY442" s="364"/>
      <c r="AZ442" s="364"/>
      <c r="BA442" s="364"/>
      <c r="BB442" s="364"/>
      <c r="BC442" s="364"/>
      <c r="BD442" s="364"/>
      <c r="BE442" s="364"/>
      <c r="BF442" s="364"/>
      <c r="BG442" s="364"/>
      <c r="BH442" s="364"/>
      <c r="BI442" s="364"/>
      <c r="BJ442" s="364"/>
      <c r="BK442" s="364"/>
      <c r="BL442" s="364"/>
      <c r="BM442" s="364"/>
      <c r="BN442" s="364"/>
      <c r="BO442" s="364"/>
      <c r="BP442" s="364"/>
      <c r="BQ442" s="364"/>
      <c r="BR442" s="364"/>
      <c r="BS442" s="364"/>
      <c r="BT442" s="364"/>
      <c r="BU442" s="364"/>
      <c r="BV442" s="364"/>
      <c r="BW442" s="364"/>
      <c r="BX442" s="364"/>
      <c r="BY442" s="364"/>
      <c r="BZ442" s="364"/>
      <c r="CA442" s="364"/>
      <c r="CB442" s="364"/>
      <c r="CC442" s="364"/>
      <c r="CD442" s="364"/>
      <c r="CE442" s="364"/>
      <c r="CF442" s="364"/>
      <c r="CG442" s="364"/>
      <c r="CH442" s="364"/>
      <c r="CI442" s="364"/>
      <c r="CJ442" s="364"/>
      <c r="CK442" s="364"/>
      <c r="CL442" s="364"/>
      <c r="CM442" s="364"/>
      <c r="CN442" s="364"/>
      <c r="CO442" s="364"/>
      <c r="CP442" s="364"/>
      <c r="CQ442" s="364"/>
      <c r="CR442" s="364"/>
      <c r="CS442" s="364"/>
      <c r="CT442" s="364"/>
      <c r="CU442" s="364"/>
      <c r="CV442" s="364"/>
      <c r="CW442" s="364"/>
      <c r="CX442" s="364"/>
      <c r="CY442" s="364"/>
      <c r="CZ442" s="364"/>
      <c r="DA442" s="364"/>
      <c r="DB442" s="364"/>
      <c r="DC442" s="364"/>
      <c r="DD442" s="364"/>
      <c r="DE442" s="364"/>
      <c r="DF442" s="364"/>
      <c r="DG442" s="364"/>
      <c r="DH442" s="364"/>
      <c r="DI442" s="364"/>
      <c r="DJ442" s="364"/>
      <c r="DK442" s="364"/>
      <c r="DL442" s="364"/>
      <c r="DM442" s="364"/>
      <c r="DN442" s="364"/>
      <c r="DO442" s="364"/>
      <c r="DP442" s="364"/>
      <c r="DQ442" s="364"/>
      <c r="DR442" s="364"/>
      <c r="DS442" s="364"/>
      <c r="DT442" s="364"/>
      <c r="DU442" s="364"/>
      <c r="DV442" s="364"/>
      <c r="DW442" s="364"/>
      <c r="DX442" s="364"/>
      <c r="DY442" s="364"/>
      <c r="DZ442" s="364"/>
      <c r="EA442" s="364"/>
      <c r="EB442" s="364"/>
      <c r="EC442" s="364"/>
      <c r="ED442" s="364"/>
      <c r="EE442" s="364"/>
      <c r="EF442" s="364"/>
      <c r="EG442" s="364"/>
      <c r="EH442" s="364"/>
      <c r="EI442" s="364"/>
      <c r="EJ442" s="364"/>
      <c r="EK442" s="364"/>
      <c r="EL442" s="364"/>
      <c r="EM442" s="364"/>
      <c r="EN442" s="364"/>
      <c r="EO442" s="364"/>
      <c r="EP442" s="364"/>
      <c r="EQ442" s="364"/>
      <c r="ER442" s="364"/>
      <c r="ES442" s="364"/>
      <c r="ET442" s="364"/>
      <c r="EU442" s="364"/>
      <c r="EV442" s="364"/>
      <c r="EW442" s="364"/>
      <c r="EX442" s="364"/>
      <c r="EY442" s="364"/>
      <c r="EZ442" s="364"/>
      <c r="FA442" s="364"/>
      <c r="FB442" s="364"/>
      <c r="FC442" s="364"/>
      <c r="FD442" s="364"/>
      <c r="FE442" s="364"/>
      <c r="FF442" s="364"/>
      <c r="FG442" s="364"/>
      <c r="FH442" s="364"/>
      <c r="FI442" s="364"/>
      <c r="FJ442" s="364"/>
      <c r="FK442" s="364"/>
    </row>
    <row r="443" customFormat="false" ht="15.75" hidden="false" customHeight="false" outlineLevel="0" collapsed="false">
      <c r="A443" s="364" t="n">
        <v>872</v>
      </c>
      <c r="B443" s="364" t="n">
        <f aca="false">COUNTA(D443:FK443)</f>
        <v>27</v>
      </c>
      <c r="C443" s="364" t="s">
        <v>2134</v>
      </c>
      <c r="D443" s="364" t="s">
        <v>2310</v>
      </c>
      <c r="E443" s="364" t="s">
        <v>2313</v>
      </c>
      <c r="F443" s="364" t="s">
        <v>138</v>
      </c>
      <c r="G443" s="364" t="s">
        <v>2510</v>
      </c>
      <c r="H443" s="364" t="s">
        <v>2497</v>
      </c>
      <c r="I443" s="364" t="s">
        <v>2317</v>
      </c>
      <c r="J443" s="364" t="s">
        <v>2448</v>
      </c>
      <c r="K443" s="364" t="s">
        <v>2320</v>
      </c>
      <c r="L443" s="364" t="s">
        <v>2376</v>
      </c>
      <c r="M443" s="364" t="s">
        <v>2324</v>
      </c>
      <c r="N443" s="364" t="s">
        <v>2563</v>
      </c>
      <c r="O443" s="364" t="s">
        <v>2328</v>
      </c>
      <c r="P443" s="364" t="s">
        <v>2631</v>
      </c>
      <c r="Q443" s="364" t="s">
        <v>2506</v>
      </c>
      <c r="R443" s="364" t="s">
        <v>2539</v>
      </c>
      <c r="S443" s="364" t="s">
        <v>2540</v>
      </c>
      <c r="T443" s="364" t="s">
        <v>2382</v>
      </c>
      <c r="U443" s="261" t="s">
        <v>183</v>
      </c>
      <c r="V443" s="364" t="s">
        <v>2452</v>
      </c>
      <c r="W443" s="364" t="s">
        <v>2337</v>
      </c>
      <c r="X443" s="364" t="s">
        <v>2388</v>
      </c>
      <c r="Y443" s="364" t="s">
        <v>2389</v>
      </c>
      <c r="Z443" s="364" t="s">
        <v>2340</v>
      </c>
      <c r="AA443" s="364" t="s">
        <v>2344</v>
      </c>
      <c r="AB443" s="364" t="s">
        <v>2571</v>
      </c>
      <c r="AC443" s="364" t="s">
        <v>2346</v>
      </c>
      <c r="AD443" s="364" t="s">
        <v>2511</v>
      </c>
      <c r="AE443" s="364"/>
      <c r="AF443" s="364"/>
      <c r="AG443" s="364"/>
      <c r="AH443" s="364"/>
      <c r="AI443" s="364"/>
      <c r="AJ443" s="364"/>
      <c r="AK443" s="364"/>
      <c r="AL443" s="364"/>
      <c r="AM443" s="364"/>
      <c r="AN443" s="364"/>
      <c r="AO443" s="364"/>
      <c r="AP443" s="364"/>
      <c r="AQ443" s="364"/>
      <c r="AR443" s="364"/>
      <c r="AS443" s="364"/>
      <c r="AT443" s="364"/>
      <c r="AU443" s="364"/>
      <c r="AV443" s="364"/>
      <c r="AW443" s="364"/>
      <c r="AX443" s="364"/>
      <c r="AY443" s="364"/>
      <c r="AZ443" s="364"/>
      <c r="BA443" s="364"/>
      <c r="BB443" s="364"/>
      <c r="BC443" s="364"/>
      <c r="BD443" s="364"/>
      <c r="BE443" s="364"/>
      <c r="BF443" s="364"/>
      <c r="BG443" s="364"/>
      <c r="BH443" s="364"/>
      <c r="BI443" s="364"/>
      <c r="BJ443" s="364"/>
      <c r="BK443" s="364"/>
      <c r="BL443" s="364"/>
      <c r="BM443" s="364"/>
      <c r="BN443" s="364"/>
      <c r="BO443" s="364"/>
      <c r="BP443" s="364"/>
      <c r="BQ443" s="364"/>
      <c r="BR443" s="364"/>
      <c r="BS443" s="364"/>
      <c r="BT443" s="364"/>
      <c r="BU443" s="364"/>
      <c r="BV443" s="364"/>
      <c r="BW443" s="364"/>
      <c r="BX443" s="364"/>
      <c r="BY443" s="364"/>
      <c r="BZ443" s="364"/>
      <c r="CA443" s="364"/>
      <c r="CB443" s="364"/>
      <c r="CC443" s="364"/>
      <c r="CD443" s="364"/>
      <c r="CE443" s="364"/>
      <c r="CF443" s="364"/>
      <c r="CG443" s="364"/>
      <c r="CH443" s="364"/>
      <c r="CI443" s="364"/>
      <c r="CJ443" s="364"/>
      <c r="CK443" s="364"/>
      <c r="CL443" s="364"/>
      <c r="CM443" s="364"/>
      <c r="CN443" s="364"/>
      <c r="CO443" s="364"/>
      <c r="CP443" s="364"/>
      <c r="CQ443" s="364"/>
      <c r="CR443" s="364"/>
      <c r="CS443" s="364"/>
      <c r="CT443" s="364"/>
      <c r="CU443" s="364"/>
      <c r="CV443" s="364"/>
      <c r="CW443" s="364"/>
      <c r="CX443" s="364"/>
      <c r="CY443" s="364"/>
      <c r="CZ443" s="364"/>
      <c r="DA443" s="364"/>
      <c r="DB443" s="364"/>
      <c r="DC443" s="364"/>
      <c r="DD443" s="364"/>
      <c r="DE443" s="364"/>
      <c r="DF443" s="364"/>
      <c r="DG443" s="364"/>
      <c r="DH443" s="364"/>
      <c r="DI443" s="364"/>
      <c r="DJ443" s="364"/>
      <c r="DK443" s="364"/>
      <c r="DL443" s="364"/>
      <c r="DM443" s="364"/>
      <c r="DN443" s="364"/>
      <c r="DO443" s="364"/>
      <c r="DP443" s="364"/>
      <c r="DQ443" s="364"/>
      <c r="DR443" s="364"/>
      <c r="DS443" s="364"/>
      <c r="DT443" s="364"/>
      <c r="DU443" s="364"/>
      <c r="DV443" s="364"/>
      <c r="DW443" s="364"/>
      <c r="DX443" s="364"/>
      <c r="DY443" s="364"/>
      <c r="DZ443" s="364"/>
      <c r="EA443" s="364"/>
      <c r="EB443" s="364"/>
      <c r="EC443" s="364"/>
      <c r="ED443" s="364"/>
      <c r="EE443" s="364"/>
      <c r="EF443" s="364"/>
      <c r="EG443" s="364"/>
      <c r="EH443" s="364"/>
      <c r="EI443" s="364"/>
      <c r="EJ443" s="364"/>
      <c r="EK443" s="364"/>
      <c r="EL443" s="364"/>
      <c r="EM443" s="364"/>
      <c r="EN443" s="364"/>
      <c r="EO443" s="364"/>
      <c r="EP443" s="364"/>
      <c r="EQ443" s="364"/>
      <c r="ER443" s="364"/>
      <c r="ES443" s="364"/>
      <c r="ET443" s="364"/>
      <c r="EU443" s="364"/>
      <c r="EV443" s="364"/>
      <c r="EW443" s="364"/>
      <c r="EX443" s="364"/>
      <c r="EY443" s="364"/>
      <c r="EZ443" s="364"/>
      <c r="FA443" s="364"/>
      <c r="FB443" s="364"/>
      <c r="FC443" s="364"/>
      <c r="FD443" s="364"/>
      <c r="FE443" s="364"/>
      <c r="FF443" s="364"/>
      <c r="FG443" s="364"/>
      <c r="FH443" s="364"/>
      <c r="FI443" s="364"/>
      <c r="FJ443" s="364"/>
      <c r="FK443" s="364"/>
    </row>
    <row r="444" customFormat="false" ht="15.75" hidden="false" customHeight="false" outlineLevel="0" collapsed="false">
      <c r="A444" s="364" t="n">
        <v>874</v>
      </c>
      <c r="B444" s="364" t="n">
        <f aca="false">COUNTA(D444:FK444)</f>
        <v>27</v>
      </c>
      <c r="C444" s="364" t="s">
        <v>2138</v>
      </c>
      <c r="D444" s="364" t="s">
        <v>2404</v>
      </c>
      <c r="E444" s="364" t="s">
        <v>2405</v>
      </c>
      <c r="F444" s="364" t="s">
        <v>2407</v>
      </c>
      <c r="G444" s="364" t="s">
        <v>2408</v>
      </c>
      <c r="H444" s="364" t="s">
        <v>2432</v>
      </c>
      <c r="I444" s="364" t="s">
        <v>2466</v>
      </c>
      <c r="J444" s="364" t="s">
        <v>2320</v>
      </c>
      <c r="K444" s="364" t="s">
        <v>2502</v>
      </c>
      <c r="L444" s="364" t="s">
        <v>2323</v>
      </c>
      <c r="M444" s="364" t="s">
        <v>2328</v>
      </c>
      <c r="N444" s="364" t="s">
        <v>2415</v>
      </c>
      <c r="O444" s="364" t="s">
        <v>2417</v>
      </c>
      <c r="P444" s="364" t="s">
        <v>2438</v>
      </c>
      <c r="Q444" s="364" t="s">
        <v>2507</v>
      </c>
      <c r="R444" s="364" t="s">
        <v>2418</v>
      </c>
      <c r="S444" s="364" t="s">
        <v>2659</v>
      </c>
      <c r="T444" s="364" t="s">
        <v>2596</v>
      </c>
      <c r="U444" s="364" t="s">
        <v>2454</v>
      </c>
      <c r="V444" s="364" t="s">
        <v>2337</v>
      </c>
      <c r="W444" s="364" t="s">
        <v>2340</v>
      </c>
      <c r="X444" s="364" t="s">
        <v>2421</v>
      </c>
      <c r="Y444" s="364" t="s">
        <v>2422</v>
      </c>
      <c r="Z444" s="364" t="s">
        <v>2344</v>
      </c>
      <c r="AA444" s="364" t="s">
        <v>2424</v>
      </c>
      <c r="AB444" s="364" t="s">
        <v>2425</v>
      </c>
      <c r="AC444" s="364" t="s">
        <v>2428</v>
      </c>
      <c r="AD444" s="364" t="s">
        <v>2458</v>
      </c>
      <c r="AE444" s="364"/>
      <c r="AF444" s="364"/>
      <c r="AG444" s="364"/>
      <c r="AH444" s="364"/>
      <c r="AI444" s="364"/>
      <c r="AJ444" s="364"/>
      <c r="AK444" s="364"/>
      <c r="AL444" s="364"/>
      <c r="AM444" s="364"/>
      <c r="AN444" s="364"/>
      <c r="AO444" s="364"/>
      <c r="AP444" s="364"/>
      <c r="AQ444" s="364"/>
      <c r="AR444" s="364"/>
      <c r="AS444" s="364"/>
      <c r="AT444" s="364"/>
      <c r="AU444" s="364"/>
      <c r="AV444" s="364"/>
      <c r="AW444" s="364"/>
      <c r="AX444" s="364"/>
      <c r="AY444" s="364"/>
      <c r="AZ444" s="364"/>
      <c r="BA444" s="364"/>
      <c r="BB444" s="364"/>
      <c r="BC444" s="364"/>
      <c r="BD444" s="364"/>
      <c r="BE444" s="364"/>
      <c r="BF444" s="364"/>
      <c r="BG444" s="364"/>
      <c r="BH444" s="364"/>
      <c r="BI444" s="364"/>
      <c r="BJ444" s="364"/>
      <c r="BK444" s="364"/>
      <c r="BL444" s="364"/>
      <c r="BM444" s="364"/>
      <c r="BN444" s="364"/>
      <c r="BO444" s="364"/>
      <c r="BP444" s="364"/>
      <c r="BQ444" s="364"/>
      <c r="BR444" s="364"/>
      <c r="BS444" s="364"/>
      <c r="BT444" s="364"/>
      <c r="BU444" s="364"/>
      <c r="BV444" s="364"/>
      <c r="BW444" s="364"/>
      <c r="BX444" s="364"/>
      <c r="BY444" s="364"/>
      <c r="BZ444" s="364"/>
      <c r="CA444" s="364"/>
      <c r="CB444" s="364"/>
      <c r="CC444" s="364"/>
      <c r="CD444" s="364"/>
      <c r="CE444" s="364"/>
      <c r="CF444" s="364"/>
      <c r="CG444" s="364"/>
      <c r="CH444" s="364"/>
      <c r="CI444" s="364"/>
      <c r="CJ444" s="364"/>
      <c r="CK444" s="364"/>
      <c r="CL444" s="364"/>
      <c r="CM444" s="364"/>
      <c r="CN444" s="364"/>
      <c r="CO444" s="364"/>
      <c r="CP444" s="364"/>
      <c r="CQ444" s="364"/>
      <c r="CR444" s="364"/>
      <c r="CS444" s="364"/>
      <c r="CT444" s="364"/>
      <c r="CU444" s="364"/>
      <c r="CV444" s="364"/>
      <c r="CW444" s="364"/>
      <c r="CX444" s="364"/>
      <c r="CY444" s="364"/>
      <c r="CZ444" s="364"/>
      <c r="DA444" s="364"/>
      <c r="DB444" s="364"/>
      <c r="DC444" s="364"/>
      <c r="DD444" s="364"/>
      <c r="DE444" s="364"/>
      <c r="DF444" s="364"/>
      <c r="DG444" s="364"/>
      <c r="DH444" s="364"/>
      <c r="DI444" s="364"/>
      <c r="DJ444" s="364"/>
      <c r="DK444" s="364"/>
      <c r="DL444" s="364"/>
      <c r="DM444" s="364"/>
      <c r="DN444" s="364"/>
      <c r="DO444" s="364"/>
      <c r="DP444" s="364"/>
      <c r="DQ444" s="364"/>
      <c r="DR444" s="364"/>
      <c r="DS444" s="364"/>
      <c r="DT444" s="364"/>
      <c r="DU444" s="364"/>
      <c r="DV444" s="364"/>
      <c r="DW444" s="364"/>
      <c r="DX444" s="364"/>
      <c r="DY444" s="364"/>
      <c r="DZ444" s="364"/>
      <c r="EA444" s="364"/>
      <c r="EB444" s="364"/>
      <c r="EC444" s="364"/>
      <c r="ED444" s="364"/>
      <c r="EE444" s="364"/>
      <c r="EF444" s="364"/>
      <c r="EG444" s="364"/>
      <c r="EH444" s="364"/>
      <c r="EI444" s="364"/>
      <c r="EJ444" s="364"/>
      <c r="EK444" s="364"/>
      <c r="EL444" s="364"/>
      <c r="EM444" s="364"/>
      <c r="EN444" s="364"/>
      <c r="EO444" s="364"/>
      <c r="EP444" s="364"/>
      <c r="EQ444" s="364"/>
      <c r="ER444" s="364"/>
      <c r="ES444" s="364"/>
      <c r="ET444" s="364"/>
      <c r="EU444" s="364"/>
      <c r="EV444" s="364"/>
      <c r="EW444" s="364"/>
      <c r="EX444" s="364"/>
      <c r="EY444" s="364"/>
      <c r="EZ444" s="364"/>
      <c r="FA444" s="364"/>
      <c r="FB444" s="364"/>
      <c r="FC444" s="364"/>
      <c r="FD444" s="364"/>
      <c r="FE444" s="364"/>
      <c r="FF444" s="364"/>
      <c r="FG444" s="364"/>
      <c r="FH444" s="364"/>
      <c r="FI444" s="364"/>
      <c r="FJ444" s="364"/>
      <c r="FK444" s="364"/>
    </row>
    <row r="445" customFormat="false" ht="15.75" hidden="false" customHeight="false" outlineLevel="0" collapsed="false">
      <c r="A445" s="364" t="n">
        <v>876</v>
      </c>
      <c r="B445" s="364" t="n">
        <f aca="false">COUNTA(D445:FK445)</f>
        <v>33</v>
      </c>
      <c r="C445" s="364" t="s">
        <v>2142</v>
      </c>
      <c r="D445" s="364" t="s">
        <v>2352</v>
      </c>
      <c r="E445" s="364" t="s">
        <v>2356</v>
      </c>
      <c r="F445" s="364" t="s">
        <v>2432</v>
      </c>
      <c r="G445" s="364" t="s">
        <v>2543</v>
      </c>
      <c r="H445" s="364" t="s">
        <v>2319</v>
      </c>
      <c r="I445" s="364" t="s">
        <v>2320</v>
      </c>
      <c r="J445" s="364" t="s">
        <v>2449</v>
      </c>
      <c r="K445" s="364" t="s">
        <v>2322</v>
      </c>
      <c r="L445" s="364" t="s">
        <v>2323</v>
      </c>
      <c r="M445" s="364" t="s">
        <v>2324</v>
      </c>
      <c r="N445" s="364" t="s">
        <v>2325</v>
      </c>
      <c r="O445" s="364" t="s">
        <v>2328</v>
      </c>
      <c r="P445" s="364" t="s">
        <v>2329</v>
      </c>
      <c r="Q445" s="364" t="s">
        <v>2330</v>
      </c>
      <c r="R445" s="364" t="s">
        <v>2721</v>
      </c>
      <c r="S445" s="364" t="s">
        <v>2556</v>
      </c>
      <c r="T445" s="364" t="s">
        <v>2507</v>
      </c>
      <c r="U445" s="364" t="s">
        <v>2540</v>
      </c>
      <c r="V445" s="364" t="s">
        <v>2531</v>
      </c>
      <c r="W445" s="364" t="s">
        <v>2452</v>
      </c>
      <c r="X445" s="364" t="s">
        <v>2333</v>
      </c>
      <c r="Y445" s="364" t="s">
        <v>2454</v>
      </c>
      <c r="Z445" s="364" t="s">
        <v>2336</v>
      </c>
      <c r="AA445" s="364" t="s">
        <v>2337</v>
      </c>
      <c r="AB445" s="364" t="s">
        <v>2340</v>
      </c>
      <c r="AC445" s="364" t="s">
        <v>2342</v>
      </c>
      <c r="AD445" s="364" t="s">
        <v>2422</v>
      </c>
      <c r="AE445" s="364" t="s">
        <v>2395</v>
      </c>
      <c r="AF445" s="364" t="s">
        <v>2344</v>
      </c>
      <c r="AG445" s="364" t="s">
        <v>2345</v>
      </c>
      <c r="AH445" s="364" t="s">
        <v>2732</v>
      </c>
      <c r="AI445" s="364" t="s">
        <v>2511</v>
      </c>
      <c r="AJ445" s="364" t="s">
        <v>2458</v>
      </c>
      <c r="AK445" s="364"/>
      <c r="AL445" s="364"/>
      <c r="AM445" s="364"/>
      <c r="AN445" s="364"/>
      <c r="AO445" s="364"/>
      <c r="AP445" s="364"/>
      <c r="AQ445" s="364"/>
      <c r="AR445" s="364"/>
      <c r="AS445" s="364"/>
      <c r="AT445" s="364"/>
      <c r="AU445" s="364"/>
      <c r="AV445" s="364"/>
      <c r="AW445" s="364"/>
      <c r="AX445" s="364"/>
      <c r="AY445" s="364"/>
      <c r="AZ445" s="364"/>
      <c r="BA445" s="364"/>
      <c r="BB445" s="364"/>
      <c r="BC445" s="364"/>
      <c r="BD445" s="364"/>
      <c r="BE445" s="364"/>
      <c r="BF445" s="364"/>
      <c r="BG445" s="364"/>
      <c r="BH445" s="364"/>
      <c r="BI445" s="364"/>
      <c r="BJ445" s="364"/>
      <c r="BK445" s="364"/>
      <c r="BL445" s="364"/>
      <c r="BM445" s="364"/>
      <c r="BN445" s="364"/>
      <c r="BO445" s="364"/>
      <c r="BP445" s="364"/>
      <c r="BQ445" s="364"/>
      <c r="BR445" s="364"/>
      <c r="BS445" s="364"/>
      <c r="BT445" s="364"/>
      <c r="BU445" s="364"/>
      <c r="BV445" s="364"/>
      <c r="BW445" s="364"/>
      <c r="BX445" s="364"/>
      <c r="BY445" s="364"/>
      <c r="BZ445" s="364"/>
      <c r="CA445" s="364"/>
      <c r="CB445" s="364"/>
      <c r="CC445" s="364"/>
      <c r="CD445" s="364"/>
      <c r="CE445" s="364"/>
      <c r="CF445" s="364"/>
      <c r="CG445" s="364"/>
      <c r="CH445" s="364"/>
      <c r="CI445" s="364"/>
      <c r="CJ445" s="364"/>
      <c r="CK445" s="364"/>
      <c r="CL445" s="364"/>
      <c r="CM445" s="364"/>
      <c r="CN445" s="364"/>
      <c r="CO445" s="364"/>
      <c r="CP445" s="364"/>
      <c r="CQ445" s="364"/>
      <c r="CR445" s="364"/>
      <c r="CS445" s="364"/>
      <c r="CT445" s="364"/>
      <c r="CU445" s="364"/>
      <c r="CV445" s="364"/>
      <c r="CW445" s="364"/>
      <c r="CX445" s="364"/>
      <c r="CY445" s="364"/>
      <c r="CZ445" s="364"/>
      <c r="DA445" s="364"/>
      <c r="DB445" s="364"/>
      <c r="DC445" s="364"/>
      <c r="DD445" s="364"/>
      <c r="DE445" s="364"/>
      <c r="DF445" s="364"/>
      <c r="DG445" s="364"/>
      <c r="DH445" s="364"/>
      <c r="DI445" s="364"/>
      <c r="DJ445" s="364"/>
      <c r="DK445" s="364"/>
      <c r="DL445" s="364"/>
      <c r="DM445" s="364"/>
      <c r="DN445" s="364"/>
      <c r="DO445" s="364"/>
      <c r="DP445" s="364"/>
      <c r="DQ445" s="364"/>
      <c r="DR445" s="364"/>
      <c r="DS445" s="364"/>
      <c r="DT445" s="364"/>
      <c r="DU445" s="364"/>
      <c r="DV445" s="364"/>
      <c r="DW445" s="364"/>
      <c r="DX445" s="364"/>
      <c r="DY445" s="364"/>
      <c r="DZ445" s="364"/>
      <c r="EA445" s="364"/>
      <c r="EB445" s="364"/>
      <c r="EC445" s="364"/>
      <c r="ED445" s="364"/>
      <c r="EE445" s="364"/>
      <c r="EF445" s="364"/>
      <c r="EG445" s="364"/>
      <c r="EH445" s="364"/>
      <c r="EI445" s="364"/>
      <c r="EJ445" s="364"/>
      <c r="EK445" s="364"/>
      <c r="EL445" s="364"/>
      <c r="EM445" s="364"/>
      <c r="EN445" s="364"/>
      <c r="EO445" s="364"/>
      <c r="EP445" s="364"/>
      <c r="EQ445" s="364"/>
      <c r="ER445" s="364"/>
      <c r="ES445" s="364"/>
      <c r="ET445" s="364"/>
      <c r="EU445" s="364"/>
      <c r="EV445" s="364"/>
      <c r="EW445" s="364"/>
      <c r="EX445" s="364"/>
      <c r="EY445" s="364"/>
      <c r="EZ445" s="364"/>
      <c r="FA445" s="364"/>
      <c r="FB445" s="364"/>
      <c r="FC445" s="364"/>
      <c r="FD445" s="364"/>
      <c r="FE445" s="364"/>
      <c r="FF445" s="364"/>
      <c r="FG445" s="364"/>
      <c r="FH445" s="364"/>
      <c r="FI445" s="364"/>
      <c r="FJ445" s="364"/>
      <c r="FK445" s="364"/>
    </row>
    <row r="446" customFormat="false" ht="15.75" hidden="false" customHeight="false" outlineLevel="0" collapsed="false">
      <c r="A446" s="364" t="n">
        <v>878</v>
      </c>
      <c r="B446" s="364" t="n">
        <f aca="false">COUNTA(D446:FK446)</f>
        <v>19</v>
      </c>
      <c r="C446" s="364" t="s">
        <v>2146</v>
      </c>
      <c r="D446" s="364" t="s">
        <v>2527</v>
      </c>
      <c r="E446" s="364" t="s">
        <v>2528</v>
      </c>
      <c r="F446" s="364" t="s">
        <v>2464</v>
      </c>
      <c r="G446" s="364" t="s">
        <v>2517</v>
      </c>
      <c r="H446" s="364" t="s">
        <v>2435</v>
      </c>
      <c r="I446" s="364" t="s">
        <v>2319</v>
      </c>
      <c r="J446" s="364" t="s">
        <v>2323</v>
      </c>
      <c r="K446" s="364" t="s">
        <v>2324</v>
      </c>
      <c r="L446" s="364" t="s">
        <v>2325</v>
      </c>
      <c r="M446" s="364" t="s">
        <v>2328</v>
      </c>
      <c r="N446" s="364" t="s">
        <v>2331</v>
      </c>
      <c r="O446" s="364" t="s">
        <v>2638</v>
      </c>
      <c r="P446" s="364" t="s">
        <v>2337</v>
      </c>
      <c r="Q446" s="364" t="s">
        <v>2340</v>
      </c>
      <c r="R446" s="364" t="s">
        <v>2342</v>
      </c>
      <c r="S446" s="364" t="s">
        <v>2422</v>
      </c>
      <c r="T446" s="364" t="s">
        <v>2343</v>
      </c>
      <c r="U446" s="364" t="s">
        <v>2344</v>
      </c>
      <c r="V446" s="364" t="s">
        <v>2345</v>
      </c>
      <c r="W446" s="364"/>
      <c r="X446" s="364"/>
      <c r="Y446" s="364"/>
      <c r="Z446" s="364"/>
      <c r="AA446" s="364"/>
      <c r="AB446" s="364"/>
      <c r="AC446" s="364"/>
      <c r="AD446" s="364"/>
      <c r="AE446" s="364"/>
      <c r="AF446" s="364"/>
      <c r="AG446" s="364"/>
      <c r="AH446" s="364"/>
      <c r="AI446" s="364"/>
      <c r="AJ446" s="364"/>
      <c r="AK446" s="364"/>
      <c r="AL446" s="364"/>
      <c r="AM446" s="364"/>
      <c r="AN446" s="364"/>
      <c r="AO446" s="364"/>
      <c r="AP446" s="364"/>
      <c r="AQ446" s="364"/>
      <c r="AR446" s="364"/>
      <c r="AS446" s="364"/>
      <c r="AT446" s="364"/>
      <c r="AU446" s="364"/>
      <c r="AV446" s="364"/>
      <c r="AW446" s="364"/>
      <c r="AX446" s="364"/>
      <c r="AY446" s="364"/>
      <c r="AZ446" s="364"/>
      <c r="BA446" s="364"/>
      <c r="BB446" s="364"/>
      <c r="BC446" s="364"/>
      <c r="BD446" s="364"/>
      <c r="BE446" s="364"/>
      <c r="BF446" s="364"/>
      <c r="BG446" s="364"/>
      <c r="BH446" s="364"/>
      <c r="BI446" s="364"/>
      <c r="BJ446" s="364"/>
      <c r="BK446" s="364"/>
      <c r="BL446" s="364"/>
      <c r="BM446" s="364"/>
      <c r="BN446" s="364"/>
      <c r="BO446" s="364"/>
      <c r="BP446" s="364"/>
      <c r="BQ446" s="364"/>
      <c r="BR446" s="364"/>
      <c r="BS446" s="364"/>
      <c r="BT446" s="364"/>
      <c r="BU446" s="364"/>
      <c r="BV446" s="364"/>
      <c r="BW446" s="364"/>
      <c r="BX446" s="364"/>
      <c r="BY446" s="364"/>
      <c r="BZ446" s="364"/>
      <c r="CA446" s="364"/>
      <c r="CB446" s="364"/>
      <c r="CC446" s="364"/>
      <c r="CD446" s="364"/>
      <c r="CE446" s="364"/>
      <c r="CF446" s="364"/>
      <c r="CG446" s="364"/>
      <c r="CH446" s="364"/>
      <c r="CI446" s="364"/>
      <c r="CJ446" s="364"/>
      <c r="CK446" s="364"/>
      <c r="CL446" s="364"/>
      <c r="CM446" s="364"/>
      <c r="CN446" s="364"/>
      <c r="CO446" s="364"/>
      <c r="CP446" s="364"/>
      <c r="CQ446" s="364"/>
      <c r="CR446" s="364"/>
      <c r="CS446" s="364"/>
      <c r="CT446" s="364"/>
      <c r="CU446" s="364"/>
      <c r="CV446" s="364"/>
      <c r="CW446" s="364"/>
      <c r="CX446" s="364"/>
      <c r="CY446" s="364"/>
      <c r="CZ446" s="364"/>
      <c r="DA446" s="364"/>
      <c r="DB446" s="364"/>
      <c r="DC446" s="364"/>
      <c r="DD446" s="364"/>
      <c r="DE446" s="364"/>
      <c r="DF446" s="364"/>
      <c r="DG446" s="364"/>
      <c r="DH446" s="364"/>
      <c r="DI446" s="364"/>
      <c r="DJ446" s="364"/>
      <c r="DK446" s="364"/>
      <c r="DL446" s="364"/>
      <c r="DM446" s="364"/>
      <c r="DN446" s="364"/>
      <c r="DO446" s="364"/>
      <c r="DP446" s="364"/>
      <c r="DQ446" s="364"/>
      <c r="DR446" s="364"/>
      <c r="DS446" s="364"/>
      <c r="DT446" s="364"/>
      <c r="DU446" s="364"/>
      <c r="DV446" s="364"/>
      <c r="DW446" s="364"/>
      <c r="DX446" s="364"/>
      <c r="DY446" s="364"/>
      <c r="DZ446" s="364"/>
      <c r="EA446" s="364"/>
      <c r="EB446" s="364"/>
      <c r="EC446" s="364"/>
      <c r="ED446" s="364"/>
      <c r="EE446" s="364"/>
      <c r="EF446" s="364"/>
      <c r="EG446" s="364"/>
      <c r="EH446" s="364"/>
      <c r="EI446" s="364"/>
      <c r="EJ446" s="364"/>
      <c r="EK446" s="364"/>
      <c r="EL446" s="364"/>
      <c r="EM446" s="364"/>
      <c r="EN446" s="364"/>
      <c r="EO446" s="364"/>
      <c r="EP446" s="364"/>
      <c r="EQ446" s="364"/>
      <c r="ER446" s="364"/>
      <c r="ES446" s="364"/>
      <c r="ET446" s="364"/>
      <c r="EU446" s="364"/>
      <c r="EV446" s="364"/>
      <c r="EW446" s="364"/>
      <c r="EX446" s="364"/>
      <c r="EY446" s="364"/>
      <c r="EZ446" s="364"/>
      <c r="FA446" s="364"/>
      <c r="FB446" s="364"/>
      <c r="FC446" s="364"/>
      <c r="FD446" s="364"/>
      <c r="FE446" s="364"/>
      <c r="FF446" s="364"/>
      <c r="FG446" s="364"/>
      <c r="FH446" s="364"/>
      <c r="FI446" s="364"/>
      <c r="FJ446" s="364"/>
      <c r="FK446" s="364"/>
    </row>
    <row r="447" customFormat="false" ht="15.75" hidden="false" customHeight="false" outlineLevel="0" collapsed="false">
      <c r="A447" s="364" t="n">
        <v>880</v>
      </c>
      <c r="B447" s="364" t="n">
        <f aca="false">COUNTA(D447:FK447)</f>
        <v>34</v>
      </c>
      <c r="C447" s="364" t="s">
        <v>2150</v>
      </c>
      <c r="D447" s="364" t="s">
        <v>2431</v>
      </c>
      <c r="E447" s="364" t="s">
        <v>2465</v>
      </c>
      <c r="F447" s="364" t="s">
        <v>2519</v>
      </c>
      <c r="G447" s="364" t="s">
        <v>2360</v>
      </c>
      <c r="H447" s="364" t="s">
        <v>2361</v>
      </c>
      <c r="I447" s="364" t="s">
        <v>2362</v>
      </c>
      <c r="J447" s="364" t="s">
        <v>2363</v>
      </c>
      <c r="K447" s="364" t="s">
        <v>2365</v>
      </c>
      <c r="L447" s="364" t="s">
        <v>2320</v>
      </c>
      <c r="M447" s="364" t="s">
        <v>2533</v>
      </c>
      <c r="N447" s="364" t="s">
        <v>2366</v>
      </c>
      <c r="O447" s="364" t="s">
        <v>2371</v>
      </c>
      <c r="P447" s="364" t="s">
        <v>2372</v>
      </c>
      <c r="Q447" s="364" t="s">
        <v>2373</v>
      </c>
      <c r="R447" s="364" t="s">
        <v>2523</v>
      </c>
      <c r="S447" s="364" t="s">
        <v>2484</v>
      </c>
      <c r="T447" s="364" t="s">
        <v>2378</v>
      </c>
      <c r="U447" s="364" t="s">
        <v>2328</v>
      </c>
      <c r="V447" s="364" t="s">
        <v>2381</v>
      </c>
      <c r="W447" s="364" t="s">
        <v>2330</v>
      </c>
      <c r="X447" s="364" t="s">
        <v>2507</v>
      </c>
      <c r="Y447" s="364" t="s">
        <v>2386</v>
      </c>
      <c r="Z447" s="364" t="s">
        <v>2452</v>
      </c>
      <c r="AA447" s="364" t="s">
        <v>2454</v>
      </c>
      <c r="AB447" s="364" t="s">
        <v>2582</v>
      </c>
      <c r="AC447" s="364" t="s">
        <v>2337</v>
      </c>
      <c r="AD447" s="364" t="s">
        <v>2340</v>
      </c>
      <c r="AE447" s="364" t="s">
        <v>2392</v>
      </c>
      <c r="AF447" s="364" t="s">
        <v>2343</v>
      </c>
      <c r="AG447" s="364" t="s">
        <v>2471</v>
      </c>
      <c r="AH447" s="364" t="s">
        <v>2619</v>
      </c>
      <c r="AI447" s="364" t="s">
        <v>2344</v>
      </c>
      <c r="AJ447" s="364" t="s">
        <v>2445</v>
      </c>
      <c r="AK447" s="364" t="s">
        <v>2350</v>
      </c>
      <c r="AL447" s="364"/>
      <c r="AM447" s="364"/>
      <c r="AN447" s="364"/>
      <c r="AO447" s="364"/>
      <c r="AP447" s="364"/>
      <c r="AQ447" s="364"/>
      <c r="AR447" s="364"/>
      <c r="AS447" s="364"/>
      <c r="AT447" s="364"/>
      <c r="AU447" s="364"/>
      <c r="AV447" s="364"/>
      <c r="AW447" s="364"/>
      <c r="AX447" s="364"/>
      <c r="AY447" s="364"/>
      <c r="AZ447" s="364"/>
      <c r="BA447" s="364"/>
      <c r="BB447" s="364"/>
      <c r="BC447" s="364"/>
      <c r="BD447" s="364"/>
      <c r="BE447" s="364"/>
      <c r="BF447" s="364"/>
      <c r="BG447" s="364"/>
      <c r="BH447" s="364"/>
      <c r="BI447" s="364"/>
      <c r="BJ447" s="364"/>
      <c r="BK447" s="364"/>
      <c r="BL447" s="364"/>
      <c r="BM447" s="364"/>
      <c r="BN447" s="364"/>
      <c r="BO447" s="364"/>
      <c r="BP447" s="364"/>
      <c r="BQ447" s="364"/>
      <c r="BR447" s="364"/>
      <c r="BS447" s="364"/>
      <c r="BT447" s="364"/>
      <c r="BU447" s="364"/>
      <c r="BV447" s="364"/>
      <c r="BW447" s="364"/>
      <c r="BX447" s="364"/>
      <c r="BY447" s="364"/>
      <c r="BZ447" s="364"/>
      <c r="CA447" s="364"/>
      <c r="CB447" s="364"/>
      <c r="CC447" s="364"/>
      <c r="CD447" s="364"/>
      <c r="CE447" s="364"/>
      <c r="CF447" s="364"/>
      <c r="CG447" s="364"/>
      <c r="CH447" s="364"/>
      <c r="CI447" s="364"/>
      <c r="CJ447" s="364"/>
      <c r="CK447" s="364"/>
      <c r="CL447" s="364"/>
      <c r="CM447" s="364"/>
      <c r="CN447" s="364"/>
      <c r="CO447" s="364"/>
      <c r="CP447" s="364"/>
      <c r="CQ447" s="364"/>
      <c r="CR447" s="364"/>
      <c r="CS447" s="364"/>
      <c r="CT447" s="364"/>
      <c r="CU447" s="364"/>
      <c r="CV447" s="364"/>
      <c r="CW447" s="364"/>
      <c r="CX447" s="364"/>
      <c r="CY447" s="364"/>
      <c r="CZ447" s="364"/>
      <c r="DA447" s="364"/>
      <c r="DB447" s="364"/>
      <c r="DC447" s="364"/>
      <c r="DD447" s="364"/>
      <c r="DE447" s="364"/>
      <c r="DF447" s="364"/>
      <c r="DG447" s="364"/>
      <c r="DH447" s="364"/>
      <c r="DI447" s="364"/>
      <c r="DJ447" s="364"/>
      <c r="DK447" s="364"/>
      <c r="DL447" s="364"/>
      <c r="DM447" s="364"/>
      <c r="DN447" s="364"/>
      <c r="DO447" s="364"/>
      <c r="DP447" s="364"/>
      <c r="DQ447" s="364"/>
      <c r="DR447" s="364"/>
      <c r="DS447" s="364"/>
      <c r="DT447" s="364"/>
      <c r="DU447" s="364"/>
      <c r="DV447" s="364"/>
      <c r="DW447" s="364"/>
      <c r="DX447" s="364"/>
      <c r="DY447" s="364"/>
      <c r="DZ447" s="364"/>
      <c r="EA447" s="364"/>
      <c r="EB447" s="364"/>
      <c r="EC447" s="364"/>
      <c r="ED447" s="364"/>
      <c r="EE447" s="364"/>
      <c r="EF447" s="364"/>
      <c r="EG447" s="364"/>
      <c r="EH447" s="364"/>
      <c r="EI447" s="364"/>
      <c r="EJ447" s="364"/>
      <c r="EK447" s="364"/>
      <c r="EL447" s="364"/>
      <c r="EM447" s="364"/>
      <c r="EN447" s="364"/>
      <c r="EO447" s="364"/>
      <c r="EP447" s="364"/>
      <c r="EQ447" s="364"/>
      <c r="ER447" s="364"/>
      <c r="ES447" s="364"/>
      <c r="ET447" s="364"/>
      <c r="EU447" s="364"/>
      <c r="EV447" s="364"/>
      <c r="EW447" s="364"/>
      <c r="EX447" s="364"/>
      <c r="EY447" s="364"/>
      <c r="EZ447" s="364"/>
      <c r="FA447" s="364"/>
      <c r="FB447" s="364"/>
      <c r="FC447" s="364"/>
      <c r="FD447" s="364"/>
      <c r="FE447" s="364"/>
      <c r="FF447" s="364"/>
      <c r="FG447" s="364"/>
      <c r="FH447" s="364"/>
      <c r="FI447" s="364"/>
      <c r="FJ447" s="364"/>
      <c r="FK447" s="364"/>
    </row>
    <row r="448" customFormat="false" ht="15.75" hidden="false" customHeight="false" outlineLevel="0" collapsed="false">
      <c r="A448" s="364" t="n">
        <v>882</v>
      </c>
      <c r="B448" s="364" t="n">
        <f aca="false">COUNTA(D448:FK448)</f>
        <v>36</v>
      </c>
      <c r="C448" s="364" t="s">
        <v>2154</v>
      </c>
      <c r="D448" s="364" t="s">
        <v>2352</v>
      </c>
      <c r="E448" s="364" t="s">
        <v>2310</v>
      </c>
      <c r="F448" s="364" t="s">
        <v>2311</v>
      </c>
      <c r="G448" s="364" t="s">
        <v>2356</v>
      </c>
      <c r="H448" s="364" t="s">
        <v>2357</v>
      </c>
      <c r="I448" s="364" t="s">
        <v>2313</v>
      </c>
      <c r="J448" s="364" t="s">
        <v>2316</v>
      </c>
      <c r="K448" s="364" t="s">
        <v>2360</v>
      </c>
      <c r="L448" s="364" t="s">
        <v>2520</v>
      </c>
      <c r="M448" s="364" t="s">
        <v>2543</v>
      </c>
      <c r="N448" s="364" t="s">
        <v>2317</v>
      </c>
      <c r="O448" s="364" t="s">
        <v>2320</v>
      </c>
      <c r="P448" s="364" t="s">
        <v>2376</v>
      </c>
      <c r="Q448" s="364" t="s">
        <v>2377</v>
      </c>
      <c r="R448" s="364" t="s">
        <v>2324</v>
      </c>
      <c r="S448" s="364" t="s">
        <v>2614</v>
      </c>
      <c r="T448" s="364" t="s">
        <v>2328</v>
      </c>
      <c r="U448" s="364" t="s">
        <v>2329</v>
      </c>
      <c r="V448" s="364" t="s">
        <v>2416</v>
      </c>
      <c r="W448" s="364" t="s">
        <v>2506</v>
      </c>
      <c r="X448" s="364" t="s">
        <v>2539</v>
      </c>
      <c r="Y448" s="364" t="s">
        <v>2540</v>
      </c>
      <c r="Z448" s="364" t="s">
        <v>2452</v>
      </c>
      <c r="AA448" s="364" t="s">
        <v>2337</v>
      </c>
      <c r="AB448" s="364" t="s">
        <v>2388</v>
      </c>
      <c r="AC448" s="364" t="s">
        <v>2389</v>
      </c>
      <c r="AD448" s="364" t="s">
        <v>2340</v>
      </c>
      <c r="AE448" s="364" t="s">
        <v>2392</v>
      </c>
      <c r="AF448" s="364" t="s">
        <v>2344</v>
      </c>
      <c r="AG448" s="364" t="s">
        <v>2346</v>
      </c>
      <c r="AH448" s="364" t="s">
        <v>2511</v>
      </c>
      <c r="AI448" s="364" t="s">
        <v>2348</v>
      </c>
      <c r="AJ448" s="364" t="s">
        <v>2349</v>
      </c>
      <c r="AK448" s="364" t="s">
        <v>2515</v>
      </c>
      <c r="AL448" s="364" t="s">
        <v>2399</v>
      </c>
      <c r="AM448" s="364" t="s">
        <v>2430</v>
      </c>
      <c r="AN448" s="364"/>
      <c r="AO448" s="364"/>
      <c r="AP448" s="364"/>
      <c r="AQ448" s="364"/>
      <c r="AR448" s="364"/>
      <c r="AS448" s="364"/>
      <c r="AT448" s="364"/>
      <c r="AU448" s="364"/>
      <c r="AV448" s="364"/>
      <c r="AW448" s="364"/>
      <c r="AX448" s="364"/>
      <c r="AY448" s="364"/>
      <c r="AZ448" s="364"/>
      <c r="BA448" s="364"/>
      <c r="BB448" s="364"/>
      <c r="BC448" s="364"/>
      <c r="BD448" s="364"/>
      <c r="BE448" s="364"/>
      <c r="BF448" s="364"/>
      <c r="BG448" s="364"/>
      <c r="BH448" s="364"/>
      <c r="BI448" s="364"/>
      <c r="BJ448" s="364"/>
      <c r="BK448" s="364"/>
      <c r="BL448" s="364"/>
      <c r="BM448" s="364"/>
      <c r="BN448" s="364"/>
      <c r="BO448" s="364"/>
      <c r="BP448" s="364"/>
      <c r="BQ448" s="364"/>
      <c r="BR448" s="364"/>
      <c r="BS448" s="364"/>
      <c r="BT448" s="364"/>
      <c r="BU448" s="364"/>
      <c r="BV448" s="364"/>
      <c r="BW448" s="364"/>
      <c r="BX448" s="364"/>
      <c r="BY448" s="364"/>
      <c r="BZ448" s="364"/>
      <c r="CA448" s="364"/>
      <c r="CB448" s="364"/>
      <c r="CC448" s="364"/>
      <c r="CD448" s="364"/>
      <c r="CE448" s="364"/>
      <c r="CF448" s="364"/>
      <c r="CG448" s="364"/>
      <c r="CH448" s="364"/>
      <c r="CI448" s="364"/>
      <c r="CJ448" s="364"/>
      <c r="CK448" s="364"/>
      <c r="CL448" s="364"/>
      <c r="CM448" s="364"/>
      <c r="CN448" s="364"/>
      <c r="CO448" s="364"/>
      <c r="CP448" s="364"/>
      <c r="CQ448" s="364"/>
      <c r="CR448" s="364"/>
      <c r="CS448" s="364"/>
      <c r="CT448" s="364"/>
      <c r="CU448" s="364"/>
      <c r="CV448" s="364"/>
      <c r="CW448" s="364"/>
      <c r="CX448" s="364"/>
      <c r="CY448" s="364"/>
      <c r="CZ448" s="364"/>
      <c r="DA448" s="364"/>
      <c r="DB448" s="364"/>
      <c r="DC448" s="364"/>
      <c r="DD448" s="364"/>
      <c r="DE448" s="364"/>
      <c r="DF448" s="364"/>
      <c r="DG448" s="364"/>
      <c r="DH448" s="364"/>
      <c r="DI448" s="364"/>
      <c r="DJ448" s="364"/>
      <c r="DK448" s="364"/>
      <c r="DL448" s="364"/>
      <c r="DM448" s="364"/>
      <c r="DN448" s="364"/>
      <c r="DO448" s="364"/>
      <c r="DP448" s="364"/>
      <c r="DQ448" s="364"/>
      <c r="DR448" s="364"/>
      <c r="DS448" s="364"/>
      <c r="DT448" s="364"/>
      <c r="DU448" s="364"/>
      <c r="DV448" s="364"/>
      <c r="DW448" s="364"/>
      <c r="DX448" s="364"/>
      <c r="DY448" s="364"/>
      <c r="DZ448" s="364"/>
      <c r="EA448" s="364"/>
      <c r="EB448" s="364"/>
      <c r="EC448" s="364"/>
      <c r="ED448" s="364"/>
      <c r="EE448" s="364"/>
      <c r="EF448" s="364"/>
      <c r="EG448" s="364"/>
      <c r="EH448" s="364"/>
      <c r="EI448" s="364"/>
      <c r="EJ448" s="364"/>
      <c r="EK448" s="364"/>
      <c r="EL448" s="364"/>
      <c r="EM448" s="364"/>
      <c r="EN448" s="364"/>
      <c r="EO448" s="364"/>
      <c r="EP448" s="364"/>
      <c r="EQ448" s="364"/>
      <c r="ER448" s="364"/>
      <c r="ES448" s="364"/>
      <c r="ET448" s="364"/>
      <c r="EU448" s="364"/>
      <c r="EV448" s="364"/>
      <c r="EW448" s="364"/>
      <c r="EX448" s="364"/>
      <c r="EY448" s="364"/>
      <c r="EZ448" s="364"/>
      <c r="FA448" s="364"/>
      <c r="FB448" s="364"/>
      <c r="FC448" s="364"/>
      <c r="FD448" s="364"/>
      <c r="FE448" s="364"/>
      <c r="FF448" s="364"/>
      <c r="FG448" s="364"/>
      <c r="FH448" s="364"/>
      <c r="FI448" s="364"/>
      <c r="FJ448" s="364"/>
      <c r="FK448" s="364"/>
    </row>
    <row r="449" customFormat="false" ht="15.75" hidden="false" customHeight="false" outlineLevel="0" collapsed="false">
      <c r="A449" s="364" t="n">
        <v>885</v>
      </c>
      <c r="B449" s="364" t="n">
        <f aca="false">COUNTA(D449:FK449)</f>
        <v>32</v>
      </c>
      <c r="C449" s="364" t="s">
        <v>2160</v>
      </c>
      <c r="D449" s="364" t="s">
        <v>2431</v>
      </c>
      <c r="E449" s="364" t="s">
        <v>2516</v>
      </c>
      <c r="F449" s="364" t="s">
        <v>2465</v>
      </c>
      <c r="G449" s="364" t="s">
        <v>2517</v>
      </c>
      <c r="H449" s="364" t="s">
        <v>2519</v>
      </c>
      <c r="I449" s="364" t="s">
        <v>2448</v>
      </c>
      <c r="J449" s="364" t="s">
        <v>2319</v>
      </c>
      <c r="K449" s="364" t="s">
        <v>2320</v>
      </c>
      <c r="L449" s="364" t="s">
        <v>2323</v>
      </c>
      <c r="M449" s="364" t="s">
        <v>2324</v>
      </c>
      <c r="N449" s="364" t="s">
        <v>2325</v>
      </c>
      <c r="O449" s="364" t="s">
        <v>2328</v>
      </c>
      <c r="P449" s="364" t="s">
        <v>2609</v>
      </c>
      <c r="Q449" s="364" t="s">
        <v>2330</v>
      </c>
      <c r="R449" s="364" t="s">
        <v>2557</v>
      </c>
      <c r="S449" s="364" t="s">
        <v>2539</v>
      </c>
      <c r="T449" s="364" t="s">
        <v>2540</v>
      </c>
      <c r="U449" s="364" t="s">
        <v>2623</v>
      </c>
      <c r="V449" s="364" t="s">
        <v>2452</v>
      </c>
      <c r="W449" s="364" t="s">
        <v>2616</v>
      </c>
      <c r="X449" s="364" t="s">
        <v>2419</v>
      </c>
      <c r="Y449" s="364" t="s">
        <v>2336</v>
      </c>
      <c r="Z449" s="364" t="s">
        <v>2337</v>
      </c>
      <c r="AA449" s="364" t="s">
        <v>2340</v>
      </c>
      <c r="AB449" s="364" t="s">
        <v>2342</v>
      </c>
      <c r="AC449" s="364" t="s">
        <v>2344</v>
      </c>
      <c r="AD449" s="364" t="s">
        <v>2345</v>
      </c>
      <c r="AE449" s="364" t="s">
        <v>2643</v>
      </c>
      <c r="AF449" s="364" t="s">
        <v>2571</v>
      </c>
      <c r="AG449" s="364" t="s">
        <v>2733</v>
      </c>
      <c r="AH449" s="364" t="s">
        <v>2446</v>
      </c>
      <c r="AI449" s="364" t="s">
        <v>2430</v>
      </c>
      <c r="AJ449" s="364"/>
      <c r="AK449" s="364"/>
      <c r="AL449" s="364"/>
      <c r="AM449" s="364"/>
      <c r="AN449" s="364"/>
      <c r="AO449" s="364"/>
      <c r="AP449" s="364"/>
      <c r="AQ449" s="364"/>
      <c r="AR449" s="364"/>
      <c r="AS449" s="364"/>
      <c r="AT449" s="364"/>
      <c r="AU449" s="364"/>
      <c r="AV449" s="364"/>
      <c r="AW449" s="364"/>
      <c r="AX449" s="364"/>
      <c r="AY449" s="364"/>
      <c r="AZ449" s="364"/>
      <c r="BA449" s="364"/>
      <c r="BB449" s="364"/>
      <c r="BC449" s="364"/>
      <c r="BD449" s="364"/>
      <c r="BE449" s="364"/>
      <c r="BF449" s="364"/>
      <c r="BG449" s="364"/>
      <c r="BH449" s="364"/>
      <c r="BI449" s="364"/>
      <c r="BJ449" s="364"/>
      <c r="BK449" s="364"/>
      <c r="BL449" s="364"/>
      <c r="BM449" s="364"/>
      <c r="BN449" s="364"/>
      <c r="BO449" s="364"/>
      <c r="BP449" s="364"/>
      <c r="BQ449" s="364"/>
      <c r="BR449" s="364"/>
      <c r="BS449" s="364"/>
      <c r="BT449" s="364"/>
      <c r="BU449" s="364"/>
      <c r="BV449" s="364"/>
      <c r="BW449" s="364"/>
      <c r="BX449" s="364"/>
      <c r="BY449" s="364"/>
      <c r="BZ449" s="364"/>
      <c r="CA449" s="364"/>
      <c r="CB449" s="364"/>
      <c r="CC449" s="364"/>
      <c r="CD449" s="364"/>
      <c r="CE449" s="364"/>
      <c r="CF449" s="364"/>
      <c r="CG449" s="364"/>
      <c r="CH449" s="364"/>
      <c r="CI449" s="364"/>
      <c r="CJ449" s="364"/>
      <c r="CK449" s="364"/>
      <c r="CL449" s="364"/>
      <c r="CM449" s="364"/>
      <c r="CN449" s="364"/>
      <c r="CO449" s="364"/>
      <c r="CP449" s="364"/>
      <c r="CQ449" s="364"/>
      <c r="CR449" s="364"/>
      <c r="CS449" s="364"/>
      <c r="CT449" s="364"/>
      <c r="CU449" s="364"/>
      <c r="CV449" s="364"/>
      <c r="CW449" s="364"/>
      <c r="CX449" s="364"/>
      <c r="CY449" s="364"/>
      <c r="CZ449" s="364"/>
      <c r="DA449" s="364"/>
      <c r="DB449" s="364"/>
      <c r="DC449" s="364"/>
      <c r="DD449" s="364"/>
      <c r="DE449" s="364"/>
      <c r="DF449" s="364"/>
      <c r="DG449" s="364"/>
      <c r="DH449" s="364"/>
      <c r="DI449" s="364"/>
      <c r="DJ449" s="364"/>
      <c r="DK449" s="364"/>
      <c r="DL449" s="364"/>
      <c r="DM449" s="364"/>
      <c r="DN449" s="364"/>
      <c r="DO449" s="364"/>
      <c r="DP449" s="364"/>
      <c r="DQ449" s="364"/>
      <c r="DR449" s="364"/>
      <c r="DS449" s="364"/>
      <c r="DT449" s="364"/>
      <c r="DU449" s="364"/>
      <c r="DV449" s="364"/>
      <c r="DW449" s="364"/>
      <c r="DX449" s="364"/>
      <c r="DY449" s="364"/>
      <c r="DZ449" s="364"/>
      <c r="EA449" s="364"/>
      <c r="EB449" s="364"/>
      <c r="EC449" s="364"/>
      <c r="ED449" s="364"/>
      <c r="EE449" s="364"/>
      <c r="EF449" s="364"/>
      <c r="EG449" s="364"/>
      <c r="EH449" s="364"/>
      <c r="EI449" s="364"/>
      <c r="EJ449" s="364"/>
      <c r="EK449" s="364"/>
      <c r="EL449" s="364"/>
      <c r="EM449" s="364"/>
      <c r="EN449" s="364"/>
      <c r="EO449" s="364"/>
      <c r="EP449" s="364"/>
      <c r="EQ449" s="364"/>
      <c r="ER449" s="364"/>
      <c r="ES449" s="364"/>
      <c r="ET449" s="364"/>
      <c r="EU449" s="364"/>
      <c r="EV449" s="364"/>
      <c r="EW449" s="364"/>
      <c r="EX449" s="364"/>
      <c r="EY449" s="364"/>
      <c r="EZ449" s="364"/>
      <c r="FA449" s="364"/>
      <c r="FB449" s="364"/>
      <c r="FC449" s="364"/>
      <c r="FD449" s="364"/>
      <c r="FE449" s="364"/>
      <c r="FF449" s="364"/>
      <c r="FG449" s="364"/>
      <c r="FH449" s="364"/>
      <c r="FI449" s="364"/>
      <c r="FJ449" s="364"/>
      <c r="FK449" s="364"/>
    </row>
    <row r="450" customFormat="false" ht="15.75" hidden="false" customHeight="false" outlineLevel="0" collapsed="false">
      <c r="A450" s="364" t="n">
        <v>886</v>
      </c>
      <c r="B450" s="364" t="n">
        <f aca="false">COUNTA(D450:FK450)</f>
        <v>25</v>
      </c>
      <c r="C450" s="364" t="s">
        <v>2162</v>
      </c>
      <c r="D450" s="364" t="s">
        <v>2431</v>
      </c>
      <c r="E450" s="364" t="s">
        <v>2311</v>
      </c>
      <c r="F450" s="364" t="s">
        <v>2465</v>
      </c>
      <c r="G450" s="364" t="s">
        <v>2517</v>
      </c>
      <c r="H450" s="364" t="s">
        <v>2624</v>
      </c>
      <c r="I450" s="364" t="s">
        <v>2318</v>
      </c>
      <c r="J450" s="364" t="s">
        <v>2319</v>
      </c>
      <c r="K450" s="364" t="s">
        <v>2320</v>
      </c>
      <c r="L450" s="364" t="s">
        <v>2323</v>
      </c>
      <c r="M450" s="364" t="s">
        <v>2325</v>
      </c>
      <c r="N450" s="364" t="s">
        <v>2328</v>
      </c>
      <c r="O450" s="364" t="s">
        <v>2329</v>
      </c>
      <c r="P450" s="364" t="s">
        <v>2623</v>
      </c>
      <c r="Q450" s="364" t="s">
        <v>2333</v>
      </c>
      <c r="R450" s="364" t="s">
        <v>2334</v>
      </c>
      <c r="S450" s="364" t="s">
        <v>2526</v>
      </c>
      <c r="T450" s="364" t="s">
        <v>2337</v>
      </c>
      <c r="U450" s="364" t="s">
        <v>2340</v>
      </c>
      <c r="V450" s="364" t="s">
        <v>2342</v>
      </c>
      <c r="W450" s="364" t="s">
        <v>2344</v>
      </c>
      <c r="X450" s="364" t="s">
        <v>2345</v>
      </c>
      <c r="Y450" s="364" t="s">
        <v>2445</v>
      </c>
      <c r="Z450" s="364" t="s">
        <v>2446</v>
      </c>
      <c r="AA450" s="364" t="s">
        <v>2351</v>
      </c>
      <c r="AB450" s="364" t="s">
        <v>2489</v>
      </c>
      <c r="AC450" s="364"/>
      <c r="AD450" s="364"/>
      <c r="AE450" s="364"/>
      <c r="AF450" s="364"/>
      <c r="AG450" s="364"/>
      <c r="AH450" s="364"/>
      <c r="AI450" s="364"/>
      <c r="AJ450" s="364"/>
      <c r="AK450" s="364"/>
      <c r="AL450" s="364"/>
      <c r="AM450" s="364"/>
      <c r="AN450" s="364"/>
      <c r="AO450" s="364"/>
      <c r="AP450" s="364"/>
      <c r="AQ450" s="364"/>
      <c r="AR450" s="364"/>
      <c r="AS450" s="364"/>
      <c r="AT450" s="364"/>
      <c r="AU450" s="364"/>
      <c r="AV450" s="364"/>
      <c r="AW450" s="364"/>
      <c r="AX450" s="364"/>
      <c r="AY450" s="364"/>
      <c r="AZ450" s="364"/>
      <c r="BA450" s="364"/>
      <c r="BB450" s="364"/>
      <c r="BC450" s="364"/>
      <c r="BD450" s="364"/>
      <c r="BE450" s="364"/>
      <c r="BF450" s="364"/>
      <c r="BG450" s="364"/>
      <c r="BH450" s="364"/>
      <c r="BI450" s="364"/>
      <c r="BJ450" s="364"/>
      <c r="BK450" s="364"/>
      <c r="BL450" s="364"/>
      <c r="BM450" s="364"/>
      <c r="BN450" s="364"/>
      <c r="BO450" s="364"/>
      <c r="BP450" s="364"/>
      <c r="BQ450" s="364"/>
      <c r="BR450" s="364"/>
      <c r="BS450" s="364"/>
      <c r="BT450" s="364"/>
      <c r="BU450" s="364"/>
      <c r="BV450" s="364"/>
      <c r="BW450" s="364"/>
      <c r="BX450" s="364"/>
      <c r="BY450" s="364"/>
      <c r="BZ450" s="364"/>
      <c r="CA450" s="364"/>
      <c r="CB450" s="364"/>
      <c r="CC450" s="364"/>
      <c r="CD450" s="364"/>
      <c r="CE450" s="364"/>
      <c r="CF450" s="364"/>
      <c r="CG450" s="364"/>
      <c r="CH450" s="364"/>
      <c r="CI450" s="364"/>
      <c r="CJ450" s="364"/>
      <c r="CK450" s="364"/>
      <c r="CL450" s="364"/>
      <c r="CM450" s="364"/>
      <c r="CN450" s="364"/>
      <c r="CO450" s="364"/>
      <c r="CP450" s="364"/>
      <c r="CQ450" s="364"/>
      <c r="CR450" s="364"/>
      <c r="CS450" s="364"/>
      <c r="CT450" s="364"/>
      <c r="CU450" s="364"/>
      <c r="CV450" s="364"/>
      <c r="CW450" s="364"/>
      <c r="CX450" s="364"/>
      <c r="CY450" s="364"/>
      <c r="CZ450" s="364"/>
      <c r="DA450" s="364"/>
      <c r="DB450" s="364"/>
      <c r="DC450" s="364"/>
      <c r="DD450" s="364"/>
      <c r="DE450" s="364"/>
      <c r="DF450" s="364"/>
      <c r="DG450" s="364"/>
      <c r="DH450" s="364"/>
      <c r="DI450" s="364"/>
      <c r="DJ450" s="364"/>
      <c r="DK450" s="364"/>
      <c r="DL450" s="364"/>
      <c r="DM450" s="364"/>
      <c r="DN450" s="364"/>
      <c r="DO450" s="364"/>
      <c r="DP450" s="364"/>
      <c r="DQ450" s="364"/>
      <c r="DR450" s="364"/>
      <c r="DS450" s="364"/>
      <c r="DT450" s="364"/>
      <c r="DU450" s="364"/>
      <c r="DV450" s="364"/>
      <c r="DW450" s="364"/>
      <c r="DX450" s="364"/>
      <c r="DY450" s="364"/>
      <c r="DZ450" s="364"/>
      <c r="EA450" s="364"/>
      <c r="EB450" s="364"/>
      <c r="EC450" s="364"/>
      <c r="ED450" s="364"/>
      <c r="EE450" s="364"/>
      <c r="EF450" s="364"/>
      <c r="EG450" s="364"/>
      <c r="EH450" s="364"/>
      <c r="EI450" s="364"/>
      <c r="EJ450" s="364"/>
      <c r="EK450" s="364"/>
      <c r="EL450" s="364"/>
      <c r="EM450" s="364"/>
      <c r="EN450" s="364"/>
      <c r="EO450" s="364"/>
      <c r="EP450" s="364"/>
      <c r="EQ450" s="364"/>
      <c r="ER450" s="364"/>
      <c r="ES450" s="364"/>
      <c r="ET450" s="364"/>
      <c r="EU450" s="364"/>
      <c r="EV450" s="364"/>
      <c r="EW450" s="364"/>
      <c r="EX450" s="364"/>
      <c r="EY450" s="364"/>
      <c r="EZ450" s="364"/>
      <c r="FA450" s="364"/>
      <c r="FB450" s="364"/>
      <c r="FC450" s="364"/>
      <c r="FD450" s="364"/>
      <c r="FE450" s="364"/>
      <c r="FF450" s="364"/>
      <c r="FG450" s="364"/>
      <c r="FH450" s="364"/>
      <c r="FI450" s="364"/>
      <c r="FJ450" s="364"/>
      <c r="FK450" s="364"/>
    </row>
    <row r="451" customFormat="false" ht="15.75" hidden="false" customHeight="false" outlineLevel="0" collapsed="false">
      <c r="A451" s="364" t="n">
        <v>887</v>
      </c>
      <c r="B451" s="364" t="n">
        <f aca="false">COUNTA(D451:FK451)</f>
        <v>30</v>
      </c>
      <c r="C451" s="364" t="s">
        <v>2164</v>
      </c>
      <c r="D451" s="364" t="s">
        <v>2356</v>
      </c>
      <c r="E451" s="364" t="s">
        <v>2357</v>
      </c>
      <c r="F451" s="364" t="s">
        <v>2313</v>
      </c>
      <c r="G451" s="364" t="s">
        <v>2464</v>
      </c>
      <c r="H451" s="364" t="s">
        <v>2434</v>
      </c>
      <c r="I451" s="364" t="s">
        <v>2465</v>
      </c>
      <c r="J451" s="364" t="s">
        <v>2435</v>
      </c>
      <c r="K451" s="364" t="s">
        <v>2317</v>
      </c>
      <c r="L451" s="364" t="s">
        <v>2319</v>
      </c>
      <c r="M451" s="364" t="s">
        <v>2632</v>
      </c>
      <c r="N451" s="364" t="s">
        <v>2320</v>
      </c>
      <c r="O451" s="364" t="s">
        <v>2535</v>
      </c>
      <c r="P451" s="364" t="s">
        <v>2376</v>
      </c>
      <c r="Q451" s="364" t="s">
        <v>2523</v>
      </c>
      <c r="R451" s="364" t="s">
        <v>2550</v>
      </c>
      <c r="S451" s="364" t="s">
        <v>2324</v>
      </c>
      <c r="T451" s="364" t="s">
        <v>2328</v>
      </c>
      <c r="U451" s="364" t="s">
        <v>2330</v>
      </c>
      <c r="V451" s="364" t="s">
        <v>2452</v>
      </c>
      <c r="W451" s="364" t="s">
        <v>157</v>
      </c>
      <c r="X451" s="364" t="s">
        <v>2495</v>
      </c>
      <c r="Y451" s="364" t="s">
        <v>2337</v>
      </c>
      <c r="Z451" s="364" t="s">
        <v>2388</v>
      </c>
      <c r="AA451" s="364" t="s">
        <v>2340</v>
      </c>
      <c r="AB451" s="364" t="s">
        <v>2442</v>
      </c>
      <c r="AC451" s="364" t="s">
        <v>2344</v>
      </c>
      <c r="AD451" s="364" t="s">
        <v>2641</v>
      </c>
      <c r="AE451" s="364" t="s">
        <v>2475</v>
      </c>
      <c r="AF451" s="364" t="s">
        <v>2476</v>
      </c>
      <c r="AG451" s="364" t="s">
        <v>2430</v>
      </c>
      <c r="AH451" s="364"/>
      <c r="AI451" s="364"/>
      <c r="AJ451" s="364"/>
      <c r="AK451" s="364"/>
      <c r="AL451" s="364"/>
      <c r="AM451" s="364"/>
      <c r="AN451" s="364"/>
      <c r="AO451" s="364"/>
      <c r="AP451" s="364"/>
      <c r="AQ451" s="364"/>
      <c r="AR451" s="364"/>
      <c r="AS451" s="364"/>
      <c r="AT451" s="364"/>
      <c r="AU451" s="364"/>
      <c r="AV451" s="364"/>
      <c r="AW451" s="364"/>
      <c r="AX451" s="364"/>
      <c r="AY451" s="364"/>
      <c r="AZ451" s="364"/>
      <c r="BA451" s="364"/>
      <c r="BB451" s="364"/>
      <c r="BC451" s="364"/>
      <c r="BD451" s="364"/>
      <c r="BE451" s="364"/>
      <c r="BF451" s="364"/>
      <c r="BG451" s="364"/>
      <c r="BH451" s="364"/>
      <c r="BI451" s="364"/>
      <c r="BJ451" s="364"/>
      <c r="BK451" s="364"/>
      <c r="BL451" s="364"/>
      <c r="BM451" s="364"/>
      <c r="BN451" s="364"/>
      <c r="BO451" s="364"/>
      <c r="BP451" s="364"/>
      <c r="BQ451" s="364"/>
      <c r="BR451" s="364"/>
      <c r="BS451" s="364"/>
      <c r="BT451" s="364"/>
      <c r="BU451" s="364"/>
      <c r="BV451" s="364"/>
      <c r="BW451" s="364"/>
      <c r="BX451" s="364"/>
      <c r="BY451" s="364"/>
      <c r="BZ451" s="364"/>
      <c r="CA451" s="364"/>
      <c r="CB451" s="364"/>
      <c r="CC451" s="364"/>
      <c r="CD451" s="364"/>
      <c r="CE451" s="364"/>
      <c r="CF451" s="364"/>
      <c r="CG451" s="364"/>
      <c r="CH451" s="364"/>
      <c r="CI451" s="364"/>
      <c r="CJ451" s="364"/>
      <c r="CK451" s="364"/>
      <c r="CL451" s="364"/>
      <c r="CM451" s="364"/>
      <c r="CN451" s="364"/>
      <c r="CO451" s="364"/>
      <c r="CP451" s="364"/>
      <c r="CQ451" s="364"/>
      <c r="CR451" s="364"/>
      <c r="CS451" s="364"/>
      <c r="CT451" s="364"/>
      <c r="CU451" s="364"/>
      <c r="CV451" s="364"/>
      <c r="CW451" s="364"/>
      <c r="CX451" s="364"/>
      <c r="CY451" s="364"/>
      <c r="CZ451" s="364"/>
      <c r="DA451" s="364"/>
      <c r="DB451" s="364"/>
      <c r="DC451" s="364"/>
      <c r="DD451" s="364"/>
      <c r="DE451" s="364"/>
      <c r="DF451" s="364"/>
      <c r="DG451" s="364"/>
      <c r="DH451" s="364"/>
      <c r="DI451" s="364"/>
      <c r="DJ451" s="364"/>
      <c r="DK451" s="364"/>
      <c r="DL451" s="364"/>
      <c r="DM451" s="364"/>
      <c r="DN451" s="364"/>
      <c r="DO451" s="364"/>
      <c r="DP451" s="364"/>
      <c r="DQ451" s="364"/>
      <c r="DR451" s="364"/>
      <c r="DS451" s="364"/>
      <c r="DT451" s="364"/>
      <c r="DU451" s="364"/>
      <c r="DV451" s="364"/>
      <c r="DW451" s="364"/>
      <c r="DX451" s="364"/>
      <c r="DY451" s="364"/>
      <c r="DZ451" s="364"/>
      <c r="EA451" s="364"/>
      <c r="EB451" s="364"/>
      <c r="EC451" s="364"/>
      <c r="ED451" s="364"/>
      <c r="EE451" s="364"/>
      <c r="EF451" s="364"/>
      <c r="EG451" s="364"/>
      <c r="EH451" s="364"/>
      <c r="EI451" s="364"/>
      <c r="EJ451" s="364"/>
      <c r="EK451" s="364"/>
      <c r="EL451" s="364"/>
      <c r="EM451" s="364"/>
      <c r="EN451" s="364"/>
      <c r="EO451" s="364"/>
      <c r="EP451" s="364"/>
      <c r="EQ451" s="364"/>
      <c r="ER451" s="364"/>
      <c r="ES451" s="364"/>
      <c r="ET451" s="364"/>
      <c r="EU451" s="364"/>
      <c r="EV451" s="364"/>
      <c r="EW451" s="364"/>
      <c r="EX451" s="364"/>
      <c r="EY451" s="364"/>
      <c r="EZ451" s="364"/>
      <c r="FA451" s="364"/>
      <c r="FB451" s="364"/>
      <c r="FC451" s="364"/>
      <c r="FD451" s="364"/>
      <c r="FE451" s="364"/>
      <c r="FF451" s="364"/>
      <c r="FG451" s="364"/>
      <c r="FH451" s="364"/>
      <c r="FI451" s="364"/>
      <c r="FJ451" s="364"/>
      <c r="FK451" s="364"/>
    </row>
    <row r="452" customFormat="false" ht="15.75" hidden="false" customHeight="false" outlineLevel="0" collapsed="false">
      <c r="A452" s="364" t="n">
        <v>888</v>
      </c>
      <c r="B452" s="364" t="n">
        <f aca="false">COUNTA(D452:FK452)</f>
        <v>47</v>
      </c>
      <c r="C452" s="364" t="s">
        <v>2166</v>
      </c>
      <c r="D452" s="364" t="s">
        <v>2431</v>
      </c>
      <c r="E452" s="364" t="s">
        <v>2352</v>
      </c>
      <c r="F452" s="364" t="s">
        <v>2356</v>
      </c>
      <c r="G452" s="364" t="s">
        <v>2357</v>
      </c>
      <c r="H452" s="364" t="s">
        <v>2313</v>
      </c>
      <c r="I452" s="364" t="s">
        <v>2541</v>
      </c>
      <c r="J452" s="364" t="s">
        <v>2316</v>
      </c>
      <c r="K452" s="364" t="s">
        <v>2520</v>
      </c>
      <c r="L452" s="364" t="s">
        <v>2317</v>
      </c>
      <c r="M452" s="364" t="s">
        <v>2436</v>
      </c>
      <c r="N452" s="364" t="s">
        <v>2448</v>
      </c>
      <c r="O452" s="364" t="s">
        <v>2319</v>
      </c>
      <c r="P452" s="364" t="s">
        <v>2320</v>
      </c>
      <c r="Q452" s="364" t="s">
        <v>2534</v>
      </c>
      <c r="R452" s="364" t="s">
        <v>2376</v>
      </c>
      <c r="S452" s="364" t="s">
        <v>2377</v>
      </c>
      <c r="T452" s="364" t="s">
        <v>2324</v>
      </c>
      <c r="U452" s="364" t="s">
        <v>2325</v>
      </c>
      <c r="V452" s="364" t="s">
        <v>2484</v>
      </c>
      <c r="W452" s="364" t="s">
        <v>2412</v>
      </c>
      <c r="X452" s="364" t="s">
        <v>2328</v>
      </c>
      <c r="Y452" s="364" t="s">
        <v>2329</v>
      </c>
      <c r="Z452" s="364" t="s">
        <v>2506</v>
      </c>
      <c r="AA452" s="364" t="s">
        <v>2381</v>
      </c>
      <c r="AB452" s="364" t="s">
        <v>2330</v>
      </c>
      <c r="AC452" s="364" t="s">
        <v>2540</v>
      </c>
      <c r="AD452" s="364" t="s">
        <v>2452</v>
      </c>
      <c r="AE452" s="364" t="s">
        <v>2461</v>
      </c>
      <c r="AF452" s="364" t="s">
        <v>2337</v>
      </c>
      <c r="AG452" s="364" t="s">
        <v>2388</v>
      </c>
      <c r="AH452" s="364" t="s">
        <v>2339</v>
      </c>
      <c r="AI452" s="364" t="s">
        <v>2389</v>
      </c>
      <c r="AJ452" s="364" t="s">
        <v>2340</v>
      </c>
      <c r="AK452" s="364" t="s">
        <v>2342</v>
      </c>
      <c r="AL452" s="364" t="s">
        <v>2391</v>
      </c>
      <c r="AM452" s="364" t="s">
        <v>2442</v>
      </c>
      <c r="AN452" s="364" t="s">
        <v>2470</v>
      </c>
      <c r="AO452" s="364" t="s">
        <v>2423</v>
      </c>
      <c r="AP452" s="364" t="s">
        <v>2344</v>
      </c>
      <c r="AQ452" s="364" t="s">
        <v>2511</v>
      </c>
      <c r="AR452" s="364" t="s">
        <v>2348</v>
      </c>
      <c r="AS452" s="364" t="s">
        <v>2349</v>
      </c>
      <c r="AT452" s="364" t="s">
        <v>2445</v>
      </c>
      <c r="AU452" s="364" t="s">
        <v>2515</v>
      </c>
      <c r="AV452" s="364" t="s">
        <v>2463</v>
      </c>
      <c r="AW452" s="364" t="s">
        <v>2446</v>
      </c>
      <c r="AX452" s="364" t="s">
        <v>2554</v>
      </c>
      <c r="AY452" s="364"/>
      <c r="AZ452" s="364"/>
      <c r="BA452" s="364"/>
      <c r="BB452" s="364"/>
      <c r="BC452" s="364"/>
      <c r="BD452" s="364"/>
      <c r="BE452" s="364"/>
      <c r="BF452" s="364"/>
      <c r="BG452" s="364"/>
      <c r="BH452" s="364"/>
      <c r="BI452" s="364"/>
      <c r="BJ452" s="364"/>
      <c r="BK452" s="364"/>
      <c r="BL452" s="364"/>
      <c r="BM452" s="364"/>
      <c r="BN452" s="364"/>
      <c r="BO452" s="364"/>
      <c r="BP452" s="364"/>
      <c r="BQ452" s="364"/>
      <c r="BR452" s="364"/>
      <c r="BS452" s="364"/>
      <c r="BT452" s="364"/>
      <c r="BU452" s="364"/>
      <c r="BV452" s="364"/>
      <c r="BW452" s="364"/>
      <c r="BX452" s="364"/>
      <c r="BY452" s="364"/>
      <c r="BZ452" s="364"/>
      <c r="CA452" s="364"/>
      <c r="CB452" s="364"/>
      <c r="CC452" s="364"/>
      <c r="CD452" s="364"/>
      <c r="CE452" s="364"/>
      <c r="CF452" s="364"/>
      <c r="CG452" s="364"/>
      <c r="CH452" s="364"/>
      <c r="CI452" s="364"/>
      <c r="CJ452" s="364"/>
      <c r="CK452" s="364"/>
      <c r="CL452" s="364"/>
      <c r="CM452" s="364"/>
      <c r="CN452" s="364"/>
      <c r="CO452" s="364"/>
      <c r="CP452" s="364"/>
      <c r="CQ452" s="364"/>
      <c r="CR452" s="364"/>
      <c r="CS452" s="364"/>
      <c r="CT452" s="364"/>
      <c r="CU452" s="364"/>
      <c r="CV452" s="364"/>
      <c r="CW452" s="364"/>
      <c r="CX452" s="364"/>
      <c r="CY452" s="364"/>
      <c r="CZ452" s="364"/>
      <c r="DA452" s="364"/>
      <c r="DB452" s="364"/>
      <c r="DC452" s="364"/>
      <c r="DD452" s="364"/>
      <c r="DE452" s="364"/>
      <c r="DF452" s="364"/>
      <c r="DG452" s="364"/>
      <c r="DH452" s="364"/>
      <c r="DI452" s="364"/>
      <c r="DJ452" s="364"/>
      <c r="DK452" s="364"/>
      <c r="DL452" s="364"/>
      <c r="DM452" s="364"/>
      <c r="DN452" s="364"/>
      <c r="DO452" s="364"/>
      <c r="DP452" s="364"/>
      <c r="DQ452" s="364"/>
      <c r="DR452" s="364"/>
      <c r="DS452" s="364"/>
      <c r="DT452" s="364"/>
      <c r="DU452" s="364"/>
      <c r="DV452" s="364"/>
      <c r="DW452" s="364"/>
      <c r="DX452" s="364"/>
      <c r="DY452" s="364"/>
      <c r="DZ452" s="364"/>
      <c r="EA452" s="364"/>
      <c r="EB452" s="364"/>
      <c r="EC452" s="364"/>
      <c r="ED452" s="364"/>
      <c r="EE452" s="364"/>
      <c r="EF452" s="364"/>
      <c r="EG452" s="364"/>
      <c r="EH452" s="364"/>
      <c r="EI452" s="364"/>
      <c r="EJ452" s="364"/>
      <c r="EK452" s="364"/>
      <c r="EL452" s="364"/>
      <c r="EM452" s="364"/>
      <c r="EN452" s="364"/>
      <c r="EO452" s="364"/>
      <c r="EP452" s="364"/>
      <c r="EQ452" s="364"/>
      <c r="ER452" s="364"/>
      <c r="ES452" s="364"/>
      <c r="ET452" s="364"/>
      <c r="EU452" s="364"/>
      <c r="EV452" s="364"/>
      <c r="EW452" s="364"/>
      <c r="EX452" s="364"/>
      <c r="EY452" s="364"/>
      <c r="EZ452" s="364"/>
      <c r="FA452" s="364"/>
      <c r="FB452" s="364"/>
      <c r="FC452" s="364"/>
      <c r="FD452" s="364"/>
      <c r="FE452" s="364"/>
      <c r="FF452" s="364"/>
      <c r="FG452" s="364"/>
      <c r="FH452" s="364"/>
      <c r="FI452" s="364"/>
      <c r="FJ452" s="364"/>
      <c r="FK452" s="364"/>
    </row>
    <row r="453" customFormat="false" ht="15.75" hidden="false" customHeight="false" outlineLevel="0" collapsed="false">
      <c r="A453" s="364" t="n">
        <v>890</v>
      </c>
      <c r="B453" s="364" t="n">
        <f aca="false">COUNTA(D453:FK453)</f>
        <v>46</v>
      </c>
      <c r="C453" s="364" t="s">
        <v>2170</v>
      </c>
      <c r="D453" s="364" t="s">
        <v>2352</v>
      </c>
      <c r="E453" s="364" t="s">
        <v>2405</v>
      </c>
      <c r="F453" s="364" t="s">
        <v>2356</v>
      </c>
      <c r="G453" s="364" t="s">
        <v>2432</v>
      </c>
      <c r="H453" s="364" t="s">
        <v>2409</v>
      </c>
      <c r="I453" s="364" t="s">
        <v>184</v>
      </c>
      <c r="J453" s="364" t="s">
        <v>2543</v>
      </c>
      <c r="K453" s="364" t="s">
        <v>2448</v>
      </c>
      <c r="L453" s="364" t="s">
        <v>2320</v>
      </c>
      <c r="M453" s="364" t="s">
        <v>2449</v>
      </c>
      <c r="N453" s="364" t="s">
        <v>2578</v>
      </c>
      <c r="O453" s="364" t="s">
        <v>2376</v>
      </c>
      <c r="P453" s="364" t="s">
        <v>2502</v>
      </c>
      <c r="Q453" s="364" t="s">
        <v>2322</v>
      </c>
      <c r="R453" s="364" t="s">
        <v>2324</v>
      </c>
      <c r="S453" s="364" t="s">
        <v>2328</v>
      </c>
      <c r="T453" s="364" t="s">
        <v>2415</v>
      </c>
      <c r="U453" s="364" t="s">
        <v>2417</v>
      </c>
      <c r="V453" s="364" t="s">
        <v>2506</v>
      </c>
      <c r="W453" s="364" t="s">
        <v>2330</v>
      </c>
      <c r="X453" s="364" t="s">
        <v>2507</v>
      </c>
      <c r="Y453" s="364" t="s">
        <v>2418</v>
      </c>
      <c r="Z453" s="364" t="s">
        <v>2452</v>
      </c>
      <c r="AA453" s="364" t="s">
        <v>2453</v>
      </c>
      <c r="AB453" s="364" t="s">
        <v>2454</v>
      </c>
      <c r="AC453" s="364" t="s">
        <v>2586</v>
      </c>
      <c r="AD453" s="364" t="s">
        <v>2337</v>
      </c>
      <c r="AE453" s="364" t="s">
        <v>2388</v>
      </c>
      <c r="AF453" s="364" t="s">
        <v>2339</v>
      </c>
      <c r="AG453" s="364" t="s">
        <v>2389</v>
      </c>
      <c r="AH453" s="364" t="s">
        <v>2340</v>
      </c>
      <c r="AI453" s="364" t="s">
        <v>2421</v>
      </c>
      <c r="AJ453" s="364" t="s">
        <v>2392</v>
      </c>
      <c r="AK453" s="364" t="s">
        <v>2395</v>
      </c>
      <c r="AL453" s="364" t="s">
        <v>2343</v>
      </c>
      <c r="AM453" s="364" t="s">
        <v>2471</v>
      </c>
      <c r="AN453" s="364" t="s">
        <v>2472</v>
      </c>
      <c r="AO453" s="364" t="s">
        <v>2344</v>
      </c>
      <c r="AP453" s="364" t="s">
        <v>2444</v>
      </c>
      <c r="AQ453" s="364" t="s">
        <v>2473</v>
      </c>
      <c r="AR453" s="364" t="s">
        <v>2424</v>
      </c>
      <c r="AS453" s="364" t="s">
        <v>2456</v>
      </c>
      <c r="AT453" s="364" t="s">
        <v>2350</v>
      </c>
      <c r="AU453" s="364" t="s">
        <v>2425</v>
      </c>
      <c r="AV453" s="364" t="s">
        <v>2428</v>
      </c>
      <c r="AW453" s="364" t="s">
        <v>2458</v>
      </c>
      <c r="AX453" s="364"/>
      <c r="AY453" s="364"/>
      <c r="AZ453" s="364"/>
      <c r="BA453" s="364"/>
      <c r="BB453" s="364"/>
      <c r="BC453" s="364"/>
      <c r="BD453" s="364"/>
      <c r="BE453" s="364"/>
      <c r="BF453" s="364"/>
      <c r="BG453" s="364"/>
      <c r="BH453" s="364"/>
      <c r="BI453" s="364"/>
      <c r="BJ453" s="364"/>
      <c r="BK453" s="364"/>
      <c r="BL453" s="364"/>
      <c r="BM453" s="364"/>
      <c r="BN453" s="364"/>
      <c r="BO453" s="364"/>
      <c r="BP453" s="364"/>
      <c r="BQ453" s="364"/>
      <c r="BR453" s="364"/>
      <c r="BS453" s="364"/>
      <c r="BT453" s="364"/>
      <c r="BU453" s="364"/>
      <c r="BV453" s="364"/>
      <c r="BW453" s="364"/>
      <c r="BX453" s="364"/>
      <c r="BY453" s="364"/>
      <c r="BZ453" s="364"/>
      <c r="CA453" s="364"/>
      <c r="CB453" s="364"/>
      <c r="CC453" s="364"/>
      <c r="CD453" s="364"/>
      <c r="CE453" s="364"/>
      <c r="CF453" s="364"/>
      <c r="CG453" s="364"/>
      <c r="CH453" s="364"/>
      <c r="CI453" s="364"/>
      <c r="CJ453" s="364"/>
      <c r="CK453" s="364"/>
      <c r="CL453" s="364"/>
      <c r="CM453" s="364"/>
      <c r="CN453" s="364"/>
      <c r="CO453" s="364"/>
      <c r="CP453" s="364"/>
      <c r="CQ453" s="364"/>
      <c r="CR453" s="364"/>
      <c r="CS453" s="364"/>
      <c r="CT453" s="364"/>
      <c r="CU453" s="364"/>
      <c r="CV453" s="364"/>
      <c r="CW453" s="364"/>
      <c r="CX453" s="364"/>
      <c r="CY453" s="364"/>
      <c r="CZ453" s="364"/>
      <c r="DA453" s="364"/>
      <c r="DB453" s="364"/>
      <c r="DC453" s="364"/>
      <c r="DD453" s="364"/>
      <c r="DE453" s="364"/>
      <c r="DF453" s="364"/>
      <c r="DG453" s="364"/>
      <c r="DH453" s="364"/>
      <c r="DI453" s="364"/>
      <c r="DJ453" s="364"/>
      <c r="DK453" s="364"/>
      <c r="DL453" s="364"/>
      <c r="DM453" s="364"/>
      <c r="DN453" s="364"/>
      <c r="DO453" s="364"/>
      <c r="DP453" s="364"/>
      <c r="DQ453" s="364"/>
      <c r="DR453" s="364"/>
      <c r="DS453" s="364"/>
      <c r="DT453" s="364"/>
      <c r="DU453" s="364"/>
      <c r="DV453" s="364"/>
      <c r="DW453" s="364"/>
      <c r="DX453" s="364"/>
      <c r="DY453" s="364"/>
      <c r="DZ453" s="364"/>
      <c r="EA453" s="364"/>
      <c r="EB453" s="364"/>
      <c r="EC453" s="364"/>
      <c r="ED453" s="364"/>
      <c r="EE453" s="364"/>
      <c r="EF453" s="364"/>
      <c r="EG453" s="364"/>
      <c r="EH453" s="364"/>
      <c r="EI453" s="364"/>
      <c r="EJ453" s="364"/>
      <c r="EK453" s="364"/>
      <c r="EL453" s="364"/>
      <c r="EM453" s="364"/>
      <c r="EN453" s="364"/>
      <c r="EO453" s="364"/>
      <c r="EP453" s="364"/>
      <c r="EQ453" s="364"/>
      <c r="ER453" s="364"/>
      <c r="ES453" s="364"/>
      <c r="ET453" s="364"/>
      <c r="EU453" s="364"/>
      <c r="EV453" s="364"/>
      <c r="EW453" s="364"/>
      <c r="EX453" s="364"/>
      <c r="EY453" s="364"/>
      <c r="EZ453" s="364"/>
      <c r="FA453" s="364"/>
      <c r="FB453" s="364"/>
      <c r="FC453" s="364"/>
      <c r="FD453" s="364"/>
      <c r="FE453" s="364"/>
      <c r="FF453" s="364"/>
      <c r="FG453" s="364"/>
      <c r="FH453" s="364"/>
      <c r="FI453" s="364"/>
      <c r="FJ453" s="364"/>
      <c r="FK453" s="364"/>
    </row>
    <row r="454" customFormat="false" ht="15.75" hidden="false" customHeight="false" outlineLevel="0" collapsed="false">
      <c r="A454" s="364" t="n">
        <v>892</v>
      </c>
      <c r="B454" s="364" t="n">
        <f aca="false">COUNTA(D454:FK454)</f>
        <v>22</v>
      </c>
      <c r="C454" s="364" t="s">
        <v>2174</v>
      </c>
      <c r="D454" s="364" t="s">
        <v>2527</v>
      </c>
      <c r="E454" s="364" t="s">
        <v>2528</v>
      </c>
      <c r="F454" s="364" t="s">
        <v>2313</v>
      </c>
      <c r="G454" s="364" t="s">
        <v>2497</v>
      </c>
      <c r="H454" s="364" t="s">
        <v>2317</v>
      </c>
      <c r="I454" s="364" t="s">
        <v>2319</v>
      </c>
      <c r="J454" s="364" t="s">
        <v>2320</v>
      </c>
      <c r="K454" s="364" t="s">
        <v>2323</v>
      </c>
      <c r="L454" s="364" t="s">
        <v>2324</v>
      </c>
      <c r="M454" s="364" t="s">
        <v>2328</v>
      </c>
      <c r="N454" s="364" t="s">
        <v>2438</v>
      </c>
      <c r="O454" s="364" t="s">
        <v>2331</v>
      </c>
      <c r="P454" s="364" t="s">
        <v>157</v>
      </c>
      <c r="Q454" s="364" t="s">
        <v>2337</v>
      </c>
      <c r="R454" s="364" t="s">
        <v>2388</v>
      </c>
      <c r="S454" s="364" t="s">
        <v>2389</v>
      </c>
      <c r="T454" s="364" t="s">
        <v>2340</v>
      </c>
      <c r="U454" s="364" t="s">
        <v>2499</v>
      </c>
      <c r="V454" s="364" t="s">
        <v>2442</v>
      </c>
      <c r="W454" s="364" t="s">
        <v>2343</v>
      </c>
      <c r="X454" s="364" t="s">
        <v>2344</v>
      </c>
      <c r="Y454" s="364" t="s">
        <v>2500</v>
      </c>
      <c r="Z454" s="364"/>
      <c r="AA454" s="364"/>
      <c r="AB454" s="364"/>
      <c r="AC454" s="364"/>
      <c r="AD454" s="364"/>
      <c r="AE454" s="364"/>
      <c r="AF454" s="364"/>
      <c r="AG454" s="364"/>
      <c r="AH454" s="364"/>
      <c r="AI454" s="364"/>
      <c r="AJ454" s="364"/>
      <c r="AK454" s="364"/>
      <c r="AL454" s="364"/>
      <c r="AM454" s="364"/>
      <c r="AN454" s="364"/>
      <c r="AO454" s="364"/>
      <c r="AP454" s="364"/>
      <c r="AQ454" s="364"/>
      <c r="AR454" s="364"/>
      <c r="AS454" s="364"/>
      <c r="AT454" s="364"/>
      <c r="AU454" s="364"/>
      <c r="AV454" s="364"/>
      <c r="AW454" s="364"/>
      <c r="AX454" s="364"/>
      <c r="AY454" s="364"/>
      <c r="AZ454" s="364"/>
      <c r="BA454" s="364"/>
      <c r="BB454" s="364"/>
      <c r="BC454" s="364"/>
      <c r="BD454" s="364"/>
      <c r="BE454" s="364"/>
      <c r="BF454" s="364"/>
      <c r="BG454" s="364"/>
      <c r="BH454" s="364"/>
      <c r="BI454" s="364"/>
      <c r="BJ454" s="364"/>
      <c r="BK454" s="364"/>
      <c r="BL454" s="364"/>
      <c r="BM454" s="364"/>
      <c r="BN454" s="364"/>
      <c r="BO454" s="364"/>
      <c r="BP454" s="364"/>
      <c r="BQ454" s="364"/>
      <c r="BR454" s="364"/>
      <c r="BS454" s="364"/>
      <c r="BT454" s="364"/>
      <c r="BU454" s="364"/>
      <c r="BV454" s="364"/>
      <c r="BW454" s="364"/>
      <c r="BX454" s="364"/>
      <c r="BY454" s="364"/>
      <c r="BZ454" s="364"/>
      <c r="CA454" s="364"/>
      <c r="CB454" s="364"/>
      <c r="CC454" s="364"/>
      <c r="CD454" s="364"/>
      <c r="CE454" s="364"/>
      <c r="CF454" s="364"/>
      <c r="CG454" s="364"/>
      <c r="CH454" s="364"/>
      <c r="CI454" s="364"/>
      <c r="CJ454" s="364"/>
      <c r="CK454" s="364"/>
      <c r="CL454" s="364"/>
      <c r="CM454" s="364"/>
      <c r="CN454" s="364"/>
      <c r="CO454" s="364"/>
      <c r="CP454" s="364"/>
      <c r="CQ454" s="364"/>
      <c r="CR454" s="364"/>
      <c r="CS454" s="364"/>
      <c r="CT454" s="364"/>
      <c r="CU454" s="364"/>
      <c r="CV454" s="364"/>
      <c r="CW454" s="364"/>
      <c r="CX454" s="364"/>
      <c r="CY454" s="364"/>
      <c r="CZ454" s="364"/>
      <c r="DA454" s="364"/>
      <c r="DB454" s="364"/>
      <c r="DC454" s="364"/>
      <c r="DD454" s="364"/>
      <c r="DE454" s="364"/>
      <c r="DF454" s="364"/>
      <c r="DG454" s="364"/>
      <c r="DH454" s="364"/>
      <c r="DI454" s="364"/>
      <c r="DJ454" s="364"/>
      <c r="DK454" s="364"/>
      <c r="DL454" s="364"/>
      <c r="DM454" s="364"/>
      <c r="DN454" s="364"/>
      <c r="DO454" s="364"/>
      <c r="DP454" s="364"/>
      <c r="DQ454" s="364"/>
      <c r="DR454" s="364"/>
      <c r="DS454" s="364"/>
      <c r="DT454" s="364"/>
      <c r="DU454" s="364"/>
      <c r="DV454" s="364"/>
      <c r="DW454" s="364"/>
      <c r="DX454" s="364"/>
      <c r="DY454" s="364"/>
      <c r="DZ454" s="364"/>
      <c r="EA454" s="364"/>
      <c r="EB454" s="364"/>
      <c r="EC454" s="364"/>
      <c r="ED454" s="364"/>
      <c r="EE454" s="364"/>
      <c r="EF454" s="364"/>
      <c r="EG454" s="364"/>
      <c r="EH454" s="364"/>
      <c r="EI454" s="364"/>
      <c r="EJ454" s="364"/>
      <c r="EK454" s="364"/>
      <c r="EL454" s="364"/>
      <c r="EM454" s="364"/>
      <c r="EN454" s="364"/>
      <c r="EO454" s="364"/>
      <c r="EP454" s="364"/>
      <c r="EQ454" s="364"/>
      <c r="ER454" s="364"/>
      <c r="ES454" s="364"/>
      <c r="ET454" s="364"/>
      <c r="EU454" s="364"/>
      <c r="EV454" s="364"/>
      <c r="EW454" s="364"/>
      <c r="EX454" s="364"/>
      <c r="EY454" s="364"/>
      <c r="EZ454" s="364"/>
      <c r="FA454" s="364"/>
      <c r="FB454" s="364"/>
      <c r="FC454" s="364"/>
      <c r="FD454" s="364"/>
      <c r="FE454" s="364"/>
      <c r="FF454" s="364"/>
      <c r="FG454" s="364"/>
      <c r="FH454" s="364"/>
      <c r="FI454" s="364"/>
      <c r="FJ454" s="364"/>
      <c r="FK454" s="364"/>
    </row>
    <row r="455" customFormat="false" ht="15.75" hidden="false" customHeight="false" outlineLevel="0" collapsed="false">
      <c r="A455" s="364" t="n">
        <v>893</v>
      </c>
      <c r="B455" s="364" t="n">
        <f aca="false">COUNTA(D455:FK455)</f>
        <v>3</v>
      </c>
      <c r="C455" s="364" t="s">
        <v>2176</v>
      </c>
      <c r="D455" s="364" t="s">
        <v>2310</v>
      </c>
      <c r="E455" s="364" t="s">
        <v>138</v>
      </c>
      <c r="F455" s="364" t="s">
        <v>2337</v>
      </c>
      <c r="G455" s="364"/>
      <c r="H455" s="364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/>
      <c r="AB455" s="364"/>
      <c r="AC455" s="364"/>
      <c r="AD455" s="364"/>
      <c r="AE455" s="364"/>
      <c r="AF455" s="364"/>
      <c r="AG455" s="364"/>
      <c r="AH455" s="364"/>
      <c r="AI455" s="364"/>
      <c r="AJ455" s="364"/>
      <c r="AK455" s="364"/>
      <c r="AL455" s="364"/>
      <c r="AM455" s="364"/>
      <c r="AN455" s="364"/>
      <c r="AO455" s="364"/>
      <c r="AP455" s="364"/>
      <c r="AQ455" s="364"/>
      <c r="AR455" s="364"/>
      <c r="AS455" s="364"/>
      <c r="AT455" s="364"/>
      <c r="AU455" s="364"/>
      <c r="AV455" s="364"/>
      <c r="AW455" s="364"/>
      <c r="AX455" s="364"/>
      <c r="AY455" s="364"/>
      <c r="AZ455" s="364"/>
      <c r="BA455" s="364"/>
      <c r="BB455" s="364"/>
      <c r="BC455" s="364"/>
      <c r="BD455" s="364"/>
      <c r="BE455" s="364"/>
      <c r="BF455" s="364"/>
      <c r="BG455" s="364"/>
      <c r="BH455" s="364"/>
      <c r="BI455" s="364"/>
      <c r="BJ455" s="364"/>
      <c r="BK455" s="364"/>
      <c r="BL455" s="364"/>
      <c r="BM455" s="364"/>
      <c r="BN455" s="364"/>
      <c r="BO455" s="364"/>
      <c r="BP455" s="364"/>
      <c r="BQ455" s="364"/>
      <c r="BR455" s="364"/>
      <c r="BS455" s="364"/>
      <c r="BT455" s="364"/>
      <c r="BU455" s="364"/>
      <c r="BV455" s="364"/>
      <c r="BW455" s="364"/>
      <c r="BX455" s="364"/>
      <c r="BY455" s="364"/>
      <c r="BZ455" s="364"/>
      <c r="CA455" s="364"/>
      <c r="CB455" s="364"/>
      <c r="CC455" s="364"/>
      <c r="CD455" s="364"/>
      <c r="CE455" s="364"/>
      <c r="CF455" s="364"/>
      <c r="CG455" s="364"/>
      <c r="CH455" s="364"/>
      <c r="CI455" s="364"/>
      <c r="CJ455" s="364"/>
      <c r="CK455" s="364"/>
      <c r="CL455" s="364"/>
      <c r="CM455" s="364"/>
      <c r="CN455" s="364"/>
      <c r="CO455" s="364"/>
      <c r="CP455" s="364"/>
      <c r="CQ455" s="364"/>
      <c r="CR455" s="364"/>
      <c r="CS455" s="364"/>
      <c r="CT455" s="364"/>
      <c r="CU455" s="364"/>
      <c r="CV455" s="364"/>
      <c r="CW455" s="364"/>
      <c r="CX455" s="364"/>
      <c r="CY455" s="364"/>
      <c r="CZ455" s="364"/>
      <c r="DA455" s="364"/>
      <c r="DB455" s="364"/>
      <c r="DC455" s="364"/>
      <c r="DD455" s="364"/>
      <c r="DE455" s="364"/>
      <c r="DF455" s="364"/>
      <c r="DG455" s="364"/>
      <c r="DH455" s="364"/>
      <c r="DI455" s="364"/>
      <c r="DJ455" s="364"/>
      <c r="DK455" s="364"/>
      <c r="DL455" s="364"/>
      <c r="DM455" s="364"/>
      <c r="DN455" s="364"/>
      <c r="DO455" s="364"/>
      <c r="DP455" s="364"/>
      <c r="DQ455" s="364"/>
      <c r="DR455" s="364"/>
      <c r="DS455" s="364"/>
      <c r="DT455" s="364"/>
      <c r="DU455" s="364"/>
      <c r="DV455" s="364"/>
      <c r="DW455" s="364"/>
      <c r="DX455" s="364"/>
      <c r="DY455" s="364"/>
      <c r="DZ455" s="364"/>
      <c r="EA455" s="364"/>
      <c r="EB455" s="364"/>
      <c r="EC455" s="364"/>
      <c r="ED455" s="364"/>
      <c r="EE455" s="364"/>
      <c r="EF455" s="364"/>
      <c r="EG455" s="364"/>
      <c r="EH455" s="364"/>
      <c r="EI455" s="364"/>
      <c r="EJ455" s="364"/>
      <c r="EK455" s="364"/>
      <c r="EL455" s="364"/>
      <c r="EM455" s="364"/>
      <c r="EN455" s="364"/>
      <c r="EO455" s="364"/>
      <c r="EP455" s="364"/>
      <c r="EQ455" s="364"/>
      <c r="ER455" s="364"/>
      <c r="ES455" s="364"/>
      <c r="ET455" s="364"/>
      <c r="EU455" s="364"/>
      <c r="EV455" s="364"/>
      <c r="EW455" s="364"/>
      <c r="EX455" s="364"/>
      <c r="EY455" s="364"/>
      <c r="EZ455" s="364"/>
      <c r="FA455" s="364"/>
      <c r="FB455" s="364"/>
      <c r="FC455" s="364"/>
      <c r="FD455" s="364"/>
      <c r="FE455" s="364"/>
      <c r="FF455" s="364"/>
      <c r="FG455" s="364"/>
      <c r="FH455" s="364"/>
      <c r="FI455" s="364"/>
      <c r="FJ455" s="364"/>
      <c r="FK455" s="364"/>
    </row>
    <row r="456" customFormat="false" ht="15.75" hidden="false" customHeight="false" outlineLevel="0" collapsed="false">
      <c r="A456" s="364" t="n">
        <v>895</v>
      </c>
      <c r="B456" s="364" t="n">
        <f aca="false">COUNTA(D456:FK456)</f>
        <v>51</v>
      </c>
      <c r="C456" s="364" t="s">
        <v>2182</v>
      </c>
      <c r="D456" s="364" t="s">
        <v>2352</v>
      </c>
      <c r="E456" s="364" t="s">
        <v>2354</v>
      </c>
      <c r="F456" s="364" t="s">
        <v>2404</v>
      </c>
      <c r="G456" s="364" t="s">
        <v>2466</v>
      </c>
      <c r="H456" s="364" t="s">
        <v>2496</v>
      </c>
      <c r="I456" s="364" t="s">
        <v>2316</v>
      </c>
      <c r="J456" s="364" t="s">
        <v>2579</v>
      </c>
      <c r="K456" s="364" t="s">
        <v>2601</v>
      </c>
      <c r="L456" s="364" t="s">
        <v>2360</v>
      </c>
      <c r="M456" s="364" t="s">
        <v>2562</v>
      </c>
      <c r="N456" s="364" t="s">
        <v>2320</v>
      </c>
      <c r="O456" s="364" t="s">
        <v>2367</v>
      </c>
      <c r="P456" s="364" t="s">
        <v>2372</v>
      </c>
      <c r="Q456" s="364" t="s">
        <v>2373</v>
      </c>
      <c r="R456" s="364" t="s">
        <v>2411</v>
      </c>
      <c r="S456" s="364" t="s">
        <v>2324</v>
      </c>
      <c r="T456" s="364" t="s">
        <v>2326</v>
      </c>
      <c r="U456" s="364" t="s">
        <v>2378</v>
      </c>
      <c r="V456" s="364" t="s">
        <v>2328</v>
      </c>
      <c r="W456" s="364" t="s">
        <v>2329</v>
      </c>
      <c r="X456" s="364" t="s">
        <v>2521</v>
      </c>
      <c r="Y456" s="364" t="s">
        <v>2415</v>
      </c>
      <c r="Z456" s="364" t="s">
        <v>2485</v>
      </c>
      <c r="AA456" s="364" t="s">
        <v>2417</v>
      </c>
      <c r="AB456" s="364" t="s">
        <v>2506</v>
      </c>
      <c r="AC456" s="364" t="s">
        <v>2468</v>
      </c>
      <c r="AD456" s="364" t="s">
        <v>2734</v>
      </c>
      <c r="AE456" s="364" t="s">
        <v>2332</v>
      </c>
      <c r="AF456" s="364" t="s">
        <v>2452</v>
      </c>
      <c r="AG456" s="364" t="s">
        <v>2529</v>
      </c>
      <c r="AH456" s="364" t="s">
        <v>2455</v>
      </c>
      <c r="AI456" s="364" t="s">
        <v>2335</v>
      </c>
      <c r="AJ456" s="364" t="s">
        <v>2441</v>
      </c>
      <c r="AK456" s="364" t="s">
        <v>2337</v>
      </c>
      <c r="AL456" s="364" t="s">
        <v>2388</v>
      </c>
      <c r="AM456" s="364" t="s">
        <v>2340</v>
      </c>
      <c r="AN456" s="364" t="s">
        <v>2442</v>
      </c>
      <c r="AO456" s="364" t="s">
        <v>2392</v>
      </c>
      <c r="AP456" s="364" t="s">
        <v>2422</v>
      </c>
      <c r="AQ456" s="364" t="s">
        <v>2472</v>
      </c>
      <c r="AR456" s="364" t="s">
        <v>2344</v>
      </c>
      <c r="AS456" s="364" t="s">
        <v>2396</v>
      </c>
      <c r="AT456" s="364" t="s">
        <v>2424</v>
      </c>
      <c r="AU456" s="364" t="s">
        <v>2348</v>
      </c>
      <c r="AV456" s="364" t="s">
        <v>2349</v>
      </c>
      <c r="AW456" s="364" t="s">
        <v>2476</v>
      </c>
      <c r="AX456" s="364" t="s">
        <v>2488</v>
      </c>
      <c r="AY456" s="364" t="s">
        <v>2522</v>
      </c>
      <c r="AZ456" s="364" t="s">
        <v>2446</v>
      </c>
      <c r="BA456" s="364" t="s">
        <v>2458</v>
      </c>
      <c r="BB456" s="364" t="s">
        <v>2430</v>
      </c>
      <c r="BC456" s="364"/>
      <c r="BD456" s="364"/>
      <c r="BE456" s="364"/>
      <c r="BF456" s="364"/>
      <c r="BG456" s="364"/>
      <c r="BH456" s="364"/>
      <c r="BI456" s="364"/>
      <c r="BJ456" s="364"/>
      <c r="BK456" s="364"/>
      <c r="BL456" s="364"/>
      <c r="BM456" s="364"/>
      <c r="BN456" s="364"/>
      <c r="BO456" s="364"/>
      <c r="BP456" s="364"/>
      <c r="BQ456" s="364"/>
      <c r="BR456" s="364"/>
      <c r="BS456" s="364"/>
      <c r="BT456" s="364"/>
      <c r="BU456" s="364"/>
      <c r="BV456" s="364"/>
      <c r="BW456" s="364"/>
      <c r="BX456" s="364"/>
      <c r="BY456" s="364"/>
      <c r="BZ456" s="364"/>
      <c r="CA456" s="364"/>
      <c r="CB456" s="364"/>
      <c r="CC456" s="364"/>
      <c r="CD456" s="364"/>
      <c r="CE456" s="364"/>
      <c r="CF456" s="364"/>
      <c r="CG456" s="364"/>
      <c r="CH456" s="364"/>
      <c r="CI456" s="364"/>
      <c r="CJ456" s="364"/>
      <c r="CK456" s="364"/>
      <c r="CL456" s="364"/>
      <c r="CM456" s="364"/>
      <c r="CN456" s="364"/>
      <c r="CO456" s="364"/>
      <c r="CP456" s="364"/>
      <c r="CQ456" s="364"/>
      <c r="CR456" s="364"/>
      <c r="CS456" s="364"/>
      <c r="CT456" s="364"/>
      <c r="CU456" s="364"/>
      <c r="CV456" s="364"/>
      <c r="CW456" s="364"/>
      <c r="CX456" s="364"/>
      <c r="CY456" s="364"/>
      <c r="CZ456" s="364"/>
      <c r="DA456" s="364"/>
      <c r="DB456" s="364"/>
      <c r="DC456" s="364"/>
      <c r="DD456" s="364"/>
      <c r="DE456" s="364"/>
      <c r="DF456" s="364"/>
      <c r="DG456" s="364"/>
      <c r="DH456" s="364"/>
      <c r="DI456" s="364"/>
      <c r="DJ456" s="364"/>
      <c r="DK456" s="364"/>
      <c r="DL456" s="364"/>
      <c r="DM456" s="364"/>
      <c r="DN456" s="364"/>
      <c r="DO456" s="364"/>
      <c r="DP456" s="364"/>
      <c r="DQ456" s="364"/>
      <c r="DR456" s="364"/>
      <c r="DS456" s="364"/>
      <c r="DT456" s="364"/>
      <c r="DU456" s="364"/>
      <c r="DV456" s="364"/>
      <c r="DW456" s="364"/>
      <c r="DX456" s="364"/>
      <c r="DY456" s="364"/>
      <c r="DZ456" s="364"/>
      <c r="EA456" s="364"/>
      <c r="EB456" s="364"/>
      <c r="EC456" s="364"/>
      <c r="ED456" s="364"/>
      <c r="EE456" s="364"/>
      <c r="EF456" s="364"/>
      <c r="EG456" s="364"/>
      <c r="EH456" s="364"/>
      <c r="EI456" s="364"/>
      <c r="EJ456" s="364"/>
      <c r="EK456" s="364"/>
      <c r="EL456" s="364"/>
      <c r="EM456" s="364"/>
      <c r="EN456" s="364"/>
      <c r="EO456" s="364"/>
      <c r="EP456" s="364"/>
      <c r="EQ456" s="364"/>
      <c r="ER456" s="364"/>
      <c r="ES456" s="364"/>
      <c r="ET456" s="364"/>
      <c r="EU456" s="364"/>
      <c r="EV456" s="364"/>
      <c r="EW456" s="364"/>
      <c r="EX456" s="364"/>
      <c r="EY456" s="364"/>
      <c r="EZ456" s="364"/>
      <c r="FA456" s="364"/>
      <c r="FB456" s="364"/>
      <c r="FC456" s="364"/>
      <c r="FD456" s="364"/>
      <c r="FE456" s="364"/>
      <c r="FF456" s="364"/>
      <c r="FG456" s="364"/>
      <c r="FH456" s="364"/>
      <c r="FI456" s="364"/>
      <c r="FJ456" s="364"/>
      <c r="FK456" s="364"/>
    </row>
    <row r="457" customFormat="false" ht="15.75" hidden="false" customHeight="false" outlineLevel="0" collapsed="false">
      <c r="A457" s="364" t="n">
        <v>913</v>
      </c>
      <c r="B457" s="364" t="n">
        <f aca="false">COUNTA(D457:FK457)</f>
        <v>32</v>
      </c>
      <c r="C457" s="364" t="s">
        <v>2735</v>
      </c>
      <c r="D457" s="364" t="s">
        <v>2431</v>
      </c>
      <c r="E457" s="364" t="s">
        <v>2561</v>
      </c>
      <c r="F457" s="364" t="s">
        <v>2313</v>
      </c>
      <c r="G457" s="364" t="s">
        <v>2464</v>
      </c>
      <c r="H457" s="364" t="s">
        <v>2517</v>
      </c>
      <c r="I457" s="364" t="s">
        <v>2316</v>
      </c>
      <c r="J457" s="364" t="s">
        <v>2317</v>
      </c>
      <c r="K457" s="364" t="s">
        <v>2448</v>
      </c>
      <c r="L457" s="364" t="s">
        <v>2562</v>
      </c>
      <c r="M457" s="364" t="s">
        <v>2320</v>
      </c>
      <c r="N457" s="364" t="s">
        <v>2324</v>
      </c>
      <c r="O457" s="364" t="s">
        <v>2412</v>
      </c>
      <c r="P457" s="364" t="s">
        <v>2328</v>
      </c>
      <c r="Q457" s="364" t="s">
        <v>2329</v>
      </c>
      <c r="R457" s="364" t="s">
        <v>2506</v>
      </c>
      <c r="S457" s="364" t="s">
        <v>2468</v>
      </c>
      <c r="T457" s="364" t="s">
        <v>2536</v>
      </c>
      <c r="U457" s="364" t="s">
        <v>157</v>
      </c>
      <c r="V457" s="364" t="s">
        <v>2337</v>
      </c>
      <c r="W457" s="364" t="s">
        <v>2388</v>
      </c>
      <c r="X457" s="364" t="s">
        <v>2389</v>
      </c>
      <c r="Y457" s="364" t="s">
        <v>2420</v>
      </c>
      <c r="Z457" s="364" t="s">
        <v>2340</v>
      </c>
      <c r="AA457" s="364" t="s">
        <v>2566</v>
      </c>
      <c r="AB457" s="364" t="s">
        <v>2344</v>
      </c>
      <c r="AC457" s="364" t="s">
        <v>2345</v>
      </c>
      <c r="AD457" s="364" t="s">
        <v>2500</v>
      </c>
      <c r="AE457" s="364" t="s">
        <v>2398</v>
      </c>
      <c r="AF457" s="364" t="s">
        <v>2348</v>
      </c>
      <c r="AG457" s="364" t="s">
        <v>2349</v>
      </c>
      <c r="AH457" s="364" t="s">
        <v>2446</v>
      </c>
      <c r="AI457" s="364" t="s">
        <v>2430</v>
      </c>
      <c r="AJ457" s="364"/>
      <c r="AK457" s="364"/>
      <c r="AL457" s="364"/>
      <c r="AM457" s="364"/>
      <c r="AN457" s="364"/>
      <c r="AO457" s="364"/>
      <c r="AP457" s="364"/>
      <c r="AQ457" s="364"/>
      <c r="AR457" s="364"/>
      <c r="AS457" s="364"/>
      <c r="AT457" s="364"/>
      <c r="AU457" s="364"/>
      <c r="AV457" s="364"/>
      <c r="AW457" s="364"/>
      <c r="AX457" s="364"/>
      <c r="AY457" s="364"/>
      <c r="AZ457" s="364"/>
      <c r="BA457" s="364"/>
      <c r="BB457" s="364"/>
      <c r="BC457" s="364"/>
      <c r="BD457" s="364"/>
      <c r="BE457" s="364"/>
      <c r="BF457" s="364"/>
      <c r="BG457" s="364"/>
      <c r="BH457" s="364"/>
      <c r="BI457" s="364"/>
      <c r="BJ457" s="364"/>
      <c r="BK457" s="364"/>
      <c r="BL457" s="364"/>
      <c r="BM457" s="364"/>
      <c r="BN457" s="364"/>
      <c r="BO457" s="364"/>
      <c r="BP457" s="364"/>
      <c r="BQ457" s="364"/>
      <c r="BR457" s="364"/>
      <c r="BS457" s="364"/>
      <c r="BT457" s="364"/>
      <c r="BU457" s="364"/>
      <c r="BV457" s="364"/>
      <c r="BW457" s="364"/>
      <c r="BX457" s="364"/>
      <c r="BY457" s="364"/>
      <c r="BZ457" s="364"/>
      <c r="CA457" s="364"/>
      <c r="CB457" s="364"/>
      <c r="CC457" s="364"/>
      <c r="CD457" s="364"/>
      <c r="CE457" s="364"/>
      <c r="CF457" s="364"/>
      <c r="CG457" s="364"/>
      <c r="CH457" s="364"/>
      <c r="CI457" s="364"/>
      <c r="CJ457" s="364"/>
      <c r="CK457" s="364"/>
      <c r="CL457" s="364"/>
      <c r="CM457" s="364"/>
      <c r="CN457" s="364"/>
      <c r="CO457" s="364"/>
      <c r="CP457" s="364"/>
      <c r="CQ457" s="364"/>
      <c r="CR457" s="364"/>
      <c r="CS457" s="364"/>
      <c r="CT457" s="364"/>
      <c r="CU457" s="364"/>
      <c r="CV457" s="364"/>
      <c r="CW457" s="364"/>
      <c r="CX457" s="364"/>
      <c r="CY457" s="364"/>
      <c r="CZ457" s="364"/>
      <c r="DA457" s="364"/>
      <c r="DB457" s="364"/>
      <c r="DC457" s="364"/>
      <c r="DD457" s="364"/>
      <c r="DE457" s="364"/>
      <c r="DF457" s="364"/>
      <c r="DG457" s="364"/>
      <c r="DH457" s="364"/>
      <c r="DI457" s="364"/>
      <c r="DJ457" s="364"/>
      <c r="DK457" s="364"/>
      <c r="DL457" s="364"/>
      <c r="DM457" s="364"/>
      <c r="DN457" s="364"/>
      <c r="DO457" s="364"/>
      <c r="DP457" s="364"/>
      <c r="DQ457" s="364"/>
      <c r="DR457" s="364"/>
      <c r="DS457" s="364"/>
      <c r="DT457" s="364"/>
      <c r="DU457" s="364"/>
      <c r="DV457" s="364"/>
      <c r="DW457" s="364"/>
      <c r="DX457" s="364"/>
      <c r="DY457" s="364"/>
      <c r="DZ457" s="364"/>
      <c r="EA457" s="364"/>
      <c r="EB457" s="364"/>
      <c r="EC457" s="364"/>
      <c r="ED457" s="364"/>
      <c r="EE457" s="364"/>
      <c r="EF457" s="364"/>
      <c r="EG457" s="364"/>
      <c r="EH457" s="364"/>
      <c r="EI457" s="364"/>
      <c r="EJ457" s="364"/>
      <c r="EK457" s="364"/>
      <c r="EL457" s="364"/>
      <c r="EM457" s="364"/>
      <c r="EN457" s="364"/>
      <c r="EO457" s="364"/>
      <c r="EP457" s="364"/>
      <c r="EQ457" s="364"/>
      <c r="ER457" s="364"/>
      <c r="ES457" s="364"/>
      <c r="ET457" s="364"/>
      <c r="EU457" s="364"/>
      <c r="EV457" s="364"/>
      <c r="EW457" s="364"/>
      <c r="EX457" s="364"/>
      <c r="EY457" s="364"/>
      <c r="EZ457" s="364"/>
      <c r="FA457" s="364"/>
      <c r="FB457" s="364"/>
      <c r="FC457" s="364"/>
      <c r="FD457" s="364"/>
      <c r="FE457" s="364"/>
      <c r="FF457" s="364"/>
      <c r="FG457" s="364"/>
      <c r="FH457" s="364"/>
      <c r="FI457" s="364"/>
      <c r="FJ457" s="364"/>
      <c r="FK457" s="364"/>
    </row>
    <row r="458" customFormat="false" ht="15.75" hidden="false" customHeight="false" outlineLevel="0" collapsed="false">
      <c r="A458" s="364" t="n">
        <v>915</v>
      </c>
      <c r="B458" s="364" t="n">
        <f aca="false">COUNTA(D458:FK458)</f>
        <v>28</v>
      </c>
      <c r="C458" s="364" t="s">
        <v>2224</v>
      </c>
      <c r="D458" s="364" t="s">
        <v>2431</v>
      </c>
      <c r="E458" s="364" t="s">
        <v>2356</v>
      </c>
      <c r="F458" s="364" t="s">
        <v>2313</v>
      </c>
      <c r="G458" s="364" t="s">
        <v>2317</v>
      </c>
      <c r="H458" s="364" t="s">
        <v>2448</v>
      </c>
      <c r="I458" s="364" t="s">
        <v>2320</v>
      </c>
      <c r="J458" s="364" t="s">
        <v>2328</v>
      </c>
      <c r="K458" s="364" t="s">
        <v>2506</v>
      </c>
      <c r="L458" s="364" t="s">
        <v>2330</v>
      </c>
      <c r="M458" s="364" t="s">
        <v>2468</v>
      </c>
      <c r="N458" s="364" t="s">
        <v>2540</v>
      </c>
      <c r="O458" s="364" t="s">
        <v>2452</v>
      </c>
      <c r="P458" s="364" t="s">
        <v>2526</v>
      </c>
      <c r="Q458" s="364" t="s">
        <v>2419</v>
      </c>
      <c r="R458" s="364" t="s">
        <v>2388</v>
      </c>
      <c r="S458" s="364" t="s">
        <v>2420</v>
      </c>
      <c r="T458" s="364" t="s">
        <v>2340</v>
      </c>
      <c r="U458" s="364" t="s">
        <v>2392</v>
      </c>
      <c r="V458" s="364" t="s">
        <v>2591</v>
      </c>
      <c r="W458" s="364" t="s">
        <v>2344</v>
      </c>
      <c r="X458" s="364" t="s">
        <v>2346</v>
      </c>
      <c r="Y458" s="364" t="s">
        <v>2473</v>
      </c>
      <c r="Z458" s="364" t="s">
        <v>2511</v>
      </c>
      <c r="AA458" s="364" t="s">
        <v>2515</v>
      </c>
      <c r="AB458" s="364" t="s">
        <v>2446</v>
      </c>
      <c r="AC458" s="364" t="s">
        <v>2599</v>
      </c>
      <c r="AD458" s="364" t="s">
        <v>2572</v>
      </c>
      <c r="AE458" s="364" t="s">
        <v>2430</v>
      </c>
      <c r="AF458" s="364"/>
      <c r="AG458" s="364"/>
      <c r="AH458" s="364"/>
      <c r="AI458" s="364"/>
      <c r="AJ458" s="364"/>
      <c r="AK458" s="364"/>
      <c r="AL458" s="364"/>
      <c r="AM458" s="364"/>
      <c r="AN458" s="364"/>
      <c r="AO458" s="364"/>
      <c r="AP458" s="364"/>
      <c r="AQ458" s="364"/>
      <c r="AR458" s="364"/>
      <c r="AS458" s="364"/>
      <c r="AT458" s="364"/>
      <c r="AU458" s="364"/>
      <c r="AV458" s="364"/>
      <c r="AW458" s="364"/>
      <c r="AX458" s="364"/>
      <c r="AY458" s="364"/>
      <c r="AZ458" s="364"/>
      <c r="BA458" s="364"/>
      <c r="BB458" s="364"/>
      <c r="BC458" s="364"/>
      <c r="BD458" s="364"/>
      <c r="BE458" s="364"/>
      <c r="BF458" s="364"/>
      <c r="BG458" s="364"/>
      <c r="BH458" s="364"/>
      <c r="BI458" s="364"/>
      <c r="BJ458" s="364"/>
      <c r="BK458" s="364"/>
      <c r="BL458" s="364"/>
      <c r="BM458" s="364"/>
      <c r="BN458" s="364"/>
      <c r="BO458" s="364"/>
      <c r="BP458" s="364"/>
      <c r="BQ458" s="364"/>
      <c r="BR458" s="364"/>
      <c r="BS458" s="364"/>
      <c r="BT458" s="364"/>
      <c r="BU458" s="364"/>
      <c r="BV458" s="364"/>
      <c r="BW458" s="364"/>
      <c r="BX458" s="364"/>
      <c r="BY458" s="364"/>
      <c r="BZ458" s="364"/>
      <c r="CA458" s="364"/>
      <c r="CB458" s="364"/>
      <c r="CC458" s="364"/>
      <c r="CD458" s="364"/>
      <c r="CE458" s="364"/>
      <c r="CF458" s="364"/>
      <c r="CG458" s="364"/>
      <c r="CH458" s="364"/>
      <c r="CI458" s="364"/>
      <c r="CJ458" s="364"/>
      <c r="CK458" s="364"/>
      <c r="CL458" s="364"/>
      <c r="CM458" s="364"/>
      <c r="CN458" s="364"/>
      <c r="CO458" s="364"/>
      <c r="CP458" s="364"/>
      <c r="CQ458" s="364"/>
      <c r="CR458" s="364"/>
      <c r="CS458" s="364"/>
      <c r="CT458" s="364"/>
      <c r="CU458" s="364"/>
      <c r="CV458" s="364"/>
      <c r="CW458" s="364"/>
      <c r="CX458" s="364"/>
      <c r="CY458" s="364"/>
      <c r="CZ458" s="364"/>
      <c r="DA458" s="364"/>
      <c r="DB458" s="364"/>
      <c r="DC458" s="364"/>
      <c r="DD458" s="364"/>
      <c r="DE458" s="364"/>
      <c r="DF458" s="364"/>
      <c r="DG458" s="364"/>
      <c r="DH458" s="364"/>
      <c r="DI458" s="364"/>
      <c r="DJ458" s="364"/>
      <c r="DK458" s="364"/>
      <c r="DL458" s="364"/>
      <c r="DM458" s="364"/>
      <c r="DN458" s="364"/>
      <c r="DO458" s="364"/>
      <c r="DP458" s="364"/>
      <c r="DQ458" s="364"/>
      <c r="DR458" s="364"/>
      <c r="DS458" s="364"/>
      <c r="DT458" s="364"/>
      <c r="DU458" s="364"/>
      <c r="DV458" s="364"/>
      <c r="DW458" s="364"/>
      <c r="DX458" s="364"/>
      <c r="DY458" s="364"/>
      <c r="DZ458" s="364"/>
      <c r="EA458" s="364"/>
      <c r="EB458" s="364"/>
      <c r="EC458" s="364"/>
      <c r="ED458" s="364"/>
      <c r="EE458" s="364"/>
      <c r="EF458" s="364"/>
      <c r="EG458" s="364"/>
      <c r="EH458" s="364"/>
      <c r="EI458" s="364"/>
      <c r="EJ458" s="364"/>
      <c r="EK458" s="364"/>
      <c r="EL458" s="364"/>
      <c r="EM458" s="364"/>
      <c r="EN458" s="364"/>
      <c r="EO458" s="364"/>
      <c r="EP458" s="364"/>
      <c r="EQ458" s="364"/>
      <c r="ER458" s="364"/>
      <c r="ES458" s="364"/>
      <c r="ET458" s="364"/>
      <c r="EU458" s="364"/>
      <c r="EV458" s="364"/>
      <c r="EW458" s="364"/>
      <c r="EX458" s="364"/>
      <c r="EY458" s="364"/>
      <c r="EZ458" s="364"/>
      <c r="FA458" s="364"/>
      <c r="FB458" s="364"/>
      <c r="FC458" s="364"/>
      <c r="FD458" s="364"/>
      <c r="FE458" s="364"/>
      <c r="FF458" s="364"/>
      <c r="FG458" s="364"/>
      <c r="FH458" s="364"/>
      <c r="FI458" s="364"/>
      <c r="FJ458" s="364"/>
      <c r="FK458" s="364"/>
    </row>
    <row r="459" customFormat="false" ht="15.75" hidden="false" customHeight="false" outlineLevel="0" collapsed="false">
      <c r="A459" s="364" t="n">
        <v>916</v>
      </c>
      <c r="B459" s="364" t="n">
        <f aca="false">COUNTA(D459:FK459)</f>
        <v>46</v>
      </c>
      <c r="C459" s="364" t="s">
        <v>2226</v>
      </c>
      <c r="D459" s="364" t="s">
        <v>2312</v>
      </c>
      <c r="E459" s="364" t="s">
        <v>2357</v>
      </c>
      <c r="F459" s="364" t="s">
        <v>2313</v>
      </c>
      <c r="G459" s="364" t="s">
        <v>2464</v>
      </c>
      <c r="H459" s="364" t="s">
        <v>2601</v>
      </c>
      <c r="I459" s="364" t="s">
        <v>2360</v>
      </c>
      <c r="J459" s="364" t="s">
        <v>2361</v>
      </c>
      <c r="K459" s="364" t="s">
        <v>2363</v>
      </c>
      <c r="L459" s="364" t="s">
        <v>2317</v>
      </c>
      <c r="M459" s="364" t="s">
        <v>2365</v>
      </c>
      <c r="N459" s="364" t="s">
        <v>2448</v>
      </c>
      <c r="O459" s="364" t="s">
        <v>2562</v>
      </c>
      <c r="P459" s="364" t="s">
        <v>2320</v>
      </c>
      <c r="Q459" s="364" t="s">
        <v>2366</v>
      </c>
      <c r="R459" s="364" t="s">
        <v>2370</v>
      </c>
      <c r="S459" s="364" t="s">
        <v>2372</v>
      </c>
      <c r="T459" s="364" t="s">
        <v>2373</v>
      </c>
      <c r="U459" s="364" t="s">
        <v>2411</v>
      </c>
      <c r="V459" s="364" t="s">
        <v>2376</v>
      </c>
      <c r="W459" s="364" t="s">
        <v>2324</v>
      </c>
      <c r="X459" s="364" t="s">
        <v>2642</v>
      </c>
      <c r="Y459" s="364" t="s">
        <v>2378</v>
      </c>
      <c r="Z459" s="364" t="s">
        <v>2328</v>
      </c>
      <c r="AA459" s="364" t="s">
        <v>2329</v>
      </c>
      <c r="AB459" s="364" t="s">
        <v>2521</v>
      </c>
      <c r="AC459" s="364" t="s">
        <v>2379</v>
      </c>
      <c r="AD459" s="364" t="s">
        <v>2506</v>
      </c>
      <c r="AE459" s="364" t="s">
        <v>2381</v>
      </c>
      <c r="AF459" s="364" t="s">
        <v>2332</v>
      </c>
      <c r="AG459" s="364" t="s">
        <v>2386</v>
      </c>
      <c r="AH459" s="364" t="s">
        <v>2452</v>
      </c>
      <c r="AI459" s="364" t="s">
        <v>2337</v>
      </c>
      <c r="AJ459" s="364" t="s">
        <v>2553</v>
      </c>
      <c r="AK459" s="364" t="s">
        <v>2389</v>
      </c>
      <c r="AL459" s="364" t="s">
        <v>2340</v>
      </c>
      <c r="AM459" s="364" t="s">
        <v>2736</v>
      </c>
      <c r="AN459" s="364" t="s">
        <v>2470</v>
      </c>
      <c r="AO459" s="364" t="s">
        <v>2423</v>
      </c>
      <c r="AP459" s="364" t="s">
        <v>2619</v>
      </c>
      <c r="AQ459" s="364" t="s">
        <v>2344</v>
      </c>
      <c r="AR459" s="364" t="s">
        <v>2345</v>
      </c>
      <c r="AS459" s="364" t="s">
        <v>2346</v>
      </c>
      <c r="AT459" s="364" t="s">
        <v>2500</v>
      </c>
      <c r="AU459" s="364" t="s">
        <v>2348</v>
      </c>
      <c r="AV459" s="364" t="s">
        <v>2463</v>
      </c>
      <c r="AW459" s="364" t="s">
        <v>2350</v>
      </c>
      <c r="AX459" s="364"/>
      <c r="AY459" s="364"/>
      <c r="AZ459" s="364"/>
      <c r="BA459" s="364"/>
      <c r="BB459" s="364"/>
      <c r="BC459" s="364"/>
      <c r="BD459" s="364"/>
      <c r="BE459" s="364"/>
      <c r="BF459" s="364"/>
      <c r="BG459" s="364"/>
      <c r="BH459" s="364"/>
      <c r="BI459" s="364"/>
      <c r="BJ459" s="364"/>
      <c r="BK459" s="364"/>
      <c r="BL459" s="364"/>
      <c r="BM459" s="364"/>
      <c r="BN459" s="364"/>
      <c r="BO459" s="364"/>
      <c r="BP459" s="364"/>
      <c r="BQ459" s="364"/>
      <c r="BR459" s="364"/>
      <c r="BS459" s="364"/>
      <c r="BT459" s="364"/>
      <c r="BU459" s="364"/>
      <c r="BV459" s="364"/>
      <c r="BW459" s="364"/>
      <c r="BX459" s="364"/>
      <c r="BY459" s="364"/>
      <c r="BZ459" s="364"/>
      <c r="CA459" s="364"/>
      <c r="CB459" s="364"/>
      <c r="CC459" s="364"/>
      <c r="CD459" s="364"/>
      <c r="CE459" s="364"/>
      <c r="CF459" s="364"/>
      <c r="CG459" s="364"/>
      <c r="CH459" s="364"/>
      <c r="CI459" s="364"/>
      <c r="CJ459" s="364"/>
      <c r="CK459" s="364"/>
      <c r="CL459" s="364"/>
      <c r="CM459" s="364"/>
      <c r="CN459" s="364"/>
      <c r="CO459" s="364"/>
      <c r="CP459" s="364"/>
      <c r="CQ459" s="364"/>
      <c r="CR459" s="364"/>
      <c r="CS459" s="364"/>
      <c r="CT459" s="364"/>
      <c r="CU459" s="364"/>
      <c r="CV459" s="364"/>
      <c r="CW459" s="364"/>
      <c r="CX459" s="364"/>
      <c r="CY459" s="364"/>
      <c r="CZ459" s="364"/>
      <c r="DA459" s="364"/>
      <c r="DB459" s="364"/>
      <c r="DC459" s="364"/>
      <c r="DD459" s="364"/>
      <c r="DE459" s="364"/>
      <c r="DF459" s="364"/>
      <c r="DG459" s="364"/>
      <c r="DH459" s="364"/>
      <c r="DI459" s="364"/>
      <c r="DJ459" s="364"/>
      <c r="DK459" s="364"/>
      <c r="DL459" s="364"/>
      <c r="DM459" s="364"/>
      <c r="DN459" s="364"/>
      <c r="DO459" s="364"/>
      <c r="DP459" s="364"/>
      <c r="DQ459" s="364"/>
      <c r="DR459" s="364"/>
      <c r="DS459" s="364"/>
      <c r="DT459" s="364"/>
      <c r="DU459" s="364"/>
      <c r="DV459" s="364"/>
      <c r="DW459" s="364"/>
      <c r="DX459" s="364"/>
      <c r="DY459" s="364"/>
      <c r="DZ459" s="364"/>
      <c r="EA459" s="364"/>
      <c r="EB459" s="364"/>
      <c r="EC459" s="364"/>
      <c r="ED459" s="364"/>
      <c r="EE459" s="364"/>
      <c r="EF459" s="364"/>
      <c r="EG459" s="364"/>
      <c r="EH459" s="364"/>
      <c r="EI459" s="364"/>
      <c r="EJ459" s="364"/>
      <c r="EK459" s="364"/>
      <c r="EL459" s="364"/>
      <c r="EM459" s="364"/>
      <c r="EN459" s="364"/>
      <c r="EO459" s="364"/>
      <c r="EP459" s="364"/>
      <c r="EQ459" s="364"/>
      <c r="ER459" s="364"/>
      <c r="ES459" s="364"/>
      <c r="ET459" s="364"/>
      <c r="EU459" s="364"/>
      <c r="EV459" s="364"/>
      <c r="EW459" s="364"/>
      <c r="EX459" s="364"/>
      <c r="EY459" s="364"/>
      <c r="EZ459" s="364"/>
      <c r="FA459" s="364"/>
      <c r="FB459" s="364"/>
      <c r="FC459" s="364"/>
      <c r="FD459" s="364"/>
      <c r="FE459" s="364"/>
      <c r="FF459" s="364"/>
      <c r="FG459" s="364"/>
      <c r="FH459" s="364"/>
      <c r="FI459" s="364"/>
      <c r="FJ459" s="364"/>
      <c r="FK459" s="364"/>
    </row>
    <row r="460" customFormat="false" ht="15.75" hidden="false" customHeight="false" outlineLevel="0" collapsed="false">
      <c r="A460" s="364" t="n">
        <v>917</v>
      </c>
      <c r="B460" s="364" t="n">
        <f aca="false">COUNTA(D460:FK460)</f>
        <v>40</v>
      </c>
      <c r="C460" s="364" t="s">
        <v>2228</v>
      </c>
      <c r="D460" s="364" t="s">
        <v>2516</v>
      </c>
      <c r="E460" s="364" t="s">
        <v>2464</v>
      </c>
      <c r="F460" s="364" t="s">
        <v>2465</v>
      </c>
      <c r="G460" s="364" t="s">
        <v>2518</v>
      </c>
      <c r="H460" s="364" t="s">
        <v>2569</v>
      </c>
      <c r="I460" s="364" t="s">
        <v>2436</v>
      </c>
      <c r="J460" s="364" t="s">
        <v>2448</v>
      </c>
      <c r="K460" s="364" t="s">
        <v>2320</v>
      </c>
      <c r="L460" s="364" t="s">
        <v>2533</v>
      </c>
      <c r="M460" s="364" t="s">
        <v>2450</v>
      </c>
      <c r="N460" s="364" t="s">
        <v>2324</v>
      </c>
      <c r="O460" s="364" t="s">
        <v>2325</v>
      </c>
      <c r="P460" s="364" t="s">
        <v>2412</v>
      </c>
      <c r="Q460" s="364" t="s">
        <v>2328</v>
      </c>
      <c r="R460" s="364" t="s">
        <v>2506</v>
      </c>
      <c r="S460" s="364" t="s">
        <v>2381</v>
      </c>
      <c r="T460" s="364" t="s">
        <v>2468</v>
      </c>
      <c r="U460" s="364" t="s">
        <v>2658</v>
      </c>
      <c r="V460" s="364" t="s">
        <v>2452</v>
      </c>
      <c r="W460" s="364" t="s">
        <v>2453</v>
      </c>
      <c r="X460" s="364" t="s">
        <v>2454</v>
      </c>
      <c r="Y460" s="364" t="s">
        <v>2620</v>
      </c>
      <c r="Z460" s="364" t="s">
        <v>2337</v>
      </c>
      <c r="AA460" s="364" t="s">
        <v>2420</v>
      </c>
      <c r="AB460" s="364" t="s">
        <v>2340</v>
      </c>
      <c r="AC460" s="364" t="s">
        <v>2470</v>
      </c>
      <c r="AD460" s="364" t="s">
        <v>2344</v>
      </c>
      <c r="AE460" s="364" t="s">
        <v>2570</v>
      </c>
      <c r="AF460" s="364" t="s">
        <v>2474</v>
      </c>
      <c r="AG460" s="364" t="s">
        <v>2348</v>
      </c>
      <c r="AH460" s="364" t="s">
        <v>2445</v>
      </c>
      <c r="AI460" s="364" t="s">
        <v>2475</v>
      </c>
      <c r="AJ460" s="364" t="s">
        <v>2476</v>
      </c>
      <c r="AK460" s="364" t="s">
        <v>2491</v>
      </c>
      <c r="AL460" s="364" t="s">
        <v>2457</v>
      </c>
      <c r="AM460" s="364" t="s">
        <v>2446</v>
      </c>
      <c r="AN460" s="364" t="s">
        <v>2492</v>
      </c>
      <c r="AO460" s="364" t="s">
        <v>2477</v>
      </c>
      <c r="AP460" s="364" t="s">
        <v>2430</v>
      </c>
      <c r="AQ460" s="364" t="s">
        <v>2737</v>
      </c>
      <c r="AR460" s="364"/>
      <c r="AS460" s="364"/>
      <c r="AT460" s="364"/>
      <c r="AU460" s="364"/>
      <c r="AV460" s="364"/>
      <c r="AW460" s="364"/>
      <c r="AX460" s="364"/>
      <c r="AY460" s="364"/>
      <c r="AZ460" s="364"/>
      <c r="BA460" s="364"/>
      <c r="BB460" s="364"/>
      <c r="BC460" s="364"/>
      <c r="BD460" s="364"/>
      <c r="BE460" s="364"/>
      <c r="BF460" s="364"/>
      <c r="BG460" s="364"/>
      <c r="BH460" s="364"/>
      <c r="BI460" s="364"/>
      <c r="BJ460" s="364"/>
      <c r="BK460" s="364"/>
      <c r="BL460" s="364"/>
      <c r="BM460" s="364"/>
      <c r="BN460" s="364"/>
      <c r="BO460" s="364"/>
      <c r="BP460" s="364"/>
      <c r="BQ460" s="364"/>
      <c r="BR460" s="364"/>
      <c r="BS460" s="364"/>
      <c r="BT460" s="364"/>
      <c r="BU460" s="364"/>
      <c r="BV460" s="364"/>
      <c r="BW460" s="364"/>
      <c r="BX460" s="364"/>
      <c r="BY460" s="364"/>
      <c r="BZ460" s="364"/>
      <c r="CA460" s="364"/>
      <c r="CB460" s="364"/>
      <c r="CC460" s="364"/>
      <c r="CD460" s="364"/>
      <c r="CE460" s="364"/>
      <c r="CF460" s="364"/>
      <c r="CG460" s="364"/>
      <c r="CH460" s="364"/>
      <c r="CI460" s="364"/>
      <c r="CJ460" s="364"/>
      <c r="CK460" s="364"/>
      <c r="CL460" s="364"/>
      <c r="CM460" s="364"/>
      <c r="CN460" s="364"/>
      <c r="CO460" s="364"/>
      <c r="CP460" s="364"/>
      <c r="CQ460" s="364"/>
      <c r="CR460" s="364"/>
      <c r="CS460" s="364"/>
      <c r="CT460" s="364"/>
      <c r="CU460" s="364"/>
      <c r="CV460" s="364"/>
      <c r="CW460" s="364"/>
      <c r="CX460" s="364"/>
      <c r="CY460" s="364"/>
      <c r="CZ460" s="364"/>
      <c r="DA460" s="364"/>
      <c r="DB460" s="364"/>
      <c r="DC460" s="364"/>
      <c r="DD460" s="364"/>
      <c r="DE460" s="364"/>
      <c r="DF460" s="364"/>
      <c r="DG460" s="364"/>
      <c r="DH460" s="364"/>
      <c r="DI460" s="364"/>
      <c r="DJ460" s="364"/>
      <c r="DK460" s="364"/>
      <c r="DL460" s="364"/>
      <c r="DM460" s="364"/>
      <c r="DN460" s="364"/>
      <c r="DO460" s="364"/>
      <c r="DP460" s="364"/>
      <c r="DQ460" s="364"/>
      <c r="DR460" s="364"/>
      <c r="DS460" s="364"/>
      <c r="DT460" s="364"/>
      <c r="DU460" s="364"/>
      <c r="DV460" s="364"/>
      <c r="DW460" s="364"/>
      <c r="DX460" s="364"/>
      <c r="DY460" s="364"/>
      <c r="DZ460" s="364"/>
      <c r="EA460" s="364"/>
      <c r="EB460" s="364"/>
      <c r="EC460" s="364"/>
      <c r="ED460" s="364"/>
      <c r="EE460" s="364"/>
      <c r="EF460" s="364"/>
      <c r="EG460" s="364"/>
      <c r="EH460" s="364"/>
      <c r="EI460" s="364"/>
      <c r="EJ460" s="364"/>
      <c r="EK460" s="364"/>
      <c r="EL460" s="364"/>
      <c r="EM460" s="364"/>
      <c r="EN460" s="364"/>
      <c r="EO460" s="364"/>
      <c r="EP460" s="364"/>
      <c r="EQ460" s="364"/>
      <c r="ER460" s="364"/>
      <c r="ES460" s="364"/>
      <c r="ET460" s="364"/>
      <c r="EU460" s="364"/>
      <c r="EV460" s="364"/>
      <c r="EW460" s="364"/>
      <c r="EX460" s="364"/>
      <c r="EY460" s="364"/>
      <c r="EZ460" s="364"/>
      <c r="FA460" s="364"/>
      <c r="FB460" s="364"/>
      <c r="FC460" s="364"/>
      <c r="FD460" s="364"/>
      <c r="FE460" s="364"/>
      <c r="FF460" s="364"/>
      <c r="FG460" s="364"/>
      <c r="FH460" s="364"/>
      <c r="FI460" s="364"/>
      <c r="FJ460" s="364"/>
      <c r="FK460" s="364"/>
    </row>
    <row r="461" customFormat="false" ht="15.75" hidden="false" customHeight="false" outlineLevel="0" collapsed="false">
      <c r="A461" s="364" t="n">
        <v>918</v>
      </c>
      <c r="B461" s="364" t="n">
        <f aca="false">COUNTA(D461:FK461)</f>
        <v>32</v>
      </c>
      <c r="C461" s="364" t="s">
        <v>2230</v>
      </c>
      <c r="D461" s="364" t="s">
        <v>2528</v>
      </c>
      <c r="E461" s="364" t="s">
        <v>2464</v>
      </c>
      <c r="F461" s="364" t="s">
        <v>2465</v>
      </c>
      <c r="G461" s="364" t="s">
        <v>2409</v>
      </c>
      <c r="H461" s="364" t="s">
        <v>2517</v>
      </c>
      <c r="I461" s="364" t="s">
        <v>2520</v>
      </c>
      <c r="J461" s="364" t="s">
        <v>2435</v>
      </c>
      <c r="K461" s="364" t="s">
        <v>2320</v>
      </c>
      <c r="L461" s="364" t="s">
        <v>2535</v>
      </c>
      <c r="M461" s="364" t="s">
        <v>2323</v>
      </c>
      <c r="N461" s="364" t="s">
        <v>2328</v>
      </c>
      <c r="O461" s="364" t="s">
        <v>2329</v>
      </c>
      <c r="P461" s="364" t="s">
        <v>2438</v>
      </c>
      <c r="Q461" s="364" t="s">
        <v>2468</v>
      </c>
      <c r="R461" s="364" t="s">
        <v>2507</v>
      </c>
      <c r="S461" s="364" t="s">
        <v>2452</v>
      </c>
      <c r="T461" s="364" t="s">
        <v>2526</v>
      </c>
      <c r="U461" s="364" t="s">
        <v>157</v>
      </c>
      <c r="V461" s="364" t="s">
        <v>2337</v>
      </c>
      <c r="W461" s="364" t="s">
        <v>2340</v>
      </c>
      <c r="X461" s="364" t="s">
        <v>2390</v>
      </c>
      <c r="Y461" s="364" t="s">
        <v>2442</v>
      </c>
      <c r="Z461" s="364" t="s">
        <v>2392</v>
      </c>
      <c r="AA461" s="364" t="s">
        <v>2639</v>
      </c>
      <c r="AB461" s="364" t="s">
        <v>2395</v>
      </c>
      <c r="AC461" s="364" t="s">
        <v>2344</v>
      </c>
      <c r="AD461" s="364" t="s">
        <v>2643</v>
      </c>
      <c r="AE461" s="364" t="s">
        <v>2445</v>
      </c>
      <c r="AF461" s="364" t="s">
        <v>2475</v>
      </c>
      <c r="AG461" s="364" t="s">
        <v>2476</v>
      </c>
      <c r="AH461" s="364" t="s">
        <v>2599</v>
      </c>
      <c r="AI461" s="364" t="s">
        <v>2458</v>
      </c>
      <c r="AJ461" s="364"/>
      <c r="AK461" s="364"/>
      <c r="AL461" s="364"/>
      <c r="AM461" s="364"/>
      <c r="AN461" s="364"/>
      <c r="AO461" s="364"/>
      <c r="AP461" s="364"/>
      <c r="AQ461" s="364"/>
      <c r="AR461" s="364"/>
      <c r="AS461" s="364"/>
      <c r="AT461" s="364"/>
      <c r="AU461" s="364"/>
      <c r="AV461" s="364"/>
      <c r="AW461" s="364"/>
      <c r="AX461" s="364"/>
      <c r="AY461" s="364"/>
      <c r="AZ461" s="364"/>
      <c r="BA461" s="364"/>
      <c r="BB461" s="364"/>
      <c r="BC461" s="364"/>
      <c r="BD461" s="364"/>
      <c r="BE461" s="364"/>
      <c r="BF461" s="364"/>
      <c r="BG461" s="364"/>
      <c r="BH461" s="364"/>
      <c r="BI461" s="364"/>
      <c r="BJ461" s="364"/>
      <c r="BK461" s="364"/>
      <c r="BL461" s="364"/>
      <c r="BM461" s="364"/>
      <c r="BN461" s="364"/>
      <c r="BO461" s="364"/>
      <c r="BP461" s="364"/>
      <c r="BQ461" s="364"/>
      <c r="BR461" s="364"/>
      <c r="BS461" s="364"/>
      <c r="BT461" s="364"/>
      <c r="BU461" s="364"/>
      <c r="BV461" s="364"/>
      <c r="BW461" s="364"/>
      <c r="BX461" s="364"/>
      <c r="BY461" s="364"/>
      <c r="BZ461" s="364"/>
      <c r="CA461" s="364"/>
      <c r="CB461" s="364"/>
      <c r="CC461" s="364"/>
      <c r="CD461" s="364"/>
      <c r="CE461" s="364"/>
      <c r="CF461" s="364"/>
      <c r="CG461" s="364"/>
      <c r="CH461" s="364"/>
      <c r="CI461" s="364"/>
      <c r="CJ461" s="364"/>
      <c r="CK461" s="364"/>
      <c r="CL461" s="364"/>
      <c r="CM461" s="364"/>
      <c r="CN461" s="364"/>
      <c r="CO461" s="364"/>
      <c r="CP461" s="364"/>
      <c r="CQ461" s="364"/>
      <c r="CR461" s="364"/>
      <c r="CS461" s="364"/>
      <c r="CT461" s="364"/>
      <c r="CU461" s="364"/>
      <c r="CV461" s="364"/>
      <c r="CW461" s="364"/>
      <c r="CX461" s="364"/>
      <c r="CY461" s="364"/>
      <c r="CZ461" s="364"/>
      <c r="DA461" s="364"/>
      <c r="DB461" s="364"/>
      <c r="DC461" s="364"/>
      <c r="DD461" s="364"/>
      <c r="DE461" s="364"/>
      <c r="DF461" s="364"/>
      <c r="DG461" s="364"/>
      <c r="DH461" s="364"/>
      <c r="DI461" s="364"/>
      <c r="DJ461" s="364"/>
      <c r="DK461" s="364"/>
      <c r="DL461" s="364"/>
      <c r="DM461" s="364"/>
      <c r="DN461" s="364"/>
      <c r="DO461" s="364"/>
      <c r="DP461" s="364"/>
      <c r="DQ461" s="364"/>
      <c r="DR461" s="364"/>
      <c r="DS461" s="364"/>
      <c r="DT461" s="364"/>
      <c r="DU461" s="364"/>
      <c r="DV461" s="364"/>
      <c r="DW461" s="364"/>
      <c r="DX461" s="364"/>
      <c r="DY461" s="364"/>
      <c r="DZ461" s="364"/>
      <c r="EA461" s="364"/>
      <c r="EB461" s="364"/>
      <c r="EC461" s="364"/>
      <c r="ED461" s="364"/>
      <c r="EE461" s="364"/>
      <c r="EF461" s="364"/>
      <c r="EG461" s="364"/>
      <c r="EH461" s="364"/>
      <c r="EI461" s="364"/>
      <c r="EJ461" s="364"/>
      <c r="EK461" s="364"/>
      <c r="EL461" s="364"/>
      <c r="EM461" s="364"/>
      <c r="EN461" s="364"/>
      <c r="EO461" s="364"/>
      <c r="EP461" s="364"/>
      <c r="EQ461" s="364"/>
      <c r="ER461" s="364"/>
      <c r="ES461" s="364"/>
      <c r="ET461" s="364"/>
      <c r="EU461" s="364"/>
      <c r="EV461" s="364"/>
      <c r="EW461" s="364"/>
      <c r="EX461" s="364"/>
      <c r="EY461" s="364"/>
      <c r="EZ461" s="364"/>
      <c r="FA461" s="364"/>
      <c r="FB461" s="364"/>
      <c r="FC461" s="364"/>
      <c r="FD461" s="364"/>
      <c r="FE461" s="364"/>
      <c r="FF461" s="364"/>
      <c r="FG461" s="364"/>
      <c r="FH461" s="364"/>
      <c r="FI461" s="364"/>
      <c r="FJ461" s="364"/>
      <c r="FK461" s="364"/>
    </row>
    <row r="462" customFormat="false" ht="15.75" hidden="false" customHeight="false" outlineLevel="0" collapsed="false">
      <c r="A462" s="364" t="n">
        <v>919</v>
      </c>
      <c r="B462" s="364" t="n">
        <f aca="false">COUNTA(D462:FK462)</f>
        <v>35</v>
      </c>
      <c r="C462" s="364" t="s">
        <v>2232</v>
      </c>
      <c r="D462" s="364" t="s">
        <v>2352</v>
      </c>
      <c r="E462" s="364" t="s">
        <v>2538</v>
      </c>
      <c r="F462" s="364" t="s">
        <v>2402</v>
      </c>
      <c r="G462" s="364" t="s">
        <v>2528</v>
      </c>
      <c r="H462" s="364" t="s">
        <v>2404</v>
      </c>
      <c r="I462" s="364" t="s">
        <v>2405</v>
      </c>
      <c r="J462" s="364" t="s">
        <v>2434</v>
      </c>
      <c r="K462" s="364" t="s">
        <v>2466</v>
      </c>
      <c r="L462" s="364" t="s">
        <v>2435</v>
      </c>
      <c r="M462" s="364" t="s">
        <v>2320</v>
      </c>
      <c r="N462" s="364" t="s">
        <v>2502</v>
      </c>
      <c r="O462" s="364" t="s">
        <v>2324</v>
      </c>
      <c r="P462" s="364" t="s">
        <v>2328</v>
      </c>
      <c r="Q462" s="364" t="s">
        <v>2415</v>
      </c>
      <c r="R462" s="364" t="s">
        <v>2485</v>
      </c>
      <c r="S462" s="364" t="s">
        <v>2381</v>
      </c>
      <c r="T462" s="364" t="s">
        <v>2418</v>
      </c>
      <c r="U462" s="364" t="s">
        <v>2452</v>
      </c>
      <c r="V462" s="364" t="s">
        <v>2529</v>
      </c>
      <c r="W462" s="364" t="s">
        <v>157</v>
      </c>
      <c r="X462" s="364" t="s">
        <v>2645</v>
      </c>
      <c r="Y462" s="364" t="s">
        <v>2440</v>
      </c>
      <c r="Z462" s="364" t="s">
        <v>2335</v>
      </c>
      <c r="AA462" s="364" t="s">
        <v>2337</v>
      </c>
      <c r="AB462" s="364" t="s">
        <v>2340</v>
      </c>
      <c r="AC462" s="364" t="s">
        <v>2421</v>
      </c>
      <c r="AD462" s="364" t="s">
        <v>2422</v>
      </c>
      <c r="AE462" s="364" t="s">
        <v>2344</v>
      </c>
      <c r="AF462" s="364" t="s">
        <v>2424</v>
      </c>
      <c r="AG462" s="364" t="s">
        <v>2592</v>
      </c>
      <c r="AH462" s="364" t="s">
        <v>2463</v>
      </c>
      <c r="AI462" s="364" t="s">
        <v>2350</v>
      </c>
      <c r="AJ462" s="364" t="s">
        <v>2425</v>
      </c>
      <c r="AK462" s="364" t="s">
        <v>2426</v>
      </c>
      <c r="AL462" s="364" t="s">
        <v>2428</v>
      </c>
      <c r="AM462" s="364"/>
      <c r="AN462" s="364"/>
      <c r="AO462" s="364"/>
      <c r="AP462" s="364"/>
      <c r="AQ462" s="364"/>
      <c r="AR462" s="364"/>
      <c r="AS462" s="364"/>
      <c r="AT462" s="364"/>
      <c r="AU462" s="364"/>
      <c r="AV462" s="364"/>
      <c r="AW462" s="364"/>
      <c r="AX462" s="364"/>
      <c r="AY462" s="364"/>
      <c r="AZ462" s="364"/>
      <c r="BA462" s="364"/>
      <c r="BB462" s="364"/>
      <c r="BC462" s="364"/>
      <c r="BD462" s="364"/>
      <c r="BE462" s="364"/>
      <c r="BF462" s="364"/>
      <c r="BG462" s="364"/>
      <c r="BH462" s="364"/>
      <c r="BI462" s="364"/>
      <c r="BJ462" s="364"/>
      <c r="BK462" s="364"/>
      <c r="BL462" s="364"/>
      <c r="BM462" s="364"/>
      <c r="BN462" s="364"/>
      <c r="BO462" s="364"/>
      <c r="BP462" s="364"/>
      <c r="BQ462" s="364"/>
      <c r="BR462" s="364"/>
      <c r="BS462" s="364"/>
      <c r="BT462" s="364"/>
      <c r="BU462" s="364"/>
      <c r="BV462" s="364"/>
      <c r="BW462" s="364"/>
      <c r="BX462" s="364"/>
      <c r="BY462" s="364"/>
      <c r="BZ462" s="364"/>
      <c r="CA462" s="364"/>
      <c r="CB462" s="364"/>
      <c r="CC462" s="364"/>
      <c r="CD462" s="364"/>
      <c r="CE462" s="364"/>
      <c r="CF462" s="364"/>
      <c r="CG462" s="364"/>
      <c r="CH462" s="364"/>
      <c r="CI462" s="364"/>
      <c r="CJ462" s="364"/>
      <c r="CK462" s="364"/>
      <c r="CL462" s="364"/>
      <c r="CM462" s="364"/>
      <c r="CN462" s="364"/>
      <c r="CO462" s="364"/>
      <c r="CP462" s="364"/>
      <c r="CQ462" s="364"/>
      <c r="CR462" s="364"/>
      <c r="CS462" s="364"/>
      <c r="CT462" s="364"/>
      <c r="CU462" s="364"/>
      <c r="CV462" s="364"/>
      <c r="CW462" s="364"/>
      <c r="CX462" s="364"/>
      <c r="CY462" s="364"/>
      <c r="CZ462" s="364"/>
      <c r="DA462" s="364"/>
      <c r="DB462" s="364"/>
      <c r="DC462" s="364"/>
      <c r="DD462" s="364"/>
      <c r="DE462" s="364"/>
      <c r="DF462" s="364"/>
      <c r="DG462" s="364"/>
      <c r="DH462" s="364"/>
      <c r="DI462" s="364"/>
      <c r="DJ462" s="364"/>
      <c r="DK462" s="364"/>
      <c r="DL462" s="364"/>
      <c r="DM462" s="364"/>
      <c r="DN462" s="364"/>
      <c r="DO462" s="364"/>
      <c r="DP462" s="364"/>
      <c r="DQ462" s="364"/>
      <c r="DR462" s="364"/>
      <c r="DS462" s="364"/>
      <c r="DT462" s="364"/>
      <c r="DU462" s="364"/>
      <c r="DV462" s="364"/>
      <c r="DW462" s="364"/>
      <c r="DX462" s="364"/>
      <c r="DY462" s="364"/>
      <c r="DZ462" s="364"/>
      <c r="EA462" s="364"/>
      <c r="EB462" s="364"/>
      <c r="EC462" s="364"/>
      <c r="ED462" s="364"/>
      <c r="EE462" s="364"/>
      <c r="EF462" s="364"/>
      <c r="EG462" s="364"/>
      <c r="EH462" s="364"/>
      <c r="EI462" s="364"/>
      <c r="EJ462" s="364"/>
      <c r="EK462" s="364"/>
      <c r="EL462" s="364"/>
      <c r="EM462" s="364"/>
      <c r="EN462" s="364"/>
      <c r="EO462" s="364"/>
      <c r="EP462" s="364"/>
      <c r="EQ462" s="364"/>
      <c r="ER462" s="364"/>
      <c r="ES462" s="364"/>
      <c r="ET462" s="364"/>
      <c r="EU462" s="364"/>
      <c r="EV462" s="364"/>
      <c r="EW462" s="364"/>
      <c r="EX462" s="364"/>
      <c r="EY462" s="364"/>
      <c r="EZ462" s="364"/>
      <c r="FA462" s="364"/>
      <c r="FB462" s="364"/>
      <c r="FC462" s="364"/>
      <c r="FD462" s="364"/>
      <c r="FE462" s="364"/>
      <c r="FF462" s="364"/>
      <c r="FG462" s="364"/>
      <c r="FH462" s="364"/>
      <c r="FI462" s="364"/>
      <c r="FJ462" s="364"/>
      <c r="FK462" s="364"/>
    </row>
    <row r="463" customFormat="false" ht="15.75" hidden="false" customHeight="false" outlineLevel="0" collapsed="false">
      <c r="A463" s="364" t="n">
        <v>920</v>
      </c>
      <c r="B463" s="364" t="n">
        <f aca="false">COUNTA(D463:FK463)</f>
        <v>50</v>
      </c>
      <c r="C463" s="364" t="s">
        <v>2234</v>
      </c>
      <c r="D463" s="364" t="s">
        <v>2405</v>
      </c>
      <c r="E463" s="364" t="s">
        <v>2313</v>
      </c>
      <c r="F463" s="364" t="s">
        <v>2601</v>
      </c>
      <c r="G463" s="364" t="s">
        <v>2359</v>
      </c>
      <c r="H463" s="364" t="s">
        <v>2360</v>
      </c>
      <c r="I463" s="364" t="s">
        <v>2361</v>
      </c>
      <c r="J463" s="364" t="s">
        <v>2362</v>
      </c>
      <c r="K463" s="364" t="s">
        <v>2634</v>
      </c>
      <c r="L463" s="364" t="s">
        <v>2363</v>
      </c>
      <c r="M463" s="364" t="s">
        <v>2317</v>
      </c>
      <c r="N463" s="364" t="s">
        <v>2318</v>
      </c>
      <c r="O463" s="364" t="s">
        <v>2448</v>
      </c>
      <c r="P463" s="364" t="s">
        <v>2319</v>
      </c>
      <c r="Q463" s="364" t="s">
        <v>2632</v>
      </c>
      <c r="R463" s="364" t="s">
        <v>2320</v>
      </c>
      <c r="S463" s="364" t="s">
        <v>2366</v>
      </c>
      <c r="T463" s="364" t="s">
        <v>2373</v>
      </c>
      <c r="U463" s="364" t="s">
        <v>2375</v>
      </c>
      <c r="V463" s="364" t="s">
        <v>2376</v>
      </c>
      <c r="W463" s="364" t="s">
        <v>2324</v>
      </c>
      <c r="X463" s="364" t="s">
        <v>2325</v>
      </c>
      <c r="Y463" s="364" t="s">
        <v>2378</v>
      </c>
      <c r="Z463" s="364" t="s">
        <v>2328</v>
      </c>
      <c r="AA463" s="364" t="s">
        <v>2459</v>
      </c>
      <c r="AB463" s="364" t="s">
        <v>2329</v>
      </c>
      <c r="AC463" s="364" t="s">
        <v>2521</v>
      </c>
      <c r="AD463" s="364" t="s">
        <v>2415</v>
      </c>
      <c r="AE463" s="364" t="s">
        <v>2417</v>
      </c>
      <c r="AF463" s="364" t="s">
        <v>2332</v>
      </c>
      <c r="AG463" s="364" t="s">
        <v>2526</v>
      </c>
      <c r="AH463" s="364" t="s">
        <v>2441</v>
      </c>
      <c r="AI463" s="364" t="s">
        <v>2337</v>
      </c>
      <c r="AJ463" s="364" t="s">
        <v>2388</v>
      </c>
      <c r="AK463" s="364" t="s">
        <v>2340</v>
      </c>
      <c r="AL463" s="364" t="s">
        <v>2442</v>
      </c>
      <c r="AM463" s="364" t="s">
        <v>2392</v>
      </c>
      <c r="AN463" s="364" t="s">
        <v>2470</v>
      </c>
      <c r="AO463" s="364" t="s">
        <v>2422</v>
      </c>
      <c r="AP463" s="364" t="s">
        <v>2472</v>
      </c>
      <c r="AQ463" s="364" t="s">
        <v>2344</v>
      </c>
      <c r="AR463" s="364" t="s">
        <v>2345</v>
      </c>
      <c r="AS463" s="364" t="s">
        <v>2396</v>
      </c>
      <c r="AT463" s="364" t="s">
        <v>2346</v>
      </c>
      <c r="AU463" s="364" t="s">
        <v>2511</v>
      </c>
      <c r="AV463" s="364" t="s">
        <v>2424</v>
      </c>
      <c r="AW463" s="364" t="s">
        <v>2475</v>
      </c>
      <c r="AX463" s="364" t="s">
        <v>2476</v>
      </c>
      <c r="AY463" s="364" t="s">
        <v>2400</v>
      </c>
      <c r="AZ463" s="364" t="s">
        <v>2463</v>
      </c>
      <c r="BA463" s="364" t="s">
        <v>2428</v>
      </c>
      <c r="BB463" s="364"/>
      <c r="BC463" s="364"/>
      <c r="BD463" s="364"/>
      <c r="BE463" s="364"/>
      <c r="BF463" s="364"/>
      <c r="BG463" s="364"/>
      <c r="BH463" s="364"/>
      <c r="BI463" s="364"/>
      <c r="BJ463" s="364"/>
      <c r="BK463" s="364"/>
      <c r="BL463" s="364"/>
      <c r="BM463" s="364"/>
      <c r="BN463" s="364"/>
      <c r="BO463" s="364"/>
      <c r="BP463" s="364"/>
      <c r="BQ463" s="364"/>
      <c r="BR463" s="364"/>
      <c r="BS463" s="364"/>
      <c r="BT463" s="364"/>
      <c r="BU463" s="364"/>
      <c r="BV463" s="364"/>
      <c r="BW463" s="364"/>
      <c r="BX463" s="364"/>
      <c r="BY463" s="364"/>
      <c r="BZ463" s="364"/>
      <c r="CA463" s="364"/>
      <c r="CB463" s="364"/>
      <c r="CC463" s="364"/>
      <c r="CD463" s="364"/>
      <c r="CE463" s="364"/>
      <c r="CF463" s="364"/>
      <c r="CG463" s="364"/>
      <c r="CH463" s="364"/>
      <c r="CI463" s="364"/>
      <c r="CJ463" s="364"/>
      <c r="CK463" s="364"/>
      <c r="CL463" s="364"/>
      <c r="CM463" s="364"/>
      <c r="CN463" s="364"/>
      <c r="CO463" s="364"/>
      <c r="CP463" s="364"/>
      <c r="CQ463" s="364"/>
      <c r="CR463" s="364"/>
      <c r="CS463" s="364"/>
      <c r="CT463" s="364"/>
      <c r="CU463" s="364"/>
      <c r="CV463" s="364"/>
      <c r="CW463" s="364"/>
      <c r="CX463" s="364"/>
      <c r="CY463" s="364"/>
      <c r="CZ463" s="364"/>
      <c r="DA463" s="364"/>
      <c r="DB463" s="364"/>
      <c r="DC463" s="364"/>
      <c r="DD463" s="364"/>
      <c r="DE463" s="364"/>
      <c r="DF463" s="364"/>
      <c r="DG463" s="364"/>
      <c r="DH463" s="364"/>
      <c r="DI463" s="364"/>
      <c r="DJ463" s="364"/>
      <c r="DK463" s="364"/>
      <c r="DL463" s="364"/>
      <c r="DM463" s="364"/>
      <c r="DN463" s="364"/>
      <c r="DO463" s="364"/>
      <c r="DP463" s="364"/>
      <c r="DQ463" s="364"/>
      <c r="DR463" s="364"/>
      <c r="DS463" s="364"/>
      <c r="DT463" s="364"/>
      <c r="DU463" s="364"/>
      <c r="DV463" s="364"/>
      <c r="DW463" s="364"/>
      <c r="DX463" s="364"/>
      <c r="DY463" s="364"/>
      <c r="DZ463" s="364"/>
      <c r="EA463" s="364"/>
      <c r="EB463" s="364"/>
      <c r="EC463" s="364"/>
      <c r="ED463" s="364"/>
      <c r="EE463" s="364"/>
      <c r="EF463" s="364"/>
      <c r="EG463" s="364"/>
      <c r="EH463" s="364"/>
      <c r="EI463" s="364"/>
      <c r="EJ463" s="364"/>
      <c r="EK463" s="364"/>
      <c r="EL463" s="364"/>
      <c r="EM463" s="364"/>
      <c r="EN463" s="364"/>
      <c r="EO463" s="364"/>
      <c r="EP463" s="364"/>
      <c r="EQ463" s="364"/>
      <c r="ER463" s="364"/>
      <c r="ES463" s="364"/>
      <c r="ET463" s="364"/>
      <c r="EU463" s="364"/>
      <c r="EV463" s="364"/>
      <c r="EW463" s="364"/>
      <c r="EX463" s="364"/>
      <c r="EY463" s="364"/>
      <c r="EZ463" s="364"/>
      <c r="FA463" s="364"/>
      <c r="FB463" s="364"/>
      <c r="FC463" s="364"/>
      <c r="FD463" s="364"/>
      <c r="FE463" s="364"/>
      <c r="FF463" s="364"/>
      <c r="FG463" s="364"/>
      <c r="FH463" s="364"/>
      <c r="FI463" s="364"/>
      <c r="FJ463" s="364"/>
      <c r="FK463" s="364"/>
    </row>
    <row r="464" customFormat="false" ht="15.75" hidden="false" customHeight="false" outlineLevel="0" collapsed="false">
      <c r="A464" s="364" t="n">
        <v>921</v>
      </c>
      <c r="B464" s="364" t="n">
        <f aca="false">COUNTA(D464:FK464)</f>
        <v>38</v>
      </c>
      <c r="C464" s="364" t="s">
        <v>2236</v>
      </c>
      <c r="D464" s="364" t="s">
        <v>2527</v>
      </c>
      <c r="E464" s="364" t="s">
        <v>2352</v>
      </c>
      <c r="F464" s="364" t="s">
        <v>2738</v>
      </c>
      <c r="G464" s="364" t="s">
        <v>2528</v>
      </c>
      <c r="H464" s="364" t="s">
        <v>2356</v>
      </c>
      <c r="I464" s="364" t="s">
        <v>2357</v>
      </c>
      <c r="J464" s="364" t="s">
        <v>2313</v>
      </c>
      <c r="K464" s="364" t="s">
        <v>2317</v>
      </c>
      <c r="L464" s="364" t="s">
        <v>2319</v>
      </c>
      <c r="M464" s="364" t="s">
        <v>2320</v>
      </c>
      <c r="N464" s="364" t="s">
        <v>2411</v>
      </c>
      <c r="O464" s="364" t="s">
        <v>2323</v>
      </c>
      <c r="P464" s="364" t="s">
        <v>2324</v>
      </c>
      <c r="Q464" s="364" t="s">
        <v>2325</v>
      </c>
      <c r="R464" s="364" t="s">
        <v>2412</v>
      </c>
      <c r="S464" s="364" t="s">
        <v>2563</v>
      </c>
      <c r="T464" s="364" t="s">
        <v>2328</v>
      </c>
      <c r="U464" s="364" t="s">
        <v>2329</v>
      </c>
      <c r="V464" s="364" t="s">
        <v>2506</v>
      </c>
      <c r="W464" s="364" t="s">
        <v>2330</v>
      </c>
      <c r="X464" s="364" t="s">
        <v>2331</v>
      </c>
      <c r="Y464" s="364" t="s">
        <v>2452</v>
      </c>
      <c r="Z464" s="364" t="s">
        <v>2656</v>
      </c>
      <c r="AA464" s="364" t="s">
        <v>2616</v>
      </c>
      <c r="AB464" s="364" t="s">
        <v>2419</v>
      </c>
      <c r="AC464" s="364" t="s">
        <v>2337</v>
      </c>
      <c r="AD464" s="364" t="s">
        <v>2388</v>
      </c>
      <c r="AE464" s="364" t="s">
        <v>2340</v>
      </c>
      <c r="AF464" s="364" t="s">
        <v>2442</v>
      </c>
      <c r="AG464" s="364" t="s">
        <v>2392</v>
      </c>
      <c r="AH464" s="364" t="s">
        <v>2591</v>
      </c>
      <c r="AI464" s="364" t="s">
        <v>2471</v>
      </c>
      <c r="AJ464" s="364" t="s">
        <v>2344</v>
      </c>
      <c r="AK464" s="364" t="s">
        <v>2345</v>
      </c>
      <c r="AL464" s="364" t="s">
        <v>2424</v>
      </c>
      <c r="AM464" s="364" t="s">
        <v>2445</v>
      </c>
      <c r="AN464" s="364" t="s">
        <v>2429</v>
      </c>
      <c r="AO464" s="364" t="s">
        <v>2489</v>
      </c>
      <c r="AP464" s="364"/>
      <c r="AQ464" s="364"/>
      <c r="AR464" s="364"/>
      <c r="AS464" s="364"/>
      <c r="AT464" s="364"/>
      <c r="AU464" s="364"/>
      <c r="AV464" s="364"/>
      <c r="AW464" s="364"/>
      <c r="AX464" s="364"/>
      <c r="AY464" s="364"/>
      <c r="AZ464" s="364"/>
      <c r="BA464" s="364"/>
      <c r="BB464" s="364"/>
      <c r="BC464" s="364"/>
      <c r="BD464" s="364"/>
      <c r="BE464" s="364"/>
      <c r="BF464" s="364"/>
      <c r="BG464" s="364"/>
      <c r="BH464" s="364"/>
      <c r="BI464" s="364"/>
      <c r="BJ464" s="364"/>
      <c r="BK464" s="364"/>
      <c r="BL464" s="364"/>
      <c r="BM464" s="364"/>
      <c r="BN464" s="364"/>
      <c r="BO464" s="364"/>
      <c r="BP464" s="364"/>
      <c r="BQ464" s="364"/>
      <c r="BR464" s="364"/>
      <c r="BS464" s="364"/>
      <c r="BT464" s="364"/>
      <c r="BU464" s="364"/>
      <c r="BV464" s="364"/>
      <c r="BW464" s="364"/>
      <c r="BX464" s="364"/>
      <c r="BY464" s="364"/>
      <c r="BZ464" s="364"/>
      <c r="CA464" s="364"/>
      <c r="CB464" s="364"/>
      <c r="CC464" s="364"/>
      <c r="CD464" s="364"/>
      <c r="CE464" s="364"/>
      <c r="CF464" s="364"/>
      <c r="CG464" s="364"/>
      <c r="CH464" s="364"/>
      <c r="CI464" s="364"/>
      <c r="CJ464" s="364"/>
      <c r="CK464" s="364"/>
      <c r="CL464" s="364"/>
      <c r="CM464" s="364"/>
      <c r="CN464" s="364"/>
      <c r="CO464" s="364"/>
      <c r="CP464" s="364"/>
      <c r="CQ464" s="364"/>
      <c r="CR464" s="364"/>
      <c r="CS464" s="364"/>
      <c r="CT464" s="364"/>
      <c r="CU464" s="364"/>
      <c r="CV464" s="364"/>
      <c r="CW464" s="364"/>
      <c r="CX464" s="364"/>
      <c r="CY464" s="364"/>
      <c r="CZ464" s="364"/>
      <c r="DA464" s="364"/>
      <c r="DB464" s="364"/>
      <c r="DC464" s="364"/>
      <c r="DD464" s="364"/>
      <c r="DE464" s="364"/>
      <c r="DF464" s="364"/>
      <c r="DG464" s="364"/>
      <c r="DH464" s="364"/>
      <c r="DI464" s="364"/>
      <c r="DJ464" s="364"/>
      <c r="DK464" s="364"/>
      <c r="DL464" s="364"/>
      <c r="DM464" s="364"/>
      <c r="DN464" s="364"/>
      <c r="DO464" s="364"/>
      <c r="DP464" s="364"/>
      <c r="DQ464" s="364"/>
      <c r="DR464" s="364"/>
      <c r="DS464" s="364"/>
      <c r="DT464" s="364"/>
      <c r="DU464" s="364"/>
      <c r="DV464" s="364"/>
      <c r="DW464" s="364"/>
      <c r="DX464" s="364"/>
      <c r="DY464" s="364"/>
      <c r="DZ464" s="364"/>
      <c r="EA464" s="364"/>
      <c r="EB464" s="364"/>
      <c r="EC464" s="364"/>
      <c r="ED464" s="364"/>
      <c r="EE464" s="364"/>
      <c r="EF464" s="364"/>
      <c r="EG464" s="364"/>
      <c r="EH464" s="364"/>
      <c r="EI464" s="364"/>
      <c r="EJ464" s="364"/>
      <c r="EK464" s="364"/>
      <c r="EL464" s="364"/>
      <c r="EM464" s="364"/>
      <c r="EN464" s="364"/>
      <c r="EO464" s="364"/>
      <c r="EP464" s="364"/>
      <c r="EQ464" s="364"/>
      <c r="ER464" s="364"/>
      <c r="ES464" s="364"/>
      <c r="ET464" s="364"/>
      <c r="EU464" s="364"/>
      <c r="EV464" s="364"/>
      <c r="EW464" s="364"/>
      <c r="EX464" s="364"/>
      <c r="EY464" s="364"/>
      <c r="EZ464" s="364"/>
      <c r="FA464" s="364"/>
      <c r="FB464" s="364"/>
      <c r="FC464" s="364"/>
      <c r="FD464" s="364"/>
      <c r="FE464" s="364"/>
      <c r="FF464" s="364"/>
      <c r="FG464" s="364"/>
      <c r="FH464" s="364"/>
      <c r="FI464" s="364"/>
      <c r="FJ464" s="364"/>
      <c r="FK464" s="364"/>
    </row>
    <row r="465" customFormat="false" ht="15.75" hidden="false" customHeight="false" outlineLevel="0" collapsed="false">
      <c r="A465" s="364" t="n">
        <v>924</v>
      </c>
      <c r="B465" s="364" t="n">
        <f aca="false">COUNTA(D465:FK465)</f>
        <v>51</v>
      </c>
      <c r="C465" s="364" t="s">
        <v>2244</v>
      </c>
      <c r="D465" s="364" t="s">
        <v>2352</v>
      </c>
      <c r="E465" s="364" t="s">
        <v>2402</v>
      </c>
      <c r="F465" s="364" t="s">
        <v>2310</v>
      </c>
      <c r="G465" s="364" t="s">
        <v>2356</v>
      </c>
      <c r="H465" s="364" t="s">
        <v>2357</v>
      </c>
      <c r="I465" s="364" t="s">
        <v>2313</v>
      </c>
      <c r="J465" s="364" t="s">
        <v>2739</v>
      </c>
      <c r="K465" s="364" t="s">
        <v>2541</v>
      </c>
      <c r="L465" s="364" t="s">
        <v>2601</v>
      </c>
      <c r="M465" s="364" t="s">
        <v>2360</v>
      </c>
      <c r="N465" s="364" t="s">
        <v>2361</v>
      </c>
      <c r="O465" s="364" t="s">
        <v>2363</v>
      </c>
      <c r="P465" s="364" t="s">
        <v>2520</v>
      </c>
      <c r="Q465" s="364" t="s">
        <v>2543</v>
      </c>
      <c r="R465" s="364" t="s">
        <v>2317</v>
      </c>
      <c r="S465" s="364" t="s">
        <v>2318</v>
      </c>
      <c r="T465" s="364" t="s">
        <v>2448</v>
      </c>
      <c r="U465" s="364" t="s">
        <v>2320</v>
      </c>
      <c r="V465" s="364" t="s">
        <v>2449</v>
      </c>
      <c r="W465" s="364" t="s">
        <v>2369</v>
      </c>
      <c r="X465" s="364" t="s">
        <v>2373</v>
      </c>
      <c r="Y465" s="364" t="s">
        <v>2411</v>
      </c>
      <c r="Z465" s="364" t="s">
        <v>2376</v>
      </c>
      <c r="AA465" s="364" t="s">
        <v>2377</v>
      </c>
      <c r="AB465" s="364" t="s">
        <v>2324</v>
      </c>
      <c r="AC465" s="364" t="s">
        <v>2327</v>
      </c>
      <c r="AD465" s="364" t="s">
        <v>2328</v>
      </c>
      <c r="AE465" s="364" t="s">
        <v>2329</v>
      </c>
      <c r="AF465" s="364" t="s">
        <v>2521</v>
      </c>
      <c r="AG465" s="364" t="s">
        <v>2416</v>
      </c>
      <c r="AH465" s="364" t="s">
        <v>2506</v>
      </c>
      <c r="AI465" s="364" t="s">
        <v>2381</v>
      </c>
      <c r="AJ465" s="364" t="s">
        <v>2539</v>
      </c>
      <c r="AK465" s="364" t="s">
        <v>2332</v>
      </c>
      <c r="AL465" s="364" t="s">
        <v>2452</v>
      </c>
      <c r="AM465" s="364" t="s">
        <v>2454</v>
      </c>
      <c r="AN465" s="364" t="s">
        <v>2337</v>
      </c>
      <c r="AO465" s="364" t="s">
        <v>2388</v>
      </c>
      <c r="AP465" s="364" t="s">
        <v>2389</v>
      </c>
      <c r="AQ465" s="364" t="s">
        <v>2340</v>
      </c>
      <c r="AR465" s="364" t="s">
        <v>2392</v>
      </c>
      <c r="AS465" s="364" t="s">
        <v>2470</v>
      </c>
      <c r="AT465" s="364" t="s">
        <v>2613</v>
      </c>
      <c r="AU465" s="364" t="s">
        <v>2344</v>
      </c>
      <c r="AV465" s="364" t="s">
        <v>2346</v>
      </c>
      <c r="AW465" s="364" t="s">
        <v>2511</v>
      </c>
      <c r="AX465" s="364" t="s">
        <v>2348</v>
      </c>
      <c r="AY465" s="364" t="s">
        <v>2399</v>
      </c>
      <c r="AZ465" s="364" t="s">
        <v>2463</v>
      </c>
      <c r="BA465" s="364" t="s">
        <v>2428</v>
      </c>
      <c r="BB465" s="364" t="s">
        <v>2458</v>
      </c>
      <c r="BC465" s="364"/>
      <c r="BD465" s="364"/>
      <c r="BE465" s="364"/>
      <c r="BF465" s="364"/>
      <c r="BG465" s="364"/>
      <c r="BH465" s="364"/>
      <c r="BI465" s="364"/>
      <c r="BJ465" s="364"/>
      <c r="BK465" s="364"/>
      <c r="BL465" s="364"/>
      <c r="BM465" s="364"/>
      <c r="BN465" s="364"/>
      <c r="BO465" s="364"/>
      <c r="BP465" s="364"/>
      <c r="BQ465" s="364"/>
      <c r="BR465" s="364"/>
      <c r="BS465" s="364"/>
      <c r="BT465" s="364"/>
      <c r="BU465" s="364"/>
      <c r="BV465" s="364"/>
      <c r="BW465" s="364"/>
      <c r="BX465" s="364"/>
      <c r="BY465" s="364"/>
      <c r="BZ465" s="364"/>
      <c r="CA465" s="364"/>
      <c r="CB465" s="364"/>
      <c r="CC465" s="364"/>
      <c r="CD465" s="364"/>
      <c r="CE465" s="364"/>
      <c r="CF465" s="364"/>
      <c r="CG465" s="364"/>
      <c r="CH465" s="364"/>
      <c r="CI465" s="364"/>
      <c r="CJ465" s="364"/>
      <c r="CK465" s="364"/>
      <c r="CL465" s="364"/>
      <c r="CM465" s="364"/>
      <c r="CN465" s="364"/>
      <c r="CO465" s="364"/>
      <c r="CP465" s="364"/>
      <c r="CQ465" s="364"/>
      <c r="CR465" s="364"/>
      <c r="CS465" s="364"/>
      <c r="CT465" s="364"/>
      <c r="CU465" s="364"/>
      <c r="CV465" s="364"/>
      <c r="CW465" s="364"/>
      <c r="CX465" s="364"/>
      <c r="CY465" s="364"/>
      <c r="CZ465" s="364"/>
      <c r="DA465" s="364"/>
      <c r="DB465" s="364"/>
      <c r="DC465" s="364"/>
      <c r="DD465" s="364"/>
      <c r="DE465" s="364"/>
      <c r="DF465" s="364"/>
      <c r="DG465" s="364"/>
      <c r="DH465" s="364"/>
      <c r="DI465" s="364"/>
      <c r="DJ465" s="364"/>
      <c r="DK465" s="364"/>
      <c r="DL465" s="364"/>
      <c r="DM465" s="364"/>
      <c r="DN465" s="364"/>
      <c r="DO465" s="364"/>
      <c r="DP465" s="364"/>
      <c r="DQ465" s="364"/>
      <c r="DR465" s="364"/>
      <c r="DS465" s="364"/>
      <c r="DT465" s="364"/>
      <c r="DU465" s="364"/>
      <c r="DV465" s="364"/>
      <c r="DW465" s="364"/>
      <c r="DX465" s="364"/>
      <c r="DY465" s="364"/>
      <c r="DZ465" s="364"/>
      <c r="EA465" s="364"/>
      <c r="EB465" s="364"/>
      <c r="EC465" s="364"/>
      <c r="ED465" s="364"/>
      <c r="EE465" s="364"/>
      <c r="EF465" s="364"/>
      <c r="EG465" s="364"/>
      <c r="EH465" s="364"/>
      <c r="EI465" s="364"/>
      <c r="EJ465" s="364"/>
      <c r="EK465" s="364"/>
      <c r="EL465" s="364"/>
      <c r="EM465" s="364"/>
      <c r="EN465" s="364"/>
      <c r="EO465" s="364"/>
      <c r="EP465" s="364"/>
      <c r="EQ465" s="364"/>
      <c r="ER465" s="364"/>
      <c r="ES465" s="364"/>
      <c r="ET465" s="364"/>
      <c r="EU465" s="364"/>
      <c r="EV465" s="364"/>
      <c r="EW465" s="364"/>
      <c r="EX465" s="364"/>
      <c r="EY465" s="364"/>
      <c r="EZ465" s="364"/>
      <c r="FA465" s="364"/>
      <c r="FB465" s="364"/>
      <c r="FC465" s="364"/>
      <c r="FD465" s="364"/>
      <c r="FE465" s="364"/>
      <c r="FF465" s="364"/>
      <c r="FG465" s="364"/>
      <c r="FH465" s="364"/>
      <c r="FI465" s="364"/>
      <c r="FJ465" s="364"/>
      <c r="FK465" s="364"/>
    </row>
    <row r="466" customFormat="false" ht="15.75" hidden="false" customHeight="false" outlineLevel="0" collapsed="false">
      <c r="A466" s="364" t="n">
        <v>925</v>
      </c>
      <c r="B466" s="364" t="n">
        <f aca="false">COUNTA(D466:FK466)</f>
        <v>33</v>
      </c>
      <c r="C466" s="364" t="s">
        <v>2740</v>
      </c>
      <c r="D466" s="364" t="s">
        <v>2431</v>
      </c>
      <c r="E466" s="364" t="s">
        <v>2352</v>
      </c>
      <c r="F466" s="364" t="s">
        <v>2577</v>
      </c>
      <c r="G466" s="364" t="s">
        <v>2517</v>
      </c>
      <c r="H466" s="364" t="s">
        <v>2569</v>
      </c>
      <c r="I466" s="364" t="s">
        <v>2318</v>
      </c>
      <c r="J466" s="364" t="s">
        <v>2436</v>
      </c>
      <c r="K466" s="364" t="s">
        <v>2320</v>
      </c>
      <c r="L466" s="364" t="s">
        <v>2449</v>
      </c>
      <c r="M466" s="364" t="s">
        <v>2375</v>
      </c>
      <c r="N466" s="364" t="s">
        <v>2324</v>
      </c>
      <c r="O466" s="364" t="s">
        <v>2325</v>
      </c>
      <c r="P466" s="364" t="s">
        <v>2328</v>
      </c>
      <c r="Q466" s="364" t="s">
        <v>2329</v>
      </c>
      <c r="R466" s="364" t="s">
        <v>2521</v>
      </c>
      <c r="S466" s="364" t="s">
        <v>2506</v>
      </c>
      <c r="T466" s="364" t="s">
        <v>2741</v>
      </c>
      <c r="U466" s="364" t="s">
        <v>2461</v>
      </c>
      <c r="V466" s="364" t="s">
        <v>2340</v>
      </c>
      <c r="W466" s="364" t="s">
        <v>2470</v>
      </c>
      <c r="X466" s="364" t="s">
        <v>2462</v>
      </c>
      <c r="Y466" s="364" t="s">
        <v>2394</v>
      </c>
      <c r="Z466" s="364" t="s">
        <v>2344</v>
      </c>
      <c r="AA466" s="364" t="s">
        <v>2570</v>
      </c>
      <c r="AB466" s="364" t="s">
        <v>2396</v>
      </c>
      <c r="AC466" s="364" t="s">
        <v>2445</v>
      </c>
      <c r="AD466" s="364" t="s">
        <v>2475</v>
      </c>
      <c r="AE466" s="364" t="s">
        <v>2476</v>
      </c>
      <c r="AF466" s="364" t="s">
        <v>2399</v>
      </c>
      <c r="AG466" s="364" t="s">
        <v>2491</v>
      </c>
      <c r="AH466" s="364" t="s">
        <v>2446</v>
      </c>
      <c r="AI466" s="364" t="s">
        <v>2492</v>
      </c>
      <c r="AJ466" s="364" t="s">
        <v>2477</v>
      </c>
      <c r="AK466" s="364"/>
      <c r="AL466" s="364"/>
      <c r="AM466" s="364"/>
      <c r="AN466" s="364"/>
      <c r="AO466" s="364"/>
      <c r="AP466" s="364"/>
      <c r="AQ466" s="364"/>
      <c r="AR466" s="364"/>
      <c r="AS466" s="364"/>
      <c r="AT466" s="364"/>
      <c r="AU466" s="364"/>
      <c r="AV466" s="364"/>
      <c r="AW466" s="364"/>
      <c r="AX466" s="364"/>
      <c r="AY466" s="364"/>
      <c r="AZ466" s="364"/>
      <c r="BA466" s="364"/>
      <c r="BB466" s="364"/>
      <c r="BC466" s="364"/>
      <c r="BD466" s="364"/>
      <c r="BE466" s="364"/>
      <c r="BF466" s="364"/>
      <c r="BG466" s="364"/>
      <c r="BH466" s="364"/>
      <c r="BI466" s="364"/>
      <c r="BJ466" s="364"/>
      <c r="BK466" s="364"/>
      <c r="BL466" s="364"/>
      <c r="BM466" s="364"/>
      <c r="BN466" s="364"/>
      <c r="BO466" s="364"/>
      <c r="BP466" s="364"/>
      <c r="BQ466" s="364"/>
      <c r="BR466" s="364"/>
      <c r="BS466" s="364"/>
      <c r="BT466" s="364"/>
      <c r="BU466" s="364"/>
      <c r="BV466" s="364"/>
      <c r="BW466" s="364"/>
      <c r="BX466" s="364"/>
      <c r="BY466" s="364"/>
      <c r="BZ466" s="364"/>
      <c r="CA466" s="364"/>
      <c r="CB466" s="364"/>
      <c r="CC466" s="364"/>
      <c r="CD466" s="364"/>
      <c r="CE466" s="364"/>
      <c r="CF466" s="364"/>
      <c r="CG466" s="364"/>
      <c r="CH466" s="364"/>
      <c r="CI466" s="364"/>
      <c r="CJ466" s="364"/>
      <c r="CK466" s="364"/>
      <c r="CL466" s="364"/>
      <c r="CM466" s="364"/>
      <c r="CN466" s="364"/>
      <c r="CO466" s="364"/>
      <c r="CP466" s="364"/>
      <c r="CQ466" s="364"/>
      <c r="CR466" s="364"/>
      <c r="CS466" s="364"/>
      <c r="CT466" s="364"/>
      <c r="CU466" s="364"/>
      <c r="CV466" s="364"/>
      <c r="CW466" s="364"/>
      <c r="CX466" s="364"/>
      <c r="CY466" s="364"/>
      <c r="CZ466" s="364"/>
      <c r="DA466" s="364"/>
      <c r="DB466" s="364"/>
      <c r="DC466" s="364"/>
      <c r="DD466" s="364"/>
      <c r="DE466" s="364"/>
      <c r="DF466" s="364"/>
      <c r="DG466" s="364"/>
      <c r="DH466" s="364"/>
      <c r="DI466" s="364"/>
      <c r="DJ466" s="364"/>
      <c r="DK466" s="364"/>
      <c r="DL466" s="364"/>
      <c r="DM466" s="364"/>
      <c r="DN466" s="364"/>
      <c r="DO466" s="364"/>
      <c r="DP466" s="364"/>
      <c r="DQ466" s="364"/>
      <c r="DR466" s="364"/>
      <c r="DS466" s="364"/>
      <c r="DT466" s="364"/>
      <c r="DU466" s="364"/>
      <c r="DV466" s="364"/>
      <c r="DW466" s="364"/>
      <c r="DX466" s="364"/>
      <c r="DY466" s="364"/>
      <c r="DZ466" s="364"/>
      <c r="EA466" s="364"/>
      <c r="EB466" s="364"/>
      <c r="EC466" s="364"/>
      <c r="ED466" s="364"/>
      <c r="EE466" s="364"/>
      <c r="EF466" s="364"/>
      <c r="EG466" s="364"/>
      <c r="EH466" s="364"/>
      <c r="EI466" s="364"/>
      <c r="EJ466" s="364"/>
      <c r="EK466" s="364"/>
      <c r="EL466" s="364"/>
      <c r="EM466" s="364"/>
      <c r="EN466" s="364"/>
      <c r="EO466" s="364"/>
      <c r="EP466" s="364"/>
      <c r="EQ466" s="364"/>
      <c r="ER466" s="364"/>
      <c r="ES466" s="364"/>
      <c r="ET466" s="364"/>
      <c r="EU466" s="364"/>
      <c r="EV466" s="364"/>
      <c r="EW466" s="364"/>
      <c r="EX466" s="364"/>
      <c r="EY466" s="364"/>
      <c r="EZ466" s="364"/>
      <c r="FA466" s="364"/>
      <c r="FB466" s="364"/>
      <c r="FC466" s="364"/>
      <c r="FD466" s="364"/>
      <c r="FE466" s="364"/>
      <c r="FF466" s="364"/>
      <c r="FG466" s="364"/>
      <c r="FH466" s="364"/>
      <c r="FI466" s="364"/>
      <c r="FJ466" s="364"/>
      <c r="FK466" s="364"/>
    </row>
    <row r="467" customFormat="false" ht="15.75" hidden="false" customHeight="false" outlineLevel="0" collapsed="false">
      <c r="A467" s="364" t="n">
        <v>926</v>
      </c>
      <c r="B467" s="364" t="n">
        <f aca="false">COUNTA(D467:FK467)</f>
        <v>26</v>
      </c>
      <c r="C467" s="364" t="s">
        <v>2742</v>
      </c>
      <c r="D467" s="364" t="s">
        <v>2528</v>
      </c>
      <c r="E467" s="364" t="s">
        <v>2464</v>
      </c>
      <c r="F467" s="364" t="s">
        <v>2434</v>
      </c>
      <c r="G467" s="364" t="s">
        <v>2517</v>
      </c>
      <c r="H467" s="364" t="s">
        <v>2624</v>
      </c>
      <c r="I467" s="364" t="s">
        <v>2318</v>
      </c>
      <c r="J467" s="364" t="s">
        <v>2319</v>
      </c>
      <c r="K467" s="364" t="s">
        <v>2632</v>
      </c>
      <c r="L467" s="364" t="s">
        <v>2320</v>
      </c>
      <c r="M467" s="364" t="s">
        <v>2376</v>
      </c>
      <c r="N467" s="364" t="s">
        <v>2324</v>
      </c>
      <c r="O467" s="364" t="s">
        <v>2325</v>
      </c>
      <c r="P467" s="364" t="s">
        <v>2328</v>
      </c>
      <c r="Q467" s="364" t="s">
        <v>2329</v>
      </c>
      <c r="R467" s="364" t="s">
        <v>2638</v>
      </c>
      <c r="S467" s="364" t="s">
        <v>2741</v>
      </c>
      <c r="T467" s="364" t="s">
        <v>2439</v>
      </c>
      <c r="U467" s="364" t="s">
        <v>157</v>
      </c>
      <c r="V467" s="364" t="s">
        <v>2495</v>
      </c>
      <c r="W467" s="364" t="s">
        <v>2440</v>
      </c>
      <c r="X467" s="364" t="s">
        <v>2340</v>
      </c>
      <c r="Y467" s="364" t="s">
        <v>2442</v>
      </c>
      <c r="Z467" s="364" t="s">
        <v>2344</v>
      </c>
      <c r="AA467" s="364" t="s">
        <v>2445</v>
      </c>
      <c r="AB467" s="364" t="s">
        <v>2475</v>
      </c>
      <c r="AC467" s="364" t="s">
        <v>2476</v>
      </c>
      <c r="AD467" s="364"/>
      <c r="AE467" s="364"/>
      <c r="AF467" s="364"/>
      <c r="AG467" s="364"/>
      <c r="AH467" s="364"/>
      <c r="AI467" s="364"/>
      <c r="AJ467" s="364"/>
      <c r="AK467" s="364"/>
      <c r="AL467" s="364"/>
      <c r="AM467" s="364"/>
      <c r="AN467" s="364"/>
      <c r="AO467" s="364"/>
      <c r="AP467" s="364"/>
      <c r="AQ467" s="364"/>
      <c r="AR467" s="364"/>
      <c r="AS467" s="364"/>
      <c r="AT467" s="364"/>
      <c r="AU467" s="364"/>
      <c r="AV467" s="364"/>
      <c r="AW467" s="364"/>
      <c r="AX467" s="364"/>
      <c r="AY467" s="364"/>
      <c r="AZ467" s="364"/>
      <c r="BA467" s="364"/>
      <c r="BB467" s="364"/>
      <c r="BC467" s="364"/>
      <c r="BD467" s="364"/>
      <c r="BE467" s="364"/>
      <c r="BF467" s="364"/>
      <c r="BG467" s="364"/>
      <c r="BH467" s="364"/>
      <c r="BI467" s="364"/>
      <c r="BJ467" s="364"/>
      <c r="BK467" s="364"/>
      <c r="BL467" s="364"/>
      <c r="BM467" s="364"/>
      <c r="BN467" s="364"/>
      <c r="BO467" s="364"/>
      <c r="BP467" s="364"/>
      <c r="BQ467" s="364"/>
      <c r="BR467" s="364"/>
      <c r="BS467" s="364"/>
      <c r="BT467" s="364"/>
      <c r="BU467" s="364"/>
      <c r="BV467" s="364"/>
      <c r="BW467" s="364"/>
      <c r="BX467" s="364"/>
      <c r="BY467" s="364"/>
      <c r="BZ467" s="364"/>
      <c r="CA467" s="364"/>
      <c r="CB467" s="364"/>
      <c r="CC467" s="364"/>
      <c r="CD467" s="364"/>
      <c r="CE467" s="364"/>
      <c r="CF467" s="364"/>
      <c r="CG467" s="364"/>
      <c r="CH467" s="364"/>
      <c r="CI467" s="364"/>
      <c r="CJ467" s="364"/>
      <c r="CK467" s="364"/>
      <c r="CL467" s="364"/>
      <c r="CM467" s="364"/>
      <c r="CN467" s="364"/>
      <c r="CO467" s="364"/>
      <c r="CP467" s="364"/>
      <c r="CQ467" s="364"/>
      <c r="CR467" s="364"/>
      <c r="CS467" s="364"/>
      <c r="CT467" s="364"/>
      <c r="CU467" s="364"/>
      <c r="CV467" s="364"/>
      <c r="CW467" s="364"/>
      <c r="CX467" s="364"/>
      <c r="CY467" s="364"/>
      <c r="CZ467" s="364"/>
      <c r="DA467" s="364"/>
      <c r="DB467" s="364"/>
      <c r="DC467" s="364"/>
      <c r="DD467" s="364"/>
      <c r="DE467" s="364"/>
      <c r="DF467" s="364"/>
      <c r="DG467" s="364"/>
      <c r="DH467" s="364"/>
      <c r="DI467" s="364"/>
      <c r="DJ467" s="364"/>
      <c r="DK467" s="364"/>
      <c r="DL467" s="364"/>
      <c r="DM467" s="364"/>
      <c r="DN467" s="364"/>
      <c r="DO467" s="364"/>
      <c r="DP467" s="364"/>
      <c r="DQ467" s="364"/>
      <c r="DR467" s="364"/>
      <c r="DS467" s="364"/>
      <c r="DT467" s="364"/>
      <c r="DU467" s="364"/>
      <c r="DV467" s="364"/>
      <c r="DW467" s="364"/>
      <c r="DX467" s="364"/>
      <c r="DY467" s="364"/>
      <c r="DZ467" s="364"/>
      <c r="EA467" s="364"/>
      <c r="EB467" s="364"/>
      <c r="EC467" s="364"/>
      <c r="ED467" s="364"/>
      <c r="EE467" s="364"/>
      <c r="EF467" s="364"/>
      <c r="EG467" s="364"/>
      <c r="EH467" s="364"/>
      <c r="EI467" s="364"/>
      <c r="EJ467" s="364"/>
      <c r="EK467" s="364"/>
      <c r="EL467" s="364"/>
      <c r="EM467" s="364"/>
      <c r="EN467" s="364"/>
      <c r="EO467" s="364"/>
      <c r="EP467" s="364"/>
      <c r="EQ467" s="364"/>
      <c r="ER467" s="364"/>
      <c r="ES467" s="364"/>
      <c r="ET467" s="364"/>
      <c r="EU467" s="364"/>
      <c r="EV467" s="364"/>
      <c r="EW467" s="364"/>
      <c r="EX467" s="364"/>
      <c r="EY467" s="364"/>
      <c r="EZ467" s="364"/>
      <c r="FA467" s="364"/>
      <c r="FB467" s="364"/>
      <c r="FC467" s="364"/>
      <c r="FD467" s="364"/>
      <c r="FE467" s="364"/>
      <c r="FF467" s="364"/>
      <c r="FG467" s="364"/>
      <c r="FH467" s="364"/>
      <c r="FI467" s="364"/>
      <c r="FJ467" s="364"/>
      <c r="FK467" s="364"/>
    </row>
    <row r="468" customFormat="false" ht="15.75" hidden="false" customHeight="false" outlineLevel="0" collapsed="false">
      <c r="A468" s="364" t="n">
        <v>927</v>
      </c>
      <c r="B468" s="364" t="n">
        <f aca="false">COUNTA(D468:FK468)</f>
        <v>34</v>
      </c>
      <c r="C468" s="364" t="s">
        <v>2743</v>
      </c>
      <c r="D468" s="364" t="s">
        <v>2356</v>
      </c>
      <c r="E468" s="364" t="s">
        <v>2357</v>
      </c>
      <c r="F468" s="364" t="s">
        <v>2517</v>
      </c>
      <c r="G468" s="364" t="s">
        <v>2543</v>
      </c>
      <c r="H468" s="364" t="s">
        <v>2318</v>
      </c>
      <c r="I468" s="364" t="s">
        <v>2319</v>
      </c>
      <c r="J468" s="364" t="s">
        <v>2320</v>
      </c>
      <c r="K468" s="364" t="s">
        <v>2449</v>
      </c>
      <c r="L468" s="364" t="s">
        <v>2376</v>
      </c>
      <c r="M468" s="364" t="s">
        <v>2377</v>
      </c>
      <c r="N468" s="364" t="s">
        <v>2323</v>
      </c>
      <c r="O468" s="364" t="s">
        <v>2324</v>
      </c>
      <c r="P468" s="364" t="s">
        <v>2325</v>
      </c>
      <c r="Q468" s="364" t="s">
        <v>2328</v>
      </c>
      <c r="R468" s="364" t="s">
        <v>2512</v>
      </c>
      <c r="S468" s="364" t="s">
        <v>2695</v>
      </c>
      <c r="T468" s="364" t="s">
        <v>2329</v>
      </c>
      <c r="U468" s="364" t="s">
        <v>2721</v>
      </c>
      <c r="V468" s="364" t="s">
        <v>2513</v>
      </c>
      <c r="W468" s="364" t="s">
        <v>2741</v>
      </c>
      <c r="X468" s="364" t="s">
        <v>2452</v>
      </c>
      <c r="Y468" s="364" t="s">
        <v>2388</v>
      </c>
      <c r="Z468" s="364" t="s">
        <v>2389</v>
      </c>
      <c r="AA468" s="364" t="s">
        <v>2340</v>
      </c>
      <c r="AB468" s="364" t="s">
        <v>2342</v>
      </c>
      <c r="AC468" s="364" t="s">
        <v>2393</v>
      </c>
      <c r="AD468" s="364" t="s">
        <v>2514</v>
      </c>
      <c r="AE468" s="364" t="s">
        <v>2472</v>
      </c>
      <c r="AF468" s="364" t="s">
        <v>2344</v>
      </c>
      <c r="AG468" s="364" t="s">
        <v>2345</v>
      </c>
      <c r="AH468" s="364" t="s">
        <v>2500</v>
      </c>
      <c r="AI468" s="364" t="s">
        <v>2511</v>
      </c>
      <c r="AJ468" s="364" t="s">
        <v>2599</v>
      </c>
      <c r="AK468" s="364" t="s">
        <v>2430</v>
      </c>
      <c r="AL468" s="364"/>
      <c r="AM468" s="364"/>
      <c r="AN468" s="364"/>
      <c r="AO468" s="364"/>
      <c r="AP468" s="364"/>
      <c r="AQ468" s="364"/>
      <c r="AR468" s="364"/>
      <c r="AS468" s="364"/>
      <c r="AT468" s="364"/>
      <c r="AU468" s="364"/>
      <c r="AV468" s="364"/>
      <c r="AW468" s="364"/>
      <c r="AX468" s="364"/>
      <c r="AY468" s="364"/>
      <c r="AZ468" s="364"/>
      <c r="BA468" s="364"/>
      <c r="BB468" s="364"/>
      <c r="BC468" s="364"/>
      <c r="BD468" s="364"/>
      <c r="BE468" s="364"/>
      <c r="BF468" s="364"/>
      <c r="BG468" s="364"/>
      <c r="BH468" s="364"/>
      <c r="BI468" s="364"/>
      <c r="BJ468" s="364"/>
      <c r="BK468" s="364"/>
      <c r="BL468" s="364"/>
      <c r="BM468" s="364"/>
      <c r="BN468" s="364"/>
      <c r="BO468" s="364"/>
      <c r="BP468" s="364"/>
      <c r="BQ468" s="364"/>
      <c r="BR468" s="364"/>
      <c r="BS468" s="364"/>
      <c r="BT468" s="364"/>
      <c r="BU468" s="364"/>
      <c r="BV468" s="364"/>
      <c r="BW468" s="364"/>
      <c r="BX468" s="364"/>
      <c r="BY468" s="364"/>
      <c r="BZ468" s="364"/>
      <c r="CA468" s="364"/>
      <c r="CB468" s="364"/>
      <c r="CC468" s="364"/>
      <c r="CD468" s="364"/>
      <c r="CE468" s="364"/>
      <c r="CF468" s="364"/>
      <c r="CG468" s="364"/>
      <c r="CH468" s="364"/>
      <c r="CI468" s="364"/>
      <c r="CJ468" s="364"/>
      <c r="CK468" s="364"/>
      <c r="CL468" s="364"/>
      <c r="CM468" s="364"/>
      <c r="CN468" s="364"/>
      <c r="CO468" s="364"/>
      <c r="CP468" s="364"/>
      <c r="CQ468" s="364"/>
      <c r="CR468" s="364"/>
      <c r="CS468" s="364"/>
      <c r="CT468" s="364"/>
      <c r="CU468" s="364"/>
      <c r="CV468" s="364"/>
      <c r="CW468" s="364"/>
      <c r="CX468" s="364"/>
      <c r="CY468" s="364"/>
      <c r="CZ468" s="364"/>
      <c r="DA468" s="364"/>
      <c r="DB468" s="364"/>
      <c r="DC468" s="364"/>
      <c r="DD468" s="364"/>
      <c r="DE468" s="364"/>
      <c r="DF468" s="364"/>
      <c r="DG468" s="364"/>
      <c r="DH468" s="364"/>
      <c r="DI468" s="364"/>
      <c r="DJ468" s="364"/>
      <c r="DK468" s="364"/>
      <c r="DL468" s="364"/>
      <c r="DM468" s="364"/>
      <c r="DN468" s="364"/>
      <c r="DO468" s="364"/>
      <c r="DP468" s="364"/>
      <c r="DQ468" s="364"/>
      <c r="DR468" s="364"/>
      <c r="DS468" s="364"/>
      <c r="DT468" s="364"/>
      <c r="DU468" s="364"/>
      <c r="DV468" s="364"/>
      <c r="DW468" s="364"/>
      <c r="DX468" s="364"/>
      <c r="DY468" s="364"/>
      <c r="DZ468" s="364"/>
      <c r="EA468" s="364"/>
      <c r="EB468" s="364"/>
      <c r="EC468" s="364"/>
      <c r="ED468" s="364"/>
      <c r="EE468" s="364"/>
      <c r="EF468" s="364"/>
      <c r="EG468" s="364"/>
      <c r="EH468" s="364"/>
      <c r="EI468" s="364"/>
      <c r="EJ468" s="364"/>
      <c r="EK468" s="364"/>
      <c r="EL468" s="364"/>
      <c r="EM468" s="364"/>
      <c r="EN468" s="364"/>
      <c r="EO468" s="364"/>
      <c r="EP468" s="364"/>
      <c r="EQ468" s="364"/>
      <c r="ER468" s="364"/>
      <c r="ES468" s="364"/>
      <c r="ET468" s="364"/>
      <c r="EU468" s="364"/>
      <c r="EV468" s="364"/>
      <c r="EW468" s="364"/>
      <c r="EX468" s="364"/>
      <c r="EY468" s="364"/>
      <c r="EZ468" s="364"/>
      <c r="FA468" s="364"/>
      <c r="FB468" s="364"/>
      <c r="FC468" s="364"/>
      <c r="FD468" s="364"/>
      <c r="FE468" s="364"/>
      <c r="FF468" s="364"/>
      <c r="FG468" s="364"/>
      <c r="FH468" s="364"/>
      <c r="FI468" s="364"/>
      <c r="FJ468" s="364"/>
      <c r="FK468" s="364"/>
    </row>
    <row r="469" customFormat="false" ht="15.75" hidden="false" customHeight="false" outlineLevel="0" collapsed="false">
      <c r="A469" s="364" t="n">
        <v>928</v>
      </c>
      <c r="B469" s="364" t="n">
        <f aca="false">COUNTA(D469:FK469)</f>
        <v>27</v>
      </c>
      <c r="C469" s="364" t="s">
        <v>2744</v>
      </c>
      <c r="D469" s="364" t="s">
        <v>2405</v>
      </c>
      <c r="E469" s="364" t="s">
        <v>2406</v>
      </c>
      <c r="F469" s="364" t="s">
        <v>2517</v>
      </c>
      <c r="G469" s="364" t="s">
        <v>2318</v>
      </c>
      <c r="H469" s="364" t="s">
        <v>2320</v>
      </c>
      <c r="I469" s="364" t="s">
        <v>2324</v>
      </c>
      <c r="J469" s="364" t="s">
        <v>2325</v>
      </c>
      <c r="K469" s="364" t="s">
        <v>2328</v>
      </c>
      <c r="L469" s="364" t="s">
        <v>2414</v>
      </c>
      <c r="M469" s="364" t="s">
        <v>2329</v>
      </c>
      <c r="N469" s="364" t="s">
        <v>2415</v>
      </c>
      <c r="O469" s="364" t="s">
        <v>2416</v>
      </c>
      <c r="P469" s="364" t="s">
        <v>2417</v>
      </c>
      <c r="Q469" s="364" t="s">
        <v>2330</v>
      </c>
      <c r="R469" s="364" t="s">
        <v>2638</v>
      </c>
      <c r="S469" s="364" t="s">
        <v>2615</v>
      </c>
      <c r="T469" s="364" t="s">
        <v>2741</v>
      </c>
      <c r="U469" s="364" t="s">
        <v>2340</v>
      </c>
      <c r="V469" s="364" t="s">
        <v>2421</v>
      </c>
      <c r="W469" s="364" t="s">
        <v>2442</v>
      </c>
      <c r="X469" s="364" t="s">
        <v>2514</v>
      </c>
      <c r="Y469" s="364" t="s">
        <v>2344</v>
      </c>
      <c r="Z469" s="364" t="s">
        <v>2424</v>
      </c>
      <c r="AA469" s="364" t="s">
        <v>2425</v>
      </c>
      <c r="AB469" s="364" t="s">
        <v>2426</v>
      </c>
      <c r="AC469" s="364" t="s">
        <v>2428</v>
      </c>
      <c r="AD469" s="364" t="s">
        <v>2429</v>
      </c>
      <c r="AE469" s="364"/>
      <c r="AF469" s="364"/>
      <c r="AG469" s="364"/>
      <c r="AH469" s="364"/>
      <c r="AI469" s="364"/>
      <c r="AJ469" s="364"/>
      <c r="AK469" s="364"/>
      <c r="AL469" s="364"/>
      <c r="AM469" s="364"/>
      <c r="AN469" s="364"/>
      <c r="AO469" s="364"/>
      <c r="AP469" s="364"/>
      <c r="AQ469" s="364"/>
      <c r="AR469" s="364"/>
      <c r="AS469" s="364"/>
      <c r="AT469" s="364"/>
      <c r="AU469" s="364"/>
      <c r="AV469" s="364"/>
      <c r="AW469" s="364"/>
      <c r="AX469" s="364"/>
      <c r="AY469" s="364"/>
      <c r="AZ469" s="364"/>
      <c r="BA469" s="364"/>
      <c r="BB469" s="364"/>
      <c r="BC469" s="364"/>
      <c r="BD469" s="364"/>
      <c r="BE469" s="364"/>
      <c r="BF469" s="364"/>
      <c r="BG469" s="364"/>
      <c r="BH469" s="364"/>
      <c r="BI469" s="364"/>
      <c r="BJ469" s="364"/>
      <c r="BK469" s="364"/>
      <c r="BL469" s="364"/>
      <c r="BM469" s="364"/>
      <c r="BN469" s="364"/>
      <c r="BO469" s="364"/>
      <c r="BP469" s="364"/>
      <c r="BQ469" s="364"/>
      <c r="BR469" s="364"/>
      <c r="BS469" s="364"/>
      <c r="BT469" s="364"/>
      <c r="BU469" s="364"/>
      <c r="BV469" s="364"/>
      <c r="BW469" s="364"/>
      <c r="BX469" s="364"/>
      <c r="BY469" s="364"/>
      <c r="BZ469" s="364"/>
      <c r="CA469" s="364"/>
      <c r="CB469" s="364"/>
      <c r="CC469" s="364"/>
      <c r="CD469" s="364"/>
      <c r="CE469" s="364"/>
      <c r="CF469" s="364"/>
      <c r="CG469" s="364"/>
      <c r="CH469" s="364"/>
      <c r="CI469" s="364"/>
      <c r="CJ469" s="364"/>
      <c r="CK469" s="364"/>
      <c r="CL469" s="364"/>
      <c r="CM469" s="364"/>
      <c r="CN469" s="364"/>
      <c r="CO469" s="364"/>
      <c r="CP469" s="364"/>
      <c r="CQ469" s="364"/>
      <c r="CR469" s="364"/>
      <c r="CS469" s="364"/>
      <c r="CT469" s="364"/>
      <c r="CU469" s="364"/>
      <c r="CV469" s="364"/>
      <c r="CW469" s="364"/>
      <c r="CX469" s="364"/>
      <c r="CY469" s="364"/>
      <c r="CZ469" s="364"/>
      <c r="DA469" s="364"/>
      <c r="DB469" s="364"/>
      <c r="DC469" s="364"/>
      <c r="DD469" s="364"/>
      <c r="DE469" s="364"/>
      <c r="DF469" s="364"/>
      <c r="DG469" s="364"/>
      <c r="DH469" s="364"/>
      <c r="DI469" s="364"/>
      <c r="DJ469" s="364"/>
      <c r="DK469" s="364"/>
      <c r="DL469" s="364"/>
      <c r="DM469" s="364"/>
      <c r="DN469" s="364"/>
      <c r="DO469" s="364"/>
      <c r="DP469" s="364"/>
      <c r="DQ469" s="364"/>
      <c r="DR469" s="364"/>
      <c r="DS469" s="364"/>
      <c r="DT469" s="364"/>
      <c r="DU469" s="364"/>
      <c r="DV469" s="364"/>
      <c r="DW469" s="364"/>
      <c r="DX469" s="364"/>
      <c r="DY469" s="364"/>
      <c r="DZ469" s="364"/>
      <c r="EA469" s="364"/>
      <c r="EB469" s="364"/>
      <c r="EC469" s="364"/>
      <c r="ED469" s="364"/>
      <c r="EE469" s="364"/>
      <c r="EF469" s="364"/>
      <c r="EG469" s="364"/>
      <c r="EH469" s="364"/>
      <c r="EI469" s="364"/>
      <c r="EJ469" s="364"/>
      <c r="EK469" s="364"/>
      <c r="EL469" s="364"/>
      <c r="EM469" s="364"/>
      <c r="EN469" s="364"/>
      <c r="EO469" s="364"/>
      <c r="EP469" s="364"/>
      <c r="EQ469" s="364"/>
      <c r="ER469" s="364"/>
      <c r="ES469" s="364"/>
      <c r="ET469" s="364"/>
      <c r="EU469" s="364"/>
      <c r="EV469" s="364"/>
      <c r="EW469" s="364"/>
      <c r="EX469" s="364"/>
      <c r="EY469" s="364"/>
      <c r="EZ469" s="364"/>
      <c r="FA469" s="364"/>
      <c r="FB469" s="364"/>
      <c r="FC469" s="364"/>
      <c r="FD469" s="364"/>
      <c r="FE469" s="364"/>
      <c r="FF469" s="364"/>
      <c r="FG469" s="364"/>
      <c r="FH469" s="364"/>
      <c r="FI469" s="364"/>
      <c r="FJ469" s="364"/>
      <c r="FK469" s="364"/>
    </row>
    <row r="470" customFormat="false" ht="15.75" hidden="false" customHeight="false" outlineLevel="0" collapsed="false">
      <c r="A470" s="364" t="n">
        <v>931</v>
      </c>
      <c r="B470" s="364" t="n">
        <f aca="false">COUNTA(D470:FK470)</f>
        <v>41</v>
      </c>
      <c r="C470" s="364" t="s">
        <v>2263</v>
      </c>
      <c r="D470" s="364" t="s">
        <v>2313</v>
      </c>
      <c r="E470" s="364" t="s">
        <v>2466</v>
      </c>
      <c r="F470" s="364" t="s">
        <v>2317</v>
      </c>
      <c r="G470" s="364" t="s">
        <v>2448</v>
      </c>
      <c r="H470" s="364" t="s">
        <v>2320</v>
      </c>
      <c r="I470" s="364" t="s">
        <v>2366</v>
      </c>
      <c r="J470" s="364" t="s">
        <v>2372</v>
      </c>
      <c r="K470" s="364" t="s">
        <v>2373</v>
      </c>
      <c r="L470" s="364" t="s">
        <v>2374</v>
      </c>
      <c r="M470" s="364" t="s">
        <v>2411</v>
      </c>
      <c r="N470" s="364" t="s">
        <v>2376</v>
      </c>
      <c r="O470" s="364" t="s">
        <v>2324</v>
      </c>
      <c r="P470" s="364" t="s">
        <v>2412</v>
      </c>
      <c r="Q470" s="364" t="s">
        <v>2328</v>
      </c>
      <c r="R470" s="364" t="s">
        <v>2329</v>
      </c>
      <c r="S470" s="364" t="s">
        <v>2521</v>
      </c>
      <c r="T470" s="364" t="s">
        <v>2506</v>
      </c>
      <c r="U470" s="364" t="s">
        <v>2381</v>
      </c>
      <c r="V470" s="364" t="s">
        <v>2330</v>
      </c>
      <c r="W470" s="364" t="s">
        <v>2468</v>
      </c>
      <c r="X470" s="364" t="s">
        <v>2508</v>
      </c>
      <c r="Y470" s="364" t="s">
        <v>2384</v>
      </c>
      <c r="Z470" s="364" t="s">
        <v>2332</v>
      </c>
      <c r="AA470" s="364" t="s">
        <v>157</v>
      </c>
      <c r="AB470" s="364" t="s">
        <v>2495</v>
      </c>
      <c r="AC470" s="364" t="s">
        <v>2337</v>
      </c>
      <c r="AD470" s="364" t="s">
        <v>2388</v>
      </c>
      <c r="AE470" s="364" t="s">
        <v>2389</v>
      </c>
      <c r="AF470" s="364" t="s">
        <v>2340</v>
      </c>
      <c r="AG470" s="364" t="s">
        <v>2470</v>
      </c>
      <c r="AH470" s="364" t="s">
        <v>2472</v>
      </c>
      <c r="AI470" s="364" t="s">
        <v>2344</v>
      </c>
      <c r="AJ470" s="364" t="s">
        <v>2345</v>
      </c>
      <c r="AK470" s="364" t="s">
        <v>2500</v>
      </c>
      <c r="AL470" s="364" t="s">
        <v>2745</v>
      </c>
      <c r="AM470" s="364" t="s">
        <v>2511</v>
      </c>
      <c r="AN470" s="364" t="s">
        <v>2475</v>
      </c>
      <c r="AO470" s="364" t="s">
        <v>2476</v>
      </c>
      <c r="AP470" s="364" t="s">
        <v>2555</v>
      </c>
      <c r="AQ470" s="364" t="s">
        <v>2477</v>
      </c>
      <c r="AR470" s="364" t="s">
        <v>2430</v>
      </c>
      <c r="AS470" s="364"/>
      <c r="AT470" s="364"/>
      <c r="AU470" s="364"/>
      <c r="AV470" s="364"/>
      <c r="AW470" s="364"/>
      <c r="AX470" s="364"/>
      <c r="AY470" s="364"/>
      <c r="AZ470" s="364"/>
      <c r="BA470" s="364"/>
      <c r="BB470" s="364"/>
      <c r="BC470" s="364"/>
      <c r="BD470" s="364"/>
      <c r="BE470" s="364"/>
      <c r="BF470" s="364"/>
      <c r="BG470" s="364"/>
      <c r="BH470" s="364"/>
      <c r="BI470" s="364"/>
      <c r="BJ470" s="364"/>
      <c r="BK470" s="364"/>
      <c r="BL470" s="364"/>
      <c r="BM470" s="364"/>
      <c r="BN470" s="364"/>
      <c r="BO470" s="364"/>
      <c r="BP470" s="364"/>
      <c r="BQ470" s="364"/>
      <c r="BR470" s="364"/>
      <c r="BS470" s="364"/>
      <c r="BT470" s="364"/>
      <c r="BU470" s="364"/>
      <c r="BV470" s="364"/>
      <c r="BW470" s="364"/>
      <c r="BX470" s="364"/>
      <c r="BY470" s="364"/>
      <c r="BZ470" s="364"/>
      <c r="CA470" s="364"/>
      <c r="CB470" s="364"/>
      <c r="CC470" s="364"/>
      <c r="CD470" s="364"/>
      <c r="CE470" s="364"/>
      <c r="CF470" s="364"/>
      <c r="CG470" s="364"/>
      <c r="CH470" s="364"/>
      <c r="CI470" s="364"/>
      <c r="CJ470" s="364"/>
      <c r="CK470" s="364"/>
      <c r="CL470" s="364"/>
      <c r="CM470" s="364"/>
      <c r="CN470" s="364"/>
      <c r="CO470" s="364"/>
      <c r="CP470" s="364"/>
      <c r="CQ470" s="364"/>
      <c r="CR470" s="364"/>
      <c r="CS470" s="364"/>
      <c r="CT470" s="364"/>
      <c r="CU470" s="364"/>
      <c r="CV470" s="364"/>
      <c r="CW470" s="364"/>
      <c r="CX470" s="364"/>
      <c r="CY470" s="364"/>
      <c r="CZ470" s="364"/>
      <c r="DA470" s="364"/>
      <c r="DB470" s="364"/>
      <c r="DC470" s="364"/>
      <c r="DD470" s="364"/>
      <c r="DE470" s="364"/>
      <c r="DF470" s="364"/>
      <c r="DG470" s="364"/>
      <c r="DH470" s="364"/>
      <c r="DI470" s="364"/>
      <c r="DJ470" s="364"/>
      <c r="DK470" s="364"/>
      <c r="DL470" s="364"/>
      <c r="DM470" s="364"/>
      <c r="DN470" s="364"/>
      <c r="DO470" s="364"/>
      <c r="DP470" s="364"/>
      <c r="DQ470" s="364"/>
      <c r="DR470" s="364"/>
      <c r="DS470" s="364"/>
      <c r="DT470" s="364"/>
      <c r="DU470" s="364"/>
      <c r="DV470" s="364"/>
      <c r="DW470" s="364"/>
      <c r="DX470" s="364"/>
      <c r="DY470" s="364"/>
      <c r="DZ470" s="364"/>
      <c r="EA470" s="364"/>
      <c r="EB470" s="364"/>
      <c r="EC470" s="364"/>
      <c r="ED470" s="364"/>
      <c r="EE470" s="364"/>
      <c r="EF470" s="364"/>
      <c r="EG470" s="364"/>
      <c r="EH470" s="364"/>
      <c r="EI470" s="364"/>
      <c r="EJ470" s="364"/>
      <c r="EK470" s="364"/>
      <c r="EL470" s="364"/>
      <c r="EM470" s="364"/>
      <c r="EN470" s="364"/>
      <c r="EO470" s="364"/>
      <c r="EP470" s="364"/>
      <c r="EQ470" s="364"/>
      <c r="ER470" s="364"/>
      <c r="ES470" s="364"/>
      <c r="ET470" s="364"/>
      <c r="EU470" s="364"/>
      <c r="EV470" s="364"/>
      <c r="EW470" s="364"/>
      <c r="EX470" s="364"/>
      <c r="EY470" s="364"/>
      <c r="EZ470" s="364"/>
      <c r="FA470" s="364"/>
      <c r="FB470" s="364"/>
      <c r="FC470" s="364"/>
      <c r="FD470" s="364"/>
      <c r="FE470" s="364"/>
      <c r="FF470" s="364"/>
      <c r="FG470" s="364"/>
      <c r="FH470" s="364"/>
      <c r="FI470" s="364"/>
      <c r="FJ470" s="364"/>
      <c r="FK470" s="364"/>
    </row>
    <row r="471" customFormat="false" ht="15.75" hidden="false" customHeight="false" outlineLevel="0" collapsed="false">
      <c r="A471" s="364" t="n">
        <v>932</v>
      </c>
      <c r="B471" s="364" t="n">
        <f aca="false">COUNTA(D471:FK471)</f>
        <v>36</v>
      </c>
      <c r="C471" s="364" t="s">
        <v>2265</v>
      </c>
      <c r="D471" s="364" t="s">
        <v>2431</v>
      </c>
      <c r="E471" s="364" t="s">
        <v>2352</v>
      </c>
      <c r="F471" s="364" t="s">
        <v>2354</v>
      </c>
      <c r="G471" s="364" t="s">
        <v>2405</v>
      </c>
      <c r="H471" s="364" t="s">
        <v>2464</v>
      </c>
      <c r="I471" s="364" t="s">
        <v>2434</v>
      </c>
      <c r="J471" s="364" t="s">
        <v>2517</v>
      </c>
      <c r="K471" s="364" t="s">
        <v>2435</v>
      </c>
      <c r="L471" s="364" t="s">
        <v>2320</v>
      </c>
      <c r="M471" s="364" t="s">
        <v>2375</v>
      </c>
      <c r="N471" s="364" t="s">
        <v>2376</v>
      </c>
      <c r="O471" s="364" t="s">
        <v>2324</v>
      </c>
      <c r="P471" s="364" t="s">
        <v>2378</v>
      </c>
      <c r="Q471" s="364" t="s">
        <v>2328</v>
      </c>
      <c r="R471" s="364" t="s">
        <v>2329</v>
      </c>
      <c r="S471" s="364" t="s">
        <v>2415</v>
      </c>
      <c r="T471" s="364" t="s">
        <v>2417</v>
      </c>
      <c r="U471" s="364" t="s">
        <v>2638</v>
      </c>
      <c r="V471" s="364" t="s">
        <v>2746</v>
      </c>
      <c r="W471" s="364" t="s">
        <v>2694</v>
      </c>
      <c r="X471" s="364" t="s">
        <v>2589</v>
      </c>
      <c r="Y471" s="364" t="s">
        <v>2656</v>
      </c>
      <c r="Z471" s="364" t="s">
        <v>157</v>
      </c>
      <c r="AA471" s="364" t="s">
        <v>2495</v>
      </c>
      <c r="AB471" s="364" t="s">
        <v>2337</v>
      </c>
      <c r="AC471" s="364" t="s">
        <v>2340</v>
      </c>
      <c r="AD471" s="364" t="s">
        <v>2442</v>
      </c>
      <c r="AE471" s="364" t="s">
        <v>2392</v>
      </c>
      <c r="AF471" s="364" t="s">
        <v>2470</v>
      </c>
      <c r="AG471" s="364" t="s">
        <v>2422</v>
      </c>
      <c r="AH471" s="364" t="s">
        <v>2462</v>
      </c>
      <c r="AI471" s="364" t="s">
        <v>2394</v>
      </c>
      <c r="AJ471" s="364" t="s">
        <v>2344</v>
      </c>
      <c r="AK471" s="364" t="s">
        <v>2345</v>
      </c>
      <c r="AL471" s="364" t="s">
        <v>2475</v>
      </c>
      <c r="AM471" s="364" t="s">
        <v>2476</v>
      </c>
      <c r="AN471" s="364"/>
      <c r="AO471" s="364"/>
      <c r="AP471" s="364"/>
      <c r="AQ471" s="364"/>
      <c r="AR471" s="364"/>
      <c r="AS471" s="364"/>
      <c r="AT471" s="364"/>
      <c r="AU471" s="364"/>
      <c r="AV471" s="364"/>
      <c r="AW471" s="364"/>
      <c r="AX471" s="364"/>
      <c r="AY471" s="364"/>
      <c r="AZ471" s="364"/>
      <c r="BA471" s="364"/>
      <c r="BB471" s="364"/>
      <c r="BC471" s="364"/>
      <c r="BD471" s="364"/>
      <c r="BE471" s="364"/>
      <c r="BF471" s="364"/>
      <c r="BG471" s="364"/>
      <c r="BH471" s="364"/>
      <c r="BI471" s="364"/>
      <c r="BJ471" s="364"/>
      <c r="BK471" s="364"/>
      <c r="BL471" s="364"/>
      <c r="BM471" s="364"/>
      <c r="BN471" s="364"/>
      <c r="BO471" s="364"/>
      <c r="BP471" s="364"/>
      <c r="BQ471" s="364"/>
      <c r="BR471" s="364"/>
      <c r="BS471" s="364"/>
      <c r="BT471" s="364"/>
      <c r="BU471" s="364"/>
      <c r="BV471" s="364"/>
      <c r="BW471" s="364"/>
      <c r="BX471" s="364"/>
      <c r="BY471" s="364"/>
      <c r="BZ471" s="364"/>
      <c r="CA471" s="364"/>
      <c r="CB471" s="364"/>
      <c r="CC471" s="364"/>
      <c r="CD471" s="364"/>
      <c r="CE471" s="364"/>
      <c r="CF471" s="364"/>
      <c r="CG471" s="364"/>
      <c r="CH471" s="364"/>
      <c r="CI471" s="364"/>
      <c r="CJ471" s="364"/>
      <c r="CK471" s="364"/>
      <c r="CL471" s="364"/>
      <c r="CM471" s="364"/>
      <c r="CN471" s="364"/>
      <c r="CO471" s="364"/>
      <c r="CP471" s="364"/>
      <c r="CQ471" s="364"/>
      <c r="CR471" s="364"/>
      <c r="CS471" s="364"/>
      <c r="CT471" s="364"/>
      <c r="CU471" s="364"/>
      <c r="CV471" s="364"/>
      <c r="CW471" s="364"/>
      <c r="CX471" s="364"/>
      <c r="CY471" s="364"/>
      <c r="CZ471" s="364"/>
      <c r="DA471" s="364"/>
      <c r="DB471" s="364"/>
      <c r="DC471" s="364"/>
      <c r="DD471" s="364"/>
      <c r="DE471" s="364"/>
      <c r="DF471" s="364"/>
      <c r="DG471" s="364"/>
      <c r="DH471" s="364"/>
      <c r="DI471" s="364"/>
      <c r="DJ471" s="364"/>
      <c r="DK471" s="364"/>
      <c r="DL471" s="364"/>
      <c r="DM471" s="364"/>
      <c r="DN471" s="364"/>
      <c r="DO471" s="364"/>
      <c r="DP471" s="364"/>
      <c r="DQ471" s="364"/>
      <c r="DR471" s="364"/>
      <c r="DS471" s="364"/>
      <c r="DT471" s="364"/>
      <c r="DU471" s="364"/>
      <c r="DV471" s="364"/>
      <c r="DW471" s="364"/>
      <c r="DX471" s="364"/>
      <c r="DY471" s="364"/>
      <c r="DZ471" s="364"/>
      <c r="EA471" s="364"/>
      <c r="EB471" s="364"/>
      <c r="EC471" s="364"/>
      <c r="ED471" s="364"/>
      <c r="EE471" s="364"/>
      <c r="EF471" s="364"/>
      <c r="EG471" s="364"/>
      <c r="EH471" s="364"/>
      <c r="EI471" s="364"/>
      <c r="EJ471" s="364"/>
      <c r="EK471" s="364"/>
      <c r="EL471" s="364"/>
      <c r="EM471" s="364"/>
      <c r="EN471" s="364"/>
      <c r="EO471" s="364"/>
      <c r="EP471" s="364"/>
      <c r="EQ471" s="364"/>
      <c r="ER471" s="364"/>
      <c r="ES471" s="364"/>
      <c r="ET471" s="364"/>
      <c r="EU471" s="364"/>
      <c r="EV471" s="364"/>
      <c r="EW471" s="364"/>
      <c r="EX471" s="364"/>
      <c r="EY471" s="364"/>
      <c r="EZ471" s="364"/>
      <c r="FA471" s="364"/>
      <c r="FB471" s="364"/>
      <c r="FC471" s="364"/>
      <c r="FD471" s="364"/>
      <c r="FE471" s="364"/>
      <c r="FF471" s="364"/>
      <c r="FG471" s="364"/>
      <c r="FH471" s="364"/>
      <c r="FI471" s="364"/>
      <c r="FJ471" s="364"/>
      <c r="FK471" s="364"/>
    </row>
    <row r="472" customFormat="false" ht="15.75" hidden="false" customHeight="false" outlineLevel="0" collapsed="false">
      <c r="A472" s="364" t="n">
        <v>933</v>
      </c>
      <c r="B472" s="364" t="n">
        <f aca="false">COUNTA(D472:FK472)</f>
        <v>34</v>
      </c>
      <c r="C472" s="364" t="s">
        <v>2268</v>
      </c>
      <c r="D472" s="364" t="s">
        <v>2481</v>
      </c>
      <c r="E472" s="364" t="s">
        <v>2482</v>
      </c>
      <c r="F472" s="364" t="s">
        <v>2311</v>
      </c>
      <c r="G472" s="364" t="s">
        <v>2357</v>
      </c>
      <c r="H472" s="364" t="s">
        <v>2464</v>
      </c>
      <c r="I472" s="364" t="s">
        <v>2618</v>
      </c>
      <c r="J472" s="364" t="s">
        <v>2559</v>
      </c>
      <c r="K472" s="364" t="s">
        <v>2517</v>
      </c>
      <c r="L472" s="364" t="s">
        <v>2318</v>
      </c>
      <c r="M472" s="364" t="s">
        <v>2320</v>
      </c>
      <c r="N472" s="364" t="s">
        <v>2523</v>
      </c>
      <c r="O472" s="364" t="s">
        <v>2325</v>
      </c>
      <c r="P472" s="364" t="s">
        <v>2484</v>
      </c>
      <c r="Q472" s="364" t="s">
        <v>2327</v>
      </c>
      <c r="R472" s="364" t="s">
        <v>2642</v>
      </c>
      <c r="S472" s="364" t="s">
        <v>2328</v>
      </c>
      <c r="T472" s="364" t="s">
        <v>2506</v>
      </c>
      <c r="U472" s="364" t="s">
        <v>2330</v>
      </c>
      <c r="V472" s="364" t="s">
        <v>2596</v>
      </c>
      <c r="W472" s="364" t="s">
        <v>2454</v>
      </c>
      <c r="X472" s="364" t="s">
        <v>2582</v>
      </c>
      <c r="Y472" s="364" t="s">
        <v>2536</v>
      </c>
      <c r="Z472" s="364" t="s">
        <v>157</v>
      </c>
      <c r="AA472" s="364" t="s">
        <v>2495</v>
      </c>
      <c r="AB472" s="364" t="s">
        <v>2440</v>
      </c>
      <c r="AC472" s="364" t="s">
        <v>2337</v>
      </c>
      <c r="AD472" s="364" t="s">
        <v>2340</v>
      </c>
      <c r="AE472" s="364" t="s">
        <v>2343</v>
      </c>
      <c r="AF472" s="364" t="s">
        <v>2471</v>
      </c>
      <c r="AG472" s="364" t="s">
        <v>2344</v>
      </c>
      <c r="AH472" s="364" t="s">
        <v>2475</v>
      </c>
      <c r="AI472" s="364" t="s">
        <v>2476</v>
      </c>
      <c r="AJ472" s="364" t="s">
        <v>2350</v>
      </c>
      <c r="AK472" s="364" t="s">
        <v>2430</v>
      </c>
      <c r="AL472" s="364"/>
      <c r="AM472" s="364"/>
      <c r="AN472" s="364"/>
      <c r="AO472" s="364"/>
      <c r="AP472" s="364"/>
      <c r="AQ472" s="364"/>
      <c r="AR472" s="364"/>
      <c r="AS472" s="364"/>
      <c r="AT472" s="364"/>
      <c r="AU472" s="364"/>
      <c r="AV472" s="364"/>
      <c r="AW472" s="364"/>
      <c r="AX472" s="364"/>
      <c r="AY472" s="364"/>
      <c r="AZ472" s="364"/>
      <c r="BA472" s="364"/>
      <c r="BB472" s="364"/>
      <c r="BC472" s="364"/>
      <c r="BD472" s="364"/>
      <c r="BE472" s="364"/>
      <c r="BF472" s="364"/>
      <c r="BG472" s="364"/>
      <c r="BH472" s="364"/>
      <c r="BI472" s="364"/>
      <c r="BJ472" s="364"/>
      <c r="BK472" s="364"/>
      <c r="BL472" s="364"/>
      <c r="BM472" s="364"/>
      <c r="BN472" s="364"/>
      <c r="BO472" s="364"/>
      <c r="BP472" s="364"/>
      <c r="BQ472" s="364"/>
      <c r="BR472" s="364"/>
      <c r="BS472" s="364"/>
      <c r="BT472" s="364"/>
      <c r="BU472" s="364"/>
      <c r="BV472" s="364"/>
      <c r="BW472" s="364"/>
      <c r="BX472" s="364"/>
      <c r="BY472" s="364"/>
      <c r="BZ472" s="364"/>
      <c r="CA472" s="364"/>
      <c r="CB472" s="364"/>
      <c r="CC472" s="364"/>
      <c r="CD472" s="364"/>
      <c r="CE472" s="364"/>
      <c r="CF472" s="364"/>
      <c r="CG472" s="364"/>
      <c r="CH472" s="364"/>
      <c r="CI472" s="364"/>
      <c r="CJ472" s="364"/>
      <c r="CK472" s="364"/>
      <c r="CL472" s="364"/>
      <c r="CM472" s="364"/>
      <c r="CN472" s="364"/>
      <c r="CO472" s="364"/>
      <c r="CP472" s="364"/>
      <c r="CQ472" s="364"/>
      <c r="CR472" s="364"/>
      <c r="CS472" s="364"/>
      <c r="CT472" s="364"/>
      <c r="CU472" s="364"/>
      <c r="CV472" s="364"/>
      <c r="CW472" s="364"/>
      <c r="CX472" s="364"/>
      <c r="CY472" s="364"/>
      <c r="CZ472" s="364"/>
      <c r="DA472" s="364"/>
      <c r="DB472" s="364"/>
      <c r="DC472" s="364"/>
      <c r="DD472" s="364"/>
      <c r="DE472" s="364"/>
      <c r="DF472" s="364"/>
      <c r="DG472" s="364"/>
      <c r="DH472" s="364"/>
      <c r="DI472" s="364"/>
      <c r="DJ472" s="364"/>
      <c r="DK472" s="364"/>
      <c r="DL472" s="364"/>
      <c r="DM472" s="364"/>
      <c r="DN472" s="364"/>
      <c r="DO472" s="364"/>
      <c r="DP472" s="364"/>
      <c r="DQ472" s="364"/>
      <c r="DR472" s="364"/>
      <c r="DS472" s="364"/>
      <c r="DT472" s="364"/>
      <c r="DU472" s="364"/>
      <c r="DV472" s="364"/>
      <c r="DW472" s="364"/>
      <c r="DX472" s="364"/>
      <c r="DY472" s="364"/>
      <c r="DZ472" s="364"/>
      <c r="EA472" s="364"/>
      <c r="EB472" s="364"/>
      <c r="EC472" s="364"/>
      <c r="ED472" s="364"/>
      <c r="EE472" s="364"/>
      <c r="EF472" s="364"/>
      <c r="EG472" s="364"/>
      <c r="EH472" s="364"/>
      <c r="EI472" s="364"/>
      <c r="EJ472" s="364"/>
      <c r="EK472" s="364"/>
      <c r="EL472" s="364"/>
      <c r="EM472" s="364"/>
      <c r="EN472" s="364"/>
      <c r="EO472" s="364"/>
      <c r="EP472" s="364"/>
      <c r="EQ472" s="364"/>
      <c r="ER472" s="364"/>
      <c r="ES472" s="364"/>
      <c r="ET472" s="364"/>
      <c r="EU472" s="364"/>
      <c r="EV472" s="364"/>
      <c r="EW472" s="364"/>
      <c r="EX472" s="364"/>
      <c r="EY472" s="364"/>
      <c r="EZ472" s="364"/>
      <c r="FA472" s="364"/>
      <c r="FB472" s="364"/>
      <c r="FC472" s="364"/>
      <c r="FD472" s="364"/>
      <c r="FE472" s="364"/>
      <c r="FF472" s="364"/>
      <c r="FG472" s="364"/>
      <c r="FH472" s="364"/>
      <c r="FI472" s="364"/>
      <c r="FJ472" s="364"/>
      <c r="FK472" s="364"/>
    </row>
    <row r="473" customFormat="false" ht="15.75" hidden="false" customHeight="false" outlineLevel="0" collapsed="false">
      <c r="A473" s="364" t="n">
        <v>934</v>
      </c>
      <c r="B473" s="364" t="n">
        <f aca="false">COUNTA(D473:FK473)</f>
        <v>40</v>
      </c>
      <c r="C473" s="364" t="s">
        <v>2270</v>
      </c>
      <c r="D473" s="364" t="s">
        <v>2516</v>
      </c>
      <c r="E473" s="364" t="s">
        <v>2356</v>
      </c>
      <c r="F473" s="364" t="s">
        <v>2432</v>
      </c>
      <c r="G473" s="364" t="s">
        <v>2313</v>
      </c>
      <c r="H473" s="364" t="s">
        <v>2612</v>
      </c>
      <c r="I473" s="364" t="s">
        <v>138</v>
      </c>
      <c r="J473" s="364" t="s">
        <v>2520</v>
      </c>
      <c r="K473" s="364" t="s">
        <v>2543</v>
      </c>
      <c r="L473" s="364" t="s">
        <v>2364</v>
      </c>
      <c r="M473" s="364" t="s">
        <v>2317</v>
      </c>
      <c r="N473" s="364" t="s">
        <v>2448</v>
      </c>
      <c r="O473" s="364" t="s">
        <v>2320</v>
      </c>
      <c r="P473" s="364" t="s">
        <v>2449</v>
      </c>
      <c r="Q473" s="364" t="s">
        <v>2450</v>
      </c>
      <c r="R473" s="364" t="s">
        <v>2377</v>
      </c>
      <c r="S473" s="364" t="s">
        <v>2324</v>
      </c>
      <c r="T473" s="364" t="s">
        <v>2412</v>
      </c>
      <c r="U473" s="364" t="s">
        <v>2614</v>
      </c>
      <c r="V473" s="364" t="s">
        <v>2328</v>
      </c>
      <c r="W473" s="364" t="s">
        <v>2416</v>
      </c>
      <c r="X473" s="364" t="s">
        <v>2506</v>
      </c>
      <c r="Y473" s="364" t="s">
        <v>2507</v>
      </c>
      <c r="Z473" s="364" t="s">
        <v>2540</v>
      </c>
      <c r="AA473" s="364" t="s">
        <v>2659</v>
      </c>
      <c r="AB473" s="364" t="s">
        <v>2383</v>
      </c>
      <c r="AC473" s="364" t="s">
        <v>2332</v>
      </c>
      <c r="AD473" s="364" t="s">
        <v>2452</v>
      </c>
      <c r="AE473" s="364" t="s">
        <v>2454</v>
      </c>
      <c r="AF473" s="364" t="s">
        <v>2387</v>
      </c>
      <c r="AG473" s="364" t="s">
        <v>2337</v>
      </c>
      <c r="AH473" s="364" t="s">
        <v>2388</v>
      </c>
      <c r="AI473" s="364" t="s">
        <v>2389</v>
      </c>
      <c r="AJ473" s="364" t="s">
        <v>2340</v>
      </c>
      <c r="AK473" s="364" t="s">
        <v>2423</v>
      </c>
      <c r="AL473" s="364" t="s">
        <v>2344</v>
      </c>
      <c r="AM473" s="364" t="s">
        <v>2346</v>
      </c>
      <c r="AN473" s="364" t="s">
        <v>2500</v>
      </c>
      <c r="AO473" s="364" t="s">
        <v>2511</v>
      </c>
      <c r="AP473" s="364" t="s">
        <v>2399</v>
      </c>
      <c r="AQ473" s="364" t="s">
        <v>2554</v>
      </c>
      <c r="AR473" s="364"/>
      <c r="AS473" s="364"/>
      <c r="AT473" s="364"/>
      <c r="AU473" s="364"/>
      <c r="AV473" s="364"/>
      <c r="AW473" s="364"/>
      <c r="AX473" s="364"/>
      <c r="AY473" s="364"/>
      <c r="AZ473" s="364"/>
      <c r="BA473" s="364"/>
      <c r="BB473" s="364"/>
      <c r="BC473" s="364"/>
      <c r="BD473" s="364"/>
      <c r="BE473" s="364"/>
      <c r="BF473" s="364"/>
      <c r="BG473" s="364"/>
      <c r="BH473" s="364"/>
      <c r="BI473" s="364"/>
      <c r="BJ473" s="364"/>
      <c r="BK473" s="364"/>
      <c r="BL473" s="364"/>
      <c r="BM473" s="364"/>
      <c r="BN473" s="364"/>
      <c r="BO473" s="364"/>
      <c r="BP473" s="364"/>
      <c r="BQ473" s="364"/>
      <c r="BR473" s="364"/>
      <c r="BS473" s="364"/>
      <c r="BT473" s="364"/>
      <c r="BU473" s="364"/>
      <c r="BV473" s="364"/>
      <c r="BW473" s="364"/>
      <c r="BX473" s="364"/>
      <c r="BY473" s="364"/>
      <c r="BZ473" s="364"/>
      <c r="CA473" s="364"/>
      <c r="CB473" s="364"/>
      <c r="CC473" s="364"/>
      <c r="CD473" s="364"/>
      <c r="CE473" s="364"/>
      <c r="CF473" s="364"/>
      <c r="CG473" s="364"/>
      <c r="CH473" s="364"/>
      <c r="CI473" s="364"/>
      <c r="CJ473" s="364"/>
      <c r="CK473" s="364"/>
      <c r="CL473" s="364"/>
      <c r="CM473" s="364"/>
      <c r="CN473" s="364"/>
      <c r="CO473" s="364"/>
      <c r="CP473" s="364"/>
      <c r="CQ473" s="364"/>
      <c r="CR473" s="364"/>
      <c r="CS473" s="364"/>
      <c r="CT473" s="364"/>
      <c r="CU473" s="364"/>
      <c r="CV473" s="364"/>
      <c r="CW473" s="364"/>
      <c r="CX473" s="364"/>
      <c r="CY473" s="364"/>
      <c r="CZ473" s="364"/>
      <c r="DA473" s="364"/>
      <c r="DB473" s="364"/>
      <c r="DC473" s="364"/>
      <c r="DD473" s="364"/>
      <c r="DE473" s="364"/>
      <c r="DF473" s="364"/>
      <c r="DG473" s="364"/>
      <c r="DH473" s="364"/>
      <c r="DI473" s="364"/>
      <c r="DJ473" s="364"/>
      <c r="DK473" s="364"/>
      <c r="DL473" s="364"/>
      <c r="DM473" s="364"/>
      <c r="DN473" s="364"/>
      <c r="DO473" s="364"/>
      <c r="DP473" s="364"/>
      <c r="DQ473" s="364"/>
      <c r="DR473" s="364"/>
      <c r="DS473" s="364"/>
      <c r="DT473" s="364"/>
      <c r="DU473" s="364"/>
      <c r="DV473" s="364"/>
      <c r="DW473" s="364"/>
      <c r="DX473" s="364"/>
      <c r="DY473" s="364"/>
      <c r="DZ473" s="364"/>
      <c r="EA473" s="364"/>
      <c r="EB473" s="364"/>
      <c r="EC473" s="364"/>
      <c r="ED473" s="364"/>
      <c r="EE473" s="364"/>
      <c r="EF473" s="364"/>
      <c r="EG473" s="364"/>
      <c r="EH473" s="364"/>
      <c r="EI473" s="364"/>
      <c r="EJ473" s="364"/>
      <c r="EK473" s="364"/>
      <c r="EL473" s="364"/>
      <c r="EM473" s="364"/>
      <c r="EN473" s="364"/>
      <c r="EO473" s="364"/>
      <c r="EP473" s="364"/>
      <c r="EQ473" s="364"/>
      <c r="ER473" s="364"/>
      <c r="ES473" s="364"/>
      <c r="ET473" s="364"/>
      <c r="EU473" s="364"/>
      <c r="EV473" s="364"/>
      <c r="EW473" s="364"/>
      <c r="EX473" s="364"/>
      <c r="EY473" s="364"/>
      <c r="EZ473" s="364"/>
      <c r="FA473" s="364"/>
      <c r="FB473" s="364"/>
      <c r="FC473" s="364"/>
      <c r="FD473" s="364"/>
      <c r="FE473" s="364"/>
      <c r="FF473" s="364"/>
      <c r="FG473" s="364"/>
      <c r="FH473" s="364"/>
      <c r="FI473" s="364"/>
      <c r="FJ473" s="364"/>
      <c r="FK473" s="364"/>
    </row>
    <row r="474" customFormat="false" ht="15.75" hidden="false" customHeight="false" outlineLevel="0" collapsed="false">
      <c r="A474" s="364" t="n">
        <v>935</v>
      </c>
      <c r="B474" s="364" t="n">
        <f aca="false">COUNTA(D474:FK474)</f>
        <v>38</v>
      </c>
      <c r="C474" s="364" t="s">
        <v>2272</v>
      </c>
      <c r="D474" s="364" t="s">
        <v>2405</v>
      </c>
      <c r="E474" s="364" t="s">
        <v>2516</v>
      </c>
      <c r="F474" s="364" t="s">
        <v>2356</v>
      </c>
      <c r="G474" s="364" t="s">
        <v>2432</v>
      </c>
      <c r="H474" s="364" t="s">
        <v>2433</v>
      </c>
      <c r="I474" s="364" t="s">
        <v>2510</v>
      </c>
      <c r="J474" s="364" t="s">
        <v>184</v>
      </c>
      <c r="K474" s="364" t="s">
        <v>2318</v>
      </c>
      <c r="L474" s="364" t="s">
        <v>2436</v>
      </c>
      <c r="M474" s="364" t="s">
        <v>2320</v>
      </c>
      <c r="N474" s="364" t="s">
        <v>2449</v>
      </c>
      <c r="O474" s="364" t="s">
        <v>2534</v>
      </c>
      <c r="P474" s="364" t="s">
        <v>2376</v>
      </c>
      <c r="Q474" s="364" t="s">
        <v>2523</v>
      </c>
      <c r="R474" s="364" t="s">
        <v>2324</v>
      </c>
      <c r="S474" s="364" t="s">
        <v>2328</v>
      </c>
      <c r="T474" s="364" t="s">
        <v>2609</v>
      </c>
      <c r="U474" s="364" t="s">
        <v>2329</v>
      </c>
      <c r="V474" s="364" t="s">
        <v>2415</v>
      </c>
      <c r="W474" s="364" t="s">
        <v>2417</v>
      </c>
      <c r="X474" s="364" t="s">
        <v>2580</v>
      </c>
      <c r="Y474" s="364" t="s">
        <v>2539</v>
      </c>
      <c r="Z474" s="364" t="s">
        <v>2540</v>
      </c>
      <c r="AA474" s="364" t="s">
        <v>2659</v>
      </c>
      <c r="AB474" s="364" t="s">
        <v>2332</v>
      </c>
      <c r="AC474" s="364" t="s">
        <v>2454</v>
      </c>
      <c r="AD474" s="364" t="s">
        <v>2419</v>
      </c>
      <c r="AE474" s="364" t="s">
        <v>2337</v>
      </c>
      <c r="AF474" s="364" t="s">
        <v>2340</v>
      </c>
      <c r="AG474" s="364" t="s">
        <v>2470</v>
      </c>
      <c r="AH474" s="364" t="s">
        <v>2422</v>
      </c>
      <c r="AI474" s="364" t="s">
        <v>2443</v>
      </c>
      <c r="AJ474" s="364" t="s">
        <v>2344</v>
      </c>
      <c r="AK474" s="364" t="s">
        <v>2571</v>
      </c>
      <c r="AL474" s="364" t="s">
        <v>2398</v>
      </c>
      <c r="AM474" s="364" t="s">
        <v>2456</v>
      </c>
      <c r="AN474" s="364" t="s">
        <v>2649</v>
      </c>
      <c r="AO474" s="364" t="s">
        <v>2446</v>
      </c>
      <c r="AP474" s="364"/>
      <c r="AQ474" s="364"/>
      <c r="AR474" s="364"/>
      <c r="AS474" s="364"/>
      <c r="AT474" s="364"/>
      <c r="AU474" s="364"/>
      <c r="AV474" s="364"/>
      <c r="AW474" s="364"/>
      <c r="AX474" s="364"/>
      <c r="AY474" s="364"/>
      <c r="AZ474" s="364"/>
      <c r="BA474" s="364"/>
      <c r="BB474" s="364"/>
      <c r="BC474" s="364"/>
      <c r="BD474" s="364"/>
      <c r="BE474" s="364"/>
      <c r="BF474" s="364"/>
      <c r="BG474" s="364"/>
      <c r="BH474" s="364"/>
      <c r="BI474" s="364"/>
      <c r="BJ474" s="364"/>
      <c r="BK474" s="364"/>
      <c r="BL474" s="364"/>
      <c r="BM474" s="364"/>
      <c r="BN474" s="364"/>
      <c r="BO474" s="364"/>
      <c r="BP474" s="364"/>
      <c r="BQ474" s="364"/>
      <c r="BR474" s="364"/>
      <c r="BS474" s="364"/>
      <c r="BT474" s="364"/>
      <c r="BU474" s="364"/>
      <c r="BV474" s="364"/>
      <c r="BW474" s="364"/>
      <c r="BX474" s="364"/>
      <c r="BY474" s="364"/>
      <c r="BZ474" s="364"/>
      <c r="CA474" s="364"/>
      <c r="CB474" s="364"/>
      <c r="CC474" s="364"/>
      <c r="CD474" s="364"/>
      <c r="CE474" s="364"/>
      <c r="CF474" s="364"/>
      <c r="CG474" s="364"/>
      <c r="CH474" s="364"/>
      <c r="CI474" s="364"/>
      <c r="CJ474" s="364"/>
      <c r="CK474" s="364"/>
      <c r="CL474" s="364"/>
      <c r="CM474" s="364"/>
      <c r="CN474" s="364"/>
      <c r="CO474" s="364"/>
      <c r="CP474" s="364"/>
      <c r="CQ474" s="364"/>
      <c r="CR474" s="364"/>
      <c r="CS474" s="364"/>
      <c r="CT474" s="364"/>
      <c r="CU474" s="364"/>
      <c r="CV474" s="364"/>
      <c r="CW474" s="364"/>
      <c r="CX474" s="364"/>
      <c r="CY474" s="364"/>
      <c r="CZ474" s="364"/>
      <c r="DA474" s="364"/>
      <c r="DB474" s="364"/>
      <c r="DC474" s="364"/>
      <c r="DD474" s="364"/>
      <c r="DE474" s="364"/>
      <c r="DF474" s="364"/>
      <c r="DG474" s="364"/>
      <c r="DH474" s="364"/>
      <c r="DI474" s="364"/>
      <c r="DJ474" s="364"/>
      <c r="DK474" s="364"/>
      <c r="DL474" s="364"/>
      <c r="DM474" s="364"/>
      <c r="DN474" s="364"/>
      <c r="DO474" s="364"/>
      <c r="DP474" s="364"/>
      <c r="DQ474" s="364"/>
      <c r="DR474" s="364"/>
      <c r="DS474" s="364"/>
      <c r="DT474" s="364"/>
      <c r="DU474" s="364"/>
      <c r="DV474" s="364"/>
      <c r="DW474" s="364"/>
      <c r="DX474" s="364"/>
      <c r="DY474" s="364"/>
      <c r="DZ474" s="364"/>
      <c r="EA474" s="364"/>
      <c r="EB474" s="364"/>
      <c r="EC474" s="364"/>
      <c r="ED474" s="364"/>
      <c r="EE474" s="364"/>
      <c r="EF474" s="364"/>
      <c r="EG474" s="364"/>
      <c r="EH474" s="364"/>
      <c r="EI474" s="364"/>
      <c r="EJ474" s="364"/>
      <c r="EK474" s="364"/>
      <c r="EL474" s="364"/>
      <c r="EM474" s="364"/>
      <c r="EN474" s="364"/>
      <c r="EO474" s="364"/>
      <c r="EP474" s="364"/>
      <c r="EQ474" s="364"/>
      <c r="ER474" s="364"/>
      <c r="ES474" s="364"/>
      <c r="ET474" s="364"/>
      <c r="EU474" s="364"/>
      <c r="EV474" s="364"/>
      <c r="EW474" s="364"/>
      <c r="EX474" s="364"/>
      <c r="EY474" s="364"/>
      <c r="EZ474" s="364"/>
      <c r="FA474" s="364"/>
      <c r="FB474" s="364"/>
      <c r="FC474" s="364"/>
      <c r="FD474" s="364"/>
      <c r="FE474" s="364"/>
      <c r="FF474" s="364"/>
      <c r="FG474" s="364"/>
      <c r="FH474" s="364"/>
      <c r="FI474" s="364"/>
      <c r="FJ474" s="364"/>
      <c r="FK474" s="364"/>
    </row>
    <row r="475" customFormat="false" ht="15.75" hidden="false" customHeight="false" outlineLevel="0" collapsed="false">
      <c r="A475" s="364" t="n">
        <v>936</v>
      </c>
      <c r="B475" s="364" t="n">
        <f aca="false">COUNTA(D475:FK475)</f>
        <v>28</v>
      </c>
      <c r="C475" s="364" t="s">
        <v>2274</v>
      </c>
      <c r="D475" s="364" t="s">
        <v>2311</v>
      </c>
      <c r="E475" s="364" t="s">
        <v>2357</v>
      </c>
      <c r="F475" s="364" t="s">
        <v>2464</v>
      </c>
      <c r="G475" s="364" t="s">
        <v>2517</v>
      </c>
      <c r="H475" s="364" t="s">
        <v>2569</v>
      </c>
      <c r="I475" s="364" t="s">
        <v>2436</v>
      </c>
      <c r="J475" s="364" t="s">
        <v>2319</v>
      </c>
      <c r="K475" s="364" t="s">
        <v>2320</v>
      </c>
      <c r="L475" s="364" t="s">
        <v>2324</v>
      </c>
      <c r="M475" s="364" t="s">
        <v>2325</v>
      </c>
      <c r="N475" s="364" t="s">
        <v>2328</v>
      </c>
      <c r="O475" s="364" t="s">
        <v>2329</v>
      </c>
      <c r="P475" s="364" t="s">
        <v>2616</v>
      </c>
      <c r="Q475" s="364" t="s">
        <v>2337</v>
      </c>
      <c r="R475" s="364" t="s">
        <v>2340</v>
      </c>
      <c r="S475" s="364" t="s">
        <v>2470</v>
      </c>
      <c r="T475" s="364" t="s">
        <v>2422</v>
      </c>
      <c r="U475" s="364" t="s">
        <v>2344</v>
      </c>
      <c r="V475" s="364" t="s">
        <v>2345</v>
      </c>
      <c r="W475" s="364" t="s">
        <v>2570</v>
      </c>
      <c r="X475" s="364" t="s">
        <v>2475</v>
      </c>
      <c r="Y475" s="364" t="s">
        <v>2476</v>
      </c>
      <c r="Z475" s="364" t="s">
        <v>2399</v>
      </c>
      <c r="AA475" s="364" t="s">
        <v>2491</v>
      </c>
      <c r="AB475" s="364" t="s">
        <v>2492</v>
      </c>
      <c r="AC475" s="364" t="s">
        <v>2477</v>
      </c>
      <c r="AD475" s="364" t="s">
        <v>2489</v>
      </c>
      <c r="AE475" s="364" t="s">
        <v>2493</v>
      </c>
      <c r="AF475" s="364"/>
      <c r="AG475" s="364"/>
      <c r="AH475" s="364"/>
      <c r="AI475" s="364"/>
      <c r="AJ475" s="364"/>
      <c r="AK475" s="364"/>
      <c r="AL475" s="364"/>
      <c r="AM475" s="364"/>
      <c r="AN475" s="364"/>
      <c r="AO475" s="364"/>
      <c r="AP475" s="364"/>
      <c r="AQ475" s="364"/>
      <c r="AR475" s="364"/>
      <c r="AS475" s="364"/>
      <c r="AT475" s="364"/>
      <c r="AU475" s="364"/>
      <c r="AV475" s="364"/>
      <c r="AW475" s="364"/>
      <c r="AX475" s="364"/>
      <c r="AY475" s="364"/>
      <c r="AZ475" s="364"/>
      <c r="BA475" s="364"/>
      <c r="BB475" s="364"/>
      <c r="BC475" s="364"/>
      <c r="BD475" s="364"/>
      <c r="BE475" s="364"/>
      <c r="BF475" s="364"/>
      <c r="BG475" s="364"/>
      <c r="BH475" s="364"/>
      <c r="BI475" s="364"/>
      <c r="BJ475" s="364"/>
      <c r="BK475" s="364"/>
      <c r="BL475" s="364"/>
      <c r="BM475" s="364"/>
      <c r="BN475" s="364"/>
      <c r="BO475" s="364"/>
      <c r="BP475" s="364"/>
      <c r="BQ475" s="364"/>
      <c r="BR475" s="364"/>
      <c r="BS475" s="364"/>
      <c r="BT475" s="364"/>
      <c r="BU475" s="364"/>
      <c r="BV475" s="364"/>
      <c r="BW475" s="364"/>
      <c r="BX475" s="364"/>
      <c r="BY475" s="364"/>
      <c r="BZ475" s="364"/>
      <c r="CA475" s="364"/>
      <c r="CB475" s="364"/>
      <c r="CC475" s="364"/>
      <c r="CD475" s="364"/>
      <c r="CE475" s="364"/>
      <c r="CF475" s="364"/>
      <c r="CG475" s="364"/>
      <c r="CH475" s="364"/>
      <c r="CI475" s="364"/>
      <c r="CJ475" s="364"/>
      <c r="CK475" s="364"/>
      <c r="CL475" s="364"/>
      <c r="CM475" s="364"/>
      <c r="CN475" s="364"/>
      <c r="CO475" s="364"/>
      <c r="CP475" s="364"/>
      <c r="CQ475" s="364"/>
      <c r="CR475" s="364"/>
      <c r="CS475" s="364"/>
      <c r="CT475" s="364"/>
      <c r="CU475" s="364"/>
      <c r="CV475" s="364"/>
      <c r="CW475" s="364"/>
      <c r="CX475" s="364"/>
      <c r="CY475" s="364"/>
      <c r="CZ475" s="364"/>
      <c r="DA475" s="364"/>
      <c r="DB475" s="364"/>
      <c r="DC475" s="364"/>
      <c r="DD475" s="364"/>
      <c r="DE475" s="364"/>
      <c r="DF475" s="364"/>
      <c r="DG475" s="364"/>
      <c r="DH475" s="364"/>
      <c r="DI475" s="364"/>
      <c r="DJ475" s="364"/>
      <c r="DK475" s="364"/>
      <c r="DL475" s="364"/>
      <c r="DM475" s="364"/>
      <c r="DN475" s="364"/>
      <c r="DO475" s="364"/>
      <c r="DP475" s="364"/>
      <c r="DQ475" s="364"/>
      <c r="DR475" s="364"/>
      <c r="DS475" s="364"/>
      <c r="DT475" s="364"/>
      <c r="DU475" s="364"/>
      <c r="DV475" s="364"/>
      <c r="DW475" s="364"/>
      <c r="DX475" s="364"/>
      <c r="DY475" s="364"/>
      <c r="DZ475" s="364"/>
      <c r="EA475" s="364"/>
      <c r="EB475" s="364"/>
      <c r="EC475" s="364"/>
      <c r="ED475" s="364"/>
      <c r="EE475" s="364"/>
      <c r="EF475" s="364"/>
      <c r="EG475" s="364"/>
      <c r="EH475" s="364"/>
      <c r="EI475" s="364"/>
      <c r="EJ475" s="364"/>
      <c r="EK475" s="364"/>
      <c r="EL475" s="364"/>
      <c r="EM475" s="364"/>
      <c r="EN475" s="364"/>
      <c r="EO475" s="364"/>
      <c r="EP475" s="364"/>
      <c r="EQ475" s="364"/>
      <c r="ER475" s="364"/>
      <c r="ES475" s="364"/>
      <c r="ET475" s="364"/>
      <c r="EU475" s="364"/>
      <c r="EV475" s="364"/>
      <c r="EW475" s="364"/>
      <c r="EX475" s="364"/>
      <c r="EY475" s="364"/>
      <c r="EZ475" s="364"/>
      <c r="FA475" s="364"/>
      <c r="FB475" s="364"/>
      <c r="FC475" s="364"/>
      <c r="FD475" s="364"/>
      <c r="FE475" s="364"/>
      <c r="FF475" s="364"/>
      <c r="FG475" s="364"/>
      <c r="FH475" s="364"/>
      <c r="FI475" s="364"/>
      <c r="FJ475" s="364"/>
      <c r="FK475" s="364"/>
    </row>
    <row r="476" customFormat="false" ht="15.75" hidden="false" customHeight="false" outlineLevel="0" collapsed="false">
      <c r="A476" s="364" t="n">
        <v>937</v>
      </c>
      <c r="B476" s="364" t="n">
        <f aca="false">COUNTA(D476:FK476)</f>
        <v>39</v>
      </c>
      <c r="C476" s="364" t="s">
        <v>2276</v>
      </c>
      <c r="D476" s="364" t="s">
        <v>2527</v>
      </c>
      <c r="E476" s="364" t="s">
        <v>2431</v>
      </c>
      <c r="F476" s="364" t="s">
        <v>2354</v>
      </c>
      <c r="G476" s="364" t="s">
        <v>2357</v>
      </c>
      <c r="H476" s="364" t="s">
        <v>2313</v>
      </c>
      <c r="I476" s="364" t="s">
        <v>2316</v>
      </c>
      <c r="J476" s="364" t="s">
        <v>2317</v>
      </c>
      <c r="K476" s="364" t="s">
        <v>2319</v>
      </c>
      <c r="L476" s="364" t="s">
        <v>2562</v>
      </c>
      <c r="M476" s="364" t="s">
        <v>2320</v>
      </c>
      <c r="N476" s="364" t="s">
        <v>2366</v>
      </c>
      <c r="O476" s="364" t="s">
        <v>2372</v>
      </c>
      <c r="P476" s="364" t="s">
        <v>2373</v>
      </c>
      <c r="Q476" s="364" t="s">
        <v>2411</v>
      </c>
      <c r="R476" s="364" t="s">
        <v>2375</v>
      </c>
      <c r="S476" s="364" t="s">
        <v>2323</v>
      </c>
      <c r="T476" s="364" t="s">
        <v>2324</v>
      </c>
      <c r="U476" s="364" t="s">
        <v>2325</v>
      </c>
      <c r="V476" s="364" t="s">
        <v>2412</v>
      </c>
      <c r="W476" s="364" t="s">
        <v>2563</v>
      </c>
      <c r="X476" s="364" t="s">
        <v>2328</v>
      </c>
      <c r="Y476" s="364" t="s">
        <v>2329</v>
      </c>
      <c r="Z476" s="364" t="s">
        <v>2506</v>
      </c>
      <c r="AA476" s="364" t="s">
        <v>2331</v>
      </c>
      <c r="AB476" s="364" t="s">
        <v>2337</v>
      </c>
      <c r="AC476" s="364" t="s">
        <v>2388</v>
      </c>
      <c r="AD476" s="364" t="s">
        <v>2340</v>
      </c>
      <c r="AE476" s="364" t="s">
        <v>2342</v>
      </c>
      <c r="AF476" s="364" t="s">
        <v>2470</v>
      </c>
      <c r="AG476" s="364" t="s">
        <v>2393</v>
      </c>
      <c r="AH476" s="364" t="s">
        <v>2423</v>
      </c>
      <c r="AI476" s="364" t="s">
        <v>2514</v>
      </c>
      <c r="AJ476" s="364" t="s">
        <v>2344</v>
      </c>
      <c r="AK476" s="364" t="s">
        <v>2345</v>
      </c>
      <c r="AL476" s="364" t="s">
        <v>2346</v>
      </c>
      <c r="AM476" s="364" t="s">
        <v>2500</v>
      </c>
      <c r="AN476" s="364" t="s">
        <v>2511</v>
      </c>
      <c r="AO476" s="364" t="s">
        <v>2348</v>
      </c>
      <c r="AP476" s="364" t="s">
        <v>2430</v>
      </c>
      <c r="AQ476" s="364"/>
      <c r="AR476" s="364"/>
      <c r="AS476" s="364"/>
      <c r="AT476" s="364"/>
      <c r="AU476" s="364"/>
      <c r="AV476" s="364"/>
      <c r="AW476" s="364"/>
      <c r="AX476" s="364"/>
      <c r="AY476" s="364"/>
      <c r="AZ476" s="364"/>
      <c r="BA476" s="364"/>
      <c r="BB476" s="364"/>
      <c r="BC476" s="364"/>
      <c r="BD476" s="364"/>
      <c r="BE476" s="364"/>
      <c r="BF476" s="364"/>
      <c r="BG476" s="364"/>
      <c r="BH476" s="364"/>
      <c r="BI476" s="364"/>
      <c r="BJ476" s="364"/>
      <c r="BK476" s="364"/>
      <c r="BL476" s="364"/>
      <c r="BM476" s="364"/>
      <c r="BN476" s="364"/>
      <c r="BO476" s="364"/>
      <c r="BP476" s="364"/>
      <c r="BQ476" s="364"/>
      <c r="BR476" s="364"/>
      <c r="BS476" s="364"/>
      <c r="BT476" s="364"/>
      <c r="BU476" s="364"/>
      <c r="BV476" s="364"/>
      <c r="BW476" s="364"/>
      <c r="BX476" s="364"/>
      <c r="BY476" s="364"/>
      <c r="BZ476" s="364"/>
      <c r="CA476" s="364"/>
      <c r="CB476" s="364"/>
      <c r="CC476" s="364"/>
      <c r="CD476" s="364"/>
      <c r="CE476" s="364"/>
      <c r="CF476" s="364"/>
      <c r="CG476" s="364"/>
      <c r="CH476" s="364"/>
      <c r="CI476" s="364"/>
      <c r="CJ476" s="364"/>
      <c r="CK476" s="364"/>
      <c r="CL476" s="364"/>
      <c r="CM476" s="364"/>
      <c r="CN476" s="364"/>
      <c r="CO476" s="364"/>
      <c r="CP476" s="364"/>
      <c r="CQ476" s="364"/>
      <c r="CR476" s="364"/>
      <c r="CS476" s="364"/>
      <c r="CT476" s="364"/>
      <c r="CU476" s="364"/>
      <c r="CV476" s="364"/>
      <c r="CW476" s="364"/>
      <c r="CX476" s="364"/>
      <c r="CY476" s="364"/>
      <c r="CZ476" s="364"/>
      <c r="DA476" s="364"/>
      <c r="DB476" s="364"/>
      <c r="DC476" s="364"/>
      <c r="DD476" s="364"/>
      <c r="DE476" s="364"/>
      <c r="DF476" s="364"/>
      <c r="DG476" s="364"/>
      <c r="DH476" s="364"/>
      <c r="DI476" s="364"/>
      <c r="DJ476" s="364"/>
      <c r="DK476" s="364"/>
      <c r="DL476" s="364"/>
      <c r="DM476" s="364"/>
      <c r="DN476" s="364"/>
      <c r="DO476" s="364"/>
      <c r="DP476" s="364"/>
      <c r="DQ476" s="364"/>
      <c r="DR476" s="364"/>
      <c r="DS476" s="364"/>
      <c r="DT476" s="364"/>
      <c r="DU476" s="364"/>
      <c r="DV476" s="364"/>
      <c r="DW476" s="364"/>
      <c r="DX476" s="364"/>
      <c r="DY476" s="364"/>
      <c r="DZ476" s="364"/>
      <c r="EA476" s="364"/>
      <c r="EB476" s="364"/>
      <c r="EC476" s="364"/>
      <c r="ED476" s="364"/>
      <c r="EE476" s="364"/>
      <c r="EF476" s="364"/>
      <c r="EG476" s="364"/>
      <c r="EH476" s="364"/>
      <c r="EI476" s="364"/>
      <c r="EJ476" s="364"/>
      <c r="EK476" s="364"/>
      <c r="EL476" s="364"/>
      <c r="EM476" s="364"/>
      <c r="EN476" s="364"/>
      <c r="EO476" s="364"/>
      <c r="EP476" s="364"/>
      <c r="EQ476" s="364"/>
      <c r="ER476" s="364"/>
      <c r="ES476" s="364"/>
      <c r="ET476" s="364"/>
      <c r="EU476" s="364"/>
      <c r="EV476" s="364"/>
      <c r="EW476" s="364"/>
      <c r="EX476" s="364"/>
      <c r="EY476" s="364"/>
      <c r="EZ476" s="364"/>
      <c r="FA476" s="364"/>
      <c r="FB476" s="364"/>
      <c r="FC476" s="364"/>
      <c r="FD476" s="364"/>
      <c r="FE476" s="364"/>
      <c r="FF476" s="364"/>
      <c r="FG476" s="364"/>
      <c r="FH476" s="364"/>
      <c r="FI476" s="364"/>
      <c r="FJ476" s="364"/>
      <c r="FK476" s="364"/>
    </row>
    <row r="477" customFormat="false" ht="15.75" hidden="false" customHeight="false" outlineLevel="0" collapsed="false">
      <c r="A477" s="364" t="n">
        <v>938</v>
      </c>
      <c r="B477" s="364" t="n">
        <f aca="false">COUNTA(D477:FK477)</f>
        <v>23</v>
      </c>
      <c r="C477" s="364" t="s">
        <v>2278</v>
      </c>
      <c r="D477" s="364" t="s">
        <v>2352</v>
      </c>
      <c r="E477" s="364" t="s">
        <v>2353</v>
      </c>
      <c r="F477" s="364" t="s">
        <v>2354</v>
      </c>
      <c r="G477" s="364" t="s">
        <v>2356</v>
      </c>
      <c r="H477" s="364" t="s">
        <v>2315</v>
      </c>
      <c r="I477" s="364" t="s">
        <v>2449</v>
      </c>
      <c r="J477" s="364" t="s">
        <v>2322</v>
      </c>
      <c r="K477" s="364" t="s">
        <v>2323</v>
      </c>
      <c r="L477" s="364" t="s">
        <v>2324</v>
      </c>
      <c r="M477" s="364" t="s">
        <v>2328</v>
      </c>
      <c r="N477" s="364" t="s">
        <v>2330</v>
      </c>
      <c r="O477" s="364" t="s">
        <v>2468</v>
      </c>
      <c r="P477" s="364" t="s">
        <v>2556</v>
      </c>
      <c r="Q477" s="364" t="s">
        <v>2531</v>
      </c>
      <c r="R477" s="364" t="s">
        <v>2551</v>
      </c>
      <c r="S477" s="364" t="s">
        <v>2336</v>
      </c>
      <c r="T477" s="364" t="s">
        <v>2337</v>
      </c>
      <c r="U477" s="364" t="s">
        <v>2340</v>
      </c>
      <c r="V477" s="364" t="s">
        <v>2701</v>
      </c>
      <c r="W477" s="364" t="s">
        <v>2514</v>
      </c>
      <c r="X477" s="364" t="s">
        <v>2344</v>
      </c>
      <c r="Y477" s="364" t="s">
        <v>2546</v>
      </c>
      <c r="Z477" s="364" t="s">
        <v>2458</v>
      </c>
      <c r="AA477" s="364"/>
      <c r="AB477" s="364"/>
      <c r="AC477" s="364"/>
      <c r="AD477" s="364"/>
      <c r="AE477" s="364"/>
      <c r="AF477" s="364"/>
      <c r="AG477" s="364"/>
      <c r="AH477" s="364"/>
      <c r="AI477" s="364"/>
      <c r="AJ477" s="364"/>
      <c r="AK477" s="364"/>
      <c r="AL477" s="364"/>
      <c r="AM477" s="364"/>
      <c r="AN477" s="364"/>
      <c r="AO477" s="364"/>
      <c r="AP477" s="364"/>
      <c r="AQ477" s="364"/>
      <c r="AR477" s="364"/>
      <c r="AS477" s="364"/>
      <c r="AT477" s="364"/>
      <c r="AU477" s="364"/>
      <c r="AV477" s="364"/>
      <c r="AW477" s="364"/>
      <c r="AX477" s="364"/>
      <c r="AY477" s="364"/>
      <c r="AZ477" s="364"/>
      <c r="BA477" s="364"/>
      <c r="BB477" s="364"/>
      <c r="BC477" s="364"/>
      <c r="BD477" s="364"/>
      <c r="BE477" s="364"/>
      <c r="BF477" s="364"/>
      <c r="BG477" s="364"/>
      <c r="BH477" s="364"/>
      <c r="BI477" s="364"/>
      <c r="BJ477" s="364"/>
      <c r="BK477" s="364"/>
      <c r="BL477" s="364"/>
      <c r="BM477" s="364"/>
      <c r="BN477" s="364"/>
      <c r="BO477" s="364"/>
      <c r="BP477" s="364"/>
      <c r="BQ477" s="364"/>
      <c r="BR477" s="364"/>
      <c r="BS477" s="364"/>
      <c r="BT477" s="364"/>
      <c r="BU477" s="364"/>
      <c r="BV477" s="364"/>
      <c r="BW477" s="364"/>
      <c r="BX477" s="364"/>
      <c r="BY477" s="364"/>
      <c r="BZ477" s="364"/>
      <c r="CA477" s="364"/>
      <c r="CB477" s="364"/>
      <c r="CC477" s="364"/>
      <c r="CD477" s="364"/>
      <c r="CE477" s="364"/>
      <c r="CF477" s="364"/>
      <c r="CG477" s="364"/>
      <c r="CH477" s="364"/>
      <c r="CI477" s="364"/>
      <c r="CJ477" s="364"/>
      <c r="CK477" s="364"/>
      <c r="CL477" s="364"/>
      <c r="CM477" s="364"/>
      <c r="CN477" s="364"/>
      <c r="CO477" s="364"/>
      <c r="CP477" s="364"/>
      <c r="CQ477" s="364"/>
      <c r="CR477" s="364"/>
      <c r="CS477" s="364"/>
      <c r="CT477" s="364"/>
      <c r="CU477" s="364"/>
      <c r="CV477" s="364"/>
      <c r="CW477" s="364"/>
      <c r="CX477" s="364"/>
      <c r="CY477" s="364"/>
      <c r="CZ477" s="364"/>
      <c r="DA477" s="364"/>
      <c r="DB477" s="364"/>
      <c r="DC477" s="364"/>
      <c r="DD477" s="364"/>
      <c r="DE477" s="364"/>
      <c r="DF477" s="364"/>
      <c r="DG477" s="364"/>
      <c r="DH477" s="364"/>
      <c r="DI477" s="364"/>
      <c r="DJ477" s="364"/>
      <c r="DK477" s="364"/>
      <c r="DL477" s="364"/>
      <c r="DM477" s="364"/>
      <c r="DN477" s="364"/>
      <c r="DO477" s="364"/>
      <c r="DP477" s="364"/>
      <c r="DQ477" s="364"/>
      <c r="DR477" s="364"/>
      <c r="DS477" s="364"/>
      <c r="DT477" s="364"/>
      <c r="DU477" s="364"/>
      <c r="DV477" s="364"/>
      <c r="DW477" s="364"/>
      <c r="DX477" s="364"/>
      <c r="DY477" s="364"/>
      <c r="DZ477" s="364"/>
      <c r="EA477" s="364"/>
      <c r="EB477" s="364"/>
      <c r="EC477" s="364"/>
      <c r="ED477" s="364"/>
      <c r="EE477" s="364"/>
      <c r="EF477" s="364"/>
      <c r="EG477" s="364"/>
      <c r="EH477" s="364"/>
      <c r="EI477" s="364"/>
      <c r="EJ477" s="364"/>
      <c r="EK477" s="364"/>
      <c r="EL477" s="364"/>
      <c r="EM477" s="364"/>
      <c r="EN477" s="364"/>
      <c r="EO477" s="364"/>
      <c r="EP477" s="364"/>
      <c r="EQ477" s="364"/>
      <c r="ER477" s="364"/>
      <c r="ES477" s="364"/>
      <c r="ET477" s="364"/>
      <c r="EU477" s="364"/>
      <c r="EV477" s="364"/>
      <c r="EW477" s="364"/>
      <c r="EX477" s="364"/>
      <c r="EY477" s="364"/>
      <c r="EZ477" s="364"/>
      <c r="FA477" s="364"/>
      <c r="FB477" s="364"/>
      <c r="FC477" s="364"/>
      <c r="FD477" s="364"/>
      <c r="FE477" s="364"/>
      <c r="FF477" s="364"/>
      <c r="FG477" s="364"/>
      <c r="FH477" s="364"/>
      <c r="FI477" s="364"/>
      <c r="FJ477" s="364"/>
      <c r="FK477" s="364"/>
    </row>
    <row r="478" customFormat="false" ht="15.75" hidden="false" customHeight="false" outlineLevel="0" collapsed="false">
      <c r="A478" s="364" t="n">
        <v>939</v>
      </c>
      <c r="B478" s="364" t="n">
        <f aca="false">COUNTA(D478:FK478)</f>
        <v>50</v>
      </c>
      <c r="C478" s="364" t="s">
        <v>2280</v>
      </c>
      <c r="D478" s="364" t="s">
        <v>2483</v>
      </c>
      <c r="E478" s="364" t="s">
        <v>2404</v>
      </c>
      <c r="F478" s="364" t="s">
        <v>2356</v>
      </c>
      <c r="G478" s="364" t="s">
        <v>2357</v>
      </c>
      <c r="H478" s="364" t="s">
        <v>2313</v>
      </c>
      <c r="I478" s="364" t="s">
        <v>2466</v>
      </c>
      <c r="J478" s="364" t="s">
        <v>2409</v>
      </c>
      <c r="K478" s="364" t="s">
        <v>2601</v>
      </c>
      <c r="L478" s="364" t="s">
        <v>2360</v>
      </c>
      <c r="M478" s="364" t="s">
        <v>2361</v>
      </c>
      <c r="N478" s="364" t="s">
        <v>2362</v>
      </c>
      <c r="O478" s="364" t="s">
        <v>2634</v>
      </c>
      <c r="P478" s="364" t="s">
        <v>2363</v>
      </c>
      <c r="Q478" s="364" t="s">
        <v>2520</v>
      </c>
      <c r="R478" s="364" t="s">
        <v>2543</v>
      </c>
      <c r="S478" s="364" t="s">
        <v>2317</v>
      </c>
      <c r="T478" s="364" t="s">
        <v>2320</v>
      </c>
      <c r="U478" s="364" t="s">
        <v>2366</v>
      </c>
      <c r="V478" s="364" t="s">
        <v>2373</v>
      </c>
      <c r="W478" s="364" t="s">
        <v>2324</v>
      </c>
      <c r="X478" s="364" t="s">
        <v>2412</v>
      </c>
      <c r="Y478" s="364" t="s">
        <v>2614</v>
      </c>
      <c r="Z478" s="364" t="s">
        <v>2378</v>
      </c>
      <c r="AA478" s="364" t="s">
        <v>2563</v>
      </c>
      <c r="AB478" s="364" t="s">
        <v>2328</v>
      </c>
      <c r="AC478" s="364" t="s">
        <v>2329</v>
      </c>
      <c r="AD478" s="364" t="s">
        <v>2506</v>
      </c>
      <c r="AE478" s="364" t="s">
        <v>2381</v>
      </c>
      <c r="AF478" s="364" t="s">
        <v>2330</v>
      </c>
      <c r="AG478" s="364" t="s">
        <v>2468</v>
      </c>
      <c r="AH478" s="364" t="s">
        <v>2332</v>
      </c>
      <c r="AI478" s="364" t="s">
        <v>2452</v>
      </c>
      <c r="AJ478" s="364" t="s">
        <v>2454</v>
      </c>
      <c r="AK478" s="364" t="s">
        <v>2337</v>
      </c>
      <c r="AL478" s="364" t="s">
        <v>2388</v>
      </c>
      <c r="AM478" s="364" t="s">
        <v>2389</v>
      </c>
      <c r="AN478" s="364" t="s">
        <v>2340</v>
      </c>
      <c r="AO478" s="364" t="s">
        <v>2392</v>
      </c>
      <c r="AP478" s="364" t="s">
        <v>2470</v>
      </c>
      <c r="AQ478" s="364" t="s">
        <v>2343</v>
      </c>
      <c r="AR478" s="364" t="s">
        <v>2471</v>
      </c>
      <c r="AS478" s="364" t="s">
        <v>2423</v>
      </c>
      <c r="AT478" s="364" t="s">
        <v>2472</v>
      </c>
      <c r="AU478" s="364" t="s">
        <v>2344</v>
      </c>
      <c r="AV478" s="364" t="s">
        <v>2567</v>
      </c>
      <c r="AW478" s="364" t="s">
        <v>2571</v>
      </c>
      <c r="AX478" s="364" t="s">
        <v>2346</v>
      </c>
      <c r="AY478" s="364" t="s">
        <v>2500</v>
      </c>
      <c r="AZ478" s="364" t="s">
        <v>2445</v>
      </c>
      <c r="BA478" s="364" t="s">
        <v>2515</v>
      </c>
      <c r="BB478" s="364"/>
      <c r="BC478" s="364"/>
      <c r="BD478" s="364"/>
      <c r="BE478" s="364"/>
      <c r="BF478" s="364"/>
      <c r="BG478" s="364"/>
      <c r="BH478" s="364"/>
      <c r="BI478" s="364"/>
      <c r="BJ478" s="364"/>
      <c r="BK478" s="364"/>
      <c r="BL478" s="364"/>
      <c r="BM478" s="364"/>
      <c r="BN478" s="364"/>
      <c r="BO478" s="364"/>
      <c r="BP478" s="364"/>
      <c r="BQ478" s="364"/>
      <c r="BR478" s="364"/>
      <c r="BS478" s="364"/>
      <c r="BT478" s="364"/>
      <c r="BU478" s="364"/>
      <c r="BV478" s="364"/>
      <c r="BW478" s="364"/>
      <c r="BX478" s="364"/>
      <c r="BY478" s="364"/>
      <c r="BZ478" s="364"/>
      <c r="CA478" s="364"/>
      <c r="CB478" s="364"/>
      <c r="CC478" s="364"/>
      <c r="CD478" s="364"/>
      <c r="CE478" s="364"/>
      <c r="CF478" s="364"/>
      <c r="CG478" s="364"/>
      <c r="CH478" s="364"/>
      <c r="CI478" s="364"/>
      <c r="CJ478" s="364"/>
      <c r="CK478" s="364"/>
      <c r="CL478" s="364"/>
      <c r="CM478" s="364"/>
      <c r="CN478" s="364"/>
      <c r="CO478" s="364"/>
      <c r="CP478" s="364"/>
      <c r="CQ478" s="364"/>
      <c r="CR478" s="364"/>
      <c r="CS478" s="364"/>
      <c r="CT478" s="364"/>
      <c r="CU478" s="364"/>
      <c r="CV478" s="364"/>
      <c r="CW478" s="364"/>
      <c r="CX478" s="364"/>
      <c r="CY478" s="364"/>
      <c r="CZ478" s="364"/>
      <c r="DA478" s="364"/>
      <c r="DB478" s="364"/>
      <c r="DC478" s="364"/>
      <c r="DD478" s="364"/>
      <c r="DE478" s="364"/>
      <c r="DF478" s="364"/>
      <c r="DG478" s="364"/>
      <c r="DH478" s="364"/>
      <c r="DI478" s="364"/>
      <c r="DJ478" s="364"/>
      <c r="DK478" s="364"/>
      <c r="DL478" s="364"/>
      <c r="DM478" s="364"/>
      <c r="DN478" s="364"/>
      <c r="DO478" s="364"/>
      <c r="DP478" s="364"/>
      <c r="DQ478" s="364"/>
      <c r="DR478" s="364"/>
      <c r="DS478" s="364"/>
      <c r="DT478" s="364"/>
      <c r="DU478" s="364"/>
      <c r="DV478" s="364"/>
      <c r="DW478" s="364"/>
      <c r="DX478" s="364"/>
      <c r="DY478" s="364"/>
      <c r="DZ478" s="364"/>
      <c r="EA478" s="364"/>
      <c r="EB478" s="364"/>
      <c r="EC478" s="364"/>
      <c r="ED478" s="364"/>
      <c r="EE478" s="364"/>
      <c r="EF478" s="364"/>
      <c r="EG478" s="364"/>
      <c r="EH478" s="364"/>
      <c r="EI478" s="364"/>
      <c r="EJ478" s="364"/>
      <c r="EK478" s="364"/>
      <c r="EL478" s="364"/>
      <c r="EM478" s="364"/>
      <c r="EN478" s="364"/>
      <c r="EO478" s="364"/>
      <c r="EP478" s="364"/>
      <c r="EQ478" s="364"/>
      <c r="ER478" s="364"/>
      <c r="ES478" s="364"/>
      <c r="ET478" s="364"/>
      <c r="EU478" s="364"/>
      <c r="EV478" s="364"/>
      <c r="EW478" s="364"/>
      <c r="EX478" s="364"/>
      <c r="EY478" s="364"/>
      <c r="EZ478" s="364"/>
      <c r="FA478" s="364"/>
      <c r="FB478" s="364"/>
      <c r="FC478" s="364"/>
      <c r="FD478" s="364"/>
      <c r="FE478" s="364"/>
      <c r="FF478" s="364"/>
      <c r="FG478" s="364"/>
      <c r="FH478" s="364"/>
      <c r="FI478" s="364"/>
      <c r="FJ478" s="364"/>
      <c r="FK478" s="364"/>
    </row>
    <row r="479" customFormat="false" ht="15.75" hidden="false" customHeight="false" outlineLevel="0" collapsed="false">
      <c r="A479" s="364" t="n">
        <v>940</v>
      </c>
      <c r="B479" s="364" t="n">
        <f aca="false">COUNTA(D479:FK479)</f>
        <v>46</v>
      </c>
      <c r="C479" s="364" t="s">
        <v>2282</v>
      </c>
      <c r="D479" s="364" t="s">
        <v>2352</v>
      </c>
      <c r="E479" s="364" t="s">
        <v>2356</v>
      </c>
      <c r="F479" s="364" t="s">
        <v>2357</v>
      </c>
      <c r="G479" s="364" t="s">
        <v>2313</v>
      </c>
      <c r="H479" s="364" t="s">
        <v>2464</v>
      </c>
      <c r="I479" s="364" t="s">
        <v>2434</v>
      </c>
      <c r="J479" s="364" t="s">
        <v>2409</v>
      </c>
      <c r="K479" s="364" t="s">
        <v>2361</v>
      </c>
      <c r="L479" s="364" t="s">
        <v>2497</v>
      </c>
      <c r="M479" s="364" t="s">
        <v>2317</v>
      </c>
      <c r="N479" s="364" t="s">
        <v>2320</v>
      </c>
      <c r="O479" s="364" t="s">
        <v>2411</v>
      </c>
      <c r="P479" s="364" t="s">
        <v>2324</v>
      </c>
      <c r="Q479" s="364" t="s">
        <v>2412</v>
      </c>
      <c r="R479" s="364" t="s">
        <v>2378</v>
      </c>
      <c r="S479" s="364" t="s">
        <v>2328</v>
      </c>
      <c r="T479" s="364" t="s">
        <v>2329</v>
      </c>
      <c r="U479" s="364" t="s">
        <v>2521</v>
      </c>
      <c r="V479" s="364" t="s">
        <v>2506</v>
      </c>
      <c r="W479" s="364" t="s">
        <v>2330</v>
      </c>
      <c r="X479" s="364" t="s">
        <v>2384</v>
      </c>
      <c r="Y479" s="364" t="s">
        <v>2574</v>
      </c>
      <c r="Z479" s="364" t="s">
        <v>2531</v>
      </c>
      <c r="AA479" s="364" t="s">
        <v>2332</v>
      </c>
      <c r="AB479" s="364" t="s">
        <v>2747</v>
      </c>
      <c r="AC479" s="364" t="s">
        <v>2536</v>
      </c>
      <c r="AD479" s="364" t="s">
        <v>2748</v>
      </c>
      <c r="AE479" s="364" t="s">
        <v>157</v>
      </c>
      <c r="AF479" s="364" t="s">
        <v>2551</v>
      </c>
      <c r="AG479" s="364" t="s">
        <v>2495</v>
      </c>
      <c r="AH479" s="364" t="s">
        <v>2337</v>
      </c>
      <c r="AI479" s="364" t="s">
        <v>2564</v>
      </c>
      <c r="AJ479" s="364" t="s">
        <v>2388</v>
      </c>
      <c r="AK479" s="364" t="s">
        <v>2389</v>
      </c>
      <c r="AL479" s="364" t="s">
        <v>2340</v>
      </c>
      <c r="AM479" s="364" t="s">
        <v>2392</v>
      </c>
      <c r="AN479" s="364" t="s">
        <v>2470</v>
      </c>
      <c r="AO479" s="364" t="s">
        <v>2422</v>
      </c>
      <c r="AP479" s="364" t="s">
        <v>2395</v>
      </c>
      <c r="AQ479" s="364" t="s">
        <v>2514</v>
      </c>
      <c r="AR479" s="364" t="s">
        <v>2344</v>
      </c>
      <c r="AS479" s="364" t="s">
        <v>2345</v>
      </c>
      <c r="AT479" s="364" t="s">
        <v>2500</v>
      </c>
      <c r="AU479" s="364" t="s">
        <v>2641</v>
      </c>
      <c r="AV479" s="364" t="s">
        <v>2445</v>
      </c>
      <c r="AW479" s="364" t="s">
        <v>2458</v>
      </c>
      <c r="AX479" s="364"/>
      <c r="AY479" s="364"/>
      <c r="AZ479" s="364"/>
      <c r="BA479" s="364"/>
      <c r="BB479" s="364"/>
      <c r="BC479" s="364"/>
      <c r="BD479" s="364"/>
      <c r="BE479" s="364"/>
      <c r="BF479" s="364"/>
      <c r="BG479" s="364"/>
      <c r="BH479" s="364"/>
      <c r="BI479" s="364"/>
      <c r="BJ479" s="364"/>
      <c r="BK479" s="364"/>
      <c r="BL479" s="364"/>
      <c r="BM479" s="364"/>
      <c r="BN479" s="364"/>
      <c r="BO479" s="364"/>
      <c r="BP479" s="364"/>
      <c r="BQ479" s="364"/>
      <c r="BR479" s="364"/>
      <c r="BS479" s="364"/>
      <c r="BT479" s="364"/>
      <c r="BU479" s="364"/>
      <c r="BV479" s="364"/>
      <c r="BW479" s="364"/>
      <c r="BX479" s="364"/>
      <c r="BY479" s="364"/>
      <c r="BZ479" s="364"/>
      <c r="CA479" s="364"/>
      <c r="CB479" s="364"/>
      <c r="CC479" s="364"/>
      <c r="CD479" s="364"/>
      <c r="CE479" s="364"/>
      <c r="CF479" s="364"/>
      <c r="CG479" s="364"/>
      <c r="CH479" s="364"/>
      <c r="CI479" s="364"/>
      <c r="CJ479" s="364"/>
      <c r="CK479" s="364"/>
      <c r="CL479" s="364"/>
      <c r="CM479" s="364"/>
      <c r="CN479" s="364"/>
      <c r="CO479" s="364"/>
      <c r="CP479" s="364"/>
      <c r="CQ479" s="364"/>
      <c r="CR479" s="364"/>
      <c r="CS479" s="364"/>
      <c r="CT479" s="364"/>
      <c r="CU479" s="364"/>
      <c r="CV479" s="364"/>
      <c r="CW479" s="364"/>
      <c r="CX479" s="364"/>
      <c r="CY479" s="364"/>
      <c r="CZ479" s="364"/>
      <c r="DA479" s="364"/>
      <c r="DB479" s="364"/>
      <c r="DC479" s="364"/>
      <c r="DD479" s="364"/>
      <c r="DE479" s="364"/>
      <c r="DF479" s="364"/>
      <c r="DG479" s="364"/>
      <c r="DH479" s="364"/>
      <c r="DI479" s="364"/>
      <c r="DJ479" s="364"/>
      <c r="DK479" s="364"/>
      <c r="DL479" s="364"/>
      <c r="DM479" s="364"/>
      <c r="DN479" s="364"/>
      <c r="DO479" s="364"/>
      <c r="DP479" s="364"/>
      <c r="DQ479" s="364"/>
      <c r="DR479" s="364"/>
      <c r="DS479" s="364"/>
      <c r="DT479" s="364"/>
      <c r="DU479" s="364"/>
      <c r="DV479" s="364"/>
      <c r="DW479" s="364"/>
      <c r="DX479" s="364"/>
      <c r="DY479" s="364"/>
      <c r="DZ479" s="364"/>
      <c r="EA479" s="364"/>
      <c r="EB479" s="364"/>
      <c r="EC479" s="364"/>
      <c r="ED479" s="364"/>
      <c r="EE479" s="364"/>
      <c r="EF479" s="364"/>
      <c r="EG479" s="364"/>
      <c r="EH479" s="364"/>
      <c r="EI479" s="364"/>
      <c r="EJ479" s="364"/>
      <c r="EK479" s="364"/>
      <c r="EL479" s="364"/>
      <c r="EM479" s="364"/>
      <c r="EN479" s="364"/>
      <c r="EO479" s="364"/>
      <c r="EP479" s="364"/>
      <c r="EQ479" s="364"/>
      <c r="ER479" s="364"/>
      <c r="ES479" s="364"/>
      <c r="ET479" s="364"/>
      <c r="EU479" s="364"/>
      <c r="EV479" s="364"/>
      <c r="EW479" s="364"/>
      <c r="EX479" s="364"/>
      <c r="EY479" s="364"/>
      <c r="EZ479" s="364"/>
      <c r="FA479" s="364"/>
      <c r="FB479" s="364"/>
      <c r="FC479" s="364"/>
      <c r="FD479" s="364"/>
      <c r="FE479" s="364"/>
      <c r="FF479" s="364"/>
      <c r="FG479" s="364"/>
      <c r="FH479" s="364"/>
      <c r="FI479" s="364"/>
      <c r="FJ479" s="364"/>
      <c r="FK479" s="364"/>
    </row>
    <row r="480" customFormat="false" ht="15.75" hidden="false" customHeight="false" outlineLevel="0" collapsed="false">
      <c r="A480" s="364" t="n">
        <v>941</v>
      </c>
      <c r="B480" s="364" t="n">
        <f aca="false">COUNTA(D480:FK480)</f>
        <v>47</v>
      </c>
      <c r="C480" s="364" t="s">
        <v>2749</v>
      </c>
      <c r="D480" s="364" t="s">
        <v>2352</v>
      </c>
      <c r="E480" s="364" t="s">
        <v>2356</v>
      </c>
      <c r="F480" s="364" t="s">
        <v>2357</v>
      </c>
      <c r="G480" s="364" t="s">
        <v>2313</v>
      </c>
      <c r="H480" s="364" t="s">
        <v>2464</v>
      </c>
      <c r="I480" s="364" t="s">
        <v>2434</v>
      </c>
      <c r="J480" s="364" t="s">
        <v>2409</v>
      </c>
      <c r="K480" s="364" t="s">
        <v>2361</v>
      </c>
      <c r="L480" s="364" t="s">
        <v>2497</v>
      </c>
      <c r="M480" s="364" t="s">
        <v>2317</v>
      </c>
      <c r="N480" s="364" t="s">
        <v>2320</v>
      </c>
      <c r="O480" s="364" t="s">
        <v>2411</v>
      </c>
      <c r="P480" s="364" t="s">
        <v>2324</v>
      </c>
      <c r="Q480" s="364" t="s">
        <v>2412</v>
      </c>
      <c r="R480" s="364" t="s">
        <v>2378</v>
      </c>
      <c r="S480" s="364" t="s">
        <v>2328</v>
      </c>
      <c r="T480" s="364" t="s">
        <v>2329</v>
      </c>
      <c r="U480" s="364" t="s">
        <v>2521</v>
      </c>
      <c r="V480" s="364" t="s">
        <v>2506</v>
      </c>
      <c r="W480" s="364" t="s">
        <v>2330</v>
      </c>
      <c r="X480" s="364" t="s">
        <v>2384</v>
      </c>
      <c r="Y480" s="364" t="s">
        <v>2574</v>
      </c>
      <c r="Z480" s="364" t="s">
        <v>2746</v>
      </c>
      <c r="AA480" s="364" t="s">
        <v>2531</v>
      </c>
      <c r="AB480" s="364" t="s">
        <v>2332</v>
      </c>
      <c r="AC480" s="364" t="s">
        <v>2747</v>
      </c>
      <c r="AD480" s="364" t="s">
        <v>2536</v>
      </c>
      <c r="AE480" s="364" t="s">
        <v>2748</v>
      </c>
      <c r="AF480" s="364" t="s">
        <v>157</v>
      </c>
      <c r="AG480" s="364" t="s">
        <v>2551</v>
      </c>
      <c r="AH480" s="364" t="s">
        <v>2495</v>
      </c>
      <c r="AI480" s="364" t="s">
        <v>2337</v>
      </c>
      <c r="AJ480" s="364" t="s">
        <v>2564</v>
      </c>
      <c r="AK480" s="364" t="s">
        <v>2388</v>
      </c>
      <c r="AL480" s="364" t="s">
        <v>2389</v>
      </c>
      <c r="AM480" s="364" t="s">
        <v>2340</v>
      </c>
      <c r="AN480" s="364" t="s">
        <v>2392</v>
      </c>
      <c r="AO480" s="364" t="s">
        <v>2470</v>
      </c>
      <c r="AP480" s="364" t="s">
        <v>2422</v>
      </c>
      <c r="AQ480" s="364" t="s">
        <v>2395</v>
      </c>
      <c r="AR480" s="364" t="s">
        <v>2514</v>
      </c>
      <c r="AS480" s="364" t="s">
        <v>2344</v>
      </c>
      <c r="AT480" s="364" t="s">
        <v>2345</v>
      </c>
      <c r="AU480" s="364" t="s">
        <v>2500</v>
      </c>
      <c r="AV480" s="364" t="s">
        <v>2641</v>
      </c>
      <c r="AW480" s="364" t="s">
        <v>2445</v>
      </c>
      <c r="AX480" s="364" t="s">
        <v>2458</v>
      </c>
      <c r="AY480" s="364"/>
      <c r="AZ480" s="364"/>
      <c r="BA480" s="364"/>
      <c r="BB480" s="364"/>
      <c r="BC480" s="364"/>
      <c r="BD480" s="364"/>
      <c r="BE480" s="364"/>
      <c r="BF480" s="364"/>
      <c r="BG480" s="364"/>
      <c r="BH480" s="364"/>
      <c r="BI480" s="364"/>
      <c r="BJ480" s="364"/>
      <c r="BK480" s="364"/>
      <c r="BL480" s="364"/>
      <c r="BM480" s="364"/>
      <c r="BN480" s="364"/>
      <c r="BO480" s="364"/>
      <c r="BP480" s="364"/>
      <c r="BQ480" s="364"/>
      <c r="BR480" s="364"/>
      <c r="BS480" s="364"/>
      <c r="BT480" s="364"/>
      <c r="BU480" s="364"/>
      <c r="BV480" s="364"/>
      <c r="BW480" s="364"/>
      <c r="BX480" s="364"/>
      <c r="BY480" s="364"/>
      <c r="BZ480" s="364"/>
      <c r="CA480" s="364"/>
      <c r="CB480" s="364"/>
      <c r="CC480" s="364"/>
      <c r="CD480" s="364"/>
      <c r="CE480" s="364"/>
      <c r="CF480" s="364"/>
      <c r="CG480" s="364"/>
      <c r="CH480" s="364"/>
      <c r="CI480" s="364"/>
      <c r="CJ480" s="364"/>
      <c r="CK480" s="364"/>
      <c r="CL480" s="364"/>
      <c r="CM480" s="364"/>
      <c r="CN480" s="364"/>
      <c r="CO480" s="364"/>
      <c r="CP480" s="364"/>
      <c r="CQ480" s="364"/>
      <c r="CR480" s="364"/>
      <c r="CS480" s="364"/>
      <c r="CT480" s="364"/>
      <c r="CU480" s="364"/>
      <c r="CV480" s="364"/>
      <c r="CW480" s="364"/>
      <c r="CX480" s="364"/>
      <c r="CY480" s="364"/>
      <c r="CZ480" s="364"/>
      <c r="DA480" s="364"/>
      <c r="DB480" s="364"/>
      <c r="DC480" s="364"/>
      <c r="DD480" s="364"/>
      <c r="DE480" s="364"/>
      <c r="DF480" s="364"/>
      <c r="DG480" s="364"/>
      <c r="DH480" s="364"/>
      <c r="DI480" s="364"/>
      <c r="DJ480" s="364"/>
      <c r="DK480" s="364"/>
      <c r="DL480" s="364"/>
      <c r="DM480" s="364"/>
      <c r="DN480" s="364"/>
      <c r="DO480" s="364"/>
      <c r="DP480" s="364"/>
      <c r="DQ480" s="364"/>
      <c r="DR480" s="364"/>
      <c r="DS480" s="364"/>
      <c r="DT480" s="364"/>
      <c r="DU480" s="364"/>
      <c r="DV480" s="364"/>
      <c r="DW480" s="364"/>
      <c r="DX480" s="364"/>
      <c r="DY480" s="364"/>
      <c r="DZ480" s="364"/>
      <c r="EA480" s="364"/>
      <c r="EB480" s="364"/>
      <c r="EC480" s="364"/>
      <c r="ED480" s="364"/>
      <c r="EE480" s="364"/>
      <c r="EF480" s="364"/>
      <c r="EG480" s="364"/>
      <c r="EH480" s="364"/>
      <c r="EI480" s="364"/>
      <c r="EJ480" s="364"/>
      <c r="EK480" s="364"/>
      <c r="EL480" s="364"/>
      <c r="EM480" s="364"/>
      <c r="EN480" s="364"/>
      <c r="EO480" s="364"/>
      <c r="EP480" s="364"/>
      <c r="EQ480" s="364"/>
      <c r="ER480" s="364"/>
      <c r="ES480" s="364"/>
      <c r="ET480" s="364"/>
      <c r="EU480" s="364"/>
      <c r="EV480" s="364"/>
      <c r="EW480" s="364"/>
      <c r="EX480" s="364"/>
      <c r="EY480" s="364"/>
      <c r="EZ480" s="364"/>
      <c r="FA480" s="364"/>
      <c r="FB480" s="364"/>
      <c r="FC480" s="364"/>
      <c r="FD480" s="364"/>
      <c r="FE480" s="364"/>
      <c r="FF480" s="364"/>
      <c r="FG480" s="364"/>
      <c r="FH480" s="364"/>
      <c r="FI480" s="364"/>
      <c r="FJ480" s="364"/>
      <c r="FK480" s="364"/>
    </row>
    <row r="481" customFormat="false" ht="15.75" hidden="false" customHeight="false" outlineLevel="0" collapsed="false">
      <c r="A481" s="364" t="n">
        <v>942</v>
      </c>
      <c r="B481" s="364" t="n">
        <f aca="false">COUNTA(D481:FK481)</f>
        <v>47</v>
      </c>
      <c r="C481" s="364" t="s">
        <v>2750</v>
      </c>
      <c r="D481" s="364" t="s">
        <v>2352</v>
      </c>
      <c r="E481" s="364" t="s">
        <v>2356</v>
      </c>
      <c r="F481" s="364" t="s">
        <v>2357</v>
      </c>
      <c r="G481" s="364" t="s">
        <v>2313</v>
      </c>
      <c r="H481" s="364" t="s">
        <v>2464</v>
      </c>
      <c r="I481" s="364" t="s">
        <v>2434</v>
      </c>
      <c r="J481" s="364" t="s">
        <v>2409</v>
      </c>
      <c r="K481" s="364" t="s">
        <v>2361</v>
      </c>
      <c r="L481" s="364" t="s">
        <v>2497</v>
      </c>
      <c r="M481" s="364" t="s">
        <v>2317</v>
      </c>
      <c r="N481" s="364" t="s">
        <v>2320</v>
      </c>
      <c r="O481" s="364" t="s">
        <v>2411</v>
      </c>
      <c r="P481" s="364" t="s">
        <v>2324</v>
      </c>
      <c r="Q481" s="364" t="s">
        <v>2412</v>
      </c>
      <c r="R481" s="364" t="s">
        <v>2378</v>
      </c>
      <c r="S481" s="364" t="s">
        <v>2328</v>
      </c>
      <c r="T481" s="364" t="s">
        <v>2329</v>
      </c>
      <c r="U481" s="364" t="s">
        <v>2521</v>
      </c>
      <c r="V481" s="364" t="s">
        <v>2506</v>
      </c>
      <c r="W481" s="364" t="s">
        <v>2330</v>
      </c>
      <c r="X481" s="364" t="s">
        <v>2384</v>
      </c>
      <c r="Y481" s="364" t="s">
        <v>2574</v>
      </c>
      <c r="Z481" s="364" t="s">
        <v>2531</v>
      </c>
      <c r="AA481" s="364" t="s">
        <v>2332</v>
      </c>
      <c r="AB481" s="364" t="s">
        <v>2747</v>
      </c>
      <c r="AC481" s="364" t="s">
        <v>2536</v>
      </c>
      <c r="AD481" s="364" t="s">
        <v>2748</v>
      </c>
      <c r="AE481" s="364" t="s">
        <v>157</v>
      </c>
      <c r="AF481" s="364" t="s">
        <v>2551</v>
      </c>
      <c r="AG481" s="364" t="s">
        <v>2495</v>
      </c>
      <c r="AH481" s="364" t="s">
        <v>2337</v>
      </c>
      <c r="AI481" s="364" t="s">
        <v>2564</v>
      </c>
      <c r="AJ481" s="364" t="s">
        <v>2388</v>
      </c>
      <c r="AK481" s="364" t="s">
        <v>2389</v>
      </c>
      <c r="AL481" s="364" t="s">
        <v>2340</v>
      </c>
      <c r="AM481" s="364" t="s">
        <v>2392</v>
      </c>
      <c r="AN481" s="364" t="s">
        <v>2470</v>
      </c>
      <c r="AO481" s="364" t="s">
        <v>2422</v>
      </c>
      <c r="AP481" s="364" t="s">
        <v>2395</v>
      </c>
      <c r="AQ481" s="364" t="s">
        <v>2514</v>
      </c>
      <c r="AR481" s="364" t="s">
        <v>2344</v>
      </c>
      <c r="AS481" s="364" t="s">
        <v>2345</v>
      </c>
      <c r="AT481" s="364" t="s">
        <v>2500</v>
      </c>
      <c r="AU481" s="364" t="s">
        <v>2641</v>
      </c>
      <c r="AV481" s="364" t="s">
        <v>2745</v>
      </c>
      <c r="AW481" s="364" t="s">
        <v>2445</v>
      </c>
      <c r="AX481" s="364" t="s">
        <v>2458</v>
      </c>
      <c r="AY481" s="364"/>
      <c r="AZ481" s="364"/>
      <c r="BA481" s="364"/>
      <c r="BB481" s="364"/>
      <c r="BC481" s="364"/>
      <c r="BD481" s="364"/>
      <c r="BE481" s="364"/>
      <c r="BF481" s="364"/>
      <c r="BG481" s="364"/>
      <c r="BH481" s="364"/>
      <c r="BI481" s="364"/>
      <c r="BJ481" s="364"/>
      <c r="BK481" s="364"/>
      <c r="BL481" s="364"/>
      <c r="BM481" s="364"/>
      <c r="BN481" s="364"/>
      <c r="BO481" s="364"/>
      <c r="BP481" s="364"/>
      <c r="BQ481" s="364"/>
      <c r="BR481" s="364"/>
      <c r="BS481" s="364"/>
      <c r="BT481" s="364"/>
      <c r="BU481" s="364"/>
      <c r="BV481" s="364"/>
      <c r="BW481" s="364"/>
      <c r="BX481" s="364"/>
      <c r="BY481" s="364"/>
      <c r="BZ481" s="364"/>
      <c r="CA481" s="364"/>
      <c r="CB481" s="364"/>
      <c r="CC481" s="364"/>
      <c r="CD481" s="364"/>
      <c r="CE481" s="364"/>
      <c r="CF481" s="364"/>
      <c r="CG481" s="364"/>
      <c r="CH481" s="364"/>
      <c r="CI481" s="364"/>
      <c r="CJ481" s="364"/>
      <c r="CK481" s="364"/>
      <c r="CL481" s="364"/>
      <c r="CM481" s="364"/>
      <c r="CN481" s="364"/>
      <c r="CO481" s="364"/>
      <c r="CP481" s="364"/>
      <c r="CQ481" s="364"/>
      <c r="CR481" s="364"/>
      <c r="CS481" s="364"/>
      <c r="CT481" s="364"/>
      <c r="CU481" s="364"/>
      <c r="CV481" s="364"/>
      <c r="CW481" s="364"/>
      <c r="CX481" s="364"/>
      <c r="CY481" s="364"/>
      <c r="CZ481" s="364"/>
      <c r="DA481" s="364"/>
      <c r="DB481" s="364"/>
      <c r="DC481" s="364"/>
      <c r="DD481" s="364"/>
      <c r="DE481" s="364"/>
      <c r="DF481" s="364"/>
      <c r="DG481" s="364"/>
      <c r="DH481" s="364"/>
      <c r="DI481" s="364"/>
      <c r="DJ481" s="364"/>
      <c r="DK481" s="364"/>
      <c r="DL481" s="364"/>
      <c r="DM481" s="364"/>
      <c r="DN481" s="364"/>
      <c r="DO481" s="364"/>
      <c r="DP481" s="364"/>
      <c r="DQ481" s="364"/>
      <c r="DR481" s="364"/>
      <c r="DS481" s="364"/>
      <c r="DT481" s="364"/>
      <c r="DU481" s="364"/>
      <c r="DV481" s="364"/>
      <c r="DW481" s="364"/>
      <c r="DX481" s="364"/>
      <c r="DY481" s="364"/>
      <c r="DZ481" s="364"/>
      <c r="EA481" s="364"/>
      <c r="EB481" s="364"/>
      <c r="EC481" s="364"/>
      <c r="ED481" s="364"/>
      <c r="EE481" s="364"/>
      <c r="EF481" s="364"/>
      <c r="EG481" s="364"/>
      <c r="EH481" s="364"/>
      <c r="EI481" s="364"/>
      <c r="EJ481" s="364"/>
      <c r="EK481" s="364"/>
      <c r="EL481" s="364"/>
      <c r="EM481" s="364"/>
      <c r="EN481" s="364"/>
      <c r="EO481" s="364"/>
      <c r="EP481" s="364"/>
      <c r="EQ481" s="364"/>
      <c r="ER481" s="364"/>
      <c r="ES481" s="364"/>
      <c r="ET481" s="364"/>
      <c r="EU481" s="364"/>
      <c r="EV481" s="364"/>
      <c r="EW481" s="364"/>
      <c r="EX481" s="364"/>
      <c r="EY481" s="364"/>
      <c r="EZ481" s="364"/>
      <c r="FA481" s="364"/>
      <c r="FB481" s="364"/>
      <c r="FC481" s="364"/>
      <c r="FD481" s="364"/>
      <c r="FE481" s="364"/>
      <c r="FF481" s="364"/>
      <c r="FG481" s="364"/>
      <c r="FH481" s="364"/>
      <c r="FI481" s="364"/>
      <c r="FJ481" s="364"/>
      <c r="FK481" s="364"/>
    </row>
    <row r="482" customFormat="false" ht="15.75" hidden="false" customHeight="false" outlineLevel="0" collapsed="false">
      <c r="A482" s="364" t="n">
        <v>944</v>
      </c>
      <c r="B482" s="364" t="n">
        <f aca="false">COUNTA(D482:FK482)</f>
        <v>33</v>
      </c>
      <c r="C482" s="364" t="s">
        <v>2295</v>
      </c>
      <c r="D482" s="364" t="s">
        <v>2635</v>
      </c>
      <c r="E482" s="364" t="s">
        <v>2581</v>
      </c>
      <c r="F482" s="364" t="s">
        <v>2356</v>
      </c>
      <c r="G482" s="364" t="s">
        <v>2464</v>
      </c>
      <c r="H482" s="364" t="s">
        <v>2517</v>
      </c>
      <c r="I482" s="364" t="s">
        <v>2318</v>
      </c>
      <c r="J482" s="364" t="s">
        <v>2319</v>
      </c>
      <c r="K482" s="364" t="s">
        <v>2562</v>
      </c>
      <c r="L482" s="364" t="s">
        <v>2449</v>
      </c>
      <c r="M482" s="364" t="s">
        <v>2411</v>
      </c>
      <c r="N482" s="364" t="s">
        <v>2751</v>
      </c>
      <c r="O482" s="364" t="s">
        <v>2376</v>
      </c>
      <c r="P482" s="364" t="s">
        <v>2324</v>
      </c>
      <c r="Q482" s="364" t="s">
        <v>2325</v>
      </c>
      <c r="R482" s="364" t="s">
        <v>2412</v>
      </c>
      <c r="S482" s="364" t="s">
        <v>2328</v>
      </c>
      <c r="T482" s="364" t="s">
        <v>2329</v>
      </c>
      <c r="U482" s="364" t="s">
        <v>2415</v>
      </c>
      <c r="V482" s="364" t="s">
        <v>2506</v>
      </c>
      <c r="W482" s="364" t="s">
        <v>2468</v>
      </c>
      <c r="X482" s="364" t="s">
        <v>2574</v>
      </c>
      <c r="Y482" s="364" t="s">
        <v>2439</v>
      </c>
      <c r="Z482" s="364" t="s">
        <v>2340</v>
      </c>
      <c r="AA482" s="364" t="s">
        <v>2442</v>
      </c>
      <c r="AB482" s="364" t="s">
        <v>2470</v>
      </c>
      <c r="AC482" s="364" t="s">
        <v>2422</v>
      </c>
      <c r="AD482" s="364" t="s">
        <v>2344</v>
      </c>
      <c r="AE482" s="364" t="s">
        <v>2345</v>
      </c>
      <c r="AF482" s="364" t="s">
        <v>2575</v>
      </c>
      <c r="AG482" s="364" t="s">
        <v>2592</v>
      </c>
      <c r="AH482" s="364" t="s">
        <v>2476</v>
      </c>
      <c r="AI482" s="364" t="s">
        <v>2492</v>
      </c>
      <c r="AJ482" s="364" t="s">
        <v>2430</v>
      </c>
      <c r="AK482" s="364"/>
      <c r="AL482" s="364"/>
      <c r="AM482" s="364"/>
      <c r="AN482" s="364"/>
      <c r="AO482" s="364"/>
      <c r="AP482" s="364"/>
      <c r="AQ482" s="364"/>
      <c r="AR482" s="364"/>
      <c r="AS482" s="364"/>
      <c r="AT482" s="364"/>
      <c r="AU482" s="364"/>
      <c r="AV482" s="364"/>
      <c r="AW482" s="364"/>
      <c r="AX482" s="364"/>
      <c r="AY482" s="364"/>
      <c r="AZ482" s="364"/>
      <c r="BA482" s="364"/>
      <c r="BB482" s="364"/>
      <c r="BC482" s="364"/>
      <c r="BD482" s="364"/>
      <c r="BE482" s="364"/>
      <c r="BF482" s="364"/>
      <c r="BG482" s="364"/>
      <c r="BH482" s="364"/>
      <c r="BI482" s="364"/>
      <c r="BJ482" s="364"/>
      <c r="BK482" s="364"/>
      <c r="BL482" s="364"/>
      <c r="BM482" s="364"/>
      <c r="BN482" s="364"/>
      <c r="BO482" s="364"/>
      <c r="BP482" s="364"/>
      <c r="BQ482" s="364"/>
      <c r="BR482" s="364"/>
      <c r="BS482" s="364"/>
      <c r="BT482" s="364"/>
      <c r="BU482" s="364"/>
      <c r="BV482" s="364"/>
      <c r="BW482" s="364"/>
      <c r="BX482" s="364"/>
      <c r="BY482" s="364"/>
      <c r="BZ482" s="364"/>
      <c r="CA482" s="364"/>
      <c r="CB482" s="364"/>
      <c r="CC482" s="364"/>
      <c r="CD482" s="364"/>
      <c r="CE482" s="364"/>
      <c r="CF482" s="364"/>
      <c r="CG482" s="364"/>
      <c r="CH482" s="364"/>
      <c r="CI482" s="364"/>
      <c r="CJ482" s="364"/>
      <c r="CK482" s="364"/>
      <c r="CL482" s="364"/>
      <c r="CM482" s="364"/>
      <c r="CN482" s="364"/>
      <c r="CO482" s="364"/>
      <c r="CP482" s="364"/>
      <c r="CQ482" s="364"/>
      <c r="CR482" s="364"/>
      <c r="CS482" s="364"/>
      <c r="CT482" s="364"/>
      <c r="CU482" s="364"/>
      <c r="CV482" s="364"/>
      <c r="CW482" s="364"/>
      <c r="CX482" s="364"/>
      <c r="CY482" s="364"/>
      <c r="CZ482" s="364"/>
      <c r="DA482" s="364"/>
      <c r="DB482" s="364"/>
      <c r="DC482" s="364"/>
      <c r="DD482" s="364"/>
      <c r="DE482" s="364"/>
      <c r="DF482" s="364"/>
      <c r="DG482" s="364"/>
      <c r="DH482" s="364"/>
      <c r="DI482" s="364"/>
      <c r="DJ482" s="364"/>
      <c r="DK482" s="364"/>
      <c r="DL482" s="364"/>
      <c r="DM482" s="364"/>
      <c r="DN482" s="364"/>
      <c r="DO482" s="364"/>
      <c r="DP482" s="364"/>
      <c r="DQ482" s="364"/>
      <c r="DR482" s="364"/>
      <c r="DS482" s="364"/>
      <c r="DT482" s="364"/>
      <c r="DU482" s="364"/>
      <c r="DV482" s="364"/>
      <c r="DW482" s="364"/>
      <c r="DX482" s="364"/>
      <c r="DY482" s="364"/>
      <c r="DZ482" s="364"/>
      <c r="EA482" s="364"/>
      <c r="EB482" s="364"/>
      <c r="EC482" s="364"/>
      <c r="ED482" s="364"/>
      <c r="EE482" s="364"/>
      <c r="EF482" s="364"/>
      <c r="EG482" s="364"/>
      <c r="EH482" s="364"/>
      <c r="EI482" s="364"/>
      <c r="EJ482" s="364"/>
      <c r="EK482" s="364"/>
      <c r="EL482" s="364"/>
      <c r="EM482" s="364"/>
      <c r="EN482" s="364"/>
      <c r="EO482" s="364"/>
      <c r="EP482" s="364"/>
      <c r="EQ482" s="364"/>
      <c r="ER482" s="364"/>
      <c r="ES482" s="364"/>
      <c r="ET482" s="364"/>
      <c r="EU482" s="364"/>
      <c r="EV482" s="364"/>
      <c r="EW482" s="364"/>
      <c r="EX482" s="364"/>
      <c r="EY482" s="364"/>
      <c r="EZ482" s="364"/>
      <c r="FA482" s="364"/>
      <c r="FB482" s="364"/>
      <c r="FC482" s="364"/>
      <c r="FD482" s="364"/>
      <c r="FE482" s="364"/>
      <c r="FF482" s="364"/>
      <c r="FG482" s="364"/>
      <c r="FH482" s="364"/>
      <c r="FI482" s="364"/>
      <c r="FJ482" s="364"/>
      <c r="FK482" s="364"/>
    </row>
    <row r="483" customFormat="false" ht="15.75" hidden="false" customHeight="false" outlineLevel="0" collapsed="false">
      <c r="A483" s="364" t="n">
        <v>945</v>
      </c>
      <c r="B483" s="364" t="n">
        <f aca="false">COUNTA(D483:FK483)</f>
        <v>50</v>
      </c>
      <c r="C483" s="364" t="s">
        <v>2297</v>
      </c>
      <c r="D483" s="364" t="s">
        <v>2431</v>
      </c>
      <c r="E483" s="364" t="s">
        <v>2447</v>
      </c>
      <c r="F483" s="364" t="s">
        <v>2516</v>
      </c>
      <c r="G483" s="364" t="s">
        <v>2356</v>
      </c>
      <c r="H483" s="364" t="s">
        <v>2541</v>
      </c>
      <c r="I483" s="364" t="s">
        <v>138</v>
      </c>
      <c r="J483" s="364" t="s">
        <v>2520</v>
      </c>
      <c r="K483" s="364" t="s">
        <v>2318</v>
      </c>
      <c r="L483" s="364" t="s">
        <v>2448</v>
      </c>
      <c r="M483" s="364" t="s">
        <v>2320</v>
      </c>
      <c r="N483" s="364" t="s">
        <v>2449</v>
      </c>
      <c r="O483" s="364" t="s">
        <v>2534</v>
      </c>
      <c r="P483" s="364" t="s">
        <v>2369</v>
      </c>
      <c r="Q483" s="364" t="s">
        <v>2376</v>
      </c>
      <c r="R483" s="364" t="s">
        <v>2377</v>
      </c>
      <c r="S483" s="364" t="s">
        <v>2655</v>
      </c>
      <c r="T483" s="364" t="s">
        <v>2523</v>
      </c>
      <c r="U483" s="364" t="s">
        <v>2324</v>
      </c>
      <c r="V483" s="364" t="s">
        <v>2325</v>
      </c>
      <c r="W483" s="364" t="s">
        <v>2328</v>
      </c>
      <c r="X483" s="364" t="s">
        <v>2416</v>
      </c>
      <c r="Y483" s="364" t="s">
        <v>2506</v>
      </c>
      <c r="Z483" s="364" t="s">
        <v>2580</v>
      </c>
      <c r="AA483" s="364" t="s">
        <v>2330</v>
      </c>
      <c r="AB483" s="364" t="s">
        <v>2468</v>
      </c>
      <c r="AC483" s="364" t="s">
        <v>2539</v>
      </c>
      <c r="AD483" s="364" t="s">
        <v>2540</v>
      </c>
      <c r="AE483" s="364" t="s">
        <v>2332</v>
      </c>
      <c r="AF483" s="364" t="s">
        <v>2452</v>
      </c>
      <c r="AG483" s="364" t="s">
        <v>2454</v>
      </c>
      <c r="AH483" s="364" t="s">
        <v>2455</v>
      </c>
      <c r="AI483" s="364" t="s">
        <v>2337</v>
      </c>
      <c r="AJ483" s="364" t="s">
        <v>2388</v>
      </c>
      <c r="AK483" s="364" t="s">
        <v>2389</v>
      </c>
      <c r="AL483" s="364" t="s">
        <v>2611</v>
      </c>
      <c r="AM483" s="364" t="s">
        <v>2340</v>
      </c>
      <c r="AN483" s="364" t="s">
        <v>2442</v>
      </c>
      <c r="AO483" s="364" t="s">
        <v>2392</v>
      </c>
      <c r="AP483" s="364" t="s">
        <v>2590</v>
      </c>
      <c r="AQ483" s="364" t="s">
        <v>2639</v>
      </c>
      <c r="AR483" s="364" t="s">
        <v>2423</v>
      </c>
      <c r="AS483" s="364" t="s">
        <v>2344</v>
      </c>
      <c r="AT483" s="364" t="s">
        <v>2752</v>
      </c>
      <c r="AU483" s="364" t="s">
        <v>2500</v>
      </c>
      <c r="AV483" s="364" t="s">
        <v>2473</v>
      </c>
      <c r="AW483" s="364" t="s">
        <v>2511</v>
      </c>
      <c r="AX483" s="364" t="s">
        <v>2445</v>
      </c>
      <c r="AY483" s="364" t="s">
        <v>2456</v>
      </c>
      <c r="AZ483" s="364" t="s">
        <v>2399</v>
      </c>
      <c r="BA483" s="364" t="s">
        <v>2430</v>
      </c>
      <c r="BB483" s="364"/>
      <c r="BC483" s="364"/>
      <c r="BD483" s="364"/>
      <c r="BE483" s="364"/>
      <c r="BF483" s="364"/>
      <c r="BG483" s="364"/>
      <c r="BH483" s="364"/>
      <c r="BI483" s="364"/>
      <c r="BJ483" s="364"/>
      <c r="BK483" s="364"/>
      <c r="BL483" s="364"/>
      <c r="BM483" s="364"/>
      <c r="BN483" s="364"/>
      <c r="BO483" s="364"/>
      <c r="BP483" s="364"/>
      <c r="BQ483" s="364"/>
      <c r="BR483" s="364"/>
      <c r="BS483" s="364"/>
      <c r="BT483" s="364"/>
      <c r="BU483" s="364"/>
      <c r="BV483" s="364"/>
      <c r="BW483" s="364"/>
      <c r="BX483" s="364"/>
      <c r="BY483" s="364"/>
      <c r="BZ483" s="364"/>
      <c r="CA483" s="364"/>
      <c r="CB483" s="364"/>
      <c r="CC483" s="364"/>
      <c r="CD483" s="364"/>
      <c r="CE483" s="364"/>
      <c r="CF483" s="364"/>
      <c r="CG483" s="364"/>
      <c r="CH483" s="364"/>
      <c r="CI483" s="364"/>
      <c r="CJ483" s="364"/>
      <c r="CK483" s="364"/>
      <c r="CL483" s="364"/>
      <c r="CM483" s="364"/>
      <c r="CN483" s="364"/>
      <c r="CO483" s="364"/>
      <c r="CP483" s="364"/>
      <c r="CQ483" s="364"/>
      <c r="CR483" s="364"/>
      <c r="CS483" s="364"/>
      <c r="CT483" s="364"/>
      <c r="CU483" s="364"/>
      <c r="CV483" s="364"/>
      <c r="CW483" s="364"/>
      <c r="CX483" s="364"/>
      <c r="CY483" s="364"/>
      <c r="CZ483" s="364"/>
      <c r="DA483" s="364"/>
      <c r="DB483" s="364"/>
      <c r="DC483" s="364"/>
      <c r="DD483" s="364"/>
      <c r="DE483" s="364"/>
      <c r="DF483" s="364"/>
      <c r="DG483" s="364"/>
      <c r="DH483" s="364"/>
      <c r="DI483" s="364"/>
      <c r="DJ483" s="364"/>
      <c r="DK483" s="364"/>
      <c r="DL483" s="364"/>
      <c r="DM483" s="364"/>
      <c r="DN483" s="364"/>
      <c r="DO483" s="364"/>
      <c r="DP483" s="364"/>
      <c r="DQ483" s="364"/>
      <c r="DR483" s="364"/>
      <c r="DS483" s="364"/>
      <c r="DT483" s="364"/>
      <c r="DU483" s="364"/>
      <c r="DV483" s="364"/>
      <c r="DW483" s="364"/>
      <c r="DX483" s="364"/>
      <c r="DY483" s="364"/>
      <c r="DZ483" s="364"/>
      <c r="EA483" s="364"/>
      <c r="EB483" s="364"/>
      <c r="EC483" s="364"/>
      <c r="ED483" s="364"/>
      <c r="EE483" s="364"/>
      <c r="EF483" s="364"/>
      <c r="EG483" s="364"/>
      <c r="EH483" s="364"/>
      <c r="EI483" s="364"/>
      <c r="EJ483" s="364"/>
      <c r="EK483" s="364"/>
      <c r="EL483" s="364"/>
      <c r="EM483" s="364"/>
      <c r="EN483" s="364"/>
      <c r="EO483" s="364"/>
      <c r="EP483" s="364"/>
      <c r="EQ483" s="364"/>
      <c r="ER483" s="364"/>
      <c r="ES483" s="364"/>
      <c r="ET483" s="364"/>
      <c r="EU483" s="364"/>
      <c r="EV483" s="364"/>
      <c r="EW483" s="364"/>
      <c r="EX483" s="364"/>
      <c r="EY483" s="364"/>
      <c r="EZ483" s="364"/>
      <c r="FA483" s="364"/>
      <c r="FB483" s="364"/>
      <c r="FC483" s="364"/>
      <c r="FD483" s="364"/>
      <c r="FE483" s="364"/>
      <c r="FF483" s="364"/>
      <c r="FG483" s="364"/>
      <c r="FH483" s="364"/>
      <c r="FI483" s="364"/>
      <c r="FJ483" s="364"/>
      <c r="FK483" s="364"/>
    </row>
    <row r="484" customFormat="false" ht="15.75" hidden="false" customHeight="false" outlineLevel="0" collapsed="false">
      <c r="A484" s="364" t="n">
        <v>947</v>
      </c>
      <c r="B484" s="364" t="n">
        <f aca="false">COUNTA(D484:FK484)</f>
        <v>45</v>
      </c>
      <c r="C484" s="364" t="s">
        <v>2301</v>
      </c>
      <c r="D484" s="364" t="s">
        <v>2481</v>
      </c>
      <c r="E484" s="364" t="s">
        <v>2431</v>
      </c>
      <c r="F484" s="364" t="s">
        <v>2352</v>
      </c>
      <c r="G484" s="364" t="s">
        <v>2353</v>
      </c>
      <c r="H484" s="364" t="s">
        <v>2354</v>
      </c>
      <c r="I484" s="364" t="s">
        <v>2409</v>
      </c>
      <c r="J484" s="364" t="s">
        <v>2601</v>
      </c>
      <c r="K484" s="364" t="s">
        <v>2360</v>
      </c>
      <c r="L484" s="364" t="s">
        <v>2361</v>
      </c>
      <c r="M484" s="364" t="s">
        <v>2363</v>
      </c>
      <c r="N484" s="364" t="s">
        <v>2318</v>
      </c>
      <c r="O484" s="364" t="s">
        <v>2320</v>
      </c>
      <c r="P484" s="364" t="s">
        <v>2450</v>
      </c>
      <c r="Q484" s="364" t="s">
        <v>2366</v>
      </c>
      <c r="R484" s="364" t="s">
        <v>2373</v>
      </c>
      <c r="S484" s="364" t="s">
        <v>2375</v>
      </c>
      <c r="T484" s="364" t="s">
        <v>2451</v>
      </c>
      <c r="U484" s="364" t="s">
        <v>2484</v>
      </c>
      <c r="V484" s="364" t="s">
        <v>2378</v>
      </c>
      <c r="W484" s="364" t="s">
        <v>2328</v>
      </c>
      <c r="X484" s="364" t="s">
        <v>2329</v>
      </c>
      <c r="Y484" s="364" t="s">
        <v>2381</v>
      </c>
      <c r="Z484" s="364" t="s">
        <v>2507</v>
      </c>
      <c r="AA484" s="364" t="s">
        <v>2332</v>
      </c>
      <c r="AB484" s="364" t="s">
        <v>2480</v>
      </c>
      <c r="AC484" s="364" t="s">
        <v>2454</v>
      </c>
      <c r="AD484" s="364" t="s">
        <v>2337</v>
      </c>
      <c r="AE484" s="364" t="s">
        <v>2340</v>
      </c>
      <c r="AF484" s="364" t="s">
        <v>2392</v>
      </c>
      <c r="AG484" s="364" t="s">
        <v>2470</v>
      </c>
      <c r="AH484" s="364" t="s">
        <v>2422</v>
      </c>
      <c r="AI484" s="364" t="s">
        <v>2462</v>
      </c>
      <c r="AJ484" s="364" t="s">
        <v>2394</v>
      </c>
      <c r="AK484" s="364" t="s">
        <v>2343</v>
      </c>
      <c r="AL484" s="364" t="s">
        <v>2471</v>
      </c>
      <c r="AM484" s="364" t="s">
        <v>2514</v>
      </c>
      <c r="AN484" s="364" t="s">
        <v>2472</v>
      </c>
      <c r="AO484" s="364" t="s">
        <v>2344</v>
      </c>
      <c r="AP484" s="364" t="s">
        <v>2445</v>
      </c>
      <c r="AQ484" s="364" t="s">
        <v>2456</v>
      </c>
      <c r="AR484" s="364" t="s">
        <v>2476</v>
      </c>
      <c r="AS484" s="364" t="s">
        <v>2463</v>
      </c>
      <c r="AT484" s="364" t="s">
        <v>2446</v>
      </c>
      <c r="AU484" s="364" t="s">
        <v>2350</v>
      </c>
      <c r="AV484" s="364" t="s">
        <v>2458</v>
      </c>
      <c r="AW484" s="364"/>
      <c r="AX484" s="364"/>
      <c r="AY484" s="364"/>
      <c r="AZ484" s="364"/>
      <c r="BA484" s="364"/>
      <c r="BB484" s="364"/>
      <c r="BC484" s="364"/>
      <c r="BD484" s="364"/>
      <c r="BE484" s="364"/>
      <c r="BF484" s="364"/>
      <c r="BG484" s="364"/>
      <c r="BH484" s="364"/>
      <c r="BI484" s="364"/>
      <c r="BJ484" s="364"/>
      <c r="BK484" s="364"/>
      <c r="BL484" s="364"/>
      <c r="BM484" s="364"/>
      <c r="BN484" s="364"/>
      <c r="BO484" s="364"/>
      <c r="BP484" s="364"/>
      <c r="BQ484" s="364"/>
      <c r="BR484" s="364"/>
      <c r="BS484" s="364"/>
      <c r="BT484" s="364"/>
      <c r="BU484" s="364"/>
      <c r="BV484" s="364"/>
      <c r="BW484" s="364"/>
      <c r="BX484" s="364"/>
      <c r="BY484" s="364"/>
      <c r="BZ484" s="364"/>
      <c r="CA484" s="364"/>
      <c r="CB484" s="364"/>
      <c r="CC484" s="364"/>
      <c r="CD484" s="364"/>
      <c r="CE484" s="364"/>
      <c r="CF484" s="364"/>
      <c r="CG484" s="364"/>
      <c r="CH484" s="364"/>
      <c r="CI484" s="364"/>
      <c r="CJ484" s="364"/>
      <c r="CK484" s="364"/>
      <c r="CL484" s="364"/>
      <c r="CM484" s="364"/>
      <c r="CN484" s="364"/>
      <c r="CO484" s="364"/>
      <c r="CP484" s="364"/>
      <c r="CQ484" s="364"/>
      <c r="CR484" s="364"/>
      <c r="CS484" s="364"/>
      <c r="CT484" s="364"/>
      <c r="CU484" s="364"/>
      <c r="CV484" s="364"/>
      <c r="CW484" s="364"/>
      <c r="CX484" s="364"/>
      <c r="CY484" s="364"/>
      <c r="CZ484" s="364"/>
      <c r="DA484" s="364"/>
      <c r="DB484" s="364"/>
      <c r="DC484" s="364"/>
      <c r="DD484" s="364"/>
      <c r="DE484" s="364"/>
      <c r="DF484" s="364"/>
      <c r="DG484" s="364"/>
      <c r="DH484" s="364"/>
      <c r="DI484" s="364"/>
      <c r="DJ484" s="364"/>
      <c r="DK484" s="364"/>
      <c r="DL484" s="364"/>
      <c r="DM484" s="364"/>
      <c r="DN484" s="364"/>
      <c r="DO484" s="364"/>
      <c r="DP484" s="364"/>
      <c r="DQ484" s="364"/>
      <c r="DR484" s="364"/>
      <c r="DS484" s="364"/>
      <c r="DT484" s="364"/>
      <c r="DU484" s="364"/>
      <c r="DV484" s="364"/>
      <c r="DW484" s="364"/>
      <c r="DX484" s="364"/>
      <c r="DY484" s="364"/>
      <c r="DZ484" s="364"/>
      <c r="EA484" s="364"/>
      <c r="EB484" s="364"/>
      <c r="EC484" s="364"/>
      <c r="ED484" s="364"/>
      <c r="EE484" s="364"/>
      <c r="EF484" s="364"/>
      <c r="EG484" s="364"/>
      <c r="EH484" s="364"/>
      <c r="EI484" s="364"/>
      <c r="EJ484" s="364"/>
      <c r="EK484" s="364"/>
      <c r="EL484" s="364"/>
      <c r="EM484" s="364"/>
      <c r="EN484" s="364"/>
      <c r="EO484" s="364"/>
      <c r="EP484" s="364"/>
      <c r="EQ484" s="364"/>
      <c r="ER484" s="364"/>
      <c r="ES484" s="364"/>
      <c r="ET484" s="364"/>
      <c r="EU484" s="364"/>
      <c r="EV484" s="364"/>
      <c r="EW484" s="364"/>
      <c r="EX484" s="364"/>
      <c r="EY484" s="364"/>
      <c r="EZ484" s="364"/>
      <c r="FA484" s="364"/>
      <c r="FB484" s="364"/>
      <c r="FC484" s="364"/>
      <c r="FD484" s="364"/>
      <c r="FE484" s="364"/>
      <c r="FF484" s="364"/>
      <c r="FG484" s="364"/>
      <c r="FH484" s="364"/>
      <c r="FI484" s="364"/>
      <c r="FJ484" s="364"/>
      <c r="FK484" s="364"/>
    </row>
    <row r="485" customFormat="false" ht="15.75" hidden="false" customHeight="false" outlineLevel="0" collapsed="false">
      <c r="A485" s="364" t="n">
        <v>948</v>
      </c>
      <c r="B485" s="364" t="n">
        <f aca="false">COUNTA(D485:FK485)</f>
        <v>27</v>
      </c>
      <c r="C485" s="364" t="s">
        <v>2303</v>
      </c>
      <c r="D485" s="364" t="s">
        <v>2310</v>
      </c>
      <c r="E485" s="364" t="s">
        <v>2311</v>
      </c>
      <c r="F485" s="364" t="s">
        <v>2357</v>
      </c>
      <c r="G485" s="364" t="s">
        <v>2313</v>
      </c>
      <c r="H485" s="364" t="s">
        <v>2316</v>
      </c>
      <c r="I485" s="364" t="s">
        <v>2317</v>
      </c>
      <c r="J485" s="364" t="s">
        <v>2320</v>
      </c>
      <c r="K485" s="364" t="s">
        <v>2411</v>
      </c>
      <c r="L485" s="364" t="s">
        <v>2324</v>
      </c>
      <c r="M485" s="364" t="s">
        <v>2412</v>
      </c>
      <c r="N485" s="364" t="s">
        <v>2328</v>
      </c>
      <c r="O485" s="364" t="s">
        <v>2438</v>
      </c>
      <c r="P485" s="364" t="s">
        <v>2506</v>
      </c>
      <c r="Q485" s="364" t="s">
        <v>2337</v>
      </c>
      <c r="R485" s="364" t="s">
        <v>2564</v>
      </c>
      <c r="S485" s="364" t="s">
        <v>2388</v>
      </c>
      <c r="T485" s="364" t="s">
        <v>2565</v>
      </c>
      <c r="U485" s="364" t="s">
        <v>2389</v>
      </c>
      <c r="V485" s="364" t="s">
        <v>2340</v>
      </c>
      <c r="W485" s="364" t="s">
        <v>2423</v>
      </c>
      <c r="X485" s="364" t="s">
        <v>2344</v>
      </c>
      <c r="Y485" s="364" t="s">
        <v>2346</v>
      </c>
      <c r="Z485" s="364" t="s">
        <v>2500</v>
      </c>
      <c r="AA485" s="364" t="s">
        <v>2511</v>
      </c>
      <c r="AB485" s="364" t="s">
        <v>2348</v>
      </c>
      <c r="AC485" s="364" t="s">
        <v>2349</v>
      </c>
      <c r="AD485" s="364" t="s">
        <v>2430</v>
      </c>
      <c r="AE485" s="364"/>
      <c r="AF485" s="364"/>
      <c r="AG485" s="364"/>
      <c r="AH485" s="364"/>
      <c r="AI485" s="364"/>
      <c r="AJ485" s="364"/>
      <c r="AK485" s="364"/>
      <c r="AL485" s="364"/>
      <c r="AM485" s="364"/>
      <c r="AN485" s="364"/>
      <c r="AO485" s="364"/>
      <c r="AP485" s="364"/>
      <c r="AQ485" s="364"/>
      <c r="AR485" s="364"/>
      <c r="AS485" s="364"/>
      <c r="AT485" s="364"/>
      <c r="AU485" s="364"/>
      <c r="AV485" s="364"/>
      <c r="AW485" s="364"/>
      <c r="AX485" s="364"/>
      <c r="AY485" s="364"/>
      <c r="AZ485" s="364"/>
      <c r="BA485" s="364"/>
      <c r="BB485" s="364"/>
      <c r="BC485" s="364"/>
      <c r="BD485" s="364"/>
      <c r="BE485" s="364"/>
      <c r="BF485" s="364"/>
      <c r="BG485" s="364"/>
      <c r="BH485" s="364"/>
      <c r="BI485" s="364"/>
      <c r="BJ485" s="364"/>
      <c r="BK485" s="364"/>
      <c r="BL485" s="364"/>
      <c r="BM485" s="364"/>
      <c r="BN485" s="364"/>
      <c r="BO485" s="364"/>
      <c r="BP485" s="364"/>
      <c r="BQ485" s="364"/>
      <c r="BR485" s="364"/>
      <c r="BS485" s="364"/>
      <c r="BT485" s="364"/>
      <c r="BU485" s="364"/>
      <c r="BV485" s="364"/>
      <c r="BW485" s="364"/>
      <c r="BX485" s="364"/>
      <c r="BY485" s="364"/>
      <c r="BZ485" s="364"/>
      <c r="CA485" s="364"/>
      <c r="CB485" s="364"/>
      <c r="CC485" s="364"/>
      <c r="CD485" s="364"/>
      <c r="CE485" s="364"/>
      <c r="CF485" s="364"/>
      <c r="CG485" s="364"/>
      <c r="CH485" s="364"/>
      <c r="CI485" s="364"/>
      <c r="CJ485" s="364"/>
      <c r="CK485" s="364"/>
      <c r="CL485" s="364"/>
      <c r="CM485" s="364"/>
      <c r="CN485" s="364"/>
      <c r="CO485" s="364"/>
      <c r="CP485" s="364"/>
      <c r="CQ485" s="364"/>
      <c r="CR485" s="364"/>
      <c r="CS485" s="364"/>
      <c r="CT485" s="364"/>
      <c r="CU485" s="364"/>
      <c r="CV485" s="364"/>
      <c r="CW485" s="364"/>
      <c r="CX485" s="364"/>
      <c r="CY485" s="364"/>
      <c r="CZ485" s="364"/>
      <c r="DA485" s="364"/>
      <c r="DB485" s="364"/>
      <c r="DC485" s="364"/>
      <c r="DD485" s="364"/>
      <c r="DE485" s="364"/>
      <c r="DF485" s="364"/>
      <c r="DG485" s="364"/>
      <c r="DH485" s="364"/>
      <c r="DI485" s="364"/>
      <c r="DJ485" s="364"/>
      <c r="DK485" s="364"/>
      <c r="DL485" s="364"/>
      <c r="DM485" s="364"/>
      <c r="DN485" s="364"/>
      <c r="DO485" s="364"/>
      <c r="DP485" s="364"/>
      <c r="DQ485" s="364"/>
      <c r="DR485" s="364"/>
      <c r="DS485" s="364"/>
      <c r="DT485" s="364"/>
      <c r="DU485" s="364"/>
      <c r="DV485" s="364"/>
      <c r="DW485" s="364"/>
      <c r="DX485" s="364"/>
      <c r="DY485" s="364"/>
      <c r="DZ485" s="364"/>
      <c r="EA485" s="364"/>
      <c r="EB485" s="364"/>
      <c r="EC485" s="364"/>
      <c r="ED485" s="364"/>
      <c r="EE485" s="364"/>
      <c r="EF485" s="364"/>
      <c r="EG485" s="364"/>
      <c r="EH485" s="364"/>
      <c r="EI485" s="364"/>
      <c r="EJ485" s="364"/>
      <c r="EK485" s="364"/>
      <c r="EL485" s="364"/>
      <c r="EM485" s="364"/>
      <c r="EN485" s="364"/>
      <c r="EO485" s="364"/>
      <c r="EP485" s="364"/>
      <c r="EQ485" s="364"/>
      <c r="ER485" s="364"/>
      <c r="ES485" s="364"/>
      <c r="ET485" s="364"/>
      <c r="EU485" s="364"/>
      <c r="EV485" s="364"/>
      <c r="EW485" s="364"/>
      <c r="EX485" s="364"/>
      <c r="EY485" s="364"/>
      <c r="EZ485" s="364"/>
      <c r="FA485" s="364"/>
      <c r="FB485" s="364"/>
      <c r="FC485" s="364"/>
      <c r="FD485" s="364"/>
      <c r="FE485" s="364"/>
      <c r="FF485" s="364"/>
      <c r="FG485" s="364"/>
      <c r="FH485" s="364"/>
      <c r="FI485" s="364"/>
      <c r="FJ485" s="364"/>
      <c r="FK485" s="364"/>
    </row>
    <row r="486" customFormat="false" ht="15.75" hidden="false" customHeight="false" outlineLevel="0" collapsed="false">
      <c r="A486" s="364" t="n">
        <v>949</v>
      </c>
      <c r="B486" s="364" t="n">
        <f aca="false">COUNTA(D486:FK486)</f>
        <v>30</v>
      </c>
      <c r="C486" s="364" t="s">
        <v>2305</v>
      </c>
      <c r="D486" s="364" t="s">
        <v>2528</v>
      </c>
      <c r="E486" s="364" t="s">
        <v>2409</v>
      </c>
      <c r="F486" s="364" t="s">
        <v>2365</v>
      </c>
      <c r="G486" s="364" t="s">
        <v>2562</v>
      </c>
      <c r="H486" s="364" t="s">
        <v>2320</v>
      </c>
      <c r="I486" s="364" t="s">
        <v>2366</v>
      </c>
      <c r="J486" s="364" t="s">
        <v>2371</v>
      </c>
      <c r="K486" s="364" t="s">
        <v>2372</v>
      </c>
      <c r="L486" s="364" t="s">
        <v>2373</v>
      </c>
      <c r="M486" s="364" t="s">
        <v>2523</v>
      </c>
      <c r="N486" s="364" t="s">
        <v>2378</v>
      </c>
      <c r="O486" s="364" t="s">
        <v>2328</v>
      </c>
      <c r="P486" s="364" t="s">
        <v>2329</v>
      </c>
      <c r="Q486" s="364" t="s">
        <v>2330</v>
      </c>
      <c r="R486" s="364" t="s">
        <v>2468</v>
      </c>
      <c r="S486" s="364" t="s">
        <v>2753</v>
      </c>
      <c r="T486" s="364" t="s">
        <v>2589</v>
      </c>
      <c r="U486" s="364" t="s">
        <v>2386</v>
      </c>
      <c r="V486" s="364" t="s">
        <v>2452</v>
      </c>
      <c r="W486" s="364" t="s">
        <v>157</v>
      </c>
      <c r="X486" s="364" t="s">
        <v>2495</v>
      </c>
      <c r="Y486" s="364" t="s">
        <v>2337</v>
      </c>
      <c r="Z486" s="364" t="s">
        <v>2340</v>
      </c>
      <c r="AA486" s="364" t="s">
        <v>2442</v>
      </c>
      <c r="AB486" s="364" t="s">
        <v>2392</v>
      </c>
      <c r="AC486" s="364" t="s">
        <v>2423</v>
      </c>
      <c r="AD486" s="364" t="s">
        <v>2344</v>
      </c>
      <c r="AE486" s="364" t="s">
        <v>2641</v>
      </c>
      <c r="AF486" s="364" t="s">
        <v>2445</v>
      </c>
      <c r="AG486" s="364" t="s">
        <v>2463</v>
      </c>
      <c r="AH486" s="364"/>
      <c r="AI486" s="364"/>
      <c r="AJ486" s="364"/>
      <c r="AK486" s="364"/>
      <c r="AL486" s="364"/>
      <c r="AM486" s="364"/>
      <c r="AN486" s="364"/>
      <c r="AO486" s="364"/>
      <c r="AP486" s="364"/>
      <c r="AQ486" s="364"/>
      <c r="AR486" s="364"/>
      <c r="AS486" s="364"/>
      <c r="AT486" s="364"/>
      <c r="AU486" s="364"/>
      <c r="AV486" s="364"/>
      <c r="AW486" s="364"/>
      <c r="AX486" s="364"/>
      <c r="AY486" s="364"/>
      <c r="AZ486" s="364"/>
      <c r="BA486" s="364"/>
      <c r="BB486" s="364"/>
      <c r="BC486" s="364"/>
      <c r="BD486" s="364"/>
      <c r="BE486" s="364"/>
      <c r="BF486" s="364"/>
      <c r="BG486" s="364"/>
      <c r="BH486" s="364"/>
      <c r="BI486" s="364"/>
      <c r="BJ486" s="364"/>
      <c r="BK486" s="364"/>
      <c r="BL486" s="364"/>
      <c r="BM486" s="364"/>
      <c r="BN486" s="364"/>
      <c r="BO486" s="364"/>
      <c r="BP486" s="364"/>
      <c r="BQ486" s="364"/>
      <c r="BR486" s="364"/>
      <c r="BS486" s="364"/>
      <c r="BT486" s="364"/>
      <c r="BU486" s="364"/>
      <c r="BV486" s="364"/>
      <c r="BW486" s="364"/>
      <c r="BX486" s="364"/>
      <c r="BY486" s="364"/>
      <c r="BZ486" s="364"/>
      <c r="CA486" s="364"/>
      <c r="CB486" s="364"/>
      <c r="CC486" s="364"/>
      <c r="CD486" s="364"/>
      <c r="CE486" s="364"/>
      <c r="CF486" s="364"/>
      <c r="CG486" s="364"/>
      <c r="CH486" s="364"/>
      <c r="CI486" s="364"/>
      <c r="CJ486" s="364"/>
      <c r="CK486" s="364"/>
      <c r="CL486" s="364"/>
      <c r="CM486" s="364"/>
      <c r="CN486" s="364"/>
      <c r="CO486" s="364"/>
      <c r="CP486" s="364"/>
      <c r="CQ486" s="364"/>
      <c r="CR486" s="364"/>
      <c r="CS486" s="364"/>
      <c r="CT486" s="364"/>
      <c r="CU486" s="364"/>
      <c r="CV486" s="364"/>
      <c r="CW486" s="364"/>
      <c r="CX486" s="364"/>
      <c r="CY486" s="364"/>
      <c r="CZ486" s="364"/>
      <c r="DA486" s="364"/>
      <c r="DB486" s="364"/>
      <c r="DC486" s="364"/>
      <c r="DD486" s="364"/>
      <c r="DE486" s="364"/>
      <c r="DF486" s="364"/>
      <c r="DG486" s="364"/>
      <c r="DH486" s="364"/>
      <c r="DI486" s="364"/>
      <c r="DJ486" s="364"/>
      <c r="DK486" s="364"/>
      <c r="DL486" s="364"/>
      <c r="DM486" s="364"/>
      <c r="DN486" s="364"/>
      <c r="DO486" s="364"/>
      <c r="DP486" s="364"/>
      <c r="DQ486" s="364"/>
      <c r="DR486" s="364"/>
      <c r="DS486" s="364"/>
      <c r="DT486" s="364"/>
      <c r="DU486" s="364"/>
      <c r="DV486" s="364"/>
      <c r="DW486" s="364"/>
      <c r="DX486" s="364"/>
      <c r="DY486" s="364"/>
      <c r="DZ486" s="364"/>
      <c r="EA486" s="364"/>
      <c r="EB486" s="364"/>
      <c r="EC486" s="364"/>
      <c r="ED486" s="364"/>
      <c r="EE486" s="364"/>
      <c r="EF486" s="364"/>
      <c r="EG486" s="364"/>
      <c r="EH486" s="364"/>
      <c r="EI486" s="364"/>
      <c r="EJ486" s="364"/>
      <c r="EK486" s="364"/>
      <c r="EL486" s="364"/>
      <c r="EM486" s="364"/>
      <c r="EN486" s="364"/>
      <c r="EO486" s="364"/>
      <c r="EP486" s="364"/>
      <c r="EQ486" s="364"/>
      <c r="ER486" s="364"/>
      <c r="ES486" s="364"/>
      <c r="ET486" s="364"/>
      <c r="EU486" s="364"/>
      <c r="EV486" s="364"/>
      <c r="EW486" s="364"/>
      <c r="EX486" s="364"/>
      <c r="EY486" s="364"/>
      <c r="EZ486" s="364"/>
      <c r="FA486" s="364"/>
      <c r="FB486" s="364"/>
      <c r="FC486" s="364"/>
      <c r="FD486" s="364"/>
      <c r="FE486" s="364"/>
      <c r="FF486" s="364"/>
      <c r="FG486" s="364"/>
      <c r="FH486" s="364"/>
      <c r="FI486" s="364"/>
      <c r="FJ486" s="364"/>
      <c r="FK486" s="364"/>
    </row>
    <row r="487" customFormat="false" ht="15.75" hidden="false" customHeight="false" outlineLevel="0" collapsed="false">
      <c r="A487" s="364" t="n">
        <v>950</v>
      </c>
      <c r="B487" s="364" t="n">
        <f aca="false">COUNTA(D487:FK487)</f>
        <v>44</v>
      </c>
      <c r="C487" s="364" t="s">
        <v>2307</v>
      </c>
      <c r="D487" s="364" t="s">
        <v>2431</v>
      </c>
      <c r="E487" s="364" t="s">
        <v>2352</v>
      </c>
      <c r="F487" s="364" t="s">
        <v>2516</v>
      </c>
      <c r="G487" s="364" t="s">
        <v>2356</v>
      </c>
      <c r="H487" s="364" t="s">
        <v>2357</v>
      </c>
      <c r="I487" s="364" t="s">
        <v>2541</v>
      </c>
      <c r="J487" s="364" t="s">
        <v>2569</v>
      </c>
      <c r="K487" s="364" t="s">
        <v>2520</v>
      </c>
      <c r="L487" s="364" t="s">
        <v>2543</v>
      </c>
      <c r="M487" s="364" t="s">
        <v>2318</v>
      </c>
      <c r="N487" s="364" t="s">
        <v>2436</v>
      </c>
      <c r="O487" s="364" t="s">
        <v>2448</v>
      </c>
      <c r="P487" s="364" t="s">
        <v>2320</v>
      </c>
      <c r="Q487" s="364" t="s">
        <v>2533</v>
      </c>
      <c r="R487" s="364" t="s">
        <v>2449</v>
      </c>
      <c r="S487" s="364" t="s">
        <v>2369</v>
      </c>
      <c r="T487" s="364" t="s">
        <v>2376</v>
      </c>
      <c r="U487" s="364" t="s">
        <v>2377</v>
      </c>
      <c r="V487" s="364" t="s">
        <v>2498</v>
      </c>
      <c r="W487" s="364" t="s">
        <v>2324</v>
      </c>
      <c r="X487" s="364" t="s">
        <v>2325</v>
      </c>
      <c r="Y487" s="364" t="s">
        <v>2328</v>
      </c>
      <c r="Z487" s="364" t="s">
        <v>2381</v>
      </c>
      <c r="AA487" s="364" t="s">
        <v>2330</v>
      </c>
      <c r="AB487" s="364" t="s">
        <v>2539</v>
      </c>
      <c r="AC487" s="364" t="s">
        <v>2540</v>
      </c>
      <c r="AD487" s="364" t="s">
        <v>2332</v>
      </c>
      <c r="AE487" s="364" t="s">
        <v>2754</v>
      </c>
      <c r="AF487" s="364" t="s">
        <v>2461</v>
      </c>
      <c r="AG487" s="364" t="s">
        <v>2337</v>
      </c>
      <c r="AH487" s="364" t="s">
        <v>2340</v>
      </c>
      <c r="AI487" s="364" t="s">
        <v>2390</v>
      </c>
      <c r="AJ487" s="364" t="s">
        <v>2470</v>
      </c>
      <c r="AK487" s="364" t="s">
        <v>2395</v>
      </c>
      <c r="AL487" s="364" t="s">
        <v>2472</v>
      </c>
      <c r="AM487" s="364" t="s">
        <v>2344</v>
      </c>
      <c r="AN487" s="364" t="s">
        <v>2570</v>
      </c>
      <c r="AO487" s="364" t="s">
        <v>2511</v>
      </c>
      <c r="AP487" s="364" t="s">
        <v>2456</v>
      </c>
      <c r="AQ487" s="364" t="s">
        <v>2475</v>
      </c>
      <c r="AR487" s="364" t="s">
        <v>2476</v>
      </c>
      <c r="AS487" s="364" t="s">
        <v>2399</v>
      </c>
      <c r="AT487" s="364" t="s">
        <v>2492</v>
      </c>
      <c r="AU487" s="364" t="s">
        <v>2477</v>
      </c>
      <c r="AV487" s="364"/>
      <c r="AW487" s="364"/>
      <c r="AX487" s="364"/>
      <c r="AY487" s="364"/>
      <c r="AZ487" s="364"/>
      <c r="BA487" s="364"/>
      <c r="BB487" s="364"/>
      <c r="BC487" s="364"/>
      <c r="BD487" s="364"/>
      <c r="BE487" s="364"/>
      <c r="BF487" s="364"/>
      <c r="BG487" s="364"/>
      <c r="BH487" s="364"/>
      <c r="BI487" s="364"/>
      <c r="BJ487" s="364"/>
      <c r="BK487" s="364"/>
      <c r="BL487" s="364"/>
      <c r="BM487" s="364"/>
      <c r="BN487" s="364"/>
      <c r="BO487" s="364"/>
      <c r="BP487" s="364"/>
      <c r="BQ487" s="364"/>
      <c r="BR487" s="364"/>
      <c r="BS487" s="364"/>
      <c r="BT487" s="364"/>
      <c r="BU487" s="364"/>
      <c r="BV487" s="364"/>
      <c r="BW487" s="364"/>
      <c r="BX487" s="364"/>
      <c r="BY487" s="364"/>
      <c r="BZ487" s="364"/>
      <c r="CA487" s="364"/>
      <c r="CB487" s="364"/>
      <c r="CC487" s="364"/>
      <c r="CD487" s="364"/>
      <c r="CE487" s="364"/>
      <c r="CF487" s="364"/>
      <c r="CG487" s="364"/>
      <c r="CH487" s="364"/>
      <c r="CI487" s="364"/>
      <c r="CJ487" s="364"/>
      <c r="CK487" s="364"/>
      <c r="CL487" s="364"/>
      <c r="CM487" s="364"/>
      <c r="CN487" s="364"/>
      <c r="CO487" s="364"/>
      <c r="CP487" s="364"/>
      <c r="CQ487" s="364"/>
      <c r="CR487" s="364"/>
      <c r="CS487" s="364"/>
      <c r="CT487" s="364"/>
      <c r="CU487" s="364"/>
      <c r="CV487" s="364"/>
      <c r="CW487" s="364"/>
      <c r="CX487" s="364"/>
      <c r="CY487" s="364"/>
      <c r="CZ487" s="364"/>
      <c r="DA487" s="364"/>
      <c r="DB487" s="364"/>
      <c r="DC487" s="364"/>
      <c r="DD487" s="364"/>
      <c r="DE487" s="364"/>
      <c r="DF487" s="364"/>
      <c r="DG487" s="364"/>
      <c r="DH487" s="364"/>
      <c r="DI487" s="364"/>
      <c r="DJ487" s="364"/>
      <c r="DK487" s="364"/>
      <c r="DL487" s="364"/>
      <c r="DM487" s="364"/>
      <c r="DN487" s="364"/>
      <c r="DO487" s="364"/>
      <c r="DP487" s="364"/>
      <c r="DQ487" s="364"/>
      <c r="DR487" s="364"/>
      <c r="DS487" s="364"/>
      <c r="DT487" s="364"/>
      <c r="DU487" s="364"/>
      <c r="DV487" s="364"/>
      <c r="DW487" s="364"/>
      <c r="DX487" s="364"/>
      <c r="DY487" s="364"/>
      <c r="DZ487" s="364"/>
      <c r="EA487" s="364"/>
      <c r="EB487" s="364"/>
      <c r="EC487" s="364"/>
      <c r="ED487" s="364"/>
      <c r="EE487" s="364"/>
      <c r="EF487" s="364"/>
      <c r="EG487" s="364"/>
      <c r="EH487" s="364"/>
      <c r="EI487" s="364"/>
      <c r="EJ487" s="364"/>
      <c r="EK487" s="364"/>
      <c r="EL487" s="364"/>
      <c r="EM487" s="364"/>
      <c r="EN487" s="364"/>
      <c r="EO487" s="364"/>
      <c r="EP487" s="364"/>
      <c r="EQ487" s="364"/>
      <c r="ER487" s="364"/>
      <c r="ES487" s="364"/>
      <c r="ET487" s="364"/>
      <c r="EU487" s="364"/>
      <c r="EV487" s="364"/>
      <c r="EW487" s="364"/>
      <c r="EX487" s="364"/>
      <c r="EY487" s="364"/>
      <c r="EZ487" s="364"/>
      <c r="FA487" s="364"/>
      <c r="FB487" s="364"/>
      <c r="FC487" s="364"/>
      <c r="FD487" s="364"/>
      <c r="FE487" s="364"/>
      <c r="FF487" s="364"/>
      <c r="FG487" s="364"/>
      <c r="FH487" s="364"/>
      <c r="FI487" s="364"/>
      <c r="FJ487" s="364"/>
      <c r="FK487" s="364"/>
    </row>
  </sheetData>
  <autoFilter ref="A1:FK48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8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78" activePane="bottomLeft" state="frozen"/>
      <selection pane="topLeft" activeCell="A1" activeCellId="0" sqref="A1"/>
      <selection pane="bottomLeft" activeCell="B134" activeCellId="0" sqref="B134"/>
    </sheetView>
  </sheetViews>
  <sheetFormatPr defaultRowHeight="15.75" zeroHeight="false" outlineLevelRow="0" outlineLevelCol="0"/>
  <cols>
    <col collapsed="false" customWidth="true" hidden="false" outlineLevel="0" max="1" min="1" style="0" width="4.29"/>
    <col collapsed="false" customWidth="true" hidden="false" outlineLevel="0" max="1025" min="2" style="0" width="14.43"/>
  </cols>
  <sheetData>
    <row r="1" customFormat="false" ht="15.75" hidden="false" customHeight="false" outlineLevel="0" collapsed="false">
      <c r="A1" s="371" t="s">
        <v>2755</v>
      </c>
      <c r="B1" s="371"/>
      <c r="C1" s="371" t="s">
        <v>2756</v>
      </c>
      <c r="D1" s="371"/>
      <c r="E1" s="371" t="s">
        <v>2757</v>
      </c>
      <c r="F1" s="371"/>
      <c r="G1" s="371"/>
      <c r="H1" s="371"/>
      <c r="I1" s="371"/>
      <c r="J1" s="371"/>
      <c r="K1" s="371"/>
      <c r="L1" s="371"/>
      <c r="M1" s="371" t="s">
        <v>2758</v>
      </c>
      <c r="N1" s="371"/>
      <c r="O1" s="371"/>
      <c r="P1" s="371" t="s">
        <v>2759</v>
      </c>
      <c r="Q1" s="371"/>
      <c r="R1" s="371"/>
    </row>
    <row r="2" customFormat="false" ht="15.75" hidden="false" customHeight="false" outlineLevel="0" collapsed="false">
      <c r="A2" s="372" t="s">
        <v>2760</v>
      </c>
      <c r="B2" s="372" t="s">
        <v>4</v>
      </c>
      <c r="C2" s="373" t="s">
        <v>2761</v>
      </c>
      <c r="D2" s="373" t="s">
        <v>2762</v>
      </c>
      <c r="E2" s="373" t="s">
        <v>2763</v>
      </c>
      <c r="F2" s="373" t="s">
        <v>2764</v>
      </c>
      <c r="G2" s="373" t="s">
        <v>2765</v>
      </c>
      <c r="H2" s="373" t="s">
        <v>2766</v>
      </c>
      <c r="I2" s="373" t="s">
        <v>2767</v>
      </c>
      <c r="J2" s="373" t="s">
        <v>2768</v>
      </c>
      <c r="K2" s="373" t="s">
        <v>2769</v>
      </c>
      <c r="L2" s="373" t="s">
        <v>2770</v>
      </c>
      <c r="M2" s="373" t="s">
        <v>2771</v>
      </c>
      <c r="N2" s="373" t="s">
        <v>2772</v>
      </c>
      <c r="O2" s="373" t="s">
        <v>2773</v>
      </c>
      <c r="P2" s="373" t="s">
        <v>2774</v>
      </c>
      <c r="Q2" s="373" t="s">
        <v>2775</v>
      </c>
      <c r="R2" s="373" t="s">
        <v>2776</v>
      </c>
    </row>
    <row r="3" customFormat="false" ht="15.75" hidden="false" customHeight="false" outlineLevel="0" collapsed="false">
      <c r="A3" s="374" t="n">
        <v>1</v>
      </c>
      <c r="B3" s="374" t="str">
        <f aca="false" t="array" ref="B3:B3">INDEX('0.0.1 Pokémon Dex Data'!$E$3:$E1007,MATCH(A3,'0.0.1 Pokémon Dex Data'!$B$3:$B1007,0))</f>
        <v>Bulbasaur</v>
      </c>
      <c r="C3" s="374" t="s">
        <v>2351</v>
      </c>
      <c r="D3" s="374" t="s">
        <v>2348</v>
      </c>
      <c r="E3" s="374" t="s">
        <v>2343</v>
      </c>
      <c r="F3" s="374" t="s">
        <v>2616</v>
      </c>
      <c r="G3" s="374" t="s">
        <v>2342</v>
      </c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</row>
    <row r="4" customFormat="false" ht="15.75" hidden="false" customHeight="false" outlineLevel="0" collapsed="false">
      <c r="A4" s="374" t="n">
        <v>2</v>
      </c>
      <c r="B4" s="374" t="str">
        <f aca="false" t="array" ref="B4:B4">INDEX('0.0.1 Pokémon Dex Data'!$E$3:$E1007,MATCH(A4,'0.0.1 Pokémon Dex Data'!$B$3:$B1007,0))</f>
        <v>Ivysaur</v>
      </c>
      <c r="C4" s="374" t="s">
        <v>2336</v>
      </c>
      <c r="D4" s="374" t="s">
        <v>2351</v>
      </c>
      <c r="E4" s="374" t="s">
        <v>2343</v>
      </c>
      <c r="F4" s="374" t="s">
        <v>2345</v>
      </c>
      <c r="G4" s="374" t="s">
        <v>2616</v>
      </c>
      <c r="H4" s="374"/>
      <c r="I4" s="374"/>
      <c r="J4" s="374"/>
      <c r="K4" s="374"/>
      <c r="L4" s="374"/>
      <c r="M4" s="374"/>
      <c r="N4" s="374"/>
      <c r="O4" s="374"/>
      <c r="P4" s="374"/>
      <c r="Q4" s="374"/>
      <c r="R4" s="374"/>
    </row>
    <row r="5" customFormat="false" ht="15.75" hidden="false" customHeight="false" outlineLevel="0" collapsed="false">
      <c r="A5" s="374" t="n">
        <v>3</v>
      </c>
      <c r="B5" s="374" t="str">
        <f aca="false" t="array" ref="B5:B5">INDEX('0.0.1 Pokémon Dex Data'!$E$3:$E1007,MATCH(A5,'0.0.1 Pokémon Dex Data'!$B$3:$B1007,0))</f>
        <v>Venusaur</v>
      </c>
      <c r="C5" s="374" t="s">
        <v>2336</v>
      </c>
      <c r="D5" s="374" t="s">
        <v>2351</v>
      </c>
      <c r="E5" s="374" t="s">
        <v>2343</v>
      </c>
      <c r="F5" s="374" t="s">
        <v>2333</v>
      </c>
      <c r="G5" s="374" t="s">
        <v>2345</v>
      </c>
      <c r="H5" s="374"/>
      <c r="I5" s="374"/>
      <c r="J5" s="374"/>
      <c r="K5" s="374"/>
      <c r="L5" s="374"/>
      <c r="M5" s="374"/>
      <c r="N5" s="374"/>
      <c r="O5" s="374"/>
      <c r="P5" s="374" t="s">
        <v>2321</v>
      </c>
      <c r="Q5" s="374"/>
      <c r="R5" s="374"/>
    </row>
    <row r="6" customFormat="false" ht="15.75" hidden="false" customHeight="false" outlineLevel="0" collapsed="false">
      <c r="A6" s="374" t="n">
        <v>5</v>
      </c>
      <c r="B6" s="374" t="str">
        <f aca="false" t="array" ref="B6:B6">INDEX('0.0.1 Pokémon Dex Data'!$E$3:$E1007,MATCH(A6,'0.0.1 Pokémon Dex Data'!$B$3:$B1007,0))</f>
        <v>Charmander</v>
      </c>
      <c r="C6" s="374" t="s">
        <v>2390</v>
      </c>
      <c r="D6" s="374" t="s">
        <v>2365</v>
      </c>
      <c r="E6" s="374" t="s">
        <v>2373</v>
      </c>
      <c r="F6" s="374" t="s">
        <v>2371</v>
      </c>
      <c r="G6" s="374" t="s">
        <v>2372</v>
      </c>
      <c r="H6" s="374"/>
      <c r="I6" s="374"/>
      <c r="J6" s="374"/>
      <c r="K6" s="374"/>
      <c r="L6" s="374"/>
      <c r="M6" s="374"/>
      <c r="N6" s="374"/>
      <c r="O6" s="374"/>
      <c r="P6" s="374"/>
      <c r="Q6" s="374"/>
      <c r="R6" s="374"/>
    </row>
    <row r="7" customFormat="false" ht="15.75" hidden="false" customHeight="false" outlineLevel="0" collapsed="false">
      <c r="A7" s="374" t="n">
        <v>6</v>
      </c>
      <c r="B7" s="374" t="str">
        <f aca="false" t="array" ref="B7:B7">INDEX('0.0.1 Pokémon Dex Data'!$E$3:$E1007,MATCH(A7,'0.0.1 Pokémon Dex Data'!$B$3:$B1007,0))</f>
        <v>Charmeleon</v>
      </c>
      <c r="C7" s="374" t="s">
        <v>2367</v>
      </c>
      <c r="D7" s="374" t="s">
        <v>2365</v>
      </c>
      <c r="E7" s="374" t="s">
        <v>2373</v>
      </c>
      <c r="F7" s="374" t="s">
        <v>2371</v>
      </c>
      <c r="G7" s="374" t="s">
        <v>2369</v>
      </c>
      <c r="H7" s="374"/>
      <c r="I7" s="374"/>
      <c r="J7" s="374"/>
      <c r="K7" s="374"/>
      <c r="L7" s="374"/>
      <c r="M7" s="374" t="s">
        <v>2390</v>
      </c>
      <c r="N7" s="374"/>
      <c r="O7" s="374"/>
      <c r="P7" s="374"/>
      <c r="Q7" s="374"/>
      <c r="R7" s="374"/>
    </row>
    <row r="8" customFormat="false" ht="15.75" hidden="false" customHeight="false" outlineLevel="0" collapsed="false">
      <c r="A8" s="374" t="n">
        <v>7</v>
      </c>
      <c r="B8" s="374" t="str">
        <f aca="false" t="array" ref="B8:B8">INDEX('0.0.1 Pokémon Dex Data'!$E$3:$E1007,MATCH(A8,'0.0.1 Pokémon Dex Data'!$B$3:$B1007,0))</f>
        <v>Charizard</v>
      </c>
      <c r="C8" s="374" t="s">
        <v>2370</v>
      </c>
      <c r="D8" s="374" t="s">
        <v>2354</v>
      </c>
      <c r="E8" s="374" t="s">
        <v>2366</v>
      </c>
      <c r="F8" s="374" t="s">
        <v>2386</v>
      </c>
      <c r="G8" s="374" t="s">
        <v>2360</v>
      </c>
      <c r="H8" s="374"/>
      <c r="I8" s="374"/>
      <c r="J8" s="374"/>
      <c r="K8" s="374"/>
      <c r="L8" s="374"/>
      <c r="M8" s="374" t="s">
        <v>2365</v>
      </c>
      <c r="N8" s="374" t="s">
        <v>2401</v>
      </c>
      <c r="O8" s="374"/>
      <c r="P8" s="374" t="s">
        <v>2373</v>
      </c>
      <c r="Q8" s="374"/>
      <c r="R8" s="374"/>
    </row>
    <row r="9" customFormat="false" ht="15.75" hidden="false" customHeight="false" outlineLevel="0" collapsed="false">
      <c r="A9" s="374" t="n">
        <v>10</v>
      </c>
      <c r="B9" s="374" t="str">
        <f aca="false" t="array" ref="B9:B9">INDEX('0.0.1 Pokémon Dex Data'!$E$3:$E1007,MATCH(A9,'0.0.1 Pokémon Dex Data'!$B$3:$B1007,0))</f>
        <v>Squirtle</v>
      </c>
      <c r="C9" s="374" t="s">
        <v>2407</v>
      </c>
      <c r="D9" s="374" t="s">
        <v>2348</v>
      </c>
      <c r="E9" s="374" t="s">
        <v>2402</v>
      </c>
      <c r="F9" s="374" t="s">
        <v>2428</v>
      </c>
      <c r="G9" s="374" t="s">
        <v>2538</v>
      </c>
      <c r="H9" s="374"/>
      <c r="I9" s="374"/>
      <c r="J9" s="374"/>
      <c r="K9" s="374"/>
      <c r="L9" s="374"/>
      <c r="M9" s="374"/>
      <c r="N9" s="374"/>
      <c r="O9" s="374"/>
      <c r="P9" s="374"/>
      <c r="Q9" s="374"/>
      <c r="R9" s="374"/>
    </row>
    <row r="10" customFormat="false" ht="15.75" hidden="false" customHeight="false" outlineLevel="0" collapsed="false">
      <c r="A10" s="374" t="n">
        <v>11</v>
      </c>
      <c r="B10" s="374" t="str">
        <f aca="false" t="array" ref="B10:B10">INDEX('0.0.1 Pokémon Dex Data'!$E$3:$E1007,MATCH(A10,'0.0.1 Pokémon Dex Data'!$B$3:$B1007,0))</f>
        <v>Wartortle</v>
      </c>
      <c r="C10" s="374" t="s">
        <v>2404</v>
      </c>
      <c r="D10" s="374" t="s">
        <v>2426</v>
      </c>
      <c r="E10" s="374" t="s">
        <v>2414</v>
      </c>
      <c r="F10" s="374" t="s">
        <v>2415</v>
      </c>
      <c r="G10" s="374" t="s">
        <v>2538</v>
      </c>
      <c r="H10" s="374"/>
      <c r="I10" s="374"/>
      <c r="J10" s="374"/>
      <c r="K10" s="374"/>
      <c r="L10" s="374"/>
      <c r="M10" s="374"/>
      <c r="N10" s="374"/>
      <c r="O10" s="374"/>
      <c r="P10" s="374"/>
      <c r="Q10" s="374"/>
      <c r="R10" s="374"/>
    </row>
    <row r="11" customFormat="false" ht="15.75" hidden="false" customHeight="false" outlineLevel="0" collapsed="false">
      <c r="A11" s="374" t="n">
        <v>12</v>
      </c>
      <c r="B11" s="374" t="str">
        <f aca="false" t="array" ref="B11:B11">INDEX('0.0.1 Pokémon Dex Data'!$E$3:$E1007,MATCH(A11,'0.0.1 Pokémon Dex Data'!$B$3:$B1007,0))</f>
        <v>Blastoise</v>
      </c>
      <c r="C11" s="374" t="s">
        <v>2404</v>
      </c>
      <c r="D11" s="374" t="s">
        <v>2426</v>
      </c>
      <c r="E11" s="374" t="s">
        <v>2414</v>
      </c>
      <c r="F11" s="374" t="s">
        <v>2415</v>
      </c>
      <c r="G11" s="374" t="s">
        <v>2411</v>
      </c>
      <c r="H11" s="374"/>
      <c r="I11" s="374"/>
      <c r="J11" s="374"/>
      <c r="K11" s="374"/>
      <c r="L11" s="374"/>
      <c r="M11" s="374"/>
      <c r="N11" s="374"/>
      <c r="O11" s="374"/>
      <c r="P11" s="374"/>
      <c r="Q11" s="374"/>
      <c r="R11" s="374"/>
    </row>
    <row r="12" customFormat="false" ht="15.75" hidden="false" customHeight="false" outlineLevel="0" collapsed="false">
      <c r="A12" s="374" t="n">
        <v>14</v>
      </c>
      <c r="B12" s="374" t="str">
        <f aca="false" t="array" ref="B12:B12">INDEX('0.0.1 Pokémon Dex Data'!$E$3:$E1007,MATCH(A12,'0.0.1 Pokémon Dex Data'!$B$3:$B1007,0))</f>
        <v>Caterpie</v>
      </c>
      <c r="C12" s="374" t="s">
        <v>2432</v>
      </c>
      <c r="D12" s="374" t="s">
        <v>2348</v>
      </c>
      <c r="E12" s="374" t="s">
        <v>2777</v>
      </c>
      <c r="F12" s="374"/>
      <c r="G12" s="374"/>
      <c r="H12" s="374"/>
      <c r="I12" s="374"/>
      <c r="J12" s="374"/>
      <c r="K12" s="374"/>
      <c r="L12" s="374"/>
      <c r="M12" s="374"/>
      <c r="N12" s="374"/>
      <c r="O12" s="374"/>
      <c r="P12" s="374"/>
      <c r="Q12" s="374"/>
      <c r="R12" s="374"/>
    </row>
    <row r="13" customFormat="false" ht="15.75" hidden="false" customHeight="false" outlineLevel="0" collapsed="false">
      <c r="A13" s="374" t="n">
        <v>15</v>
      </c>
      <c r="B13" s="374" t="str">
        <f aca="false" t="array" ref="B13:B13">INDEX('0.0.1 Pokémon Dex Data'!$E$3:$E1007,MATCH(A13,'0.0.1 Pokémon Dex Data'!$B$3:$B1007,0))</f>
        <v>Metapod</v>
      </c>
      <c r="C13" s="374" t="s">
        <v>2432</v>
      </c>
      <c r="D13" s="374" t="s">
        <v>2348</v>
      </c>
      <c r="E13" s="374" t="s">
        <v>2777</v>
      </c>
      <c r="F13" s="374"/>
      <c r="G13" s="374"/>
      <c r="H13" s="374"/>
      <c r="I13" s="374"/>
      <c r="J13" s="374"/>
      <c r="K13" s="374"/>
      <c r="L13" s="374"/>
      <c r="M13" s="374"/>
      <c r="N13" s="374"/>
      <c r="O13" s="374"/>
      <c r="P13" s="374"/>
      <c r="Q13" s="374"/>
      <c r="R13" s="374"/>
    </row>
    <row r="14" customFormat="false" ht="15.75" hidden="false" customHeight="false" outlineLevel="0" collapsed="false">
      <c r="A14" s="374" t="n">
        <v>16</v>
      </c>
      <c r="B14" s="374" t="str">
        <f aca="false" t="array" ref="B14:B14">INDEX('0.0.1 Pokémon Dex Data'!$E$3:$E1007,MATCH(A14,'0.0.1 Pokémon Dex Data'!$B$3:$B1007,0))</f>
        <v>Butterfree</v>
      </c>
      <c r="C14" s="374" t="s">
        <v>2434</v>
      </c>
      <c r="D14" s="374" t="s">
        <v>2444</v>
      </c>
      <c r="E14" s="374" t="s">
        <v>157</v>
      </c>
      <c r="F14" s="374" t="s">
        <v>2433</v>
      </c>
      <c r="G14" s="374" t="s">
        <v>2422</v>
      </c>
      <c r="H14" s="374"/>
      <c r="I14" s="374"/>
      <c r="J14" s="374"/>
      <c r="K14" s="374"/>
      <c r="L14" s="374"/>
      <c r="M14" s="374" t="s">
        <v>2432</v>
      </c>
      <c r="N14" s="374"/>
      <c r="O14" s="374"/>
      <c r="P14" s="374"/>
      <c r="Q14" s="374"/>
      <c r="R14" s="374"/>
    </row>
    <row r="15" customFormat="false" ht="15.75" hidden="false" customHeight="false" outlineLevel="0" collapsed="false">
      <c r="A15" s="374" t="n">
        <v>17</v>
      </c>
      <c r="B15" s="374" t="str">
        <f aca="false" t="array" ref="B15:B15">INDEX('0.0.1 Pokémon Dex Data'!$E$3:$E1007,MATCH(A15,'0.0.1 Pokémon Dex Data'!$B$3:$B1007,0))</f>
        <v>Weedle</v>
      </c>
      <c r="C15" s="374" t="s">
        <v>2432</v>
      </c>
      <c r="D15" s="374" t="s">
        <v>2487</v>
      </c>
      <c r="E15" s="374" t="s">
        <v>2777</v>
      </c>
      <c r="F15" s="374"/>
      <c r="G15" s="374"/>
      <c r="H15" s="374"/>
      <c r="I15" s="374"/>
      <c r="J15" s="374"/>
      <c r="K15" s="374"/>
      <c r="L15" s="374"/>
      <c r="M15" s="374"/>
      <c r="N15" s="374"/>
      <c r="O15" s="374"/>
      <c r="P15" s="374"/>
      <c r="Q15" s="374"/>
      <c r="R15" s="374"/>
    </row>
    <row r="16" customFormat="false" ht="15.75" hidden="false" customHeight="false" outlineLevel="0" collapsed="false">
      <c r="A16" s="374" t="n">
        <v>18</v>
      </c>
      <c r="B16" s="374" t="str">
        <f aca="false" t="array" ref="B16:B16">INDEX('0.0.1 Pokémon Dex Data'!$E$3:$E1007,MATCH(A16,'0.0.1 Pokémon Dex Data'!$B$3:$B1007,0))</f>
        <v>Kakuna</v>
      </c>
      <c r="C16" s="374" t="s">
        <v>2432</v>
      </c>
      <c r="D16" s="374" t="s">
        <v>2487</v>
      </c>
      <c r="E16" s="374" t="s">
        <v>2777</v>
      </c>
      <c r="F16" s="374"/>
      <c r="G16" s="374"/>
      <c r="H16" s="374"/>
      <c r="I16" s="374"/>
      <c r="J16" s="374"/>
      <c r="K16" s="374"/>
      <c r="L16" s="374"/>
      <c r="M16" s="374"/>
      <c r="N16" s="374"/>
      <c r="O16" s="374"/>
      <c r="P16" s="374"/>
      <c r="Q16" s="374"/>
      <c r="R16" s="374"/>
    </row>
    <row r="17" customFormat="false" ht="15.75" hidden="false" customHeight="false" outlineLevel="0" collapsed="false">
      <c r="A17" s="374" t="n">
        <v>19</v>
      </c>
      <c r="B17" s="374" t="str">
        <f aca="false" t="array" ref="B17:B17">INDEX('0.0.1 Pokémon Dex Data'!$E$3:$E1007,MATCH(A17,'0.0.1 Pokémon Dex Data'!$B$3:$B1007,0))</f>
        <v>Beedrill</v>
      </c>
      <c r="C17" s="374" t="s">
        <v>2454</v>
      </c>
      <c r="D17" s="374" t="s">
        <v>2438</v>
      </c>
      <c r="E17" s="374" t="s">
        <v>2343</v>
      </c>
      <c r="F17" s="374" t="s">
        <v>2458</v>
      </c>
      <c r="G17" s="374" t="s">
        <v>2352</v>
      </c>
      <c r="H17" s="374"/>
      <c r="I17" s="374"/>
      <c r="J17" s="374"/>
      <c r="K17" s="374"/>
      <c r="L17" s="374"/>
      <c r="M17" s="374" t="s">
        <v>2432</v>
      </c>
      <c r="N17" s="374"/>
      <c r="O17" s="374"/>
      <c r="P17" s="374"/>
      <c r="Q17" s="374"/>
      <c r="R17" s="374"/>
    </row>
    <row r="18" customFormat="false" ht="15.75" hidden="false" customHeight="false" outlineLevel="0" collapsed="false">
      <c r="A18" s="374" t="n">
        <v>21</v>
      </c>
      <c r="B18" s="374" t="str">
        <f aca="false" t="array" ref="B18:B18">INDEX('0.0.1 Pokémon Dex Data'!$E$3:$E1007,MATCH(A18,'0.0.1 Pokémon Dex Data'!$B$3:$B1007,0))</f>
        <v>Pidgey</v>
      </c>
      <c r="C18" s="374" t="s">
        <v>2461</v>
      </c>
      <c r="D18" s="374" t="s">
        <v>2348</v>
      </c>
      <c r="E18" s="374" t="s">
        <v>2353</v>
      </c>
      <c r="F18" s="374" t="s">
        <v>2400</v>
      </c>
      <c r="G18" s="374" t="s">
        <v>2352</v>
      </c>
      <c r="H18" s="374"/>
      <c r="I18" s="374"/>
      <c r="J18" s="374"/>
      <c r="K18" s="374"/>
      <c r="L18" s="374"/>
      <c r="M18" s="374"/>
      <c r="N18" s="374"/>
      <c r="O18" s="374"/>
      <c r="P18" s="374"/>
      <c r="Q18" s="374"/>
      <c r="R18" s="374"/>
    </row>
    <row r="19" customFormat="false" ht="15.75" hidden="false" customHeight="false" outlineLevel="0" collapsed="false">
      <c r="A19" s="374" t="n">
        <v>22</v>
      </c>
      <c r="B19" s="374" t="str">
        <f aca="false" t="array" ref="B19:B19">INDEX('0.0.1 Pokémon Dex Data'!$E$3:$E1007,MATCH(A19,'0.0.1 Pokémon Dex Data'!$B$3:$B1007,0))</f>
        <v>Pidgeotto</v>
      </c>
      <c r="C19" s="374" t="s">
        <v>2396</v>
      </c>
      <c r="D19" s="374" t="s">
        <v>2401</v>
      </c>
      <c r="E19" s="374" t="s">
        <v>2353</v>
      </c>
      <c r="F19" s="374" t="s">
        <v>2400</v>
      </c>
      <c r="G19" s="374" t="s">
        <v>2352</v>
      </c>
      <c r="H19" s="374"/>
      <c r="I19" s="374"/>
      <c r="J19" s="374"/>
      <c r="K19" s="374"/>
      <c r="L19" s="374"/>
      <c r="M19" s="374"/>
      <c r="N19" s="374"/>
      <c r="O19" s="374"/>
      <c r="P19" s="374"/>
      <c r="Q19" s="374"/>
      <c r="R19" s="374"/>
    </row>
    <row r="20" customFormat="false" ht="15.75" hidden="false" customHeight="false" outlineLevel="0" collapsed="false">
      <c r="A20" s="374" t="n">
        <v>23</v>
      </c>
      <c r="B20" s="374" t="str">
        <f aca="false" t="array" ref="B20:B20">INDEX('0.0.1 Pokémon Dex Data'!$E$3:$E1007,MATCH(A20,'0.0.1 Pokémon Dex Data'!$B$3:$B1007,0))</f>
        <v>Pidgeot</v>
      </c>
      <c r="C20" s="374" t="s">
        <v>2396</v>
      </c>
      <c r="D20" s="374" t="s">
        <v>2354</v>
      </c>
      <c r="E20" s="374" t="s">
        <v>2577</v>
      </c>
      <c r="F20" s="374" t="s">
        <v>2459</v>
      </c>
      <c r="G20" s="374" t="s">
        <v>2352</v>
      </c>
      <c r="H20" s="374"/>
      <c r="I20" s="374"/>
      <c r="J20" s="374"/>
      <c r="K20" s="374"/>
      <c r="L20" s="374"/>
      <c r="M20" s="374" t="s">
        <v>2401</v>
      </c>
      <c r="N20" s="374"/>
      <c r="O20" s="374"/>
      <c r="P20" s="374" t="s">
        <v>2353</v>
      </c>
      <c r="Q20" s="374"/>
      <c r="R20" s="374"/>
    </row>
    <row r="21" customFormat="false" ht="15.75" hidden="false" customHeight="false" outlineLevel="0" collapsed="false">
      <c r="A21" s="374" t="n">
        <v>25</v>
      </c>
      <c r="B21" s="374" t="str">
        <f aca="false" t="array" ref="B21:B21">INDEX('0.0.1 Pokémon Dex Data'!$E$3:$E1007,MATCH(A21,'0.0.1 Pokémon Dex Data'!$B$3:$B1007,0))</f>
        <v>Rattata</v>
      </c>
      <c r="C21" s="374" t="s">
        <v>2461</v>
      </c>
      <c r="D21" s="374" t="s">
        <v>2348</v>
      </c>
      <c r="E21" s="374" t="s">
        <v>2467</v>
      </c>
      <c r="F21" s="374" t="s">
        <v>2312</v>
      </c>
      <c r="G21" s="374" t="s">
        <v>2358</v>
      </c>
      <c r="H21" s="374"/>
      <c r="I21" s="374"/>
      <c r="J21" s="374"/>
      <c r="K21" s="374"/>
      <c r="L21" s="374"/>
      <c r="M21" s="374"/>
      <c r="N21" s="374"/>
      <c r="O21" s="374"/>
      <c r="P21" s="374"/>
      <c r="Q21" s="374"/>
      <c r="R21" s="374"/>
    </row>
    <row r="22" customFormat="false" ht="15.75" hidden="false" customHeight="false" outlineLevel="0" collapsed="false">
      <c r="A22" s="374" t="n">
        <v>27</v>
      </c>
      <c r="B22" s="374" t="str">
        <f aca="false" t="array" ref="B22:B22">INDEX('0.0.1 Pokémon Dex Data'!$E$3:$E1007,MATCH(A22,'0.0.1 Pokémon Dex Data'!$B$3:$B1007,0))</f>
        <v>Raticate</v>
      </c>
      <c r="C22" s="374" t="s">
        <v>2461</v>
      </c>
      <c r="D22" s="374" t="s">
        <v>2404</v>
      </c>
      <c r="E22" s="374" t="s">
        <v>2467</v>
      </c>
      <c r="F22" s="374" t="s">
        <v>2329</v>
      </c>
      <c r="G22" s="374" t="s">
        <v>2358</v>
      </c>
      <c r="H22" s="374"/>
      <c r="I22" s="374"/>
      <c r="J22" s="374"/>
      <c r="K22" s="374"/>
      <c r="L22" s="374"/>
      <c r="M22" s="374"/>
      <c r="N22" s="374"/>
      <c r="O22" s="374"/>
      <c r="P22" s="374"/>
      <c r="Q22" s="374"/>
      <c r="R22" s="374"/>
    </row>
    <row r="23" customFormat="false" ht="15.75" hidden="false" customHeight="false" outlineLevel="0" collapsed="false">
      <c r="A23" s="374" t="n">
        <v>29</v>
      </c>
      <c r="B23" s="374" t="str">
        <f aca="false" t="array" ref="B23:B23">INDEX('0.0.1 Pokémon Dex Data'!$E$3:$E1007,MATCH(A23,'0.0.1 Pokémon Dex Data'!$B$3:$B1007,0))</f>
        <v>Spearow</v>
      </c>
      <c r="C23" s="374" t="s">
        <v>2461</v>
      </c>
      <c r="D23" s="374" t="s">
        <v>2480</v>
      </c>
      <c r="E23" s="374" t="s">
        <v>2462</v>
      </c>
      <c r="F23" s="374" t="s">
        <v>2479</v>
      </c>
      <c r="G23" s="374" t="s">
        <v>2352</v>
      </c>
      <c r="H23" s="374"/>
      <c r="I23" s="374"/>
      <c r="J23" s="374"/>
      <c r="K23" s="374"/>
      <c r="L23" s="374"/>
      <c r="M23" s="374"/>
      <c r="N23" s="374"/>
      <c r="O23" s="374"/>
      <c r="P23" s="374" t="s">
        <v>2400</v>
      </c>
      <c r="Q23" s="374"/>
      <c r="R23" s="374"/>
    </row>
    <row r="24" customFormat="false" ht="15.75" hidden="false" customHeight="false" outlineLevel="0" collapsed="false">
      <c r="A24" s="374" t="n">
        <v>30</v>
      </c>
      <c r="B24" s="374" t="str">
        <f aca="false" t="array" ref="B24:B24">INDEX('0.0.1 Pokémon Dex Data'!$E$3:$E1007,MATCH(A24,'0.0.1 Pokémon Dex Data'!$B$3:$B1007,0))</f>
        <v>Fearow</v>
      </c>
      <c r="C24" s="374" t="s">
        <v>2396</v>
      </c>
      <c r="D24" s="374" t="s">
        <v>2480</v>
      </c>
      <c r="E24" s="374" t="s">
        <v>2462</v>
      </c>
      <c r="F24" s="374" t="s">
        <v>184</v>
      </c>
      <c r="G24" s="374" t="s">
        <v>2352</v>
      </c>
      <c r="H24" s="374"/>
      <c r="I24" s="374"/>
      <c r="J24" s="374"/>
      <c r="K24" s="374"/>
      <c r="L24" s="374"/>
      <c r="M24" s="374"/>
      <c r="N24" s="374"/>
      <c r="O24" s="374"/>
      <c r="P24" s="374" t="s">
        <v>2400</v>
      </c>
      <c r="Q24" s="374"/>
      <c r="R24" s="374"/>
    </row>
    <row r="25" customFormat="false" ht="15.75" hidden="false" customHeight="false" outlineLevel="0" collapsed="false">
      <c r="A25" s="374" t="n">
        <v>31</v>
      </c>
      <c r="B25" s="374" t="str">
        <f aca="false" t="array" ref="B25:B25">INDEX('0.0.1 Pokémon Dex Data'!$E$3:$E1007,MATCH(A25,'0.0.1 Pokémon Dex Data'!$B$3:$B1007,0))</f>
        <v>Ekans</v>
      </c>
      <c r="C25" s="374" t="s">
        <v>2481</v>
      </c>
      <c r="D25" s="374" t="s">
        <v>2487</v>
      </c>
      <c r="E25" s="374" t="s">
        <v>2343</v>
      </c>
      <c r="F25" s="374" t="s">
        <v>2529</v>
      </c>
      <c r="G25" s="374" t="s">
        <v>2489</v>
      </c>
      <c r="H25" s="374"/>
      <c r="I25" s="374"/>
      <c r="J25" s="374"/>
      <c r="K25" s="374"/>
      <c r="L25" s="374"/>
      <c r="M25" s="374"/>
      <c r="N25" s="374"/>
      <c r="O25" s="374"/>
      <c r="P25" s="374" t="s">
        <v>2484</v>
      </c>
      <c r="Q25" s="374"/>
      <c r="R25" s="374"/>
    </row>
    <row r="26" customFormat="false" ht="15.75" hidden="false" customHeight="false" outlineLevel="0" collapsed="false">
      <c r="A26" s="374" t="n">
        <v>32</v>
      </c>
      <c r="B26" s="374" t="str">
        <f aca="false" t="array" ref="B26:B26">INDEX('0.0.1 Pokémon Dex Data'!$E$3:$E1007,MATCH(A26,'0.0.1 Pokémon Dex Data'!$B$3:$B1007,0))</f>
        <v>Arbok</v>
      </c>
      <c r="C26" s="374" t="s">
        <v>2481</v>
      </c>
      <c r="D26" s="374" t="s">
        <v>2404</v>
      </c>
      <c r="E26" s="374" t="s">
        <v>2484</v>
      </c>
      <c r="F26" s="374" t="s">
        <v>2471</v>
      </c>
      <c r="G26" s="374" t="s">
        <v>2409</v>
      </c>
      <c r="H26" s="374"/>
      <c r="I26" s="374"/>
      <c r="J26" s="374"/>
      <c r="K26" s="374"/>
      <c r="L26" s="374"/>
      <c r="M26" s="374"/>
      <c r="N26" s="374"/>
      <c r="O26" s="374"/>
      <c r="P26" s="374"/>
      <c r="Q26" s="374"/>
      <c r="R26" s="374"/>
    </row>
    <row r="27" customFormat="false" ht="15.75" hidden="false" customHeight="false" outlineLevel="0" collapsed="false">
      <c r="A27" s="374" t="n">
        <v>33</v>
      </c>
      <c r="B27" s="374" t="str">
        <f aca="false" t="array" ref="B27:B27">INDEX('0.0.1 Pokémon Dex Data'!$E$3:$E1007,MATCH(A27,'0.0.1 Pokémon Dex Data'!$B$3:$B1007,0))</f>
        <v>Pikachu</v>
      </c>
      <c r="C27" s="374" t="s">
        <v>2461</v>
      </c>
      <c r="D27" s="374" t="s">
        <v>2491</v>
      </c>
      <c r="E27" s="374" t="s">
        <v>2477</v>
      </c>
      <c r="F27" s="374" t="s">
        <v>2476</v>
      </c>
      <c r="G27" s="374" t="s">
        <v>2569</v>
      </c>
      <c r="H27" s="374"/>
      <c r="I27" s="374"/>
      <c r="J27" s="374"/>
      <c r="K27" s="374"/>
      <c r="L27" s="374"/>
      <c r="M27" s="374" t="s">
        <v>2620</v>
      </c>
      <c r="N27" s="374"/>
      <c r="O27" s="374"/>
      <c r="P27" s="374" t="s">
        <v>2475</v>
      </c>
      <c r="Q27" s="374" t="s">
        <v>2424</v>
      </c>
      <c r="R27" s="374"/>
    </row>
    <row r="28" customFormat="false" ht="15.75" hidden="false" customHeight="false" outlineLevel="0" collapsed="false">
      <c r="A28" s="374" t="n">
        <v>34</v>
      </c>
      <c r="B28" s="374" t="str">
        <f aca="false" t="array" ref="B28:B28">INDEX('0.0.1 Pokémon Dex Data'!$E$3:$E1007,MATCH(A28,'0.0.1 Pokémon Dex Data'!$B$3:$B1007,0))</f>
        <v>Raichu</v>
      </c>
      <c r="C28" s="374" t="s">
        <v>2570</v>
      </c>
      <c r="D28" s="374" t="s">
        <v>2492</v>
      </c>
      <c r="E28" s="374" t="s">
        <v>2477</v>
      </c>
      <c r="F28" s="374" t="s">
        <v>2356</v>
      </c>
      <c r="G28" s="374" t="s">
        <v>2399</v>
      </c>
      <c r="H28" s="374"/>
      <c r="I28" s="374"/>
      <c r="J28" s="374"/>
      <c r="K28" s="374"/>
      <c r="L28" s="374"/>
      <c r="M28" s="374"/>
      <c r="N28" s="374"/>
      <c r="O28" s="374"/>
      <c r="P28" s="374" t="s">
        <v>2475</v>
      </c>
      <c r="Q28" s="374"/>
      <c r="R28" s="374"/>
    </row>
    <row r="29" customFormat="false" ht="15.75" hidden="false" customHeight="false" outlineLevel="0" collapsed="false">
      <c r="A29" s="374" t="n">
        <v>36</v>
      </c>
      <c r="B29" s="374" t="str">
        <f aca="false" t="array" ref="B29:B29">INDEX('0.0.1 Pokémon Dex Data'!$E$3:$E1007,MATCH(A29,'0.0.1 Pokémon Dex Data'!$B$3:$B1007,0))</f>
        <v>Sandshrew</v>
      </c>
      <c r="C29" s="374" t="s">
        <v>2390</v>
      </c>
      <c r="D29" s="374" t="s">
        <v>2594</v>
      </c>
      <c r="E29" s="374" t="s">
        <v>2388</v>
      </c>
      <c r="F29" s="374" t="s">
        <v>2499</v>
      </c>
      <c r="G29" s="374" t="s">
        <v>2358</v>
      </c>
      <c r="H29" s="374"/>
      <c r="I29" s="374"/>
      <c r="J29" s="374"/>
      <c r="K29" s="374"/>
      <c r="L29" s="374"/>
      <c r="M29" s="374"/>
      <c r="N29" s="374"/>
      <c r="O29" s="374"/>
      <c r="P29" s="374" t="s">
        <v>2389</v>
      </c>
      <c r="Q29" s="374"/>
      <c r="R29" s="374"/>
    </row>
    <row r="30" customFormat="false" ht="15.75" hidden="false" customHeight="false" outlineLevel="0" collapsed="false">
      <c r="A30" s="374" t="n">
        <v>38</v>
      </c>
      <c r="B30" s="374" t="str">
        <f aca="false" t="array" ref="B30:B30">INDEX('0.0.1 Pokémon Dex Data'!$E$3:$E1007,MATCH(A30,'0.0.1 Pokémon Dex Data'!$B$3:$B1007,0))</f>
        <v>Sandslash</v>
      </c>
      <c r="C30" s="374" t="s">
        <v>2384</v>
      </c>
      <c r="D30" s="374" t="s">
        <v>2594</v>
      </c>
      <c r="E30" s="374" t="s">
        <v>2317</v>
      </c>
      <c r="F30" s="374" t="s">
        <v>2389</v>
      </c>
      <c r="G30" s="374" t="s">
        <v>2313</v>
      </c>
      <c r="H30" s="374"/>
      <c r="I30" s="374"/>
      <c r="J30" s="374"/>
      <c r="K30" s="374"/>
      <c r="L30" s="374"/>
      <c r="M30" s="374"/>
      <c r="N30" s="374"/>
      <c r="O30" s="374"/>
      <c r="P30" s="374"/>
      <c r="Q30" s="374"/>
      <c r="R30" s="374"/>
    </row>
    <row r="31" customFormat="false" ht="15.75" hidden="false" customHeight="false" outlineLevel="0" collapsed="false">
      <c r="A31" s="374" t="n">
        <v>40</v>
      </c>
      <c r="B31" s="374" t="str">
        <f aca="false" t="array" ref="B31:B31">INDEX('0.0.1 Pokémon Dex Data'!$E$3:$E1007,MATCH(A31,'0.0.1 Pokémon Dex Data'!$B$3:$B1007,0))</f>
        <v>Nidoran♀</v>
      </c>
      <c r="C31" s="374" t="s">
        <v>2404</v>
      </c>
      <c r="D31" s="374" t="s">
        <v>2487</v>
      </c>
      <c r="E31" s="374" t="s">
        <v>2343</v>
      </c>
      <c r="F31" s="374" t="s">
        <v>2312</v>
      </c>
      <c r="G31" s="374" t="s">
        <v>2529</v>
      </c>
      <c r="H31" s="374"/>
      <c r="I31" s="374"/>
      <c r="J31" s="374"/>
      <c r="K31" s="374"/>
      <c r="L31" s="374"/>
      <c r="M31" s="374"/>
      <c r="N31" s="374"/>
      <c r="O31" s="374"/>
      <c r="P31" s="374"/>
      <c r="Q31" s="374"/>
      <c r="R31" s="374"/>
    </row>
    <row r="32" customFormat="false" ht="15.75" hidden="false" customHeight="false" outlineLevel="0" collapsed="false">
      <c r="A32" s="374" t="n">
        <v>41</v>
      </c>
      <c r="B32" s="374" t="str">
        <f aca="false" t="array" ref="B32:B32">INDEX('0.0.1 Pokémon Dex Data'!$E$3:$E1007,MATCH(A32,'0.0.1 Pokémon Dex Data'!$B$3:$B1007,0))</f>
        <v>Nidorina</v>
      </c>
      <c r="C32" s="374" t="s">
        <v>2404</v>
      </c>
      <c r="D32" s="374" t="s">
        <v>2487</v>
      </c>
      <c r="E32" s="374" t="s">
        <v>2343</v>
      </c>
      <c r="F32" s="374" t="s">
        <v>2358</v>
      </c>
      <c r="G32" s="374" t="s">
        <v>2529</v>
      </c>
      <c r="H32" s="374"/>
      <c r="I32" s="374"/>
      <c r="J32" s="374"/>
      <c r="K32" s="374"/>
      <c r="L32" s="374"/>
      <c r="M32" s="374"/>
      <c r="N32" s="374"/>
      <c r="O32" s="374"/>
      <c r="P32" s="374"/>
      <c r="Q32" s="374"/>
      <c r="R32" s="374"/>
    </row>
    <row r="33" customFormat="false" ht="15.75" hidden="false" customHeight="false" outlineLevel="0" collapsed="false">
      <c r="A33" s="374" t="n">
        <v>42</v>
      </c>
      <c r="B33" s="374" t="str">
        <f aca="false" t="array" ref="B33:B33">INDEX('0.0.1 Pokémon Dex Data'!$E$3:$E1007,MATCH(A33,'0.0.1 Pokémon Dex Data'!$B$3:$B1007,0))</f>
        <v>Nidoqueen</v>
      </c>
      <c r="C33" s="374" t="s">
        <v>2454</v>
      </c>
      <c r="D33" s="374" t="s">
        <v>2404</v>
      </c>
      <c r="E33" s="374" t="s">
        <v>2317</v>
      </c>
      <c r="F33" s="374" t="s">
        <v>2471</v>
      </c>
      <c r="G33" s="374" t="s">
        <v>2500</v>
      </c>
      <c r="H33" s="374"/>
      <c r="I33" s="374"/>
      <c r="J33" s="374"/>
      <c r="K33" s="374"/>
      <c r="L33" s="374"/>
      <c r="M33" s="374"/>
      <c r="N33" s="374"/>
      <c r="O33" s="374"/>
      <c r="P33" s="374"/>
      <c r="Q33" s="374"/>
      <c r="R33" s="374"/>
    </row>
    <row r="34" customFormat="false" ht="15.75" hidden="false" customHeight="false" outlineLevel="0" collapsed="false">
      <c r="A34" s="374" t="n">
        <v>43</v>
      </c>
      <c r="B34" s="374" t="str">
        <f aca="false" t="array" ref="B34:B34">INDEX('0.0.1 Pokémon Dex Data'!$E$3:$E1007,MATCH(A34,'0.0.1 Pokémon Dex Data'!$B$3:$B1007,0))</f>
        <v>Nidoran♂</v>
      </c>
      <c r="C34" s="374" t="s">
        <v>2480</v>
      </c>
      <c r="D34" s="374" t="s">
        <v>2487</v>
      </c>
      <c r="E34" s="374" t="s">
        <v>2343</v>
      </c>
      <c r="F34" s="374" t="s">
        <v>2312</v>
      </c>
      <c r="G34" s="374" t="s">
        <v>2512</v>
      </c>
      <c r="H34" s="374"/>
      <c r="I34" s="374"/>
      <c r="J34" s="374"/>
      <c r="K34" s="374"/>
      <c r="L34" s="374"/>
      <c r="M34" s="374"/>
      <c r="N34" s="374"/>
      <c r="O34" s="374"/>
      <c r="P34" s="374"/>
      <c r="Q34" s="374"/>
      <c r="R34" s="374"/>
    </row>
    <row r="35" customFormat="false" ht="15.75" hidden="false" customHeight="false" outlineLevel="0" collapsed="false">
      <c r="A35" s="374" t="n">
        <v>44</v>
      </c>
      <c r="B35" s="374" t="str">
        <f aca="false" t="array" ref="B35:B35">INDEX('0.0.1 Pokémon Dex Data'!$E$3:$E1007,MATCH(A35,'0.0.1 Pokémon Dex Data'!$B$3:$B1007,0))</f>
        <v>Nidorino</v>
      </c>
      <c r="C35" s="374" t="s">
        <v>2454</v>
      </c>
      <c r="D35" s="374" t="s">
        <v>2487</v>
      </c>
      <c r="E35" s="374" t="s">
        <v>2343</v>
      </c>
      <c r="F35" s="374" t="s">
        <v>2358</v>
      </c>
      <c r="G35" s="374" t="s">
        <v>2512</v>
      </c>
      <c r="H35" s="374"/>
      <c r="I35" s="374"/>
      <c r="J35" s="374"/>
      <c r="K35" s="374"/>
      <c r="L35" s="374"/>
      <c r="M35" s="374"/>
      <c r="N35" s="374"/>
      <c r="O35" s="374"/>
      <c r="P35" s="374"/>
      <c r="Q35" s="374"/>
      <c r="R35" s="374"/>
    </row>
    <row r="36" customFormat="false" ht="15.75" hidden="false" customHeight="false" outlineLevel="0" collapsed="false">
      <c r="A36" s="374" t="n">
        <v>45</v>
      </c>
      <c r="B36" s="374" t="str">
        <f aca="false" t="array" ref="B36:B36">INDEX('0.0.1 Pokémon Dex Data'!$E$3:$E1007,MATCH(A36,'0.0.1 Pokémon Dex Data'!$B$3:$B1007,0))</f>
        <v>Nidoking</v>
      </c>
      <c r="C36" s="374" t="s">
        <v>2454</v>
      </c>
      <c r="D36" s="374" t="s">
        <v>2381</v>
      </c>
      <c r="E36" s="374" t="s">
        <v>2317</v>
      </c>
      <c r="F36" s="374" t="s">
        <v>2471</v>
      </c>
      <c r="G36" s="374" t="s">
        <v>2513</v>
      </c>
      <c r="H36" s="374"/>
      <c r="I36" s="374"/>
      <c r="J36" s="374"/>
      <c r="K36" s="374"/>
      <c r="L36" s="374"/>
      <c r="M36" s="374" t="s">
        <v>2322</v>
      </c>
      <c r="N36" s="374"/>
      <c r="O36" s="374"/>
      <c r="P36" s="374"/>
      <c r="Q36" s="374"/>
      <c r="R36" s="374"/>
    </row>
    <row r="37" customFormat="false" ht="15.75" hidden="false" customHeight="false" outlineLevel="0" collapsed="false">
      <c r="A37" s="374" t="n">
        <v>46</v>
      </c>
      <c r="B37" s="374" t="str">
        <f aca="false" t="array" ref="B37:B37">INDEX('0.0.1 Pokémon Dex Data'!$E$3:$E1007,MATCH(A37,'0.0.1 Pokémon Dex Data'!$B$3:$B1007,0))</f>
        <v>Clefairy</v>
      </c>
      <c r="C37" s="374" t="s">
        <v>2582</v>
      </c>
      <c r="D37" s="374" t="s">
        <v>2430</v>
      </c>
      <c r="E37" s="374" t="s">
        <v>2518</v>
      </c>
      <c r="F37" s="374" t="s">
        <v>2312</v>
      </c>
      <c r="G37" s="374" t="s">
        <v>2638</v>
      </c>
      <c r="H37" s="374"/>
      <c r="I37" s="374"/>
      <c r="J37" s="374"/>
      <c r="K37" s="374"/>
      <c r="L37" s="374"/>
      <c r="M37" s="374"/>
      <c r="N37" s="374"/>
      <c r="O37" s="374"/>
      <c r="P37" s="374"/>
      <c r="Q37" s="374"/>
      <c r="R37" s="374"/>
    </row>
    <row r="38" customFormat="false" ht="15.75" hidden="false" customHeight="false" outlineLevel="0" collapsed="false">
      <c r="A38" s="374" t="n">
        <v>47</v>
      </c>
      <c r="B38" s="374" t="str">
        <f aca="false" t="array" ref="B38:B38">INDEX('0.0.1 Pokémon Dex Data'!$E$3:$E1007,MATCH(A38,'0.0.1 Pokémon Dex Data'!$B$3:$B1007,0))</f>
        <v>Clefable</v>
      </c>
      <c r="C38" s="374" t="s">
        <v>2464</v>
      </c>
      <c r="D38" s="374" t="s">
        <v>2430</v>
      </c>
      <c r="E38" s="374" t="s">
        <v>157</v>
      </c>
      <c r="F38" s="374" t="s">
        <v>2517</v>
      </c>
      <c r="G38" s="374" t="s">
        <v>2638</v>
      </c>
      <c r="H38" s="374"/>
      <c r="I38" s="374"/>
      <c r="J38" s="374"/>
      <c r="K38" s="374"/>
      <c r="L38" s="374"/>
      <c r="M38" s="374" t="s">
        <v>2582</v>
      </c>
      <c r="N38" s="374"/>
      <c r="O38" s="374"/>
      <c r="P38" s="374"/>
      <c r="Q38" s="374"/>
      <c r="R38" s="374"/>
    </row>
    <row r="39" customFormat="false" ht="15.75" hidden="false" customHeight="false" outlineLevel="0" collapsed="false">
      <c r="A39" s="374" t="n">
        <v>48</v>
      </c>
      <c r="B39" s="374" t="str">
        <f aca="false" t="array" ref="B39:B39">INDEX('0.0.1 Pokémon Dex Data'!$E$3:$E1007,MATCH(A39,'0.0.1 Pokémon Dex Data'!$B$3:$B1007,0))</f>
        <v>Vulpix</v>
      </c>
      <c r="C39" s="374" t="s">
        <v>2461</v>
      </c>
      <c r="D39" s="374" t="s">
        <v>2365</v>
      </c>
      <c r="E39" s="374" t="s">
        <v>2373</v>
      </c>
      <c r="F39" s="374" t="s">
        <v>2312</v>
      </c>
      <c r="G39" s="374" t="s">
        <v>2372</v>
      </c>
      <c r="H39" s="374"/>
      <c r="I39" s="374"/>
      <c r="J39" s="374"/>
      <c r="K39" s="374"/>
      <c r="L39" s="374"/>
      <c r="M39" s="374"/>
      <c r="N39" s="374"/>
      <c r="O39" s="374"/>
      <c r="P39" s="374"/>
      <c r="Q39" s="374"/>
      <c r="R39" s="374"/>
    </row>
    <row r="40" customFormat="false" ht="15.75" hidden="false" customHeight="false" outlineLevel="0" collapsed="false">
      <c r="A40" s="374" t="n">
        <v>50</v>
      </c>
      <c r="B40" s="374" t="str">
        <f aca="false" t="array" ref="B40:B40">INDEX('0.0.1 Pokémon Dex Data'!$E$3:$E1007,MATCH(A40,'0.0.1 Pokémon Dex Data'!$B$3:$B1007,0))</f>
        <v>Ninetales</v>
      </c>
      <c r="C40" s="374" t="s">
        <v>2370</v>
      </c>
      <c r="D40" s="374" t="s">
        <v>2535</v>
      </c>
      <c r="E40" s="374" t="s">
        <v>2378</v>
      </c>
      <c r="F40" s="374" t="s">
        <v>2386</v>
      </c>
      <c r="G40" s="374" t="s">
        <v>2345</v>
      </c>
      <c r="H40" s="374"/>
      <c r="I40" s="374"/>
      <c r="J40" s="374"/>
      <c r="K40" s="374"/>
      <c r="L40" s="374"/>
      <c r="M40" s="374" t="s">
        <v>2365</v>
      </c>
      <c r="N40" s="374"/>
      <c r="O40" s="374"/>
      <c r="P40" s="374" t="s">
        <v>2366</v>
      </c>
      <c r="Q40" s="374" t="s">
        <v>2373</v>
      </c>
      <c r="R40" s="374"/>
    </row>
    <row r="41" customFormat="false" ht="15.75" hidden="false" customHeight="false" outlineLevel="0" collapsed="false">
      <c r="A41" s="374" t="n">
        <v>52</v>
      </c>
      <c r="B41" s="374" t="str">
        <f aca="false" t="array" ref="B41:B41">INDEX('0.0.1 Pokémon Dex Data'!$E$3:$E1007,MATCH(A41,'0.0.1 Pokémon Dex Data'!$B$3:$B1007,0))</f>
        <v>Jigglypuff</v>
      </c>
      <c r="C41" s="374" t="s">
        <v>2582</v>
      </c>
      <c r="D41" s="374" t="s">
        <v>2535</v>
      </c>
      <c r="E41" s="374" t="s">
        <v>2518</v>
      </c>
      <c r="F41" s="374" t="s">
        <v>2517</v>
      </c>
      <c r="G41" s="374" t="s">
        <v>2412</v>
      </c>
      <c r="H41" s="374"/>
      <c r="I41" s="374"/>
      <c r="J41" s="374"/>
      <c r="K41" s="374"/>
      <c r="L41" s="374"/>
      <c r="M41" s="374"/>
      <c r="N41" s="374"/>
      <c r="O41" s="374"/>
      <c r="P41" s="374" t="s">
        <v>2526</v>
      </c>
      <c r="Q41" s="374" t="s">
        <v>2312</v>
      </c>
      <c r="R41" s="374"/>
    </row>
    <row r="42" customFormat="false" ht="13.8" hidden="false" customHeight="false" outlineLevel="0" collapsed="false">
      <c r="A42" s="374" t="n">
        <v>53</v>
      </c>
      <c r="B42" s="374" t="str">
        <f aca="false" t="array" ref="B42:B42">INDEX('0.0.1 Pokémon Dex Data'!$E$3:$E1007,MATCH(A42,'0.0.1 Pokémon Dex Data'!$B$3:$B1007,0))</f>
        <v>Wigglytuff</v>
      </c>
      <c r="C42" s="374" t="s">
        <v>2582</v>
      </c>
      <c r="D42" s="374" t="s">
        <v>2535</v>
      </c>
      <c r="E42" s="374" t="s">
        <v>2526</v>
      </c>
      <c r="F42" s="374" t="s">
        <v>2517</v>
      </c>
      <c r="G42" s="374" t="s">
        <v>2329</v>
      </c>
      <c r="H42" s="374"/>
      <c r="I42" s="374"/>
      <c r="J42" s="374"/>
      <c r="K42" s="374"/>
      <c r="L42" s="374"/>
      <c r="M42" s="374"/>
      <c r="N42" s="374"/>
      <c r="O42" s="374"/>
      <c r="P42" s="374"/>
      <c r="Q42" s="374"/>
      <c r="R42" s="374"/>
    </row>
    <row r="43" customFormat="false" ht="15.75" hidden="false" customHeight="false" outlineLevel="0" collapsed="false">
      <c r="A43" s="374" t="n">
        <v>54</v>
      </c>
      <c r="B43" s="374" t="str">
        <f aca="false" t="array" ref="B43:B43">INDEX('0.0.1 Pokémon Dex Data'!$E$3:$E1007,MATCH(A43,'0.0.1 Pokémon Dex Data'!$B$3:$B1007,0))</f>
        <v>Zubat</v>
      </c>
      <c r="C43" s="374" t="s">
        <v>2461</v>
      </c>
      <c r="D43" s="374" t="s">
        <v>2404</v>
      </c>
      <c r="E43" s="374" t="s">
        <v>2353</v>
      </c>
      <c r="F43" s="374" t="s">
        <v>2529</v>
      </c>
      <c r="G43" s="374" t="s">
        <v>2398</v>
      </c>
      <c r="H43" s="374"/>
      <c r="I43" s="374"/>
      <c r="J43" s="374"/>
      <c r="K43" s="374"/>
      <c r="L43" s="374"/>
      <c r="M43" s="374"/>
      <c r="N43" s="374"/>
      <c r="O43" s="374"/>
      <c r="P43" s="374" t="s">
        <v>2343</v>
      </c>
      <c r="Q43" s="374"/>
      <c r="R43" s="374"/>
    </row>
    <row r="44" customFormat="false" ht="15.75" hidden="false" customHeight="false" outlineLevel="0" collapsed="false">
      <c r="A44" s="374" t="n">
        <v>55</v>
      </c>
      <c r="B44" s="374" t="str">
        <f aca="false" t="array" ref="B44:B44">INDEX('0.0.1 Pokémon Dex Data'!$E$3:$E1007,MATCH(A44,'0.0.1 Pokémon Dex Data'!$B$3:$B1007,0))</f>
        <v>Golbat</v>
      </c>
      <c r="C44" s="374" t="s">
        <v>2404</v>
      </c>
      <c r="D44" s="374" t="s">
        <v>2401</v>
      </c>
      <c r="E44" s="374" t="s">
        <v>2353</v>
      </c>
      <c r="F44" s="374" t="s">
        <v>2529</v>
      </c>
      <c r="G44" s="374" t="s">
        <v>2442</v>
      </c>
      <c r="H44" s="374"/>
      <c r="I44" s="374"/>
      <c r="J44" s="374"/>
      <c r="K44" s="374"/>
      <c r="L44" s="374"/>
      <c r="M44" s="374"/>
      <c r="N44" s="374"/>
      <c r="O44" s="374"/>
      <c r="P44" s="374" t="s">
        <v>2385</v>
      </c>
      <c r="Q44" s="374"/>
      <c r="R44" s="374"/>
    </row>
    <row r="45" customFormat="false" ht="15.75" hidden="false" customHeight="false" outlineLevel="0" collapsed="false">
      <c r="A45" s="374" t="n">
        <v>56</v>
      </c>
      <c r="B45" s="374" t="str">
        <f aca="false" t="array" ref="B45:B45">INDEX('0.0.1 Pokémon Dex Data'!$E$3:$E1007,MATCH(A45,'0.0.1 Pokémon Dex Data'!$B$3:$B1007,0))</f>
        <v>Oddish</v>
      </c>
      <c r="C45" s="374" t="s">
        <v>2481</v>
      </c>
      <c r="D45" s="374" t="s">
        <v>2336</v>
      </c>
      <c r="E45" s="374" t="s">
        <v>2343</v>
      </c>
      <c r="F45" s="374" t="s">
        <v>2342</v>
      </c>
      <c r="G45" s="374" t="s">
        <v>2638</v>
      </c>
      <c r="H45" s="374"/>
      <c r="I45" s="374"/>
      <c r="J45" s="374"/>
      <c r="K45" s="374"/>
      <c r="L45" s="374"/>
      <c r="M45" s="374"/>
      <c r="N45" s="374"/>
      <c r="O45" s="374"/>
      <c r="P45" s="374"/>
      <c r="Q45" s="374"/>
      <c r="R45" s="374"/>
    </row>
    <row r="46" customFormat="false" ht="15.75" hidden="false" customHeight="false" outlineLevel="0" collapsed="false">
      <c r="A46" s="374" t="n">
        <v>57</v>
      </c>
      <c r="B46" s="374" t="str">
        <f aca="false" t="array" ref="B46:B46">INDEX('0.0.1 Pokémon Dex Data'!$E$3:$E1007,MATCH(A46,'0.0.1 Pokémon Dex Data'!$B$3:$B1007,0))</f>
        <v>Gloom</v>
      </c>
      <c r="C46" s="374" t="s">
        <v>2481</v>
      </c>
      <c r="D46" s="374" t="s">
        <v>2336</v>
      </c>
      <c r="E46" s="374" t="s">
        <v>2343</v>
      </c>
      <c r="F46" s="374" t="s">
        <v>2333</v>
      </c>
      <c r="G46" s="374" t="s">
        <v>2638</v>
      </c>
      <c r="H46" s="374"/>
      <c r="I46" s="374"/>
      <c r="J46" s="374"/>
      <c r="K46" s="374"/>
      <c r="L46" s="374"/>
      <c r="M46" s="374"/>
      <c r="N46" s="374"/>
      <c r="O46" s="374"/>
      <c r="P46" s="374"/>
      <c r="Q46" s="374"/>
      <c r="R46" s="374"/>
    </row>
    <row r="47" customFormat="false" ht="15.75" hidden="false" customHeight="false" outlineLevel="0" collapsed="false">
      <c r="A47" s="374" t="n">
        <v>58</v>
      </c>
      <c r="B47" s="374" t="str">
        <f aca="false" t="array" ref="B47:B47">INDEX('0.0.1 Pokémon Dex Data'!$E$3:$E1007,MATCH(A47,'0.0.1 Pokémon Dex Data'!$B$3:$B1007,0))</f>
        <v>Vileplume</v>
      </c>
      <c r="C47" s="374" t="s">
        <v>2481</v>
      </c>
      <c r="D47" s="374" t="s">
        <v>2336</v>
      </c>
      <c r="E47" s="374" t="s">
        <v>2345</v>
      </c>
      <c r="F47" s="374" t="s">
        <v>2333</v>
      </c>
      <c r="G47" s="374" t="s">
        <v>2638</v>
      </c>
      <c r="H47" s="374"/>
      <c r="I47" s="374"/>
      <c r="J47" s="374"/>
      <c r="K47" s="374"/>
      <c r="L47" s="374"/>
      <c r="M47" s="374"/>
      <c r="N47" s="374"/>
      <c r="O47" s="374"/>
      <c r="P47" s="374"/>
      <c r="Q47" s="374"/>
      <c r="R47" s="374"/>
    </row>
    <row r="48" customFormat="false" ht="15.75" hidden="false" customHeight="false" outlineLevel="0" collapsed="false">
      <c r="A48" s="374" t="n">
        <v>59</v>
      </c>
      <c r="B48" s="374" t="str">
        <f aca="false" t="array" ref="B48:B48">INDEX('0.0.1 Pokémon Dex Data'!$E$3:$E1007,MATCH(A48,'0.0.1 Pokémon Dex Data'!$B$3:$B1007,0))</f>
        <v>Paras</v>
      </c>
      <c r="C48" s="374" t="s">
        <v>2390</v>
      </c>
      <c r="D48" s="374" t="s">
        <v>2432</v>
      </c>
      <c r="E48" s="374" t="s">
        <v>2530</v>
      </c>
      <c r="F48" s="374" t="s">
        <v>2458</v>
      </c>
      <c r="G48" s="374" t="s">
        <v>2342</v>
      </c>
      <c r="H48" s="374"/>
      <c r="I48" s="374"/>
      <c r="J48" s="374"/>
      <c r="K48" s="374"/>
      <c r="L48" s="374"/>
      <c r="M48" s="374"/>
      <c r="N48" s="374"/>
      <c r="O48" s="374"/>
      <c r="P48" s="374"/>
      <c r="Q48" s="374"/>
      <c r="R48" s="374"/>
    </row>
    <row r="49" customFormat="false" ht="15.75" hidden="false" customHeight="false" outlineLevel="0" collapsed="false">
      <c r="A49" s="374" t="n">
        <v>60</v>
      </c>
      <c r="B49" s="374" t="str">
        <f aca="false" t="array" ref="B49:B49">INDEX('0.0.1 Pokémon Dex Data'!$E$3:$E1007,MATCH(A49,'0.0.1 Pokémon Dex Data'!$B$3:$B1007,0))</f>
        <v>Parasect</v>
      </c>
      <c r="C49" s="374" t="s">
        <v>2322</v>
      </c>
      <c r="D49" s="374" t="s">
        <v>2444</v>
      </c>
      <c r="E49" s="374" t="s">
        <v>2530</v>
      </c>
      <c r="F49" s="374" t="s">
        <v>2458</v>
      </c>
      <c r="G49" s="374" t="s">
        <v>2345</v>
      </c>
      <c r="H49" s="374"/>
      <c r="I49" s="374"/>
      <c r="J49" s="374"/>
      <c r="K49" s="374"/>
      <c r="L49" s="374"/>
      <c r="M49" s="374" t="s">
        <v>2432</v>
      </c>
      <c r="N49" s="374"/>
      <c r="O49" s="374"/>
      <c r="P49" s="374"/>
      <c r="Q49" s="374"/>
      <c r="R49" s="374"/>
    </row>
    <row r="50" customFormat="false" ht="15.75" hidden="false" customHeight="false" outlineLevel="0" collapsed="false">
      <c r="A50" s="374" t="n">
        <v>61</v>
      </c>
      <c r="B50" s="374" t="str">
        <f aca="false" t="array" ref="B50:B50">INDEX('0.0.1 Pokémon Dex Data'!$E$3:$E1007,MATCH(A50,'0.0.1 Pokémon Dex Data'!$B$3:$B1007,0))</f>
        <v>Venonat</v>
      </c>
      <c r="C50" s="374" t="s">
        <v>2434</v>
      </c>
      <c r="D50" s="374" t="s">
        <v>2432</v>
      </c>
      <c r="E50" s="374" t="s">
        <v>2422</v>
      </c>
      <c r="F50" s="374" t="s">
        <v>2529</v>
      </c>
      <c r="G50" s="374" t="s">
        <v>2439</v>
      </c>
      <c r="H50" s="374"/>
      <c r="I50" s="374"/>
      <c r="J50" s="374"/>
      <c r="K50" s="374"/>
      <c r="L50" s="374"/>
      <c r="M50" s="374"/>
      <c r="N50" s="374"/>
      <c r="O50" s="374"/>
      <c r="P50" s="374"/>
      <c r="Q50" s="374"/>
      <c r="R50" s="374"/>
    </row>
    <row r="51" customFormat="false" ht="15.75" hidden="false" customHeight="false" outlineLevel="0" collapsed="false">
      <c r="A51" s="374" t="n">
        <v>62</v>
      </c>
      <c r="B51" s="374" t="str">
        <f aca="false" t="array" ref="B51:B51">INDEX('0.0.1 Pokémon Dex Data'!$E$3:$E1007,MATCH(A51,'0.0.1 Pokémon Dex Data'!$B$3:$B1007,0))</f>
        <v>Venomoth</v>
      </c>
      <c r="C51" s="374" t="s">
        <v>2434</v>
      </c>
      <c r="D51" s="374" t="s">
        <v>2438</v>
      </c>
      <c r="E51" s="374" t="s">
        <v>157</v>
      </c>
      <c r="F51" s="374" t="s">
        <v>2433</v>
      </c>
      <c r="G51" s="374" t="s">
        <v>2443</v>
      </c>
      <c r="H51" s="374"/>
      <c r="I51" s="374"/>
      <c r="J51" s="374"/>
      <c r="K51" s="374"/>
      <c r="L51" s="374"/>
      <c r="M51" s="374" t="s">
        <v>2432</v>
      </c>
      <c r="N51" s="374"/>
      <c r="O51" s="374"/>
      <c r="P51" s="374" t="s">
        <v>2529</v>
      </c>
      <c r="Q51" s="374"/>
      <c r="R51" s="374"/>
    </row>
    <row r="52" customFormat="false" ht="15.75" hidden="false" customHeight="false" outlineLevel="0" collapsed="false">
      <c r="A52" s="374" t="n">
        <v>63</v>
      </c>
      <c r="B52" s="374" t="str">
        <f aca="false" t="array" ref="B52:B52">INDEX('0.0.1 Pokémon Dex Data'!$E$3:$E1007,MATCH(A52,'0.0.1 Pokémon Dex Data'!$B$3:$B1007,0))</f>
        <v>Diglett</v>
      </c>
      <c r="C52" s="374" t="s">
        <v>2390</v>
      </c>
      <c r="D52" s="374" t="s">
        <v>183</v>
      </c>
      <c r="E52" s="374" t="s">
        <v>2486</v>
      </c>
      <c r="F52" s="374" t="s">
        <v>2389</v>
      </c>
      <c r="G52" s="374" t="s">
        <v>2358</v>
      </c>
      <c r="H52" s="374"/>
      <c r="I52" s="374"/>
      <c r="J52" s="374"/>
      <c r="K52" s="374"/>
      <c r="L52" s="374"/>
      <c r="M52" s="374" t="s">
        <v>2594</v>
      </c>
      <c r="N52" s="374"/>
      <c r="O52" s="374"/>
      <c r="P52" s="374"/>
      <c r="Q52" s="374"/>
      <c r="R52" s="374"/>
    </row>
    <row r="53" customFormat="false" ht="15.75" hidden="false" customHeight="false" outlineLevel="0" collapsed="false">
      <c r="A53" s="374" t="n">
        <v>65</v>
      </c>
      <c r="B53" s="374" t="str">
        <f aca="false" t="array" ref="B53:B53">INDEX('0.0.1 Pokémon Dex Data'!$E$3:$E1007,MATCH(A53,'0.0.1 Pokémon Dex Data'!$B$3:$B1007,0))</f>
        <v>Dugtrio</v>
      </c>
      <c r="C53" s="374" t="s">
        <v>2473</v>
      </c>
      <c r="D53" s="374" t="s">
        <v>183</v>
      </c>
      <c r="E53" s="374" t="s">
        <v>2317</v>
      </c>
      <c r="F53" s="374" t="s">
        <v>2486</v>
      </c>
      <c r="G53" s="374" t="s">
        <v>2500</v>
      </c>
      <c r="H53" s="374"/>
      <c r="I53" s="374"/>
      <c r="J53" s="374"/>
      <c r="K53" s="374"/>
      <c r="L53" s="374"/>
      <c r="M53" s="374" t="s">
        <v>2594</v>
      </c>
      <c r="N53" s="374"/>
      <c r="O53" s="374"/>
      <c r="P53" s="374"/>
      <c r="Q53" s="374"/>
      <c r="R53" s="374"/>
    </row>
    <row r="54" customFormat="false" ht="15.75" hidden="false" customHeight="false" outlineLevel="0" collapsed="false">
      <c r="A54" s="374" t="n">
        <v>67</v>
      </c>
      <c r="B54" s="374" t="str">
        <f aca="false" t="array" ref="B54:B54">INDEX('0.0.1 Pokémon Dex Data'!$E$3:$E1007,MATCH(A54,'0.0.1 Pokémon Dex Data'!$B$3:$B1007,0))</f>
        <v>Meowth</v>
      </c>
      <c r="C54" s="374" t="s">
        <v>2390</v>
      </c>
      <c r="D54" s="374" t="s">
        <v>2404</v>
      </c>
      <c r="E54" s="374" t="s">
        <v>2523</v>
      </c>
      <c r="F54" s="374" t="s">
        <v>2531</v>
      </c>
      <c r="G54" s="374" t="s">
        <v>2409</v>
      </c>
      <c r="H54" s="374"/>
      <c r="I54" s="374"/>
      <c r="J54" s="374"/>
      <c r="K54" s="374"/>
      <c r="L54" s="374"/>
      <c r="M54" s="374"/>
      <c r="N54" s="374"/>
      <c r="O54" s="374"/>
      <c r="P54" s="374" t="s">
        <v>2312</v>
      </c>
      <c r="Q54" s="374"/>
      <c r="R54" s="374"/>
    </row>
    <row r="55" customFormat="false" ht="15.75" hidden="false" customHeight="false" outlineLevel="0" collapsed="false">
      <c r="A55" s="374" t="n">
        <v>69</v>
      </c>
      <c r="B55" s="374" t="str">
        <f aca="false" t="array" ref="B55:B55">INDEX('0.0.1 Pokémon Dex Data'!$E$3:$E1007,MATCH(A55,'0.0.1 Pokémon Dex Data'!$B$3:$B1007,0))</f>
        <v>Persian</v>
      </c>
      <c r="C55" s="374" t="s">
        <v>2390</v>
      </c>
      <c r="D55" s="374" t="s">
        <v>2535</v>
      </c>
      <c r="E55" s="374" t="s">
        <v>2523</v>
      </c>
      <c r="F55" s="374" t="s">
        <v>2536</v>
      </c>
      <c r="G55" s="374" t="s">
        <v>2526</v>
      </c>
      <c r="H55" s="374"/>
      <c r="I55" s="374"/>
      <c r="J55" s="374"/>
      <c r="K55" s="374"/>
      <c r="L55" s="374"/>
      <c r="M55" s="374"/>
      <c r="N55" s="374"/>
      <c r="O55" s="374"/>
      <c r="P55" s="374" t="s">
        <v>2531</v>
      </c>
      <c r="Q55" s="374"/>
      <c r="R55" s="374"/>
    </row>
    <row r="56" customFormat="false" ht="15.75" hidden="false" customHeight="false" outlineLevel="0" collapsed="false">
      <c r="A56" s="374" t="n">
        <v>71</v>
      </c>
      <c r="B56" s="374" t="str">
        <f aca="false" t="array" ref="B56:B56">INDEX('0.0.1 Pokémon Dex Data'!$E$3:$E1007,MATCH(A56,'0.0.1 Pokémon Dex Data'!$B$3:$B1007,0))</f>
        <v>Psyduck</v>
      </c>
      <c r="C56" s="374" t="s">
        <v>2426</v>
      </c>
      <c r="D56" s="374" t="s">
        <v>2430</v>
      </c>
      <c r="E56" s="374" t="s">
        <v>2402</v>
      </c>
      <c r="F56" s="374" t="s">
        <v>2542</v>
      </c>
      <c r="G56" s="374" t="s">
        <v>2439</v>
      </c>
      <c r="H56" s="374"/>
      <c r="I56" s="374"/>
      <c r="J56" s="374"/>
      <c r="K56" s="374"/>
      <c r="L56" s="374"/>
      <c r="M56" s="374"/>
      <c r="N56" s="374"/>
      <c r="O56" s="374"/>
      <c r="P56" s="374"/>
      <c r="Q56" s="374"/>
      <c r="R56" s="374"/>
    </row>
    <row r="57" customFormat="false" ht="15.75" hidden="false" customHeight="false" outlineLevel="0" collapsed="false">
      <c r="A57" s="374" t="n">
        <v>72</v>
      </c>
      <c r="B57" s="374" t="str">
        <f aca="false" t="array" ref="B57:B57">INDEX('0.0.1 Pokémon Dex Data'!$E$3:$E1007,MATCH(A57,'0.0.1 Pokémon Dex Data'!$B$3:$B1007,0))</f>
        <v>Golduck</v>
      </c>
      <c r="C57" s="374" t="s">
        <v>2434</v>
      </c>
      <c r="D57" s="374" t="s">
        <v>2426</v>
      </c>
      <c r="E57" s="374" t="s">
        <v>157</v>
      </c>
      <c r="F57" s="374" t="s">
        <v>2415</v>
      </c>
      <c r="G57" s="374" t="s">
        <v>2414</v>
      </c>
      <c r="H57" s="374"/>
      <c r="I57" s="374"/>
      <c r="J57" s="374"/>
      <c r="K57" s="374"/>
      <c r="L57" s="374"/>
      <c r="M57" s="374"/>
      <c r="N57" s="374"/>
      <c r="O57" s="374"/>
      <c r="P57" s="374"/>
      <c r="Q57" s="374"/>
      <c r="R57" s="374"/>
    </row>
    <row r="58" customFormat="false" ht="15.75" hidden="false" customHeight="false" outlineLevel="0" collapsed="false">
      <c r="A58" s="374" t="n">
        <v>73</v>
      </c>
      <c r="B58" s="374" t="str">
        <f aca="false" t="array" ref="B58:B58">INDEX('0.0.1 Pokémon Dex Data'!$E$3:$E1007,MATCH(A58,'0.0.1 Pokémon Dex Data'!$B$3:$B1007,0))</f>
        <v>Mankey</v>
      </c>
      <c r="C58" s="374" t="s">
        <v>2390</v>
      </c>
      <c r="D58" s="374" t="s">
        <v>2545</v>
      </c>
      <c r="E58" s="374" t="s">
        <v>2540</v>
      </c>
      <c r="F58" s="374" t="s">
        <v>2542</v>
      </c>
      <c r="G58" s="374" t="s">
        <v>2356</v>
      </c>
      <c r="H58" s="374"/>
      <c r="I58" s="374"/>
      <c r="J58" s="374"/>
      <c r="K58" s="374"/>
      <c r="L58" s="374"/>
      <c r="M58" s="374"/>
      <c r="N58" s="374"/>
      <c r="O58" s="374"/>
      <c r="P58" s="374"/>
      <c r="Q58" s="374"/>
      <c r="R58" s="374"/>
    </row>
    <row r="59" customFormat="false" ht="15.75" hidden="false" customHeight="false" outlineLevel="0" collapsed="false">
      <c r="A59" s="374" t="n">
        <v>74</v>
      </c>
      <c r="B59" s="374" t="str">
        <f aca="false" t="array" ref="B59:B59">INDEX('0.0.1 Pokémon Dex Data'!$E$3:$E1007,MATCH(A59,'0.0.1 Pokémon Dex Data'!$B$3:$B1007,0))</f>
        <v>Primeape</v>
      </c>
      <c r="C59" s="374" t="s">
        <v>138</v>
      </c>
      <c r="D59" s="374" t="s">
        <v>2539</v>
      </c>
      <c r="E59" s="374" t="s">
        <v>2540</v>
      </c>
      <c r="F59" s="374" t="s">
        <v>2541</v>
      </c>
      <c r="G59" s="374" t="s">
        <v>2531</v>
      </c>
      <c r="H59" s="374"/>
      <c r="I59" s="374"/>
      <c r="J59" s="374"/>
      <c r="K59" s="374"/>
      <c r="L59" s="374"/>
      <c r="M59" s="374" t="s">
        <v>2545</v>
      </c>
      <c r="N59" s="374"/>
      <c r="O59" s="374"/>
      <c r="P59" s="374" t="s">
        <v>2542</v>
      </c>
      <c r="Q59" s="374"/>
      <c r="R59" s="374"/>
    </row>
    <row r="60" customFormat="false" ht="15.75" hidden="false" customHeight="false" outlineLevel="0" collapsed="false">
      <c r="A60" s="374" t="n">
        <v>75</v>
      </c>
      <c r="B60" s="374" t="str">
        <f aca="false" t="array" ref="B60:B60">INDEX('0.0.1 Pokémon Dex Data'!$E$3:$E1007,MATCH(A60,'0.0.1 Pokémon Dex Data'!$B$3:$B1007,0))</f>
        <v>Growlithe</v>
      </c>
      <c r="C60" s="374" t="s">
        <v>2404</v>
      </c>
      <c r="D60" s="374" t="s">
        <v>2365</v>
      </c>
      <c r="E60" s="374" t="s">
        <v>2373</v>
      </c>
      <c r="F60" s="374" t="s">
        <v>2312</v>
      </c>
      <c r="G60" s="374" t="s">
        <v>2548</v>
      </c>
      <c r="H60" s="374"/>
      <c r="I60" s="374"/>
      <c r="J60" s="374"/>
      <c r="K60" s="374"/>
      <c r="L60" s="374"/>
      <c r="M60" s="374"/>
      <c r="N60" s="374"/>
      <c r="O60" s="374"/>
      <c r="P60" s="374"/>
      <c r="Q60" s="374"/>
      <c r="R60" s="374"/>
    </row>
    <row r="61" customFormat="false" ht="15.75" hidden="false" customHeight="false" outlineLevel="0" collapsed="false">
      <c r="A61" s="374" t="n">
        <v>76</v>
      </c>
      <c r="B61" s="374" t="str">
        <f aca="false" t="array" ref="B61:B61">INDEX('0.0.1 Pokémon Dex Data'!$E$3:$E1007,MATCH(A61,'0.0.1 Pokémon Dex Data'!$B$3:$B1007,0))</f>
        <v>Arcanine</v>
      </c>
      <c r="C61" s="374" t="s">
        <v>2367</v>
      </c>
      <c r="D61" s="374" t="s">
        <v>2472</v>
      </c>
      <c r="E61" s="374" t="s">
        <v>2366</v>
      </c>
      <c r="F61" s="374" t="s">
        <v>2466</v>
      </c>
      <c r="G61" s="374" t="s">
        <v>2477</v>
      </c>
      <c r="H61" s="374"/>
      <c r="I61" s="374"/>
      <c r="J61" s="374"/>
      <c r="K61" s="374"/>
      <c r="L61" s="374"/>
      <c r="M61" s="374" t="s">
        <v>2404</v>
      </c>
      <c r="N61" s="374"/>
      <c r="O61" s="374"/>
      <c r="P61" s="374" t="s">
        <v>2373</v>
      </c>
      <c r="Q61" s="374" t="s">
        <v>2313</v>
      </c>
      <c r="R61" s="374"/>
    </row>
    <row r="62" customFormat="false" ht="15.75" hidden="false" customHeight="false" outlineLevel="0" collapsed="false">
      <c r="A62" s="374" t="n">
        <v>77</v>
      </c>
      <c r="B62" s="374" t="str">
        <f aca="false" t="array" ref="B62:B62">INDEX('0.0.1 Pokémon Dex Data'!$E$3:$E1007,MATCH(A62,'0.0.1 Pokémon Dex Data'!$B$3:$B1007,0))</f>
        <v>Poliwag</v>
      </c>
      <c r="C62" s="374" t="s">
        <v>2407</v>
      </c>
      <c r="D62" s="374" t="s">
        <v>2594</v>
      </c>
      <c r="E62" s="374" t="s">
        <v>2408</v>
      </c>
      <c r="F62" s="374" t="s">
        <v>2312</v>
      </c>
      <c r="G62" s="374" t="s">
        <v>2486</v>
      </c>
      <c r="H62" s="374"/>
      <c r="I62" s="374"/>
      <c r="J62" s="374"/>
      <c r="K62" s="374"/>
      <c r="L62" s="374"/>
      <c r="M62" s="374"/>
      <c r="N62" s="374"/>
      <c r="O62" s="374"/>
      <c r="P62" s="374"/>
      <c r="Q62" s="374"/>
      <c r="R62" s="374"/>
    </row>
    <row r="63" customFormat="false" ht="15.75" hidden="false" customHeight="false" outlineLevel="0" collapsed="false">
      <c r="A63" s="374" t="n">
        <v>78</v>
      </c>
      <c r="B63" s="374" t="str">
        <f aca="false" t="array" ref="B63:B63">INDEX('0.0.1 Pokémon Dex Data'!$E$3:$E1007,MATCH(A63,'0.0.1 Pokémon Dex Data'!$B$3:$B1007,0))</f>
        <v>Poliwhirl</v>
      </c>
      <c r="C63" s="374" t="s">
        <v>2407</v>
      </c>
      <c r="D63" s="374" t="s">
        <v>2594</v>
      </c>
      <c r="E63" s="374" t="s">
        <v>2408</v>
      </c>
      <c r="F63" s="374" t="s">
        <v>2428</v>
      </c>
      <c r="G63" s="374" t="s">
        <v>2486</v>
      </c>
      <c r="H63" s="374"/>
      <c r="I63" s="374"/>
      <c r="J63" s="374"/>
      <c r="K63" s="374"/>
      <c r="L63" s="374"/>
      <c r="M63" s="374"/>
      <c r="N63" s="374"/>
      <c r="O63" s="374"/>
      <c r="P63" s="374" t="s">
        <v>2421</v>
      </c>
      <c r="Q63" s="374"/>
      <c r="R63" s="374"/>
    </row>
    <row r="64" customFormat="false" ht="15.75" hidden="false" customHeight="false" outlineLevel="0" collapsed="false">
      <c r="A64" s="374" t="n">
        <v>79</v>
      </c>
      <c r="B64" s="374" t="str">
        <f aca="false" t="array" ref="B64:B64">INDEX('0.0.1 Pokémon Dex Data'!$E$3:$E1007,MATCH(A64,'0.0.1 Pokémon Dex Data'!$B$3:$B1007,0))</f>
        <v>Poliwrath</v>
      </c>
      <c r="C64" s="374" t="s">
        <v>2407</v>
      </c>
      <c r="D64" s="374" t="s">
        <v>2339</v>
      </c>
      <c r="E64" s="374" t="s">
        <v>2414</v>
      </c>
      <c r="F64" s="374" t="s">
        <v>2416</v>
      </c>
      <c r="G64" s="374" t="s">
        <v>2364</v>
      </c>
      <c r="H64" s="374"/>
      <c r="I64" s="374"/>
      <c r="J64" s="374"/>
      <c r="K64" s="374"/>
      <c r="L64" s="374"/>
      <c r="M64" s="374" t="s">
        <v>2594</v>
      </c>
      <c r="N64" s="374"/>
      <c r="O64" s="374"/>
      <c r="P64" s="374" t="s">
        <v>2397</v>
      </c>
      <c r="Q64" s="374"/>
      <c r="R64" s="374"/>
    </row>
    <row r="65" customFormat="false" ht="15.75" hidden="false" customHeight="false" outlineLevel="0" collapsed="false">
      <c r="A65" s="374" t="n">
        <v>80</v>
      </c>
      <c r="B65" s="374" t="str">
        <f aca="false" t="array" ref="B65:B65">INDEX('0.0.1 Pokémon Dex Data'!$E$3:$E1007,MATCH(A65,'0.0.1 Pokémon Dex Data'!$B$3:$B1007,0))</f>
        <v>Abra</v>
      </c>
      <c r="C65" s="374" t="s">
        <v>2464</v>
      </c>
      <c r="D65" s="374" t="s">
        <v>2430</v>
      </c>
      <c r="E65" s="374" t="s">
        <v>2422</v>
      </c>
      <c r="F65" s="374" t="s">
        <v>2495</v>
      </c>
      <c r="G65" s="374" t="s">
        <v>2442</v>
      </c>
      <c r="H65" s="374"/>
      <c r="I65" s="374"/>
      <c r="J65" s="374"/>
      <c r="K65" s="374"/>
      <c r="L65" s="374"/>
      <c r="M65" s="374"/>
      <c r="N65" s="374"/>
      <c r="O65" s="374"/>
      <c r="P65" s="374"/>
      <c r="Q65" s="374"/>
      <c r="R65" s="374"/>
    </row>
    <row r="66" customFormat="false" ht="15.75" hidden="false" customHeight="false" outlineLevel="0" collapsed="false">
      <c r="A66" s="374" t="n">
        <v>81</v>
      </c>
      <c r="B66" s="374" t="str">
        <f aca="false" t="array" ref="B66:B66">INDEX('0.0.1 Pokémon Dex Data'!$E$3:$E1007,MATCH(A66,'0.0.1 Pokémon Dex Data'!$B$3:$B1007,0))</f>
        <v>Kadabra</v>
      </c>
      <c r="C66" s="374" t="s">
        <v>2434</v>
      </c>
      <c r="D66" s="374" t="s">
        <v>2551</v>
      </c>
      <c r="E66" s="374" t="s">
        <v>2517</v>
      </c>
      <c r="F66" s="374" t="s">
        <v>2439</v>
      </c>
      <c r="G66" s="374" t="s">
        <v>2442</v>
      </c>
      <c r="H66" s="374"/>
      <c r="I66" s="374"/>
      <c r="J66" s="374"/>
      <c r="K66" s="374"/>
      <c r="L66" s="374"/>
      <c r="M66" s="374"/>
      <c r="N66" s="374"/>
      <c r="O66" s="374"/>
      <c r="P66" s="374"/>
      <c r="Q66" s="374"/>
      <c r="R66" s="374"/>
    </row>
    <row r="67" customFormat="false" ht="15.75" hidden="false" customHeight="false" outlineLevel="0" collapsed="false">
      <c r="A67" s="374" t="n">
        <v>82</v>
      </c>
      <c r="B67" s="374" t="str">
        <f aca="false" t="array" ref="B67:B67">INDEX('0.0.1 Pokémon Dex Data'!$E$3:$E1007,MATCH(A67,'0.0.1 Pokémon Dex Data'!$B$3:$B1007,0))</f>
        <v>Alakazam</v>
      </c>
      <c r="C67" s="374" t="s">
        <v>2434</v>
      </c>
      <c r="D67" s="374" t="s">
        <v>2551</v>
      </c>
      <c r="E67" s="374" t="s">
        <v>2376</v>
      </c>
      <c r="F67" s="374" t="s">
        <v>2550</v>
      </c>
      <c r="G67" s="374" t="s">
        <v>2442</v>
      </c>
      <c r="H67" s="374"/>
      <c r="I67" s="374"/>
      <c r="J67" s="374"/>
      <c r="K67" s="374"/>
      <c r="L67" s="374"/>
      <c r="M67" s="374"/>
      <c r="N67" s="374"/>
      <c r="O67" s="374"/>
      <c r="P67" s="374" t="s">
        <v>2517</v>
      </c>
      <c r="Q67" s="374" t="s">
        <v>157</v>
      </c>
      <c r="R67" s="374"/>
    </row>
    <row r="68" customFormat="false" ht="15.75" hidden="false" customHeight="false" outlineLevel="0" collapsed="false">
      <c r="A68" s="374" t="n">
        <v>84</v>
      </c>
      <c r="B68" s="374" t="str">
        <f aca="false" t="array" ref="B68:B68">INDEX('0.0.1 Pokémon Dex Data'!$E$3:$E1007,MATCH(A68,'0.0.1 Pokémon Dex Data'!$B$3:$B1007,0))</f>
        <v>Machop</v>
      </c>
      <c r="C68" s="374" t="s">
        <v>2545</v>
      </c>
      <c r="D68" s="374" t="s">
        <v>2339</v>
      </c>
      <c r="E68" s="374" t="s">
        <v>2540</v>
      </c>
      <c r="F68" s="374" t="s">
        <v>2356</v>
      </c>
      <c r="G68" s="374" t="s">
        <v>2542</v>
      </c>
      <c r="H68" s="374"/>
      <c r="I68" s="374"/>
      <c r="J68" s="374"/>
      <c r="K68" s="374"/>
      <c r="L68" s="374"/>
      <c r="M68" s="374" t="s">
        <v>2539</v>
      </c>
      <c r="N68" s="374"/>
      <c r="O68" s="374"/>
      <c r="P68" s="374"/>
      <c r="Q68" s="374"/>
      <c r="R68" s="374"/>
    </row>
    <row r="69" customFormat="false" ht="15.75" hidden="false" customHeight="false" outlineLevel="0" collapsed="false">
      <c r="A69" s="374" t="n">
        <v>85</v>
      </c>
      <c r="B69" s="374" t="str">
        <f aca="false" t="array" ref="B69:B69">INDEX('0.0.1 Pokémon Dex Data'!$E$3:$E1007,MATCH(A69,'0.0.1 Pokémon Dex Data'!$B$3:$B1007,0))</f>
        <v>Machoke</v>
      </c>
      <c r="C69" s="374" t="s">
        <v>2545</v>
      </c>
      <c r="D69" s="374" t="s">
        <v>2539</v>
      </c>
      <c r="E69" s="374" t="s">
        <v>2397</v>
      </c>
      <c r="F69" s="374" t="s">
        <v>2356</v>
      </c>
      <c r="G69" s="374" t="s">
        <v>2364</v>
      </c>
      <c r="H69" s="374"/>
      <c r="I69" s="374"/>
      <c r="J69" s="374"/>
      <c r="K69" s="374"/>
      <c r="L69" s="374"/>
      <c r="M69" s="374"/>
      <c r="N69" s="374"/>
      <c r="O69" s="374"/>
      <c r="P69" s="374" t="s">
        <v>2542</v>
      </c>
      <c r="Q69" s="374"/>
      <c r="R69" s="374"/>
    </row>
    <row r="70" customFormat="false" ht="15.75" hidden="false" customHeight="false" outlineLevel="0" collapsed="false">
      <c r="A70" s="374" t="n">
        <v>86</v>
      </c>
      <c r="B70" s="374" t="str">
        <f aca="false" t="array" ref="B70:B70">INDEX('0.0.1 Pokémon Dex Data'!$E$3:$E1007,MATCH(A70,'0.0.1 Pokémon Dex Data'!$B$3:$B1007,0))</f>
        <v>Machamp</v>
      </c>
      <c r="C70" s="374" t="s">
        <v>138</v>
      </c>
      <c r="D70" s="374" t="s">
        <v>2552</v>
      </c>
      <c r="E70" s="374" t="s">
        <v>2563</v>
      </c>
      <c r="F70" s="374" t="s">
        <v>2541</v>
      </c>
      <c r="G70" s="374" t="s">
        <v>2364</v>
      </c>
      <c r="H70" s="374"/>
      <c r="I70" s="374"/>
      <c r="J70" s="374"/>
      <c r="K70" s="374"/>
      <c r="L70" s="374"/>
      <c r="M70" s="374" t="s">
        <v>2545</v>
      </c>
      <c r="N70" s="374"/>
      <c r="O70" s="374"/>
      <c r="P70" s="374" t="s">
        <v>2397</v>
      </c>
      <c r="Q70" s="374" t="s">
        <v>2500</v>
      </c>
      <c r="R70" s="374" t="s">
        <v>2542</v>
      </c>
    </row>
    <row r="71" customFormat="false" ht="15.75" hidden="false" customHeight="false" outlineLevel="0" collapsed="false">
      <c r="A71" s="374" t="n">
        <v>87</v>
      </c>
      <c r="B71" s="374" t="str">
        <f aca="false" t="array" ref="B71:B71">INDEX('0.0.1 Pokémon Dex Data'!$E$3:$E1007,MATCH(A71,'0.0.1 Pokémon Dex Data'!$B$3:$B1007,0))</f>
        <v>Bellsprout</v>
      </c>
      <c r="C71" s="374" t="s">
        <v>2481</v>
      </c>
      <c r="D71" s="374" t="s">
        <v>2351</v>
      </c>
      <c r="E71" s="374" t="s">
        <v>2343</v>
      </c>
      <c r="F71" s="374" t="s">
        <v>2616</v>
      </c>
      <c r="G71" s="374" t="s">
        <v>2489</v>
      </c>
      <c r="H71" s="374"/>
      <c r="I71" s="374"/>
      <c r="J71" s="374"/>
      <c r="K71" s="374"/>
      <c r="L71" s="374"/>
      <c r="M71" s="374"/>
      <c r="N71" s="374"/>
      <c r="O71" s="374"/>
      <c r="P71" s="374"/>
      <c r="Q71" s="374"/>
      <c r="R71" s="374"/>
    </row>
    <row r="72" customFormat="false" ht="15.75" hidden="false" customHeight="false" outlineLevel="0" collapsed="false">
      <c r="A72" s="374" t="n">
        <v>88</v>
      </c>
      <c r="B72" s="374" t="str">
        <f aca="false" t="array" ref="B72:B72">INDEX('0.0.1 Pokémon Dex Data'!$E$3:$E1007,MATCH(A72,'0.0.1 Pokémon Dex Data'!$B$3:$B1007,0))</f>
        <v>Weepinbell</v>
      </c>
      <c r="C72" s="374" t="s">
        <v>2481</v>
      </c>
      <c r="D72" s="374" t="s">
        <v>2314</v>
      </c>
      <c r="E72" s="374" t="s">
        <v>2343</v>
      </c>
      <c r="F72" s="374" t="s">
        <v>2616</v>
      </c>
      <c r="G72" s="374" t="s">
        <v>2342</v>
      </c>
      <c r="H72" s="374"/>
      <c r="I72" s="374"/>
      <c r="J72" s="374"/>
      <c r="K72" s="374"/>
      <c r="L72" s="374"/>
      <c r="M72" s="374" t="s">
        <v>2336</v>
      </c>
      <c r="N72" s="374"/>
      <c r="O72" s="374"/>
      <c r="P72" s="374"/>
      <c r="Q72" s="374"/>
      <c r="R72" s="374"/>
    </row>
    <row r="73" customFormat="false" ht="15.75" hidden="false" customHeight="false" outlineLevel="0" collapsed="false">
      <c r="A73" s="374" t="n">
        <v>89</v>
      </c>
      <c r="B73" s="374" t="str">
        <f aca="false" t="array" ref="B73:B73">INDEX('0.0.1 Pokémon Dex Data'!$E$3:$E1007,MATCH(A73,'0.0.1 Pokémon Dex Data'!$B$3:$B1007,0))</f>
        <v>Victreebel</v>
      </c>
      <c r="C73" s="374" t="s">
        <v>2481</v>
      </c>
      <c r="D73" s="374" t="s">
        <v>2336</v>
      </c>
      <c r="E73" s="374" t="s">
        <v>2343</v>
      </c>
      <c r="F73" s="374" t="s">
        <v>2556</v>
      </c>
      <c r="G73" s="374" t="s">
        <v>2345</v>
      </c>
      <c r="H73" s="374"/>
      <c r="I73" s="374"/>
      <c r="J73" s="374"/>
      <c r="K73" s="374"/>
      <c r="L73" s="374"/>
      <c r="M73" s="374"/>
      <c r="N73" s="374"/>
      <c r="O73" s="374"/>
      <c r="P73" s="374"/>
      <c r="Q73" s="374"/>
      <c r="R73" s="374"/>
    </row>
    <row r="74" customFormat="false" ht="15.75" hidden="false" customHeight="false" outlineLevel="0" collapsed="false">
      <c r="A74" s="374" t="n">
        <v>90</v>
      </c>
      <c r="B74" s="374" t="str">
        <f aca="false" t="array" ref="B74:B74">INDEX('0.0.1 Pokémon Dex Data'!$E$3:$E1007,MATCH(A74,'0.0.1 Pokémon Dex Data'!$B$3:$B1007,0))</f>
        <v>Tentacool</v>
      </c>
      <c r="C74" s="374" t="s">
        <v>2407</v>
      </c>
      <c r="D74" s="374" t="s">
        <v>2487</v>
      </c>
      <c r="E74" s="374" t="s">
        <v>2408</v>
      </c>
      <c r="F74" s="374" t="s">
        <v>2428</v>
      </c>
      <c r="G74" s="374" t="s">
        <v>2489</v>
      </c>
      <c r="H74" s="374"/>
      <c r="I74" s="374"/>
      <c r="J74" s="374"/>
      <c r="K74" s="374"/>
      <c r="L74" s="374"/>
      <c r="M74" s="374"/>
      <c r="N74" s="374"/>
      <c r="O74" s="374"/>
      <c r="P74" s="374"/>
      <c r="Q74" s="374"/>
      <c r="R74" s="374"/>
    </row>
    <row r="75" customFormat="false" ht="15.75" hidden="false" customHeight="false" outlineLevel="0" collapsed="false">
      <c r="A75" s="374" t="n">
        <v>91</v>
      </c>
      <c r="B75" s="374" t="str">
        <f aca="false" t="array" ref="B75:B75">INDEX('0.0.1 Pokémon Dex Data'!$E$3:$E1007,MATCH(A75,'0.0.1 Pokémon Dex Data'!$B$3:$B1007,0))</f>
        <v>Tentacruel</v>
      </c>
      <c r="C75" s="374" t="s">
        <v>2454</v>
      </c>
      <c r="D75" s="374" t="s">
        <v>2481</v>
      </c>
      <c r="E75" s="374" t="s">
        <v>2414</v>
      </c>
      <c r="F75" s="374" t="s">
        <v>2471</v>
      </c>
      <c r="G75" s="374" t="s">
        <v>2405</v>
      </c>
      <c r="H75" s="374"/>
      <c r="I75" s="374"/>
      <c r="J75" s="374"/>
      <c r="K75" s="374"/>
      <c r="L75" s="374"/>
      <c r="M75" s="374"/>
      <c r="N75" s="374"/>
      <c r="O75" s="374"/>
      <c r="P75" s="374"/>
      <c r="Q75" s="374"/>
      <c r="R75" s="374"/>
    </row>
    <row r="76" customFormat="false" ht="15.75" hidden="false" customHeight="false" outlineLevel="0" collapsed="false">
      <c r="A76" s="374" t="n">
        <v>92</v>
      </c>
      <c r="B76" s="374" t="str">
        <f aca="false" t="array" ref="B76:B76">INDEX('0.0.1 Pokémon Dex Data'!$E$3:$E1007,MATCH(A76,'0.0.1 Pokémon Dex Data'!$B$3:$B1007,0))</f>
        <v>Geodude</v>
      </c>
      <c r="C76" s="374" t="s">
        <v>2565</v>
      </c>
      <c r="D76" s="374" t="s">
        <v>2348</v>
      </c>
      <c r="E76" s="374" t="s">
        <v>2388</v>
      </c>
      <c r="F76" s="374" t="s">
        <v>2389</v>
      </c>
      <c r="G76" s="374" t="s">
        <v>2358</v>
      </c>
      <c r="H76" s="374"/>
      <c r="I76" s="374"/>
      <c r="J76" s="374"/>
      <c r="K76" s="374"/>
      <c r="L76" s="374"/>
      <c r="M76" s="374"/>
      <c r="N76" s="374"/>
      <c r="O76" s="374"/>
      <c r="P76" s="374"/>
      <c r="Q76" s="374"/>
      <c r="R76" s="374"/>
    </row>
    <row r="77" customFormat="false" ht="15.75" hidden="false" customHeight="false" outlineLevel="0" collapsed="false">
      <c r="A77" s="374" t="n">
        <v>94</v>
      </c>
      <c r="B77" s="374" t="str">
        <f aca="false" t="array" ref="B77:B77">INDEX('0.0.1 Pokémon Dex Data'!$E$3:$E1007,MATCH(A77,'0.0.1 Pokémon Dex Data'!$B$3:$B1007,0))</f>
        <v>Graveler</v>
      </c>
      <c r="C77" s="374" t="s">
        <v>2565</v>
      </c>
      <c r="D77" s="374" t="s">
        <v>183</v>
      </c>
      <c r="E77" s="374" t="s">
        <v>2358</v>
      </c>
      <c r="F77" s="374" t="s">
        <v>2564</v>
      </c>
      <c r="G77" s="374" t="s">
        <v>2500</v>
      </c>
      <c r="H77" s="374"/>
      <c r="I77" s="374"/>
      <c r="J77" s="374"/>
      <c r="K77" s="374"/>
      <c r="L77" s="374"/>
      <c r="M77" s="374" t="s">
        <v>2594</v>
      </c>
      <c r="N77" s="374"/>
      <c r="O77" s="374"/>
      <c r="P77" s="374" t="s">
        <v>2388</v>
      </c>
      <c r="Q77" s="374"/>
      <c r="R77" s="374"/>
    </row>
    <row r="78" customFormat="false" ht="15.75" hidden="false" customHeight="false" outlineLevel="0" collapsed="false">
      <c r="A78" s="374" t="n">
        <v>96</v>
      </c>
      <c r="B78" s="374" t="str">
        <f aca="false" t="array" ref="B78:B78">INDEX('0.0.1 Pokémon Dex Data'!$E$3:$E1007,MATCH(A78,'0.0.1 Pokémon Dex Data'!$B$3:$B1007,0))</f>
        <v>Golem</v>
      </c>
      <c r="C78" s="374" t="s">
        <v>2565</v>
      </c>
      <c r="D78" s="374" t="s">
        <v>183</v>
      </c>
      <c r="E78" s="374" t="s">
        <v>2317</v>
      </c>
      <c r="F78" s="374" t="s">
        <v>2564</v>
      </c>
      <c r="G78" s="374" t="s">
        <v>2500</v>
      </c>
      <c r="H78" s="374"/>
      <c r="I78" s="374"/>
      <c r="J78" s="374"/>
      <c r="K78" s="374"/>
      <c r="L78" s="374"/>
      <c r="M78" s="374" t="s">
        <v>2594</v>
      </c>
      <c r="N78" s="374"/>
      <c r="O78" s="374"/>
      <c r="P78" s="374" t="s">
        <v>2561</v>
      </c>
      <c r="Q78" s="374"/>
      <c r="R78" s="374"/>
    </row>
    <row r="79" customFormat="false" ht="15.75" hidden="false" customHeight="false" outlineLevel="0" collapsed="false">
      <c r="A79" s="374" t="n">
        <v>98</v>
      </c>
      <c r="B79" s="374" t="str">
        <f aca="false" t="array" ref="B79:B79">INDEX('0.0.1 Pokémon Dex Data'!$E$3:$E1007,MATCH(A79,'0.0.1 Pokémon Dex Data'!$B$3:$B1007,0))</f>
        <v>Ponyta</v>
      </c>
      <c r="C79" s="374" t="s">
        <v>2348</v>
      </c>
      <c r="D79" s="374" t="s">
        <v>2365</v>
      </c>
      <c r="E79" s="374" t="s">
        <v>2571</v>
      </c>
      <c r="F79" s="374" t="s">
        <v>2548</v>
      </c>
      <c r="G79" s="374" t="s">
        <v>2372</v>
      </c>
      <c r="H79" s="374"/>
      <c r="I79" s="374"/>
      <c r="J79" s="374"/>
      <c r="K79" s="374"/>
      <c r="L79" s="374"/>
      <c r="M79" s="374"/>
      <c r="N79" s="374"/>
      <c r="O79" s="374"/>
      <c r="P79" s="374" t="s">
        <v>2366</v>
      </c>
      <c r="Q79" s="374"/>
      <c r="R79" s="374"/>
    </row>
    <row r="80" customFormat="false" ht="15.75" hidden="false" customHeight="false" outlineLevel="0" collapsed="false">
      <c r="A80" s="374" t="n">
        <v>99</v>
      </c>
      <c r="B80" s="374" t="str">
        <f aca="false" t="array" ref="B80:B80">INDEX('0.0.1 Pokémon Dex Data'!$E$3:$E1007,MATCH(A80,'0.0.1 Pokémon Dex Data'!$B$3:$B1007,0))</f>
        <v>Rapidash</v>
      </c>
      <c r="C80" s="374" t="s">
        <v>2370</v>
      </c>
      <c r="D80" s="374" t="s">
        <v>2539</v>
      </c>
      <c r="E80" s="374" t="s">
        <v>2366</v>
      </c>
      <c r="F80" s="374" t="s">
        <v>184</v>
      </c>
      <c r="G80" s="374" t="s">
        <v>2378</v>
      </c>
      <c r="H80" s="374"/>
      <c r="I80" s="374"/>
      <c r="J80" s="374"/>
      <c r="K80" s="374"/>
      <c r="L80" s="374"/>
      <c r="M80" s="374" t="s">
        <v>2365</v>
      </c>
      <c r="N80" s="374"/>
      <c r="O80" s="374"/>
      <c r="P80" s="374"/>
      <c r="Q80" s="374"/>
      <c r="R80" s="374"/>
    </row>
    <row r="81" customFormat="false" ht="15.75" hidden="false" customHeight="false" outlineLevel="0" collapsed="false">
      <c r="A81" s="374" t="n">
        <v>100</v>
      </c>
      <c r="B81" s="374" t="str">
        <f aca="false" t="array" ref="B81:B81">INDEX('0.0.1 Pokémon Dex Data'!$E$3:$E1007,MATCH(A81,'0.0.1 Pokémon Dex Data'!$B$3:$B1007,0))</f>
        <v>Slowpoke</v>
      </c>
      <c r="C81" s="374" t="s">
        <v>2434</v>
      </c>
      <c r="D81" s="374" t="s">
        <v>2426</v>
      </c>
      <c r="E81" s="374" t="s">
        <v>157</v>
      </c>
      <c r="F81" s="374" t="s">
        <v>2495</v>
      </c>
      <c r="G81" s="374" t="s">
        <v>2428</v>
      </c>
      <c r="H81" s="374"/>
      <c r="I81" s="374"/>
      <c r="J81" s="374"/>
      <c r="K81" s="374"/>
      <c r="L81" s="374"/>
      <c r="M81" s="374"/>
      <c r="N81" s="374"/>
      <c r="O81" s="374"/>
      <c r="P81" s="374"/>
      <c r="Q81" s="374"/>
      <c r="R81" s="374"/>
    </row>
    <row r="82" customFormat="false" ht="15.75" hidden="false" customHeight="false" outlineLevel="0" collapsed="false">
      <c r="A82" s="374" t="n">
        <v>101</v>
      </c>
      <c r="B82" s="374" t="str">
        <f aca="false" t="array" ref="B82:B82">INDEX('0.0.1 Pokémon Dex Data'!$E$3:$E1007,MATCH(A82,'0.0.1 Pokémon Dex Data'!$B$3:$B1007,0))</f>
        <v>Slowbro</v>
      </c>
      <c r="C82" s="374" t="s">
        <v>2434</v>
      </c>
      <c r="D82" s="374" t="s">
        <v>2426</v>
      </c>
      <c r="E82" s="374" t="s">
        <v>157</v>
      </c>
      <c r="F82" s="374" t="s">
        <v>2415</v>
      </c>
      <c r="G82" s="374" t="s">
        <v>2428</v>
      </c>
      <c r="H82" s="374"/>
      <c r="I82" s="374"/>
      <c r="J82" s="374"/>
      <c r="K82" s="374"/>
      <c r="L82" s="374"/>
      <c r="M82" s="374"/>
      <c r="N82" s="374"/>
      <c r="O82" s="374"/>
      <c r="P82" s="374"/>
      <c r="Q82" s="374"/>
      <c r="R82" s="374"/>
    </row>
    <row r="83" customFormat="false" ht="15.75" hidden="false" customHeight="false" outlineLevel="0" collapsed="false">
      <c r="A83" s="374" t="n">
        <v>103</v>
      </c>
      <c r="B83" s="374" t="str">
        <f aca="false" t="array" ref="B83:B83">INDEX('0.0.1 Pokémon Dex Data'!$E$3:$E1007,MATCH(A83,'0.0.1 Pokémon Dex Data'!$B$3:$B1007,0))</f>
        <v>Magnemite</v>
      </c>
      <c r="C83" s="374" t="s">
        <v>2570</v>
      </c>
      <c r="D83" s="374" t="s">
        <v>2491</v>
      </c>
      <c r="E83" s="374" t="s">
        <v>2573</v>
      </c>
      <c r="F83" s="374" t="s">
        <v>2476</v>
      </c>
      <c r="G83" s="374" t="s">
        <v>2569</v>
      </c>
      <c r="H83" s="374"/>
      <c r="I83" s="374"/>
      <c r="J83" s="374"/>
      <c r="K83" s="374"/>
      <c r="L83" s="374"/>
      <c r="M83" s="374"/>
      <c r="N83" s="374"/>
      <c r="O83" s="374"/>
      <c r="P83" s="374"/>
      <c r="Q83" s="374"/>
      <c r="R83" s="374"/>
    </row>
    <row r="84" customFormat="false" ht="15.75" hidden="false" customHeight="false" outlineLevel="0" collapsed="false">
      <c r="A84" s="374" t="n">
        <v>104</v>
      </c>
      <c r="B84" s="374" t="str">
        <f aca="false" t="array" ref="B84:B84">INDEX('0.0.1 Pokémon Dex Data'!$E$3:$E1007,MATCH(A84,'0.0.1 Pokémon Dex Data'!$B$3:$B1007,0))</f>
        <v>Magneton</v>
      </c>
      <c r="C84" s="374" t="s">
        <v>2570</v>
      </c>
      <c r="D84" s="374" t="s">
        <v>2464</v>
      </c>
      <c r="E84" s="374" t="s">
        <v>2573</v>
      </c>
      <c r="F84" s="374" t="s">
        <v>2493</v>
      </c>
      <c r="G84" s="374" t="s">
        <v>2411</v>
      </c>
      <c r="H84" s="374"/>
      <c r="I84" s="374"/>
      <c r="J84" s="374"/>
      <c r="K84" s="374"/>
      <c r="L84" s="374"/>
      <c r="M84" s="374" t="s">
        <v>2491</v>
      </c>
      <c r="N84" s="374"/>
      <c r="O84" s="374"/>
      <c r="P84" s="374" t="s">
        <v>2569</v>
      </c>
      <c r="Q84" s="374"/>
      <c r="R84" s="374"/>
    </row>
    <row r="85" customFormat="false" ht="15.75" hidden="false" customHeight="false" outlineLevel="0" collapsed="false">
      <c r="A85" s="374" t="n">
        <v>105</v>
      </c>
      <c r="B85" s="374" t="str">
        <f aca="false" t="array" ref="B85:B85">INDEX('0.0.1 Pokémon Dex Data'!$E$3:$E1007,MATCH(A85,'0.0.1 Pokémon Dex Data'!$B$3:$B1007,0))</f>
        <v>Farfetch'd</v>
      </c>
      <c r="C85" s="374" t="s">
        <v>2322</v>
      </c>
      <c r="D85" s="374" t="s">
        <v>2354</v>
      </c>
      <c r="E85" s="374" t="s">
        <v>2353</v>
      </c>
      <c r="F85" s="374" t="s">
        <v>2556</v>
      </c>
      <c r="G85" s="374" t="s">
        <v>2352</v>
      </c>
      <c r="H85" s="374"/>
      <c r="I85" s="374"/>
      <c r="J85" s="374"/>
      <c r="K85" s="374"/>
      <c r="L85" s="374"/>
      <c r="M85" s="374" t="s">
        <v>2315</v>
      </c>
      <c r="N85" s="374"/>
      <c r="O85" s="374"/>
      <c r="P85" s="374"/>
      <c r="Q85" s="374"/>
      <c r="R85" s="374"/>
    </row>
    <row r="86" customFormat="false" ht="15.75" hidden="false" customHeight="false" outlineLevel="0" collapsed="false">
      <c r="A86" s="374" t="n">
        <v>106</v>
      </c>
      <c r="B86" s="374" t="str">
        <f aca="false" t="array" ref="B86:B86">INDEX('0.0.1 Pokémon Dex Data'!$E$3:$E1007,MATCH(A86,'0.0.1 Pokémon Dex Data'!$B$3:$B1007,0))</f>
        <v>Doduo</v>
      </c>
      <c r="C86" s="374" t="s">
        <v>2461</v>
      </c>
      <c r="D86" s="374" t="s">
        <v>2480</v>
      </c>
      <c r="E86" s="374" t="s">
        <v>2577</v>
      </c>
      <c r="F86" s="374" t="s">
        <v>2479</v>
      </c>
      <c r="G86" s="374" t="s">
        <v>2352</v>
      </c>
      <c r="H86" s="374"/>
      <c r="I86" s="374"/>
      <c r="J86" s="374"/>
      <c r="K86" s="374"/>
      <c r="L86" s="374"/>
      <c r="M86" s="374"/>
      <c r="N86" s="374"/>
      <c r="O86" s="374"/>
      <c r="P86" s="374"/>
      <c r="Q86" s="374"/>
      <c r="R86" s="374"/>
    </row>
    <row r="87" customFormat="false" ht="15.75" hidden="false" customHeight="false" outlineLevel="0" collapsed="false">
      <c r="A87" s="374" t="n">
        <v>107</v>
      </c>
      <c r="B87" s="374" t="str">
        <f aca="false" t="array" ref="B87:B87">INDEX('0.0.1 Pokémon Dex Data'!$E$3:$E1007,MATCH(A87,'0.0.1 Pokémon Dex Data'!$B$3:$B1007,0))</f>
        <v>Dodrio</v>
      </c>
      <c r="C87" s="374" t="s">
        <v>2396</v>
      </c>
      <c r="D87" s="374" t="s">
        <v>2535</v>
      </c>
      <c r="E87" s="374" t="s">
        <v>2577</v>
      </c>
      <c r="F87" s="374" t="s">
        <v>2479</v>
      </c>
      <c r="G87" s="374" t="s">
        <v>2352</v>
      </c>
      <c r="H87" s="374"/>
      <c r="I87" s="374"/>
      <c r="J87" s="374"/>
      <c r="K87" s="374"/>
      <c r="L87" s="374"/>
      <c r="M87" s="374"/>
      <c r="N87" s="374"/>
      <c r="O87" s="374"/>
      <c r="P87" s="374" t="s">
        <v>2353</v>
      </c>
      <c r="Q87" s="374"/>
      <c r="R87" s="374"/>
    </row>
    <row r="88" customFormat="false" ht="15.75" hidden="false" customHeight="false" outlineLevel="0" collapsed="false">
      <c r="A88" s="374" t="n">
        <v>108</v>
      </c>
      <c r="B88" s="374" t="str">
        <f aca="false" t="array" ref="B88:B88">INDEX('0.0.1 Pokémon Dex Data'!$E$3:$E1007,MATCH(A88,'0.0.1 Pokémon Dex Data'!$B$3:$B1007,0))</f>
        <v>Seel</v>
      </c>
      <c r="C88" s="374" t="s">
        <v>2588</v>
      </c>
      <c r="D88" s="374" t="s">
        <v>2525</v>
      </c>
      <c r="E88" s="374" t="s">
        <v>2402</v>
      </c>
      <c r="F88" s="374" t="s">
        <v>2581</v>
      </c>
      <c r="G88" s="374" t="s">
        <v>2417</v>
      </c>
      <c r="H88" s="374"/>
      <c r="I88" s="374"/>
      <c r="J88" s="374"/>
      <c r="K88" s="374"/>
      <c r="L88" s="374"/>
      <c r="M88" s="374" t="s">
        <v>2426</v>
      </c>
      <c r="N88" s="374"/>
      <c r="O88" s="374"/>
      <c r="P88" s="374" t="s">
        <v>2538</v>
      </c>
      <c r="Q88" s="374"/>
      <c r="R88" s="374"/>
    </row>
    <row r="89" customFormat="false" ht="15.75" hidden="false" customHeight="false" outlineLevel="0" collapsed="false">
      <c r="A89" s="374" t="n">
        <v>109</v>
      </c>
      <c r="B89" s="374" t="str">
        <f aca="false" t="array" ref="B89:B89">INDEX('0.0.1 Pokémon Dex Data'!$E$3:$E1007,MATCH(A89,'0.0.1 Pokémon Dex Data'!$B$3:$B1007,0))</f>
        <v>Dewgong</v>
      </c>
      <c r="C89" s="374" t="s">
        <v>2502</v>
      </c>
      <c r="D89" s="374" t="s">
        <v>2381</v>
      </c>
      <c r="E89" s="374" t="s">
        <v>2405</v>
      </c>
      <c r="F89" s="374" t="s">
        <v>2581</v>
      </c>
      <c r="G89" s="374" t="s">
        <v>2428</v>
      </c>
      <c r="H89" s="374"/>
      <c r="I89" s="374"/>
      <c r="J89" s="374"/>
      <c r="K89" s="374"/>
      <c r="L89" s="374"/>
      <c r="M89" s="374" t="s">
        <v>2525</v>
      </c>
      <c r="N89" s="374"/>
      <c r="O89" s="374"/>
      <c r="P89" s="374" t="s">
        <v>2417</v>
      </c>
      <c r="Q89" s="374" t="s">
        <v>2538</v>
      </c>
      <c r="R89" s="374"/>
    </row>
    <row r="90" customFormat="false" ht="15.75" hidden="false" customHeight="false" outlineLevel="0" collapsed="false">
      <c r="A90" s="374" t="n">
        <v>110</v>
      </c>
      <c r="B90" s="374" t="str">
        <f aca="false" t="array" ref="B90:B90">INDEX('0.0.1 Pokémon Dex Data'!$E$3:$E1007,MATCH(A90,'0.0.1 Pokémon Dex Data'!$B$3:$B1007,0))</f>
        <v>Grimer</v>
      </c>
      <c r="C90" s="374" t="s">
        <v>2454</v>
      </c>
      <c r="D90" s="374" t="s">
        <v>183</v>
      </c>
      <c r="E90" s="374" t="s">
        <v>2343</v>
      </c>
      <c r="F90" s="374" t="s">
        <v>2486</v>
      </c>
      <c r="G90" s="374" t="s">
        <v>2583</v>
      </c>
      <c r="H90" s="374"/>
      <c r="I90" s="374"/>
      <c r="J90" s="374"/>
      <c r="K90" s="374"/>
      <c r="L90" s="374"/>
      <c r="M90" s="374" t="s">
        <v>2481</v>
      </c>
      <c r="N90" s="374"/>
      <c r="O90" s="374"/>
      <c r="P90" s="374"/>
      <c r="Q90" s="374"/>
      <c r="R90" s="374"/>
    </row>
    <row r="91" customFormat="false" ht="15.75" hidden="false" customHeight="false" outlineLevel="0" collapsed="false">
      <c r="A91" s="374" t="n">
        <v>112</v>
      </c>
      <c r="B91" s="374" t="str">
        <f aca="false" t="array" ref="B91:B91">INDEX('0.0.1 Pokémon Dex Data'!$E$3:$E1007,MATCH(A91,'0.0.1 Pokémon Dex Data'!$B$3:$B1007,0))</f>
        <v>Muk</v>
      </c>
      <c r="C91" s="374" t="s">
        <v>2454</v>
      </c>
      <c r="D91" s="374" t="s">
        <v>2438</v>
      </c>
      <c r="E91" s="374" t="s">
        <v>2484</v>
      </c>
      <c r="F91" s="374" t="s">
        <v>2471</v>
      </c>
      <c r="G91" s="374" t="s">
        <v>2409</v>
      </c>
      <c r="H91" s="374"/>
      <c r="I91" s="374"/>
      <c r="J91" s="374"/>
      <c r="K91" s="374"/>
      <c r="L91" s="374"/>
      <c r="M91" s="374" t="s">
        <v>2481</v>
      </c>
      <c r="N91" s="374" t="s">
        <v>2588</v>
      </c>
      <c r="O91" s="374"/>
      <c r="P91" s="374"/>
      <c r="Q91" s="374"/>
      <c r="R91" s="374"/>
    </row>
    <row r="92" customFormat="false" ht="15.75" hidden="false" customHeight="false" outlineLevel="0" collapsed="false">
      <c r="A92" s="374" t="n">
        <v>114</v>
      </c>
      <c r="B92" s="374" t="str">
        <f aca="false" t="array" ref="B92:B92">INDEX('0.0.1 Pokémon Dex Data'!$E$3:$E1007,MATCH(A92,'0.0.1 Pokémon Dex Data'!$B$3:$B1007,0))</f>
        <v>Shellder</v>
      </c>
      <c r="C92" s="374" t="s">
        <v>2348</v>
      </c>
      <c r="D92" s="374" t="s">
        <v>2525</v>
      </c>
      <c r="E92" s="374" t="s">
        <v>2408</v>
      </c>
      <c r="F92" s="374" t="s">
        <v>2428</v>
      </c>
      <c r="G92" s="374" t="s">
        <v>2417</v>
      </c>
      <c r="H92" s="374"/>
      <c r="I92" s="374"/>
      <c r="J92" s="374"/>
      <c r="K92" s="374"/>
      <c r="L92" s="374"/>
      <c r="M92" s="374"/>
      <c r="N92" s="374"/>
      <c r="O92" s="374"/>
      <c r="P92" s="374"/>
      <c r="Q92" s="374"/>
      <c r="R92" s="374"/>
    </row>
    <row r="93" customFormat="false" ht="15.75" hidden="false" customHeight="false" outlineLevel="0" collapsed="false">
      <c r="A93" s="374" t="n">
        <v>115</v>
      </c>
      <c r="B93" s="374" t="str">
        <f aca="false" t="array" ref="B93:B93">INDEX('0.0.1 Pokémon Dex Data'!$E$3:$E1007,MATCH(A93,'0.0.1 Pokémon Dex Data'!$B$3:$B1007,0))</f>
        <v>Cloyster</v>
      </c>
      <c r="C93" s="374" t="s">
        <v>2502</v>
      </c>
      <c r="D93" s="374" t="s">
        <v>2525</v>
      </c>
      <c r="E93" s="374" t="s">
        <v>2414</v>
      </c>
      <c r="F93" s="374" t="s">
        <v>2581</v>
      </c>
      <c r="G93" s="374" t="s">
        <v>2403</v>
      </c>
      <c r="H93" s="374"/>
      <c r="I93" s="374"/>
      <c r="J93" s="374"/>
      <c r="K93" s="374"/>
      <c r="L93" s="374"/>
      <c r="M93" s="374"/>
      <c r="N93" s="374"/>
      <c r="O93" s="374"/>
      <c r="P93" s="374" t="s">
        <v>2405</v>
      </c>
      <c r="Q93" s="374" t="s">
        <v>2417</v>
      </c>
      <c r="R93" s="374"/>
    </row>
    <row r="94" customFormat="false" ht="15.75" hidden="false" customHeight="false" outlineLevel="0" collapsed="false">
      <c r="A94" s="374" t="n">
        <v>116</v>
      </c>
      <c r="B94" s="374" t="str">
        <f aca="false" t="array" ref="B94:B94">INDEX('0.0.1 Pokémon Dex Data'!$E$3:$E1007,MATCH(A94,'0.0.1 Pokémon Dex Data'!$B$3:$B1007,0))</f>
        <v>Gastly</v>
      </c>
      <c r="C94" s="374" t="s">
        <v>2588</v>
      </c>
      <c r="D94" s="374" t="s">
        <v>2528</v>
      </c>
      <c r="E94" s="374" t="s">
        <v>2343</v>
      </c>
      <c r="F94" s="374" t="s">
        <v>2589</v>
      </c>
      <c r="G94" s="374" t="s">
        <v>2409</v>
      </c>
      <c r="H94" s="374"/>
      <c r="I94" s="374"/>
      <c r="J94" s="374"/>
      <c r="K94" s="374"/>
      <c r="L94" s="374"/>
      <c r="M94" s="374" t="s">
        <v>2473</v>
      </c>
      <c r="N94" s="374"/>
      <c r="O94" s="374"/>
      <c r="P94" s="374" t="s">
        <v>2385</v>
      </c>
      <c r="Q94" s="374"/>
      <c r="R94" s="374"/>
    </row>
    <row r="95" customFormat="false" ht="15.75" hidden="false" customHeight="false" outlineLevel="0" collapsed="false">
      <c r="A95" s="374" t="n">
        <v>117</v>
      </c>
      <c r="B95" s="374" t="str">
        <f aca="false" t="array" ref="B95:B95">INDEX('0.0.1 Pokémon Dex Data'!$E$3:$E1007,MATCH(A95,'0.0.1 Pokémon Dex Data'!$B$3:$B1007,0))</f>
        <v>Haunter</v>
      </c>
      <c r="C95" s="374" t="s">
        <v>2392</v>
      </c>
      <c r="D95" s="374" t="s">
        <v>2528</v>
      </c>
      <c r="E95" s="374" t="s">
        <v>2343</v>
      </c>
      <c r="F95" s="374" t="s">
        <v>2590</v>
      </c>
      <c r="G95" s="374" t="s">
        <v>2409</v>
      </c>
      <c r="H95" s="374"/>
      <c r="I95" s="374"/>
      <c r="J95" s="374"/>
      <c r="K95" s="374"/>
      <c r="L95" s="374"/>
      <c r="M95" s="374" t="s">
        <v>2588</v>
      </c>
      <c r="N95" s="374"/>
      <c r="O95" s="374"/>
      <c r="P95" s="374" t="s">
        <v>2442</v>
      </c>
      <c r="Q95" s="374"/>
      <c r="R95" s="374"/>
    </row>
    <row r="96" customFormat="false" ht="15.75" hidden="false" customHeight="false" outlineLevel="0" collapsed="false">
      <c r="A96" s="374" t="n">
        <v>118</v>
      </c>
      <c r="B96" s="374" t="str">
        <f aca="false" t="array" ref="B96:B96">INDEX('0.0.1 Pokémon Dex Data'!$E$3:$E1007,MATCH(A96,'0.0.1 Pokémon Dex Data'!$B$3:$B1007,0))</f>
        <v>Gengar</v>
      </c>
      <c r="C96" s="374" t="s">
        <v>2473</v>
      </c>
      <c r="D96" s="374" t="s">
        <v>2560</v>
      </c>
      <c r="E96" s="374" t="s">
        <v>2343</v>
      </c>
      <c r="F96" s="374" t="s">
        <v>2376</v>
      </c>
      <c r="G96" s="374" t="s">
        <v>2442</v>
      </c>
      <c r="H96" s="374"/>
      <c r="I96" s="374"/>
      <c r="J96" s="374"/>
      <c r="K96" s="374"/>
      <c r="L96" s="374"/>
      <c r="M96" s="374" t="s">
        <v>2392</v>
      </c>
      <c r="N96" s="374"/>
      <c r="O96" s="374"/>
      <c r="P96" s="374" t="s">
        <v>2471</v>
      </c>
      <c r="Q96" s="374" t="s">
        <v>2409</v>
      </c>
      <c r="R96" s="374"/>
    </row>
    <row r="97" customFormat="false" ht="15.75" hidden="false" customHeight="false" outlineLevel="0" collapsed="false">
      <c r="A97" s="374" t="n">
        <v>120</v>
      </c>
      <c r="B97" s="374" t="str">
        <f aca="false" t="array" ref="B97:B97">INDEX('0.0.1 Pokémon Dex Data'!$E$3:$E1007,MATCH(A97,'0.0.1 Pokémon Dex Data'!$B$3:$B1007,0))</f>
        <v>Onix</v>
      </c>
      <c r="C97" s="374" t="s">
        <v>2565</v>
      </c>
      <c r="D97" s="374" t="s">
        <v>2348</v>
      </c>
      <c r="E97" s="374" t="s">
        <v>2563</v>
      </c>
      <c r="F97" s="374" t="s">
        <v>2499</v>
      </c>
      <c r="G97" s="374" t="s">
        <v>2500</v>
      </c>
      <c r="H97" s="374"/>
      <c r="I97" s="374"/>
      <c r="J97" s="374"/>
      <c r="K97" s="374"/>
      <c r="L97" s="374"/>
      <c r="M97" s="374"/>
      <c r="N97" s="374"/>
      <c r="O97" s="374"/>
      <c r="P97" s="374" t="s">
        <v>2388</v>
      </c>
      <c r="Q97" s="374" t="s">
        <v>2506</v>
      </c>
      <c r="R97" s="374"/>
    </row>
    <row r="98" customFormat="false" ht="15.75" hidden="false" customHeight="false" outlineLevel="0" collapsed="false">
      <c r="A98" s="374" t="n">
        <v>121</v>
      </c>
      <c r="B98" s="374" t="str">
        <f aca="false" t="array" ref="B98:B98">INDEX('0.0.1 Pokémon Dex Data'!$E$3:$E1007,MATCH(A98,'0.0.1 Pokémon Dex Data'!$B$3:$B1007,0))</f>
        <v>Drowzee</v>
      </c>
      <c r="C98" s="374" t="s">
        <v>2434</v>
      </c>
      <c r="D98" s="374" t="s">
        <v>2582</v>
      </c>
      <c r="E98" s="374" t="s">
        <v>157</v>
      </c>
      <c r="F98" s="374" t="s">
        <v>2495</v>
      </c>
      <c r="G98" s="374" t="s">
        <v>2439</v>
      </c>
      <c r="H98" s="374"/>
      <c r="I98" s="374"/>
      <c r="J98" s="374"/>
      <c r="K98" s="374"/>
      <c r="L98" s="374"/>
      <c r="M98" s="374"/>
      <c r="N98" s="374"/>
      <c r="O98" s="374"/>
      <c r="P98" s="374"/>
      <c r="Q98" s="374"/>
      <c r="R98" s="374"/>
    </row>
    <row r="99" customFormat="false" ht="15.75" hidden="false" customHeight="false" outlineLevel="0" collapsed="false">
      <c r="A99" s="374" t="n">
        <v>122</v>
      </c>
      <c r="B99" s="374" t="str">
        <f aca="false" t="array" ref="B99:B99">INDEX('0.0.1 Pokémon Dex Data'!$E$3:$E1007,MATCH(A99,'0.0.1 Pokémon Dex Data'!$B$3:$B1007,0))</f>
        <v>Hypno</v>
      </c>
      <c r="C99" s="374" t="s">
        <v>2434</v>
      </c>
      <c r="D99" s="374" t="s">
        <v>2430</v>
      </c>
      <c r="E99" s="374" t="s">
        <v>157</v>
      </c>
      <c r="F99" s="374" t="s">
        <v>2550</v>
      </c>
      <c r="G99" s="374" t="s">
        <v>2376</v>
      </c>
      <c r="H99" s="374"/>
      <c r="I99" s="374"/>
      <c r="J99" s="374"/>
      <c r="K99" s="374"/>
      <c r="L99" s="374"/>
      <c r="M99" s="374"/>
      <c r="N99" s="374"/>
      <c r="O99" s="374"/>
      <c r="P99" s="374" t="s">
        <v>2495</v>
      </c>
      <c r="Q99" s="374" t="s">
        <v>2442</v>
      </c>
      <c r="R99" s="374"/>
    </row>
    <row r="100" customFormat="false" ht="15.75" hidden="false" customHeight="false" outlineLevel="0" collapsed="false">
      <c r="A100" s="374" t="n">
        <v>123</v>
      </c>
      <c r="B100" s="374" t="str">
        <f aca="false" t="array" ref="B100:B100">INDEX('0.0.1 Pokémon Dex Data'!$E$3:$E1007,MATCH(A100,'0.0.1 Pokémon Dex Data'!$B$3:$B1007,0))</f>
        <v>Krabby</v>
      </c>
      <c r="C100" s="374" t="s">
        <v>2407</v>
      </c>
      <c r="D100" s="374" t="s">
        <v>2594</v>
      </c>
      <c r="E100" s="374" t="s">
        <v>2408</v>
      </c>
      <c r="F100" s="374" t="s">
        <v>2428</v>
      </c>
      <c r="G100" s="374" t="s">
        <v>2595</v>
      </c>
      <c r="H100" s="374"/>
      <c r="I100" s="374"/>
      <c r="J100" s="374"/>
      <c r="K100" s="374"/>
      <c r="L100" s="374"/>
      <c r="M100" s="374"/>
      <c r="N100" s="374"/>
      <c r="O100" s="374"/>
      <c r="P100" s="374"/>
      <c r="Q100" s="374"/>
      <c r="R100" s="374"/>
    </row>
    <row r="101" customFormat="false" ht="15.75" hidden="false" customHeight="false" outlineLevel="0" collapsed="false">
      <c r="A101" s="374" t="n">
        <v>124</v>
      </c>
      <c r="B101" s="374" t="str">
        <f aca="false" t="array" ref="B101:B101">INDEX('0.0.1 Pokémon Dex Data'!$E$3:$E1007,MATCH(A101,'0.0.1 Pokémon Dex Data'!$B$3:$B1007,0))</f>
        <v>Kingler</v>
      </c>
      <c r="C101" s="374" t="s">
        <v>2407</v>
      </c>
      <c r="D101" s="374" t="s">
        <v>2384</v>
      </c>
      <c r="E101" s="374" t="s">
        <v>2428</v>
      </c>
      <c r="F101" s="374" t="s">
        <v>2458</v>
      </c>
      <c r="G101" s="374" t="s">
        <v>2595</v>
      </c>
      <c r="H101" s="374"/>
      <c r="I101" s="374"/>
      <c r="J101" s="374"/>
      <c r="K101" s="374"/>
      <c r="L101" s="374"/>
      <c r="M101" s="374" t="s">
        <v>2594</v>
      </c>
      <c r="N101" s="374"/>
      <c r="O101" s="374"/>
      <c r="P101" s="374"/>
      <c r="Q101" s="374"/>
      <c r="R101" s="374"/>
    </row>
    <row r="102" customFormat="false" ht="15.75" hidden="false" customHeight="false" outlineLevel="0" collapsed="false">
      <c r="A102" s="374" t="n">
        <v>125</v>
      </c>
      <c r="B102" s="374" t="str">
        <f aca="false" t="array" ref="B102:B102">INDEX('0.0.1 Pokémon Dex Data'!$E$3:$E1007,MATCH(A102,'0.0.1 Pokémon Dex Data'!$B$3:$B1007,0))</f>
        <v>Voltorb</v>
      </c>
      <c r="C102" s="374" t="s">
        <v>2570</v>
      </c>
      <c r="D102" s="374" t="s">
        <v>2348</v>
      </c>
      <c r="E102" s="374" t="s">
        <v>2569</v>
      </c>
      <c r="F102" s="374" t="s">
        <v>2476</v>
      </c>
      <c r="G102" s="374" t="s">
        <v>2412</v>
      </c>
      <c r="H102" s="374"/>
      <c r="I102" s="374"/>
      <c r="J102" s="374"/>
      <c r="K102" s="374"/>
      <c r="L102" s="374"/>
      <c r="M102" s="374"/>
      <c r="N102" s="374"/>
      <c r="O102" s="374"/>
      <c r="P102" s="374" t="s">
        <v>2422</v>
      </c>
      <c r="Q102" s="374"/>
      <c r="R102" s="374"/>
    </row>
    <row r="103" customFormat="false" ht="15.75" hidden="false" customHeight="false" outlineLevel="0" collapsed="false">
      <c r="A103" s="374" t="n">
        <v>126</v>
      </c>
      <c r="B103" s="374" t="str">
        <f aca="false" t="array" ref="B103:B103">INDEX('0.0.1 Pokémon Dex Data'!$E$3:$E1007,MATCH(A103,'0.0.1 Pokémon Dex Data'!$B$3:$B1007,0))</f>
        <v>Electrode</v>
      </c>
      <c r="C103" s="374" t="s">
        <v>2570</v>
      </c>
      <c r="D103" s="374" t="s">
        <v>2492</v>
      </c>
      <c r="E103" s="374" t="s">
        <v>2569</v>
      </c>
      <c r="F103" s="374" t="s">
        <v>2476</v>
      </c>
      <c r="G103" s="374" t="s">
        <v>2329</v>
      </c>
      <c r="H103" s="374"/>
      <c r="I103" s="374"/>
      <c r="J103" s="374"/>
      <c r="K103" s="374"/>
      <c r="L103" s="374"/>
      <c r="M103" s="374" t="s">
        <v>2348</v>
      </c>
      <c r="N103" s="374"/>
      <c r="O103" s="374"/>
      <c r="P103" s="374"/>
      <c r="Q103" s="374"/>
      <c r="R103" s="374"/>
    </row>
    <row r="104" customFormat="false" ht="15.75" hidden="false" customHeight="false" outlineLevel="0" collapsed="false">
      <c r="A104" s="374" t="n">
        <v>127</v>
      </c>
      <c r="B104" s="374" t="str">
        <f aca="false" t="array" ref="B104:B104">INDEX('0.0.1 Pokémon Dex Data'!$E$3:$E1007,MATCH(A104,'0.0.1 Pokémon Dex Data'!$B$3:$B1007,0))</f>
        <v>Exeggcute</v>
      </c>
      <c r="C104" s="374" t="s">
        <v>2434</v>
      </c>
      <c r="D104" s="374" t="s">
        <v>2314</v>
      </c>
      <c r="E104" s="374" t="s">
        <v>157</v>
      </c>
      <c r="F104" s="374" t="s">
        <v>2561</v>
      </c>
      <c r="G104" s="374" t="s">
        <v>2342</v>
      </c>
      <c r="H104" s="374"/>
      <c r="I104" s="374"/>
      <c r="J104" s="374"/>
      <c r="K104" s="374"/>
      <c r="L104" s="374"/>
      <c r="M104" s="374"/>
      <c r="N104" s="374"/>
      <c r="O104" s="374"/>
      <c r="P104" s="374"/>
      <c r="Q104" s="374"/>
      <c r="R104" s="374"/>
    </row>
    <row r="105" customFormat="false" ht="15.75" hidden="false" customHeight="false" outlineLevel="0" collapsed="false">
      <c r="A105" s="374" t="n">
        <v>128</v>
      </c>
      <c r="B105" s="374" t="str">
        <f aca="false" t="array" ref="B105:B105">INDEX('0.0.1 Pokémon Dex Data'!$E$3:$E1007,MATCH(A105,'0.0.1 Pokémon Dex Data'!$B$3:$B1007,0))</f>
        <v>Exeggutor</v>
      </c>
      <c r="C105" s="374" t="s">
        <v>2632</v>
      </c>
      <c r="D105" s="374" t="s">
        <v>2314</v>
      </c>
      <c r="E105" s="374" t="s">
        <v>157</v>
      </c>
      <c r="F105" s="374" t="s">
        <v>2345</v>
      </c>
      <c r="G105" s="374" t="s">
        <v>2342</v>
      </c>
      <c r="H105" s="374"/>
      <c r="I105" s="374"/>
      <c r="J105" s="374"/>
      <c r="K105" s="374"/>
      <c r="L105" s="374"/>
      <c r="M105" s="374" t="s">
        <v>2434</v>
      </c>
      <c r="N105" s="374" t="s">
        <v>2430</v>
      </c>
      <c r="O105" s="374"/>
      <c r="P105" s="374"/>
      <c r="Q105" s="374"/>
      <c r="R105" s="374"/>
    </row>
    <row r="106" customFormat="false" ht="15.75" hidden="false" customHeight="false" outlineLevel="0" collapsed="false">
      <c r="A106" s="374" t="n">
        <v>130</v>
      </c>
      <c r="B106" s="374" t="str">
        <f aca="false" t="array" ref="B106:B106">INDEX('0.0.1 Pokémon Dex Data'!$E$3:$E1007,MATCH(A106,'0.0.1 Pokémon Dex Data'!$B$3:$B1007,0))</f>
        <v>Cubone</v>
      </c>
      <c r="C106" s="374" t="s">
        <v>183</v>
      </c>
      <c r="D106" s="374" t="s">
        <v>2339</v>
      </c>
      <c r="E106" s="374" t="s">
        <v>2603</v>
      </c>
      <c r="F106" s="374" t="s">
        <v>2358</v>
      </c>
      <c r="G106" s="374" t="s">
        <v>2313</v>
      </c>
      <c r="H106" s="374"/>
      <c r="I106" s="374"/>
      <c r="J106" s="374"/>
      <c r="K106" s="374"/>
      <c r="L106" s="374"/>
      <c r="M106" s="374"/>
      <c r="N106" s="374"/>
      <c r="O106" s="374"/>
      <c r="P106" s="374"/>
      <c r="Q106" s="374"/>
      <c r="R106" s="374"/>
    </row>
    <row r="107" customFormat="false" ht="15.75" hidden="false" customHeight="false" outlineLevel="0" collapsed="false">
      <c r="A107" s="374" t="n">
        <v>131</v>
      </c>
      <c r="B107" s="374" t="str">
        <f aca="false" t="array" ref="B107:B107">INDEX('0.0.1 Pokémon Dex Data'!$E$3:$E1007,MATCH(A107,'0.0.1 Pokémon Dex Data'!$B$3:$B1007,0))</f>
        <v>Marowak</v>
      </c>
      <c r="C107" s="374" t="s">
        <v>183</v>
      </c>
      <c r="D107" s="374" t="s">
        <v>2339</v>
      </c>
      <c r="E107" s="374" t="s">
        <v>2603</v>
      </c>
      <c r="F107" s="374" t="s">
        <v>2358</v>
      </c>
      <c r="G107" s="374" t="s">
        <v>2317</v>
      </c>
      <c r="H107" s="374"/>
      <c r="I107" s="374"/>
      <c r="J107" s="374"/>
      <c r="K107" s="374"/>
      <c r="L107" s="374"/>
      <c r="M107" s="374"/>
      <c r="N107" s="374"/>
      <c r="O107" s="374"/>
      <c r="P107" s="374"/>
      <c r="Q107" s="374"/>
      <c r="R107" s="374"/>
    </row>
    <row r="108" customFormat="false" ht="15.75" hidden="false" customHeight="false" outlineLevel="0" collapsed="false">
      <c r="A108" s="374" t="n">
        <v>133</v>
      </c>
      <c r="B108" s="374" t="str">
        <f aca="false" t="array" ref="B108:B108">INDEX('0.0.1 Pokémon Dex Data'!$E$3:$E1007,MATCH(A108,'0.0.1 Pokémon Dex Data'!$B$3:$B1007,0))</f>
        <v>Hitmonlee</v>
      </c>
      <c r="C108" s="374" t="s">
        <v>2539</v>
      </c>
      <c r="D108" s="374" t="s">
        <v>2339</v>
      </c>
      <c r="E108" s="374" t="s">
        <v>2571</v>
      </c>
      <c r="F108" s="374" t="s">
        <v>2541</v>
      </c>
      <c r="G108" s="374" t="s">
        <v>2500</v>
      </c>
      <c r="H108" s="374"/>
      <c r="I108" s="374"/>
      <c r="J108" s="374"/>
      <c r="K108" s="374"/>
      <c r="L108" s="374"/>
      <c r="M108" s="374"/>
      <c r="N108" s="374"/>
      <c r="O108" s="374"/>
      <c r="P108" s="374" t="s">
        <v>2356</v>
      </c>
      <c r="Q108" s="374" t="s">
        <v>2540</v>
      </c>
      <c r="R108" s="374"/>
    </row>
    <row r="109" customFormat="false" ht="15.75" hidden="false" customHeight="false" outlineLevel="0" collapsed="false">
      <c r="A109" s="374" t="n">
        <v>134</v>
      </c>
      <c r="B109" s="374" t="str">
        <f aca="false" t="array" ref="B109:B109">INDEX('0.0.1 Pokémon Dex Data'!$E$3:$E1007,MATCH(A109,'0.0.1 Pokémon Dex Data'!$B$3:$B1007,0))</f>
        <v>Hitmonchan</v>
      </c>
      <c r="C109" s="374" t="s">
        <v>138</v>
      </c>
      <c r="D109" s="374" t="s">
        <v>2552</v>
      </c>
      <c r="E109" s="374" t="s">
        <v>2416</v>
      </c>
      <c r="F109" s="374" t="s">
        <v>2541</v>
      </c>
      <c r="G109" s="374" t="s">
        <v>2369</v>
      </c>
      <c r="H109" s="374" t="s">
        <v>2399</v>
      </c>
      <c r="I109" s="374"/>
      <c r="J109" s="374"/>
      <c r="K109" s="374"/>
      <c r="L109" s="374"/>
      <c r="M109" s="374" t="s">
        <v>2339</v>
      </c>
      <c r="N109" s="374"/>
      <c r="O109" s="374"/>
      <c r="P109" s="374" t="s">
        <v>2356</v>
      </c>
      <c r="Q109" s="374"/>
      <c r="R109" s="374"/>
    </row>
    <row r="110" customFormat="false" ht="15.75" hidden="false" customHeight="false" outlineLevel="0" collapsed="false">
      <c r="A110" s="374" t="n">
        <v>135</v>
      </c>
      <c r="B110" s="374" t="str">
        <f aca="false" t="array" ref="B110:B110">INDEX('0.0.1 Pokémon Dex Data'!$E$3:$E1007,MATCH(A110,'0.0.1 Pokémon Dex Data'!$B$3:$B1007,0))</f>
        <v>Lickitung</v>
      </c>
      <c r="C110" s="374" t="s">
        <v>2588</v>
      </c>
      <c r="D110" s="374" t="s">
        <v>2430</v>
      </c>
      <c r="E110" s="374" t="s">
        <v>2571</v>
      </c>
      <c r="F110" s="374" t="s">
        <v>2616</v>
      </c>
      <c r="G110" s="374" t="s">
        <v>2329</v>
      </c>
      <c r="H110" s="374"/>
      <c r="I110" s="374"/>
      <c r="J110" s="374"/>
      <c r="K110" s="374"/>
      <c r="L110" s="374"/>
      <c r="M110" s="374"/>
      <c r="N110" s="374"/>
      <c r="O110" s="374"/>
      <c r="P110" s="374"/>
      <c r="Q110" s="374"/>
      <c r="R110" s="374"/>
    </row>
    <row r="111" customFormat="false" ht="15.75" hidden="false" customHeight="false" outlineLevel="0" collapsed="false">
      <c r="A111" s="374" t="n">
        <v>136</v>
      </c>
      <c r="B111" s="374" t="str">
        <f aca="false" t="array" ref="B111:B111">INDEX('0.0.1 Pokémon Dex Data'!$E$3:$E1007,MATCH(A111,'0.0.1 Pokémon Dex Data'!$B$3:$B1007,0))</f>
        <v>Koffing</v>
      </c>
      <c r="C111" s="374" t="s">
        <v>2348</v>
      </c>
      <c r="D111" s="374" t="s">
        <v>2438</v>
      </c>
      <c r="E111" s="374" t="s">
        <v>2343</v>
      </c>
      <c r="F111" s="374" t="s">
        <v>2409</v>
      </c>
      <c r="G111" s="374" t="s">
        <v>2583</v>
      </c>
      <c r="H111" s="374"/>
      <c r="I111" s="374"/>
      <c r="J111" s="374"/>
      <c r="K111" s="374"/>
      <c r="L111" s="374"/>
      <c r="M111" s="374" t="s">
        <v>2481</v>
      </c>
      <c r="N111" s="374"/>
      <c r="O111" s="374"/>
      <c r="P111" s="374"/>
      <c r="Q111" s="374"/>
      <c r="R111" s="374"/>
    </row>
    <row r="112" customFormat="false" ht="15.75" hidden="false" customHeight="false" outlineLevel="0" collapsed="false">
      <c r="A112" s="374" t="n">
        <v>137</v>
      </c>
      <c r="B112" s="374" t="str">
        <f aca="false" t="array" ref="B112:B112">INDEX('0.0.1 Pokémon Dex Data'!$E$3:$E1007,MATCH(A112,'0.0.1 Pokémon Dex Data'!$B$3:$B1007,0))</f>
        <v>Weezing</v>
      </c>
      <c r="C112" s="374" t="s">
        <v>2348</v>
      </c>
      <c r="D112" s="374" t="s">
        <v>2438</v>
      </c>
      <c r="E112" s="374" t="s">
        <v>2343</v>
      </c>
      <c r="F112" s="374" t="s">
        <v>2409</v>
      </c>
      <c r="G112" s="374" t="s">
        <v>2442</v>
      </c>
      <c r="H112" s="374"/>
      <c r="I112" s="374"/>
      <c r="J112" s="374"/>
      <c r="K112" s="374"/>
      <c r="L112" s="374"/>
      <c r="M112" s="374" t="s">
        <v>2481</v>
      </c>
      <c r="N112" s="374"/>
      <c r="O112" s="374"/>
      <c r="P112" s="374"/>
      <c r="Q112" s="374"/>
      <c r="R112" s="374"/>
    </row>
    <row r="113" customFormat="false" ht="15.75" hidden="false" customHeight="false" outlineLevel="0" collapsed="false">
      <c r="A113" s="374" t="n">
        <v>138</v>
      </c>
      <c r="B113" s="374" t="str">
        <f aca="false" t="array" ref="B113:B113">INDEX('0.0.1 Pokémon Dex Data'!$E$3:$E1007,MATCH(A113,'0.0.1 Pokémon Dex Data'!$B$3:$B1007,0))</f>
        <v>Rhyhorn</v>
      </c>
      <c r="C113" s="374" t="s">
        <v>183</v>
      </c>
      <c r="D113" s="374" t="s">
        <v>2339</v>
      </c>
      <c r="E113" s="374" t="s">
        <v>2571</v>
      </c>
      <c r="F113" s="374" t="s">
        <v>2512</v>
      </c>
      <c r="G113" s="374" t="s">
        <v>2313</v>
      </c>
      <c r="H113" s="374"/>
      <c r="I113" s="374"/>
      <c r="J113" s="374"/>
      <c r="K113" s="374"/>
      <c r="L113" s="374"/>
      <c r="M113" s="374"/>
      <c r="N113" s="374"/>
      <c r="O113" s="374"/>
      <c r="P113" s="374"/>
      <c r="Q113" s="374"/>
      <c r="R113" s="374"/>
    </row>
    <row r="114" customFormat="false" ht="15.75" hidden="false" customHeight="false" outlineLevel="0" collapsed="false">
      <c r="A114" s="374" t="n">
        <v>139</v>
      </c>
      <c r="B114" s="374" t="str">
        <f aca="false" t="array" ref="B114:B114">INDEX('0.0.1 Pokémon Dex Data'!$E$3:$E1007,MATCH(A114,'0.0.1 Pokémon Dex Data'!$B$3:$B1007,0))</f>
        <v>Rhydon</v>
      </c>
      <c r="C114" s="374" t="s">
        <v>183</v>
      </c>
      <c r="D114" s="374" t="s">
        <v>2339</v>
      </c>
      <c r="E114" s="374" t="s">
        <v>2317</v>
      </c>
      <c r="F114" s="374" t="s">
        <v>2500</v>
      </c>
      <c r="G114" s="374" t="s">
        <v>2424</v>
      </c>
      <c r="H114" s="374"/>
      <c r="I114" s="374"/>
      <c r="J114" s="374"/>
      <c r="K114" s="374"/>
      <c r="L114" s="374"/>
      <c r="M114" s="374"/>
      <c r="N114" s="374"/>
      <c r="O114" s="374"/>
      <c r="P114" s="374" t="s">
        <v>2513</v>
      </c>
      <c r="Q114" s="374"/>
      <c r="R114" s="374"/>
    </row>
    <row r="115" customFormat="false" ht="15.75" hidden="false" customHeight="false" outlineLevel="0" collapsed="false">
      <c r="A115" s="374" t="n">
        <v>140</v>
      </c>
      <c r="B115" s="374" t="str">
        <f aca="false" t="array" ref="B115:B115">INDEX('0.0.1 Pokémon Dex Data'!$E$3:$E1007,MATCH(A115,'0.0.1 Pokémon Dex Data'!$B$3:$B1007,0))</f>
        <v>Chansey</v>
      </c>
      <c r="C115" s="374" t="s">
        <v>2582</v>
      </c>
      <c r="D115" s="374" t="s">
        <v>2430</v>
      </c>
      <c r="E115" s="374" t="s">
        <v>157</v>
      </c>
      <c r="F115" s="374" t="s">
        <v>2517</v>
      </c>
      <c r="G115" s="374" t="s">
        <v>2329</v>
      </c>
      <c r="H115" s="374"/>
      <c r="I115" s="374"/>
      <c r="J115" s="374"/>
      <c r="K115" s="374"/>
      <c r="L115" s="374"/>
      <c r="M115" s="374"/>
      <c r="N115" s="374"/>
      <c r="O115" s="374"/>
      <c r="P115" s="374" t="s">
        <v>2439</v>
      </c>
      <c r="Q115" s="374"/>
      <c r="R115" s="374"/>
    </row>
    <row r="116" customFormat="false" ht="15.75" hidden="false" customHeight="false" outlineLevel="0" collapsed="false">
      <c r="A116" s="374" t="n">
        <v>141</v>
      </c>
      <c r="B116" s="374" t="str">
        <f aca="false" t="array" ref="B116:B116">INDEX('0.0.1 Pokémon Dex Data'!$E$3:$E1007,MATCH(A116,'0.0.1 Pokémon Dex Data'!$B$3:$B1007,0))</f>
        <v>Tangela</v>
      </c>
      <c r="C116" s="374" t="s">
        <v>2351</v>
      </c>
      <c r="D116" s="374" t="s">
        <v>2438</v>
      </c>
      <c r="E116" s="374" t="s">
        <v>2343</v>
      </c>
      <c r="F116" s="374" t="s">
        <v>2345</v>
      </c>
      <c r="G116" s="374" t="s">
        <v>2325</v>
      </c>
      <c r="H116" s="374"/>
      <c r="I116" s="374"/>
      <c r="J116" s="374"/>
      <c r="K116" s="374"/>
      <c r="L116" s="374"/>
      <c r="M116" s="374"/>
      <c r="N116" s="374"/>
      <c r="O116" s="374"/>
      <c r="P116" s="374" t="s">
        <v>2616</v>
      </c>
      <c r="Q116" s="374"/>
      <c r="R116" s="374"/>
    </row>
    <row r="117" customFormat="false" ht="15.75" hidden="false" customHeight="false" outlineLevel="0" collapsed="false">
      <c r="A117" s="374" t="n">
        <v>142</v>
      </c>
      <c r="B117" s="374" t="str">
        <f aca="false" t="array" ref="B117:B117">INDEX('0.0.1 Pokémon Dex Data'!$E$3:$E1007,MATCH(A117,'0.0.1 Pokémon Dex Data'!$B$3:$B1007,0))</f>
        <v>Kangaskhan</v>
      </c>
      <c r="C117" s="374" t="s">
        <v>2539</v>
      </c>
      <c r="D117" s="374" t="s">
        <v>183</v>
      </c>
      <c r="E117" s="374" t="s">
        <v>2317</v>
      </c>
      <c r="F117" s="374" t="s">
        <v>2332</v>
      </c>
      <c r="G117" s="374" t="s">
        <v>2466</v>
      </c>
      <c r="H117" s="374"/>
      <c r="I117" s="374"/>
      <c r="J117" s="374"/>
      <c r="K117" s="374"/>
      <c r="L117" s="374"/>
      <c r="M117" s="374"/>
      <c r="N117" s="374"/>
      <c r="O117" s="374"/>
      <c r="P117" s="374" t="s">
        <v>2571</v>
      </c>
      <c r="Q117" s="374" t="s">
        <v>2356</v>
      </c>
      <c r="R117" s="374"/>
    </row>
    <row r="118" customFormat="false" ht="15.75" hidden="false" customHeight="false" outlineLevel="0" collapsed="false">
      <c r="A118" s="374" t="n">
        <v>144</v>
      </c>
      <c r="B118" s="374" t="str">
        <f aca="false" t="array" ref="B118:B118">INDEX('0.0.1 Pokémon Dex Data'!$E$3:$E1007,MATCH(A118,'0.0.1 Pokémon Dex Data'!$B$3:$B1007,0))</f>
        <v>Horsea</v>
      </c>
      <c r="C118" s="374" t="s">
        <v>2407</v>
      </c>
      <c r="D118" s="374" t="s">
        <v>2426</v>
      </c>
      <c r="E118" s="374" t="s">
        <v>2408</v>
      </c>
      <c r="F118" s="374" t="s">
        <v>2361</v>
      </c>
      <c r="G118" s="374" t="s">
        <v>2411</v>
      </c>
      <c r="H118" s="374"/>
      <c r="I118" s="374"/>
      <c r="J118" s="374"/>
      <c r="K118" s="374"/>
      <c r="L118" s="374"/>
      <c r="M118" s="374"/>
      <c r="N118" s="374"/>
      <c r="O118" s="374"/>
      <c r="P118" s="374"/>
      <c r="Q118" s="374"/>
      <c r="R118" s="374"/>
    </row>
    <row r="119" customFormat="false" ht="15.75" hidden="false" customHeight="false" outlineLevel="0" collapsed="false">
      <c r="A119" s="374" t="n">
        <v>145</v>
      </c>
      <c r="B119" s="374" t="str">
        <f aca="false" t="array" ref="B119:B119">INDEX('0.0.1 Pokémon Dex Data'!$E$3:$E1007,MATCH(A119,'0.0.1 Pokémon Dex Data'!$B$3:$B1007,0))</f>
        <v>Seadra</v>
      </c>
      <c r="C119" s="374" t="s">
        <v>2359</v>
      </c>
      <c r="D119" s="374" t="s">
        <v>2426</v>
      </c>
      <c r="E119" s="374" t="s">
        <v>2414</v>
      </c>
      <c r="F119" s="374" t="s">
        <v>2361</v>
      </c>
      <c r="G119" s="374" t="s">
        <v>2581</v>
      </c>
      <c r="H119" s="374"/>
      <c r="I119" s="374"/>
      <c r="J119" s="374"/>
      <c r="K119" s="374"/>
      <c r="L119" s="374"/>
      <c r="M119" s="374"/>
      <c r="N119" s="374"/>
      <c r="O119" s="374"/>
      <c r="P119" s="374" t="s">
        <v>2405</v>
      </c>
      <c r="Q119" s="374"/>
      <c r="R119" s="374"/>
    </row>
    <row r="120" customFormat="false" ht="15.75" hidden="false" customHeight="false" outlineLevel="0" collapsed="false">
      <c r="A120" s="374" t="n">
        <v>146</v>
      </c>
      <c r="B120" s="374" t="str">
        <f aca="false" t="array" ref="B120:B120">INDEX('0.0.1 Pokémon Dex Data'!$E$3:$E1007,MATCH(A120,'0.0.1 Pokémon Dex Data'!$B$3:$B1007,0))</f>
        <v>Goldeen</v>
      </c>
      <c r="C120" s="374" t="s">
        <v>2480</v>
      </c>
      <c r="D120" s="374" t="s">
        <v>2594</v>
      </c>
      <c r="E120" s="374" t="s">
        <v>2402</v>
      </c>
      <c r="F120" s="374" t="s">
        <v>2428</v>
      </c>
      <c r="G120" s="374" t="s">
        <v>2512</v>
      </c>
      <c r="H120" s="374"/>
      <c r="I120" s="374"/>
      <c r="J120" s="374"/>
      <c r="K120" s="374"/>
      <c r="L120" s="374"/>
      <c r="M120" s="374"/>
      <c r="N120" s="374"/>
      <c r="O120" s="374"/>
      <c r="P120" s="374"/>
      <c r="Q120" s="374"/>
      <c r="R120" s="374"/>
    </row>
    <row r="121" customFormat="false" ht="15.75" hidden="false" customHeight="false" outlineLevel="0" collapsed="false">
      <c r="A121" s="374" t="n">
        <v>147</v>
      </c>
      <c r="B121" s="374" t="str">
        <f aca="false" t="array" ref="B121:B121">INDEX('0.0.1 Pokémon Dex Data'!$E$3:$E1007,MATCH(A121,'0.0.1 Pokémon Dex Data'!$B$3:$B1007,0))</f>
        <v>Seaking</v>
      </c>
      <c r="C121" s="374" t="s">
        <v>2425</v>
      </c>
      <c r="D121" s="374" t="s">
        <v>2480</v>
      </c>
      <c r="E121" s="374" t="s">
        <v>2428</v>
      </c>
      <c r="F121" s="374" t="s">
        <v>2415</v>
      </c>
      <c r="G121" s="374" t="s">
        <v>2513</v>
      </c>
      <c r="H121" s="374"/>
      <c r="I121" s="374"/>
      <c r="J121" s="374"/>
      <c r="K121" s="374"/>
      <c r="L121" s="374"/>
      <c r="M121" s="374" t="s">
        <v>2454</v>
      </c>
      <c r="N121" s="374"/>
      <c r="O121" s="374"/>
      <c r="P121" s="374" t="s">
        <v>184</v>
      </c>
      <c r="Q121" s="374" t="s">
        <v>2417</v>
      </c>
      <c r="R121" s="374"/>
    </row>
    <row r="122" customFormat="false" ht="15.75" hidden="false" customHeight="false" outlineLevel="0" collapsed="false">
      <c r="A122" s="374" t="n">
        <v>148</v>
      </c>
      <c r="B122" s="374" t="str">
        <f aca="false" t="array" ref="B122:B122">INDEX('0.0.1 Pokémon Dex Data'!$E$3:$E1007,MATCH(A122,'0.0.1 Pokémon Dex Data'!$B$3:$B1007,0))</f>
        <v>Staryu</v>
      </c>
      <c r="C122" s="374" t="s">
        <v>2426</v>
      </c>
      <c r="D122" s="374" t="s">
        <v>2348</v>
      </c>
      <c r="E122" s="374" t="s">
        <v>2408</v>
      </c>
      <c r="F122" s="374" t="s">
        <v>2536</v>
      </c>
      <c r="G122" s="374" t="s">
        <v>2398</v>
      </c>
      <c r="H122" s="374"/>
      <c r="I122" s="374"/>
      <c r="J122" s="374"/>
      <c r="K122" s="374"/>
      <c r="L122" s="374"/>
      <c r="M122" s="374" t="s">
        <v>2461</v>
      </c>
      <c r="N122" s="374"/>
      <c r="O122" s="374"/>
      <c r="P122" s="374"/>
      <c r="Q122" s="374"/>
      <c r="R122" s="374"/>
    </row>
    <row r="123" customFormat="false" ht="15.75" hidden="false" customHeight="false" outlineLevel="0" collapsed="false">
      <c r="A123" s="374" t="n">
        <v>149</v>
      </c>
      <c r="B123" s="374" t="str">
        <f aca="false" t="array" ref="B123:B123">INDEX('0.0.1 Pokémon Dex Data'!$E$3:$E1007,MATCH(A123,'0.0.1 Pokémon Dex Data'!$B$3:$B1007,0))</f>
        <v>Starmie</v>
      </c>
      <c r="C123" s="374" t="s">
        <v>2426</v>
      </c>
      <c r="D123" s="374" t="s">
        <v>2328</v>
      </c>
      <c r="E123" s="374" t="s">
        <v>157</v>
      </c>
      <c r="F123" s="374" t="s">
        <v>2536</v>
      </c>
      <c r="G123" s="374" t="s">
        <v>2414</v>
      </c>
      <c r="H123" s="374"/>
      <c r="I123" s="374"/>
      <c r="J123" s="374"/>
      <c r="K123" s="374"/>
      <c r="L123" s="374"/>
      <c r="M123" s="374" t="s">
        <v>2461</v>
      </c>
      <c r="N123" s="374" t="s">
        <v>2348</v>
      </c>
      <c r="O123" s="374"/>
      <c r="P123" s="374" t="s">
        <v>2439</v>
      </c>
      <c r="Q123" s="374"/>
      <c r="R123" s="374"/>
    </row>
    <row r="124" customFormat="false" ht="15.75" hidden="false" customHeight="false" outlineLevel="0" collapsed="false">
      <c r="A124" s="374" t="n">
        <v>150</v>
      </c>
      <c r="B124" s="374" t="str">
        <f aca="false" t="array" ref="B124:B124">INDEX('0.0.1 Pokémon Dex Data'!$E$3:$E1007,MATCH(A124,'0.0.1 Pokémon Dex Data'!$B$3:$B1007,0))</f>
        <v>Mr. Mime</v>
      </c>
      <c r="C124" s="374" t="s">
        <v>2434</v>
      </c>
      <c r="D124" s="374" t="s">
        <v>2430</v>
      </c>
      <c r="E124" s="374" t="s">
        <v>157</v>
      </c>
      <c r="F124" s="374" t="s">
        <v>2439</v>
      </c>
      <c r="G124" s="374" t="s">
        <v>2442</v>
      </c>
      <c r="H124" s="374"/>
      <c r="I124" s="374"/>
      <c r="J124" s="374"/>
      <c r="K124" s="374"/>
      <c r="L124" s="374"/>
      <c r="M124" s="374"/>
      <c r="N124" s="374"/>
      <c r="O124" s="374"/>
      <c r="P124" s="374"/>
      <c r="Q124" s="374"/>
      <c r="R124" s="374"/>
    </row>
    <row r="125" customFormat="false" ht="15.75" hidden="false" customHeight="false" outlineLevel="0" collapsed="false">
      <c r="A125" s="374" t="n">
        <v>151</v>
      </c>
      <c r="B125" s="374" t="str">
        <f aca="false" t="array" ref="B125:B125">INDEX('0.0.1 Pokémon Dex Data'!$E$3:$E1007,MATCH(A125,'0.0.1 Pokémon Dex Data'!$B$3:$B1007,0))</f>
        <v>Scyther</v>
      </c>
      <c r="C125" s="374" t="s">
        <v>2322</v>
      </c>
      <c r="D125" s="374" t="s">
        <v>2354</v>
      </c>
      <c r="E125" s="374" t="s">
        <v>2531</v>
      </c>
      <c r="F125" s="374" t="s">
        <v>2458</v>
      </c>
      <c r="G125" s="374" t="s">
        <v>2352</v>
      </c>
      <c r="H125" s="374"/>
      <c r="I125" s="374"/>
      <c r="J125" s="374"/>
      <c r="K125" s="374"/>
      <c r="L125" s="374"/>
      <c r="M125" s="374" t="s">
        <v>2396</v>
      </c>
      <c r="N125" s="374"/>
      <c r="O125" s="374"/>
      <c r="P125" s="374" t="s">
        <v>2433</v>
      </c>
      <c r="Q125" s="374"/>
      <c r="R125" s="374"/>
    </row>
    <row r="126" customFormat="false" ht="15.75" hidden="false" customHeight="false" outlineLevel="0" collapsed="false">
      <c r="A126" s="374" t="n">
        <v>152</v>
      </c>
      <c r="B126" s="374" t="str">
        <f aca="false" t="array" ref="B126:B126">INDEX('0.0.1 Pokémon Dex Data'!$E$3:$E1007,MATCH(A126,'0.0.1 Pokémon Dex Data'!$B$3:$B1007,0))</f>
        <v>Jynx</v>
      </c>
      <c r="C126" s="374" t="s">
        <v>2434</v>
      </c>
      <c r="D126" s="374" t="s">
        <v>2502</v>
      </c>
      <c r="E126" s="374" t="s">
        <v>2403</v>
      </c>
      <c r="F126" s="374" t="s">
        <v>2495</v>
      </c>
      <c r="G126" s="374" t="s">
        <v>2624</v>
      </c>
      <c r="H126" s="374"/>
      <c r="I126" s="374"/>
      <c r="J126" s="374"/>
      <c r="K126" s="374"/>
      <c r="L126" s="374"/>
      <c r="M126" s="374" t="s">
        <v>2582</v>
      </c>
      <c r="N126" s="374"/>
      <c r="O126" s="374"/>
      <c r="P126" s="374" t="s">
        <v>2416</v>
      </c>
      <c r="Q126" s="374"/>
      <c r="R126" s="374"/>
    </row>
    <row r="127" customFormat="false" ht="15.75" hidden="false" customHeight="false" outlineLevel="0" collapsed="false">
      <c r="A127" s="374" t="n">
        <v>153</v>
      </c>
      <c r="B127" s="374" t="str">
        <f aca="false" t="array" ref="B127:B127">INDEX('0.0.1 Pokémon Dex Data'!$E$3:$E1007,MATCH(A127,'0.0.1 Pokémon Dex Data'!$B$3:$B1007,0))</f>
        <v>Electabuzz</v>
      </c>
      <c r="C127" s="374" t="s">
        <v>2539</v>
      </c>
      <c r="D127" s="374" t="s">
        <v>2491</v>
      </c>
      <c r="E127" s="374" t="s">
        <v>2475</v>
      </c>
      <c r="F127" s="374" t="s">
        <v>2476</v>
      </c>
      <c r="G127" s="374" t="s">
        <v>2399</v>
      </c>
      <c r="H127" s="374"/>
      <c r="I127" s="374"/>
      <c r="J127" s="374"/>
      <c r="K127" s="374"/>
      <c r="L127" s="374"/>
      <c r="M127" s="374"/>
      <c r="N127" s="374"/>
      <c r="O127" s="374"/>
      <c r="P127" s="374"/>
      <c r="Q127" s="374"/>
      <c r="R127" s="374"/>
    </row>
    <row r="128" customFormat="false" ht="15.75" hidden="false" customHeight="false" outlineLevel="0" collapsed="false">
      <c r="A128" s="374" t="n">
        <v>154</v>
      </c>
      <c r="B128" s="374" t="str">
        <f aca="false" t="array" ref="B128:B128">INDEX('0.0.1 Pokémon Dex Data'!$E$3:$E1007,MATCH(A128,'0.0.1 Pokémon Dex Data'!$B$3:$B1007,0))</f>
        <v>Magmar</v>
      </c>
      <c r="C128" s="374" t="s">
        <v>2545</v>
      </c>
      <c r="D128" s="374" t="s">
        <v>2365</v>
      </c>
      <c r="E128" s="374" t="s">
        <v>2373</v>
      </c>
      <c r="F128" s="374" t="s">
        <v>2366</v>
      </c>
      <c r="G128" s="374" t="s">
        <v>2369</v>
      </c>
      <c r="H128" s="374"/>
      <c r="I128" s="374"/>
      <c r="J128" s="374"/>
      <c r="K128" s="374"/>
      <c r="L128" s="374"/>
      <c r="M128" s="374"/>
      <c r="N128" s="374"/>
      <c r="O128" s="374"/>
      <c r="P128" s="374"/>
      <c r="Q128" s="374"/>
      <c r="R128" s="374"/>
    </row>
    <row r="129" customFormat="false" ht="15.75" hidden="false" customHeight="false" outlineLevel="0" collapsed="false">
      <c r="A129" s="374" t="n">
        <v>155</v>
      </c>
      <c r="B129" s="374" t="str">
        <f aca="false" t="array" ref="B129:B129">INDEX('0.0.1 Pokémon Dex Data'!$E$3:$E1007,MATCH(A129,'0.0.1 Pokémon Dex Data'!$B$3:$B1007,0))</f>
        <v>Pinsir</v>
      </c>
      <c r="C129" s="374" t="s">
        <v>2432</v>
      </c>
      <c r="D129" s="374" t="s">
        <v>2339</v>
      </c>
      <c r="E129" s="374" t="s">
        <v>2541</v>
      </c>
      <c r="F129" s="374" t="s">
        <v>2458</v>
      </c>
      <c r="G129" s="374" t="s">
        <v>2595</v>
      </c>
      <c r="H129" s="374"/>
      <c r="I129" s="374"/>
      <c r="J129" s="374"/>
      <c r="K129" s="374"/>
      <c r="L129" s="374"/>
      <c r="M129" s="374" t="s">
        <v>2322</v>
      </c>
      <c r="N129" s="374"/>
      <c r="O129" s="374"/>
      <c r="P129" s="374" t="s">
        <v>2397</v>
      </c>
      <c r="Q129" s="374"/>
      <c r="R129" s="374"/>
    </row>
    <row r="130" customFormat="false" ht="15.75" hidden="false" customHeight="false" outlineLevel="0" collapsed="false">
      <c r="A130" s="374" t="n">
        <v>157</v>
      </c>
      <c r="B130" s="374" t="str">
        <f aca="false" t="array" ref="B130:B130">INDEX('0.0.1 Pokémon Dex Data'!$E$3:$E1007,MATCH(A130,'0.0.1 Pokémon Dex Data'!$B$3:$B1007,0))</f>
        <v>Tauros</v>
      </c>
      <c r="C130" s="374" t="s">
        <v>2348</v>
      </c>
      <c r="D130" s="374" t="s">
        <v>2430</v>
      </c>
      <c r="E130" s="374" t="s">
        <v>2317</v>
      </c>
      <c r="F130" s="374" t="s">
        <v>2506</v>
      </c>
      <c r="G130" s="374" t="s">
        <v>2512</v>
      </c>
      <c r="H130" s="374"/>
      <c r="I130" s="374"/>
      <c r="J130" s="374"/>
      <c r="K130" s="374"/>
      <c r="L130" s="374"/>
      <c r="M130" s="374"/>
      <c r="N130" s="374"/>
      <c r="O130" s="374"/>
      <c r="P130" s="374"/>
      <c r="Q130" s="374"/>
      <c r="R130" s="374"/>
    </row>
    <row r="131" customFormat="false" ht="15.75" hidden="false" customHeight="false" outlineLevel="0" collapsed="false">
      <c r="A131" s="374" t="n">
        <v>158</v>
      </c>
      <c r="B131" s="374" t="str">
        <f aca="false" t="array" ref="B131:B131">INDEX('0.0.1 Pokémon Dex Data'!$E$3:$E1007,MATCH(A131,'0.0.1 Pokémon Dex Data'!$B$3:$B1007,0))</f>
        <v>Magikarp</v>
      </c>
      <c r="C131" s="374" t="s">
        <v>2643</v>
      </c>
      <c r="D131" s="374"/>
      <c r="E131" s="374" t="s">
        <v>2777</v>
      </c>
      <c r="F131" s="374"/>
      <c r="G131" s="374"/>
      <c r="H131" s="374"/>
      <c r="I131" s="374"/>
      <c r="J131" s="374"/>
      <c r="K131" s="374"/>
      <c r="L131" s="374"/>
      <c r="M131" s="374"/>
      <c r="N131" s="374"/>
      <c r="O131" s="374"/>
      <c r="P131" s="374"/>
      <c r="Q131" s="374"/>
      <c r="R131" s="374"/>
    </row>
    <row r="132" customFormat="false" ht="15.75" hidden="false" customHeight="false" outlineLevel="0" collapsed="false">
      <c r="A132" s="374" t="n">
        <v>159</v>
      </c>
      <c r="B132" s="374" t="str">
        <f aca="false" t="array" ref="B132:B132">INDEX('0.0.1 Pokémon Dex Data'!$E$3:$E1007,MATCH(A132,'0.0.1 Pokémon Dex Data'!$B$3:$B1007,0))</f>
        <v>Gyarados</v>
      </c>
      <c r="C132" s="374" t="s">
        <v>2404</v>
      </c>
      <c r="D132" s="374" t="s">
        <v>2425</v>
      </c>
      <c r="E132" s="374" t="s">
        <v>2414</v>
      </c>
      <c r="F132" s="374" t="s">
        <v>2332</v>
      </c>
      <c r="G132" s="374" t="s">
        <v>2466</v>
      </c>
      <c r="H132" s="374"/>
      <c r="I132" s="374"/>
      <c r="J132" s="374"/>
      <c r="K132" s="374"/>
      <c r="L132" s="374"/>
      <c r="M132" s="374" t="s">
        <v>2359</v>
      </c>
      <c r="N132" s="374" t="s">
        <v>2363</v>
      </c>
      <c r="O132" s="374"/>
      <c r="P132" s="374" t="s">
        <v>2361</v>
      </c>
      <c r="Q132" s="374" t="s">
        <v>2400</v>
      </c>
      <c r="R132" s="374"/>
    </row>
    <row r="133" customFormat="false" ht="15.75" hidden="false" customHeight="false" outlineLevel="0" collapsed="false">
      <c r="A133" s="374" t="n">
        <v>161</v>
      </c>
      <c r="B133" s="374" t="str">
        <f aca="false" t="array" ref="B133:B133">INDEX('0.0.1 Pokémon Dex Data'!$E$3:$E1007,MATCH(A133,'0.0.1 Pokémon Dex Data'!$B$3:$B1007,0))</f>
        <v>Lapras</v>
      </c>
      <c r="C133" s="374" t="s">
        <v>2502</v>
      </c>
      <c r="D133" s="374" t="s">
        <v>2426</v>
      </c>
      <c r="E133" s="374" t="s">
        <v>2414</v>
      </c>
      <c r="F133" s="374" t="s">
        <v>2424</v>
      </c>
      <c r="G133" s="374" t="s">
        <v>2405</v>
      </c>
      <c r="H133" s="374"/>
      <c r="I133" s="374"/>
      <c r="J133" s="374"/>
      <c r="K133" s="374"/>
      <c r="L133" s="374"/>
      <c r="M133" s="374" t="s">
        <v>2525</v>
      </c>
      <c r="N133" s="374"/>
      <c r="O133" s="374"/>
      <c r="P133" s="374" t="s">
        <v>2361</v>
      </c>
      <c r="Q133" s="374" t="s">
        <v>2415</v>
      </c>
      <c r="R133" s="374"/>
    </row>
    <row r="134" customFormat="false" ht="15.75" hidden="false" customHeight="false" outlineLevel="0" collapsed="false">
      <c r="A134" s="374" t="n">
        <v>162</v>
      </c>
      <c r="B134" s="374" t="str">
        <f aca="false" t="array" ref="B134:B134">INDEX('0.0.1 Pokémon Dex Data'!$E$3:$E1007,MATCH(A134,'0.0.1 Pokémon Dex Data'!$B$3:$B1007,0))</f>
        <v>Ditto</v>
      </c>
      <c r="C134" s="374" t="s">
        <v>2630</v>
      </c>
      <c r="D134" s="374"/>
      <c r="E134" s="374" t="s">
        <v>2777</v>
      </c>
      <c r="F134" s="374"/>
      <c r="G134" s="374"/>
      <c r="H134" s="374"/>
      <c r="I134" s="374"/>
      <c r="J134" s="374"/>
      <c r="K134" s="374"/>
      <c r="L134" s="374"/>
      <c r="M134" s="374"/>
      <c r="N134" s="374"/>
      <c r="O134" s="374"/>
      <c r="P134" s="374"/>
      <c r="Q134" s="374"/>
      <c r="R134" s="374"/>
    </row>
    <row r="135" customFormat="false" ht="15.75" hidden="false" customHeight="false" outlineLevel="0" collapsed="false">
      <c r="A135" s="374" t="n">
        <v>163</v>
      </c>
      <c r="B135" s="374" t="str">
        <f aca="false" t="array" ref="B135:B135">INDEX('0.0.1 Pokémon Dex Data'!$E$3:$E1007,MATCH(A135,'0.0.1 Pokémon Dex Data'!$B$3:$B1007,0))</f>
        <v>Eevee</v>
      </c>
      <c r="C135" s="374" t="s">
        <v>2461</v>
      </c>
      <c r="D135" s="374" t="s">
        <v>2348</v>
      </c>
      <c r="E135" s="374" t="s">
        <v>2358</v>
      </c>
      <c r="F135" s="374" t="s">
        <v>2312</v>
      </c>
      <c r="G135" s="374" t="s">
        <v>2398</v>
      </c>
      <c r="H135" s="374"/>
      <c r="I135" s="374"/>
      <c r="J135" s="374"/>
      <c r="K135" s="374"/>
      <c r="L135" s="374"/>
      <c r="M135" s="374"/>
      <c r="N135" s="374"/>
      <c r="O135" s="374"/>
      <c r="P135" s="374"/>
      <c r="Q135" s="374"/>
      <c r="R135" s="374"/>
    </row>
    <row r="136" customFormat="false" ht="15.75" hidden="false" customHeight="false" outlineLevel="0" collapsed="false">
      <c r="A136" s="374" t="n">
        <v>164</v>
      </c>
      <c r="B136" s="374" t="str">
        <f aca="false" t="array" ref="B136:B136">INDEX('0.0.1 Pokémon Dex Data'!$E$3:$E1007,MATCH(A136,'0.0.1 Pokémon Dex Data'!$B$3:$B1007,0))</f>
        <v>Vaporeon</v>
      </c>
      <c r="C136" s="374" t="s">
        <v>2426</v>
      </c>
      <c r="D136" s="374"/>
      <c r="E136" s="374" t="s">
        <v>2402</v>
      </c>
      <c r="F136" s="374" t="s">
        <v>2428</v>
      </c>
      <c r="G136" s="374" t="s">
        <v>2414</v>
      </c>
      <c r="H136" s="374"/>
      <c r="I136" s="374"/>
      <c r="J136" s="374"/>
      <c r="K136" s="374"/>
      <c r="L136" s="374"/>
      <c r="M136" s="374"/>
      <c r="N136" s="374"/>
      <c r="O136" s="374"/>
      <c r="P136" s="374"/>
      <c r="Q136" s="374"/>
      <c r="R136" s="374"/>
    </row>
    <row r="137" customFormat="false" ht="15.75" hidden="false" customHeight="false" outlineLevel="0" collapsed="false">
      <c r="A137" s="374" t="n">
        <v>165</v>
      </c>
      <c r="B137" s="374" t="str">
        <f aca="false" t="array" ref="B137:B137">INDEX('0.0.1 Pokémon Dex Data'!$E$3:$E1007,MATCH(A137,'0.0.1 Pokémon Dex Data'!$B$3:$B1007,0))</f>
        <v>Jolteon</v>
      </c>
      <c r="C137" s="374" t="s">
        <v>2492</v>
      </c>
      <c r="D137" s="374" t="s">
        <v>2491</v>
      </c>
      <c r="E137" s="374" t="s">
        <v>2475</v>
      </c>
      <c r="F137" s="374" t="s">
        <v>2476</v>
      </c>
      <c r="G137" s="374" t="s">
        <v>2569</v>
      </c>
      <c r="H137" s="374"/>
      <c r="I137" s="374"/>
      <c r="J137" s="374"/>
      <c r="K137" s="374"/>
      <c r="L137" s="374"/>
      <c r="M137" s="374"/>
      <c r="N137" s="374"/>
      <c r="O137" s="374"/>
      <c r="P137" s="374"/>
      <c r="Q137" s="374"/>
      <c r="R137" s="374"/>
    </row>
    <row r="138" customFormat="false" ht="15.75" hidden="false" customHeight="false" outlineLevel="0" collapsed="false">
      <c r="A138" s="374" t="n">
        <v>166</v>
      </c>
      <c r="B138" s="374" t="str">
        <f aca="false" t="array" ref="B138:B138">INDEX('0.0.1 Pokémon Dex Data'!$E$3:$E1007,MATCH(A138,'0.0.1 Pokémon Dex Data'!$B$3:$B1007,0))</f>
        <v>Flareon</v>
      </c>
      <c r="C138" s="374" t="s">
        <v>2370</v>
      </c>
      <c r="D138" s="374" t="s">
        <v>2365</v>
      </c>
      <c r="E138" s="374" t="s">
        <v>2373</v>
      </c>
      <c r="F138" s="374" t="s">
        <v>2386</v>
      </c>
      <c r="G138" s="374" t="s">
        <v>2366</v>
      </c>
      <c r="H138" s="374"/>
      <c r="I138" s="374"/>
      <c r="J138" s="374"/>
      <c r="K138" s="374"/>
      <c r="L138" s="374"/>
      <c r="M138" s="374"/>
      <c r="N138" s="374"/>
      <c r="O138" s="374"/>
      <c r="P138" s="374" t="s">
        <v>2378</v>
      </c>
      <c r="Q138" s="374"/>
      <c r="R138" s="374"/>
    </row>
    <row r="139" customFormat="false" ht="15.75" hidden="false" customHeight="false" outlineLevel="0" collapsed="false">
      <c r="A139" s="374" t="n">
        <v>167</v>
      </c>
      <c r="B139" s="374" t="str">
        <f aca="false" t="array" ref="B139:B139">INDEX('0.0.1 Pokémon Dex Data'!$E$3:$E1007,MATCH(A139,'0.0.1 Pokémon Dex Data'!$B$3:$B1007,0))</f>
        <v>Porygon</v>
      </c>
      <c r="C139" s="374" t="s">
        <v>2464</v>
      </c>
      <c r="D139" s="374" t="s">
        <v>2328</v>
      </c>
      <c r="E139" s="374" t="s">
        <v>2345</v>
      </c>
      <c r="F139" s="374" t="s">
        <v>2493</v>
      </c>
      <c r="G139" s="374" t="s">
        <v>2329</v>
      </c>
      <c r="H139" s="374"/>
      <c r="I139" s="374"/>
      <c r="J139" s="374"/>
      <c r="K139" s="374"/>
      <c r="L139" s="374"/>
      <c r="M139" s="374" t="s">
        <v>2348</v>
      </c>
      <c r="N139" s="374" t="s">
        <v>2461</v>
      </c>
      <c r="O139" s="374" t="s">
        <v>2430</v>
      </c>
      <c r="P139" s="374" t="s">
        <v>2422</v>
      </c>
      <c r="Q139" s="374" t="s">
        <v>2569</v>
      </c>
      <c r="R139" s="374" t="s">
        <v>2439</v>
      </c>
    </row>
    <row r="140" customFormat="false" ht="15.75" hidden="false" customHeight="false" outlineLevel="0" collapsed="false">
      <c r="A140" s="374" t="n">
        <v>168</v>
      </c>
      <c r="B140" s="374" t="str">
        <f aca="false" t="array" ref="B140:B140">INDEX('0.0.1 Pokémon Dex Data'!$E$3:$E1007,MATCH(A140,'0.0.1 Pokémon Dex Data'!$B$3:$B1007,0))</f>
        <v>Omanyte</v>
      </c>
      <c r="C140" s="374" t="s">
        <v>2426</v>
      </c>
      <c r="D140" s="374" t="s">
        <v>2594</v>
      </c>
      <c r="E140" s="374" t="s">
        <v>2408</v>
      </c>
      <c r="F140" s="374" t="s">
        <v>2561</v>
      </c>
      <c r="G140" s="374" t="s">
        <v>2564</v>
      </c>
      <c r="H140" s="374"/>
      <c r="I140" s="374"/>
      <c r="J140" s="374"/>
      <c r="K140" s="374"/>
      <c r="L140" s="374"/>
      <c r="M140" s="374"/>
      <c r="N140" s="374"/>
      <c r="O140" s="374"/>
      <c r="P140" s="374" t="s">
        <v>2406</v>
      </c>
      <c r="Q140" s="374" t="s">
        <v>2389</v>
      </c>
      <c r="R140" s="374"/>
    </row>
    <row r="141" customFormat="false" ht="15.75" hidden="false" customHeight="false" outlineLevel="0" collapsed="false">
      <c r="A141" s="374" t="n">
        <v>169</v>
      </c>
      <c r="B141" s="374" t="str">
        <f aca="false" t="array" ref="B141:B141">INDEX('0.0.1 Pokémon Dex Data'!$E$3:$E1007,MATCH(A141,'0.0.1 Pokémon Dex Data'!$B$3:$B1007,0))</f>
        <v>Omastar</v>
      </c>
      <c r="C141" s="374" t="s">
        <v>2426</v>
      </c>
      <c r="D141" s="374" t="s">
        <v>2594</v>
      </c>
      <c r="E141" s="374" t="s">
        <v>2414</v>
      </c>
      <c r="F141" s="374" t="s">
        <v>2561</v>
      </c>
      <c r="G141" s="374" t="s">
        <v>2564</v>
      </c>
      <c r="H141" s="374"/>
      <c r="I141" s="374"/>
      <c r="J141" s="374"/>
      <c r="K141" s="374"/>
      <c r="L141" s="374"/>
      <c r="M141" s="374" t="s">
        <v>2565</v>
      </c>
      <c r="N141" s="374"/>
      <c r="O141" s="374"/>
      <c r="P141" s="374" t="s">
        <v>2388</v>
      </c>
      <c r="Q141" s="374"/>
      <c r="R141" s="374"/>
    </row>
    <row r="142" customFormat="false" ht="15.75" hidden="false" customHeight="false" outlineLevel="0" collapsed="false">
      <c r="A142" s="374" t="n">
        <v>170</v>
      </c>
      <c r="B142" s="374" t="str">
        <f aca="false" t="array" ref="B142:B142">INDEX('0.0.1 Pokémon Dex Data'!$E$3:$E1007,MATCH(A142,'0.0.1 Pokémon Dex Data'!$B$3:$B1007,0))</f>
        <v>Kabuto</v>
      </c>
      <c r="C142" s="374" t="s">
        <v>2390</v>
      </c>
      <c r="D142" s="374" t="s">
        <v>2594</v>
      </c>
      <c r="E142" s="374" t="s">
        <v>2389</v>
      </c>
      <c r="F142" s="374" t="s">
        <v>2561</v>
      </c>
      <c r="G142" s="374" t="s">
        <v>2538</v>
      </c>
      <c r="H142" s="374"/>
      <c r="I142" s="374"/>
      <c r="J142" s="374"/>
      <c r="K142" s="374"/>
      <c r="L142" s="374"/>
      <c r="M142" s="374"/>
      <c r="N142" s="374"/>
      <c r="O142" s="374"/>
      <c r="P142" s="374"/>
      <c r="Q142" s="374"/>
      <c r="R142" s="374"/>
    </row>
    <row r="143" customFormat="false" ht="15.75" hidden="false" customHeight="false" outlineLevel="0" collapsed="false">
      <c r="A143" s="374" t="n">
        <v>171</v>
      </c>
      <c r="B143" s="374" t="str">
        <f aca="false" t="array" ref="B143:B143">INDEX('0.0.1 Pokémon Dex Data'!$E$3:$E1007,MATCH(A143,'0.0.1 Pokémon Dex Data'!$B$3:$B1007,0))</f>
        <v>Kabutops</v>
      </c>
      <c r="C143" s="374" t="s">
        <v>2339</v>
      </c>
      <c r="D143" s="374" t="s">
        <v>2594</v>
      </c>
      <c r="E143" s="374" t="s">
        <v>2428</v>
      </c>
      <c r="F143" s="374" t="s">
        <v>2561</v>
      </c>
      <c r="G143" s="374" t="s">
        <v>2500</v>
      </c>
      <c r="H143" s="374"/>
      <c r="I143" s="374"/>
      <c r="J143" s="374"/>
      <c r="K143" s="374"/>
      <c r="L143" s="374"/>
      <c r="M143" s="374" t="s">
        <v>2322</v>
      </c>
      <c r="N143" s="374"/>
      <c r="O143" s="374"/>
      <c r="P143" s="374"/>
      <c r="Q143" s="374"/>
      <c r="R143" s="374"/>
    </row>
    <row r="144" customFormat="false" ht="15.75" hidden="false" customHeight="false" outlineLevel="0" collapsed="false">
      <c r="A144" s="374" t="n">
        <v>172</v>
      </c>
      <c r="B144" s="374" t="str">
        <f aca="false" t="array" ref="B144:B144">INDEX('0.0.1 Pokémon Dex Data'!$E$3:$E1007,MATCH(A144,'0.0.1 Pokémon Dex Data'!$B$3:$B1007,0))</f>
        <v>Aerodactyl</v>
      </c>
      <c r="C144" s="374" t="s">
        <v>2396</v>
      </c>
      <c r="D144" s="374" t="s">
        <v>2404</v>
      </c>
      <c r="E144" s="374" t="s">
        <v>2329</v>
      </c>
      <c r="F144" s="374" t="s">
        <v>2561</v>
      </c>
      <c r="G144" s="374" t="s">
        <v>2506</v>
      </c>
      <c r="H144" s="374"/>
      <c r="I144" s="374"/>
      <c r="J144" s="374"/>
      <c r="K144" s="374"/>
      <c r="L144" s="374"/>
      <c r="M144" s="374"/>
      <c r="N144" s="374"/>
      <c r="O144" s="374"/>
      <c r="P144" s="374"/>
      <c r="Q144" s="374"/>
      <c r="R144" s="374"/>
    </row>
    <row r="145" customFormat="false" ht="15.75" hidden="false" customHeight="false" outlineLevel="0" collapsed="false">
      <c r="A145" s="374" t="n">
        <v>174</v>
      </c>
      <c r="B145" s="374" t="str">
        <f aca="false" t="array" ref="B145:B145">INDEX('0.0.1 Pokémon Dex Data'!$E$3:$E1007,MATCH(A145,'0.0.1 Pokémon Dex Data'!$B$3:$B1007,0))</f>
        <v>Snorlax</v>
      </c>
      <c r="C145" s="374" t="s">
        <v>2588</v>
      </c>
      <c r="D145" s="374" t="s">
        <v>2430</v>
      </c>
      <c r="E145" s="374" t="s">
        <v>2563</v>
      </c>
      <c r="F145" s="374" t="s">
        <v>2329</v>
      </c>
      <c r="G145" s="374" t="s">
        <v>2317</v>
      </c>
      <c r="H145" s="374"/>
      <c r="I145" s="374"/>
      <c r="J145" s="374"/>
      <c r="K145" s="374"/>
      <c r="L145" s="374"/>
      <c r="M145" s="374"/>
      <c r="N145" s="374"/>
      <c r="O145" s="374"/>
      <c r="P145" s="374" t="s">
        <v>2312</v>
      </c>
      <c r="Q145" s="374"/>
      <c r="R145" s="374"/>
    </row>
    <row r="146" customFormat="false" ht="15.75" hidden="false" customHeight="false" outlineLevel="0" collapsed="false">
      <c r="A146" s="374" t="n">
        <v>175</v>
      </c>
      <c r="B146" s="374" t="str">
        <f aca="false" t="array" ref="B146:B146">INDEX('0.0.1 Pokémon Dex Data'!$E$3:$E1007,MATCH(A146,'0.0.1 Pokémon Dex Data'!$B$3:$B1007,0))</f>
        <v>Articuno</v>
      </c>
      <c r="C146" s="374" t="s">
        <v>2502</v>
      </c>
      <c r="D146" s="374"/>
      <c r="E146" s="374" t="s">
        <v>2405</v>
      </c>
      <c r="F146" s="374" t="s">
        <v>2415</v>
      </c>
      <c r="G146" s="374" t="s">
        <v>2417</v>
      </c>
      <c r="H146" s="374"/>
      <c r="I146" s="374"/>
      <c r="J146" s="374"/>
      <c r="K146" s="374"/>
      <c r="L146" s="374"/>
      <c r="M146" s="374"/>
      <c r="N146" s="374"/>
      <c r="O146" s="374"/>
      <c r="P146" s="374"/>
      <c r="Q146" s="374"/>
      <c r="R146" s="374"/>
    </row>
    <row r="147" customFormat="false" ht="15.75" hidden="false" customHeight="false" outlineLevel="0" collapsed="false">
      <c r="A147" s="374" t="n">
        <v>176</v>
      </c>
      <c r="B147" s="374" t="str">
        <f aca="false" t="array" ref="B147:B147">INDEX('0.0.1 Pokémon Dex Data'!$E$3:$E1007,MATCH(A147,'0.0.1 Pokémon Dex Data'!$B$3:$B1007,0))</f>
        <v>Zapdos</v>
      </c>
      <c r="C147" s="374" t="s">
        <v>2464</v>
      </c>
      <c r="D147" s="374"/>
      <c r="E147" s="374" t="s">
        <v>2475</v>
      </c>
      <c r="F147" s="374" t="s">
        <v>2493</v>
      </c>
      <c r="G147" s="374" t="s">
        <v>2476</v>
      </c>
      <c r="H147" s="374"/>
      <c r="I147" s="374"/>
      <c r="J147" s="374"/>
      <c r="K147" s="374"/>
      <c r="L147" s="374"/>
      <c r="M147" s="374" t="s">
        <v>2491</v>
      </c>
      <c r="N147" s="374"/>
      <c r="O147" s="374"/>
      <c r="P147" s="374" t="s">
        <v>2569</v>
      </c>
      <c r="Q147" s="374"/>
      <c r="R147" s="374"/>
    </row>
    <row r="148" customFormat="false" ht="15.75" hidden="false" customHeight="false" outlineLevel="0" collapsed="false">
      <c r="A148" s="374" t="n">
        <v>177</v>
      </c>
      <c r="B148" s="374" t="str">
        <f aca="false" t="array" ref="B148:B148">INDEX('0.0.1 Pokémon Dex Data'!$E$3:$E1007,MATCH(A148,'0.0.1 Pokémon Dex Data'!$B$3:$B1007,0))</f>
        <v>Moltres</v>
      </c>
      <c r="C148" s="374" t="s">
        <v>2370</v>
      </c>
      <c r="D148" s="374"/>
      <c r="E148" s="374" t="s">
        <v>2366</v>
      </c>
      <c r="F148" s="374" t="s">
        <v>2386</v>
      </c>
      <c r="G148" s="374" t="s">
        <v>2378</v>
      </c>
      <c r="H148" s="374"/>
      <c r="I148" s="374"/>
      <c r="J148" s="374"/>
      <c r="K148" s="374"/>
      <c r="L148" s="374"/>
      <c r="M148" s="374" t="s">
        <v>2365</v>
      </c>
      <c r="N148" s="374"/>
      <c r="O148" s="374"/>
      <c r="P148" s="374" t="s">
        <v>2373</v>
      </c>
      <c r="Q148" s="374"/>
      <c r="R148" s="374"/>
    </row>
    <row r="149" customFormat="false" ht="15.75" hidden="false" customHeight="false" outlineLevel="0" collapsed="false">
      <c r="A149" s="374" t="n">
        <v>178</v>
      </c>
      <c r="B149" s="374" t="str">
        <f aca="false" t="array" ref="B149:B149">INDEX('0.0.1 Pokémon Dex Data'!$E$3:$E1007,MATCH(A149,'0.0.1 Pokémon Dex Data'!$B$3:$B1007,0))</f>
        <v>Dratini</v>
      </c>
      <c r="C149" s="374" t="s">
        <v>2359</v>
      </c>
      <c r="D149" s="374" t="s">
        <v>2381</v>
      </c>
      <c r="E149" s="374" t="s">
        <v>2402</v>
      </c>
      <c r="F149" s="374" t="s">
        <v>2400</v>
      </c>
      <c r="G149" s="374" t="s">
        <v>2489</v>
      </c>
      <c r="H149" s="374"/>
      <c r="I149" s="374"/>
      <c r="J149" s="374"/>
      <c r="K149" s="374"/>
      <c r="L149" s="374"/>
      <c r="M149" s="374"/>
      <c r="N149" s="374"/>
      <c r="O149" s="374"/>
      <c r="P149" s="374"/>
      <c r="Q149" s="374"/>
      <c r="R149" s="374"/>
    </row>
    <row r="150" customFormat="false" ht="15.75" hidden="false" customHeight="false" outlineLevel="0" collapsed="false">
      <c r="A150" s="374" t="n">
        <v>179</v>
      </c>
      <c r="B150" s="374" t="str">
        <f aca="false" t="array" ref="B150:B150">INDEX('0.0.1 Pokémon Dex Data'!$E$3:$E1007,MATCH(A150,'0.0.1 Pokémon Dex Data'!$B$3:$B1007,0))</f>
        <v>Dragonair</v>
      </c>
      <c r="C150" s="374" t="s">
        <v>2359</v>
      </c>
      <c r="D150" s="374" t="s">
        <v>2381</v>
      </c>
      <c r="E150" s="374" t="s">
        <v>2402</v>
      </c>
      <c r="F150" s="374" t="s">
        <v>2361</v>
      </c>
      <c r="G150" s="374" t="s">
        <v>2489</v>
      </c>
      <c r="H150" s="374"/>
      <c r="I150" s="374"/>
      <c r="J150" s="374"/>
      <c r="K150" s="374"/>
      <c r="L150" s="374"/>
      <c r="M150" s="374"/>
      <c r="N150" s="374"/>
      <c r="O150" s="374"/>
      <c r="P150" s="374"/>
      <c r="Q150" s="374"/>
      <c r="R150" s="374"/>
    </row>
    <row r="151" customFormat="false" ht="15.75" hidden="false" customHeight="false" outlineLevel="0" collapsed="false">
      <c r="A151" s="374" t="n">
        <v>180</v>
      </c>
      <c r="B151" s="374" t="str">
        <f aca="false" t="array" ref="B151:B151">INDEX('0.0.1 Pokémon Dex Data'!$E$3:$E1007,MATCH(A151,'0.0.1 Pokémon Dex Data'!$B$3:$B1007,0))</f>
        <v>Dragonite</v>
      </c>
      <c r="C151" s="374" t="s">
        <v>2396</v>
      </c>
      <c r="D151" s="374" t="s">
        <v>2363</v>
      </c>
      <c r="E151" s="374" t="s">
        <v>2329</v>
      </c>
      <c r="F151" s="374" t="s">
        <v>2332</v>
      </c>
      <c r="G151" s="374" t="s">
        <v>2459</v>
      </c>
      <c r="H151" s="374"/>
      <c r="I151" s="374"/>
      <c r="J151" s="374"/>
      <c r="K151" s="374"/>
      <c r="L151" s="374"/>
      <c r="M151" s="374" t="s">
        <v>2359</v>
      </c>
      <c r="N151" s="374"/>
      <c r="O151" s="374"/>
      <c r="P151" s="374" t="s">
        <v>2360</v>
      </c>
      <c r="Q151" s="374" t="s">
        <v>2361</v>
      </c>
      <c r="R151" s="374" t="s">
        <v>2601</v>
      </c>
    </row>
    <row r="152" customFormat="false" ht="15.75" hidden="false" customHeight="false" outlineLevel="0" collapsed="false">
      <c r="A152" s="374" t="n">
        <v>181</v>
      </c>
      <c r="B152" s="374" t="str">
        <f aca="false" t="array" ref="B152:B152">INDEX('0.0.1 Pokémon Dex Data'!$E$3:$E1007,MATCH(A152,'0.0.1 Pokémon Dex Data'!$B$3:$B1007,0))</f>
        <v>Mewtwo</v>
      </c>
      <c r="C152" s="374" t="s">
        <v>2434</v>
      </c>
      <c r="D152" s="374" t="s">
        <v>2551</v>
      </c>
      <c r="E152" s="374" t="s">
        <v>157</v>
      </c>
      <c r="F152" s="374" t="s">
        <v>2376</v>
      </c>
      <c r="G152" s="374" t="s">
        <v>2442</v>
      </c>
      <c r="H152" s="374" t="s">
        <v>2329</v>
      </c>
      <c r="J152" s="374"/>
      <c r="K152" s="374"/>
      <c r="L152" s="374"/>
      <c r="M152" s="374"/>
      <c r="N152" s="374"/>
      <c r="O152" s="374"/>
      <c r="P152" s="374"/>
      <c r="Q152" s="374"/>
      <c r="R152" s="374"/>
    </row>
    <row r="153" customFormat="false" ht="15.75" hidden="false" customHeight="false" outlineLevel="0" collapsed="false">
      <c r="A153" s="374" t="n">
        <v>184</v>
      </c>
      <c r="B153" s="374" t="str">
        <f aca="false" t="array" ref="B153:B153">INDEX('0.0.1 Pokémon Dex Data'!$E$3:$E1007,MATCH(A153,'0.0.1 Pokémon Dex Data'!$B$3:$B1007,0))</f>
        <v>Mew</v>
      </c>
      <c r="C153" s="374" t="s">
        <v>2582</v>
      </c>
      <c r="D153" s="374"/>
      <c r="E153" s="374" t="s">
        <v>157</v>
      </c>
      <c r="F153" s="374" t="s">
        <v>2376</v>
      </c>
      <c r="G153" s="374" t="s">
        <v>2345</v>
      </c>
      <c r="H153" s="374" t="s">
        <v>2475</v>
      </c>
      <c r="I153" s="374" t="s">
        <v>2329</v>
      </c>
      <c r="J153" s="374" t="s">
        <v>2366</v>
      </c>
      <c r="K153" s="374" t="s">
        <v>2317</v>
      </c>
      <c r="L153" s="374" t="s">
        <v>2405</v>
      </c>
      <c r="M153" s="374"/>
      <c r="N153" s="374"/>
      <c r="O153" s="374"/>
      <c r="P153" s="374" t="s">
        <v>2459</v>
      </c>
      <c r="Q153" s="374" t="s">
        <v>2638</v>
      </c>
      <c r="R153" s="374" t="s">
        <v>2361</v>
      </c>
    </row>
    <row r="154" customFormat="false" ht="15.75" hidden="false" customHeight="false" outlineLevel="0" collapsed="false">
      <c r="A154" s="374" t="n">
        <v>185</v>
      </c>
      <c r="B154" s="374" t="str">
        <f aca="false" t="array" ref="B154:B154">INDEX('0.0.1 Pokémon Dex Data'!$E$3:$E1007,MATCH(A154,'0.0.1 Pokémon Dex Data'!$B$3:$B1007,0))</f>
        <v>Chikorita</v>
      </c>
      <c r="C154" s="374" t="s">
        <v>2351</v>
      </c>
      <c r="D154" s="374" t="s">
        <v>2348</v>
      </c>
      <c r="E154" s="374" t="s">
        <v>2325</v>
      </c>
      <c r="F154" s="374" t="s">
        <v>2312</v>
      </c>
      <c r="G154" s="374" t="s">
        <v>2319</v>
      </c>
      <c r="H154" s="374"/>
      <c r="I154" s="374"/>
      <c r="J154" s="374"/>
      <c r="K154" s="374"/>
      <c r="L154" s="374"/>
      <c r="M154" s="374"/>
      <c r="N154" s="374"/>
      <c r="O154" s="374"/>
      <c r="P154" s="374"/>
      <c r="Q154" s="374"/>
      <c r="R154" s="374"/>
    </row>
    <row r="155" customFormat="false" ht="15.75" hidden="false" customHeight="false" outlineLevel="0" collapsed="false">
      <c r="A155" s="374" t="n">
        <v>186</v>
      </c>
      <c r="B155" s="374" t="str">
        <f aca="false" t="array" ref="B155:B155">INDEX('0.0.1 Pokémon Dex Data'!$E$3:$E1007,MATCH(A155,'0.0.1 Pokémon Dex Data'!$B$3:$B1007,0))</f>
        <v>Bayleef</v>
      </c>
      <c r="C155" s="374" t="s">
        <v>2336</v>
      </c>
      <c r="D155" s="374" t="s">
        <v>2348</v>
      </c>
      <c r="E155" s="374" t="s">
        <v>2325</v>
      </c>
      <c r="F155" s="374" t="s">
        <v>2561</v>
      </c>
      <c r="G155" s="374" t="s">
        <v>2319</v>
      </c>
      <c r="H155" s="374"/>
      <c r="I155" s="374"/>
      <c r="J155" s="374"/>
      <c r="K155" s="374"/>
      <c r="L155" s="374"/>
      <c r="M155" s="374"/>
      <c r="N155" s="374"/>
      <c r="O155" s="374"/>
      <c r="P155" s="374"/>
      <c r="Q155" s="374"/>
      <c r="R155" s="374"/>
    </row>
    <row r="156" customFormat="false" ht="15.75" hidden="false" customHeight="false" outlineLevel="0" collapsed="false">
      <c r="A156" s="374" t="n">
        <v>187</v>
      </c>
      <c r="B156" s="374" t="str">
        <f aca="false" t="array" ref="B156:B156">INDEX('0.0.1 Pokémon Dex Data'!$E$3:$E1007,MATCH(A156,'0.0.1 Pokémon Dex Data'!$B$3:$B1007,0))</f>
        <v>Meganium</v>
      </c>
      <c r="C156" s="374" t="s">
        <v>2336</v>
      </c>
      <c r="D156" s="374" t="s">
        <v>2351</v>
      </c>
      <c r="E156" s="374" t="s">
        <v>2317</v>
      </c>
      <c r="F156" s="374" t="s">
        <v>2333</v>
      </c>
      <c r="G156" s="374" t="s">
        <v>2345</v>
      </c>
      <c r="H156" s="374"/>
      <c r="I156" s="374"/>
      <c r="J156" s="374"/>
      <c r="K156" s="374"/>
      <c r="L156" s="374"/>
      <c r="M156" s="374"/>
      <c r="N156" s="374"/>
      <c r="O156" s="374"/>
      <c r="P156" s="374"/>
      <c r="Q156" s="374"/>
      <c r="R156" s="374"/>
    </row>
    <row r="157" customFormat="false" ht="15.75" hidden="false" customHeight="false" outlineLevel="0" collapsed="false">
      <c r="A157" s="374" t="n">
        <v>188</v>
      </c>
      <c r="B157" s="374" t="str">
        <f aca="false" t="array" ref="B157:B157">INDEX('0.0.1 Pokémon Dex Data'!$E$3:$E1007,MATCH(A157,'0.0.1 Pokémon Dex Data'!$B$3:$B1007,0))</f>
        <v>Cyndaquil</v>
      </c>
      <c r="C157" s="374" t="s">
        <v>2348</v>
      </c>
      <c r="D157" s="374" t="s">
        <v>2365</v>
      </c>
      <c r="E157" s="374" t="s">
        <v>2373</v>
      </c>
      <c r="F157" s="374" t="s">
        <v>2372</v>
      </c>
      <c r="G157" s="374" t="s">
        <v>2398</v>
      </c>
      <c r="H157" s="374"/>
      <c r="I157" s="374"/>
      <c r="J157" s="374"/>
      <c r="K157" s="374"/>
      <c r="L157" s="374"/>
      <c r="M157" s="374"/>
      <c r="N157" s="374"/>
      <c r="O157" s="374"/>
      <c r="P157" s="374"/>
      <c r="Q157" s="374"/>
      <c r="R157" s="374"/>
    </row>
    <row r="158" customFormat="false" ht="15.75" hidden="false" customHeight="false" outlineLevel="0" collapsed="false">
      <c r="A158" s="374" t="n">
        <v>189</v>
      </c>
      <c r="B158" s="374" t="str">
        <f aca="false" t="array" ref="B158:B158">INDEX('0.0.1 Pokémon Dex Data'!$E$3:$E1007,MATCH(A158,'0.0.1 Pokémon Dex Data'!$B$3:$B1007,0))</f>
        <v>Quilava</v>
      </c>
      <c r="C158" s="374" t="s">
        <v>2348</v>
      </c>
      <c r="D158" s="374" t="s">
        <v>2365</v>
      </c>
      <c r="E158" s="374" t="s">
        <v>2373</v>
      </c>
      <c r="F158" s="374" t="s">
        <v>2372</v>
      </c>
      <c r="G158" s="374" t="s">
        <v>2358</v>
      </c>
      <c r="H158" s="374"/>
      <c r="I158" s="374"/>
      <c r="J158" s="374"/>
      <c r="K158" s="374"/>
      <c r="L158" s="374"/>
      <c r="M158" s="374"/>
      <c r="N158" s="374"/>
      <c r="O158" s="374"/>
      <c r="P158" s="374"/>
      <c r="Q158" s="374"/>
      <c r="R158" s="374"/>
    </row>
    <row r="159" customFormat="false" ht="15.75" hidden="false" customHeight="false" outlineLevel="0" collapsed="false">
      <c r="A159" s="374" t="n">
        <v>190</v>
      </c>
      <c r="B159" s="374" t="str">
        <f aca="false" t="array" ref="B159:B159">INDEX('0.0.1 Pokémon Dex Data'!$E$3:$E1007,MATCH(A159,'0.0.1 Pokémon Dex Data'!$B$3:$B1007,0))</f>
        <v>Typhlosion</v>
      </c>
      <c r="C159" s="374" t="s">
        <v>2392</v>
      </c>
      <c r="D159" s="374" t="s">
        <v>2365</v>
      </c>
      <c r="E159" s="374" t="s">
        <v>2366</v>
      </c>
      <c r="F159" s="374" t="s">
        <v>2386</v>
      </c>
      <c r="G159" s="374" t="s">
        <v>2345</v>
      </c>
      <c r="H159" s="374"/>
      <c r="I159" s="374"/>
      <c r="J159" s="374"/>
      <c r="K159" s="374"/>
      <c r="L159" s="374"/>
      <c r="M159" s="374"/>
      <c r="N159" s="374"/>
      <c r="O159" s="374"/>
      <c r="P159" s="374"/>
      <c r="Q159" s="374"/>
      <c r="R159" s="374"/>
    </row>
    <row r="160" customFormat="false" ht="15.75" hidden="false" customHeight="false" outlineLevel="0" collapsed="false">
      <c r="A160" s="374" t="n">
        <v>191</v>
      </c>
      <c r="B160" s="374" t="str">
        <f aca="false" t="array" ref="B160:B160">INDEX('0.0.1 Pokémon Dex Data'!$E$3:$E1007,MATCH(A160,'0.0.1 Pokémon Dex Data'!$B$3:$B1007,0))</f>
        <v>Totodile</v>
      </c>
      <c r="C160" s="374" t="s">
        <v>2390</v>
      </c>
      <c r="D160" s="374" t="s">
        <v>2426</v>
      </c>
      <c r="E160" s="374" t="s">
        <v>2466</v>
      </c>
      <c r="F160" s="374" t="s">
        <v>2428</v>
      </c>
      <c r="G160" s="374" t="s">
        <v>2538</v>
      </c>
      <c r="H160" s="374"/>
      <c r="I160" s="374"/>
      <c r="J160" s="374"/>
      <c r="K160" s="374"/>
      <c r="L160" s="374"/>
      <c r="M160" s="374"/>
      <c r="N160" s="374"/>
      <c r="O160" s="374"/>
      <c r="P160" s="374"/>
      <c r="Q160" s="374"/>
      <c r="R160" s="374"/>
    </row>
    <row r="161" customFormat="false" ht="15.75" hidden="false" customHeight="false" outlineLevel="0" collapsed="false">
      <c r="A161" s="374" t="n">
        <v>192</v>
      </c>
      <c r="B161" s="374" t="str">
        <f aca="false" t="array" ref="B161:B161">INDEX('0.0.1 Pokémon Dex Data'!$E$3:$E1007,MATCH(A161,'0.0.1 Pokémon Dex Data'!$B$3:$B1007,0))</f>
        <v>Croconaw</v>
      </c>
      <c r="C161" s="374" t="s">
        <v>2390</v>
      </c>
      <c r="D161" s="374" t="s">
        <v>2426</v>
      </c>
      <c r="E161" s="374" t="s">
        <v>2466</v>
      </c>
      <c r="F161" s="374" t="s">
        <v>2428</v>
      </c>
      <c r="G161" s="374" t="s">
        <v>2416</v>
      </c>
      <c r="H161" s="374"/>
      <c r="I161" s="374"/>
      <c r="J161" s="374"/>
      <c r="K161" s="374"/>
      <c r="L161" s="374"/>
      <c r="M161" s="374"/>
      <c r="N161" s="374"/>
      <c r="O161" s="374"/>
      <c r="P161" s="374"/>
      <c r="Q161" s="374"/>
      <c r="R161" s="374"/>
    </row>
    <row r="162" customFormat="false" ht="15.75" hidden="false" customHeight="false" outlineLevel="0" collapsed="false">
      <c r="A162" s="374" t="n">
        <v>193</v>
      </c>
      <c r="B162" s="374" t="str">
        <f aca="false" t="array" ref="B162:B162">INDEX('0.0.1 Pokémon Dex Data'!$E$3:$E1007,MATCH(A162,'0.0.1 Pokémon Dex Data'!$B$3:$B1007,0))</f>
        <v>Feraligatr</v>
      </c>
      <c r="C162" s="374" t="s">
        <v>2404</v>
      </c>
      <c r="D162" s="374" t="s">
        <v>2425</v>
      </c>
      <c r="E162" s="374" t="s">
        <v>2466</v>
      </c>
      <c r="F162" s="374" t="s">
        <v>2415</v>
      </c>
      <c r="G162" s="374" t="s">
        <v>2414</v>
      </c>
      <c r="H162" s="374"/>
      <c r="I162" s="374"/>
      <c r="J162" s="374"/>
      <c r="K162" s="374"/>
      <c r="L162" s="374"/>
      <c r="M162" s="374" t="s">
        <v>2426</v>
      </c>
      <c r="N162" s="374"/>
      <c r="O162" s="374"/>
      <c r="P162" s="374"/>
      <c r="Q162" s="374"/>
      <c r="R162" s="374"/>
    </row>
    <row r="163" customFormat="false" ht="15.75" hidden="false" customHeight="false" outlineLevel="0" collapsed="false">
      <c r="A163" s="374" t="n">
        <v>194</v>
      </c>
      <c r="B163" s="374" t="str">
        <f aca="false" t="array" ref="B163:B163">INDEX('0.0.1 Pokémon Dex Data'!$E$3:$E1007,MATCH(A163,'0.0.1 Pokémon Dex Data'!$B$3:$B1007,0))</f>
        <v>Sentret</v>
      </c>
      <c r="C163" s="374" t="s">
        <v>2461</v>
      </c>
      <c r="D163" s="374" t="s">
        <v>2390</v>
      </c>
      <c r="E163" s="374" t="s">
        <v>2325</v>
      </c>
      <c r="F163" s="374" t="s">
        <v>2356</v>
      </c>
      <c r="G163" s="374" t="s">
        <v>2358</v>
      </c>
      <c r="H163" s="374"/>
      <c r="I163" s="374"/>
      <c r="J163" s="374"/>
      <c r="K163" s="374"/>
      <c r="L163" s="374"/>
      <c r="M163" s="374"/>
      <c r="N163" s="374"/>
      <c r="O163" s="374"/>
      <c r="P163" s="374"/>
      <c r="Q163" s="374"/>
      <c r="R163" s="374"/>
    </row>
    <row r="164" customFormat="false" ht="15.75" hidden="false" customHeight="false" outlineLevel="0" collapsed="false">
      <c r="A164" s="374" t="n">
        <v>195</v>
      </c>
      <c r="B164" s="374" t="str">
        <f aca="false" t="array" ref="B164:B164">INDEX('0.0.1 Pokémon Dex Data'!$E$3:$E1007,MATCH(A164,'0.0.1 Pokémon Dex Data'!$B$3:$B1007,0))</f>
        <v>Furret</v>
      </c>
      <c r="C164" s="374" t="s">
        <v>2461</v>
      </c>
      <c r="D164" s="374" t="s">
        <v>2473</v>
      </c>
      <c r="E164" s="374" t="s">
        <v>2329</v>
      </c>
      <c r="F164" s="374" t="s">
        <v>2356</v>
      </c>
      <c r="G164" s="374" t="s">
        <v>2358</v>
      </c>
      <c r="H164" s="374"/>
      <c r="I164" s="374"/>
      <c r="J164" s="374"/>
      <c r="K164" s="374"/>
      <c r="L164" s="374"/>
      <c r="M164" s="374"/>
      <c r="N164" s="374"/>
      <c r="O164" s="374"/>
      <c r="P164" s="374"/>
      <c r="Q164" s="374"/>
      <c r="R164" s="374"/>
    </row>
    <row r="165" customFormat="false" ht="15.75" hidden="false" customHeight="false" outlineLevel="0" collapsed="false">
      <c r="A165" s="374" t="n">
        <v>196</v>
      </c>
      <c r="B165" s="374" t="str">
        <f aca="false" t="array" ref="B165:B165">INDEX('0.0.1 Pokémon Dex Data'!$E$3:$E1007,MATCH(A165,'0.0.1 Pokémon Dex Data'!$B$3:$B1007,0))</f>
        <v>Hoothoot</v>
      </c>
      <c r="C165" s="374" t="s">
        <v>2480</v>
      </c>
      <c r="D165" s="374" t="s">
        <v>2535</v>
      </c>
      <c r="E165" s="374" t="s">
        <v>2462</v>
      </c>
      <c r="F165" s="374" t="s">
        <v>2589</v>
      </c>
      <c r="G165" s="374" t="s">
        <v>2352</v>
      </c>
      <c r="H165" s="374"/>
      <c r="I165" s="374"/>
      <c r="J165" s="374"/>
      <c r="K165" s="374"/>
      <c r="L165" s="374"/>
      <c r="M165" s="374"/>
      <c r="N165" s="374"/>
      <c r="O165" s="374"/>
      <c r="P165" s="374"/>
      <c r="Q165" s="374"/>
      <c r="R165" s="374"/>
    </row>
    <row r="166" customFormat="false" ht="15.75" hidden="false" customHeight="false" outlineLevel="0" collapsed="false">
      <c r="A166" s="374" t="n">
        <v>197</v>
      </c>
      <c r="B166" s="374" t="str">
        <f aca="false" t="array" ref="B166:B166">INDEX('0.0.1 Pokémon Dex Data'!$E$3:$E1007,MATCH(A166,'0.0.1 Pokémon Dex Data'!$B$3:$B1007,0))</f>
        <v>Noctowl</v>
      </c>
      <c r="C166" s="374" t="s">
        <v>2632</v>
      </c>
      <c r="D166" s="374" t="s">
        <v>2401</v>
      </c>
      <c r="E166" s="374" t="s">
        <v>157</v>
      </c>
      <c r="F166" s="374" t="s">
        <v>2589</v>
      </c>
      <c r="G166" s="374" t="s">
        <v>2462</v>
      </c>
      <c r="H166" s="374"/>
      <c r="I166" s="374"/>
      <c r="J166" s="374"/>
      <c r="K166" s="374"/>
      <c r="L166" s="374"/>
      <c r="M166" s="374"/>
      <c r="N166" s="374"/>
      <c r="O166" s="374"/>
      <c r="P166" s="374"/>
      <c r="Q166" s="374"/>
      <c r="R166" s="374"/>
    </row>
    <row r="167" customFormat="false" ht="15.75" hidden="false" customHeight="false" outlineLevel="0" collapsed="false">
      <c r="A167" s="374" t="n">
        <v>198</v>
      </c>
      <c r="B167" s="374" t="str">
        <f aca="false" t="array" ref="B167:B167">INDEX('0.0.1 Pokémon Dex Data'!$E$3:$E1007,MATCH(A167,'0.0.1 Pokémon Dex Data'!$B$3:$B1007,0))</f>
        <v>Ledyba</v>
      </c>
      <c r="C167" s="374" t="s">
        <v>2432</v>
      </c>
      <c r="D167" s="374" t="s">
        <v>2348</v>
      </c>
      <c r="E167" s="374" t="s">
        <v>2352</v>
      </c>
      <c r="F167" s="374" t="s">
        <v>2443</v>
      </c>
      <c r="G167" s="374" t="s">
        <v>2398</v>
      </c>
      <c r="H167" s="374"/>
      <c r="I167" s="374"/>
      <c r="J167" s="374"/>
      <c r="K167" s="374"/>
      <c r="L167" s="374"/>
      <c r="M167" s="374"/>
      <c r="N167" s="374"/>
      <c r="O167" s="374"/>
      <c r="P167" s="374"/>
      <c r="Q167" s="374"/>
      <c r="R167" s="374"/>
    </row>
    <row r="168" customFormat="false" ht="15.75" hidden="false" customHeight="false" outlineLevel="0" collapsed="false">
      <c r="A168" s="374" t="n">
        <v>199</v>
      </c>
      <c r="B168" s="374" t="str">
        <f aca="false" t="array" ref="B168:B168">INDEX('0.0.1 Pokémon Dex Data'!$E$3:$E1007,MATCH(A168,'0.0.1 Pokémon Dex Data'!$B$3:$B1007,0))</f>
        <v>Ledian</v>
      </c>
      <c r="C168" s="374" t="s">
        <v>2432</v>
      </c>
      <c r="D168" s="374" t="s">
        <v>2444</v>
      </c>
      <c r="E168" s="374" t="s">
        <v>2352</v>
      </c>
      <c r="F168" s="374" t="s">
        <v>2443</v>
      </c>
      <c r="G168" s="374" t="s">
        <v>2433</v>
      </c>
      <c r="H168" s="374"/>
      <c r="I168" s="374"/>
      <c r="J168" s="374"/>
      <c r="K168" s="374"/>
      <c r="L168" s="374"/>
      <c r="M168" s="374"/>
      <c r="N168" s="374"/>
      <c r="O168" s="374"/>
      <c r="P168" s="374"/>
      <c r="Q168" s="374"/>
      <c r="R168" s="374"/>
    </row>
    <row r="169" customFormat="false" ht="15.75" hidden="false" customHeight="false" outlineLevel="0" collapsed="false">
      <c r="A169" s="374" t="n">
        <v>200</v>
      </c>
      <c r="B169" s="374" t="str">
        <f aca="false" t="array" ref="B169:B169">INDEX('0.0.1 Pokémon Dex Data'!$E$3:$E1007,MATCH(A169,'0.0.1 Pokémon Dex Data'!$B$3:$B1007,0))</f>
        <v>Spinarak</v>
      </c>
      <c r="C169" s="374" t="s">
        <v>2432</v>
      </c>
      <c r="D169" s="374" t="s">
        <v>2487</v>
      </c>
      <c r="E169" s="374" t="s">
        <v>2530</v>
      </c>
      <c r="F169" s="374" t="s">
        <v>2531</v>
      </c>
      <c r="G169" s="374" t="s">
        <v>2422</v>
      </c>
      <c r="H169" s="374"/>
      <c r="I169" s="374"/>
      <c r="J169" s="374"/>
      <c r="K169" s="374"/>
      <c r="L169" s="374"/>
      <c r="M169" s="374"/>
      <c r="N169" s="374"/>
      <c r="O169" s="374"/>
      <c r="P169" s="374"/>
      <c r="Q169" s="374"/>
      <c r="R169" s="374"/>
    </row>
    <row r="170" customFormat="false" ht="15.75" hidden="false" customHeight="false" outlineLevel="0" collapsed="false">
      <c r="A170" s="374" t="n">
        <v>201</v>
      </c>
      <c r="B170" s="374" t="str">
        <f aca="false" t="array" ref="B170:B170">INDEX('0.0.1 Pokémon Dex Data'!$E$3:$E1007,MATCH(A170,'0.0.1 Pokémon Dex Data'!$B$3:$B1007,0))</f>
        <v>Ariados</v>
      </c>
      <c r="C170" s="374" t="s">
        <v>2438</v>
      </c>
      <c r="D170" s="374" t="s">
        <v>2487</v>
      </c>
      <c r="E170" s="374" t="s">
        <v>2530</v>
      </c>
      <c r="F170" s="374" t="s">
        <v>2639</v>
      </c>
      <c r="G170" s="374" t="s">
        <v>2513</v>
      </c>
      <c r="H170" s="374"/>
      <c r="I170" s="374"/>
      <c r="J170" s="374"/>
      <c r="K170" s="374"/>
      <c r="L170" s="374"/>
      <c r="M170" s="374"/>
      <c r="N170" s="374"/>
      <c r="O170" s="374"/>
      <c r="P170" s="374"/>
      <c r="Q170" s="374"/>
      <c r="R170" s="374"/>
    </row>
    <row r="171" customFormat="false" ht="15.75" hidden="false" customHeight="false" outlineLevel="0" collapsed="false">
      <c r="A171" s="374" t="n">
        <v>202</v>
      </c>
      <c r="B171" s="374" t="str">
        <f aca="false" t="array" ref="B171:B171">INDEX('0.0.1 Pokémon Dex Data'!$E$3:$E1007,MATCH(A171,'0.0.1 Pokémon Dex Data'!$B$3:$B1007,0))</f>
        <v>Crobat</v>
      </c>
      <c r="C171" s="374" t="s">
        <v>2404</v>
      </c>
      <c r="D171" s="374" t="s">
        <v>2354</v>
      </c>
      <c r="E171" s="374" t="s">
        <v>2343</v>
      </c>
      <c r="F171" s="374" t="s">
        <v>2353</v>
      </c>
      <c r="G171" s="374" t="s">
        <v>2442</v>
      </c>
      <c r="H171" s="374"/>
      <c r="I171" s="374"/>
      <c r="J171" s="374"/>
      <c r="K171" s="374"/>
      <c r="L171" s="374"/>
      <c r="M171" s="374"/>
      <c r="N171" s="374"/>
      <c r="O171" s="374"/>
      <c r="P171" s="374"/>
      <c r="Q171" s="374"/>
      <c r="R171" s="374"/>
    </row>
    <row r="172" customFormat="false" ht="15.75" hidden="false" customHeight="false" outlineLevel="0" collapsed="false">
      <c r="A172" s="374" t="n">
        <v>203</v>
      </c>
      <c r="B172" s="374" t="str">
        <f aca="false" t="array" ref="B172:B172">INDEX('0.0.1 Pokémon Dex Data'!$E$3:$E1007,MATCH(A172,'0.0.1 Pokémon Dex Data'!$B$3:$B1007,0))</f>
        <v>Chinchou</v>
      </c>
      <c r="C172" s="374" t="s">
        <v>2407</v>
      </c>
      <c r="D172" s="374" t="s">
        <v>2570</v>
      </c>
      <c r="E172" s="374" t="s">
        <v>2408</v>
      </c>
      <c r="F172" s="374" t="s">
        <v>2476</v>
      </c>
      <c r="G172" s="374" t="s">
        <v>2428</v>
      </c>
      <c r="H172" s="374"/>
      <c r="I172" s="374"/>
      <c r="J172" s="374"/>
      <c r="K172" s="374"/>
      <c r="L172" s="374"/>
      <c r="M172" s="374"/>
      <c r="N172" s="374"/>
      <c r="O172" s="374"/>
      <c r="P172" s="374"/>
      <c r="Q172" s="374"/>
      <c r="R172" s="374"/>
    </row>
    <row r="173" customFormat="false" ht="15.75" hidden="false" customHeight="false" outlineLevel="0" collapsed="false">
      <c r="A173" s="374" t="n">
        <v>204</v>
      </c>
      <c r="B173" s="374" t="str">
        <f aca="false" t="array" ref="B173:B173">INDEX('0.0.1 Pokémon Dex Data'!$E$3:$E1007,MATCH(A173,'0.0.1 Pokémon Dex Data'!$B$3:$B1007,0))</f>
        <v>Lanturn</v>
      </c>
      <c r="C173" s="374" t="s">
        <v>2426</v>
      </c>
      <c r="D173" s="374" t="s">
        <v>2464</v>
      </c>
      <c r="E173" s="374" t="s">
        <v>2414</v>
      </c>
      <c r="F173" s="374" t="s">
        <v>2476</v>
      </c>
      <c r="G173" s="374" t="s">
        <v>2475</v>
      </c>
      <c r="H173" s="374"/>
      <c r="I173" s="374"/>
      <c r="J173" s="374"/>
      <c r="K173" s="374"/>
      <c r="L173" s="374"/>
      <c r="M173" s="374"/>
      <c r="N173" s="374"/>
      <c r="O173" s="374"/>
      <c r="P173" s="374"/>
      <c r="Q173" s="374"/>
      <c r="R173" s="374"/>
    </row>
    <row r="174" customFormat="false" ht="15.75" hidden="false" customHeight="false" outlineLevel="0" collapsed="false">
      <c r="A174" s="374" t="n">
        <v>205</v>
      </c>
      <c r="B174" s="374" t="str">
        <f aca="false" t="array" ref="B174:B174">INDEX('0.0.1 Pokémon Dex Data'!$E$3:$E1007,MATCH(A174,'0.0.1 Pokémon Dex Data'!$B$3:$B1007,0))</f>
        <v>Pichu</v>
      </c>
      <c r="C174" s="374" t="s">
        <v>2491</v>
      </c>
      <c r="D174" s="374"/>
      <c r="E174" s="374" t="s">
        <v>2518</v>
      </c>
      <c r="F174" s="374" t="s">
        <v>2476</v>
      </c>
      <c r="G174" s="374" t="s">
        <v>2399</v>
      </c>
      <c r="H174" s="374"/>
      <c r="I174" s="374"/>
      <c r="J174" s="374"/>
      <c r="K174" s="374"/>
      <c r="L174" s="374"/>
      <c r="M174" s="374" t="s">
        <v>2461</v>
      </c>
      <c r="N174" s="374"/>
      <c r="O174" s="374"/>
      <c r="P174" s="374"/>
      <c r="Q174" s="374"/>
      <c r="R174" s="374"/>
    </row>
    <row r="175" customFormat="false" ht="15.75" hidden="false" customHeight="false" outlineLevel="0" collapsed="false">
      <c r="A175" s="374" t="n">
        <v>206</v>
      </c>
      <c r="B175" s="374" t="str">
        <f aca="false" t="array" ref="B175:B175">INDEX('0.0.1 Pokémon Dex Data'!$E$3:$E1007,MATCH(A175,'0.0.1 Pokémon Dex Data'!$B$3:$B1007,0))</f>
        <v>Cleffa</v>
      </c>
      <c r="C175" s="374" t="s">
        <v>2582</v>
      </c>
      <c r="D175" s="374" t="s">
        <v>2430</v>
      </c>
      <c r="E175" s="374" t="s">
        <v>2325</v>
      </c>
      <c r="F175" s="374" t="s">
        <v>2495</v>
      </c>
      <c r="G175" s="374" t="s">
        <v>2422</v>
      </c>
      <c r="H175" s="374"/>
      <c r="I175" s="374"/>
      <c r="J175" s="374"/>
      <c r="K175" s="374"/>
      <c r="L175" s="374"/>
      <c r="M175" s="374"/>
      <c r="N175" s="374"/>
      <c r="O175" s="374"/>
      <c r="P175" s="374" t="s">
        <v>157</v>
      </c>
      <c r="Q175" s="374" t="s">
        <v>2312</v>
      </c>
      <c r="R175" s="374"/>
    </row>
    <row r="176" customFormat="false" ht="15.75" hidden="false" customHeight="false" outlineLevel="0" collapsed="false">
      <c r="A176" s="374" t="n">
        <v>207</v>
      </c>
      <c r="B176" s="374" t="str">
        <f aca="false" t="array" ref="B176:B176">INDEX('0.0.1 Pokémon Dex Data'!$E$3:$E1007,MATCH(A176,'0.0.1 Pokémon Dex Data'!$B$3:$B1007,0))</f>
        <v>Igglybuff</v>
      </c>
      <c r="C176" s="374" t="s">
        <v>2582</v>
      </c>
      <c r="D176" s="374" t="s">
        <v>2535</v>
      </c>
      <c r="E176" s="374" t="s">
        <v>157</v>
      </c>
      <c r="F176" s="374" t="s">
        <v>2477</v>
      </c>
      <c r="G176" s="374" t="s">
        <v>2442</v>
      </c>
      <c r="H176" s="374"/>
      <c r="I176" s="374"/>
      <c r="J176" s="374"/>
      <c r="K176" s="374"/>
      <c r="L176" s="374"/>
      <c r="M176" s="374"/>
      <c r="N176" s="374"/>
      <c r="O176" s="374"/>
      <c r="P176" s="374" t="s">
        <v>2312</v>
      </c>
      <c r="Q176" s="374"/>
      <c r="R176" s="374"/>
    </row>
    <row r="177" customFormat="false" ht="15.75" hidden="false" customHeight="false" outlineLevel="0" collapsed="false">
      <c r="A177" s="374" t="n">
        <v>208</v>
      </c>
      <c r="B177" s="374" t="str">
        <f aca="false" t="array" ref="B177:B177">INDEX('0.0.1 Pokémon Dex Data'!$E$3:$E1007,MATCH(A177,'0.0.1 Pokémon Dex Data'!$B$3:$B1007,0))</f>
        <v>Togepi</v>
      </c>
      <c r="C177" s="374" t="s">
        <v>2480</v>
      </c>
      <c r="D177" s="374" t="s">
        <v>2328</v>
      </c>
      <c r="E177" s="374" t="s">
        <v>2517</v>
      </c>
      <c r="F177" s="374" t="s">
        <v>2495</v>
      </c>
      <c r="G177" s="374" t="s">
        <v>2561</v>
      </c>
      <c r="H177" s="374"/>
      <c r="I177" s="374"/>
      <c r="J177" s="374"/>
      <c r="K177" s="374"/>
      <c r="L177" s="374"/>
      <c r="M177" s="374" t="s">
        <v>2430</v>
      </c>
      <c r="N177" s="374"/>
      <c r="O177" s="374"/>
      <c r="P177" s="374"/>
      <c r="Q177" s="374"/>
      <c r="R177" s="374"/>
    </row>
    <row r="178" customFormat="false" ht="15.75" hidden="false" customHeight="false" outlineLevel="0" collapsed="false">
      <c r="A178" s="374" t="n">
        <v>209</v>
      </c>
      <c r="B178" s="374" t="str">
        <f aca="false" t="array" ref="B178:B178">INDEX('0.0.1 Pokémon Dex Data'!$E$3:$E1007,MATCH(A178,'0.0.1 Pokémon Dex Data'!$B$3:$B1007,0))</f>
        <v>Togetic</v>
      </c>
      <c r="C178" s="374" t="s">
        <v>2632</v>
      </c>
      <c r="D178" s="374" t="s">
        <v>2328</v>
      </c>
      <c r="E178" s="374" t="s">
        <v>2517</v>
      </c>
      <c r="F178" s="374" t="s">
        <v>2561</v>
      </c>
      <c r="G178" s="374" t="s">
        <v>2352</v>
      </c>
      <c r="H178" s="374"/>
      <c r="I178" s="374"/>
      <c r="J178" s="374"/>
      <c r="K178" s="374"/>
      <c r="L178" s="374"/>
      <c r="M178" s="374" t="s">
        <v>2396</v>
      </c>
      <c r="N178" s="374" t="s">
        <v>2430</v>
      </c>
      <c r="O178" s="374"/>
      <c r="P178" s="374"/>
      <c r="Q178" s="374"/>
      <c r="R178" s="374"/>
    </row>
    <row r="179" customFormat="false" ht="15.75" hidden="false" customHeight="false" outlineLevel="0" collapsed="false">
      <c r="A179" s="374" t="n">
        <v>210</v>
      </c>
      <c r="B179" s="374" t="str">
        <f aca="false" t="array" ref="B179:B179">INDEX('0.0.1 Pokémon Dex Data'!$E$3:$E1007,MATCH(A179,'0.0.1 Pokémon Dex Data'!$B$3:$B1007,0))</f>
        <v>Natu</v>
      </c>
      <c r="C179" s="374" t="s">
        <v>2461</v>
      </c>
      <c r="D179" s="374" t="s">
        <v>2480</v>
      </c>
      <c r="E179" s="374" t="s">
        <v>2479</v>
      </c>
      <c r="F179" s="374" t="s">
        <v>2495</v>
      </c>
      <c r="G179" s="374" t="s">
        <v>2589</v>
      </c>
      <c r="H179" s="374"/>
      <c r="I179" s="374"/>
      <c r="J179" s="374"/>
      <c r="K179" s="374"/>
      <c r="L179" s="374"/>
      <c r="M179" s="374"/>
      <c r="N179" s="374"/>
      <c r="O179" s="374"/>
      <c r="P179" s="374"/>
      <c r="Q179" s="374"/>
      <c r="R179" s="374"/>
    </row>
    <row r="180" customFormat="false" ht="15.75" hidden="false" customHeight="false" outlineLevel="0" collapsed="false">
      <c r="A180" s="374" t="n">
        <v>211</v>
      </c>
      <c r="B180" s="374" t="str">
        <f aca="false" t="array" ref="B180:B180">INDEX('0.0.1 Pokémon Dex Data'!$E$3:$E1007,MATCH(A180,'0.0.1 Pokémon Dex Data'!$B$3:$B1007,0))</f>
        <v>Xatu</v>
      </c>
      <c r="C180" s="374" t="s">
        <v>2354</v>
      </c>
      <c r="D180" s="374" t="s">
        <v>2535</v>
      </c>
      <c r="E180" s="374" t="s">
        <v>2385</v>
      </c>
      <c r="F180" s="374" t="s">
        <v>2550</v>
      </c>
      <c r="G180" s="374" t="s">
        <v>2352</v>
      </c>
      <c r="H180" s="374"/>
      <c r="I180" s="374"/>
      <c r="J180" s="374"/>
      <c r="K180" s="374"/>
      <c r="L180" s="374"/>
      <c r="M180" s="374"/>
      <c r="N180" s="374"/>
      <c r="O180" s="374"/>
      <c r="P180" s="374"/>
      <c r="Q180" s="374"/>
      <c r="R180" s="374"/>
    </row>
    <row r="181" customFormat="false" ht="15.75" hidden="false" customHeight="false" outlineLevel="0" collapsed="false">
      <c r="A181" s="374" t="n">
        <v>212</v>
      </c>
      <c r="B181" s="374" t="str">
        <f aca="false" t="array" ref="B181:B181">INDEX('0.0.1 Pokémon Dex Data'!$E$3:$E1007,MATCH(A181,'0.0.1 Pokémon Dex Data'!$B$3:$B1007,0))</f>
        <v>Mareep</v>
      </c>
      <c r="C181" s="374" t="s">
        <v>2348</v>
      </c>
      <c r="D181" s="374" t="s">
        <v>2491</v>
      </c>
      <c r="E181" s="374" t="s">
        <v>2569</v>
      </c>
      <c r="F181" s="374" t="s">
        <v>2476</v>
      </c>
      <c r="G181" s="374" t="s">
        <v>2312</v>
      </c>
      <c r="H181" s="374"/>
      <c r="I181" s="374"/>
      <c r="J181" s="374"/>
      <c r="K181" s="374"/>
      <c r="L181" s="374"/>
      <c r="M181" s="374"/>
      <c r="N181" s="374"/>
      <c r="O181" s="374"/>
      <c r="P181" s="374"/>
      <c r="Q181" s="374"/>
      <c r="R181" s="374"/>
    </row>
    <row r="182" customFormat="false" ht="15.75" hidden="false" customHeight="false" outlineLevel="0" collapsed="false">
      <c r="A182" s="374" t="n">
        <v>213</v>
      </c>
      <c r="B182" s="374" t="str">
        <f aca="false" t="array" ref="B182:B182">INDEX('0.0.1 Pokémon Dex Data'!$E$3:$E1007,MATCH(A182,'0.0.1 Pokémon Dex Data'!$B$3:$B1007,0))</f>
        <v>Flaaffy</v>
      </c>
      <c r="C182" s="374" t="s">
        <v>2348</v>
      </c>
      <c r="D182" s="374" t="s">
        <v>2464</v>
      </c>
      <c r="E182" s="374" t="s">
        <v>2569</v>
      </c>
      <c r="F182" s="374" t="s">
        <v>2476</v>
      </c>
      <c r="G182" s="374" t="s">
        <v>2536</v>
      </c>
      <c r="H182" s="374"/>
      <c r="I182" s="374"/>
      <c r="J182" s="374"/>
      <c r="K182" s="374"/>
      <c r="L182" s="374"/>
      <c r="M182" s="374"/>
      <c r="N182" s="374"/>
      <c r="O182" s="374"/>
      <c r="P182" s="374"/>
      <c r="Q182" s="374"/>
      <c r="R182" s="374"/>
    </row>
    <row r="183" customFormat="false" ht="15.75" hidden="false" customHeight="false" outlineLevel="0" collapsed="false">
      <c r="A183" s="374" t="n">
        <v>214</v>
      </c>
      <c r="B183" s="374" t="str">
        <f aca="false" t="array" ref="B183:B183">INDEX('0.0.1 Pokémon Dex Data'!$E$3:$E1007,MATCH(A183,'0.0.1 Pokémon Dex Data'!$B$3:$B1007,0))</f>
        <v>Ampharos</v>
      </c>
      <c r="C183" s="374" t="s">
        <v>2492</v>
      </c>
      <c r="D183" s="374" t="s">
        <v>2464</v>
      </c>
      <c r="E183" s="374" t="s">
        <v>2475</v>
      </c>
      <c r="F183" s="374" t="s">
        <v>2493</v>
      </c>
      <c r="G183" s="374" t="s">
        <v>2376</v>
      </c>
      <c r="H183" s="374"/>
      <c r="I183" s="374"/>
      <c r="J183" s="374"/>
      <c r="K183" s="374"/>
      <c r="L183" s="374"/>
      <c r="M183" s="374"/>
      <c r="N183" s="374"/>
      <c r="O183" s="374"/>
      <c r="P183" s="374"/>
      <c r="Q183" s="374"/>
      <c r="R183" s="374"/>
    </row>
    <row r="184" customFormat="false" ht="15.75" hidden="false" customHeight="false" outlineLevel="0" collapsed="false">
      <c r="A184" s="374" t="n">
        <v>216</v>
      </c>
      <c r="B184" s="374" t="str">
        <f aca="false" t="array" ref="B184:B184">INDEX('0.0.1 Pokémon Dex Data'!$E$3:$E1007,MATCH(A184,'0.0.1 Pokémon Dex Data'!$B$3:$B1007,0))</f>
        <v>Bellossom</v>
      </c>
      <c r="C184" s="374" t="s">
        <v>2481</v>
      </c>
      <c r="D184" s="374" t="s">
        <v>2336</v>
      </c>
      <c r="E184" s="374" t="s">
        <v>2517</v>
      </c>
      <c r="F184" s="374" t="s">
        <v>2333</v>
      </c>
      <c r="G184" s="374" t="s">
        <v>2556</v>
      </c>
      <c r="H184" s="374"/>
      <c r="I184" s="374"/>
      <c r="J184" s="374"/>
      <c r="K184" s="374"/>
      <c r="L184" s="374"/>
      <c r="M184" s="374"/>
      <c r="N184" s="374"/>
      <c r="O184" s="374"/>
      <c r="P184" s="374"/>
      <c r="Q184" s="374"/>
      <c r="R184" s="374"/>
    </row>
    <row r="185" customFormat="false" ht="15.75" hidden="false" customHeight="false" outlineLevel="0" collapsed="false">
      <c r="A185" s="374" t="n">
        <v>217</v>
      </c>
      <c r="B185" s="374" t="str">
        <f aca="false" t="array" ref="B185:B185">INDEX('0.0.1 Pokémon Dex Data'!$E$3:$E1007,MATCH(A185,'0.0.1 Pokémon Dex Data'!$B$3:$B1007,0))</f>
        <v>Marill</v>
      </c>
      <c r="C185" s="374" t="s">
        <v>2407</v>
      </c>
      <c r="D185" s="374" t="s">
        <v>2348</v>
      </c>
      <c r="E185" s="374" t="s">
        <v>2402</v>
      </c>
      <c r="F185" s="374" t="s">
        <v>2312</v>
      </c>
      <c r="G185" s="374" t="s">
        <v>2408</v>
      </c>
      <c r="H185" s="374"/>
      <c r="I185" s="374"/>
      <c r="J185" s="374"/>
      <c r="K185" s="374"/>
      <c r="L185" s="374"/>
      <c r="M185" s="374"/>
      <c r="N185" s="374"/>
      <c r="O185" s="374"/>
      <c r="P185" s="374"/>
      <c r="Q185" s="374"/>
      <c r="R185" s="374"/>
    </row>
    <row r="186" customFormat="false" ht="15.75" hidden="false" customHeight="false" outlineLevel="0" collapsed="false">
      <c r="A186" s="374" t="n">
        <v>218</v>
      </c>
      <c r="B186" s="374" t="str">
        <f aca="false" t="array" ref="B186:B186">INDEX('0.0.1 Pokémon Dex Data'!$E$3:$E1007,MATCH(A186,'0.0.1 Pokémon Dex Data'!$B$3:$B1007,0))</f>
        <v>Azumarill</v>
      </c>
      <c r="C186" s="374" t="s">
        <v>2407</v>
      </c>
      <c r="D186" s="374" t="s">
        <v>2339</v>
      </c>
      <c r="E186" s="374" t="s">
        <v>2414</v>
      </c>
      <c r="F186" s="374" t="s">
        <v>2415</v>
      </c>
      <c r="G186" s="374" t="s">
        <v>2526</v>
      </c>
      <c r="H186" s="374"/>
      <c r="I186" s="374"/>
      <c r="J186" s="374"/>
      <c r="K186" s="374"/>
      <c r="L186" s="374"/>
      <c r="M186" s="374"/>
      <c r="N186" s="374"/>
      <c r="O186" s="374"/>
      <c r="P186" s="374"/>
      <c r="Q186" s="374"/>
      <c r="R186" s="374"/>
    </row>
    <row r="187" customFormat="false" ht="15.75" hidden="false" customHeight="false" outlineLevel="0" collapsed="false">
      <c r="A187" s="374" t="n">
        <v>219</v>
      </c>
      <c r="B187" s="374" t="str">
        <f aca="false" t="array" ref="B187:B187">INDEX('0.0.1 Pokémon Dex Data'!$E$3:$E1007,MATCH(A187,'0.0.1 Pokémon Dex Data'!$B$3:$B1007,0))</f>
        <v>Sudowoodo</v>
      </c>
      <c r="C187" s="374" t="s">
        <v>2565</v>
      </c>
      <c r="D187" s="374" t="s">
        <v>138</v>
      </c>
      <c r="E187" s="374" t="s">
        <v>2317</v>
      </c>
      <c r="F187" s="374" t="s">
        <v>2388</v>
      </c>
      <c r="G187" s="374" t="s">
        <v>2500</v>
      </c>
      <c r="H187" s="374"/>
      <c r="I187" s="374"/>
      <c r="J187" s="374"/>
      <c r="K187" s="374"/>
      <c r="L187" s="374"/>
      <c r="M187" s="374"/>
      <c r="N187" s="374"/>
      <c r="O187" s="374"/>
      <c r="P187" s="374"/>
      <c r="Q187" s="374"/>
      <c r="R187" s="374"/>
    </row>
    <row r="188" customFormat="false" ht="15.75" hidden="false" customHeight="false" outlineLevel="0" collapsed="false">
      <c r="A188" s="374" t="n">
        <v>220</v>
      </c>
      <c r="B188" s="374" t="str">
        <f aca="false" t="array" ref="B188:B188">INDEX('0.0.1 Pokémon Dex Data'!$E$3:$E1007,MATCH(A188,'0.0.1 Pokémon Dex Data'!$B$3:$B1007,0))</f>
        <v>Politoed</v>
      </c>
      <c r="C188" s="374" t="s">
        <v>2407</v>
      </c>
      <c r="D188" s="374" t="s">
        <v>2594</v>
      </c>
      <c r="E188" s="374" t="s">
        <v>2414</v>
      </c>
      <c r="F188" s="374" t="s">
        <v>2405</v>
      </c>
      <c r="G188" s="374" t="s">
        <v>2424</v>
      </c>
      <c r="H188" s="374"/>
      <c r="I188" s="374"/>
      <c r="J188" s="374"/>
      <c r="K188" s="374"/>
      <c r="L188" s="374"/>
      <c r="M188" s="374"/>
      <c r="N188" s="374"/>
      <c r="O188" s="374"/>
      <c r="P188" s="374" t="s">
        <v>2317</v>
      </c>
      <c r="Q188" s="374"/>
      <c r="R188" s="374"/>
    </row>
    <row r="189" customFormat="false" ht="15.75" hidden="false" customHeight="false" outlineLevel="0" collapsed="false">
      <c r="A189" s="374" t="n">
        <v>221</v>
      </c>
      <c r="B189" s="374" t="str">
        <f aca="false" t="array" ref="B189:B189">INDEX('0.0.1 Pokémon Dex Data'!$E$3:$E1007,MATCH(A189,'0.0.1 Pokémon Dex Data'!$B$3:$B1007,0))</f>
        <v>Hoppip</v>
      </c>
      <c r="C189" s="374" t="s">
        <v>2348</v>
      </c>
      <c r="D189" s="374" t="s">
        <v>2314</v>
      </c>
      <c r="E189" s="374" t="s">
        <v>2325</v>
      </c>
      <c r="F189" s="374" t="s">
        <v>2517</v>
      </c>
      <c r="G189" s="374" t="s">
        <v>2342</v>
      </c>
      <c r="H189" s="374"/>
      <c r="I189" s="374"/>
      <c r="J189" s="374"/>
      <c r="K189" s="374"/>
      <c r="L189" s="374"/>
      <c r="M189" s="374"/>
      <c r="N189" s="374"/>
      <c r="O189" s="374"/>
      <c r="P189" s="374"/>
      <c r="Q189" s="374"/>
      <c r="R189" s="374"/>
    </row>
    <row r="190" customFormat="false" ht="15.75" hidden="false" customHeight="false" outlineLevel="0" collapsed="false">
      <c r="A190" s="374" t="n">
        <v>222</v>
      </c>
      <c r="B190" s="374" t="str">
        <f aca="false" t="array" ref="B190:B190">INDEX('0.0.1 Pokémon Dex Data'!$E$3:$E1007,MATCH(A190,'0.0.1 Pokémon Dex Data'!$B$3:$B1007,0))</f>
        <v>Skiploom</v>
      </c>
      <c r="C190" s="374" t="s">
        <v>2348</v>
      </c>
      <c r="D190" s="374" t="s">
        <v>2314</v>
      </c>
      <c r="E190" s="374" t="s">
        <v>2325</v>
      </c>
      <c r="F190" s="374" t="s">
        <v>2517</v>
      </c>
      <c r="G190" s="374" t="s">
        <v>2319</v>
      </c>
      <c r="H190" s="374"/>
      <c r="I190" s="374"/>
      <c r="J190" s="374"/>
      <c r="K190" s="374"/>
      <c r="L190" s="374"/>
      <c r="M190" s="374"/>
      <c r="N190" s="374"/>
      <c r="O190" s="374"/>
      <c r="P190" s="374"/>
      <c r="Q190" s="374"/>
      <c r="R190" s="374"/>
    </row>
    <row r="191" customFormat="false" ht="15.75" hidden="false" customHeight="false" outlineLevel="0" collapsed="false">
      <c r="A191" s="374" t="n">
        <v>223</v>
      </c>
      <c r="B191" s="374" t="str">
        <f aca="false" t="array" ref="B191:B191">INDEX('0.0.1 Pokémon Dex Data'!$E$3:$E1007,MATCH(A191,'0.0.1 Pokémon Dex Data'!$B$3:$B1007,0))</f>
        <v>Jumpluff</v>
      </c>
      <c r="C191" s="374" t="s">
        <v>2438</v>
      </c>
      <c r="D191" s="374" t="s">
        <v>2314</v>
      </c>
      <c r="E191" s="374" t="s">
        <v>2345</v>
      </c>
      <c r="F191" s="374" t="s">
        <v>2517</v>
      </c>
      <c r="G191" s="374" t="s">
        <v>2319</v>
      </c>
      <c r="H191" s="374"/>
      <c r="I191" s="374"/>
      <c r="J191" s="374"/>
      <c r="K191" s="374"/>
      <c r="L191" s="374"/>
      <c r="M191" s="374"/>
      <c r="N191" s="374"/>
      <c r="O191" s="374"/>
      <c r="P191" s="374"/>
      <c r="Q191" s="374"/>
      <c r="R191" s="374"/>
    </row>
    <row r="192" customFormat="false" ht="15.75" hidden="false" customHeight="false" outlineLevel="0" collapsed="false">
      <c r="A192" s="374" t="n">
        <v>224</v>
      </c>
      <c r="B192" s="374" t="str">
        <f aca="false" t="array" ref="B192:B192">INDEX('0.0.1 Pokémon Dex Data'!$E$3:$E1007,MATCH(A192,'0.0.1 Pokémon Dex Data'!$B$3:$B1007,0))</f>
        <v>Aipom</v>
      </c>
      <c r="C192" s="374" t="s">
        <v>2390</v>
      </c>
      <c r="D192" s="374" t="s">
        <v>2528</v>
      </c>
      <c r="E192" s="374" t="s">
        <v>2540</v>
      </c>
      <c r="F192" s="374" t="s">
        <v>2398</v>
      </c>
      <c r="G192" s="374" t="s">
        <v>2352</v>
      </c>
      <c r="H192" s="374"/>
      <c r="I192" s="374"/>
      <c r="J192" s="374"/>
      <c r="K192" s="374"/>
      <c r="L192" s="374"/>
      <c r="M192" s="374"/>
      <c r="N192" s="374"/>
      <c r="O192" s="374"/>
      <c r="P192" s="374"/>
      <c r="Q192" s="374"/>
      <c r="R192" s="374"/>
    </row>
    <row r="193" customFormat="false" ht="15.75" hidden="false" customHeight="false" outlineLevel="0" collapsed="false">
      <c r="A193" s="374" t="n">
        <v>225</v>
      </c>
      <c r="B193" s="374" t="str">
        <f aca="false" t="array" ref="B193:B193">INDEX('0.0.1 Pokémon Dex Data'!$E$3:$E1007,MATCH(A193,'0.0.1 Pokémon Dex Data'!$B$3:$B1007,0))</f>
        <v>Sunkern</v>
      </c>
      <c r="C193" s="374" t="s">
        <v>2336</v>
      </c>
      <c r="D193" s="374" t="s">
        <v>2315</v>
      </c>
      <c r="E193" s="374" t="s">
        <v>2325</v>
      </c>
      <c r="F193" s="374" t="s">
        <v>2342</v>
      </c>
      <c r="G193" s="374" t="s">
        <v>2319</v>
      </c>
      <c r="H193" s="374"/>
      <c r="I193" s="374"/>
      <c r="J193" s="374"/>
      <c r="K193" s="374"/>
      <c r="L193" s="374"/>
      <c r="M193" s="374"/>
      <c r="N193" s="374"/>
      <c r="O193" s="374"/>
      <c r="P193" s="374"/>
      <c r="Q193" s="374"/>
      <c r="R193" s="374"/>
    </row>
    <row r="194" customFormat="false" ht="15.75" hidden="false" customHeight="false" outlineLevel="0" collapsed="false">
      <c r="A194" s="374" t="n">
        <v>226</v>
      </c>
      <c r="B194" s="374" t="str">
        <f aca="false" t="array" ref="B194:B194">INDEX('0.0.1 Pokémon Dex Data'!$E$3:$E1007,MATCH(A194,'0.0.1 Pokémon Dex Data'!$B$3:$B1007,0))</f>
        <v>Sunflora</v>
      </c>
      <c r="C194" s="374" t="s">
        <v>2336</v>
      </c>
      <c r="D194" s="374" t="s">
        <v>2314</v>
      </c>
      <c r="E194" s="374" t="s">
        <v>2343</v>
      </c>
      <c r="F194" s="374" t="s">
        <v>2333</v>
      </c>
      <c r="G194" s="374" t="s">
        <v>2345</v>
      </c>
      <c r="H194" s="374"/>
      <c r="I194" s="374"/>
      <c r="J194" s="374"/>
      <c r="K194" s="374"/>
      <c r="L194" s="374"/>
      <c r="M194" s="374"/>
      <c r="N194" s="374"/>
      <c r="O194" s="374"/>
      <c r="P194" s="374"/>
      <c r="Q194" s="374"/>
      <c r="R194" s="374"/>
    </row>
    <row r="195" customFormat="false" ht="15.75" hidden="false" customHeight="false" outlineLevel="0" collapsed="false">
      <c r="A195" s="374" t="n">
        <v>227</v>
      </c>
      <c r="B195" s="374" t="str">
        <f aca="false" t="array" ref="B195:B195">INDEX('0.0.1 Pokémon Dex Data'!$E$3:$E1007,MATCH(A195,'0.0.1 Pokémon Dex Data'!$B$3:$B1007,0))</f>
        <v>Yanma</v>
      </c>
      <c r="C195" s="374" t="s">
        <v>2461</v>
      </c>
      <c r="D195" s="374" t="s">
        <v>2401</v>
      </c>
      <c r="E195" s="374" t="s">
        <v>2561</v>
      </c>
      <c r="F195" s="374" t="s">
        <v>2443</v>
      </c>
      <c r="G195" s="374" t="s">
        <v>2352</v>
      </c>
      <c r="H195" s="374"/>
      <c r="I195" s="374"/>
      <c r="J195" s="374"/>
      <c r="K195" s="374"/>
      <c r="L195" s="374"/>
      <c r="M195" s="374"/>
      <c r="N195" s="374"/>
      <c r="O195" s="374"/>
      <c r="P195" s="374"/>
      <c r="Q195" s="374"/>
      <c r="R195" s="374"/>
    </row>
    <row r="196" customFormat="false" ht="15.75" hidden="false" customHeight="false" outlineLevel="0" collapsed="false">
      <c r="A196" s="374" t="n">
        <v>228</v>
      </c>
      <c r="B196" s="374" t="str">
        <f aca="false" t="array" ref="B196:B196">INDEX('0.0.1 Pokémon Dex Data'!$E$3:$E1007,MATCH(A196,'0.0.1 Pokémon Dex Data'!$B$3:$B1007,0))</f>
        <v>Wooper</v>
      </c>
      <c r="C196" s="374" t="s">
        <v>2426</v>
      </c>
      <c r="D196" s="374" t="s">
        <v>2594</v>
      </c>
      <c r="E196" s="374" t="s">
        <v>2486</v>
      </c>
      <c r="F196" s="374" t="s">
        <v>2312</v>
      </c>
      <c r="G196" s="374" t="s">
        <v>2358</v>
      </c>
      <c r="H196" s="374"/>
      <c r="I196" s="374"/>
      <c r="J196" s="374"/>
      <c r="K196" s="374"/>
      <c r="L196" s="374"/>
      <c r="M196" s="374"/>
      <c r="N196" s="374"/>
      <c r="O196" s="374"/>
      <c r="P196" s="374"/>
      <c r="Q196" s="374"/>
      <c r="R196" s="374"/>
    </row>
    <row r="197" customFormat="false" ht="15.75" hidden="false" customHeight="false" outlineLevel="0" collapsed="false">
      <c r="A197" s="374" t="n">
        <v>229</v>
      </c>
      <c r="B197" s="374" t="str">
        <f aca="false" t="array" ref="B197:B197">INDEX('0.0.1 Pokémon Dex Data'!$E$3:$E1007,MATCH(A197,'0.0.1 Pokémon Dex Data'!$B$3:$B1007,0))</f>
        <v>Quagsire</v>
      </c>
      <c r="C197" s="374" t="s">
        <v>2426</v>
      </c>
      <c r="D197" s="374" t="s">
        <v>2594</v>
      </c>
      <c r="E197" s="374" t="s">
        <v>2343</v>
      </c>
      <c r="F197" s="374" t="s">
        <v>2317</v>
      </c>
      <c r="G197" s="374" t="s">
        <v>2500</v>
      </c>
      <c r="H197" s="374"/>
      <c r="I197" s="374"/>
      <c r="J197" s="374"/>
      <c r="K197" s="374"/>
      <c r="L197" s="374"/>
      <c r="M197" s="374"/>
      <c r="N197" s="374"/>
      <c r="O197" s="374"/>
      <c r="P197" s="374"/>
      <c r="Q197" s="374"/>
      <c r="R197" s="374"/>
    </row>
    <row r="198" customFormat="false" ht="15.75" hidden="false" customHeight="false" outlineLevel="0" collapsed="false">
      <c r="A198" s="374" t="n">
        <v>230</v>
      </c>
      <c r="B198" s="374" t="str">
        <f aca="false" t="array" ref="B198:B198">INDEX('0.0.1 Pokémon Dex Data'!$E$3:$E1007,MATCH(A198,'0.0.1 Pokémon Dex Data'!$B$3:$B1007,0))</f>
        <v>Espeon</v>
      </c>
      <c r="C198" s="374" t="s">
        <v>2434</v>
      </c>
      <c r="D198" s="374" t="s">
        <v>2430</v>
      </c>
      <c r="E198" s="374" t="s">
        <v>157</v>
      </c>
      <c r="F198" s="374" t="s">
        <v>2550</v>
      </c>
      <c r="G198" s="374" t="s">
        <v>2439</v>
      </c>
      <c r="H198" s="374"/>
      <c r="I198" s="374"/>
      <c r="J198" s="374"/>
      <c r="K198" s="374"/>
      <c r="L198" s="374"/>
      <c r="M198" s="374"/>
      <c r="N198" s="374"/>
      <c r="O198" s="374"/>
      <c r="P198" s="374"/>
      <c r="Q198" s="374"/>
      <c r="R198" s="374"/>
    </row>
    <row r="199" customFormat="false" ht="15.75" hidden="false" customHeight="false" outlineLevel="0" collapsed="false">
      <c r="A199" s="374" t="n">
        <v>231</v>
      </c>
      <c r="B199" s="374" t="str">
        <f aca="false" t="array" ref="B199:B199">INDEX('0.0.1 Pokémon Dex Data'!$E$3:$E1007,MATCH(A199,'0.0.1 Pokémon Dex Data'!$B$3:$B1007,0))</f>
        <v>Umbreon</v>
      </c>
      <c r="C199" s="374" t="s">
        <v>2472</v>
      </c>
      <c r="D199" s="374" t="s">
        <v>2535</v>
      </c>
      <c r="E199" s="374" t="s">
        <v>2523</v>
      </c>
      <c r="F199" s="374" t="s">
        <v>2409</v>
      </c>
      <c r="G199" s="374"/>
      <c r="H199" s="374"/>
      <c r="I199" s="374"/>
      <c r="J199" s="374"/>
      <c r="K199" s="374"/>
      <c r="L199" s="374"/>
      <c r="M199" s="374"/>
      <c r="N199" s="374"/>
      <c r="O199" s="374"/>
      <c r="P199" s="374"/>
      <c r="Q199" s="374"/>
      <c r="R199" s="374"/>
    </row>
    <row r="200" customFormat="false" ht="15.75" hidden="false" customHeight="false" outlineLevel="0" collapsed="false">
      <c r="A200" s="374" t="n">
        <v>232</v>
      </c>
      <c r="B200" s="374" t="str">
        <f aca="false" t="array" ref="B200:B200">INDEX('0.0.1 Pokémon Dex Data'!$E$3:$E1007,MATCH(A200,'0.0.1 Pokémon Dex Data'!$B$3:$B1007,0))</f>
        <v>Murkrow</v>
      </c>
      <c r="C200" s="374" t="s">
        <v>2480</v>
      </c>
      <c r="D200" s="374" t="s">
        <v>2535</v>
      </c>
      <c r="E200" s="374" t="s">
        <v>2523</v>
      </c>
      <c r="F200" s="374" t="s">
        <v>2479</v>
      </c>
      <c r="G200" s="374" t="s">
        <v>2409</v>
      </c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</row>
    <row r="201" customFormat="false" ht="15.75" hidden="false" customHeight="false" outlineLevel="0" collapsed="false">
      <c r="A201" s="374" t="n">
        <v>233</v>
      </c>
      <c r="B201" s="374" t="str">
        <f aca="false" t="array" ref="B201:B201">INDEX('0.0.1 Pokémon Dex Data'!$E$3:$E1007,MATCH(A201,'0.0.1 Pokémon Dex Data'!$B$3:$B1007,0))</f>
        <v>Slowking</v>
      </c>
      <c r="C201" s="374" t="s">
        <v>2434</v>
      </c>
      <c r="D201" s="374" t="s">
        <v>2426</v>
      </c>
      <c r="E201" s="374" t="s">
        <v>157</v>
      </c>
      <c r="F201" s="374" t="s">
        <v>2405</v>
      </c>
      <c r="G201" s="374" t="s">
        <v>2366</v>
      </c>
      <c r="H201" s="374"/>
      <c r="I201" s="374"/>
      <c r="J201" s="374"/>
      <c r="K201" s="374"/>
      <c r="L201" s="374"/>
      <c r="M201" s="374"/>
      <c r="N201" s="374"/>
      <c r="O201" s="374"/>
      <c r="P201" s="374"/>
      <c r="Q201" s="374"/>
      <c r="R201" s="374"/>
    </row>
    <row r="202" customFormat="false" ht="15.75" hidden="false" customHeight="false" outlineLevel="0" collapsed="false">
      <c r="A202" s="374" t="n">
        <v>234</v>
      </c>
      <c r="B202" s="374" t="str">
        <f aca="false" t="array" ref="B202:B202">INDEX('0.0.1 Pokémon Dex Data'!$E$3:$E1007,MATCH(A202,'0.0.1 Pokémon Dex Data'!$B$3:$B1007,0))</f>
        <v>Misdreavus</v>
      </c>
      <c r="C202" s="374" t="s">
        <v>2560</v>
      </c>
      <c r="D202" s="374" t="s">
        <v>2528</v>
      </c>
      <c r="E202" s="374" t="s">
        <v>2385</v>
      </c>
      <c r="F202" s="374" t="s">
        <v>2639</v>
      </c>
      <c r="G202" s="374" t="s">
        <v>2409</v>
      </c>
      <c r="H202" s="374"/>
      <c r="I202" s="374"/>
      <c r="J202" s="374"/>
      <c r="K202" s="374"/>
      <c r="L202" s="374"/>
      <c r="M202" s="374"/>
      <c r="N202" s="374"/>
      <c r="O202" s="374"/>
      <c r="P202" s="374"/>
      <c r="Q202" s="374"/>
      <c r="R202" s="374"/>
    </row>
    <row r="203" customFormat="false" ht="15.75" hidden="false" customHeight="false" outlineLevel="0" collapsed="false">
      <c r="A203" s="374" t="n">
        <v>235</v>
      </c>
      <c r="B203" s="374" t="str">
        <f aca="false" t="array" ref="B203:B203">INDEX('0.0.1 Pokémon Dex Data'!$E$3:$E1007,MATCH(A203,'0.0.1 Pokémon Dex Data'!$B$3:$B1007,0))</f>
        <v>Unown</v>
      </c>
      <c r="C203" s="374" t="s">
        <v>2328</v>
      </c>
      <c r="D203" s="374"/>
      <c r="E203" s="374" t="s">
        <v>2777</v>
      </c>
      <c r="F203" s="374"/>
      <c r="G203" s="374"/>
      <c r="H203" s="374"/>
      <c r="I203" s="374"/>
      <c r="J203" s="374"/>
      <c r="K203" s="374"/>
      <c r="L203" s="374"/>
      <c r="M203" s="374"/>
      <c r="N203" s="374"/>
      <c r="O203" s="374"/>
      <c r="P203" s="374"/>
      <c r="Q203" s="374"/>
      <c r="R203" s="374"/>
    </row>
    <row r="204" customFormat="false" ht="15.75" hidden="false" customHeight="false" outlineLevel="0" collapsed="false">
      <c r="A204" s="374" t="n">
        <v>236</v>
      </c>
      <c r="B204" s="374" t="str">
        <f aca="false" t="array" ref="B204:B204">INDEX('0.0.1 Pokémon Dex Data'!$E$3:$E1007,MATCH(A204,'0.0.1 Pokémon Dex Data'!$B$3:$B1007,0))</f>
        <v>Wobbuffet</v>
      </c>
      <c r="C204" s="374" t="s">
        <v>2643</v>
      </c>
      <c r="D204" s="374" t="s">
        <v>138</v>
      </c>
      <c r="E204" s="374" t="s">
        <v>2596</v>
      </c>
      <c r="F204" s="374"/>
      <c r="G204" s="374"/>
      <c r="H204" s="374"/>
      <c r="I204" s="374"/>
      <c r="J204" s="374"/>
      <c r="K204" s="374"/>
      <c r="L204" s="374"/>
      <c r="M204" s="374"/>
      <c r="N204" s="374"/>
      <c r="O204" s="374"/>
      <c r="P204" s="374"/>
      <c r="Q204" s="374"/>
      <c r="R204" s="374"/>
    </row>
    <row r="205" customFormat="false" ht="15.75" hidden="false" customHeight="false" outlineLevel="0" collapsed="false">
      <c r="A205" s="374" t="n">
        <v>237</v>
      </c>
      <c r="B205" s="374" t="str">
        <f aca="false" t="array" ref="B205:B205">INDEX('0.0.1 Pokémon Dex Data'!$E$3:$E1007,MATCH(A205,'0.0.1 Pokémon Dex Data'!$B$3:$B1007,0))</f>
        <v>Girafarig</v>
      </c>
      <c r="C205" s="374" t="s">
        <v>2434</v>
      </c>
      <c r="D205" s="374" t="s">
        <v>2348</v>
      </c>
      <c r="E205" s="374" t="s">
        <v>157</v>
      </c>
      <c r="F205" s="374" t="s">
        <v>2476</v>
      </c>
      <c r="G205" s="374" t="s">
        <v>2596</v>
      </c>
      <c r="H205" s="374"/>
      <c r="I205" s="374"/>
      <c r="J205" s="374"/>
      <c r="K205" s="374"/>
      <c r="L205" s="374"/>
      <c r="M205" s="374"/>
      <c r="N205" s="374"/>
      <c r="O205" s="374"/>
      <c r="P205" s="374"/>
      <c r="Q205" s="374"/>
      <c r="R205" s="374"/>
    </row>
    <row r="206" customFormat="false" ht="15.75" hidden="false" customHeight="false" outlineLevel="0" collapsed="false">
      <c r="A206" s="374" t="n">
        <v>238</v>
      </c>
      <c r="B206" s="374" t="str">
        <f aca="false" t="array" ref="B206:B206">INDEX('0.0.1 Pokémon Dex Data'!$E$3:$E1007,MATCH(A206,'0.0.1 Pokémon Dex Data'!$B$3:$B1007,0))</f>
        <v>Pineco</v>
      </c>
      <c r="C206" s="374" t="s">
        <v>2432</v>
      </c>
      <c r="D206" s="374" t="s">
        <v>2348</v>
      </c>
      <c r="E206" s="374" t="s">
        <v>2389</v>
      </c>
      <c r="F206" s="374" t="s">
        <v>2499</v>
      </c>
      <c r="G206" s="374" t="s">
        <v>2412</v>
      </c>
      <c r="H206" s="374"/>
      <c r="I206" s="374"/>
      <c r="J206" s="374"/>
      <c r="K206" s="374"/>
      <c r="L206" s="374"/>
      <c r="M206" s="374"/>
      <c r="N206" s="374"/>
      <c r="O206" s="374"/>
      <c r="P206" s="374"/>
      <c r="Q206" s="374"/>
      <c r="R206" s="374"/>
    </row>
    <row r="207" customFormat="false" ht="15.75" hidden="false" customHeight="false" outlineLevel="0" collapsed="false">
      <c r="A207" s="374" t="n">
        <v>239</v>
      </c>
      <c r="B207" s="374" t="str">
        <f aca="false" t="array" ref="B207:B207">INDEX('0.0.1 Pokémon Dex Data'!$E$3:$E1007,MATCH(A207,'0.0.1 Pokémon Dex Data'!$B$3:$B1007,0))</f>
        <v>Forretress</v>
      </c>
      <c r="C207" s="374" t="s">
        <v>2432</v>
      </c>
      <c r="D207" s="374" t="s">
        <v>2444</v>
      </c>
      <c r="E207" s="374" t="s">
        <v>2389</v>
      </c>
      <c r="F207" s="374" t="s">
        <v>2317</v>
      </c>
      <c r="G207" s="374" t="s">
        <v>2563</v>
      </c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</row>
    <row r="208" customFormat="false" ht="15.75" hidden="false" customHeight="false" outlineLevel="0" collapsed="false">
      <c r="A208" s="374" t="n">
        <v>240</v>
      </c>
      <c r="B208" s="374" t="str">
        <f aca="false" t="array" ref="B208:B208">INDEX('0.0.1 Pokémon Dex Data'!$E$3:$E1007,MATCH(A208,'0.0.1 Pokémon Dex Data'!$B$3:$B1007,0))</f>
        <v>Dunsparce</v>
      </c>
      <c r="C208" s="374" t="s">
        <v>2404</v>
      </c>
      <c r="D208" s="374" t="s">
        <v>2528</v>
      </c>
      <c r="E208" s="374" t="s">
        <v>2388</v>
      </c>
      <c r="F208" s="374" t="s">
        <v>184</v>
      </c>
      <c r="G208" s="374" t="s">
        <v>2358</v>
      </c>
      <c r="H208" s="374"/>
      <c r="I208" s="374"/>
      <c r="J208" s="374"/>
      <c r="K208" s="374"/>
      <c r="L208" s="374"/>
      <c r="M208" s="374"/>
      <c r="N208" s="374"/>
      <c r="O208" s="374"/>
      <c r="P208" s="374"/>
      <c r="Q208" s="374"/>
      <c r="R208" s="374"/>
    </row>
    <row r="209" customFormat="false" ht="15.75" hidden="false" customHeight="false" outlineLevel="0" collapsed="false">
      <c r="A209" s="374" t="n">
        <v>241</v>
      </c>
      <c r="B209" s="374" t="str">
        <f aca="false" t="array" ref="B209:B209">INDEX('0.0.1 Pokémon Dex Data'!$E$3:$E1007,MATCH(A209,'0.0.1 Pokémon Dex Data'!$B$3:$B1007,0))</f>
        <v>Gligar</v>
      </c>
      <c r="C209" s="374" t="s">
        <v>2322</v>
      </c>
      <c r="D209" s="374" t="s">
        <v>2401</v>
      </c>
      <c r="E209" s="374" t="s">
        <v>2531</v>
      </c>
      <c r="F209" s="374" t="s">
        <v>2358</v>
      </c>
      <c r="G209" s="374" t="s">
        <v>2352</v>
      </c>
      <c r="H209" s="374"/>
      <c r="I209" s="374"/>
      <c r="J209" s="374"/>
      <c r="K209" s="374"/>
      <c r="L209" s="374"/>
      <c r="M209" s="374"/>
      <c r="N209" s="374"/>
      <c r="O209" s="374"/>
      <c r="P209" s="374"/>
      <c r="Q209" s="374"/>
      <c r="R209" s="374"/>
    </row>
    <row r="210" customFormat="false" ht="15.75" hidden="false" customHeight="false" outlineLevel="0" collapsed="false">
      <c r="A210" s="374" t="n">
        <v>242</v>
      </c>
      <c r="B210" s="374" t="str">
        <f aca="false" t="array" ref="B210:B210">INDEX('0.0.1 Pokémon Dex Data'!$E$3:$E1007,MATCH(A210,'0.0.1 Pokémon Dex Data'!$B$3:$B1007,0))</f>
        <v>Steelix</v>
      </c>
      <c r="C210" s="374" t="s">
        <v>2381</v>
      </c>
      <c r="D210" s="374" t="s">
        <v>2363</v>
      </c>
      <c r="E210" s="374" t="s">
        <v>2317</v>
      </c>
      <c r="F210" s="374" t="s">
        <v>2466</v>
      </c>
      <c r="G210" s="374" t="s">
        <v>2563</v>
      </c>
      <c r="H210" s="374"/>
      <c r="I210" s="374"/>
      <c r="J210" s="374"/>
      <c r="K210" s="374"/>
      <c r="L210" s="374"/>
      <c r="M210" s="374"/>
      <c r="N210" s="374"/>
      <c r="O210" s="374"/>
      <c r="P210" s="374"/>
      <c r="Q210" s="374"/>
      <c r="R210" s="374"/>
    </row>
    <row r="211" customFormat="false" ht="15.75" hidden="false" customHeight="false" outlineLevel="0" collapsed="false">
      <c r="A211" s="374" t="n">
        <v>244</v>
      </c>
      <c r="B211" s="374" t="str">
        <f aca="false" t="array" ref="B211:B211">INDEX('0.0.1 Pokémon Dex Data'!$E$3:$E1007,MATCH(A211,'0.0.1 Pokémon Dex Data'!$B$3:$B1007,0))</f>
        <v>Snubbull</v>
      </c>
      <c r="C211" s="374" t="s">
        <v>2404</v>
      </c>
      <c r="D211" s="374" t="s">
        <v>2348</v>
      </c>
      <c r="E211" s="374" t="s">
        <v>2517</v>
      </c>
      <c r="F211" s="374" t="s">
        <v>2356</v>
      </c>
      <c r="G211" s="374" t="s">
        <v>2466</v>
      </c>
      <c r="H211" s="374"/>
      <c r="I211" s="374"/>
      <c r="J211" s="374"/>
      <c r="K211" s="374"/>
      <c r="L211" s="374"/>
      <c r="M211" s="374"/>
      <c r="N211" s="374"/>
      <c r="O211" s="374"/>
      <c r="P211" s="374"/>
      <c r="Q211" s="374"/>
      <c r="R211" s="374"/>
    </row>
    <row r="212" customFormat="false" ht="15.75" hidden="false" customHeight="false" outlineLevel="0" collapsed="false">
      <c r="A212" s="374" t="n">
        <v>245</v>
      </c>
      <c r="B212" s="374" t="str">
        <f aca="false" t="array" ref="B212:B212">INDEX('0.0.1 Pokémon Dex Data'!$E$3:$E1007,MATCH(A212,'0.0.1 Pokémon Dex Data'!$B$3:$B1007,0))</f>
        <v>Granbull</v>
      </c>
      <c r="C212" s="374" t="s">
        <v>2472</v>
      </c>
      <c r="D212" s="374" t="s">
        <v>2404</v>
      </c>
      <c r="E212" s="374" t="s">
        <v>2466</v>
      </c>
      <c r="F212" s="374" t="s">
        <v>2541</v>
      </c>
      <c r="G212" s="374" t="s">
        <v>2526</v>
      </c>
      <c r="H212" s="374"/>
      <c r="I212" s="374"/>
      <c r="J212" s="374"/>
      <c r="K212" s="374"/>
      <c r="L212" s="374"/>
      <c r="M212" s="374"/>
      <c r="N212" s="374"/>
      <c r="O212" s="374"/>
      <c r="P212" s="374"/>
      <c r="Q212" s="374"/>
      <c r="R212" s="374"/>
    </row>
    <row r="213" customFormat="false" ht="15.75" hidden="false" customHeight="false" outlineLevel="0" collapsed="false">
      <c r="A213" s="374" t="n">
        <v>246</v>
      </c>
      <c r="B213" s="374" t="str">
        <f aca="false" t="array" ref="B213:B213">INDEX('0.0.1 Pokémon Dex Data'!$E$3:$E1007,MATCH(A213,'0.0.1 Pokémon Dex Data'!$B$3:$B1007,0))</f>
        <v>Qwilfish</v>
      </c>
      <c r="C213" s="374" t="s">
        <v>2426</v>
      </c>
      <c r="D213" s="374" t="s">
        <v>2487</v>
      </c>
      <c r="E213" s="374" t="s">
        <v>2402</v>
      </c>
      <c r="F213" s="374" t="s">
        <v>2471</v>
      </c>
      <c r="G213" s="374" t="s">
        <v>2415</v>
      </c>
      <c r="H213" s="374"/>
      <c r="I213" s="374"/>
      <c r="J213" s="374"/>
      <c r="K213" s="374"/>
      <c r="L213" s="374"/>
      <c r="M213" s="374"/>
      <c r="N213" s="374"/>
      <c r="O213" s="374"/>
      <c r="P213" s="374"/>
      <c r="Q213" s="374"/>
      <c r="R213" s="374"/>
    </row>
    <row r="214" customFormat="false" ht="15.75" hidden="false" customHeight="false" outlineLevel="0" collapsed="false">
      <c r="A214" s="374" t="n">
        <v>247</v>
      </c>
      <c r="B214" s="374" t="str">
        <f aca="false" t="array" ref="B214:B214">INDEX('0.0.1 Pokémon Dex Data'!$E$3:$E1007,MATCH(A214,'0.0.1 Pokémon Dex Data'!$B$3:$B1007,0))</f>
        <v>Scizor</v>
      </c>
      <c r="C214" s="374" t="s">
        <v>2322</v>
      </c>
      <c r="D214" s="374" t="s">
        <v>2552</v>
      </c>
      <c r="E214" s="374" t="s">
        <v>2531</v>
      </c>
      <c r="F214" s="374" t="s">
        <v>2458</v>
      </c>
      <c r="G214" s="374" t="s">
        <v>2506</v>
      </c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</row>
    <row r="215" customFormat="false" ht="15.75" hidden="false" customHeight="false" outlineLevel="0" collapsed="false">
      <c r="A215" s="374" t="n">
        <v>249</v>
      </c>
      <c r="B215" s="374" t="str">
        <f aca="false" t="array" ref="B215:B215">INDEX('0.0.1 Pokémon Dex Data'!$E$3:$E1007,MATCH(A215,'0.0.1 Pokémon Dex Data'!$B$3:$B1007,0))</f>
        <v>Shuckle</v>
      </c>
      <c r="C215" s="374" t="s">
        <v>2565</v>
      </c>
      <c r="D215" s="374" t="s">
        <v>2444</v>
      </c>
      <c r="E215" s="374" t="s">
        <v>2564</v>
      </c>
      <c r="F215" s="374" t="s">
        <v>2500</v>
      </c>
      <c r="G215" s="374" t="s">
        <v>2412</v>
      </c>
      <c r="H215" s="374"/>
      <c r="I215" s="374"/>
      <c r="J215" s="374"/>
      <c r="K215" s="374"/>
      <c r="L215" s="374"/>
      <c r="M215" s="374"/>
      <c r="N215" s="374"/>
      <c r="O215" s="374"/>
      <c r="P215" s="374"/>
      <c r="Q215" s="374"/>
      <c r="R215" s="374"/>
    </row>
    <row r="216" customFormat="false" ht="15.75" hidden="false" customHeight="false" outlineLevel="0" collapsed="false">
      <c r="A216" s="374" t="n">
        <v>250</v>
      </c>
      <c r="B216" s="374" t="str">
        <f aca="false" t="array" ref="B216:B216">INDEX('0.0.1 Pokémon Dex Data'!$E$3:$E1007,MATCH(A216,'0.0.1 Pokémon Dex Data'!$B$3:$B1007,0))</f>
        <v>Heracross</v>
      </c>
      <c r="C216" s="374" t="s">
        <v>138</v>
      </c>
      <c r="D216" s="374" t="s">
        <v>2444</v>
      </c>
      <c r="E216" s="374" t="s">
        <v>2317</v>
      </c>
      <c r="F216" s="374" t="s">
        <v>2541</v>
      </c>
      <c r="G216" s="374" t="s">
        <v>2513</v>
      </c>
      <c r="H216" s="374"/>
      <c r="I216" s="374"/>
      <c r="J216" s="374"/>
      <c r="K216" s="374"/>
      <c r="L216" s="374"/>
      <c r="M216" s="374"/>
      <c r="N216" s="374"/>
      <c r="O216" s="374"/>
      <c r="P216" s="374"/>
      <c r="Q216" s="374"/>
      <c r="R216" s="374"/>
    </row>
    <row r="217" customFormat="false" ht="15.75" hidden="false" customHeight="false" outlineLevel="0" collapsed="false">
      <c r="A217" s="374" t="n">
        <v>252</v>
      </c>
      <c r="B217" s="374" t="str">
        <f aca="false" t="array" ref="B217:B217">INDEX('0.0.1 Pokémon Dex Data'!$E$3:$E1007,MATCH(A217,'0.0.1 Pokémon Dex Data'!$B$3:$B1007,0))</f>
        <v>Sneasel</v>
      </c>
      <c r="C217" s="374" t="s">
        <v>2525</v>
      </c>
      <c r="D217" s="374" t="s">
        <v>2535</v>
      </c>
      <c r="E217" s="374" t="s">
        <v>2523</v>
      </c>
      <c r="F217" s="374" t="s">
        <v>2416</v>
      </c>
      <c r="G217" s="374" t="s">
        <v>2403</v>
      </c>
      <c r="H217" s="374"/>
      <c r="I217" s="374"/>
      <c r="J217" s="374"/>
      <c r="K217" s="374"/>
      <c r="L217" s="374"/>
      <c r="M217" s="374"/>
      <c r="N217" s="374"/>
      <c r="O217" s="374"/>
      <c r="P217" s="374"/>
      <c r="Q217" s="374"/>
      <c r="R217" s="374"/>
    </row>
    <row r="218" customFormat="false" ht="15.75" hidden="false" customHeight="false" outlineLevel="0" collapsed="false">
      <c r="A218" s="374" t="n">
        <v>253</v>
      </c>
      <c r="B218" s="374" t="str">
        <f aca="false" t="array" ref="B218:B218">INDEX('0.0.1 Pokémon Dex Data'!$E$3:$E1007,MATCH(A218,'0.0.1 Pokémon Dex Data'!$B$3:$B1007,0))</f>
        <v>Teddiursa</v>
      </c>
      <c r="C218" s="374" t="s">
        <v>2390</v>
      </c>
      <c r="D218" s="374" t="s">
        <v>2588</v>
      </c>
      <c r="E218" s="374" t="s">
        <v>2466</v>
      </c>
      <c r="F218" s="374" t="s">
        <v>2542</v>
      </c>
      <c r="G218" s="374" t="s">
        <v>2526</v>
      </c>
      <c r="H218" s="374"/>
      <c r="I218" s="374"/>
      <c r="J218" s="374"/>
      <c r="K218" s="374"/>
      <c r="L218" s="374"/>
      <c r="M218" s="374"/>
      <c r="N218" s="374"/>
      <c r="O218" s="374"/>
      <c r="P218" s="374"/>
      <c r="Q218" s="374"/>
      <c r="R218" s="374"/>
    </row>
    <row r="219" customFormat="false" ht="15.75" hidden="false" customHeight="false" outlineLevel="0" collapsed="false">
      <c r="A219" s="374" t="n">
        <v>254</v>
      </c>
      <c r="B219" s="374" t="str">
        <f aca="false" t="array" ref="B219:B219">INDEX('0.0.1 Pokémon Dex Data'!$E$3:$E1007,MATCH(A219,'0.0.1 Pokémon Dex Data'!$B$3:$B1007,0))</f>
        <v>Ursaring</v>
      </c>
      <c r="C219" s="374" t="s">
        <v>138</v>
      </c>
      <c r="D219" s="374" t="s">
        <v>2384</v>
      </c>
      <c r="E219" s="374" t="s">
        <v>2329</v>
      </c>
      <c r="F219" s="374" t="s">
        <v>2541</v>
      </c>
      <c r="G219" s="374" t="s">
        <v>2526</v>
      </c>
      <c r="H219" s="374"/>
      <c r="I219" s="374"/>
      <c r="J219" s="374"/>
      <c r="K219" s="374"/>
      <c r="L219" s="374"/>
      <c r="M219" s="374"/>
      <c r="N219" s="374"/>
      <c r="O219" s="374"/>
      <c r="P219" s="374"/>
      <c r="Q219" s="374"/>
      <c r="R219" s="374"/>
    </row>
    <row r="220" customFormat="false" ht="15.75" hidden="false" customHeight="false" outlineLevel="0" collapsed="false">
      <c r="A220" s="374" t="n">
        <v>255</v>
      </c>
      <c r="B220" s="374" t="str">
        <f aca="false" t="array" ref="B220:B220">INDEX('0.0.1 Pokémon Dex Data'!$E$3:$E1007,MATCH(A220,'0.0.1 Pokémon Dex Data'!$B$3:$B1007,0))</f>
        <v>Slugma</v>
      </c>
      <c r="C220" s="374" t="s">
        <v>2565</v>
      </c>
      <c r="D220" s="374" t="s">
        <v>2365</v>
      </c>
      <c r="E220" s="374" t="s">
        <v>2388</v>
      </c>
      <c r="F220" s="374" t="s">
        <v>2372</v>
      </c>
      <c r="G220" s="374" t="s">
        <v>2371</v>
      </c>
      <c r="H220" s="374"/>
      <c r="I220" s="374"/>
      <c r="J220" s="374"/>
      <c r="K220" s="374"/>
      <c r="L220" s="374"/>
      <c r="M220" s="374"/>
      <c r="N220" s="374"/>
      <c r="O220" s="374"/>
      <c r="P220" s="374"/>
      <c r="Q220" s="374"/>
      <c r="R220" s="374"/>
    </row>
    <row r="221" customFormat="false" ht="15.75" hidden="false" customHeight="false" outlineLevel="0" collapsed="false">
      <c r="A221" s="374" t="n">
        <v>256</v>
      </c>
      <c r="B221" s="374" t="str">
        <f aca="false" t="array" ref="B221:B221">INDEX('0.0.1 Pokémon Dex Data'!$E$3:$E1007,MATCH(A221,'0.0.1 Pokémon Dex Data'!$B$3:$B1007,0))</f>
        <v>Magcargo</v>
      </c>
      <c r="C221" s="374" t="s">
        <v>2565</v>
      </c>
      <c r="D221" s="374" t="s">
        <v>2365</v>
      </c>
      <c r="E221" s="374" t="s">
        <v>2378</v>
      </c>
      <c r="F221" s="374" t="s">
        <v>2386</v>
      </c>
      <c r="G221" s="374" t="s">
        <v>2500</v>
      </c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</row>
    <row r="222" customFormat="false" ht="15.75" hidden="false" customHeight="false" outlineLevel="0" collapsed="false">
      <c r="A222" s="374" t="n">
        <v>257</v>
      </c>
      <c r="B222" s="374" t="str">
        <f aca="false" t="array" ref="B222:B222">INDEX('0.0.1 Pokémon Dex Data'!$E$3:$E1007,MATCH(A222,'0.0.1 Pokémon Dex Data'!$B$3:$B1007,0))</f>
        <v>Swinub</v>
      </c>
      <c r="C222" s="374" t="s">
        <v>2348</v>
      </c>
      <c r="D222" s="374" t="s">
        <v>2626</v>
      </c>
      <c r="E222" s="374" t="s">
        <v>2388</v>
      </c>
      <c r="F222" s="374" t="s">
        <v>2312</v>
      </c>
      <c r="G222" s="374" t="s">
        <v>2417</v>
      </c>
      <c r="H222" s="374"/>
      <c r="I222" s="374"/>
      <c r="J222" s="374"/>
      <c r="K222" s="374"/>
      <c r="L222" s="374"/>
      <c r="M222" s="374"/>
      <c r="N222" s="374"/>
      <c r="O222" s="374"/>
      <c r="P222" s="374"/>
      <c r="Q222" s="374"/>
      <c r="R222" s="374"/>
    </row>
    <row r="223" customFormat="false" ht="15.75" hidden="false" customHeight="false" outlineLevel="0" collapsed="false">
      <c r="A223" s="374" t="n">
        <v>258</v>
      </c>
      <c r="B223" s="374" t="str">
        <f aca="false" t="array" ref="B223:B223">INDEX('0.0.1 Pokémon Dex Data'!$E$3:$E1007,MATCH(A223,'0.0.1 Pokémon Dex Data'!$B$3:$B1007,0))</f>
        <v>Piloswine</v>
      </c>
      <c r="C223" s="374" t="s">
        <v>2525</v>
      </c>
      <c r="D223" s="374" t="s">
        <v>2626</v>
      </c>
      <c r="E223" s="374" t="s">
        <v>2313</v>
      </c>
      <c r="F223" s="374" t="s">
        <v>2500</v>
      </c>
      <c r="G223" s="374" t="s">
        <v>2403</v>
      </c>
      <c r="H223" s="374"/>
      <c r="I223" s="374"/>
      <c r="J223" s="374"/>
      <c r="K223" s="374"/>
      <c r="L223" s="374"/>
      <c r="M223" s="374"/>
      <c r="N223" s="374"/>
      <c r="O223" s="374"/>
      <c r="P223" s="374"/>
      <c r="Q223" s="374"/>
      <c r="R223" s="374"/>
    </row>
    <row r="224" customFormat="false" ht="15.75" hidden="false" customHeight="false" outlineLevel="0" collapsed="false">
      <c r="A224" s="374" t="n">
        <v>259</v>
      </c>
      <c r="B224" s="374" t="str">
        <f aca="false" t="array" ref="B224:B224">INDEX('0.0.1 Pokémon Dex Data'!$E$3:$E1007,MATCH(A224,'0.0.1 Pokémon Dex Data'!$B$3:$B1007,0))</f>
        <v>Corsola</v>
      </c>
      <c r="C224" s="374" t="s">
        <v>2407</v>
      </c>
      <c r="D224" s="374" t="s">
        <v>2348</v>
      </c>
      <c r="E224" s="374" t="s">
        <v>2408</v>
      </c>
      <c r="F224" s="374" t="s">
        <v>2564</v>
      </c>
      <c r="G224" s="374" t="s">
        <v>2536</v>
      </c>
      <c r="H224" s="374"/>
      <c r="I224" s="374"/>
      <c r="J224" s="374"/>
      <c r="K224" s="374"/>
      <c r="L224" s="374"/>
      <c r="M224" s="374"/>
      <c r="N224" s="374"/>
      <c r="O224" s="374"/>
      <c r="P224" s="374"/>
      <c r="Q224" s="374"/>
      <c r="R224" s="374"/>
    </row>
    <row r="225" customFormat="false" ht="15.75" hidden="false" customHeight="false" outlineLevel="0" collapsed="false">
      <c r="A225" s="374" t="n">
        <v>260</v>
      </c>
      <c r="B225" s="374" t="str">
        <f aca="false" t="array" ref="B225:B225">INDEX('0.0.1 Pokémon Dex Data'!$E$3:$E1007,MATCH(A225,'0.0.1 Pokémon Dex Data'!$B$3:$B1007,0))</f>
        <v>Remoraid</v>
      </c>
      <c r="C225" s="374" t="s">
        <v>2426</v>
      </c>
      <c r="D225" s="374" t="s">
        <v>2594</v>
      </c>
      <c r="E225" s="374" t="s">
        <v>2428</v>
      </c>
      <c r="F225" s="374" t="s">
        <v>2581</v>
      </c>
      <c r="G225" s="374" t="s">
        <v>2564</v>
      </c>
      <c r="H225" s="374"/>
      <c r="I225" s="374"/>
      <c r="J225" s="374"/>
      <c r="K225" s="374"/>
      <c r="L225" s="374"/>
      <c r="M225" s="374"/>
      <c r="N225" s="374"/>
      <c r="O225" s="374"/>
      <c r="P225" s="374"/>
      <c r="Q225" s="374"/>
      <c r="R225" s="374"/>
    </row>
    <row r="226" customFormat="false" ht="15.75" hidden="false" customHeight="false" outlineLevel="0" collapsed="false">
      <c r="A226" s="374" t="n">
        <v>261</v>
      </c>
      <c r="B226" s="374" t="str">
        <f aca="false" t="array" ref="B226:B226">INDEX('0.0.1 Pokémon Dex Data'!$E$3:$E1007,MATCH(A226,'0.0.1 Pokémon Dex Data'!$B$3:$B1007,0))</f>
        <v>Octillery</v>
      </c>
      <c r="C226" s="374" t="s">
        <v>2426</v>
      </c>
      <c r="D226" s="374" t="s">
        <v>2594</v>
      </c>
      <c r="E226" s="374" t="s">
        <v>2428</v>
      </c>
      <c r="F226" s="374" t="s">
        <v>2581</v>
      </c>
      <c r="G226" s="374" t="s">
        <v>2484</v>
      </c>
      <c r="H226" s="374"/>
      <c r="I226" s="374"/>
      <c r="J226" s="374"/>
      <c r="K226" s="374"/>
      <c r="L226" s="374"/>
      <c r="M226" s="374"/>
      <c r="N226" s="374"/>
      <c r="O226" s="374"/>
      <c r="P226" s="374"/>
      <c r="Q226" s="374"/>
      <c r="R226" s="374"/>
    </row>
    <row r="227" customFormat="false" ht="15.75" hidden="false" customHeight="false" outlineLevel="0" collapsed="false">
      <c r="A227" s="374" t="n">
        <v>262</v>
      </c>
      <c r="B227" s="374" t="str">
        <f aca="false" t="array" ref="B227:B227">INDEX('0.0.1 Pokémon Dex Data'!$E$3:$E1007,MATCH(A227,'0.0.1 Pokémon Dex Data'!$B$3:$B1007,0))</f>
        <v>Delibird</v>
      </c>
      <c r="C227" s="374" t="s">
        <v>2461</v>
      </c>
      <c r="D227" s="374" t="s">
        <v>2525</v>
      </c>
      <c r="E227" s="374" t="s">
        <v>2416</v>
      </c>
      <c r="F227" s="374" t="s">
        <v>2417</v>
      </c>
      <c r="G227" s="374" t="s">
        <v>2352</v>
      </c>
      <c r="H227" s="374"/>
      <c r="I227" s="374"/>
      <c r="J227" s="374"/>
      <c r="K227" s="374"/>
      <c r="L227" s="374"/>
      <c r="M227" s="374"/>
      <c r="N227" s="374"/>
      <c r="O227" s="374"/>
      <c r="P227" s="374"/>
      <c r="Q227" s="374"/>
      <c r="R227" s="374"/>
    </row>
    <row r="228" customFormat="false" ht="15.75" hidden="false" customHeight="false" outlineLevel="0" collapsed="false">
      <c r="A228" s="374" t="n">
        <v>263</v>
      </c>
      <c r="B228" s="374" t="str">
        <f aca="false" t="array" ref="B228:B228">INDEX('0.0.1 Pokémon Dex Data'!$E$3:$E1007,MATCH(A228,'0.0.1 Pokémon Dex Data'!$B$3:$B1007,0))</f>
        <v>Mantine</v>
      </c>
      <c r="C228" s="374" t="s">
        <v>2407</v>
      </c>
      <c r="D228" s="374" t="s">
        <v>2401</v>
      </c>
      <c r="E228" s="374" t="s">
        <v>2428</v>
      </c>
      <c r="F228" s="374" t="s">
        <v>2415</v>
      </c>
      <c r="G228" s="374" t="s">
        <v>2352</v>
      </c>
      <c r="H228" s="374"/>
      <c r="I228" s="374"/>
      <c r="J228" s="374"/>
      <c r="K228" s="374"/>
      <c r="L228" s="374"/>
      <c r="M228" s="374"/>
      <c r="N228" s="374"/>
      <c r="O228" s="374"/>
      <c r="P228" s="374"/>
      <c r="Q228" s="374"/>
      <c r="R228" s="374"/>
    </row>
    <row r="229" customFormat="false" ht="15.75" hidden="false" customHeight="false" outlineLevel="0" collapsed="false">
      <c r="A229" s="374" t="n">
        <v>264</v>
      </c>
      <c r="B229" s="374" t="str">
        <f aca="false" t="array" ref="B229:B229">INDEX('0.0.1 Pokémon Dex Data'!$E$3:$E1007,MATCH(A229,'0.0.1 Pokémon Dex Data'!$B$3:$B1007,0))</f>
        <v>Skarmory</v>
      </c>
      <c r="C229" s="374" t="s">
        <v>2396</v>
      </c>
      <c r="D229" s="374" t="s">
        <v>2354</v>
      </c>
      <c r="E229" s="374" t="s">
        <v>2577</v>
      </c>
      <c r="F229" s="374" t="s">
        <v>2411</v>
      </c>
      <c r="G229" s="374" t="s">
        <v>2462</v>
      </c>
      <c r="H229" s="374"/>
      <c r="I229" s="374"/>
      <c r="J229" s="374"/>
      <c r="K229" s="374"/>
      <c r="L229" s="374"/>
      <c r="M229" s="374"/>
      <c r="N229" s="374"/>
      <c r="O229" s="374"/>
      <c r="P229" s="374"/>
      <c r="Q229" s="374"/>
      <c r="R229" s="374"/>
    </row>
    <row r="230" customFormat="false" ht="15.75" hidden="false" customHeight="false" outlineLevel="0" collapsed="false">
      <c r="A230" s="374" t="n">
        <v>265</v>
      </c>
      <c r="B230" s="374" t="str">
        <f aca="false" t="array" ref="B230:B230">INDEX('0.0.1 Pokémon Dex Data'!$E$3:$E1007,MATCH(A230,'0.0.1 Pokémon Dex Data'!$B$3:$B1007,0))</f>
        <v>Houndour</v>
      </c>
      <c r="C230" s="374" t="s">
        <v>2365</v>
      </c>
      <c r="D230" s="374" t="s">
        <v>2535</v>
      </c>
      <c r="E230" s="374" t="s">
        <v>2373</v>
      </c>
      <c r="F230" s="374" t="s">
        <v>2466</v>
      </c>
      <c r="G230" s="374" t="s">
        <v>2409</v>
      </c>
      <c r="H230" s="374"/>
      <c r="I230" s="374"/>
      <c r="J230" s="374"/>
      <c r="K230" s="374"/>
      <c r="L230" s="374"/>
      <c r="M230" s="374"/>
      <c r="N230" s="374"/>
      <c r="O230" s="374"/>
      <c r="P230" s="374"/>
      <c r="Q230" s="374"/>
      <c r="R230" s="374"/>
    </row>
    <row r="231" customFormat="false" ht="15.75" hidden="false" customHeight="false" outlineLevel="0" collapsed="false">
      <c r="A231" s="374" t="n">
        <v>266</v>
      </c>
      <c r="B231" s="374" t="str">
        <f aca="false" t="array" ref="B231:B231">INDEX('0.0.1 Pokémon Dex Data'!$E$3:$E1007,MATCH(A231,'0.0.1 Pokémon Dex Data'!$B$3:$B1007,0))</f>
        <v>Houndoom</v>
      </c>
      <c r="C231" s="374" t="s">
        <v>2472</v>
      </c>
      <c r="D231" s="374" t="s">
        <v>2367</v>
      </c>
      <c r="E231" s="374" t="s">
        <v>2523</v>
      </c>
      <c r="F231" s="374" t="s">
        <v>2366</v>
      </c>
      <c r="G231" s="374" t="s">
        <v>2466</v>
      </c>
      <c r="H231" s="374"/>
      <c r="I231" s="374"/>
      <c r="J231" s="374"/>
      <c r="K231" s="374"/>
      <c r="L231" s="374"/>
      <c r="M231" s="374"/>
      <c r="N231" s="374"/>
      <c r="O231" s="374"/>
      <c r="P231" s="374"/>
      <c r="Q231" s="374"/>
      <c r="R231" s="374"/>
    </row>
    <row r="232" customFormat="false" ht="15.75" hidden="false" customHeight="false" outlineLevel="0" collapsed="false">
      <c r="A232" s="374" t="n">
        <v>268</v>
      </c>
      <c r="B232" s="374" t="str">
        <f aca="false" t="array" ref="B232:B232">INDEX('0.0.1 Pokémon Dex Data'!$E$3:$E1007,MATCH(A232,'0.0.1 Pokémon Dex Data'!$B$3:$B1007,0))</f>
        <v>Kingdra</v>
      </c>
      <c r="C232" s="374" t="s">
        <v>2359</v>
      </c>
      <c r="D232" s="374" t="s">
        <v>2425</v>
      </c>
      <c r="E232" s="374" t="s">
        <v>2414</v>
      </c>
      <c r="F232" s="374" t="s">
        <v>2405</v>
      </c>
      <c r="G232" s="374" t="s">
        <v>2332</v>
      </c>
      <c r="H232" s="374"/>
      <c r="I232" s="374"/>
      <c r="J232" s="374"/>
      <c r="K232" s="374"/>
      <c r="L232" s="374"/>
      <c r="M232" s="374" t="s">
        <v>2426</v>
      </c>
      <c r="N232" s="374"/>
      <c r="O232" s="374"/>
      <c r="P232" s="374"/>
      <c r="Q232" s="374"/>
      <c r="R232" s="374"/>
    </row>
    <row r="233" customFormat="false" ht="15.75" hidden="false" customHeight="false" outlineLevel="0" collapsed="false">
      <c r="A233" s="374" t="n">
        <v>269</v>
      </c>
      <c r="B233" s="374" t="str">
        <f aca="false" t="array" ref="B233:B233">INDEX('0.0.1 Pokémon Dex Data'!$E$3:$E1007,MATCH(A233,'0.0.1 Pokémon Dex Data'!$B$3:$B1007,0))</f>
        <v>Phanpy</v>
      </c>
      <c r="C233" s="374" t="s">
        <v>2348</v>
      </c>
      <c r="D233" s="374" t="s">
        <v>2339</v>
      </c>
      <c r="E233" s="374" t="s">
        <v>2388</v>
      </c>
      <c r="F233" s="374" t="s">
        <v>2312</v>
      </c>
      <c r="G233" s="374" t="s">
        <v>2313</v>
      </c>
      <c r="H233" s="374"/>
      <c r="I233" s="374"/>
      <c r="J233" s="374"/>
      <c r="K233" s="374"/>
      <c r="L233" s="374"/>
      <c r="M233" s="374"/>
      <c r="N233" s="374"/>
      <c r="O233" s="374"/>
      <c r="P233" s="374"/>
      <c r="Q233" s="374"/>
      <c r="R233" s="374"/>
    </row>
    <row r="234" customFormat="false" ht="15.75" hidden="false" customHeight="false" outlineLevel="0" collapsed="false">
      <c r="A234" s="374" t="n">
        <v>270</v>
      </c>
      <c r="B234" s="374" t="str">
        <f aca="false" t="array" ref="B234:B234">INDEX('0.0.1 Pokémon Dex Data'!$E$3:$E1007,MATCH(A234,'0.0.1 Pokémon Dex Data'!$B$3:$B1007,0))</f>
        <v>Donphan</v>
      </c>
      <c r="C234" s="374" t="s">
        <v>138</v>
      </c>
      <c r="D234" s="374" t="s">
        <v>2348</v>
      </c>
      <c r="E234" s="374" t="s">
        <v>2317</v>
      </c>
      <c r="F234" s="374" t="s">
        <v>2563</v>
      </c>
      <c r="G234" s="374" t="s">
        <v>2526</v>
      </c>
      <c r="H234" s="374"/>
      <c r="I234" s="374"/>
      <c r="J234" s="374"/>
      <c r="K234" s="374"/>
      <c r="L234" s="374"/>
      <c r="M234" s="374"/>
      <c r="N234" s="374"/>
      <c r="O234" s="374"/>
      <c r="P234" s="374"/>
      <c r="Q234" s="374"/>
      <c r="R234" s="374"/>
    </row>
    <row r="235" customFormat="false" ht="15.75" hidden="false" customHeight="false" outlineLevel="0" collapsed="false">
      <c r="A235" s="374" t="n">
        <v>271</v>
      </c>
      <c r="B235" s="374" t="str">
        <f aca="false" t="array" ref="B235:B235">INDEX('0.0.1 Pokémon Dex Data'!$E$3:$E1007,MATCH(A235,'0.0.1 Pokémon Dex Data'!$B$3:$B1007,0))</f>
        <v>Porygon2</v>
      </c>
      <c r="C235" s="374" t="s">
        <v>2328</v>
      </c>
      <c r="D235" s="374" t="s">
        <v>2464</v>
      </c>
      <c r="E235" s="374" t="s">
        <v>2329</v>
      </c>
      <c r="F235" s="374" t="s">
        <v>2493</v>
      </c>
      <c r="G235" s="374" t="s">
        <v>2345</v>
      </c>
      <c r="H235" s="374"/>
      <c r="I235" s="374"/>
      <c r="J235" s="374"/>
      <c r="K235" s="374"/>
      <c r="L235" s="374"/>
      <c r="M235" s="374"/>
      <c r="N235" s="374"/>
      <c r="O235" s="374"/>
      <c r="P235" s="374"/>
      <c r="Q235" s="374"/>
      <c r="R235" s="374"/>
    </row>
    <row r="236" customFormat="false" ht="15.75" hidden="false" customHeight="false" outlineLevel="0" collapsed="false">
      <c r="A236" s="374" t="n">
        <v>272</v>
      </c>
      <c r="B236" s="374" t="str">
        <f aca="false" t="array" ref="B236:B236">INDEX('0.0.1 Pokémon Dex Data'!$E$3:$E1007,MATCH(A236,'0.0.1 Pokémon Dex Data'!$B$3:$B1007,0))</f>
        <v>Stantler</v>
      </c>
      <c r="C236" s="374" t="s">
        <v>2348</v>
      </c>
      <c r="D236" s="374" t="s">
        <v>2430</v>
      </c>
      <c r="E236" s="374" t="s">
        <v>2571</v>
      </c>
      <c r="F236" s="374" t="s">
        <v>2477</v>
      </c>
      <c r="G236" s="374" t="s">
        <v>2513</v>
      </c>
      <c r="H236" s="374"/>
      <c r="I236" s="374"/>
      <c r="J236" s="374"/>
      <c r="K236" s="374"/>
      <c r="L236" s="374"/>
      <c r="M236" s="374"/>
      <c r="N236" s="374"/>
      <c r="O236" s="374"/>
      <c r="P236" s="374"/>
      <c r="Q236" s="374"/>
      <c r="R236" s="374"/>
    </row>
    <row r="237" customFormat="false" ht="15.75" hidden="false" customHeight="false" outlineLevel="0" collapsed="false">
      <c r="A237" s="374" t="n">
        <v>273</v>
      </c>
      <c r="B237" s="374" t="str">
        <f aca="false" t="array" ref="B237:B237">INDEX('0.0.1 Pokémon Dex Data'!$E$3:$E1007,MATCH(A237,'0.0.1 Pokémon Dex Data'!$B$3:$B1007,0))</f>
        <v>Smeargle</v>
      </c>
      <c r="C237" s="374" t="s">
        <v>2348</v>
      </c>
      <c r="D237" s="374"/>
      <c r="E237" s="374" t="s">
        <v>2777</v>
      </c>
      <c r="F237" s="374"/>
      <c r="G237" s="374"/>
      <c r="H237" s="374"/>
      <c r="I237" s="374"/>
      <c r="J237" s="374"/>
      <c r="K237" s="374"/>
      <c r="L237" s="374"/>
      <c r="M237" s="374"/>
      <c r="N237" s="374"/>
      <c r="O237" s="374"/>
      <c r="P237" s="374"/>
      <c r="Q237" s="374"/>
      <c r="R237" s="374"/>
    </row>
    <row r="238" customFormat="false" ht="15.75" hidden="false" customHeight="false" outlineLevel="0" collapsed="false">
      <c r="A238" s="374" t="n">
        <v>274</v>
      </c>
      <c r="B238" s="374" t="str">
        <f aca="false" t="array" ref="B238:B238">INDEX('0.0.1 Pokémon Dex Data'!$E$3:$E1007,MATCH(A238,'0.0.1 Pokémon Dex Data'!$B$3:$B1007,0))</f>
        <v>Tyrogue</v>
      </c>
      <c r="C238" s="374" t="s">
        <v>2348</v>
      </c>
      <c r="D238" s="374" t="s">
        <v>2339</v>
      </c>
      <c r="E238" s="374" t="s">
        <v>2540</v>
      </c>
      <c r="F238" s="374" t="s">
        <v>2388</v>
      </c>
      <c r="G238" s="374" t="s">
        <v>2356</v>
      </c>
      <c r="H238" s="374"/>
      <c r="I238" s="374"/>
      <c r="J238" s="374"/>
      <c r="K238" s="374"/>
      <c r="L238" s="374"/>
      <c r="M238" s="374"/>
      <c r="N238" s="374"/>
      <c r="O238" s="374"/>
      <c r="P238" s="374"/>
      <c r="Q238" s="374"/>
      <c r="R238" s="374"/>
    </row>
    <row r="239" customFormat="false" ht="15.75" hidden="false" customHeight="false" outlineLevel="0" collapsed="false">
      <c r="A239" s="374" t="n">
        <v>275</v>
      </c>
      <c r="B239" s="374" t="str">
        <f aca="false" t="array" ref="B239:B239">INDEX('0.0.1 Pokémon Dex Data'!$E$3:$E1007,MATCH(A239,'0.0.1 Pokémon Dex Data'!$B$3:$B1007,0))</f>
        <v>Hitmontop</v>
      </c>
      <c r="C239" s="374" t="s">
        <v>138</v>
      </c>
      <c r="D239" s="374" t="s">
        <v>2339</v>
      </c>
      <c r="E239" s="374" t="s">
        <v>2412</v>
      </c>
      <c r="F239" s="374" t="s">
        <v>2541</v>
      </c>
      <c r="G239" s="374" t="s">
        <v>2500</v>
      </c>
      <c r="H239" s="374"/>
      <c r="I239" s="374"/>
      <c r="J239" s="374"/>
      <c r="K239" s="374"/>
      <c r="L239" s="374"/>
      <c r="M239" s="374"/>
      <c r="N239" s="374"/>
      <c r="O239" s="374"/>
      <c r="P239" s="374"/>
      <c r="Q239" s="374"/>
      <c r="R239" s="374"/>
    </row>
    <row r="240" customFormat="false" ht="15.75" hidden="false" customHeight="false" outlineLevel="0" collapsed="false">
      <c r="A240" s="374" t="n">
        <v>276</v>
      </c>
      <c r="B240" s="374" t="str">
        <f aca="false" t="array" ref="B240:B240">INDEX('0.0.1 Pokémon Dex Data'!$E$3:$E1007,MATCH(A240,'0.0.1 Pokémon Dex Data'!$B$3:$B1007,0))</f>
        <v>Smoochum</v>
      </c>
      <c r="C240" s="374" t="s">
        <v>2582</v>
      </c>
      <c r="D240" s="374" t="s">
        <v>2626</v>
      </c>
      <c r="E240" s="374" t="s">
        <v>2416</v>
      </c>
      <c r="F240" s="374" t="s">
        <v>2495</v>
      </c>
      <c r="G240" s="374" t="s">
        <v>2415</v>
      </c>
      <c r="H240" s="374"/>
      <c r="I240" s="374"/>
      <c r="J240" s="374"/>
      <c r="K240" s="374"/>
      <c r="L240" s="374"/>
      <c r="M240" s="374" t="s">
        <v>2502</v>
      </c>
      <c r="N240" s="374"/>
      <c r="O240" s="374"/>
      <c r="P240" s="374"/>
      <c r="Q240" s="374"/>
      <c r="R240" s="374"/>
    </row>
    <row r="241" customFormat="false" ht="15.75" hidden="false" customHeight="false" outlineLevel="0" collapsed="false">
      <c r="A241" s="374" t="n">
        <v>277</v>
      </c>
      <c r="B241" s="374" t="str">
        <f aca="false" t="array" ref="B241:B241">INDEX('0.0.1 Pokémon Dex Data'!$E$3:$E1007,MATCH(A241,'0.0.1 Pokémon Dex Data'!$B$3:$B1007,0))</f>
        <v>Elekid</v>
      </c>
      <c r="C241" s="374" t="s">
        <v>2539</v>
      </c>
      <c r="D241" s="374" t="s">
        <v>2491</v>
      </c>
      <c r="E241" s="374" t="s">
        <v>2569</v>
      </c>
      <c r="F241" s="374" t="s">
        <v>2356</v>
      </c>
      <c r="G241" s="374" t="s">
        <v>2399</v>
      </c>
      <c r="H241" s="374"/>
      <c r="I241" s="374"/>
      <c r="J241" s="374"/>
      <c r="K241" s="374"/>
      <c r="L241" s="374"/>
      <c r="M241" s="374"/>
      <c r="N241" s="374"/>
      <c r="O241" s="374"/>
      <c r="P241" s="374"/>
      <c r="Q241" s="374"/>
      <c r="R241" s="374"/>
    </row>
    <row r="242" customFormat="false" ht="15.75" hidden="false" customHeight="false" outlineLevel="0" collapsed="false">
      <c r="A242" s="374" t="n">
        <v>278</v>
      </c>
      <c r="B242" s="374" t="str">
        <f aca="false" t="array" ref="B242:B242">INDEX('0.0.1 Pokémon Dex Data'!$E$3:$E1007,MATCH(A242,'0.0.1 Pokémon Dex Data'!$B$3:$B1007,0))</f>
        <v>Magby</v>
      </c>
      <c r="C242" s="374" t="s">
        <v>2545</v>
      </c>
      <c r="D242" s="374" t="s">
        <v>2365</v>
      </c>
      <c r="E242" s="374" t="s">
        <v>2356</v>
      </c>
      <c r="F242" s="374" t="s">
        <v>2371</v>
      </c>
      <c r="G242" s="374" t="s">
        <v>2369</v>
      </c>
      <c r="H242" s="374"/>
      <c r="I242" s="374"/>
      <c r="J242" s="374"/>
      <c r="K242" s="374"/>
      <c r="L242" s="374"/>
      <c r="M242" s="374"/>
      <c r="N242" s="374"/>
      <c r="O242" s="374"/>
      <c r="P242" s="374" t="s">
        <v>2373</v>
      </c>
      <c r="Q242" s="374"/>
      <c r="R242" s="374"/>
    </row>
    <row r="243" customFormat="false" ht="15.75" hidden="false" customHeight="false" outlineLevel="0" collapsed="false">
      <c r="A243" s="374" t="n">
        <v>279</v>
      </c>
      <c r="B243" s="374" t="str">
        <f aca="false" t="array" ref="B243:B243">INDEX('0.0.1 Pokémon Dex Data'!$E$3:$E1007,MATCH(A243,'0.0.1 Pokémon Dex Data'!$B$3:$B1007,0))</f>
        <v>Miltank</v>
      </c>
      <c r="C243" s="374" t="s">
        <v>2348</v>
      </c>
      <c r="D243" s="374" t="s">
        <v>2430</v>
      </c>
      <c r="E243" s="374" t="s">
        <v>2571</v>
      </c>
      <c r="F243" s="374" t="s">
        <v>2312</v>
      </c>
      <c r="G243" s="374" t="s">
        <v>2412</v>
      </c>
      <c r="H243" s="374"/>
      <c r="I243" s="374"/>
      <c r="J243" s="374"/>
      <c r="K243" s="374"/>
      <c r="L243" s="374"/>
      <c r="M243" s="374"/>
      <c r="N243" s="374"/>
      <c r="O243" s="374"/>
      <c r="P243" s="374"/>
      <c r="Q243" s="374"/>
      <c r="R243" s="374"/>
    </row>
    <row r="244" customFormat="false" ht="15.75" hidden="false" customHeight="false" outlineLevel="0" collapsed="false">
      <c r="A244" s="374" t="n">
        <v>280</v>
      </c>
      <c r="B244" s="374" t="str">
        <f aca="false" t="array" ref="B244:B244">INDEX('0.0.1 Pokémon Dex Data'!$E$3:$E1007,MATCH(A244,'0.0.1 Pokémon Dex Data'!$B$3:$B1007,0))</f>
        <v>Blissey</v>
      </c>
      <c r="C244" s="374" t="s">
        <v>2582</v>
      </c>
      <c r="D244" s="374" t="s">
        <v>2430</v>
      </c>
      <c r="E244" s="374" t="s">
        <v>157</v>
      </c>
      <c r="F244" s="374" t="s">
        <v>2517</v>
      </c>
      <c r="G244" s="374" t="s">
        <v>2329</v>
      </c>
      <c r="H244" s="374"/>
      <c r="I244" s="374"/>
      <c r="J244" s="374"/>
      <c r="K244" s="374"/>
      <c r="L244" s="374"/>
      <c r="M244" s="374"/>
      <c r="N244" s="374"/>
      <c r="O244" s="374"/>
      <c r="P244" s="374"/>
      <c r="Q244" s="374"/>
      <c r="R244" s="374"/>
    </row>
    <row r="245" customFormat="false" ht="15.75" hidden="false" customHeight="false" outlineLevel="0" collapsed="false">
      <c r="A245" s="374" t="n">
        <v>281</v>
      </c>
      <c r="B245" s="374" t="str">
        <f aca="false" t="array" ref="B245:B245">INDEX('0.0.1 Pokémon Dex Data'!$E$3:$E1007,MATCH(A245,'0.0.1 Pokémon Dex Data'!$B$3:$B1007,0))</f>
        <v>Raikou</v>
      </c>
      <c r="C245" s="374" t="s">
        <v>2492</v>
      </c>
      <c r="D245" s="374" t="s">
        <v>2491</v>
      </c>
      <c r="E245" s="374" t="s">
        <v>2475</v>
      </c>
      <c r="F245" s="374" t="s">
        <v>2476</v>
      </c>
      <c r="G245" s="374" t="s">
        <v>2477</v>
      </c>
      <c r="H245" s="374"/>
      <c r="I245" s="374"/>
      <c r="J245" s="374"/>
      <c r="K245" s="374"/>
      <c r="L245" s="374"/>
      <c r="M245" s="374"/>
      <c r="N245" s="374"/>
      <c r="O245" s="374"/>
      <c r="P245" s="374"/>
      <c r="Q245" s="374"/>
      <c r="R245" s="374"/>
    </row>
    <row r="246" customFormat="false" ht="15.75" hidden="false" customHeight="false" outlineLevel="0" collapsed="false">
      <c r="A246" s="374" t="n">
        <v>282</v>
      </c>
      <c r="B246" s="374" t="str">
        <f aca="false" t="array" ref="B246:B246">INDEX('0.0.1 Pokémon Dex Data'!$E$3:$E1007,MATCH(A246,'0.0.1 Pokémon Dex Data'!$B$3:$B1007,0))</f>
        <v>Entei</v>
      </c>
      <c r="C246" s="374" t="s">
        <v>2370</v>
      </c>
      <c r="D246" s="374" t="s">
        <v>2367</v>
      </c>
      <c r="E246" s="374" t="s">
        <v>2373</v>
      </c>
      <c r="F246" s="374" t="s">
        <v>2386</v>
      </c>
      <c r="G246" s="374" t="s">
        <v>2366</v>
      </c>
      <c r="H246" s="374"/>
      <c r="I246" s="374"/>
      <c r="J246" s="374"/>
      <c r="K246" s="374"/>
      <c r="L246" s="374"/>
      <c r="M246" s="374"/>
      <c r="N246" s="374"/>
      <c r="O246" s="374"/>
      <c r="P246" s="374"/>
      <c r="Q246" s="374"/>
      <c r="R246" s="374"/>
    </row>
    <row r="247" customFormat="false" ht="15.75" hidden="false" customHeight="false" outlineLevel="0" collapsed="false">
      <c r="A247" s="374" t="n">
        <v>283</v>
      </c>
      <c r="B247" s="374" t="str">
        <f aca="false" t="array" ref="B247:B247">INDEX('0.0.1 Pokémon Dex Data'!$E$3:$E1007,MATCH(A247,'0.0.1 Pokémon Dex Data'!$B$3:$B1007,0))</f>
        <v>Suicune</v>
      </c>
      <c r="C247" s="374" t="s">
        <v>2632</v>
      </c>
      <c r="D247" s="374" t="s">
        <v>2472</v>
      </c>
      <c r="E247" s="374" t="s">
        <v>2408</v>
      </c>
      <c r="F247" s="374" t="s">
        <v>2428</v>
      </c>
      <c r="G247" s="374" t="s">
        <v>2414</v>
      </c>
      <c r="H247" s="374"/>
      <c r="I247" s="374"/>
      <c r="J247" s="374"/>
      <c r="K247" s="374"/>
      <c r="L247" s="374"/>
      <c r="M247" s="374" t="s">
        <v>2328</v>
      </c>
      <c r="N247" s="374"/>
      <c r="O247" s="374"/>
      <c r="P247" s="374"/>
      <c r="Q247" s="374"/>
      <c r="R247" s="374"/>
    </row>
    <row r="248" customFormat="false" ht="15.75" hidden="false" customHeight="false" outlineLevel="0" collapsed="false">
      <c r="A248" s="374" t="n">
        <v>284</v>
      </c>
      <c r="B248" s="374" t="str">
        <f aca="false" t="array" ref="B248:B248">INDEX('0.0.1 Pokémon Dex Data'!$E$3:$E1007,MATCH(A248,'0.0.1 Pokémon Dex Data'!$B$3:$B1007,0))</f>
        <v>Larvitar</v>
      </c>
      <c r="C248" s="374" t="s">
        <v>2404</v>
      </c>
      <c r="D248" s="374" t="s">
        <v>2339</v>
      </c>
      <c r="E248" s="374" t="s">
        <v>2571</v>
      </c>
      <c r="F248" s="374" t="s">
        <v>2561</v>
      </c>
      <c r="G248" s="374" t="s">
        <v>2466</v>
      </c>
      <c r="H248" s="374"/>
      <c r="I248" s="374"/>
      <c r="J248" s="374"/>
      <c r="K248" s="374"/>
      <c r="L248" s="374"/>
      <c r="M248" s="374"/>
      <c r="N248" s="374"/>
      <c r="O248" s="374"/>
      <c r="P248" s="374"/>
      <c r="Q248" s="374"/>
      <c r="R248" s="374"/>
    </row>
    <row r="249" customFormat="false" ht="15.75" hidden="false" customHeight="false" outlineLevel="0" collapsed="false">
      <c r="A249" s="374" t="n">
        <v>285</v>
      </c>
      <c r="B249" s="374" t="str">
        <f aca="false" t="array" ref="B249:B249">INDEX('0.0.1 Pokémon Dex Data'!$E$3:$E1007,MATCH(A249,'0.0.1 Pokémon Dex Data'!$B$3:$B1007,0))</f>
        <v>Pupitar</v>
      </c>
      <c r="C249" s="374" t="s">
        <v>2404</v>
      </c>
      <c r="D249" s="374" t="s">
        <v>2339</v>
      </c>
      <c r="E249" s="374" t="s">
        <v>2358</v>
      </c>
      <c r="F249" s="374" t="s">
        <v>2561</v>
      </c>
      <c r="G249" s="374" t="s">
        <v>2466</v>
      </c>
      <c r="H249" s="374"/>
      <c r="I249" s="374"/>
      <c r="J249" s="374"/>
      <c r="K249" s="374"/>
      <c r="L249" s="374"/>
      <c r="M249" s="374"/>
      <c r="N249" s="374"/>
      <c r="O249" s="374"/>
      <c r="P249" s="374"/>
      <c r="Q249" s="374"/>
      <c r="R249" s="374"/>
    </row>
    <row r="250" customFormat="false" ht="15.75" hidden="false" customHeight="false" outlineLevel="0" collapsed="false">
      <c r="A250" s="374" t="n">
        <v>286</v>
      </c>
      <c r="B250" s="374" t="str">
        <f aca="false" t="array" ref="B250:B250">INDEX('0.0.1 Pokémon Dex Data'!$E$3:$E1007,MATCH(A250,'0.0.1 Pokémon Dex Data'!$B$3:$B1007,0))</f>
        <v>Tyranitar</v>
      </c>
      <c r="C250" s="374" t="s">
        <v>2404</v>
      </c>
      <c r="D250" s="374" t="s">
        <v>2381</v>
      </c>
      <c r="E250" s="374" t="s">
        <v>2366</v>
      </c>
      <c r="F250" s="374" t="s">
        <v>2500</v>
      </c>
      <c r="G250" s="374" t="s">
        <v>2466</v>
      </c>
      <c r="H250" s="374"/>
      <c r="I250" s="374"/>
      <c r="J250" s="374"/>
      <c r="K250" s="374"/>
      <c r="L250" s="374"/>
      <c r="M250" s="374"/>
      <c r="N250" s="374"/>
      <c r="O250" s="374"/>
      <c r="P250" s="374"/>
      <c r="Q250" s="374"/>
      <c r="R250" s="374"/>
    </row>
    <row r="251" customFormat="false" ht="15.75" hidden="false" customHeight="false" outlineLevel="0" collapsed="false">
      <c r="A251" s="374" t="n">
        <v>288</v>
      </c>
      <c r="B251" s="374" t="str">
        <f aca="false" t="array" ref="B251:B251">INDEX('0.0.1 Pokémon Dex Data'!$E$3:$E1007,MATCH(A251,'0.0.1 Pokémon Dex Data'!$B$3:$B1007,0))</f>
        <v>Lugia</v>
      </c>
      <c r="C251" s="374" t="s">
        <v>2632</v>
      </c>
      <c r="D251" s="374" t="s">
        <v>2363</v>
      </c>
      <c r="E251" s="374" t="s">
        <v>2414</v>
      </c>
      <c r="F251" s="374" t="s">
        <v>2550</v>
      </c>
      <c r="G251" s="374" t="s">
        <v>2462</v>
      </c>
      <c r="H251" s="374"/>
      <c r="I251" s="374"/>
      <c r="J251" s="374"/>
      <c r="K251" s="374"/>
      <c r="L251" s="374"/>
      <c r="M251" s="374"/>
      <c r="N251" s="374"/>
      <c r="O251" s="374"/>
      <c r="P251" s="374"/>
      <c r="Q251" s="374"/>
      <c r="R251" s="374"/>
    </row>
    <row r="252" customFormat="false" ht="15.75" hidden="false" customHeight="false" outlineLevel="0" collapsed="false">
      <c r="A252" s="374" t="n">
        <v>289</v>
      </c>
      <c r="B252" s="374" t="str">
        <f aca="false" t="array" ref="B252:B252">INDEX('0.0.1 Pokémon Dex Data'!$E$3:$E1007,MATCH(A252,'0.0.1 Pokémon Dex Data'!$B$3:$B1007,0))</f>
        <v>Ho-Oh</v>
      </c>
      <c r="C252" s="374" t="s">
        <v>2632</v>
      </c>
      <c r="D252" s="374" t="s">
        <v>2396</v>
      </c>
      <c r="E252" s="374" t="s">
        <v>2577</v>
      </c>
      <c r="F252" s="374" t="s">
        <v>2366</v>
      </c>
      <c r="G252" s="374" t="s">
        <v>2345</v>
      </c>
      <c r="H252" s="374"/>
      <c r="I252" s="374"/>
      <c r="J252" s="374"/>
      <c r="K252" s="374"/>
      <c r="L252" s="374"/>
      <c r="M252" s="374"/>
      <c r="N252" s="374"/>
      <c r="O252" s="374"/>
      <c r="P252" s="374"/>
      <c r="Q252" s="374"/>
      <c r="R252" s="374"/>
    </row>
    <row r="253" customFormat="false" ht="15.75" hidden="false" customHeight="false" outlineLevel="0" collapsed="false">
      <c r="A253" s="374" t="n">
        <v>290</v>
      </c>
      <c r="B253" s="374" t="str">
        <f aca="false" t="array" ref="B253:B253">INDEX('0.0.1 Pokémon Dex Data'!$E$3:$E1007,MATCH(A253,'0.0.1 Pokémon Dex Data'!$B$3:$B1007,0))</f>
        <v>Celebi</v>
      </c>
      <c r="C253" s="374" t="s">
        <v>2434</v>
      </c>
      <c r="D253" s="374" t="s">
        <v>2464</v>
      </c>
      <c r="E253" s="374" t="s">
        <v>157</v>
      </c>
      <c r="F253" s="374" t="s">
        <v>2329</v>
      </c>
      <c r="G253" s="374" t="s">
        <v>2517</v>
      </c>
      <c r="H253" s="374"/>
      <c r="I253" s="374"/>
      <c r="J253" s="374"/>
      <c r="K253" s="374"/>
      <c r="L253" s="374"/>
      <c r="M253" s="374"/>
      <c r="N253" s="374"/>
      <c r="O253" s="374"/>
      <c r="P253" s="374"/>
      <c r="Q253" s="374"/>
      <c r="R253" s="374"/>
    </row>
    <row r="254" customFormat="false" ht="15.75" hidden="false" customHeight="false" outlineLevel="0" collapsed="false">
      <c r="A254" s="374" t="n">
        <v>291</v>
      </c>
      <c r="B254" s="374" t="str">
        <f aca="false" t="array" ref="B254:B254">INDEX('0.0.1 Pokémon Dex Data'!$E$3:$E1007,MATCH(A254,'0.0.1 Pokémon Dex Data'!$B$3:$B1007,0))</f>
        <v>Treecko</v>
      </c>
      <c r="C254" s="374" t="s">
        <v>2582</v>
      </c>
      <c r="D254" s="374" t="s">
        <v>2314</v>
      </c>
      <c r="E254" s="374" t="s">
        <v>2325</v>
      </c>
      <c r="F254" s="374" t="s">
        <v>2319</v>
      </c>
      <c r="G254" s="374" t="s">
        <v>2352</v>
      </c>
      <c r="H254" s="374"/>
      <c r="I254" s="374"/>
      <c r="J254" s="374"/>
      <c r="K254" s="374"/>
      <c r="L254" s="374"/>
      <c r="M254" s="374"/>
      <c r="N254" s="374"/>
      <c r="O254" s="374"/>
      <c r="P254" s="374"/>
      <c r="Q254" s="374"/>
      <c r="R254" s="374"/>
    </row>
    <row r="255" customFormat="false" ht="15.75" hidden="false" customHeight="false" outlineLevel="0" collapsed="false">
      <c r="A255" s="374" t="n">
        <v>292</v>
      </c>
      <c r="B255" s="374" t="str">
        <f aca="false" t="array" ref="B255:B255">INDEX('0.0.1 Pokémon Dex Data'!$E$3:$E1007,MATCH(A255,'0.0.1 Pokémon Dex Data'!$B$3:$B1007,0))</f>
        <v>Grovyle</v>
      </c>
      <c r="C255" s="374" t="s">
        <v>2461</v>
      </c>
      <c r="D255" s="374" t="s">
        <v>2314</v>
      </c>
      <c r="E255" s="374" t="s">
        <v>2325</v>
      </c>
      <c r="F255" s="374" t="s">
        <v>2556</v>
      </c>
      <c r="G255" s="374" t="s">
        <v>2352</v>
      </c>
      <c r="H255" s="374"/>
      <c r="I255" s="374"/>
      <c r="J255" s="374"/>
      <c r="K255" s="374"/>
      <c r="L255" s="374"/>
      <c r="M255" s="374"/>
      <c r="N255" s="374"/>
      <c r="O255" s="374"/>
      <c r="P255" s="374"/>
      <c r="Q255" s="374"/>
      <c r="R255" s="374"/>
    </row>
    <row r="256" customFormat="false" ht="15.75" hidden="false" customHeight="false" outlineLevel="0" collapsed="false">
      <c r="A256" s="374" t="n">
        <v>293</v>
      </c>
      <c r="B256" s="374" t="str">
        <f aca="false" t="array" ref="B256:B256">INDEX('0.0.1 Pokémon Dex Data'!$E$3:$E1007,MATCH(A256,'0.0.1 Pokémon Dex Data'!$B$3:$B1007,0))</f>
        <v>Sceptile</v>
      </c>
      <c r="C256" s="374" t="s">
        <v>2322</v>
      </c>
      <c r="D256" s="374" t="s">
        <v>2314</v>
      </c>
      <c r="E256" s="374" t="s">
        <v>2556</v>
      </c>
      <c r="F256" s="374" t="s">
        <v>2317</v>
      </c>
      <c r="G256" s="374" t="s">
        <v>2352</v>
      </c>
      <c r="H256" s="374"/>
      <c r="I256" s="374"/>
      <c r="J256" s="374"/>
      <c r="K256" s="374"/>
      <c r="L256" s="374"/>
      <c r="M256" s="374"/>
      <c r="N256" s="374"/>
      <c r="O256" s="374"/>
      <c r="P256" s="374"/>
      <c r="Q256" s="374"/>
      <c r="R256" s="374"/>
    </row>
    <row r="257" customFormat="false" ht="15.75" hidden="false" customHeight="false" outlineLevel="0" collapsed="false">
      <c r="A257" s="374" t="n">
        <v>295</v>
      </c>
      <c r="B257" s="374" t="str">
        <f aca="false" t="array" ref="B257:B257">INDEX('0.0.1 Pokémon Dex Data'!$E$3:$E1007,MATCH(A257,'0.0.1 Pokémon Dex Data'!$B$3:$B1007,0))</f>
        <v>Torchic</v>
      </c>
      <c r="C257" s="374" t="s">
        <v>2365</v>
      </c>
      <c r="D257" s="374" t="s">
        <v>2390</v>
      </c>
      <c r="E257" s="374" t="s">
        <v>2373</v>
      </c>
      <c r="F257" s="374" t="s">
        <v>2389</v>
      </c>
      <c r="G257" s="374" t="s">
        <v>2372</v>
      </c>
      <c r="H257" s="374"/>
      <c r="I257" s="374"/>
      <c r="J257" s="374"/>
      <c r="K257" s="374"/>
      <c r="L257" s="374"/>
      <c r="M257" s="374"/>
      <c r="N257" s="374"/>
      <c r="O257" s="374"/>
      <c r="P257" s="374"/>
      <c r="Q257" s="374"/>
      <c r="R257" s="374"/>
    </row>
    <row r="258" customFormat="false" ht="15.75" hidden="false" customHeight="false" outlineLevel="0" collapsed="false">
      <c r="A258" s="374" t="n">
        <v>296</v>
      </c>
      <c r="B258" s="374" t="str">
        <f aca="false" t="array" ref="B258:B258">INDEX('0.0.1 Pokémon Dex Data'!$E$3:$E1007,MATCH(A258,'0.0.1 Pokémon Dex Data'!$B$3:$B1007,0))</f>
        <v>Combusken</v>
      </c>
      <c r="C258" s="374" t="s">
        <v>2365</v>
      </c>
      <c r="D258" s="374" t="s">
        <v>2480</v>
      </c>
      <c r="E258" s="374" t="s">
        <v>2373</v>
      </c>
      <c r="F258" s="374" t="s">
        <v>2388</v>
      </c>
      <c r="G258" s="374" t="s">
        <v>2372</v>
      </c>
      <c r="H258" s="374"/>
      <c r="I258" s="374"/>
      <c r="J258" s="374"/>
      <c r="K258" s="374"/>
      <c r="L258" s="374"/>
      <c r="M258" s="374"/>
      <c r="N258" s="374"/>
      <c r="O258" s="374"/>
      <c r="P258" s="374"/>
      <c r="Q258" s="374"/>
      <c r="R258" s="374"/>
    </row>
    <row r="259" customFormat="false" ht="15.75" hidden="false" customHeight="false" outlineLevel="0" collapsed="false">
      <c r="A259" s="374" t="n">
        <v>297</v>
      </c>
      <c r="B259" s="374" t="str">
        <f aca="false" t="array" ref="B259:B259">INDEX('0.0.1 Pokémon Dex Data'!$E$3:$E1007,MATCH(A259,'0.0.1 Pokémon Dex Data'!$B$3:$B1007,0))</f>
        <v>Blaziken</v>
      </c>
      <c r="C259" s="374" t="s">
        <v>2370</v>
      </c>
      <c r="D259" s="374" t="s">
        <v>138</v>
      </c>
      <c r="E259" s="374" t="s">
        <v>2376</v>
      </c>
      <c r="F259" s="374" t="s">
        <v>2386</v>
      </c>
      <c r="G259" s="374" t="s">
        <v>2577</v>
      </c>
      <c r="H259" s="374"/>
      <c r="I259" s="374"/>
      <c r="J259" s="374"/>
      <c r="K259" s="374"/>
      <c r="L259" s="374"/>
      <c r="M259" s="374"/>
      <c r="N259" s="374"/>
      <c r="O259" s="374"/>
      <c r="P259" s="374" t="s">
        <v>2500</v>
      </c>
      <c r="Q259" s="374"/>
      <c r="R259" s="374"/>
    </row>
    <row r="260" customFormat="false" ht="15.75" hidden="false" customHeight="false" outlineLevel="0" collapsed="false">
      <c r="A260" s="374" t="n">
        <v>299</v>
      </c>
      <c r="B260" s="374" t="str">
        <f aca="false" t="array" ref="B260:B260">INDEX('0.0.1 Pokémon Dex Data'!$E$3:$E1007,MATCH(A260,'0.0.1 Pokémon Dex Data'!$B$3:$B1007,0))</f>
        <v>Mudkip</v>
      </c>
      <c r="C260" s="374" t="s">
        <v>2426</v>
      </c>
      <c r="D260" s="374" t="s">
        <v>2348</v>
      </c>
      <c r="E260" s="374" t="s">
        <v>2571</v>
      </c>
      <c r="F260" s="374" t="s">
        <v>2583</v>
      </c>
      <c r="G260" s="374" t="s">
        <v>2358</v>
      </c>
      <c r="H260" s="374"/>
      <c r="I260" s="374"/>
      <c r="J260" s="374"/>
      <c r="K260" s="374"/>
      <c r="L260" s="374"/>
      <c r="M260" s="374"/>
      <c r="N260" s="374"/>
      <c r="O260" s="374"/>
      <c r="P260" s="374"/>
      <c r="Q260" s="374"/>
      <c r="R260" s="374"/>
    </row>
    <row r="261" customFormat="false" ht="15.75" hidden="false" customHeight="false" outlineLevel="0" collapsed="false">
      <c r="A261" s="374" t="n">
        <v>300</v>
      </c>
      <c r="B261" s="374" t="str">
        <f aca="false" t="array" ref="B261:B261">INDEX('0.0.1 Pokémon Dex Data'!$E$3:$E1007,MATCH(A261,'0.0.1 Pokémon Dex Data'!$B$3:$B1007,0))</f>
        <v>Marshtomp</v>
      </c>
      <c r="C261" s="374" t="s">
        <v>2426</v>
      </c>
      <c r="D261" s="374" t="s">
        <v>2594</v>
      </c>
      <c r="E261" s="374" t="s">
        <v>2424</v>
      </c>
      <c r="F261" s="374" t="s">
        <v>2486</v>
      </c>
      <c r="G261" s="374" t="s">
        <v>2583</v>
      </c>
      <c r="H261" s="374"/>
      <c r="I261" s="374"/>
      <c r="J261" s="374"/>
      <c r="K261" s="374"/>
      <c r="L261" s="374"/>
      <c r="M261" s="374"/>
      <c r="N261" s="374"/>
      <c r="O261" s="374"/>
      <c r="P261" s="374"/>
      <c r="Q261" s="374"/>
      <c r="R261" s="374"/>
    </row>
    <row r="262" customFormat="false" ht="15.75" hidden="false" customHeight="false" outlineLevel="0" collapsed="false">
      <c r="A262" s="374" t="n">
        <v>301</v>
      </c>
      <c r="B262" s="374" t="str">
        <f aca="false" t="array" ref="B262:B262">INDEX('0.0.1 Pokémon Dex Data'!$E$3:$E1007,MATCH(A262,'0.0.1 Pokémon Dex Data'!$B$3:$B1007,0))</f>
        <v>Swampert</v>
      </c>
      <c r="C262" s="374" t="s">
        <v>2426</v>
      </c>
      <c r="D262" s="374" t="s">
        <v>2594</v>
      </c>
      <c r="E262" s="374" t="s">
        <v>2424</v>
      </c>
      <c r="F262" s="374" t="s">
        <v>2317</v>
      </c>
      <c r="G262" s="374" t="s">
        <v>2471</v>
      </c>
      <c r="H262" s="374"/>
      <c r="I262" s="374"/>
      <c r="J262" s="374"/>
      <c r="K262" s="374"/>
      <c r="L262" s="374"/>
      <c r="M262" s="374"/>
      <c r="N262" s="374"/>
      <c r="O262" s="374"/>
      <c r="P262" s="374"/>
      <c r="Q262" s="374"/>
      <c r="R262" s="374"/>
    </row>
    <row r="263" customFormat="false" ht="15.75" hidden="false" customHeight="false" outlineLevel="0" collapsed="false">
      <c r="A263" s="374" t="n">
        <v>303</v>
      </c>
      <c r="B263" s="374" t="str">
        <f aca="false" t="array" ref="B263:B263">INDEX('0.0.1 Pokémon Dex Data'!$E$3:$E1007,MATCH(A263,'0.0.1 Pokémon Dex Data'!$B$3:$B1007,0))</f>
        <v>Poochyena</v>
      </c>
      <c r="C263" s="374" t="s">
        <v>2472</v>
      </c>
      <c r="D263" s="374" t="s">
        <v>2348</v>
      </c>
      <c r="E263" s="374" t="s">
        <v>2466</v>
      </c>
      <c r="F263" s="374" t="s">
        <v>2529</v>
      </c>
      <c r="G263" s="374" t="s">
        <v>2358</v>
      </c>
      <c r="H263" s="374"/>
      <c r="I263" s="374"/>
      <c r="J263" s="374"/>
      <c r="K263" s="374"/>
      <c r="L263" s="374"/>
      <c r="M263" s="374"/>
      <c r="N263" s="374"/>
      <c r="O263" s="374"/>
      <c r="P263" s="374"/>
      <c r="Q263" s="374"/>
      <c r="R263" s="374"/>
    </row>
    <row r="264" customFormat="false" ht="15.75" hidden="false" customHeight="false" outlineLevel="0" collapsed="false">
      <c r="A264" s="374" t="n">
        <v>304</v>
      </c>
      <c r="B264" s="374" t="str">
        <f aca="false" t="array" ref="B264:B264">INDEX('0.0.1 Pokémon Dex Data'!$E$3:$E1007,MATCH(A264,'0.0.1 Pokémon Dex Data'!$B$3:$B1007,0))</f>
        <v>Mightyena</v>
      </c>
      <c r="C264" s="374" t="s">
        <v>2404</v>
      </c>
      <c r="D264" s="374" t="s">
        <v>2367</v>
      </c>
      <c r="E264" s="374" t="s">
        <v>2526</v>
      </c>
      <c r="F264" s="374" t="s">
        <v>2466</v>
      </c>
      <c r="G264" s="374" t="s">
        <v>2529</v>
      </c>
      <c r="H264" s="374"/>
      <c r="I264" s="374"/>
      <c r="J264" s="374"/>
      <c r="K264" s="374"/>
      <c r="L264" s="374"/>
      <c r="M264" s="374"/>
      <c r="N264" s="374"/>
      <c r="O264" s="374"/>
      <c r="P264" s="374"/>
      <c r="Q264" s="374"/>
      <c r="R264" s="374"/>
    </row>
    <row r="265" customFormat="false" ht="15.75" hidden="false" customHeight="false" outlineLevel="0" collapsed="false">
      <c r="A265" s="374" t="n">
        <v>305</v>
      </c>
      <c r="B265" s="374" t="str">
        <f aca="false" t="array" ref="B265:B265">INDEX('0.0.1 Pokémon Dex Data'!$E$3:$E1007,MATCH(A265,'0.0.1 Pokémon Dex Data'!$B$3:$B1007,0))</f>
        <v>Zigzagoon</v>
      </c>
      <c r="C265" s="374" t="s">
        <v>2339</v>
      </c>
      <c r="D265" s="374" t="s">
        <v>2348</v>
      </c>
      <c r="E265" s="374" t="s">
        <v>2325</v>
      </c>
      <c r="F265" s="374" t="s">
        <v>2476</v>
      </c>
      <c r="G265" s="374" t="s">
        <v>2358</v>
      </c>
      <c r="H265" s="374"/>
      <c r="I265" s="374"/>
      <c r="J265" s="374"/>
      <c r="K265" s="374"/>
      <c r="L265" s="374"/>
      <c r="M265" s="374"/>
      <c r="N265" s="374"/>
      <c r="O265" s="374"/>
      <c r="P265" s="374"/>
      <c r="Q265" s="374"/>
      <c r="R265" s="374"/>
    </row>
    <row r="266" customFormat="false" ht="15.75" hidden="false" customHeight="false" outlineLevel="0" collapsed="false">
      <c r="A266" s="374" t="n">
        <v>306</v>
      </c>
      <c r="B266" s="374" t="str">
        <f aca="false" t="array" ref="B266:B266">INDEX('0.0.1 Pokémon Dex Data'!$E$3:$E1007,MATCH(A266,'0.0.1 Pokémon Dex Data'!$B$3:$B1007,0))</f>
        <v>Linoone</v>
      </c>
      <c r="C266" s="374" t="s">
        <v>2392</v>
      </c>
      <c r="D266" s="374" t="s">
        <v>2348</v>
      </c>
      <c r="E266" s="374" t="s">
        <v>2325</v>
      </c>
      <c r="F266" s="374" t="s">
        <v>2475</v>
      </c>
      <c r="G266" s="374" t="s">
        <v>2358</v>
      </c>
      <c r="H266" s="374"/>
      <c r="I266" s="374"/>
      <c r="J266" s="374"/>
      <c r="K266" s="374"/>
      <c r="L266" s="374"/>
      <c r="M266" s="374"/>
      <c r="N266" s="374"/>
      <c r="O266" s="374"/>
      <c r="P266" s="374"/>
      <c r="Q266" s="374"/>
      <c r="R266" s="374"/>
    </row>
    <row r="267" customFormat="false" ht="15.75" hidden="false" customHeight="false" outlineLevel="0" collapsed="false">
      <c r="A267" s="374" t="n">
        <v>307</v>
      </c>
      <c r="B267" s="374" t="str">
        <f aca="false" t="array" ref="B267:B267">INDEX('0.0.1 Pokémon Dex Data'!$E$3:$E1007,MATCH(A267,'0.0.1 Pokémon Dex Data'!$B$3:$B1007,0))</f>
        <v>Wurmple</v>
      </c>
      <c r="C267" s="374" t="s">
        <v>2432</v>
      </c>
      <c r="D267" s="374" t="s">
        <v>2348</v>
      </c>
      <c r="E267" s="374" t="s">
        <v>2777</v>
      </c>
      <c r="F267" s="374"/>
      <c r="G267" s="374"/>
      <c r="H267" s="374"/>
      <c r="I267" s="374"/>
      <c r="J267" s="374"/>
      <c r="K267" s="374"/>
      <c r="L267" s="374"/>
      <c r="M267" s="374"/>
      <c r="N267" s="374"/>
      <c r="O267" s="374"/>
      <c r="P267" s="374"/>
      <c r="Q267" s="374"/>
      <c r="R267" s="374"/>
    </row>
    <row r="268" customFormat="false" ht="15.75" hidden="false" customHeight="false" outlineLevel="0" collapsed="false">
      <c r="A268" s="374" t="n">
        <v>308</v>
      </c>
      <c r="B268" s="374" t="str">
        <f aca="false" t="array" ref="B268:B268">INDEX('0.0.1 Pokémon Dex Data'!$E$3:$E1007,MATCH(A268,'0.0.1 Pokémon Dex Data'!$B$3:$B1007,0))</f>
        <v>Silcoon</v>
      </c>
      <c r="C268" s="374" t="s">
        <v>2432</v>
      </c>
      <c r="D268" s="374" t="s">
        <v>2487</v>
      </c>
      <c r="E268" s="374" t="s">
        <v>2777</v>
      </c>
      <c r="F268" s="374"/>
      <c r="G268" s="374"/>
      <c r="H268" s="374"/>
      <c r="I268" s="374"/>
      <c r="J268" s="374"/>
      <c r="K268" s="374"/>
      <c r="L268" s="374"/>
      <c r="M268" s="374"/>
      <c r="N268" s="374"/>
      <c r="O268" s="374"/>
      <c r="P268" s="374"/>
      <c r="Q268" s="374"/>
      <c r="R268" s="374"/>
    </row>
    <row r="269" customFormat="false" ht="15.75" hidden="false" customHeight="false" outlineLevel="0" collapsed="false">
      <c r="A269" s="374" t="n">
        <v>309</v>
      </c>
      <c r="B269" s="374" t="str">
        <f aca="false" t="array" ref="B269:B269">INDEX('0.0.1 Pokémon Dex Data'!$E$3:$E1007,MATCH(A269,'0.0.1 Pokémon Dex Data'!$B$3:$B1007,0))</f>
        <v>Beautifly</v>
      </c>
      <c r="C269" s="374" t="s">
        <v>2438</v>
      </c>
      <c r="D269" s="374" t="s">
        <v>2444</v>
      </c>
      <c r="E269" s="374" t="s">
        <v>2433</v>
      </c>
      <c r="F269" s="374" t="s">
        <v>2353</v>
      </c>
      <c r="G269" s="374" t="s">
        <v>2443</v>
      </c>
      <c r="H269" s="374"/>
      <c r="I269" s="374"/>
      <c r="J269" s="374"/>
      <c r="K269" s="374"/>
      <c r="L269" s="374"/>
      <c r="M269" s="374"/>
      <c r="N269" s="374"/>
      <c r="O269" s="374"/>
      <c r="P269" s="374"/>
      <c r="Q269" s="374"/>
      <c r="R269" s="374"/>
    </row>
    <row r="270" customFormat="false" ht="15.75" hidden="false" customHeight="false" outlineLevel="0" collapsed="false">
      <c r="A270" s="374" t="n">
        <v>310</v>
      </c>
      <c r="B270" s="374" t="str">
        <f aca="false" t="array" ref="B270:B270">INDEX('0.0.1 Pokémon Dex Data'!$E$3:$E1007,MATCH(A270,'0.0.1 Pokémon Dex Data'!$B$3:$B1007,0))</f>
        <v>Cascoon</v>
      </c>
      <c r="C270" s="374" t="s">
        <v>2432</v>
      </c>
      <c r="D270" s="374" t="s">
        <v>2487</v>
      </c>
      <c r="E270" s="374" t="s">
        <v>2777</v>
      </c>
      <c r="F270" s="374"/>
      <c r="G270" s="374"/>
      <c r="H270" s="374"/>
      <c r="I270" s="374"/>
      <c r="J270" s="374"/>
      <c r="K270" s="374"/>
      <c r="L270" s="374"/>
      <c r="M270" s="374"/>
      <c r="N270" s="374"/>
      <c r="O270" s="374"/>
      <c r="P270" s="374"/>
      <c r="Q270" s="374"/>
      <c r="R270" s="374"/>
    </row>
    <row r="271" customFormat="false" ht="15.75" hidden="false" customHeight="false" outlineLevel="0" collapsed="false">
      <c r="A271" s="374" t="n">
        <v>311</v>
      </c>
      <c r="B271" s="374" t="str">
        <f aca="false" t="array" ref="B271:B271">INDEX('0.0.1 Pokémon Dex Data'!$E$3:$E1007,MATCH(A271,'0.0.1 Pokémon Dex Data'!$B$3:$B1007,0))</f>
        <v>Dustox</v>
      </c>
      <c r="C271" s="374" t="s">
        <v>2434</v>
      </c>
      <c r="D271" s="374" t="s">
        <v>2444</v>
      </c>
      <c r="E271" s="374" t="s">
        <v>2433</v>
      </c>
      <c r="F271" s="374" t="s">
        <v>2343</v>
      </c>
      <c r="G271" s="374" t="s">
        <v>2443</v>
      </c>
      <c r="H271" s="374"/>
      <c r="I271" s="374"/>
      <c r="J271" s="374"/>
      <c r="K271" s="374"/>
      <c r="L271" s="374"/>
      <c r="M271" s="374"/>
      <c r="N271" s="374"/>
      <c r="O271" s="374"/>
      <c r="P271" s="374"/>
      <c r="Q271" s="374"/>
      <c r="R271" s="374"/>
    </row>
    <row r="272" customFormat="false" ht="15.75" hidden="false" customHeight="false" outlineLevel="0" collapsed="false">
      <c r="A272" s="374" t="n">
        <v>312</v>
      </c>
      <c r="B272" s="374" t="str">
        <f aca="false" t="array" ref="B272:B272">INDEX('0.0.1 Pokémon Dex Data'!$E$3:$E1007,MATCH(A272,'0.0.1 Pokémon Dex Data'!$B$3:$B1007,0))</f>
        <v>Lotad</v>
      </c>
      <c r="C272" s="374" t="s">
        <v>2336</v>
      </c>
      <c r="D272" s="374" t="s">
        <v>2426</v>
      </c>
      <c r="E272" s="374" t="s">
        <v>2408</v>
      </c>
      <c r="F272" s="374" t="s">
        <v>2319</v>
      </c>
      <c r="G272" s="374"/>
      <c r="H272" s="374"/>
      <c r="I272" s="374"/>
      <c r="J272" s="374"/>
      <c r="K272" s="374"/>
      <c r="L272" s="374"/>
      <c r="M272" s="374"/>
      <c r="N272" s="374"/>
      <c r="O272" s="374"/>
      <c r="P272" s="374"/>
      <c r="Q272" s="374"/>
      <c r="R272" s="374"/>
    </row>
    <row r="273" customFormat="false" ht="15.75" hidden="false" customHeight="false" outlineLevel="0" collapsed="false">
      <c r="A273" s="374" t="n">
        <v>313</v>
      </c>
      <c r="B273" s="374" t="str">
        <f aca="false" t="array" ref="B273:B273">INDEX('0.0.1 Pokémon Dex Data'!$E$3:$E1007,MATCH(A273,'0.0.1 Pokémon Dex Data'!$B$3:$B1007,0))</f>
        <v>Lombre</v>
      </c>
      <c r="C273" s="374" t="s">
        <v>2336</v>
      </c>
      <c r="D273" s="374" t="s">
        <v>2407</v>
      </c>
      <c r="E273" s="374" t="s">
        <v>2325</v>
      </c>
      <c r="F273" s="374" t="s">
        <v>2408</v>
      </c>
      <c r="G273" s="374" t="s">
        <v>2415</v>
      </c>
      <c r="H273" s="374"/>
      <c r="I273" s="374"/>
      <c r="J273" s="374"/>
      <c r="K273" s="374"/>
      <c r="L273" s="374"/>
      <c r="M273" s="374"/>
      <c r="N273" s="374"/>
      <c r="O273" s="374"/>
      <c r="P273" s="374"/>
      <c r="Q273" s="374"/>
      <c r="R273" s="374"/>
    </row>
    <row r="274" customFormat="false" ht="15.75" hidden="false" customHeight="false" outlineLevel="0" collapsed="false">
      <c r="A274" s="374" t="n">
        <v>314</v>
      </c>
      <c r="B274" s="374" t="str">
        <f aca="false" t="array" ref="B274:B274">INDEX('0.0.1 Pokémon Dex Data'!$E$3:$E1007,MATCH(A274,'0.0.1 Pokémon Dex Data'!$B$3:$B1007,0))</f>
        <v>Ludicolo</v>
      </c>
      <c r="C274" s="374" t="s">
        <v>2336</v>
      </c>
      <c r="D274" s="374" t="s">
        <v>2407</v>
      </c>
      <c r="E274" s="374" t="s">
        <v>2345</v>
      </c>
      <c r="F274" s="374" t="s">
        <v>2414</v>
      </c>
      <c r="G274" s="374" t="s">
        <v>2405</v>
      </c>
      <c r="H274" s="374"/>
      <c r="I274" s="374"/>
      <c r="J274" s="374"/>
      <c r="K274" s="374"/>
      <c r="L274" s="374"/>
      <c r="M274" s="374"/>
      <c r="N274" s="374"/>
      <c r="O274" s="374"/>
      <c r="P274" s="374"/>
      <c r="Q274" s="374"/>
      <c r="R274" s="374"/>
    </row>
    <row r="275" customFormat="false" ht="15.75" hidden="false" customHeight="false" outlineLevel="0" collapsed="false">
      <c r="A275" s="374" t="n">
        <v>315</v>
      </c>
      <c r="B275" s="374" t="str">
        <f aca="false" t="array" ref="B275:B275">INDEX('0.0.1 Pokémon Dex Data'!$E$3:$E1007,MATCH(A275,'0.0.1 Pokémon Dex Data'!$B$3:$B1007,0))</f>
        <v>Seedot</v>
      </c>
      <c r="C275" s="374" t="s">
        <v>2461</v>
      </c>
      <c r="D275" s="374" t="s">
        <v>2314</v>
      </c>
      <c r="E275" s="374" t="s">
        <v>2325</v>
      </c>
      <c r="F275" s="374" t="s">
        <v>2523</v>
      </c>
      <c r="G275" s="374" t="s">
        <v>2319</v>
      </c>
      <c r="H275" s="374"/>
      <c r="I275" s="374"/>
      <c r="J275" s="374"/>
      <c r="K275" s="374"/>
      <c r="L275" s="374"/>
      <c r="M275" s="374"/>
      <c r="N275" s="374"/>
      <c r="O275" s="374"/>
      <c r="P275" s="374"/>
      <c r="Q275" s="374"/>
      <c r="R275" s="374"/>
    </row>
    <row r="276" customFormat="false" ht="15.75" hidden="false" customHeight="false" outlineLevel="0" collapsed="false">
      <c r="A276" s="374" t="n">
        <v>316</v>
      </c>
      <c r="B276" s="374" t="str">
        <f aca="false" t="array" ref="B276:B276">INDEX('0.0.1 Pokémon Dex Data'!$E$3:$E1007,MATCH(A276,'0.0.1 Pokémon Dex Data'!$B$3:$B1007,0))</f>
        <v>Nuzleaf</v>
      </c>
      <c r="C276" s="374" t="s">
        <v>2336</v>
      </c>
      <c r="D276" s="374" t="s">
        <v>2535</v>
      </c>
      <c r="E276" s="374" t="s">
        <v>2325</v>
      </c>
      <c r="F276" s="374" t="s">
        <v>2523</v>
      </c>
      <c r="G276" s="374" t="s">
        <v>2556</v>
      </c>
      <c r="H276" s="374"/>
      <c r="I276" s="374"/>
      <c r="J276" s="374"/>
      <c r="K276" s="374"/>
      <c r="L276" s="374"/>
      <c r="M276" s="374"/>
      <c r="N276" s="374"/>
      <c r="O276" s="374"/>
      <c r="P276" s="374"/>
      <c r="Q276" s="374"/>
      <c r="R276" s="374"/>
    </row>
    <row r="277" customFormat="false" ht="15.75" hidden="false" customHeight="false" outlineLevel="0" collapsed="false">
      <c r="A277" s="374" t="n">
        <v>317</v>
      </c>
      <c r="B277" s="374" t="str">
        <f aca="false" t="array" ref="B277:B277">INDEX('0.0.1 Pokémon Dex Data'!$E$3:$E1007,MATCH(A277,'0.0.1 Pokémon Dex Data'!$B$3:$B1007,0))</f>
        <v>Shiftry</v>
      </c>
      <c r="C277" s="374" t="s">
        <v>2336</v>
      </c>
      <c r="D277" s="374" t="s">
        <v>2535</v>
      </c>
      <c r="E277" s="374" t="s">
        <v>2459</v>
      </c>
      <c r="F277" s="374" t="s">
        <v>2523</v>
      </c>
      <c r="G277" s="374" t="s">
        <v>2556</v>
      </c>
      <c r="H277" s="374"/>
      <c r="I277" s="374"/>
      <c r="J277" s="374"/>
      <c r="K277" s="374"/>
      <c r="L277" s="374"/>
      <c r="M277" s="374"/>
      <c r="N277" s="374"/>
      <c r="O277" s="374"/>
      <c r="P277" s="374"/>
      <c r="Q277" s="374"/>
      <c r="R277" s="374"/>
    </row>
    <row r="278" customFormat="false" ht="15.75" hidden="false" customHeight="false" outlineLevel="0" collapsed="false">
      <c r="A278" s="374" t="n">
        <v>318</v>
      </c>
      <c r="B278" s="374" t="str">
        <f aca="false" t="array" ref="B278:B278">INDEX('0.0.1 Pokémon Dex Data'!$E$3:$E1007,MATCH(A278,'0.0.1 Pokémon Dex Data'!$B$3:$B1007,0))</f>
        <v>Taillow</v>
      </c>
      <c r="C278" s="374" t="s">
        <v>2461</v>
      </c>
      <c r="D278" s="374" t="s">
        <v>2480</v>
      </c>
      <c r="E278" s="374" t="s">
        <v>2352</v>
      </c>
      <c r="F278" s="374"/>
      <c r="G278" s="374"/>
      <c r="H278" s="374"/>
      <c r="I278" s="374"/>
      <c r="J278" s="374"/>
      <c r="K278" s="374"/>
      <c r="L278" s="374"/>
      <c r="M278" s="374"/>
      <c r="N278" s="374"/>
      <c r="O278" s="374"/>
      <c r="P278" s="374"/>
      <c r="Q278" s="374"/>
      <c r="R278" s="374"/>
    </row>
    <row r="279" customFormat="false" ht="15.75" hidden="false" customHeight="false" outlineLevel="0" collapsed="false">
      <c r="A279" s="374" t="n">
        <v>319</v>
      </c>
      <c r="B279" s="374" t="str">
        <f aca="false" t="array" ref="B279:B279">INDEX('0.0.1 Pokémon Dex Data'!$E$3:$E1007,MATCH(A279,'0.0.1 Pokémon Dex Data'!$B$3:$B1007,0))</f>
        <v>Swellow</v>
      </c>
      <c r="C279" s="374" t="s">
        <v>2401</v>
      </c>
      <c r="D279" s="374" t="s">
        <v>2396</v>
      </c>
      <c r="E279" s="374" t="s">
        <v>2577</v>
      </c>
      <c r="F279" s="374" t="s">
        <v>2462</v>
      </c>
      <c r="G279" s="374" t="s">
        <v>2352</v>
      </c>
      <c r="H279" s="374"/>
      <c r="I279" s="374"/>
      <c r="J279" s="374"/>
      <c r="K279" s="374"/>
      <c r="L279" s="374"/>
      <c r="M279" s="374"/>
      <c r="N279" s="374"/>
      <c r="O279" s="374"/>
      <c r="P279" s="374"/>
      <c r="Q279" s="374"/>
      <c r="R279" s="374"/>
    </row>
    <row r="280" customFormat="false" ht="15.75" hidden="false" customHeight="false" outlineLevel="0" collapsed="false">
      <c r="A280" s="374" t="n">
        <v>320</v>
      </c>
      <c r="B280" s="374" t="str">
        <f aca="false" t="array" ref="B280:B280">INDEX('0.0.1 Pokémon Dex Data'!$E$3:$E1007,MATCH(A280,'0.0.1 Pokémon Dex Data'!$B$3:$B1007,0))</f>
        <v>Wingull</v>
      </c>
      <c r="C280" s="374" t="s">
        <v>2461</v>
      </c>
      <c r="D280" s="374" t="s">
        <v>2426</v>
      </c>
      <c r="E280" s="374" t="s">
        <v>2353</v>
      </c>
      <c r="F280" s="374" t="s">
        <v>2428</v>
      </c>
      <c r="G280" s="374" t="s">
        <v>2415</v>
      </c>
      <c r="H280" s="374"/>
      <c r="I280" s="374"/>
      <c r="J280" s="374"/>
      <c r="K280" s="374"/>
      <c r="L280" s="374"/>
      <c r="M280" s="374"/>
      <c r="N280" s="374"/>
      <c r="O280" s="374"/>
      <c r="P280" s="374"/>
      <c r="Q280" s="374"/>
      <c r="R280" s="374"/>
    </row>
    <row r="281" customFormat="false" ht="15.75" hidden="false" customHeight="false" outlineLevel="0" collapsed="false">
      <c r="A281" s="374" t="n">
        <v>321</v>
      </c>
      <c r="B281" s="374" t="str">
        <f aca="false" t="array" ref="B281:B281">INDEX('0.0.1 Pokémon Dex Data'!$E$3:$E1007,MATCH(A281,'0.0.1 Pokémon Dex Data'!$B$3:$B1007,0))</f>
        <v>Pelipper</v>
      </c>
      <c r="C281" s="374" t="s">
        <v>2401</v>
      </c>
      <c r="D281" s="374" t="s">
        <v>2426</v>
      </c>
      <c r="E281" s="374" t="s">
        <v>2459</v>
      </c>
      <c r="F281" s="374" t="s">
        <v>2414</v>
      </c>
      <c r="G281" s="374" t="s">
        <v>2405</v>
      </c>
      <c r="H281" s="374"/>
      <c r="I281" s="374"/>
      <c r="J281" s="374"/>
      <c r="K281" s="374"/>
      <c r="L281" s="374"/>
      <c r="M281" s="374"/>
      <c r="N281" s="374"/>
      <c r="O281" s="374"/>
      <c r="P281" s="374"/>
      <c r="Q281" s="374"/>
      <c r="R281" s="374"/>
    </row>
    <row r="282" customFormat="false" ht="15.75" hidden="false" customHeight="false" outlineLevel="0" collapsed="false">
      <c r="A282" s="374" t="n">
        <v>322</v>
      </c>
      <c r="B282" s="374" t="str">
        <f aca="false" t="array" ref="B282:B282">INDEX('0.0.1 Pokémon Dex Data'!$E$3:$E1007,MATCH(A282,'0.0.1 Pokémon Dex Data'!$B$3:$B1007,0))</f>
        <v>Ralts</v>
      </c>
      <c r="C282" s="374" t="s">
        <v>2434</v>
      </c>
      <c r="D282" s="374" t="s">
        <v>2464</v>
      </c>
      <c r="E282" s="374" t="s">
        <v>2518</v>
      </c>
      <c r="F282" s="374" t="s">
        <v>2495</v>
      </c>
      <c r="G282" s="374" t="s">
        <v>2639</v>
      </c>
      <c r="H282" s="374"/>
      <c r="I282" s="374"/>
      <c r="J282" s="374"/>
      <c r="K282" s="374"/>
      <c r="L282" s="374"/>
      <c r="M282" s="374"/>
      <c r="N282" s="374"/>
      <c r="O282" s="374"/>
      <c r="P282" s="374"/>
      <c r="Q282" s="374"/>
      <c r="R282" s="374"/>
    </row>
    <row r="283" customFormat="false" ht="15.75" hidden="false" customHeight="false" outlineLevel="0" collapsed="false">
      <c r="A283" s="374" t="n">
        <v>323</v>
      </c>
      <c r="B283" s="374" t="str">
        <f aca="false" t="array" ref="B283:B283">INDEX('0.0.1 Pokémon Dex Data'!$E$3:$E1007,MATCH(A283,'0.0.1 Pokémon Dex Data'!$B$3:$B1007,0))</f>
        <v>Kirlia</v>
      </c>
      <c r="C283" s="374" t="s">
        <v>2434</v>
      </c>
      <c r="D283" s="374" t="s">
        <v>2464</v>
      </c>
      <c r="E283" s="374" t="s">
        <v>2518</v>
      </c>
      <c r="F283" s="374" t="s">
        <v>157</v>
      </c>
      <c r="G283" s="374" t="s">
        <v>2639</v>
      </c>
      <c r="H283" s="374"/>
      <c r="I283" s="374"/>
      <c r="J283" s="374"/>
      <c r="K283" s="374"/>
      <c r="L283" s="374"/>
      <c r="M283" s="374"/>
      <c r="N283" s="374"/>
      <c r="O283" s="374"/>
      <c r="P283" s="374"/>
      <c r="Q283" s="374"/>
      <c r="R283" s="374"/>
    </row>
    <row r="284" customFormat="false" ht="15.75" hidden="false" customHeight="false" outlineLevel="0" collapsed="false">
      <c r="A284" s="374" t="n">
        <v>324</v>
      </c>
      <c r="B284" s="374" t="str">
        <f aca="false" t="array" ref="B284:B284">INDEX('0.0.1 Pokémon Dex Data'!$E$3:$E1007,MATCH(A284,'0.0.1 Pokémon Dex Data'!$B$3:$B1007,0))</f>
        <v>Gardevoir</v>
      </c>
      <c r="C284" s="374" t="s">
        <v>2434</v>
      </c>
      <c r="D284" s="374" t="s">
        <v>2464</v>
      </c>
      <c r="E284" s="374" t="s">
        <v>2517</v>
      </c>
      <c r="F284" s="374" t="s">
        <v>157</v>
      </c>
      <c r="G284" s="374" t="s">
        <v>2442</v>
      </c>
      <c r="H284" s="374"/>
      <c r="I284" s="374"/>
      <c r="J284" s="374"/>
      <c r="K284" s="374"/>
      <c r="L284" s="374"/>
      <c r="M284" s="374"/>
      <c r="N284" s="374"/>
      <c r="O284" s="374"/>
      <c r="P284" s="374"/>
      <c r="Q284" s="374"/>
      <c r="R284" s="374"/>
    </row>
    <row r="285" customFormat="false" ht="15.75" hidden="false" customHeight="false" outlineLevel="0" collapsed="false">
      <c r="A285" s="374" t="n">
        <v>326</v>
      </c>
      <c r="B285" s="374" t="str">
        <f aca="false" t="array" ref="B285:B285">INDEX('0.0.1 Pokémon Dex Data'!$E$3:$E1007,MATCH(A285,'0.0.1 Pokémon Dex Data'!$B$3:$B1007,0))</f>
        <v>Surskit</v>
      </c>
      <c r="C285" s="374" t="s">
        <v>2432</v>
      </c>
      <c r="D285" s="374" t="s">
        <v>2407</v>
      </c>
      <c r="E285" s="374" t="s">
        <v>2422</v>
      </c>
      <c r="F285" s="374" t="s">
        <v>2408</v>
      </c>
      <c r="G285" s="374" t="s">
        <v>2538</v>
      </c>
      <c r="H285" s="374"/>
      <c r="I285" s="374"/>
      <c r="J285" s="374"/>
      <c r="K285" s="374"/>
      <c r="L285" s="374"/>
      <c r="M285" s="374"/>
      <c r="N285" s="374"/>
      <c r="O285" s="374"/>
      <c r="P285" s="374"/>
      <c r="Q285" s="374"/>
      <c r="R285" s="374"/>
    </row>
    <row r="286" customFormat="false" ht="15.75" hidden="false" customHeight="false" outlineLevel="0" collapsed="false">
      <c r="A286" s="374" t="n">
        <v>327</v>
      </c>
      <c r="B286" s="374" t="str">
        <f aca="false" t="array" ref="B286:B286">INDEX('0.0.1 Pokémon Dex Data'!$E$3:$E1007,MATCH(A286,'0.0.1 Pokémon Dex Data'!$B$3:$B1007,0))</f>
        <v>Masquerain</v>
      </c>
      <c r="C286" s="374" t="s">
        <v>2438</v>
      </c>
      <c r="D286" s="374" t="s">
        <v>2354</v>
      </c>
      <c r="E286" s="374" t="s">
        <v>2353</v>
      </c>
      <c r="F286" s="374" t="s">
        <v>2385</v>
      </c>
      <c r="G286" s="374" t="s">
        <v>2443</v>
      </c>
      <c r="H286" s="374"/>
      <c r="I286" s="374"/>
      <c r="J286" s="374"/>
      <c r="K286" s="374"/>
      <c r="L286" s="374"/>
      <c r="M286" s="374"/>
      <c r="N286" s="374"/>
      <c r="O286" s="374"/>
      <c r="P286" s="374"/>
      <c r="Q286" s="374"/>
      <c r="R286" s="374"/>
    </row>
    <row r="287" customFormat="false" ht="15.75" hidden="false" customHeight="false" outlineLevel="0" collapsed="false">
      <c r="A287" s="374" t="n">
        <v>328</v>
      </c>
      <c r="B287" s="374" t="str">
        <f aca="false" t="array" ref="B287:B287">INDEX('0.0.1 Pokémon Dex Data'!$E$3:$E1007,MATCH(A287,'0.0.1 Pokémon Dex Data'!$B$3:$B1007,0))</f>
        <v>Shroomish</v>
      </c>
      <c r="C287" s="374" t="s">
        <v>2348</v>
      </c>
      <c r="D287" s="374" t="s">
        <v>2314</v>
      </c>
      <c r="E287" s="374" t="s">
        <v>2325</v>
      </c>
      <c r="F287" s="374" t="s">
        <v>2342</v>
      </c>
      <c r="G287" s="374" t="s">
        <v>2319</v>
      </c>
      <c r="H287" s="374"/>
      <c r="I287" s="374"/>
      <c r="J287" s="374"/>
      <c r="K287" s="374"/>
      <c r="L287" s="374"/>
      <c r="M287" s="374"/>
      <c r="N287" s="374"/>
      <c r="O287" s="374"/>
      <c r="P287" s="374"/>
      <c r="Q287" s="374"/>
      <c r="R287" s="374"/>
    </row>
    <row r="288" customFormat="false" ht="15.75" hidden="false" customHeight="false" outlineLevel="0" collapsed="false">
      <c r="A288" s="374" t="n">
        <v>329</v>
      </c>
      <c r="B288" s="374" t="str">
        <f aca="false" t="array" ref="B288:B288">INDEX('0.0.1 Pokémon Dex Data'!$E$3:$E1007,MATCH(A288,'0.0.1 Pokémon Dex Data'!$B$3:$B1007,0))</f>
        <v>Breloom</v>
      </c>
      <c r="C288" s="374" t="s">
        <v>138</v>
      </c>
      <c r="D288" s="374" t="s">
        <v>2314</v>
      </c>
      <c r="E288" s="374" t="s">
        <v>2343</v>
      </c>
      <c r="F288" s="374" t="s">
        <v>2342</v>
      </c>
      <c r="G288" s="374" t="s">
        <v>2364</v>
      </c>
      <c r="H288" s="374"/>
      <c r="I288" s="374"/>
      <c r="J288" s="374"/>
      <c r="K288" s="374"/>
      <c r="L288" s="374"/>
      <c r="M288" s="374"/>
      <c r="N288" s="374"/>
      <c r="O288" s="374"/>
      <c r="P288" s="374"/>
      <c r="Q288" s="374"/>
      <c r="R288" s="374"/>
    </row>
    <row r="289" customFormat="false" ht="15.75" hidden="false" customHeight="false" outlineLevel="0" collapsed="false">
      <c r="A289" s="374" t="n">
        <v>330</v>
      </c>
      <c r="B289" s="374" t="str">
        <f aca="false" t="array" ref="B289:B289">INDEX('0.0.1 Pokémon Dex Data'!$E$3:$E1007,MATCH(A289,'0.0.1 Pokémon Dex Data'!$B$3:$B1007,0))</f>
        <v>Slakoth</v>
      </c>
      <c r="C289" s="374" t="s">
        <v>2572</v>
      </c>
      <c r="D289" s="374"/>
      <c r="E289" s="374" t="s">
        <v>2312</v>
      </c>
      <c r="F289" s="374" t="s">
        <v>2356</v>
      </c>
      <c r="G289" s="374" t="s">
        <v>2531</v>
      </c>
      <c r="H289" s="374"/>
      <c r="I289" s="374"/>
      <c r="J289" s="374"/>
      <c r="K289" s="374"/>
      <c r="L289" s="374"/>
      <c r="M289" s="374"/>
      <c r="N289" s="374"/>
      <c r="O289" s="374"/>
      <c r="P289" s="374"/>
      <c r="Q289" s="374"/>
      <c r="R289" s="374"/>
    </row>
    <row r="290" customFormat="false" ht="15.75" hidden="false" customHeight="false" outlineLevel="0" collapsed="false">
      <c r="A290" s="374" t="n">
        <v>331</v>
      </c>
      <c r="B290" s="374" t="str">
        <f aca="false" t="array" ref="B290:B290">INDEX('0.0.1 Pokémon Dex Data'!$E$3:$E1007,MATCH(A290,'0.0.1 Pokémon Dex Data'!$B$3:$B1007,0))</f>
        <v>Vigoroth</v>
      </c>
      <c r="C290" s="374" t="s">
        <v>2390</v>
      </c>
      <c r="D290" s="374" t="s">
        <v>138</v>
      </c>
      <c r="E290" s="374" t="s">
        <v>2312</v>
      </c>
      <c r="F290" s="374" t="s">
        <v>2356</v>
      </c>
      <c r="G290" s="374" t="s">
        <v>2313</v>
      </c>
      <c r="H290" s="374"/>
      <c r="I290" s="374"/>
      <c r="J290" s="374"/>
      <c r="K290" s="374"/>
      <c r="L290" s="374"/>
      <c r="M290" s="374"/>
      <c r="N290" s="374"/>
      <c r="O290" s="374"/>
      <c r="P290" s="374"/>
      <c r="Q290" s="374"/>
      <c r="R290" s="374"/>
    </row>
    <row r="291" customFormat="false" ht="15.75" hidden="false" customHeight="false" outlineLevel="0" collapsed="false">
      <c r="A291" s="374" t="n">
        <v>332</v>
      </c>
      <c r="B291" s="374" t="str">
        <f aca="false" t="array" ref="B291:B291">INDEX('0.0.1 Pokémon Dex Data'!$E$3:$E1007,MATCH(A291,'0.0.1 Pokémon Dex Data'!$B$3:$B1007,0))</f>
        <v>Slaking</v>
      </c>
      <c r="C291" s="374" t="s">
        <v>2572</v>
      </c>
      <c r="D291" s="374"/>
      <c r="E291" s="374" t="s">
        <v>2329</v>
      </c>
      <c r="F291" s="374" t="s">
        <v>2317</v>
      </c>
      <c r="G291" s="374" t="s">
        <v>2526</v>
      </c>
      <c r="H291" s="374"/>
      <c r="I291" s="374"/>
      <c r="J291" s="374"/>
      <c r="K291" s="374"/>
      <c r="L291" s="374"/>
      <c r="M291" s="374"/>
      <c r="N291" s="374"/>
      <c r="O291" s="374"/>
      <c r="P291" s="374"/>
      <c r="Q291" s="374"/>
      <c r="R291" s="374"/>
    </row>
    <row r="292" customFormat="false" ht="15.75" hidden="false" customHeight="false" outlineLevel="0" collapsed="false">
      <c r="A292" s="374" t="n">
        <v>333</v>
      </c>
      <c r="B292" s="374" t="str">
        <f aca="false" t="array" ref="B292:B292">INDEX('0.0.1 Pokémon Dex Data'!$E$3:$E1007,MATCH(A292,'0.0.1 Pokémon Dex Data'!$B$3:$B1007,0))</f>
        <v>Nincada</v>
      </c>
      <c r="C292" s="374" t="s">
        <v>2432</v>
      </c>
      <c r="D292" s="374" t="s">
        <v>2390</v>
      </c>
      <c r="E292" s="374" t="s">
        <v>2433</v>
      </c>
      <c r="F292" s="374" t="s">
        <v>2531</v>
      </c>
      <c r="G292" s="374" t="s">
        <v>2352</v>
      </c>
      <c r="H292" s="374"/>
      <c r="I292" s="374"/>
      <c r="J292" s="374"/>
      <c r="K292" s="374"/>
      <c r="L292" s="374"/>
      <c r="M292" s="374"/>
      <c r="N292" s="374"/>
      <c r="O292" s="374"/>
      <c r="P292" s="374"/>
      <c r="Q292" s="374"/>
      <c r="R292" s="374"/>
    </row>
    <row r="293" customFormat="false" ht="15.75" hidden="false" customHeight="false" outlineLevel="0" collapsed="false">
      <c r="A293" s="374" t="n">
        <v>334</v>
      </c>
      <c r="B293" s="374" t="str">
        <f aca="false" t="array" ref="B293:B293">INDEX('0.0.1 Pokémon Dex Data'!$E$3:$E1007,MATCH(A293,'0.0.1 Pokémon Dex Data'!$B$3:$B1007,0))</f>
        <v>Ninjask</v>
      </c>
      <c r="C293" s="374" t="s">
        <v>2322</v>
      </c>
      <c r="D293" s="374" t="s">
        <v>2384</v>
      </c>
      <c r="E293" s="374" t="s">
        <v>2433</v>
      </c>
      <c r="F293" s="374" t="s">
        <v>2442</v>
      </c>
      <c r="G293" s="374" t="s">
        <v>2352</v>
      </c>
      <c r="H293" s="374"/>
      <c r="I293" s="374"/>
      <c r="J293" s="374"/>
      <c r="K293" s="374"/>
      <c r="L293" s="374"/>
      <c r="M293" s="374"/>
      <c r="N293" s="374"/>
      <c r="O293" s="374"/>
      <c r="P293" s="374"/>
      <c r="Q293" s="374"/>
      <c r="R293" s="374"/>
    </row>
    <row r="294" customFormat="false" ht="15.75" hidden="false" customHeight="false" outlineLevel="0" collapsed="false">
      <c r="A294" s="374" t="n">
        <v>335</v>
      </c>
      <c r="B294" s="374" t="str">
        <f aca="false" t="array" ref="B294:B294">INDEX('0.0.1 Pokémon Dex Data'!$E$3:$E1007,MATCH(A294,'0.0.1 Pokémon Dex Data'!$B$3:$B1007,0))</f>
        <v>Shedinja</v>
      </c>
      <c r="C294" s="374" t="s">
        <v>2404</v>
      </c>
      <c r="D294" s="374" t="s">
        <v>2444</v>
      </c>
      <c r="E294" s="374" t="s">
        <v>2358</v>
      </c>
      <c r="F294" s="374" t="s">
        <v>2639</v>
      </c>
      <c r="G294" s="374" t="s">
        <v>2352</v>
      </c>
      <c r="H294" s="374"/>
      <c r="I294" s="374"/>
      <c r="J294" s="374"/>
      <c r="K294" s="374"/>
      <c r="L294" s="374"/>
      <c r="M294" s="374"/>
      <c r="N294" s="374"/>
      <c r="O294" s="374"/>
      <c r="P294" s="374"/>
      <c r="Q294" s="374"/>
      <c r="R294" s="374"/>
    </row>
    <row r="295" customFormat="false" ht="15.75" hidden="false" customHeight="false" outlineLevel="0" collapsed="false">
      <c r="A295" s="374" t="n">
        <v>336</v>
      </c>
      <c r="B295" s="374" t="str">
        <f aca="false" t="array" ref="B295:B295">INDEX('0.0.1 Pokémon Dex Data'!$E$3:$E1007,MATCH(A295,'0.0.1 Pokémon Dex Data'!$B$3:$B1007,0))</f>
        <v>Whismur</v>
      </c>
      <c r="C295" s="374" t="s">
        <v>2582</v>
      </c>
      <c r="D295" s="374" t="s">
        <v>2528</v>
      </c>
      <c r="E295" s="374" t="s">
        <v>2571</v>
      </c>
      <c r="F295" s="374" t="s">
        <v>2373</v>
      </c>
      <c r="G295" s="374" t="s">
        <v>2518</v>
      </c>
      <c r="H295" s="374"/>
      <c r="I295" s="374"/>
      <c r="J295" s="374"/>
      <c r="K295" s="374"/>
      <c r="L295" s="374"/>
      <c r="M295" s="374"/>
      <c r="N295" s="374"/>
      <c r="O295" s="374"/>
      <c r="P295" s="374"/>
      <c r="Q295" s="374"/>
      <c r="R295" s="374"/>
    </row>
    <row r="296" customFormat="false" ht="15.75" hidden="false" customHeight="false" outlineLevel="0" collapsed="false">
      <c r="A296" s="374" t="n">
        <v>337</v>
      </c>
      <c r="B296" s="374" t="str">
        <f aca="false" t="array" ref="B296:B296">INDEX('0.0.1 Pokémon Dex Data'!$E$3:$E1007,MATCH(A296,'0.0.1 Pokémon Dex Data'!$B$3:$B1007,0))</f>
        <v>Loudred</v>
      </c>
      <c r="C296" s="374" t="s">
        <v>2339</v>
      </c>
      <c r="D296" s="374" t="s">
        <v>2404</v>
      </c>
      <c r="E296" s="374" t="s">
        <v>2466</v>
      </c>
      <c r="F296" s="374" t="s">
        <v>2373</v>
      </c>
      <c r="G296" s="374" t="s">
        <v>2518</v>
      </c>
      <c r="H296" s="374"/>
      <c r="I296" s="374"/>
      <c r="J296" s="374"/>
      <c r="K296" s="374"/>
      <c r="L296" s="374"/>
      <c r="M296" s="374"/>
      <c r="N296" s="374"/>
      <c r="O296" s="374"/>
      <c r="P296" s="374"/>
      <c r="Q296" s="374"/>
      <c r="R296" s="374"/>
    </row>
    <row r="297" customFormat="false" ht="15.75" hidden="false" customHeight="false" outlineLevel="0" collapsed="false">
      <c r="A297" s="374" t="n">
        <v>338</v>
      </c>
      <c r="B297" s="374" t="str">
        <f aca="false" t="array" ref="B297:B297">INDEX('0.0.1 Pokémon Dex Data'!$E$3:$E1007,MATCH(A297,'0.0.1 Pokémon Dex Data'!$B$3:$B1007,0))</f>
        <v>Exploud</v>
      </c>
      <c r="C297" s="374" t="s">
        <v>2404</v>
      </c>
      <c r="D297" s="374" t="s">
        <v>2528</v>
      </c>
      <c r="E297" s="374" t="s">
        <v>2466</v>
      </c>
      <c r="F297" s="374" t="s">
        <v>2366</v>
      </c>
      <c r="G297" s="374" t="s">
        <v>2518</v>
      </c>
      <c r="H297" s="374"/>
      <c r="I297" s="374"/>
      <c r="J297" s="374"/>
      <c r="K297" s="374"/>
      <c r="L297" s="374"/>
      <c r="M297" s="374"/>
      <c r="N297" s="374"/>
      <c r="O297" s="374"/>
      <c r="P297" s="374"/>
      <c r="Q297" s="374"/>
      <c r="R297" s="374"/>
    </row>
    <row r="298" customFormat="false" ht="15.75" hidden="false" customHeight="false" outlineLevel="0" collapsed="false">
      <c r="A298" s="374" t="n">
        <v>339</v>
      </c>
      <c r="B298" s="374" t="str">
        <f aca="false" t="array" ref="B298:B298">INDEX('0.0.1 Pokémon Dex Data'!$E$3:$E1007,MATCH(A298,'0.0.1 Pokémon Dex Data'!$B$3:$B1007,0))</f>
        <v>Makuhita</v>
      </c>
      <c r="C298" s="374" t="s">
        <v>2339</v>
      </c>
      <c r="D298" s="374" t="s">
        <v>2348</v>
      </c>
      <c r="E298" s="374" t="s">
        <v>2540</v>
      </c>
      <c r="F298" s="374" t="s">
        <v>2563</v>
      </c>
      <c r="G298" s="374" t="s">
        <v>2542</v>
      </c>
      <c r="H298" s="374"/>
      <c r="I298" s="374"/>
      <c r="J298" s="374"/>
      <c r="K298" s="374"/>
      <c r="L298" s="374"/>
      <c r="M298" s="374"/>
      <c r="N298" s="374"/>
      <c r="O298" s="374"/>
      <c r="P298" s="374"/>
      <c r="Q298" s="374"/>
      <c r="R298" s="374"/>
    </row>
    <row r="299" customFormat="false" ht="15.75" hidden="false" customHeight="false" outlineLevel="0" collapsed="false">
      <c r="A299" s="374" t="n">
        <v>340</v>
      </c>
      <c r="B299" s="374" t="str">
        <f aca="false" t="array" ref="B299:B299">INDEX('0.0.1 Pokémon Dex Data'!$E$3:$E1007,MATCH(A299,'0.0.1 Pokémon Dex Data'!$B$3:$B1007,0))</f>
        <v>Hariyama</v>
      </c>
      <c r="C299" s="374" t="s">
        <v>138</v>
      </c>
      <c r="D299" s="374" t="s">
        <v>2552</v>
      </c>
      <c r="E299" s="374" t="s">
        <v>2541</v>
      </c>
      <c r="F299" s="374" t="s">
        <v>2563</v>
      </c>
      <c r="G299" s="374" t="s">
        <v>2364</v>
      </c>
      <c r="H299" s="374"/>
      <c r="I299" s="374"/>
      <c r="J299" s="374"/>
      <c r="K299" s="374"/>
      <c r="L299" s="374"/>
      <c r="M299" s="374"/>
      <c r="N299" s="374"/>
      <c r="O299" s="374"/>
      <c r="P299" s="374"/>
      <c r="Q299" s="374"/>
      <c r="R299" s="374"/>
    </row>
    <row r="300" customFormat="false" ht="15.75" hidden="false" customHeight="false" outlineLevel="0" collapsed="false">
      <c r="A300" s="374" t="n">
        <v>341</v>
      </c>
      <c r="B300" s="374" t="str">
        <f aca="false" t="array" ref="B300:B300">INDEX('0.0.1 Pokémon Dex Data'!$E$3:$E1007,MATCH(A300,'0.0.1 Pokémon Dex Data'!$B$3:$B1007,0))</f>
        <v>Azurill</v>
      </c>
      <c r="C300" s="374" t="s">
        <v>2407</v>
      </c>
      <c r="D300" s="374" t="s">
        <v>2643</v>
      </c>
      <c r="E300" s="374" t="s">
        <v>2312</v>
      </c>
      <c r="F300" s="374" t="s">
        <v>2408</v>
      </c>
      <c r="G300" s="374" t="s">
        <v>2415</v>
      </c>
      <c r="H300" s="374"/>
      <c r="I300" s="374"/>
      <c r="J300" s="374"/>
      <c r="K300" s="374"/>
      <c r="L300" s="374"/>
      <c r="M300" s="374"/>
      <c r="N300" s="374"/>
      <c r="O300" s="374"/>
      <c r="P300" s="374"/>
      <c r="Q300" s="374"/>
      <c r="R300" s="374"/>
    </row>
    <row r="301" customFormat="false" ht="15.75" hidden="false" customHeight="false" outlineLevel="0" collapsed="false">
      <c r="A301" s="374" t="n">
        <v>342</v>
      </c>
      <c r="B301" s="374" t="str">
        <f aca="false" t="array" ref="B301:B301">INDEX('0.0.1 Pokémon Dex Data'!$E$3:$E1007,MATCH(A301,'0.0.1 Pokémon Dex Data'!$B$3:$B1007,0))</f>
        <v>Nosepass</v>
      </c>
      <c r="C301" s="374" t="s">
        <v>2570</v>
      </c>
      <c r="D301" s="374" t="s">
        <v>2565</v>
      </c>
      <c r="E301" s="374" t="s">
        <v>2388</v>
      </c>
      <c r="F301" s="374" t="s">
        <v>2476</v>
      </c>
      <c r="G301" s="374" t="s">
        <v>2564</v>
      </c>
      <c r="H301" s="374"/>
      <c r="I301" s="374"/>
      <c r="J301" s="374"/>
      <c r="K301" s="374"/>
      <c r="L301" s="374"/>
      <c r="M301" s="374"/>
      <c r="N301" s="374"/>
      <c r="O301" s="374"/>
      <c r="P301" s="374"/>
      <c r="Q301" s="374"/>
      <c r="R301" s="374"/>
    </row>
    <row r="302" customFormat="false" ht="15.75" hidden="false" customHeight="false" outlineLevel="0" collapsed="false">
      <c r="A302" s="374" t="n">
        <v>343</v>
      </c>
      <c r="B302" s="374" t="str">
        <f aca="false" t="array" ref="B302:B302">INDEX('0.0.1 Pokémon Dex Data'!$E$3:$E1007,MATCH(A302,'0.0.1 Pokémon Dex Data'!$B$3:$B1007,0))</f>
        <v>Skitty</v>
      </c>
      <c r="C302" s="374" t="s">
        <v>2348</v>
      </c>
      <c r="D302" s="374" t="s">
        <v>2535</v>
      </c>
      <c r="E302" s="374" t="s">
        <v>2477</v>
      </c>
      <c r="F302" s="374" t="s">
        <v>2358</v>
      </c>
      <c r="G302" s="374" t="s">
        <v>2518</v>
      </c>
      <c r="H302" s="374"/>
      <c r="I302" s="374"/>
      <c r="J302" s="374"/>
      <c r="K302" s="374"/>
      <c r="L302" s="374"/>
      <c r="M302" s="374"/>
      <c r="N302" s="374"/>
      <c r="O302" s="374"/>
      <c r="P302" s="374"/>
      <c r="Q302" s="374"/>
      <c r="R302" s="374"/>
    </row>
    <row r="303" customFormat="false" ht="15.75" hidden="false" customHeight="false" outlineLevel="0" collapsed="false">
      <c r="A303" s="374" t="n">
        <v>344</v>
      </c>
      <c r="B303" s="374" t="str">
        <f aca="false" t="array" ref="B303:B303">INDEX('0.0.1 Pokémon Dex Data'!$E$3:$E1007,MATCH(A303,'0.0.1 Pokémon Dex Data'!$B$3:$B1007,0))</f>
        <v>Delcatty</v>
      </c>
      <c r="C303" s="374" t="s">
        <v>2430</v>
      </c>
      <c r="D303" s="374" t="s">
        <v>2535</v>
      </c>
      <c r="E303" s="374" t="s">
        <v>2477</v>
      </c>
      <c r="F303" s="374" t="s">
        <v>2526</v>
      </c>
      <c r="G303" s="374" t="s">
        <v>2518</v>
      </c>
      <c r="H303" s="374"/>
      <c r="I303" s="374"/>
      <c r="J303" s="374"/>
      <c r="K303" s="374"/>
      <c r="L303" s="374"/>
      <c r="M303" s="374"/>
      <c r="N303" s="374"/>
      <c r="O303" s="374"/>
      <c r="P303" s="374"/>
      <c r="Q303" s="374"/>
      <c r="R303" s="374"/>
    </row>
    <row r="304" customFormat="false" ht="15.75" hidden="false" customHeight="false" outlineLevel="0" collapsed="false">
      <c r="A304" s="374" t="n">
        <v>345</v>
      </c>
      <c r="B304" s="374" t="str">
        <f aca="false" t="array" ref="B304:B304">INDEX('0.0.1 Pokémon Dex Data'!$E$3:$E1007,MATCH(A304,'0.0.1 Pokémon Dex Data'!$B$3:$B1007,0))</f>
        <v>Sableye</v>
      </c>
      <c r="C304" s="374" t="s">
        <v>2392</v>
      </c>
      <c r="D304" s="374" t="s">
        <v>2535</v>
      </c>
      <c r="E304" s="374" t="s">
        <v>2536</v>
      </c>
      <c r="F304" s="374" t="s">
        <v>2639</v>
      </c>
      <c r="G304" s="374" t="s">
        <v>2523</v>
      </c>
      <c r="H304" s="374"/>
      <c r="I304" s="374"/>
      <c r="J304" s="374"/>
      <c r="K304" s="374"/>
      <c r="L304" s="374"/>
      <c r="M304" s="374"/>
      <c r="N304" s="374"/>
      <c r="O304" s="374"/>
      <c r="P304" s="374"/>
      <c r="Q304" s="374"/>
      <c r="R304" s="374"/>
    </row>
    <row r="305" customFormat="false" ht="15.75" hidden="false" customHeight="false" outlineLevel="0" collapsed="false">
      <c r="A305" s="374" t="n">
        <v>347</v>
      </c>
      <c r="B305" s="374" t="str">
        <f aca="false" t="array" ref="B305:B305">INDEX('0.0.1 Pokémon Dex Data'!$E$3:$E1007,MATCH(A305,'0.0.1 Pokémon Dex Data'!$B$3:$B1007,0))</f>
        <v>Mawile</v>
      </c>
      <c r="C305" s="374" t="s">
        <v>2404</v>
      </c>
      <c r="D305" s="374" t="s">
        <v>2528</v>
      </c>
      <c r="E305" s="374" t="s">
        <v>2595</v>
      </c>
      <c r="F305" s="374" t="s">
        <v>2506</v>
      </c>
      <c r="G305" s="374" t="s">
        <v>2526</v>
      </c>
      <c r="H305" s="374"/>
      <c r="I305" s="374"/>
      <c r="J305" s="374"/>
      <c r="K305" s="374"/>
      <c r="L305" s="374"/>
      <c r="M305" s="374"/>
      <c r="N305" s="374"/>
      <c r="O305" s="374"/>
      <c r="P305" s="374"/>
      <c r="Q305" s="374"/>
      <c r="R305" s="374"/>
    </row>
    <row r="306" customFormat="false" ht="15.75" hidden="false" customHeight="false" outlineLevel="0" collapsed="false">
      <c r="A306" s="374" t="n">
        <v>349</v>
      </c>
      <c r="B306" s="374" t="str">
        <f aca="false" t="array" ref="B306:B306">INDEX('0.0.1 Pokémon Dex Data'!$E$3:$E1007,MATCH(A306,'0.0.1 Pokémon Dex Data'!$B$3:$B1007,0))</f>
        <v>Aron</v>
      </c>
      <c r="C306" s="374" t="s">
        <v>2348</v>
      </c>
      <c r="D306" s="374" t="s">
        <v>2384</v>
      </c>
      <c r="E306" s="374" t="s">
        <v>2312</v>
      </c>
      <c r="F306" s="374" t="s">
        <v>2506</v>
      </c>
      <c r="G306" s="374" t="s">
        <v>2389</v>
      </c>
      <c r="H306" s="374"/>
      <c r="I306" s="374"/>
      <c r="J306" s="374"/>
      <c r="K306" s="374"/>
      <c r="L306" s="374"/>
      <c r="M306" s="374"/>
      <c r="N306" s="374"/>
      <c r="O306" s="374"/>
      <c r="P306" s="374"/>
      <c r="Q306" s="374"/>
      <c r="R306" s="374"/>
    </row>
    <row r="307" customFormat="false" ht="15.75" hidden="false" customHeight="false" outlineLevel="0" collapsed="false">
      <c r="A307" s="374" t="n">
        <v>350</v>
      </c>
      <c r="B307" s="374" t="str">
        <f aca="false" t="array" ref="B307:B307">INDEX('0.0.1 Pokémon Dex Data'!$E$3:$E1007,MATCH(A307,'0.0.1 Pokémon Dex Data'!$B$3:$B1007,0))</f>
        <v>Lairon</v>
      </c>
      <c r="C307" s="374" t="s">
        <v>2381</v>
      </c>
      <c r="D307" s="374" t="s">
        <v>2384</v>
      </c>
      <c r="E307" s="374" t="s">
        <v>2312</v>
      </c>
      <c r="F307" s="374" t="s">
        <v>2563</v>
      </c>
      <c r="G307" s="374" t="s">
        <v>2388</v>
      </c>
      <c r="H307" s="374"/>
      <c r="I307" s="374"/>
      <c r="J307" s="374"/>
      <c r="K307" s="374"/>
      <c r="L307" s="374"/>
      <c r="M307" s="374"/>
      <c r="N307" s="374"/>
      <c r="O307" s="374"/>
      <c r="P307" s="374"/>
      <c r="Q307" s="374"/>
      <c r="R307" s="374"/>
    </row>
    <row r="308" customFormat="false" ht="15.75" hidden="false" customHeight="false" outlineLevel="0" collapsed="false">
      <c r="A308" s="374" t="n">
        <v>351</v>
      </c>
      <c r="B308" s="374" t="str">
        <f aca="false" t="array" ref="B308:B308">INDEX('0.0.1 Pokémon Dex Data'!$E$3:$E1007,MATCH(A308,'0.0.1 Pokémon Dex Data'!$B$3:$B1007,0))</f>
        <v>Aggron</v>
      </c>
      <c r="C308" s="374" t="s">
        <v>2381</v>
      </c>
      <c r="D308" s="374" t="s">
        <v>2363</v>
      </c>
      <c r="E308" s="374" t="s">
        <v>2475</v>
      </c>
      <c r="F308" s="374" t="s">
        <v>2563</v>
      </c>
      <c r="G308" s="374" t="s">
        <v>2500</v>
      </c>
      <c r="H308" s="374"/>
      <c r="I308" s="374"/>
      <c r="J308" s="374"/>
      <c r="K308" s="374"/>
      <c r="L308" s="374"/>
      <c r="M308" s="374"/>
      <c r="N308" s="374"/>
      <c r="O308" s="374"/>
      <c r="P308" s="374"/>
      <c r="Q308" s="374"/>
      <c r="R308" s="374"/>
    </row>
    <row r="309" customFormat="false" ht="15.75" hidden="false" customHeight="false" outlineLevel="0" collapsed="false">
      <c r="A309" s="374" t="n">
        <v>353</v>
      </c>
      <c r="B309" s="374" t="str">
        <f aca="false" t="array" ref="B309:B309">INDEX('0.0.1 Pokémon Dex Data'!$E$3:$E1007,MATCH(A309,'0.0.1 Pokémon Dex Data'!$B$3:$B1007,0))</f>
        <v>Meditite</v>
      </c>
      <c r="C309" s="374" t="s">
        <v>2434</v>
      </c>
      <c r="D309" s="374" t="s">
        <v>2339</v>
      </c>
      <c r="E309" s="374" t="s">
        <v>2540</v>
      </c>
      <c r="F309" s="374" t="s">
        <v>2495</v>
      </c>
      <c r="G309" s="374" t="s">
        <v>2416</v>
      </c>
      <c r="H309" s="374"/>
      <c r="I309" s="374"/>
      <c r="J309" s="374"/>
      <c r="K309" s="374"/>
      <c r="L309" s="374"/>
      <c r="M309" s="374"/>
      <c r="N309" s="374"/>
      <c r="O309" s="374"/>
      <c r="P309" s="374"/>
      <c r="Q309" s="374"/>
      <c r="R309" s="374"/>
    </row>
    <row r="310" customFormat="false" ht="15.75" hidden="false" customHeight="false" outlineLevel="0" collapsed="false">
      <c r="A310" s="374" t="n">
        <v>354</v>
      </c>
      <c r="B310" s="374" t="str">
        <f aca="false" t="array" ref="B310:B310">INDEX('0.0.1 Pokémon Dex Data'!$E$3:$E1007,MATCH(A310,'0.0.1 Pokémon Dex Data'!$B$3:$B1007,0))</f>
        <v>Medicham</v>
      </c>
      <c r="C310" s="374" t="s">
        <v>138</v>
      </c>
      <c r="D310" s="374" t="s">
        <v>2551</v>
      </c>
      <c r="E310" s="374" t="s">
        <v>157</v>
      </c>
      <c r="F310" s="374" t="s">
        <v>2416</v>
      </c>
      <c r="G310" s="374" t="s">
        <v>2364</v>
      </c>
      <c r="H310" s="374"/>
      <c r="I310" s="374"/>
      <c r="J310" s="374"/>
      <c r="K310" s="374"/>
      <c r="L310" s="374"/>
      <c r="M310" s="374"/>
      <c r="N310" s="374"/>
      <c r="O310" s="374"/>
      <c r="P310" s="374"/>
      <c r="Q310" s="374"/>
      <c r="R310" s="374"/>
    </row>
    <row r="311" customFormat="false" ht="15.75" hidden="false" customHeight="false" outlineLevel="0" collapsed="false">
      <c r="A311" s="374" t="n">
        <v>356</v>
      </c>
      <c r="B311" s="374" t="str">
        <f aca="false" t="array" ref="B311:B311">INDEX('0.0.1 Pokémon Dex Data'!$E$3:$E1007,MATCH(A311,'0.0.1 Pokémon Dex Data'!$B$3:$B1007,0))</f>
        <v>Electrike</v>
      </c>
      <c r="C311" s="374" t="s">
        <v>2570</v>
      </c>
      <c r="D311" s="374" t="s">
        <v>2461</v>
      </c>
      <c r="E311" s="374" t="s">
        <v>2569</v>
      </c>
      <c r="F311" s="374" t="s">
        <v>2476</v>
      </c>
      <c r="G311" s="374" t="s">
        <v>2398</v>
      </c>
      <c r="H311" s="374"/>
      <c r="I311" s="374"/>
      <c r="J311" s="374"/>
      <c r="K311" s="374"/>
      <c r="L311" s="374"/>
      <c r="M311" s="374"/>
      <c r="N311" s="374"/>
      <c r="O311" s="374"/>
      <c r="P311" s="374"/>
      <c r="Q311" s="374"/>
      <c r="R311" s="374"/>
    </row>
    <row r="312" customFormat="false" ht="15.75" hidden="false" customHeight="false" outlineLevel="0" collapsed="false">
      <c r="A312" s="374" t="n">
        <v>357</v>
      </c>
      <c r="B312" s="374" t="str">
        <f aca="false" t="array" ref="B312:B312">INDEX('0.0.1 Pokémon Dex Data'!$E$3:$E1007,MATCH(A312,'0.0.1 Pokémon Dex Data'!$B$3:$B1007,0))</f>
        <v>Manectric</v>
      </c>
      <c r="C312" s="374" t="s">
        <v>2472</v>
      </c>
      <c r="D312" s="374" t="s">
        <v>2464</v>
      </c>
      <c r="E312" s="374" t="s">
        <v>2475</v>
      </c>
      <c r="F312" s="374" t="s">
        <v>2477</v>
      </c>
      <c r="G312" s="374" t="s">
        <v>2371</v>
      </c>
      <c r="H312" s="374"/>
      <c r="I312" s="374"/>
      <c r="J312" s="374"/>
      <c r="K312" s="374"/>
      <c r="L312" s="374"/>
      <c r="M312" s="374"/>
      <c r="N312" s="374"/>
      <c r="O312" s="374"/>
      <c r="P312" s="374"/>
      <c r="Q312" s="374"/>
      <c r="R312" s="374"/>
    </row>
    <row r="313" customFormat="false" ht="15.75" hidden="false" customHeight="false" outlineLevel="0" collapsed="false">
      <c r="A313" s="374" t="n">
        <v>359</v>
      </c>
      <c r="B313" s="374" t="str">
        <f aca="false" t="array" ref="B313:B313">INDEX('0.0.1 Pokémon Dex Data'!$E$3:$E1007,MATCH(A313,'0.0.1 Pokémon Dex Data'!$B$3:$B1007,0))</f>
        <v>Plusle</v>
      </c>
      <c r="C313" s="374" t="s">
        <v>2570</v>
      </c>
      <c r="D313" s="374" t="s">
        <v>2461</v>
      </c>
      <c r="E313" s="374" t="s">
        <v>2569</v>
      </c>
      <c r="F313" s="374" t="s">
        <v>2476</v>
      </c>
      <c r="G313" s="374" t="s">
        <v>2398</v>
      </c>
      <c r="H313" s="374"/>
      <c r="I313" s="374"/>
      <c r="J313" s="374"/>
      <c r="K313" s="374"/>
      <c r="L313" s="374"/>
      <c r="M313" s="374"/>
      <c r="N313" s="374"/>
      <c r="O313" s="374"/>
      <c r="P313" s="374"/>
      <c r="Q313" s="374"/>
      <c r="R313" s="374"/>
    </row>
    <row r="314" customFormat="false" ht="15.75" hidden="false" customHeight="false" outlineLevel="0" collapsed="false">
      <c r="A314" s="374" t="n">
        <v>360</v>
      </c>
      <c r="B314" s="374" t="str">
        <f aca="false" t="array" ref="B314:B314">INDEX('0.0.1 Pokémon Dex Data'!$E$3:$E1007,MATCH(A314,'0.0.1 Pokémon Dex Data'!$B$3:$B1007,0))</f>
        <v>Minun</v>
      </c>
      <c r="C314" s="374" t="s">
        <v>2570</v>
      </c>
      <c r="D314" s="374" t="s">
        <v>2461</v>
      </c>
      <c r="E314" s="374" t="s">
        <v>2569</v>
      </c>
      <c r="F314" s="374" t="s">
        <v>2476</v>
      </c>
      <c r="G314" s="374" t="s">
        <v>2398</v>
      </c>
      <c r="H314" s="374"/>
      <c r="I314" s="374"/>
      <c r="J314" s="374"/>
      <c r="K314" s="374"/>
      <c r="L314" s="374"/>
      <c r="M314" s="374"/>
      <c r="N314" s="374"/>
      <c r="O314" s="374"/>
      <c r="P314" s="374"/>
      <c r="Q314" s="374"/>
      <c r="R314" s="374"/>
    </row>
    <row r="315" customFormat="false" ht="15.75" hidden="false" customHeight="false" outlineLevel="0" collapsed="false">
      <c r="A315" s="374" t="n">
        <v>361</v>
      </c>
      <c r="B315" s="374" t="str">
        <f aca="false" t="array" ref="B315:B315">INDEX('0.0.1 Pokémon Dex Data'!$E$3:$E1007,MATCH(A315,'0.0.1 Pokémon Dex Data'!$B$3:$B1007,0))</f>
        <v>Volbeat</v>
      </c>
      <c r="C315" s="374" t="s">
        <v>2348</v>
      </c>
      <c r="D315" s="374" t="s">
        <v>2444</v>
      </c>
      <c r="E315" s="374" t="s">
        <v>2422</v>
      </c>
      <c r="F315" s="374" t="s">
        <v>2433</v>
      </c>
      <c r="G315" s="374" t="s">
        <v>2476</v>
      </c>
      <c r="H315" s="374"/>
      <c r="I315" s="374"/>
      <c r="J315" s="374"/>
      <c r="K315" s="374"/>
      <c r="L315" s="374"/>
      <c r="M315" s="374"/>
      <c r="N315" s="374"/>
      <c r="O315" s="374"/>
      <c r="P315" s="374"/>
      <c r="Q315" s="374"/>
      <c r="R315" s="374"/>
    </row>
    <row r="316" customFormat="false" ht="15.75" hidden="false" customHeight="false" outlineLevel="0" collapsed="false">
      <c r="A316" s="374" t="n">
        <v>362</v>
      </c>
      <c r="B316" s="374" t="str">
        <f aca="false" t="array" ref="B316:B316">INDEX('0.0.1 Pokémon Dex Data'!$E$3:$E1007,MATCH(A316,'0.0.1 Pokémon Dex Data'!$B$3:$B1007,0))</f>
        <v>Illumise</v>
      </c>
      <c r="C316" s="374" t="s">
        <v>2348</v>
      </c>
      <c r="D316" s="374" t="s">
        <v>2444</v>
      </c>
      <c r="E316" s="374" t="s">
        <v>2517</v>
      </c>
      <c r="F316" s="374" t="s">
        <v>2433</v>
      </c>
      <c r="G316" s="374" t="s">
        <v>2443</v>
      </c>
      <c r="H316" s="374"/>
      <c r="I316" s="374"/>
      <c r="J316" s="374"/>
      <c r="K316" s="374"/>
      <c r="L316" s="374"/>
      <c r="M316" s="374"/>
      <c r="N316" s="374"/>
      <c r="O316" s="374"/>
      <c r="P316" s="374"/>
      <c r="Q316" s="374"/>
      <c r="R316" s="374"/>
    </row>
    <row r="317" customFormat="false" ht="15.75" hidden="false" customHeight="false" outlineLevel="0" collapsed="false">
      <c r="A317" s="374" t="n">
        <v>363</v>
      </c>
      <c r="B317" s="374" t="str">
        <f aca="false" t="array" ref="B317:B317">INDEX('0.0.1 Pokémon Dex Data'!$E$3:$E1007,MATCH(A317,'0.0.1 Pokémon Dex Data'!$B$3:$B1007,0))</f>
        <v>Roselia</v>
      </c>
      <c r="C317" s="374" t="s">
        <v>2336</v>
      </c>
      <c r="D317" s="374" t="s">
        <v>2454</v>
      </c>
      <c r="E317" s="374" t="s">
        <v>2343</v>
      </c>
      <c r="F317" s="374" t="s">
        <v>2333</v>
      </c>
      <c r="G317" s="374" t="s">
        <v>2517</v>
      </c>
      <c r="H317" s="374"/>
      <c r="I317" s="374"/>
      <c r="J317" s="374"/>
      <c r="K317" s="374"/>
      <c r="L317" s="374"/>
      <c r="M317" s="374"/>
      <c r="N317" s="374"/>
      <c r="O317" s="374"/>
      <c r="P317" s="374"/>
      <c r="Q317" s="374"/>
      <c r="R317" s="374"/>
    </row>
    <row r="318" customFormat="false" ht="15.75" hidden="false" customHeight="false" outlineLevel="0" collapsed="false">
      <c r="A318" s="374" t="n">
        <v>364</v>
      </c>
      <c r="B318" s="374" t="str">
        <f aca="false" t="array" ref="B318:B318">INDEX('0.0.1 Pokémon Dex Data'!$E$3:$E1007,MATCH(A318,'0.0.1 Pokémon Dex Data'!$B$3:$B1007,0))</f>
        <v>Gulpin</v>
      </c>
      <c r="C318" s="374" t="s">
        <v>2339</v>
      </c>
      <c r="D318" s="374" t="s">
        <v>2582</v>
      </c>
      <c r="E318" s="374" t="s">
        <v>2484</v>
      </c>
      <c r="F318" s="374" t="s">
        <v>2583</v>
      </c>
      <c r="G318" s="374" t="s">
        <v>2415</v>
      </c>
      <c r="H318" s="374"/>
      <c r="I318" s="374"/>
      <c r="J318" s="374"/>
      <c r="K318" s="374"/>
      <c r="L318" s="374"/>
      <c r="M318" s="374"/>
      <c r="N318" s="374"/>
      <c r="O318" s="374"/>
      <c r="P318" s="374"/>
      <c r="Q318" s="374"/>
      <c r="R318" s="374"/>
    </row>
    <row r="319" customFormat="false" ht="15.75" hidden="false" customHeight="false" outlineLevel="0" collapsed="false">
      <c r="A319" s="374" t="n">
        <v>365</v>
      </c>
      <c r="B319" s="374" t="str">
        <f aca="false" t="array" ref="B319:B319">INDEX('0.0.1 Pokémon Dex Data'!$E$3:$E1007,MATCH(A319,'0.0.1 Pokémon Dex Data'!$B$3:$B1007,0))</f>
        <v>Swalot</v>
      </c>
      <c r="C319" s="374" t="s">
        <v>2339</v>
      </c>
      <c r="D319" s="374" t="s">
        <v>2438</v>
      </c>
      <c r="E319" s="374" t="s">
        <v>2484</v>
      </c>
      <c r="F319" s="374" t="s">
        <v>2343</v>
      </c>
      <c r="G319" s="374" t="s">
        <v>2415</v>
      </c>
      <c r="H319" s="374"/>
      <c r="I319" s="374"/>
      <c r="J319" s="374"/>
      <c r="K319" s="374"/>
      <c r="L319" s="374"/>
      <c r="M319" s="374"/>
      <c r="N319" s="374"/>
      <c r="O319" s="374"/>
      <c r="P319" s="374"/>
      <c r="Q319" s="374"/>
      <c r="R319" s="374"/>
    </row>
    <row r="320" customFormat="false" ht="15.75" hidden="false" customHeight="false" outlineLevel="0" collapsed="false">
      <c r="A320" s="374" t="n">
        <v>366</v>
      </c>
      <c r="B320" s="374" t="str">
        <f aca="false" t="array" ref="B320:B320">INDEX('0.0.1 Pokémon Dex Data'!$E$3:$E1007,MATCH(A320,'0.0.1 Pokémon Dex Data'!$B$3:$B1007,0))</f>
        <v>Carvanha</v>
      </c>
      <c r="C320" s="374" t="s">
        <v>2404</v>
      </c>
      <c r="D320" s="374" t="s">
        <v>2472</v>
      </c>
      <c r="E320" s="374" t="s">
        <v>2466</v>
      </c>
      <c r="F320" s="374" t="s">
        <v>2529</v>
      </c>
      <c r="G320" s="374" t="s">
        <v>2538</v>
      </c>
      <c r="H320" s="374"/>
      <c r="I320" s="374"/>
      <c r="J320" s="374"/>
      <c r="K320" s="374"/>
      <c r="L320" s="374"/>
      <c r="M320" s="374"/>
      <c r="N320" s="374"/>
      <c r="O320" s="374"/>
      <c r="P320" s="374"/>
      <c r="Q320" s="374"/>
      <c r="R320" s="374"/>
    </row>
    <row r="321" customFormat="false" ht="15.75" hidden="false" customHeight="false" outlineLevel="0" collapsed="false">
      <c r="A321" s="374" t="n">
        <v>367</v>
      </c>
      <c r="B321" s="374" t="str">
        <f aca="false" t="array" ref="B321:B321">INDEX('0.0.1 Pokémon Dex Data'!$E$3:$E1007,MATCH(A321,'0.0.1 Pokémon Dex Data'!$B$3:$B1007,0))</f>
        <v>Sharpedo</v>
      </c>
      <c r="C321" s="374" t="s">
        <v>2425</v>
      </c>
      <c r="D321" s="374" t="s">
        <v>2404</v>
      </c>
      <c r="E321" s="374" t="s">
        <v>2414</v>
      </c>
      <c r="F321" s="374" t="s">
        <v>2466</v>
      </c>
      <c r="G321" s="374" t="s">
        <v>2529</v>
      </c>
      <c r="H321" s="374"/>
      <c r="I321" s="374"/>
      <c r="J321" s="374"/>
      <c r="K321" s="374"/>
      <c r="L321" s="374"/>
      <c r="M321" s="374"/>
      <c r="N321" s="374"/>
      <c r="O321" s="374"/>
      <c r="P321" s="374"/>
      <c r="Q321" s="374"/>
      <c r="R321" s="374"/>
    </row>
    <row r="322" customFormat="false" ht="15.75" hidden="false" customHeight="false" outlineLevel="0" collapsed="false">
      <c r="A322" s="374" t="n">
        <v>369</v>
      </c>
      <c r="B322" s="374" t="str">
        <f aca="false" t="array" ref="B322:B322">INDEX('0.0.1 Pokémon Dex Data'!$E$3:$E1007,MATCH(A322,'0.0.1 Pokémon Dex Data'!$B$3:$B1007,0))</f>
        <v>Wailmer</v>
      </c>
      <c r="C322" s="374" t="s">
        <v>2426</v>
      </c>
      <c r="D322" s="374" t="s">
        <v>2643</v>
      </c>
      <c r="E322" s="374" t="s">
        <v>2428</v>
      </c>
      <c r="F322" s="374" t="s">
        <v>2563</v>
      </c>
      <c r="G322" s="374" t="s">
        <v>2312</v>
      </c>
      <c r="H322" s="374"/>
      <c r="I322" s="374"/>
      <c r="J322" s="374"/>
      <c r="K322" s="374"/>
      <c r="L322" s="374"/>
      <c r="M322" s="374"/>
      <c r="N322" s="374"/>
      <c r="O322" s="374"/>
      <c r="P322" s="374"/>
      <c r="Q322" s="374"/>
      <c r="R322" s="374"/>
    </row>
    <row r="323" customFormat="false" ht="15.75" hidden="false" customHeight="false" outlineLevel="0" collapsed="false">
      <c r="A323" s="374" t="n">
        <v>370</v>
      </c>
      <c r="B323" s="374" t="str">
        <f aca="false" t="array" ref="B323:B323">INDEX('0.0.1 Pokémon Dex Data'!$E$3:$E1007,MATCH(A323,'0.0.1 Pokémon Dex Data'!$B$3:$B1007,0))</f>
        <v>Wailord</v>
      </c>
      <c r="C323" s="374" t="s">
        <v>2426</v>
      </c>
      <c r="D323" s="374" t="s">
        <v>2430</v>
      </c>
      <c r="E323" s="374" t="s">
        <v>2424</v>
      </c>
      <c r="F323" s="374" t="s">
        <v>2405</v>
      </c>
      <c r="G323" s="374" t="s">
        <v>2329</v>
      </c>
      <c r="H323" s="374"/>
      <c r="I323" s="374"/>
      <c r="J323" s="374"/>
      <c r="K323" s="374"/>
      <c r="L323" s="374"/>
      <c r="M323" s="374"/>
      <c r="N323" s="374"/>
      <c r="O323" s="374"/>
      <c r="P323" s="374"/>
      <c r="Q323" s="374"/>
      <c r="R323" s="374"/>
    </row>
    <row r="324" customFormat="false" ht="15.75" hidden="false" customHeight="false" outlineLevel="0" collapsed="false">
      <c r="A324" s="374" t="n">
        <v>371</v>
      </c>
      <c r="B324" s="374" t="str">
        <f aca="false" t="array" ref="B324:B324">INDEX('0.0.1 Pokémon Dex Data'!$E$3:$E1007,MATCH(A324,'0.0.1 Pokémon Dex Data'!$B$3:$B1007,0))</f>
        <v>Numel</v>
      </c>
      <c r="C324" s="374" t="s">
        <v>2365</v>
      </c>
      <c r="D324" s="374" t="s">
        <v>2348</v>
      </c>
      <c r="E324" s="374" t="s">
        <v>2378</v>
      </c>
      <c r="F324" s="374" t="s">
        <v>2571</v>
      </c>
      <c r="G324" s="374" t="s">
        <v>2313</v>
      </c>
      <c r="H324" s="374"/>
      <c r="I324" s="374"/>
      <c r="J324" s="374"/>
      <c r="K324" s="374"/>
      <c r="L324" s="374"/>
      <c r="M324" s="374"/>
      <c r="N324" s="374"/>
      <c r="O324" s="374"/>
      <c r="P324" s="374"/>
      <c r="Q324" s="374"/>
      <c r="R324" s="374"/>
    </row>
    <row r="325" customFormat="false" ht="15.75" hidden="false" customHeight="false" outlineLevel="0" collapsed="false">
      <c r="A325" s="374" t="n">
        <v>372</v>
      </c>
      <c r="B325" s="374" t="str">
        <f aca="false" t="array" ref="B325:B325">INDEX('0.0.1 Pokémon Dex Data'!$E$3:$E1007,MATCH(A325,'0.0.1 Pokémon Dex Data'!$B$3:$B1007,0))</f>
        <v>Camerupt</v>
      </c>
      <c r="C325" s="374" t="s">
        <v>2365</v>
      </c>
      <c r="D325" s="374" t="s">
        <v>2339</v>
      </c>
      <c r="E325" s="374" t="s">
        <v>2345</v>
      </c>
      <c r="F325" s="374" t="s">
        <v>2386</v>
      </c>
      <c r="G325" s="374" t="s">
        <v>2317</v>
      </c>
      <c r="H325" s="374"/>
      <c r="I325" s="374"/>
      <c r="J325" s="374"/>
      <c r="K325" s="374"/>
      <c r="L325" s="374"/>
      <c r="M325" s="374"/>
      <c r="N325" s="374"/>
      <c r="O325" s="374"/>
      <c r="P325" s="374"/>
      <c r="Q325" s="374"/>
      <c r="R325" s="374"/>
    </row>
    <row r="326" customFormat="false" ht="15.75" hidden="false" customHeight="false" outlineLevel="0" collapsed="false">
      <c r="A326" s="374" t="n">
        <v>374</v>
      </c>
      <c r="B326" s="374" t="str">
        <f aca="false" t="array" ref="B326:B326">INDEX('0.0.1 Pokémon Dex Data'!$E$3:$E1007,MATCH(A326,'0.0.1 Pokémon Dex Data'!$B$3:$B1007,0))</f>
        <v>Torkoal</v>
      </c>
      <c r="C326" s="374" t="s">
        <v>2370</v>
      </c>
      <c r="D326" s="374" t="s">
        <v>2365</v>
      </c>
      <c r="E326" s="374" t="s">
        <v>2345</v>
      </c>
      <c r="F326" s="374" t="s">
        <v>2386</v>
      </c>
      <c r="G326" s="374" t="s">
        <v>2317</v>
      </c>
      <c r="H326" s="374"/>
      <c r="I326" s="374"/>
      <c r="J326" s="374"/>
      <c r="K326" s="374"/>
      <c r="L326" s="374"/>
      <c r="M326" s="374"/>
      <c r="N326" s="374"/>
      <c r="O326" s="374"/>
      <c r="P326" s="374"/>
      <c r="Q326" s="374"/>
      <c r="R326" s="374"/>
    </row>
    <row r="327" customFormat="false" ht="15.75" hidden="false" customHeight="false" outlineLevel="0" collapsed="false">
      <c r="A327" s="374" t="n">
        <v>375</v>
      </c>
      <c r="B327" s="374" t="str">
        <f aca="false" t="array" ref="B327:B327">INDEX('0.0.1 Pokémon Dex Data'!$E$3:$E1007,MATCH(A327,'0.0.1 Pokémon Dex Data'!$B$3:$B1007,0))</f>
        <v>Spoink</v>
      </c>
      <c r="C327" s="374" t="s">
        <v>2430</v>
      </c>
      <c r="D327" s="374" t="s">
        <v>2643</v>
      </c>
      <c r="E327" s="374" t="s">
        <v>2596</v>
      </c>
      <c r="F327" s="374" t="s">
        <v>2442</v>
      </c>
      <c r="G327" s="374" t="s">
        <v>2439</v>
      </c>
      <c r="H327" s="374"/>
      <c r="I327" s="374"/>
      <c r="J327" s="374"/>
      <c r="K327" s="374"/>
      <c r="L327" s="374"/>
      <c r="M327" s="374"/>
      <c r="N327" s="374"/>
      <c r="O327" s="374"/>
      <c r="P327" s="374"/>
      <c r="Q327" s="374"/>
      <c r="R327" s="374"/>
    </row>
    <row r="328" customFormat="false" ht="15.75" hidden="false" customHeight="false" outlineLevel="0" collapsed="false">
      <c r="A328" s="374" t="n">
        <v>376</v>
      </c>
      <c r="B328" s="374" t="str">
        <f aca="false" t="array" ref="B328:B328">INDEX('0.0.1 Pokémon Dex Data'!$E$3:$E1007,MATCH(A328,'0.0.1 Pokémon Dex Data'!$B$3:$B1007,0))</f>
        <v>Grumpig</v>
      </c>
      <c r="C328" s="374" t="s">
        <v>2632</v>
      </c>
      <c r="D328" s="374" t="s">
        <v>2464</v>
      </c>
      <c r="E328" s="374" t="s">
        <v>2596</v>
      </c>
      <c r="F328" s="374" t="s">
        <v>2442</v>
      </c>
      <c r="G328" s="374" t="s">
        <v>157</v>
      </c>
      <c r="H328" s="374"/>
      <c r="I328" s="374"/>
      <c r="J328" s="374"/>
      <c r="K328" s="374"/>
      <c r="L328" s="374"/>
      <c r="M328" s="374"/>
      <c r="N328" s="374"/>
      <c r="O328" s="374"/>
      <c r="P328" s="374"/>
      <c r="Q328" s="374"/>
      <c r="R328" s="374"/>
    </row>
    <row r="329" customFormat="false" ht="15.75" hidden="false" customHeight="false" outlineLevel="0" collapsed="false">
      <c r="A329" s="374" t="n">
        <v>377</v>
      </c>
      <c r="B329" s="374" t="str">
        <f aca="false" t="array" ref="B329:B329">INDEX('0.0.1 Pokémon Dex Data'!$E$3:$E1007,MATCH(A329,'0.0.1 Pokémon Dex Data'!$B$3:$B1007,0))</f>
        <v>Spinda</v>
      </c>
      <c r="C329" s="374" t="s">
        <v>2473</v>
      </c>
      <c r="D329" s="374" t="s">
        <v>2551</v>
      </c>
      <c r="E329" s="374" t="s">
        <v>2358</v>
      </c>
      <c r="F329" s="374" t="s">
        <v>2389</v>
      </c>
      <c r="G329" s="374" t="s">
        <v>2358</v>
      </c>
      <c r="H329" s="374"/>
      <c r="I329" s="374"/>
      <c r="J329" s="374"/>
      <c r="K329" s="374"/>
      <c r="L329" s="374"/>
      <c r="M329" s="374"/>
      <c r="N329" s="374"/>
      <c r="O329" s="374"/>
      <c r="P329" s="374"/>
      <c r="Q329" s="374"/>
      <c r="R329" s="374"/>
    </row>
    <row r="330" customFormat="false" ht="15.75" hidden="false" customHeight="false" outlineLevel="0" collapsed="false">
      <c r="A330" s="374" t="n">
        <v>378</v>
      </c>
      <c r="B330" s="374" t="str">
        <f aca="false" t="array" ref="B330:B330">INDEX('0.0.1 Pokémon Dex Data'!$E$3:$E1007,MATCH(A330,'0.0.1 Pokémon Dex Data'!$B$3:$B1007,0))</f>
        <v>Trapinch</v>
      </c>
      <c r="C330" s="374" t="s">
        <v>2594</v>
      </c>
      <c r="D330" s="374" t="s">
        <v>2444</v>
      </c>
      <c r="E330" s="374" t="s">
        <v>2358</v>
      </c>
      <c r="F330" s="374" t="s">
        <v>2466</v>
      </c>
      <c r="G330" s="374" t="s">
        <v>2499</v>
      </c>
      <c r="H330" s="374"/>
      <c r="I330" s="374"/>
      <c r="J330" s="374"/>
      <c r="K330" s="374"/>
      <c r="L330" s="374"/>
      <c r="M330" s="374"/>
      <c r="N330" s="374"/>
      <c r="O330" s="374"/>
      <c r="P330" s="374"/>
      <c r="Q330" s="374"/>
      <c r="R330" s="374"/>
    </row>
    <row r="331" customFormat="false" ht="15.75" hidden="false" customHeight="false" outlineLevel="0" collapsed="false">
      <c r="A331" s="374" t="n">
        <v>379</v>
      </c>
      <c r="B331" s="374" t="str">
        <f aca="false" t="array" ref="B331:B331">INDEX('0.0.1 Pokémon Dex Data'!$E$3:$E1007,MATCH(A331,'0.0.1 Pokémon Dex Data'!$B$3:$B1007,0))</f>
        <v>Vibrava</v>
      </c>
      <c r="C331" s="374" t="s">
        <v>2359</v>
      </c>
      <c r="D331" s="374" t="s">
        <v>2594</v>
      </c>
      <c r="E331" s="374" t="s">
        <v>2433</v>
      </c>
      <c r="F331" s="374" t="s">
        <v>2313</v>
      </c>
      <c r="G331" s="374" t="s">
        <v>2499</v>
      </c>
      <c r="H331" s="374"/>
      <c r="I331" s="374"/>
      <c r="J331" s="374"/>
      <c r="K331" s="374"/>
      <c r="L331" s="374"/>
      <c r="M331" s="374"/>
      <c r="N331" s="374"/>
      <c r="O331" s="374"/>
      <c r="P331" s="374"/>
      <c r="Q331" s="374"/>
      <c r="R331" s="374"/>
    </row>
    <row r="332" customFormat="false" ht="15.75" hidden="false" customHeight="false" outlineLevel="0" collapsed="false">
      <c r="A332" s="374" t="n">
        <v>380</v>
      </c>
      <c r="B332" s="374" t="str">
        <f aca="false" t="array" ref="B332:B332">INDEX('0.0.1 Pokémon Dex Data'!$E$3:$E1007,MATCH(A332,'0.0.1 Pokémon Dex Data'!$B$3:$B1007,0))</f>
        <v>Flygon</v>
      </c>
      <c r="C332" s="374" t="s">
        <v>2363</v>
      </c>
      <c r="D332" s="374" t="s">
        <v>2594</v>
      </c>
      <c r="E332" s="374" t="s">
        <v>2317</v>
      </c>
      <c r="F332" s="374" t="s">
        <v>2360</v>
      </c>
      <c r="G332" s="374" t="s">
        <v>2500</v>
      </c>
      <c r="H332" s="374"/>
      <c r="I332" s="374"/>
      <c r="J332" s="374"/>
      <c r="K332" s="374"/>
      <c r="L332" s="374"/>
      <c r="M332" s="374"/>
      <c r="N332" s="374"/>
      <c r="O332" s="374"/>
      <c r="P332" s="374"/>
      <c r="Q332" s="374"/>
      <c r="R332" s="374"/>
    </row>
    <row r="333" customFormat="false" ht="15.75" hidden="false" customHeight="false" outlineLevel="0" collapsed="false">
      <c r="A333" s="374" t="n">
        <v>381</v>
      </c>
      <c r="B333" s="374" t="str">
        <f aca="false" t="array" ref="B333:B333">INDEX('0.0.1 Pokémon Dex Data'!$E$3:$E1007,MATCH(A333,'0.0.1 Pokémon Dex Data'!$B$3:$B1007,0))</f>
        <v>Cacnea</v>
      </c>
      <c r="C333" s="374" t="s">
        <v>2473</v>
      </c>
      <c r="D333" s="374" t="s">
        <v>2487</v>
      </c>
      <c r="E333" s="374" t="s">
        <v>2325</v>
      </c>
      <c r="F333" s="374" t="s">
        <v>2342</v>
      </c>
      <c r="G333" s="374" t="s">
        <v>2356</v>
      </c>
      <c r="H333" s="374"/>
      <c r="I333" s="374"/>
      <c r="J333" s="374"/>
      <c r="K333" s="374"/>
      <c r="L333" s="374"/>
      <c r="M333" s="374"/>
      <c r="N333" s="374"/>
      <c r="O333" s="374"/>
      <c r="P333" s="374"/>
      <c r="Q333" s="374"/>
      <c r="R333" s="374"/>
    </row>
    <row r="334" customFormat="false" ht="15.75" hidden="false" customHeight="false" outlineLevel="0" collapsed="false">
      <c r="A334" s="374" t="n">
        <v>382</v>
      </c>
      <c r="B334" s="374" t="str">
        <f aca="false" t="array" ref="B334:B334">INDEX('0.0.1 Pokémon Dex Data'!$E$3:$E1007,MATCH(A334,'0.0.1 Pokémon Dex Data'!$B$3:$B1007,0))</f>
        <v>Cacturne</v>
      </c>
      <c r="C334" s="374" t="s">
        <v>2473</v>
      </c>
      <c r="D334" s="374" t="s">
        <v>2454</v>
      </c>
      <c r="E334" s="374" t="s">
        <v>2325</v>
      </c>
      <c r="F334" s="374" t="s">
        <v>2409</v>
      </c>
      <c r="G334" s="374" t="s">
        <v>2364</v>
      </c>
      <c r="H334" s="374"/>
      <c r="I334" s="374"/>
      <c r="J334" s="374"/>
      <c r="K334" s="374"/>
      <c r="L334" s="374"/>
      <c r="M334" s="374"/>
      <c r="N334" s="374"/>
      <c r="O334" s="374"/>
      <c r="P334" s="374"/>
      <c r="Q334" s="374"/>
      <c r="R334" s="374"/>
    </row>
    <row r="335" customFormat="false" ht="15.75" hidden="false" customHeight="false" outlineLevel="0" collapsed="false">
      <c r="A335" s="374" t="n">
        <v>383</v>
      </c>
      <c r="B335" s="374" t="str">
        <f aca="false" t="array" ref="B335:B335">INDEX('0.0.1 Pokémon Dex Data'!$E$3:$E1007,MATCH(A335,'0.0.1 Pokémon Dex Data'!$B$3:$B1007,0))</f>
        <v>Swablu</v>
      </c>
      <c r="C335" s="374" t="s">
        <v>2480</v>
      </c>
      <c r="D335" s="374" t="s">
        <v>2528</v>
      </c>
      <c r="E335" s="374" t="s">
        <v>2352</v>
      </c>
      <c r="F335" s="374" t="s">
        <v>2415</v>
      </c>
      <c r="G335" s="374" t="s">
        <v>2518</v>
      </c>
      <c r="H335" s="374"/>
      <c r="I335" s="374"/>
      <c r="J335" s="374"/>
      <c r="K335" s="374"/>
      <c r="L335" s="374"/>
      <c r="M335" s="374"/>
      <c r="N335" s="374"/>
      <c r="O335" s="374"/>
      <c r="P335" s="374"/>
      <c r="Q335" s="374"/>
      <c r="R335" s="374"/>
    </row>
    <row r="336" customFormat="false" ht="15.75" hidden="false" customHeight="false" outlineLevel="0" collapsed="false">
      <c r="A336" s="374" t="n">
        <v>384</v>
      </c>
      <c r="B336" s="374" t="str">
        <f aca="false" t="array" ref="B336:B336">INDEX('0.0.1 Pokémon Dex Data'!$E$3:$E1007,MATCH(A336,'0.0.1 Pokémon Dex Data'!$B$3:$B1007,0))</f>
        <v>Altaria</v>
      </c>
      <c r="C336" s="374" t="s">
        <v>2359</v>
      </c>
      <c r="D336" s="374" t="s">
        <v>2480</v>
      </c>
      <c r="E336" s="374" t="s">
        <v>2361</v>
      </c>
      <c r="F336" s="374" t="s">
        <v>2462</v>
      </c>
      <c r="G336" s="374" t="s">
        <v>2517</v>
      </c>
      <c r="H336" s="374"/>
      <c r="I336" s="374"/>
      <c r="J336" s="374"/>
      <c r="K336" s="374"/>
      <c r="L336" s="374"/>
      <c r="M336" s="374"/>
      <c r="N336" s="374"/>
      <c r="O336" s="374"/>
      <c r="P336" s="374"/>
      <c r="Q336" s="374"/>
      <c r="R336" s="374"/>
    </row>
    <row r="337" customFormat="false" ht="15.75" hidden="false" customHeight="false" outlineLevel="0" collapsed="false">
      <c r="A337" s="374" t="n">
        <v>386</v>
      </c>
      <c r="B337" s="374" t="str">
        <f aca="false" t="array" ref="B337:B337">INDEX('0.0.1 Pokémon Dex Data'!$E$3:$E1007,MATCH(A337,'0.0.1 Pokémon Dex Data'!$B$3:$B1007,0))</f>
        <v>Zangoose</v>
      </c>
      <c r="C337" s="374" t="s">
        <v>2322</v>
      </c>
      <c r="D337" s="374" t="s">
        <v>2392</v>
      </c>
      <c r="E337" s="374" t="s">
        <v>2541</v>
      </c>
      <c r="F337" s="374" t="s">
        <v>2531</v>
      </c>
      <c r="G337" s="374" t="s">
        <v>2358</v>
      </c>
      <c r="H337" s="374"/>
      <c r="I337" s="374"/>
      <c r="J337" s="374"/>
      <c r="K337" s="374"/>
      <c r="L337" s="374"/>
      <c r="M337" s="374"/>
      <c r="N337" s="374"/>
      <c r="O337" s="374"/>
      <c r="P337" s="374"/>
      <c r="Q337" s="374"/>
      <c r="R337" s="374"/>
    </row>
    <row r="338" customFormat="false" ht="15.75" hidden="false" customHeight="false" outlineLevel="0" collapsed="false">
      <c r="A338" s="374" t="n">
        <v>387</v>
      </c>
      <c r="B338" s="374" t="str">
        <f aca="false" t="array" ref="B338:B338">INDEX('0.0.1 Pokémon Dex Data'!$E$3:$E1007,MATCH(A338,'0.0.1 Pokémon Dex Data'!$B$3:$B1007,0))</f>
        <v>Seviper</v>
      </c>
      <c r="C338" s="374" t="s">
        <v>2454</v>
      </c>
      <c r="D338" s="374" t="s">
        <v>2381</v>
      </c>
      <c r="E338" s="374" t="s">
        <v>2466</v>
      </c>
      <c r="F338" s="374" t="s">
        <v>2489</v>
      </c>
      <c r="G338" s="374" t="s">
        <v>2529</v>
      </c>
      <c r="H338" s="374"/>
      <c r="I338" s="374"/>
      <c r="J338" s="374"/>
      <c r="K338" s="374"/>
      <c r="L338" s="374"/>
      <c r="M338" s="374"/>
      <c r="N338" s="374"/>
      <c r="O338" s="374"/>
      <c r="P338" s="374"/>
      <c r="Q338" s="374"/>
      <c r="R338" s="374"/>
    </row>
    <row r="339" customFormat="false" ht="15.75" hidden="false" customHeight="false" outlineLevel="0" collapsed="false">
      <c r="A339" s="374" t="n">
        <v>388</v>
      </c>
      <c r="B339" s="374" t="str">
        <f aca="false" t="array" ref="B339:B339">INDEX('0.0.1 Pokémon Dex Data'!$E$3:$E1007,MATCH(A339,'0.0.1 Pokémon Dex Data'!$B$3:$B1007,0))</f>
        <v>Lunatone</v>
      </c>
      <c r="C339" s="374" t="s">
        <v>2565</v>
      </c>
      <c r="D339" s="374" t="s">
        <v>2434</v>
      </c>
      <c r="E339" s="374" t="s">
        <v>2388</v>
      </c>
      <c r="F339" s="374" t="s">
        <v>157</v>
      </c>
      <c r="G339" s="374" t="s">
        <v>2638</v>
      </c>
      <c r="H339" s="374"/>
      <c r="I339" s="374"/>
      <c r="J339" s="374"/>
      <c r="K339" s="374"/>
      <c r="L339" s="374"/>
      <c r="M339" s="374"/>
      <c r="N339" s="374"/>
      <c r="O339" s="374"/>
      <c r="P339" s="374"/>
      <c r="Q339" s="374"/>
      <c r="R339" s="374"/>
    </row>
    <row r="340" customFormat="false" ht="15.75" hidden="false" customHeight="false" outlineLevel="0" collapsed="false">
      <c r="A340" s="374" t="n">
        <v>389</v>
      </c>
      <c r="B340" s="374" t="str">
        <f aca="false" t="array" ref="B340:B340">INDEX('0.0.1 Pokémon Dex Data'!$E$3:$E1007,MATCH(A340,'0.0.1 Pokémon Dex Data'!$B$3:$B1007,0))</f>
        <v>Solrock</v>
      </c>
      <c r="C340" s="374" t="s">
        <v>2565</v>
      </c>
      <c r="D340" s="374" t="s">
        <v>2434</v>
      </c>
      <c r="E340" s="374" t="s">
        <v>2388</v>
      </c>
      <c r="F340" s="374" t="s">
        <v>157</v>
      </c>
      <c r="G340" s="374" t="s">
        <v>2345</v>
      </c>
      <c r="H340" s="374"/>
      <c r="I340" s="374"/>
      <c r="J340" s="374"/>
      <c r="K340" s="374"/>
      <c r="L340" s="374"/>
      <c r="M340" s="374"/>
      <c r="N340" s="374"/>
      <c r="O340" s="374"/>
      <c r="P340" s="374"/>
      <c r="Q340" s="374"/>
      <c r="R340" s="374"/>
    </row>
    <row r="341" customFormat="false" ht="15.75" hidden="false" customHeight="false" outlineLevel="0" collapsed="false">
      <c r="A341" s="374" t="n">
        <v>390</v>
      </c>
      <c r="B341" s="374" t="str">
        <f aca="false" t="array" ref="B341:B341">INDEX('0.0.1 Pokémon Dex Data'!$E$3:$E1007,MATCH(A341,'0.0.1 Pokémon Dex Data'!$B$3:$B1007,0))</f>
        <v>Barboach</v>
      </c>
      <c r="C341" s="374" t="s">
        <v>2390</v>
      </c>
      <c r="D341" s="374" t="s">
        <v>2444</v>
      </c>
      <c r="E341" s="374" t="s">
        <v>2530</v>
      </c>
      <c r="F341" s="374" t="s">
        <v>2561</v>
      </c>
      <c r="G341" s="374" t="s">
        <v>2538</v>
      </c>
      <c r="H341" s="374"/>
      <c r="I341" s="374"/>
      <c r="J341" s="374"/>
      <c r="K341" s="374"/>
      <c r="L341" s="374"/>
      <c r="M341" s="374"/>
      <c r="N341" s="374"/>
      <c r="O341" s="374"/>
      <c r="P341" s="374"/>
      <c r="Q341" s="374"/>
      <c r="R341" s="374"/>
    </row>
    <row r="342" customFormat="false" ht="15.75" hidden="false" customHeight="false" outlineLevel="0" collapsed="false">
      <c r="A342" s="374" t="n">
        <v>391</v>
      </c>
      <c r="B342" s="374" t="str">
        <f aca="false" t="array" ref="B342:B342">INDEX('0.0.1 Pokémon Dex Data'!$E$3:$E1007,MATCH(A342,'0.0.1 Pokémon Dex Data'!$B$3:$B1007,0))</f>
        <v>Whiscash</v>
      </c>
      <c r="C342" s="374" t="s">
        <v>2426</v>
      </c>
      <c r="D342" s="374" t="s">
        <v>2594</v>
      </c>
      <c r="E342" s="374" t="s">
        <v>2428</v>
      </c>
      <c r="F342" s="374" t="s">
        <v>2486</v>
      </c>
      <c r="G342" s="374" t="s">
        <v>2405</v>
      </c>
      <c r="H342" s="374"/>
      <c r="I342" s="374"/>
      <c r="J342" s="374"/>
      <c r="K342" s="374"/>
      <c r="L342" s="374"/>
      <c r="M342" s="374"/>
      <c r="N342" s="374"/>
      <c r="O342" s="374"/>
      <c r="P342" s="374"/>
      <c r="Q342" s="374"/>
      <c r="R342" s="374"/>
    </row>
    <row r="343" customFormat="false" ht="15.75" hidden="false" customHeight="false" outlineLevel="0" collapsed="false">
      <c r="A343" s="374" t="n">
        <v>392</v>
      </c>
      <c r="B343" s="374" t="str">
        <f aca="false" t="array" ref="B343:B343">INDEX('0.0.1 Pokémon Dex Data'!$E$3:$E1007,MATCH(A343,'0.0.1 Pokémon Dex Data'!$B$3:$B1007,0))</f>
        <v>Corphish</v>
      </c>
      <c r="C343" s="374" t="s">
        <v>2339</v>
      </c>
      <c r="D343" s="374" t="s">
        <v>2407</v>
      </c>
      <c r="E343" s="374" t="s">
        <v>2408</v>
      </c>
      <c r="F343" s="374" t="s">
        <v>2595</v>
      </c>
      <c r="G343" s="374" t="s">
        <v>2538</v>
      </c>
      <c r="H343" s="374"/>
      <c r="I343" s="374"/>
      <c r="J343" s="374"/>
      <c r="K343" s="374"/>
      <c r="L343" s="374"/>
      <c r="M343" s="374"/>
      <c r="N343" s="374"/>
      <c r="O343" s="374"/>
      <c r="P343" s="374"/>
      <c r="Q343" s="374"/>
      <c r="R343" s="374"/>
    </row>
    <row r="344" customFormat="false" ht="15.75" hidden="false" customHeight="false" outlineLevel="0" collapsed="false">
      <c r="A344" s="374" t="n">
        <v>393</v>
      </c>
      <c r="B344" s="374" t="str">
        <f aca="false" t="array" ref="B344:B344">INDEX('0.0.1 Pokémon Dex Data'!$E$3:$E1007,MATCH(A344,'0.0.1 Pokémon Dex Data'!$B$3:$B1007,0))</f>
        <v>Crawdaunt</v>
      </c>
      <c r="C344" s="374" t="s">
        <v>2425</v>
      </c>
      <c r="D344" s="374" t="s">
        <v>2472</v>
      </c>
      <c r="E344" s="374" t="s">
        <v>2408</v>
      </c>
      <c r="F344" s="374" t="s">
        <v>2595</v>
      </c>
      <c r="G344" s="374" t="s">
        <v>2531</v>
      </c>
      <c r="H344" s="374"/>
      <c r="I344" s="374"/>
      <c r="J344" s="374"/>
      <c r="K344" s="374"/>
      <c r="L344" s="374"/>
      <c r="M344" s="374"/>
      <c r="N344" s="374"/>
      <c r="O344" s="374"/>
      <c r="P344" s="374"/>
      <c r="Q344" s="374"/>
      <c r="R344" s="374"/>
    </row>
    <row r="345" customFormat="false" ht="15.75" hidden="false" customHeight="false" outlineLevel="0" collapsed="false">
      <c r="A345" s="374" t="n">
        <v>394</v>
      </c>
      <c r="B345" s="374" t="str">
        <f aca="false" t="array" ref="B345:B345">INDEX('0.0.1 Pokémon Dex Data'!$E$3:$E1007,MATCH(A345,'0.0.1 Pokémon Dex Data'!$B$3:$B1007,0))</f>
        <v>Baltoy</v>
      </c>
      <c r="C345" s="374" t="s">
        <v>2632</v>
      </c>
      <c r="D345" s="374" t="s">
        <v>2434</v>
      </c>
      <c r="E345" s="374" t="s">
        <v>2412</v>
      </c>
      <c r="F345" s="374" t="s">
        <v>2358</v>
      </c>
      <c r="G345" s="374" t="s">
        <v>2439</v>
      </c>
      <c r="H345" s="374"/>
      <c r="I345" s="374"/>
      <c r="J345" s="374"/>
      <c r="K345" s="374"/>
      <c r="L345" s="374"/>
      <c r="M345" s="374"/>
      <c r="N345" s="374"/>
      <c r="O345" s="374"/>
      <c r="P345" s="374"/>
      <c r="Q345" s="374"/>
      <c r="R345" s="374"/>
    </row>
    <row r="346" customFormat="false" ht="15.75" hidden="false" customHeight="false" outlineLevel="0" collapsed="false">
      <c r="A346" s="374" t="n">
        <v>395</v>
      </c>
      <c r="B346" s="374" t="str">
        <f aca="false" t="array" ref="B346:B346">INDEX('0.0.1 Pokémon Dex Data'!$E$3:$E1007,MATCH(A346,'0.0.1 Pokémon Dex Data'!$B$3:$B1007,0))</f>
        <v>Claydol</v>
      </c>
      <c r="C346" s="374" t="s">
        <v>2632</v>
      </c>
      <c r="D346" s="374" t="s">
        <v>2434</v>
      </c>
      <c r="E346" s="374" t="s">
        <v>2412</v>
      </c>
      <c r="F346" s="374" t="s">
        <v>2317</v>
      </c>
      <c r="G346" s="374" t="s">
        <v>157</v>
      </c>
      <c r="H346" s="374"/>
      <c r="I346" s="374"/>
      <c r="J346" s="374"/>
      <c r="K346" s="374"/>
      <c r="L346" s="374"/>
      <c r="M346" s="374"/>
      <c r="N346" s="374"/>
      <c r="O346" s="374"/>
      <c r="P346" s="374"/>
      <c r="Q346" s="374"/>
      <c r="R346" s="374"/>
    </row>
    <row r="347" customFormat="false" ht="15.75" hidden="false" customHeight="false" outlineLevel="0" collapsed="false">
      <c r="A347" s="374" t="n">
        <v>396</v>
      </c>
      <c r="B347" s="374" t="str">
        <f aca="false" t="array" ref="B347:B347">INDEX('0.0.1 Pokémon Dex Data'!$E$3:$E1007,MATCH(A347,'0.0.1 Pokémon Dex Data'!$B$3:$B1007,0))</f>
        <v>Lileep</v>
      </c>
      <c r="C347" s="374" t="s">
        <v>2438</v>
      </c>
      <c r="D347" s="374" t="s">
        <v>2481</v>
      </c>
      <c r="E347" s="374" t="s">
        <v>2325</v>
      </c>
      <c r="F347" s="374" t="s">
        <v>2561</v>
      </c>
      <c r="G347" s="374" t="s">
        <v>2596</v>
      </c>
      <c r="H347" s="374"/>
      <c r="I347" s="374"/>
      <c r="J347" s="374"/>
      <c r="K347" s="374"/>
      <c r="L347" s="374"/>
      <c r="M347" s="374"/>
      <c r="N347" s="374"/>
      <c r="O347" s="374"/>
      <c r="P347" s="374"/>
      <c r="Q347" s="374"/>
      <c r="R347" s="374"/>
    </row>
    <row r="348" customFormat="false" ht="15.75" hidden="false" customHeight="false" outlineLevel="0" collapsed="false">
      <c r="A348" s="374" t="n">
        <v>397</v>
      </c>
      <c r="B348" s="374" t="str">
        <f aca="false" t="array" ref="B348:B348">INDEX('0.0.1 Pokémon Dex Data'!$E$3:$E1007,MATCH(A348,'0.0.1 Pokémon Dex Data'!$B$3:$B1007,0))</f>
        <v>Cradily</v>
      </c>
      <c r="C348" s="374" t="s">
        <v>2438</v>
      </c>
      <c r="D348" s="374" t="s">
        <v>2481</v>
      </c>
      <c r="E348" s="374" t="s">
        <v>2325</v>
      </c>
      <c r="F348" s="374" t="s">
        <v>2313</v>
      </c>
      <c r="G348" s="374" t="s">
        <v>2500</v>
      </c>
      <c r="H348" s="374"/>
      <c r="I348" s="374"/>
      <c r="J348" s="374"/>
      <c r="K348" s="374"/>
      <c r="L348" s="374"/>
      <c r="M348" s="374"/>
      <c r="N348" s="374"/>
      <c r="O348" s="374"/>
      <c r="P348" s="374"/>
      <c r="Q348" s="374"/>
      <c r="R348" s="374"/>
    </row>
    <row r="349" customFormat="false" ht="15.75" hidden="false" customHeight="false" outlineLevel="0" collapsed="false">
      <c r="A349" s="374" t="n">
        <v>398</v>
      </c>
      <c r="B349" s="374" t="str">
        <f aca="false" t="array" ref="B349:B349">INDEX('0.0.1 Pokémon Dex Data'!$E$3:$E1007,MATCH(A349,'0.0.1 Pokémon Dex Data'!$B$3:$B1007,0))</f>
        <v>Anorith</v>
      </c>
      <c r="C349" s="374" t="s">
        <v>2390</v>
      </c>
      <c r="D349" s="374" t="s">
        <v>2444</v>
      </c>
      <c r="E349" s="374" t="s">
        <v>2530</v>
      </c>
      <c r="F349" s="374" t="s">
        <v>2561</v>
      </c>
      <c r="G349" s="374" t="s">
        <v>2538</v>
      </c>
      <c r="H349" s="374"/>
      <c r="I349" s="374"/>
      <c r="J349" s="374"/>
      <c r="K349" s="374"/>
      <c r="L349" s="374"/>
      <c r="M349" s="374"/>
      <c r="N349" s="374"/>
      <c r="O349" s="374"/>
      <c r="P349" s="374"/>
      <c r="Q349" s="374"/>
      <c r="R349" s="374"/>
    </row>
    <row r="350" customFormat="false" ht="15.75" hidden="false" customHeight="false" outlineLevel="0" collapsed="false">
      <c r="A350" s="374" t="n">
        <v>399</v>
      </c>
      <c r="B350" s="374" t="str">
        <f aca="false" t="array" ref="B350:B350">INDEX('0.0.1 Pokémon Dex Data'!$E$3:$E1007,MATCH(A350,'0.0.1 Pokémon Dex Data'!$B$3:$B1007,0))</f>
        <v>Armaldo</v>
      </c>
      <c r="C350" s="374" t="s">
        <v>2322</v>
      </c>
      <c r="D350" s="374" t="s">
        <v>2444</v>
      </c>
      <c r="E350" s="374" t="s">
        <v>2530</v>
      </c>
      <c r="F350" s="374" t="s">
        <v>2428</v>
      </c>
      <c r="G350" s="374" t="s">
        <v>2564</v>
      </c>
      <c r="H350" s="374"/>
      <c r="I350" s="374"/>
      <c r="J350" s="374"/>
      <c r="K350" s="374"/>
      <c r="L350" s="374"/>
      <c r="M350" s="374"/>
      <c r="N350" s="374"/>
      <c r="O350" s="374"/>
      <c r="P350" s="374"/>
      <c r="Q350" s="374"/>
      <c r="R350" s="374"/>
    </row>
    <row r="351" customFormat="false" ht="15.75" hidden="false" customHeight="false" outlineLevel="0" collapsed="false">
      <c r="A351" s="374" t="n">
        <v>400</v>
      </c>
      <c r="B351" s="374" t="str">
        <f aca="false" t="array" ref="B351:B351">INDEX('0.0.1 Pokémon Dex Data'!$E$3:$E1007,MATCH(A351,'0.0.1 Pokémon Dex Data'!$B$3:$B1007,0))</f>
        <v>Feebas</v>
      </c>
      <c r="C351" s="374" t="s">
        <v>2348</v>
      </c>
      <c r="D351" s="374" t="s">
        <v>2643</v>
      </c>
      <c r="E351" s="374" t="s">
        <v>2596</v>
      </c>
      <c r="F351" s="374"/>
      <c r="G351" s="374"/>
      <c r="H351" s="374"/>
      <c r="I351" s="374"/>
      <c r="J351" s="374"/>
      <c r="K351" s="374"/>
      <c r="L351" s="374"/>
      <c r="M351" s="374"/>
      <c r="N351" s="374"/>
      <c r="O351" s="374"/>
      <c r="P351" s="374"/>
      <c r="Q351" s="374"/>
      <c r="R351" s="374"/>
    </row>
    <row r="352" customFormat="false" ht="15.75" hidden="false" customHeight="false" outlineLevel="0" collapsed="false">
      <c r="A352" s="374" t="n">
        <v>401</v>
      </c>
      <c r="B352" s="374" t="str">
        <f aca="false" t="array" ref="B352:B352">INDEX('0.0.1 Pokémon Dex Data'!$E$3:$E1007,MATCH(A352,'0.0.1 Pokémon Dex Data'!$B$3:$B1007,0))</f>
        <v>Milotic</v>
      </c>
      <c r="C352" s="374" t="s">
        <v>2425</v>
      </c>
      <c r="D352" s="374" t="s">
        <v>2363</v>
      </c>
      <c r="E352" s="374" t="s">
        <v>2424</v>
      </c>
      <c r="F352" s="374" t="s">
        <v>2405</v>
      </c>
      <c r="G352" s="374" t="s">
        <v>2329</v>
      </c>
      <c r="H352" s="374"/>
      <c r="I352" s="374"/>
      <c r="J352" s="374"/>
      <c r="K352" s="374"/>
      <c r="L352" s="374"/>
      <c r="M352" s="374" t="s">
        <v>2426</v>
      </c>
      <c r="N352" s="374"/>
      <c r="O352" s="374"/>
      <c r="P352" s="374"/>
      <c r="Q352" s="374"/>
      <c r="R352" s="374"/>
    </row>
    <row r="353" customFormat="false" ht="15.75" hidden="false" customHeight="false" outlineLevel="0" collapsed="false">
      <c r="A353" s="374" t="n">
        <v>402</v>
      </c>
      <c r="B353" s="374" t="str">
        <f aca="false" t="array" ref="B353:B353">INDEX('0.0.1 Pokémon Dex Data'!$E$3:$E1007,MATCH(A353,'0.0.1 Pokémon Dex Data'!$B$3:$B1007,0))</f>
        <v>Castform</v>
      </c>
      <c r="C353" s="374" t="s">
        <v>2348</v>
      </c>
      <c r="D353" s="374" t="s">
        <v>2560</v>
      </c>
      <c r="E353" s="374" t="s">
        <v>2459</v>
      </c>
      <c r="F353" s="374" t="s">
        <v>2319</v>
      </c>
      <c r="G353" s="374"/>
      <c r="H353" s="374"/>
      <c r="I353" s="374"/>
      <c r="J353" s="374"/>
      <c r="K353" s="374"/>
      <c r="L353" s="374"/>
      <c r="M353" s="374"/>
      <c r="N353" s="374"/>
      <c r="O353" s="374"/>
      <c r="P353" s="374"/>
      <c r="Q353" s="374"/>
      <c r="R353" s="374"/>
    </row>
    <row r="354" customFormat="false" ht="15.75" hidden="false" customHeight="false" outlineLevel="0" collapsed="false">
      <c r="A354" s="374" t="n">
        <v>403</v>
      </c>
      <c r="B354" s="374" t="str">
        <f aca="false" t="array" ref="B354:B354">INDEX('0.0.1 Pokémon Dex Data'!$E$3:$E1007,MATCH(A354,'0.0.1 Pokémon Dex Data'!$B$3:$B1007,0))</f>
        <v>Castform-Sunny</v>
      </c>
      <c r="C354" s="374" t="s">
        <v>2348</v>
      </c>
      <c r="D354" s="374" t="s">
        <v>2365</v>
      </c>
      <c r="E354" s="374" t="s">
        <v>2366</v>
      </c>
      <c r="F354" s="374" t="s">
        <v>2345</v>
      </c>
      <c r="G354" s="374"/>
      <c r="H354" s="374"/>
      <c r="I354" s="374"/>
      <c r="J354" s="374"/>
      <c r="K354" s="374"/>
      <c r="L354" s="374"/>
      <c r="M354" s="374"/>
      <c r="N354" s="374"/>
      <c r="O354" s="374"/>
      <c r="P354" s="374"/>
      <c r="Q354" s="374"/>
      <c r="R354" s="374"/>
    </row>
    <row r="355" customFormat="false" ht="15.75" hidden="false" customHeight="false" outlineLevel="0" collapsed="false">
      <c r="A355" s="374" t="n">
        <v>404</v>
      </c>
      <c r="B355" s="374" t="str">
        <f aca="false" t="array" ref="B355:B355">INDEX('0.0.1 Pokémon Dex Data'!$E$3:$E1007,MATCH(A355,'0.0.1 Pokémon Dex Data'!$B$3:$B1007,0))</f>
        <v>Castform-Rainy</v>
      </c>
      <c r="C355" s="374" t="s">
        <v>2348</v>
      </c>
      <c r="D355" s="374" t="s">
        <v>2426</v>
      </c>
      <c r="E355" s="374" t="s">
        <v>2475</v>
      </c>
      <c r="F355" s="374" t="s">
        <v>2414</v>
      </c>
      <c r="G355" s="374"/>
      <c r="H355" s="374"/>
      <c r="I355" s="374"/>
      <c r="J355" s="374"/>
      <c r="K355" s="374"/>
      <c r="L355" s="374"/>
      <c r="M355" s="374"/>
      <c r="N355" s="374"/>
      <c r="O355" s="374"/>
      <c r="P355" s="374"/>
      <c r="Q355" s="374"/>
      <c r="R355" s="374"/>
    </row>
    <row r="356" customFormat="false" ht="15.75" hidden="false" customHeight="false" outlineLevel="0" collapsed="false">
      <c r="A356" s="374" t="n">
        <v>405</v>
      </c>
      <c r="B356" s="374" t="str">
        <f aca="false" t="array" ref="B356:B356">INDEX('0.0.1 Pokémon Dex Data'!$E$3:$E1007,MATCH(A356,'0.0.1 Pokémon Dex Data'!$B$3:$B1007,0))</f>
        <v>Castform-Snowy</v>
      </c>
      <c r="C356" s="374" t="s">
        <v>2348</v>
      </c>
      <c r="D356" s="374" t="s">
        <v>2626</v>
      </c>
      <c r="E356" s="374" t="s">
        <v>2405</v>
      </c>
      <c r="F356" s="374" t="s">
        <v>2415</v>
      </c>
      <c r="G356" s="374"/>
      <c r="H356" s="374"/>
      <c r="I356" s="374"/>
      <c r="J356" s="374"/>
      <c r="K356" s="374"/>
      <c r="L356" s="374"/>
      <c r="M356" s="374"/>
      <c r="N356" s="374"/>
      <c r="O356" s="374"/>
      <c r="P356" s="374"/>
      <c r="Q356" s="374"/>
      <c r="R356" s="374"/>
    </row>
    <row r="357" customFormat="false" ht="15.75" hidden="false" customHeight="false" outlineLevel="0" collapsed="false">
      <c r="A357" s="374" t="n">
        <v>406</v>
      </c>
      <c r="B357" s="374" t="str">
        <f aca="false" t="array" ref="B357:B357">INDEX('0.0.1 Pokémon Dex Data'!$E$3:$E1007,MATCH(A357,'0.0.1 Pokémon Dex Data'!$B$3:$B1007,0))</f>
        <v>Kecleon</v>
      </c>
      <c r="C357" s="374" t="s">
        <v>2473</v>
      </c>
      <c r="D357" s="374" t="s">
        <v>2588</v>
      </c>
      <c r="E357" s="374" t="s">
        <v>2475</v>
      </c>
      <c r="F357" s="374" t="s">
        <v>2523</v>
      </c>
      <c r="G357" s="374" t="s">
        <v>2373</v>
      </c>
      <c r="H357" s="374" t="s">
        <v>2415</v>
      </c>
      <c r="I357" s="374" t="s">
        <v>2352</v>
      </c>
      <c r="J357" s="374" t="s">
        <v>2639</v>
      </c>
      <c r="K357" s="374"/>
      <c r="L357" s="374"/>
      <c r="M357" s="374"/>
      <c r="N357" s="374"/>
      <c r="O357" s="374"/>
      <c r="P357" s="374"/>
      <c r="Q357" s="374"/>
      <c r="R357" s="374"/>
    </row>
    <row r="358" customFormat="false" ht="15.75" hidden="false" customHeight="false" outlineLevel="0" collapsed="false">
      <c r="A358" s="374" t="n">
        <v>407</v>
      </c>
      <c r="B358" s="374" t="str">
        <f aca="false" t="array" ref="B358:B358">INDEX('0.0.1 Pokémon Dex Data'!$E$3:$E1007,MATCH(A358,'0.0.1 Pokémon Dex Data'!$B$3:$B1007,0))</f>
        <v>Shuppet</v>
      </c>
      <c r="C358" s="374" t="s">
        <v>2535</v>
      </c>
      <c r="D358" s="374" t="s">
        <v>2528</v>
      </c>
      <c r="E358" s="374" t="s">
        <v>2385</v>
      </c>
      <c r="F358" s="374" t="s">
        <v>2589</v>
      </c>
      <c r="G358" s="374" t="s">
        <v>2639</v>
      </c>
      <c r="H358" s="374"/>
      <c r="I358" s="374"/>
      <c r="J358" s="374"/>
      <c r="K358" s="374"/>
      <c r="L358" s="374"/>
      <c r="M358" s="374"/>
      <c r="N358" s="374"/>
      <c r="O358" s="374"/>
      <c r="P358" s="374"/>
      <c r="Q358" s="374"/>
      <c r="R358" s="374"/>
    </row>
    <row r="359" customFormat="false" ht="15.75" hidden="false" customHeight="false" outlineLevel="0" collapsed="false">
      <c r="A359" s="374" t="n">
        <v>408</v>
      </c>
      <c r="B359" s="374" t="str">
        <f aca="false" t="array" ref="B359:B359">INDEX('0.0.1 Pokémon Dex Data'!$E$3:$E1007,MATCH(A359,'0.0.1 Pokémon Dex Data'!$B$3:$B1007,0))</f>
        <v>Banette</v>
      </c>
      <c r="C359" s="374" t="s">
        <v>2392</v>
      </c>
      <c r="D359" s="374" t="s">
        <v>2560</v>
      </c>
      <c r="E359" s="374" t="s">
        <v>2475</v>
      </c>
      <c r="F359" s="374" t="s">
        <v>2442</v>
      </c>
      <c r="G359" s="374" t="s">
        <v>2517</v>
      </c>
      <c r="H359" s="374"/>
      <c r="I359" s="374"/>
      <c r="J359" s="374"/>
      <c r="K359" s="374"/>
      <c r="L359" s="374"/>
      <c r="M359" s="374"/>
      <c r="N359" s="374"/>
      <c r="O359" s="374"/>
      <c r="P359" s="374"/>
      <c r="Q359" s="374"/>
      <c r="R359" s="374"/>
    </row>
    <row r="360" customFormat="false" ht="15.75" hidden="false" customHeight="false" outlineLevel="0" collapsed="false">
      <c r="A360" s="374" t="n">
        <v>410</v>
      </c>
      <c r="B360" s="374" t="str">
        <f aca="false" t="array" ref="B360:B360">INDEX('0.0.1 Pokémon Dex Data'!$E$3:$E1007,MATCH(A360,'0.0.1 Pokémon Dex Data'!$B$3:$B1007,0))</f>
        <v>Duskull</v>
      </c>
      <c r="C360" s="374" t="s">
        <v>2560</v>
      </c>
      <c r="D360" s="374" t="s">
        <v>2528</v>
      </c>
      <c r="E360" s="374" t="s">
        <v>2385</v>
      </c>
      <c r="F360" s="374" t="s">
        <v>2589</v>
      </c>
      <c r="G360" s="374" t="s">
        <v>2639</v>
      </c>
      <c r="H360" s="374"/>
      <c r="I360" s="374"/>
      <c r="J360" s="374"/>
      <c r="K360" s="374"/>
      <c r="L360" s="374"/>
      <c r="M360" s="374"/>
      <c r="N360" s="374"/>
      <c r="O360" s="374"/>
      <c r="P360" s="374"/>
      <c r="Q360" s="374"/>
      <c r="R360" s="374"/>
    </row>
    <row r="361" customFormat="false" ht="15.75" hidden="false" customHeight="false" outlineLevel="0" collapsed="false">
      <c r="A361" s="374" t="n">
        <v>411</v>
      </c>
      <c r="B361" s="374" t="str">
        <f aca="false" t="array" ref="B361:B361">INDEX('0.0.1 Pokémon Dex Data'!$E$3:$E1007,MATCH(A361,'0.0.1 Pokémon Dex Data'!$B$3:$B1007,0))</f>
        <v>Dusclops</v>
      </c>
      <c r="C361" s="374" t="s">
        <v>2535</v>
      </c>
      <c r="D361" s="374" t="s">
        <v>2560</v>
      </c>
      <c r="E361" s="374" t="s">
        <v>2416</v>
      </c>
      <c r="F361" s="374" t="s">
        <v>2369</v>
      </c>
      <c r="G361" s="374" t="s">
        <v>2590</v>
      </c>
      <c r="H361" s="374"/>
      <c r="I361" s="374"/>
      <c r="J361" s="374"/>
      <c r="K361" s="374"/>
      <c r="L361" s="374"/>
      <c r="M361" s="374"/>
      <c r="N361" s="374"/>
      <c r="O361" s="374"/>
      <c r="P361" s="374"/>
      <c r="Q361" s="374"/>
      <c r="R361" s="374"/>
    </row>
    <row r="362" customFormat="false" ht="15.75" hidden="false" customHeight="false" outlineLevel="0" collapsed="false">
      <c r="A362" s="374" t="n">
        <v>412</v>
      </c>
      <c r="B362" s="374" t="str">
        <f aca="false" t="array" ref="B362:B362">INDEX('0.0.1 Pokémon Dex Data'!$E$3:$E1007,MATCH(A362,'0.0.1 Pokémon Dex Data'!$B$3:$B1007,0))</f>
        <v>Tropius</v>
      </c>
      <c r="C362" s="374" t="s">
        <v>2336</v>
      </c>
      <c r="D362" s="374" t="s">
        <v>2354</v>
      </c>
      <c r="E362" s="374" t="s">
        <v>2556</v>
      </c>
      <c r="F362" s="374" t="s">
        <v>2571</v>
      </c>
      <c r="G362" s="374" t="s">
        <v>2352</v>
      </c>
      <c r="H362" s="374"/>
      <c r="I362" s="374"/>
      <c r="J362" s="374"/>
      <c r="K362" s="374"/>
      <c r="L362" s="374"/>
      <c r="M362" s="374"/>
      <c r="N362" s="374"/>
      <c r="O362" s="374"/>
      <c r="P362" s="374"/>
      <c r="Q362" s="374"/>
      <c r="R362" s="374"/>
    </row>
    <row r="363" customFormat="false" ht="15.75" hidden="false" customHeight="false" outlineLevel="0" collapsed="false">
      <c r="A363" s="374" t="n">
        <v>413</v>
      </c>
      <c r="B363" s="374" t="str">
        <f aca="false" t="array" ref="B363:B363">INDEX('0.0.1 Pokémon Dex Data'!$E$3:$E1007,MATCH(A363,'0.0.1 Pokémon Dex Data'!$B$3:$B1007,0))</f>
        <v>Chimecho</v>
      </c>
      <c r="C363" s="374" t="s">
        <v>2632</v>
      </c>
      <c r="D363" s="374" t="s">
        <v>2528</v>
      </c>
      <c r="E363" s="374" t="s">
        <v>2442</v>
      </c>
      <c r="F363" s="374" t="s">
        <v>2495</v>
      </c>
      <c r="G363" s="374" t="s">
        <v>2319</v>
      </c>
      <c r="H363" s="374"/>
      <c r="I363" s="374"/>
      <c r="J363" s="374"/>
      <c r="K363" s="374"/>
      <c r="L363" s="374"/>
      <c r="M363" s="374"/>
      <c r="N363" s="374"/>
      <c r="O363" s="374"/>
      <c r="P363" s="374"/>
      <c r="Q363" s="374"/>
      <c r="R363" s="374"/>
    </row>
    <row r="364" customFormat="false" ht="15.75" hidden="false" customHeight="false" outlineLevel="0" collapsed="false">
      <c r="A364" s="374" t="n">
        <v>414</v>
      </c>
      <c r="B364" s="374" t="str">
        <f aca="false" t="array" ref="B364:B364">INDEX('0.0.1 Pokémon Dex Data'!$E$3:$E1007,MATCH(A364,'0.0.1 Pokémon Dex Data'!$B$3:$B1007,0))</f>
        <v>Absol</v>
      </c>
      <c r="C364" s="374" t="s">
        <v>2472</v>
      </c>
      <c r="D364" s="374" t="s">
        <v>2551</v>
      </c>
      <c r="E364" s="374" t="s">
        <v>2513</v>
      </c>
      <c r="F364" s="374" t="s">
        <v>2475</v>
      </c>
      <c r="G364" s="374" t="s">
        <v>2409</v>
      </c>
      <c r="H364" s="374"/>
      <c r="I364" s="374"/>
      <c r="J364" s="374"/>
      <c r="K364" s="374"/>
      <c r="L364" s="374"/>
      <c r="M364" s="374"/>
      <c r="N364" s="374"/>
      <c r="O364" s="374"/>
      <c r="P364" s="374"/>
      <c r="Q364" s="374"/>
      <c r="R364" s="374"/>
    </row>
    <row r="365" customFormat="false" ht="15.75" hidden="false" customHeight="false" outlineLevel="0" collapsed="false">
      <c r="A365" s="374" t="n">
        <v>416</v>
      </c>
      <c r="B365" s="374" t="str">
        <f aca="false" t="array" ref="B365:B365">INDEX('0.0.1 Pokémon Dex Data'!$E$3:$E1007,MATCH(A365,'0.0.1 Pokémon Dex Data'!$B$3:$B1007,0))</f>
        <v>Wynaut</v>
      </c>
      <c r="C365" s="374" t="s">
        <v>138</v>
      </c>
      <c r="D365" s="374" t="s">
        <v>2643</v>
      </c>
      <c r="E365" s="374" t="s">
        <v>2596</v>
      </c>
      <c r="F365" s="374"/>
      <c r="G365" s="374"/>
      <c r="H365" s="374"/>
      <c r="I365" s="374"/>
      <c r="J365" s="374"/>
      <c r="K365" s="374"/>
      <c r="L365" s="374"/>
      <c r="M365" s="374"/>
      <c r="N365" s="374"/>
      <c r="O365" s="374"/>
      <c r="P365" s="374"/>
      <c r="Q365" s="374"/>
      <c r="R365" s="374"/>
    </row>
    <row r="366" customFormat="false" ht="15.75" hidden="false" customHeight="false" outlineLevel="0" collapsed="false">
      <c r="A366" s="374" t="n">
        <v>417</v>
      </c>
      <c r="B366" s="374" t="str">
        <f aca="false" t="array" ref="B366:B366">INDEX('0.0.1 Pokémon Dex Data'!$E$3:$E1007,MATCH(A366,'0.0.1 Pokémon Dex Data'!$B$3:$B1007,0))</f>
        <v>Snorunt</v>
      </c>
      <c r="C366" s="374" t="s">
        <v>2560</v>
      </c>
      <c r="D366" s="374" t="s">
        <v>2626</v>
      </c>
      <c r="E366" s="374" t="s">
        <v>2442</v>
      </c>
      <c r="F366" s="374" t="s">
        <v>2403</v>
      </c>
      <c r="G366" s="374" t="s">
        <v>2417</v>
      </c>
      <c r="H366" s="374"/>
      <c r="I366" s="374"/>
      <c r="J366" s="374"/>
      <c r="K366" s="374"/>
      <c r="L366" s="374"/>
      <c r="M366" s="374"/>
      <c r="N366" s="374"/>
      <c r="O366" s="374"/>
      <c r="P366" s="374"/>
      <c r="Q366" s="374"/>
      <c r="R366" s="374"/>
    </row>
    <row r="367" customFormat="false" ht="15.75" hidden="false" customHeight="false" outlineLevel="0" collapsed="false">
      <c r="A367" s="374" t="n">
        <v>418</v>
      </c>
      <c r="B367" s="374" t="str">
        <f aca="false" t="array" ref="B367:B367">INDEX('0.0.1 Pokémon Dex Data'!$E$3:$E1007,MATCH(A367,'0.0.1 Pokémon Dex Data'!$B$3:$B1007,0))</f>
        <v>Glalie</v>
      </c>
      <c r="C367" s="374" t="s">
        <v>2525</v>
      </c>
      <c r="D367" s="374" t="s">
        <v>2502</v>
      </c>
      <c r="E367" s="374" t="s">
        <v>2442</v>
      </c>
      <c r="F367" s="374" t="s">
        <v>2403</v>
      </c>
      <c r="G367" s="374" t="s">
        <v>2412</v>
      </c>
      <c r="H367" s="374"/>
      <c r="I367" s="374"/>
      <c r="J367" s="374"/>
      <c r="K367" s="374"/>
      <c r="L367" s="374"/>
      <c r="M367" s="374"/>
      <c r="N367" s="374"/>
      <c r="O367" s="374"/>
      <c r="P367" s="374"/>
      <c r="Q367" s="374"/>
      <c r="R367" s="374"/>
    </row>
    <row r="368" customFormat="false" ht="15.75" hidden="false" customHeight="false" outlineLevel="0" collapsed="false">
      <c r="A368" s="374" t="n">
        <v>420</v>
      </c>
      <c r="B368" s="374" t="str">
        <f aca="false" t="array" ref="B368:B368">INDEX('0.0.1 Pokémon Dex Data'!$E$3:$E1007,MATCH(A368,'0.0.1 Pokémon Dex Data'!$B$3:$B1007,0))</f>
        <v>Spheal</v>
      </c>
      <c r="C368" s="374" t="s">
        <v>2339</v>
      </c>
      <c r="D368" s="374" t="s">
        <v>2426</v>
      </c>
      <c r="E368" s="374" t="s">
        <v>2312</v>
      </c>
      <c r="F368" s="374" t="s">
        <v>2428</v>
      </c>
      <c r="G368" s="374" t="s">
        <v>2581</v>
      </c>
      <c r="H368" s="374"/>
      <c r="I368" s="374"/>
      <c r="J368" s="374"/>
      <c r="K368" s="374"/>
      <c r="L368" s="374"/>
      <c r="M368" s="374"/>
      <c r="N368" s="374"/>
      <c r="O368" s="374"/>
      <c r="P368" s="374"/>
      <c r="Q368" s="374"/>
      <c r="R368" s="374"/>
    </row>
    <row r="369" customFormat="false" ht="15.75" hidden="false" customHeight="false" outlineLevel="0" collapsed="false">
      <c r="A369" s="374" t="n">
        <v>421</v>
      </c>
      <c r="B369" s="374" t="str">
        <f aca="false" t="array" ref="B369:B369">INDEX('0.0.1 Pokémon Dex Data'!$E$3:$E1007,MATCH(A369,'0.0.1 Pokémon Dex Data'!$B$3:$B1007,0))</f>
        <v>Sealeo</v>
      </c>
      <c r="C369" s="374" t="s">
        <v>2626</v>
      </c>
      <c r="D369" s="374" t="s">
        <v>2426</v>
      </c>
      <c r="E369" s="374" t="s">
        <v>2312</v>
      </c>
      <c r="F369" s="374" t="s">
        <v>2428</v>
      </c>
      <c r="G369" s="374" t="s">
        <v>2581</v>
      </c>
      <c r="H369" s="374"/>
      <c r="I369" s="374"/>
      <c r="J369" s="374"/>
      <c r="K369" s="374"/>
      <c r="L369" s="374"/>
      <c r="M369" s="374"/>
      <c r="N369" s="374"/>
      <c r="O369" s="374"/>
      <c r="P369" s="374"/>
      <c r="Q369" s="374"/>
      <c r="R369" s="374"/>
    </row>
    <row r="370" customFormat="false" ht="15.75" hidden="false" customHeight="false" outlineLevel="0" collapsed="false">
      <c r="A370" s="374" t="n">
        <v>422</v>
      </c>
      <c r="B370" s="374" t="str">
        <f aca="false" t="array" ref="B370:B370">INDEX('0.0.1 Pokémon Dex Data'!$E$3:$E1007,MATCH(A370,'0.0.1 Pokémon Dex Data'!$B$3:$B1007,0))</f>
        <v>Walrein</v>
      </c>
      <c r="C370" s="374" t="s">
        <v>2425</v>
      </c>
      <c r="D370" s="374" t="s">
        <v>2502</v>
      </c>
      <c r="E370" s="374" t="s">
        <v>2317</v>
      </c>
      <c r="F370" s="374" t="s">
        <v>2428</v>
      </c>
      <c r="G370" s="374" t="s">
        <v>2405</v>
      </c>
      <c r="H370" s="374"/>
      <c r="I370" s="374"/>
      <c r="J370" s="374"/>
      <c r="K370" s="374"/>
      <c r="L370" s="374"/>
      <c r="M370" s="374"/>
      <c r="N370" s="374"/>
      <c r="O370" s="374"/>
      <c r="P370" s="374"/>
      <c r="Q370" s="374"/>
      <c r="R370" s="374"/>
    </row>
    <row r="371" customFormat="false" ht="15.75" hidden="false" customHeight="false" outlineLevel="0" collapsed="false">
      <c r="A371" s="374" t="n">
        <v>423</v>
      </c>
      <c r="B371" s="374" t="str">
        <f aca="false" t="array" ref="B371:B371">INDEX('0.0.1 Pokémon Dex Data'!$E$3:$E1007,MATCH(A371,'0.0.1 Pokémon Dex Data'!$B$3:$B1007,0))</f>
        <v>Clamperl</v>
      </c>
      <c r="C371" s="374" t="s">
        <v>2426</v>
      </c>
      <c r="D371" s="374"/>
      <c r="E371" s="374" t="s">
        <v>2312</v>
      </c>
      <c r="F371" s="374" t="s">
        <v>2428</v>
      </c>
      <c r="G371" s="374" t="s">
        <v>2415</v>
      </c>
      <c r="H371" s="374"/>
      <c r="I371" s="374"/>
      <c r="J371" s="374"/>
      <c r="K371" s="374"/>
      <c r="L371" s="374"/>
      <c r="M371" s="374"/>
      <c r="N371" s="374"/>
      <c r="O371" s="374"/>
      <c r="P371" s="374"/>
      <c r="Q371" s="374"/>
      <c r="R371" s="374"/>
    </row>
    <row r="372" customFormat="false" ht="15.75" hidden="false" customHeight="false" outlineLevel="0" collapsed="false">
      <c r="A372" s="374" t="n">
        <v>424</v>
      </c>
      <c r="B372" s="374" t="str">
        <f aca="false" t="array" ref="B372:B372">INDEX('0.0.1 Pokémon Dex Data'!$E$3:$E1007,MATCH(A372,'0.0.1 Pokémon Dex Data'!$B$3:$B1007,0))</f>
        <v>Huntail</v>
      </c>
      <c r="C372" s="374" t="s">
        <v>2404</v>
      </c>
      <c r="D372" s="374" t="s">
        <v>2426</v>
      </c>
      <c r="E372" s="374" t="s">
        <v>2402</v>
      </c>
      <c r="F372" s="374" t="s">
        <v>2466</v>
      </c>
      <c r="G372" s="374" t="s">
        <v>2415</v>
      </c>
      <c r="H372" s="374"/>
      <c r="I372" s="374"/>
      <c r="J372" s="374"/>
      <c r="K372" s="374"/>
      <c r="L372" s="374"/>
      <c r="M372" s="374"/>
      <c r="N372" s="374"/>
      <c r="O372" s="374"/>
      <c r="P372" s="374"/>
      <c r="Q372" s="374"/>
      <c r="R372" s="374"/>
    </row>
    <row r="373" customFormat="false" ht="15.75" hidden="false" customHeight="false" outlineLevel="0" collapsed="false">
      <c r="A373" s="374" t="n">
        <v>425</v>
      </c>
      <c r="B373" s="374" t="str">
        <f aca="false" t="array" ref="B373:B373">INDEX('0.0.1 Pokémon Dex Data'!$E$3:$E1007,MATCH(A373,'0.0.1 Pokémon Dex Data'!$B$3:$B1007,0))</f>
        <v>Gorebyss</v>
      </c>
      <c r="C373" s="374" t="s">
        <v>2434</v>
      </c>
      <c r="D373" s="374" t="s">
        <v>2426</v>
      </c>
      <c r="E373" s="374" t="s">
        <v>157</v>
      </c>
      <c r="F373" s="374" t="s">
        <v>2428</v>
      </c>
      <c r="G373" s="374" t="s">
        <v>2624</v>
      </c>
      <c r="H373" s="374"/>
      <c r="I373" s="374"/>
      <c r="J373" s="374"/>
      <c r="K373" s="374"/>
      <c r="L373" s="374"/>
      <c r="M373" s="374"/>
      <c r="N373" s="374"/>
      <c r="O373" s="374"/>
      <c r="P373" s="374"/>
      <c r="Q373" s="374"/>
      <c r="R373" s="374"/>
    </row>
    <row r="374" customFormat="false" ht="15.75" hidden="false" customHeight="false" outlineLevel="0" collapsed="false">
      <c r="A374" s="374" t="n">
        <v>426</v>
      </c>
      <c r="B374" s="374" t="str">
        <f aca="false" t="array" ref="B374:B374">INDEX('0.0.1 Pokémon Dex Data'!$E$3:$E1007,MATCH(A374,'0.0.1 Pokémon Dex Data'!$B$3:$B1007,0))</f>
        <v>Relicanth</v>
      </c>
      <c r="C374" s="374" t="s">
        <v>2426</v>
      </c>
      <c r="D374" s="374" t="s">
        <v>2430</v>
      </c>
      <c r="E374" s="374" t="s">
        <v>2414</v>
      </c>
      <c r="F374" s="374" t="s">
        <v>2402</v>
      </c>
      <c r="G374" s="374" t="s">
        <v>2561</v>
      </c>
      <c r="H374" s="374"/>
      <c r="I374" s="374"/>
      <c r="J374" s="374"/>
      <c r="K374" s="374"/>
      <c r="L374" s="374"/>
      <c r="M374" s="374"/>
      <c r="N374" s="374"/>
      <c r="O374" s="374"/>
      <c r="P374" s="374"/>
      <c r="Q374" s="374"/>
      <c r="R374" s="374"/>
    </row>
    <row r="375" customFormat="false" ht="15.75" hidden="false" customHeight="false" outlineLevel="0" collapsed="false">
      <c r="A375" s="374" t="n">
        <v>427</v>
      </c>
      <c r="B375" s="374" t="str">
        <f aca="false" t="array" ref="B375:B375">INDEX('0.0.1 Pokémon Dex Data'!$E$3:$E1007,MATCH(A375,'0.0.1 Pokémon Dex Data'!$B$3:$B1007,0))</f>
        <v>Luvdisc</v>
      </c>
      <c r="C375" s="374" t="s">
        <v>2426</v>
      </c>
      <c r="D375" s="374" t="s">
        <v>2643</v>
      </c>
      <c r="E375" s="374" t="s">
        <v>2428</v>
      </c>
      <c r="F375" s="374" t="s">
        <v>2538</v>
      </c>
      <c r="G375" s="374" t="s">
        <v>2624</v>
      </c>
      <c r="H375" s="374"/>
      <c r="I375" s="374"/>
      <c r="J375" s="374"/>
      <c r="K375" s="374"/>
      <c r="L375" s="374"/>
      <c r="M375" s="374"/>
      <c r="N375" s="374"/>
      <c r="O375" s="374"/>
      <c r="P375" s="374"/>
      <c r="Q375" s="374"/>
      <c r="R375" s="374"/>
    </row>
    <row r="376" customFormat="false" ht="15.75" hidden="false" customHeight="false" outlineLevel="0" collapsed="false">
      <c r="A376" s="374" t="n">
        <v>428</v>
      </c>
      <c r="B376" s="374" t="str">
        <f aca="false" t="array" ref="B376:B376">INDEX('0.0.1 Pokémon Dex Data'!$E$3:$E1007,MATCH(A376,'0.0.1 Pokémon Dex Data'!$B$3:$B1007,0))</f>
        <v>Bagon</v>
      </c>
      <c r="C376" s="374" t="s">
        <v>2404</v>
      </c>
      <c r="D376" s="374" t="s">
        <v>2365</v>
      </c>
      <c r="E376" s="374" t="s">
        <v>2373</v>
      </c>
      <c r="F376" s="374" t="s">
        <v>2466</v>
      </c>
      <c r="G376" s="374" t="s">
        <v>2400</v>
      </c>
      <c r="H376" s="374"/>
      <c r="I376" s="374"/>
      <c r="J376" s="374"/>
      <c r="K376" s="374"/>
      <c r="L376" s="374"/>
      <c r="M376" s="374"/>
      <c r="N376" s="374"/>
      <c r="O376" s="374"/>
      <c r="P376" s="374"/>
      <c r="Q376" s="374"/>
      <c r="R376" s="374"/>
    </row>
    <row r="377" customFormat="false" ht="15.75" hidden="false" customHeight="false" outlineLevel="0" collapsed="false">
      <c r="A377" s="374" t="n">
        <v>429</v>
      </c>
      <c r="B377" s="374" t="str">
        <f aca="false" t="array" ref="B377:B377">INDEX('0.0.1 Pokémon Dex Data'!$E$3:$E1007,MATCH(A377,'0.0.1 Pokémon Dex Data'!$B$3:$B1007,0))</f>
        <v>Shelgon</v>
      </c>
      <c r="C377" s="374" t="s">
        <v>2359</v>
      </c>
      <c r="D377" s="374" t="s">
        <v>2365</v>
      </c>
      <c r="E377" s="374" t="s">
        <v>2373</v>
      </c>
      <c r="F377" s="374" t="s">
        <v>2361</v>
      </c>
      <c r="G377" s="374" t="s">
        <v>2400</v>
      </c>
      <c r="H377" s="374"/>
      <c r="I377" s="374"/>
      <c r="J377" s="374"/>
      <c r="K377" s="374"/>
      <c r="L377" s="374"/>
      <c r="M377" s="374"/>
      <c r="N377" s="374"/>
      <c r="O377" s="374"/>
      <c r="P377" s="374"/>
      <c r="Q377" s="374"/>
      <c r="R377" s="374"/>
    </row>
    <row r="378" customFormat="false" ht="15.75" hidden="false" customHeight="false" outlineLevel="0" collapsed="false">
      <c r="A378" s="374" t="n">
        <v>430</v>
      </c>
      <c r="B378" s="374" t="str">
        <f aca="false" t="array" ref="B378:B378">INDEX('0.0.1 Pokémon Dex Data'!$E$3:$E1007,MATCH(A378,'0.0.1 Pokémon Dex Data'!$B$3:$B1007,0))</f>
        <v>Salamence</v>
      </c>
      <c r="C378" s="374" t="s">
        <v>2363</v>
      </c>
      <c r="D378" s="374" t="s">
        <v>2367</v>
      </c>
      <c r="E378" s="374" t="s">
        <v>2366</v>
      </c>
      <c r="F378" s="374" t="s">
        <v>2414</v>
      </c>
      <c r="G378" s="374" t="s">
        <v>2601</v>
      </c>
      <c r="H378" s="374"/>
      <c r="I378" s="374"/>
      <c r="J378" s="374"/>
      <c r="K378" s="374"/>
      <c r="L378" s="374"/>
      <c r="M378" s="374"/>
      <c r="N378" s="374"/>
      <c r="O378" s="374"/>
      <c r="P378" s="374"/>
      <c r="Q378" s="374"/>
      <c r="R378" s="374"/>
    </row>
    <row r="379" customFormat="false" ht="15.75" hidden="false" customHeight="false" outlineLevel="0" collapsed="false">
      <c r="A379" s="374" t="n">
        <v>432</v>
      </c>
      <c r="B379" s="374" t="str">
        <f aca="false" t="array" ref="B379:B379">INDEX('0.0.1 Pokémon Dex Data'!$E$3:$E1007,MATCH(A379,'0.0.1 Pokémon Dex Data'!$B$3:$B1007,0))</f>
        <v>Beldum</v>
      </c>
      <c r="C379" s="374" t="s">
        <v>2349</v>
      </c>
      <c r="D379" s="374"/>
      <c r="E379" s="374" t="s">
        <v>2777</v>
      </c>
      <c r="F379" s="374"/>
      <c r="G379" s="374"/>
      <c r="H379" s="374"/>
      <c r="I379" s="374"/>
      <c r="J379" s="374"/>
      <c r="K379" s="374"/>
      <c r="L379" s="374"/>
      <c r="M379" s="374"/>
      <c r="N379" s="374"/>
      <c r="O379" s="374"/>
      <c r="P379" s="374"/>
      <c r="Q379" s="374"/>
      <c r="R379" s="374"/>
    </row>
    <row r="380" customFormat="false" ht="15.75" hidden="false" customHeight="false" outlineLevel="0" collapsed="false">
      <c r="A380" s="374" t="n">
        <v>433</v>
      </c>
      <c r="B380" s="374" t="str">
        <f aca="false" t="array" ref="B380:B380">INDEX('0.0.1 Pokémon Dex Data'!$E$3:$E1007,MATCH(A380,'0.0.1 Pokémon Dex Data'!$B$3:$B1007,0))</f>
        <v>Metang</v>
      </c>
      <c r="C380" s="374" t="s">
        <v>2384</v>
      </c>
      <c r="D380" s="374" t="s">
        <v>2430</v>
      </c>
      <c r="E380" s="374" t="s">
        <v>157</v>
      </c>
      <c r="F380" s="374" t="s">
        <v>2495</v>
      </c>
      <c r="G380" s="374" t="s">
        <v>2412</v>
      </c>
      <c r="H380" s="374"/>
      <c r="I380" s="374"/>
      <c r="J380" s="374"/>
      <c r="K380" s="374"/>
      <c r="L380" s="374"/>
      <c r="M380" s="374"/>
      <c r="N380" s="374"/>
      <c r="O380" s="374"/>
      <c r="P380" s="374"/>
      <c r="Q380" s="374"/>
      <c r="R380" s="374"/>
    </row>
    <row r="381" customFormat="false" ht="15.75" hidden="false" customHeight="false" outlineLevel="0" collapsed="false">
      <c r="A381" s="374" t="n">
        <v>434</v>
      </c>
      <c r="B381" s="374" t="str">
        <f aca="false" t="array" ref="B381:B381">INDEX('0.0.1 Pokémon Dex Data'!$E$3:$E1007,MATCH(A381,'0.0.1 Pokémon Dex Data'!$B$3:$B1007,0))</f>
        <v>Metagross</v>
      </c>
      <c r="C381" s="374" t="s">
        <v>2552</v>
      </c>
      <c r="D381" s="374" t="s">
        <v>2430</v>
      </c>
      <c r="E381" s="374" t="s">
        <v>157</v>
      </c>
      <c r="F381" s="374" t="s">
        <v>2317</v>
      </c>
      <c r="G381" s="374" t="s">
        <v>2411</v>
      </c>
      <c r="H381" s="374"/>
      <c r="I381" s="374"/>
      <c r="J381" s="374"/>
      <c r="K381" s="374"/>
      <c r="L381" s="374"/>
      <c r="M381" s="374"/>
      <c r="N381" s="374"/>
      <c r="O381" s="374"/>
      <c r="P381" s="374"/>
      <c r="Q381" s="374"/>
      <c r="R381" s="374"/>
    </row>
    <row r="382" customFormat="false" ht="15.75" hidden="false" customHeight="false" outlineLevel="0" collapsed="false">
      <c r="A382" s="374" t="n">
        <v>436</v>
      </c>
      <c r="B382" s="374" t="str">
        <f aca="false" t="array" ref="B382:B382">INDEX('0.0.1 Pokémon Dex Data'!$E$3:$E1007,MATCH(A382,'0.0.1 Pokémon Dex Data'!$B$3:$B1007,0))</f>
        <v>Regirock</v>
      </c>
      <c r="C382" s="374" t="s">
        <v>2565</v>
      </c>
      <c r="D382" s="374" t="s">
        <v>2339</v>
      </c>
      <c r="E382" s="374" t="s">
        <v>2376</v>
      </c>
      <c r="F382" s="374" t="s">
        <v>2500</v>
      </c>
      <c r="G382" s="374" t="s">
        <v>2493</v>
      </c>
      <c r="H382" s="374"/>
      <c r="I382" s="374"/>
      <c r="J382" s="374"/>
      <c r="K382" s="374"/>
      <c r="L382" s="374"/>
      <c r="M382" s="374"/>
      <c r="N382" s="374"/>
      <c r="O382" s="374"/>
      <c r="P382" s="374"/>
      <c r="Q382" s="374"/>
      <c r="R382" s="374"/>
    </row>
    <row r="383" customFormat="false" ht="15.75" hidden="false" customHeight="false" outlineLevel="0" collapsed="false">
      <c r="A383" s="374" t="n">
        <v>437</v>
      </c>
      <c r="B383" s="374" t="str">
        <f aca="false" t="array" ref="B383:B383">INDEX('0.0.1 Pokémon Dex Data'!$E$3:$E1007,MATCH(A383,'0.0.1 Pokémon Dex Data'!$B$3:$B1007,0))</f>
        <v>Regice</v>
      </c>
      <c r="C383" s="374" t="s">
        <v>2502</v>
      </c>
      <c r="D383" s="374" t="s">
        <v>2339</v>
      </c>
      <c r="E383" s="374" t="s">
        <v>2376</v>
      </c>
      <c r="F383" s="374" t="s">
        <v>2405</v>
      </c>
      <c r="G383" s="374" t="s">
        <v>2317</v>
      </c>
      <c r="H383" s="374"/>
      <c r="I383" s="374"/>
      <c r="J383" s="374"/>
      <c r="K383" s="374"/>
      <c r="L383" s="374"/>
      <c r="M383" s="374"/>
      <c r="N383" s="374"/>
      <c r="O383" s="374"/>
      <c r="P383" s="374"/>
      <c r="Q383" s="374"/>
      <c r="R383" s="374"/>
    </row>
    <row r="384" customFormat="false" ht="15.75" hidden="false" customHeight="false" outlineLevel="0" collapsed="false">
      <c r="A384" s="374" t="n">
        <v>438</v>
      </c>
      <c r="B384" s="374" t="str">
        <f aca="false" t="array" ref="B384:B384">INDEX('0.0.1 Pokémon Dex Data'!$E$3:$E1007,MATCH(A384,'0.0.1 Pokémon Dex Data'!$B$3:$B1007,0))</f>
        <v>Registeel</v>
      </c>
      <c r="C384" s="374" t="s">
        <v>2384</v>
      </c>
      <c r="D384" s="374" t="s">
        <v>2339</v>
      </c>
      <c r="E384" s="374" t="s">
        <v>2376</v>
      </c>
      <c r="F384" s="374" t="s">
        <v>2411</v>
      </c>
      <c r="G384" s="374" t="s">
        <v>2329</v>
      </c>
      <c r="H384" s="374"/>
      <c r="I384" s="374"/>
      <c r="J384" s="374"/>
      <c r="K384" s="374"/>
      <c r="L384" s="374"/>
      <c r="M384" s="374"/>
      <c r="N384" s="374"/>
      <c r="O384" s="374"/>
      <c r="P384" s="374"/>
      <c r="Q384" s="374"/>
      <c r="R384" s="374"/>
    </row>
    <row r="385" customFormat="false" ht="15.75" hidden="false" customHeight="false" outlineLevel="0" collapsed="false">
      <c r="A385" s="374" t="n">
        <v>439</v>
      </c>
      <c r="B385" s="374" t="str">
        <f aca="false" t="array" ref="B385:B385">INDEX('0.0.1 Pokémon Dex Data'!$E$3:$E1007,MATCH(A385,'0.0.1 Pokémon Dex Data'!$B$3:$B1007,0))</f>
        <v>Latias</v>
      </c>
      <c r="C385" s="374" t="s">
        <v>2359</v>
      </c>
      <c r="D385" s="374" t="s">
        <v>2430</v>
      </c>
      <c r="E385" s="374" t="s">
        <v>157</v>
      </c>
      <c r="F385" s="374" t="s">
        <v>2475</v>
      </c>
      <c r="G385" s="374" t="s">
        <v>2360</v>
      </c>
      <c r="H385" s="374"/>
      <c r="I385" s="374"/>
      <c r="J385" s="374"/>
      <c r="K385" s="374"/>
      <c r="L385" s="374"/>
      <c r="M385" s="374"/>
      <c r="N385" s="374"/>
      <c r="O385" s="374"/>
      <c r="P385" s="374"/>
      <c r="Q385" s="374"/>
      <c r="R385" s="374"/>
    </row>
    <row r="386" customFormat="false" ht="15.75" hidden="false" customHeight="false" outlineLevel="0" collapsed="false">
      <c r="A386" s="374" t="n">
        <v>441</v>
      </c>
      <c r="B386" s="374" t="str">
        <f aca="false" t="array" ref="B386:B386">INDEX('0.0.1 Pokémon Dex Data'!$E$3:$E1007,MATCH(A386,'0.0.1 Pokémon Dex Data'!$B$3:$B1007,0))</f>
        <v>Latios</v>
      </c>
      <c r="C386" s="374" t="s">
        <v>2359</v>
      </c>
      <c r="D386" s="374" t="s">
        <v>2430</v>
      </c>
      <c r="E386" s="374" t="s">
        <v>157</v>
      </c>
      <c r="F386" s="374" t="s">
        <v>2345</v>
      </c>
      <c r="G386" s="374" t="s">
        <v>2360</v>
      </c>
      <c r="H386" s="374"/>
      <c r="I386" s="374"/>
      <c r="J386" s="374"/>
      <c r="K386" s="374"/>
      <c r="L386" s="374"/>
      <c r="M386" s="374"/>
      <c r="N386" s="374"/>
      <c r="O386" s="374"/>
      <c r="P386" s="374"/>
      <c r="Q386" s="374"/>
      <c r="R386" s="374"/>
    </row>
    <row r="387" customFormat="false" ht="15.75" hidden="false" customHeight="false" outlineLevel="0" collapsed="false">
      <c r="A387" s="374" t="n">
        <v>443</v>
      </c>
      <c r="B387" s="374" t="str">
        <f aca="false" t="array" ref="B387:B387">INDEX('0.0.1 Pokémon Dex Data'!$E$3:$E1007,MATCH(A387,'0.0.1 Pokémon Dex Data'!$B$3:$B1007,0))</f>
        <v>Kyogre</v>
      </c>
      <c r="C387" s="374" t="s">
        <v>2425</v>
      </c>
      <c r="D387" s="374"/>
      <c r="E387" s="374" t="s">
        <v>2414</v>
      </c>
      <c r="F387" s="374" t="s">
        <v>2475</v>
      </c>
      <c r="G387" s="374" t="s">
        <v>2405</v>
      </c>
      <c r="H387" s="374"/>
      <c r="I387" s="374"/>
      <c r="J387" s="374"/>
      <c r="K387" s="374"/>
      <c r="L387" s="374"/>
      <c r="M387" s="374"/>
      <c r="N387" s="374"/>
      <c r="O387" s="374"/>
      <c r="P387" s="374"/>
      <c r="Q387" s="374"/>
      <c r="R387" s="374"/>
    </row>
    <row r="388" customFormat="false" ht="15.75" hidden="false" customHeight="false" outlineLevel="0" collapsed="false">
      <c r="A388" s="374" t="n">
        <v>445</v>
      </c>
      <c r="B388" s="374" t="str">
        <f aca="false" t="array" ref="B388:B388">INDEX('0.0.1 Pokémon Dex Data'!$E$3:$E1007,MATCH(A388,'0.0.1 Pokémon Dex Data'!$B$3:$B1007,0))</f>
        <v>Groudon</v>
      </c>
      <c r="C388" s="374" t="s">
        <v>2363</v>
      </c>
      <c r="D388" s="374" t="s">
        <v>2594</v>
      </c>
      <c r="E388" s="374" t="s">
        <v>2317</v>
      </c>
      <c r="F388" s="374" t="s">
        <v>2345</v>
      </c>
      <c r="G388" s="374" t="s">
        <v>2366</v>
      </c>
      <c r="H388" s="374"/>
      <c r="I388" s="374"/>
      <c r="J388" s="374"/>
      <c r="K388" s="374"/>
      <c r="L388" s="374"/>
      <c r="M388" s="374"/>
      <c r="N388" s="374"/>
      <c r="O388" s="374"/>
      <c r="P388" s="374"/>
      <c r="Q388" s="374"/>
      <c r="R388" s="374"/>
    </row>
    <row r="389" customFormat="false" ht="15.75" hidden="false" customHeight="false" outlineLevel="0" collapsed="false">
      <c r="A389" s="374" t="n">
        <v>447</v>
      </c>
      <c r="B389" s="374" t="str">
        <f aca="false" t="array" ref="B389:B389">INDEX('0.0.1 Pokémon Dex Data'!$E$3:$E1007,MATCH(A389,'0.0.1 Pokémon Dex Data'!$B$3:$B1007,0))</f>
        <v>Rayquaza</v>
      </c>
      <c r="C389" s="374" t="s">
        <v>2363</v>
      </c>
      <c r="D389" s="374" t="s">
        <v>2354</v>
      </c>
      <c r="E389" s="374" t="s">
        <v>2352</v>
      </c>
      <c r="F389" s="374" t="s">
        <v>2332</v>
      </c>
      <c r="G389" s="374" t="s">
        <v>2561</v>
      </c>
      <c r="H389" s="374"/>
      <c r="I389" s="374"/>
      <c r="J389" s="374"/>
      <c r="K389" s="374"/>
      <c r="L389" s="374"/>
      <c r="M389" s="374"/>
      <c r="N389" s="374"/>
      <c r="O389" s="374"/>
      <c r="P389" s="374"/>
      <c r="Q389" s="374"/>
      <c r="R389" s="374"/>
    </row>
    <row r="390" customFormat="false" ht="15.75" hidden="false" customHeight="false" outlineLevel="0" collapsed="false">
      <c r="A390" s="374" t="n">
        <v>449</v>
      </c>
      <c r="B390" s="374" t="str">
        <f aca="false" t="array" ref="B390:B390">INDEX('0.0.1 Pokémon Dex Data'!$E$3:$E1007,MATCH(A390,'0.0.1 Pokémon Dex Data'!$B$3:$B1007,0))</f>
        <v>Jirachi</v>
      </c>
      <c r="C390" s="374" t="s">
        <v>2434</v>
      </c>
      <c r="D390" s="374" t="s">
        <v>2464</v>
      </c>
      <c r="E390" s="374" t="s">
        <v>157</v>
      </c>
      <c r="F390" s="374" t="s">
        <v>2517</v>
      </c>
      <c r="G390" s="374" t="s">
        <v>2669</v>
      </c>
      <c r="H390" s="374"/>
      <c r="I390" s="374"/>
      <c r="J390" s="374"/>
      <c r="K390" s="374"/>
      <c r="L390" s="374"/>
      <c r="M390" s="374"/>
      <c r="N390" s="374"/>
      <c r="O390" s="374"/>
      <c r="P390" s="374"/>
      <c r="Q390" s="374"/>
      <c r="R390" s="374"/>
    </row>
    <row r="391" customFormat="false" ht="15.75" hidden="false" customHeight="false" outlineLevel="0" collapsed="false">
      <c r="A391" s="374" t="n">
        <v>450</v>
      </c>
      <c r="B391" s="374" t="str">
        <f aca="false" t="array" ref="B391:B391">INDEX('0.0.1 Pokémon Dex Data'!$E$3:$E1007,MATCH(A391,'0.0.1 Pokémon Dex Data'!$B$3:$B1007,0))</f>
        <v>Deoxys</v>
      </c>
      <c r="C391" s="374" t="s">
        <v>2430</v>
      </c>
      <c r="D391" s="374" t="s">
        <v>138</v>
      </c>
      <c r="E391" s="374" t="s">
        <v>2398</v>
      </c>
      <c r="F391" s="374" t="s">
        <v>2653</v>
      </c>
      <c r="G391" s="374" t="s">
        <v>2493</v>
      </c>
      <c r="H391" s="374"/>
      <c r="I391" s="374"/>
      <c r="J391" s="374"/>
      <c r="K391" s="374"/>
      <c r="L391" s="374"/>
      <c r="M391" s="374"/>
      <c r="N391" s="374"/>
      <c r="O391" s="374"/>
      <c r="P391" s="374"/>
      <c r="Q391" s="374"/>
      <c r="R391" s="374"/>
    </row>
    <row r="392" customFormat="false" ht="15.75" hidden="false" customHeight="false" outlineLevel="0" collapsed="false">
      <c r="A392" s="374" t="n">
        <v>451</v>
      </c>
      <c r="B392" s="374" t="str">
        <f aca="false" t="array" ref="B392:B392">INDEX('0.0.1 Pokémon Dex Data'!$E$3:$E1007,MATCH(A392,'0.0.1 Pokémon Dex Data'!$B$3:$B1007,0))</f>
        <v>Deoxys-Attack</v>
      </c>
      <c r="C392" s="374" t="s">
        <v>2430</v>
      </c>
      <c r="D392" s="374" t="s">
        <v>138</v>
      </c>
      <c r="E392" s="374" t="s">
        <v>2398</v>
      </c>
      <c r="F392" s="374" t="s">
        <v>2653</v>
      </c>
      <c r="G392" s="374" t="s">
        <v>2493</v>
      </c>
      <c r="H392" s="374"/>
      <c r="I392" s="374"/>
      <c r="J392" s="374"/>
      <c r="K392" s="374"/>
      <c r="L392" s="374"/>
      <c r="M392" s="374"/>
      <c r="N392" s="374"/>
      <c r="O392" s="374"/>
      <c r="P392" s="374"/>
      <c r="Q392" s="374"/>
      <c r="R392" s="374"/>
    </row>
    <row r="393" customFormat="false" ht="15.75" hidden="false" customHeight="false" outlineLevel="0" collapsed="false">
      <c r="A393" s="374" t="n">
        <v>452</v>
      </c>
      <c r="B393" s="374" t="str">
        <f aca="false" t="array" ref="B393:B393">INDEX('0.0.1 Pokémon Dex Data'!$E$3:$E1007,MATCH(A393,'0.0.1 Pokémon Dex Data'!$B$3:$B1007,0))</f>
        <v>Deoxys-Defense</v>
      </c>
      <c r="C393" s="374" t="s">
        <v>2430</v>
      </c>
      <c r="D393" s="374" t="s">
        <v>138</v>
      </c>
      <c r="E393" s="374" t="s">
        <v>2398</v>
      </c>
      <c r="F393" s="374" t="s">
        <v>2653</v>
      </c>
      <c r="G393" s="374" t="s">
        <v>2493</v>
      </c>
      <c r="H393" s="374"/>
      <c r="I393" s="374"/>
      <c r="J393" s="374"/>
      <c r="K393" s="374"/>
      <c r="L393" s="374"/>
      <c r="M393" s="374"/>
      <c r="N393" s="374"/>
      <c r="O393" s="374"/>
      <c r="P393" s="374"/>
      <c r="Q393" s="374"/>
      <c r="R393" s="374"/>
    </row>
    <row r="394" customFormat="false" ht="15.75" hidden="false" customHeight="false" outlineLevel="0" collapsed="false">
      <c r="A394" s="374" t="n">
        <v>453</v>
      </c>
      <c r="B394" s="374" t="str">
        <f aca="false" t="array" ref="B394:B394">INDEX('0.0.1 Pokémon Dex Data'!$E$3:$E1007,MATCH(A394,'0.0.1 Pokémon Dex Data'!$B$3:$B1007,0))</f>
        <v>Deoxys-Speed</v>
      </c>
      <c r="C394" s="374" t="s">
        <v>2430</v>
      </c>
      <c r="D394" s="374" t="s">
        <v>138</v>
      </c>
      <c r="E394" s="374" t="s">
        <v>2398</v>
      </c>
      <c r="F394" s="374" t="s">
        <v>2653</v>
      </c>
      <c r="G394" s="374" t="s">
        <v>2493</v>
      </c>
      <c r="H394" s="374"/>
      <c r="I394" s="374"/>
      <c r="J394" s="374"/>
      <c r="K394" s="374"/>
      <c r="L394" s="374"/>
      <c r="M394" s="374"/>
      <c r="N394" s="374"/>
      <c r="O394" s="374"/>
      <c r="P394" s="374"/>
      <c r="Q394" s="374"/>
      <c r="R394" s="374"/>
    </row>
    <row r="395" customFormat="false" ht="15.75" hidden="false" customHeight="false" outlineLevel="0" collapsed="false">
      <c r="A395" s="374" t="n">
        <v>454</v>
      </c>
      <c r="B395" s="374" t="str">
        <f aca="false" t="array" ref="B395:B395">INDEX('0.0.1 Pokémon Dex Data'!$E$3:$E1007,MATCH(A395,'0.0.1 Pokémon Dex Data'!$B$3:$B1007,0))</f>
        <v>Turtwig</v>
      </c>
      <c r="C395" s="374"/>
      <c r="D395" s="374"/>
      <c r="E395" s="374"/>
      <c r="F395" s="374"/>
      <c r="G395" s="374"/>
      <c r="H395" s="374"/>
      <c r="I395" s="374"/>
      <c r="J395" s="374"/>
      <c r="K395" s="374"/>
      <c r="L395" s="374"/>
      <c r="M395" s="374"/>
      <c r="N395" s="374"/>
      <c r="O395" s="374"/>
      <c r="P395" s="374"/>
      <c r="Q395" s="374"/>
      <c r="R395" s="374"/>
    </row>
    <row r="396" customFormat="false" ht="15.75" hidden="false" customHeight="false" outlineLevel="0" collapsed="false">
      <c r="A396" s="374" t="n">
        <v>455</v>
      </c>
      <c r="B396" s="374" t="str">
        <f aca="false" t="array" ref="B396:B396">INDEX('0.0.1 Pokémon Dex Data'!$E$3:$E1007,MATCH(A396,'0.0.1 Pokémon Dex Data'!$B$3:$B1007,0))</f>
        <v>Grotle</v>
      </c>
      <c r="C396" s="374"/>
      <c r="D396" s="374"/>
      <c r="E396" s="374"/>
      <c r="F396" s="374"/>
      <c r="G396" s="374"/>
      <c r="H396" s="374"/>
      <c r="I396" s="374"/>
      <c r="J396" s="374"/>
      <c r="K396" s="374"/>
      <c r="L396" s="374"/>
      <c r="M396" s="374"/>
      <c r="N396" s="374"/>
      <c r="O396" s="374"/>
      <c r="P396" s="374"/>
      <c r="Q396" s="374"/>
      <c r="R396" s="374"/>
    </row>
    <row r="397" customFormat="false" ht="15.75" hidden="false" customHeight="false" outlineLevel="0" collapsed="false">
      <c r="A397" s="374" t="n">
        <v>456</v>
      </c>
      <c r="B397" s="374" t="str">
        <f aca="false" t="array" ref="B397:B397">INDEX('0.0.1 Pokémon Dex Data'!$E$3:$E1007,MATCH(A397,'0.0.1 Pokémon Dex Data'!$B$3:$B1007,0))</f>
        <v>Torterra</v>
      </c>
      <c r="C397" s="374"/>
      <c r="D397" s="374"/>
      <c r="E397" s="374"/>
      <c r="F397" s="374"/>
      <c r="G397" s="374"/>
      <c r="H397" s="374"/>
      <c r="I397" s="374"/>
      <c r="J397" s="374"/>
      <c r="K397" s="374"/>
      <c r="L397" s="374"/>
      <c r="M397" s="374"/>
      <c r="N397" s="374"/>
      <c r="O397" s="374"/>
      <c r="P397" s="374"/>
      <c r="Q397" s="374"/>
      <c r="R397" s="374"/>
    </row>
    <row r="398" customFormat="false" ht="15.75" hidden="false" customHeight="false" outlineLevel="0" collapsed="false">
      <c r="A398" s="374" t="n">
        <v>457</v>
      </c>
      <c r="B398" s="374" t="str">
        <f aca="false" t="array" ref="B398:B398">INDEX('0.0.1 Pokémon Dex Data'!$E$3:$E1007,MATCH(A398,'0.0.1 Pokémon Dex Data'!$B$3:$B1007,0))</f>
        <v>Chimchar</v>
      </c>
      <c r="C398" s="374"/>
      <c r="D398" s="374"/>
      <c r="E398" s="374"/>
      <c r="F398" s="374"/>
      <c r="G398" s="374"/>
      <c r="H398" s="374"/>
      <c r="I398" s="374"/>
      <c r="J398" s="374"/>
      <c r="K398" s="374"/>
      <c r="L398" s="374"/>
      <c r="M398" s="374"/>
      <c r="N398" s="374"/>
      <c r="O398" s="374"/>
      <c r="P398" s="374"/>
      <c r="Q398" s="374"/>
      <c r="R398" s="374"/>
    </row>
    <row r="399" customFormat="false" ht="15.75" hidden="false" customHeight="false" outlineLevel="0" collapsed="false">
      <c r="A399" s="374" t="n">
        <v>458</v>
      </c>
      <c r="B399" s="374" t="str">
        <f aca="false" t="array" ref="B399:B399">INDEX('0.0.1 Pokémon Dex Data'!$E$3:$E1007,MATCH(A399,'0.0.1 Pokémon Dex Data'!$B$3:$B1007,0))</f>
        <v>Monferno</v>
      </c>
      <c r="C399" s="374"/>
      <c r="D399" s="374"/>
      <c r="E399" s="374"/>
      <c r="F399" s="374"/>
      <c r="G399" s="374"/>
      <c r="H399" s="374"/>
      <c r="I399" s="374"/>
      <c r="J399" s="374"/>
      <c r="K399" s="374"/>
      <c r="L399" s="374"/>
      <c r="M399" s="374"/>
      <c r="N399" s="374"/>
      <c r="O399" s="374"/>
      <c r="P399" s="374"/>
      <c r="Q399" s="374"/>
      <c r="R399" s="374"/>
    </row>
    <row r="400" customFormat="false" ht="15.75" hidden="false" customHeight="false" outlineLevel="0" collapsed="false">
      <c r="A400" s="374" t="n">
        <v>459</v>
      </c>
      <c r="B400" s="374" t="str">
        <f aca="false" t="array" ref="B400:B400">INDEX('0.0.1 Pokémon Dex Data'!$E$3:$E1007,MATCH(A400,'0.0.1 Pokémon Dex Data'!$B$3:$B1007,0))</f>
        <v>Infernape</v>
      </c>
      <c r="C400" s="374"/>
      <c r="D400" s="374"/>
      <c r="E400" s="374"/>
      <c r="F400" s="374"/>
      <c r="G400" s="374"/>
      <c r="H400" s="374"/>
      <c r="I400" s="374"/>
      <c r="J400" s="374"/>
      <c r="K400" s="374"/>
      <c r="L400" s="374"/>
      <c r="M400" s="374"/>
      <c r="N400" s="374"/>
      <c r="O400" s="374"/>
      <c r="P400" s="374"/>
      <c r="Q400" s="374"/>
      <c r="R400" s="374"/>
    </row>
    <row r="401" customFormat="false" ht="15.75" hidden="false" customHeight="false" outlineLevel="0" collapsed="false">
      <c r="A401" s="374" t="n">
        <v>460</v>
      </c>
      <c r="B401" s="374" t="str">
        <f aca="false" t="array" ref="B401:B401">INDEX('0.0.1 Pokémon Dex Data'!$E$3:$E1007,MATCH(A401,'0.0.1 Pokémon Dex Data'!$B$3:$B1007,0))</f>
        <v>Piplup</v>
      </c>
      <c r="C401" s="374"/>
      <c r="D401" s="374"/>
      <c r="E401" s="374"/>
      <c r="F401" s="374"/>
      <c r="G401" s="374"/>
      <c r="H401" s="374"/>
      <c r="I401" s="374"/>
      <c r="J401" s="374"/>
      <c r="K401" s="374"/>
      <c r="L401" s="374"/>
      <c r="M401" s="374"/>
      <c r="N401" s="374"/>
      <c r="O401" s="374"/>
      <c r="P401" s="374"/>
      <c r="Q401" s="374"/>
      <c r="R401" s="374"/>
    </row>
    <row r="402" customFormat="false" ht="15.75" hidden="false" customHeight="false" outlineLevel="0" collapsed="false">
      <c r="A402" s="374" t="n">
        <v>461</v>
      </c>
      <c r="B402" s="374" t="str">
        <f aca="false" t="array" ref="B402:B402">INDEX('0.0.1 Pokémon Dex Data'!$E$3:$E1007,MATCH(A402,'0.0.1 Pokémon Dex Data'!$B$3:$B1007,0))</f>
        <v>Prinplup</v>
      </c>
      <c r="C402" s="374"/>
      <c r="D402" s="374"/>
      <c r="E402" s="374"/>
      <c r="F402" s="374"/>
      <c r="G402" s="374"/>
      <c r="H402" s="374"/>
      <c r="I402" s="374"/>
      <c r="J402" s="374"/>
      <c r="K402" s="374"/>
      <c r="L402" s="374"/>
      <c r="M402" s="374"/>
      <c r="N402" s="374"/>
      <c r="O402" s="374"/>
      <c r="P402" s="374"/>
      <c r="Q402" s="374"/>
      <c r="R402" s="374"/>
    </row>
    <row r="403" customFormat="false" ht="15.75" hidden="false" customHeight="false" outlineLevel="0" collapsed="false">
      <c r="A403" s="374" t="n">
        <v>462</v>
      </c>
      <c r="B403" s="374" t="str">
        <f aca="false" t="array" ref="B403:B403">INDEX('0.0.1 Pokémon Dex Data'!$E$3:$E1007,MATCH(A403,'0.0.1 Pokémon Dex Data'!$B$3:$B1007,0))</f>
        <v>Empoleon</v>
      </c>
      <c r="C403" s="374"/>
      <c r="D403" s="374"/>
      <c r="E403" s="374"/>
      <c r="F403" s="374"/>
      <c r="G403" s="374"/>
      <c r="H403" s="374"/>
      <c r="I403" s="374"/>
      <c r="J403" s="374"/>
      <c r="K403" s="374"/>
      <c r="L403" s="374"/>
      <c r="M403" s="374"/>
      <c r="N403" s="374"/>
      <c r="O403" s="374"/>
      <c r="P403" s="374"/>
      <c r="Q403" s="374"/>
      <c r="R403" s="374"/>
    </row>
    <row r="404" customFormat="false" ht="15.75" hidden="false" customHeight="false" outlineLevel="0" collapsed="false">
      <c r="A404" s="374" t="n">
        <v>463</v>
      </c>
      <c r="B404" s="374" t="str">
        <f aca="false" t="array" ref="B404:B404">INDEX('0.0.1 Pokémon Dex Data'!$E$3:$E1007,MATCH(A404,'0.0.1 Pokémon Dex Data'!$B$3:$B1007,0))</f>
        <v>Starly</v>
      </c>
      <c r="C404" s="374"/>
      <c r="D404" s="374"/>
      <c r="E404" s="374"/>
      <c r="F404" s="374"/>
      <c r="G404" s="374"/>
      <c r="H404" s="374"/>
      <c r="I404" s="374"/>
      <c r="J404" s="374"/>
      <c r="K404" s="374"/>
      <c r="L404" s="374"/>
      <c r="M404" s="374"/>
      <c r="N404" s="374"/>
      <c r="O404" s="374"/>
      <c r="P404" s="374"/>
      <c r="Q404" s="374"/>
      <c r="R404" s="374"/>
    </row>
    <row r="405" customFormat="false" ht="15.75" hidden="false" customHeight="false" outlineLevel="0" collapsed="false">
      <c r="A405" s="374" t="n">
        <v>464</v>
      </c>
      <c r="B405" s="374" t="str">
        <f aca="false" t="array" ref="B405:B405">INDEX('0.0.1 Pokémon Dex Data'!$E$3:$E1007,MATCH(A405,'0.0.1 Pokémon Dex Data'!$B$3:$B1007,0))</f>
        <v>Staravia</v>
      </c>
      <c r="C405" s="374"/>
      <c r="D405" s="374"/>
      <c r="E405" s="374"/>
      <c r="F405" s="374"/>
      <c r="G405" s="374"/>
      <c r="H405" s="374"/>
      <c r="I405" s="374"/>
      <c r="J405" s="374"/>
      <c r="K405" s="374"/>
      <c r="L405" s="374"/>
      <c r="M405" s="374"/>
      <c r="N405" s="374"/>
      <c r="O405" s="374"/>
      <c r="P405" s="374"/>
      <c r="Q405" s="374"/>
      <c r="R405" s="374"/>
    </row>
    <row r="406" customFormat="false" ht="15.75" hidden="false" customHeight="false" outlineLevel="0" collapsed="false">
      <c r="A406" s="374" t="n">
        <v>465</v>
      </c>
      <c r="B406" s="374" t="str">
        <f aca="false" t="array" ref="B406:B406">INDEX('0.0.1 Pokémon Dex Data'!$E$3:$E1007,MATCH(A406,'0.0.1 Pokémon Dex Data'!$B$3:$B1007,0))</f>
        <v>Staraptor</v>
      </c>
      <c r="C406" s="374"/>
      <c r="D406" s="374"/>
      <c r="E406" s="374"/>
      <c r="F406" s="374"/>
      <c r="G406" s="374"/>
      <c r="H406" s="374"/>
      <c r="I406" s="374"/>
      <c r="J406" s="374"/>
      <c r="K406" s="374"/>
      <c r="L406" s="374"/>
      <c r="M406" s="374"/>
      <c r="N406" s="374"/>
      <c r="O406" s="374"/>
      <c r="P406" s="374"/>
      <c r="Q406" s="374"/>
      <c r="R406" s="374"/>
    </row>
    <row r="407" customFormat="false" ht="15.75" hidden="false" customHeight="false" outlineLevel="0" collapsed="false">
      <c r="A407" s="374" t="n">
        <v>466</v>
      </c>
      <c r="B407" s="374" t="str">
        <f aca="false" t="array" ref="B407:B407">INDEX('0.0.1 Pokémon Dex Data'!$E$3:$E1007,MATCH(A407,'0.0.1 Pokémon Dex Data'!$B$3:$B1007,0))</f>
        <v>Bidoof</v>
      </c>
      <c r="C407" s="374"/>
      <c r="D407" s="374"/>
      <c r="E407" s="374"/>
      <c r="F407" s="374"/>
      <c r="G407" s="374"/>
      <c r="H407" s="374"/>
      <c r="I407" s="374"/>
      <c r="J407" s="374"/>
      <c r="K407" s="374"/>
      <c r="L407" s="374"/>
      <c r="M407" s="374"/>
      <c r="N407" s="374"/>
      <c r="O407" s="374"/>
      <c r="P407" s="374"/>
      <c r="Q407" s="374"/>
      <c r="R407" s="374"/>
    </row>
    <row r="408" customFormat="false" ht="15.75" hidden="false" customHeight="false" outlineLevel="0" collapsed="false">
      <c r="A408" s="374" t="n">
        <v>467</v>
      </c>
      <c r="B408" s="374" t="str">
        <f aca="false" t="array" ref="B408:B408">INDEX('0.0.1 Pokémon Dex Data'!$E$3:$E1007,MATCH(A408,'0.0.1 Pokémon Dex Data'!$B$3:$B1007,0))</f>
        <v>Bibarel</v>
      </c>
      <c r="C408" s="374"/>
      <c r="D408" s="374"/>
      <c r="E408" s="374"/>
      <c r="F408" s="374"/>
      <c r="G408" s="374"/>
      <c r="H408" s="374"/>
      <c r="I408" s="374"/>
      <c r="J408" s="374"/>
      <c r="K408" s="374"/>
      <c r="L408" s="374"/>
      <c r="M408" s="374"/>
      <c r="N408" s="374"/>
      <c r="O408" s="374"/>
      <c r="P408" s="374"/>
      <c r="Q408" s="374"/>
      <c r="R408" s="374"/>
    </row>
    <row r="409" customFormat="false" ht="15.75" hidden="false" customHeight="false" outlineLevel="0" collapsed="false">
      <c r="A409" s="374" t="n">
        <v>468</v>
      </c>
      <c r="B409" s="374" t="str">
        <f aca="false" t="array" ref="B409:B409">INDEX('0.0.1 Pokémon Dex Data'!$E$3:$E1007,MATCH(A409,'0.0.1 Pokémon Dex Data'!$B$3:$B1007,0))</f>
        <v>Kricketot</v>
      </c>
      <c r="C409" s="374"/>
      <c r="D409" s="374"/>
      <c r="E409" s="374"/>
      <c r="F409" s="374"/>
      <c r="G409" s="374"/>
      <c r="H409" s="374"/>
      <c r="I409" s="374"/>
      <c r="J409" s="374"/>
      <c r="K409" s="374"/>
      <c r="L409" s="374"/>
      <c r="M409" s="374"/>
      <c r="N409" s="374"/>
      <c r="O409" s="374"/>
      <c r="P409" s="374"/>
      <c r="Q409" s="374"/>
      <c r="R409" s="374"/>
    </row>
    <row r="410" customFormat="false" ht="15.75" hidden="false" customHeight="false" outlineLevel="0" collapsed="false">
      <c r="A410" s="374" t="n">
        <v>469</v>
      </c>
      <c r="B410" s="374" t="str">
        <f aca="false" t="array" ref="B410:B410">INDEX('0.0.1 Pokémon Dex Data'!$E$3:$E1007,MATCH(A410,'0.0.1 Pokémon Dex Data'!$B$3:$B1007,0))</f>
        <v>Kricketune</v>
      </c>
      <c r="C410" s="374"/>
      <c r="D410" s="374"/>
      <c r="E410" s="374"/>
      <c r="F410" s="374"/>
      <c r="G410" s="374"/>
      <c r="H410" s="374"/>
      <c r="I410" s="374"/>
      <c r="J410" s="374"/>
      <c r="K410" s="374"/>
      <c r="L410" s="374"/>
      <c r="M410" s="374"/>
      <c r="N410" s="374"/>
      <c r="O410" s="374"/>
      <c r="P410" s="374"/>
      <c r="Q410" s="374"/>
      <c r="R410" s="374"/>
    </row>
    <row r="411" customFormat="false" ht="15.75" hidden="false" customHeight="false" outlineLevel="0" collapsed="false">
      <c r="A411" s="374" t="n">
        <v>470</v>
      </c>
      <c r="B411" s="374" t="str">
        <f aca="false" t="array" ref="B411:B411">INDEX('0.0.1 Pokémon Dex Data'!$E$3:$E1007,MATCH(A411,'0.0.1 Pokémon Dex Data'!$B$3:$B1007,0))</f>
        <v>Shinx</v>
      </c>
      <c r="C411" s="374"/>
      <c r="D411" s="374"/>
      <c r="E411" s="374"/>
      <c r="F411" s="374"/>
      <c r="G411" s="374"/>
      <c r="H411" s="374"/>
      <c r="I411" s="374"/>
      <c r="J411" s="374"/>
      <c r="K411" s="374"/>
      <c r="L411" s="374"/>
      <c r="M411" s="374"/>
      <c r="N411" s="374"/>
      <c r="O411" s="374"/>
      <c r="P411" s="374"/>
      <c r="Q411" s="374"/>
      <c r="R411" s="374"/>
    </row>
    <row r="412" customFormat="false" ht="15.75" hidden="false" customHeight="false" outlineLevel="0" collapsed="false">
      <c r="A412" s="374" t="n">
        <v>471</v>
      </c>
      <c r="B412" s="374" t="str">
        <f aca="false" t="array" ref="B412:B412">INDEX('0.0.1 Pokémon Dex Data'!$E$3:$E1007,MATCH(A412,'0.0.1 Pokémon Dex Data'!$B$3:$B1007,0))</f>
        <v>Luxio</v>
      </c>
      <c r="C412" s="374"/>
      <c r="D412" s="374"/>
      <c r="E412" s="374"/>
      <c r="F412" s="374"/>
      <c r="G412" s="374"/>
      <c r="H412" s="374"/>
      <c r="I412" s="374"/>
      <c r="J412" s="374"/>
      <c r="K412" s="374"/>
      <c r="L412" s="374"/>
      <c r="M412" s="374"/>
      <c r="N412" s="374"/>
      <c r="O412" s="374"/>
      <c r="P412" s="374"/>
      <c r="Q412" s="374"/>
      <c r="R412" s="374"/>
    </row>
    <row r="413" customFormat="false" ht="15.75" hidden="false" customHeight="false" outlineLevel="0" collapsed="false">
      <c r="A413" s="374" t="n">
        <v>472</v>
      </c>
      <c r="B413" s="374" t="str">
        <f aca="false" t="array" ref="B413:B413">INDEX('0.0.1 Pokémon Dex Data'!$E$3:$E1007,MATCH(A413,'0.0.1 Pokémon Dex Data'!$B$3:$B1007,0))</f>
        <v>Luxray</v>
      </c>
      <c r="C413" s="374"/>
      <c r="D413" s="374"/>
      <c r="E413" s="374"/>
      <c r="F413" s="374"/>
      <c r="G413" s="374"/>
      <c r="H413" s="374"/>
      <c r="I413" s="374"/>
      <c r="J413" s="374"/>
      <c r="K413" s="374"/>
      <c r="L413" s="374"/>
      <c r="M413" s="374"/>
      <c r="N413" s="374"/>
      <c r="O413" s="374"/>
      <c r="P413" s="374"/>
      <c r="Q413" s="374"/>
      <c r="R413" s="374"/>
    </row>
    <row r="414" customFormat="false" ht="15.75" hidden="false" customHeight="false" outlineLevel="0" collapsed="false">
      <c r="A414" s="374" t="n">
        <v>473</v>
      </c>
      <c r="B414" s="374" t="str">
        <f aca="false" t="array" ref="B414:B414">INDEX('0.0.1 Pokémon Dex Data'!$E$3:$E1007,MATCH(A414,'0.0.1 Pokémon Dex Data'!$B$3:$B1007,0))</f>
        <v>Budew</v>
      </c>
      <c r="C414" s="374"/>
      <c r="D414" s="374"/>
      <c r="E414" s="374"/>
      <c r="F414" s="374"/>
      <c r="G414" s="374"/>
      <c r="H414" s="374"/>
      <c r="I414" s="374"/>
      <c r="J414" s="374"/>
      <c r="K414" s="374"/>
      <c r="L414" s="374"/>
      <c r="M414" s="374"/>
      <c r="N414" s="374"/>
      <c r="O414" s="374"/>
      <c r="P414" s="374"/>
      <c r="Q414" s="374"/>
      <c r="R414" s="374"/>
    </row>
    <row r="415" customFormat="false" ht="15.75" hidden="false" customHeight="false" outlineLevel="0" collapsed="false">
      <c r="A415" s="374" t="n">
        <v>474</v>
      </c>
      <c r="B415" s="374" t="str">
        <f aca="false" t="array" ref="B415:B415">INDEX('0.0.1 Pokémon Dex Data'!$E$3:$E1007,MATCH(A415,'0.0.1 Pokémon Dex Data'!$B$3:$B1007,0))</f>
        <v>Roserade</v>
      </c>
      <c r="C415" s="374"/>
      <c r="D415" s="374"/>
      <c r="E415" s="374"/>
      <c r="F415" s="374"/>
      <c r="G415" s="374"/>
      <c r="H415" s="374"/>
      <c r="I415" s="374"/>
      <c r="J415" s="374"/>
      <c r="K415" s="374"/>
      <c r="L415" s="374"/>
      <c r="M415" s="374"/>
      <c r="N415" s="374"/>
      <c r="O415" s="374"/>
      <c r="P415" s="374"/>
      <c r="Q415" s="374"/>
      <c r="R415" s="374"/>
    </row>
    <row r="416" customFormat="false" ht="15.75" hidden="false" customHeight="false" outlineLevel="0" collapsed="false">
      <c r="A416" s="374" t="n">
        <v>475</v>
      </c>
      <c r="B416" s="374" t="str">
        <f aca="false" t="array" ref="B416:B416">INDEX('0.0.1 Pokémon Dex Data'!$E$3:$E1007,MATCH(A416,'0.0.1 Pokémon Dex Data'!$B$3:$B1007,0))</f>
        <v>Cranidos</v>
      </c>
      <c r="C416" s="374"/>
      <c r="D416" s="374"/>
      <c r="E416" s="374"/>
      <c r="F416" s="374"/>
      <c r="G416" s="374"/>
      <c r="H416" s="374"/>
      <c r="I416" s="374"/>
      <c r="J416" s="374"/>
      <c r="K416" s="374"/>
      <c r="L416" s="374"/>
      <c r="M416" s="374"/>
      <c r="N416" s="374"/>
      <c r="O416" s="374"/>
      <c r="P416" s="374"/>
      <c r="Q416" s="374"/>
      <c r="R416" s="374"/>
    </row>
    <row r="417" customFormat="false" ht="15.75" hidden="false" customHeight="false" outlineLevel="0" collapsed="false">
      <c r="A417" s="374" t="n">
        <v>476</v>
      </c>
      <c r="B417" s="374" t="str">
        <f aca="false" t="array" ref="B417:B417">INDEX('0.0.1 Pokémon Dex Data'!$E$3:$E1007,MATCH(A417,'0.0.1 Pokémon Dex Data'!$B$3:$B1007,0))</f>
        <v>Rampardos</v>
      </c>
      <c r="C417" s="374"/>
      <c r="D417" s="374"/>
      <c r="E417" s="374"/>
      <c r="F417" s="374"/>
      <c r="G417" s="374"/>
      <c r="H417" s="374"/>
      <c r="I417" s="374"/>
      <c r="J417" s="374"/>
      <c r="K417" s="374"/>
      <c r="L417" s="374"/>
      <c r="M417" s="374"/>
      <c r="N417" s="374"/>
      <c r="O417" s="374"/>
      <c r="P417" s="374"/>
      <c r="Q417" s="374"/>
      <c r="R417" s="374"/>
    </row>
    <row r="418" customFormat="false" ht="15.75" hidden="false" customHeight="false" outlineLevel="0" collapsed="false">
      <c r="A418" s="374" t="n">
        <v>477</v>
      </c>
      <c r="B418" s="374" t="str">
        <f aca="false" t="array" ref="B418:B418">INDEX('0.0.1 Pokémon Dex Data'!$E$3:$E1007,MATCH(A418,'0.0.1 Pokémon Dex Data'!$B$3:$B1007,0))</f>
        <v>Shieldon</v>
      </c>
      <c r="C418" s="374"/>
      <c r="D418" s="374"/>
      <c r="E418" s="374"/>
      <c r="F418" s="374"/>
      <c r="G418" s="374"/>
      <c r="H418" s="374"/>
      <c r="I418" s="374"/>
      <c r="J418" s="374"/>
      <c r="K418" s="374"/>
      <c r="L418" s="374"/>
      <c r="M418" s="374"/>
      <c r="N418" s="374"/>
      <c r="O418" s="374"/>
      <c r="P418" s="374"/>
      <c r="Q418" s="374"/>
      <c r="R418" s="374"/>
    </row>
    <row r="419" customFormat="false" ht="15.75" hidden="false" customHeight="false" outlineLevel="0" collapsed="false">
      <c r="A419" s="374" t="n">
        <v>478</v>
      </c>
      <c r="B419" s="374" t="str">
        <f aca="false" t="array" ref="B419:B419">INDEX('0.0.1 Pokémon Dex Data'!$E$3:$E1007,MATCH(A419,'0.0.1 Pokémon Dex Data'!$B$3:$B1007,0))</f>
        <v>Bastiodon</v>
      </c>
      <c r="C419" s="374"/>
      <c r="D419" s="374"/>
      <c r="E419" s="374"/>
      <c r="F419" s="374"/>
      <c r="G419" s="374"/>
      <c r="H419" s="374"/>
      <c r="I419" s="374"/>
      <c r="J419" s="374"/>
      <c r="K419" s="374"/>
      <c r="L419" s="374"/>
      <c r="M419" s="374"/>
      <c r="N419" s="374"/>
      <c r="O419" s="374"/>
      <c r="P419" s="374"/>
      <c r="Q419" s="374"/>
      <c r="R419" s="374"/>
    </row>
    <row r="420" customFormat="false" ht="15.75" hidden="false" customHeight="false" outlineLevel="0" collapsed="false">
      <c r="A420" s="374" t="n">
        <v>479</v>
      </c>
      <c r="B420" s="374" t="str">
        <f aca="false" t="array" ref="B420:B420">INDEX('0.0.1 Pokémon Dex Data'!$E$3:$E1007,MATCH(A420,'0.0.1 Pokémon Dex Data'!$B$3:$B1007,0))</f>
        <v>Burmy</v>
      </c>
      <c r="C420" s="374"/>
      <c r="D420" s="374"/>
      <c r="E420" s="374"/>
      <c r="F420" s="374"/>
      <c r="G420" s="374"/>
      <c r="H420" s="374"/>
      <c r="I420" s="374"/>
      <c r="J420" s="374"/>
      <c r="K420" s="374"/>
      <c r="L420" s="374"/>
      <c r="M420" s="374"/>
      <c r="N420" s="374"/>
      <c r="O420" s="374"/>
      <c r="P420" s="374"/>
      <c r="Q420" s="374"/>
      <c r="R420" s="374"/>
    </row>
    <row r="421" customFormat="false" ht="15.75" hidden="false" customHeight="false" outlineLevel="0" collapsed="false">
      <c r="A421" s="374" t="n">
        <v>480</v>
      </c>
      <c r="B421" s="374" t="str">
        <f aca="false" t="array" ref="B421:B421">INDEX('0.0.1 Pokémon Dex Data'!$E$3:$E1007,MATCH(A421,'0.0.1 Pokémon Dex Data'!$B$3:$B1007,0))</f>
        <v>Wormadam-Plant</v>
      </c>
      <c r="C421" s="374"/>
      <c r="D421" s="374"/>
      <c r="E421" s="374"/>
      <c r="F421" s="374"/>
      <c r="G421" s="374"/>
      <c r="H421" s="374"/>
      <c r="I421" s="374"/>
      <c r="J421" s="374"/>
      <c r="K421" s="374"/>
      <c r="L421" s="374"/>
      <c r="M421" s="374"/>
      <c r="N421" s="374"/>
      <c r="O421" s="374"/>
      <c r="P421" s="374"/>
      <c r="Q421" s="374"/>
      <c r="R421" s="374"/>
    </row>
    <row r="422" customFormat="false" ht="15.75" hidden="false" customHeight="false" outlineLevel="0" collapsed="false">
      <c r="A422" s="374" t="n">
        <v>483</v>
      </c>
      <c r="B422" s="374" t="str">
        <f aca="false" t="array" ref="B422:B422">INDEX('0.0.1 Pokémon Dex Data'!$E$3:$E1007,MATCH(A422,'0.0.1 Pokémon Dex Data'!$B$3:$B1007,0))</f>
        <v>Mothim</v>
      </c>
      <c r="C422" s="374"/>
      <c r="D422" s="374"/>
      <c r="E422" s="374"/>
      <c r="F422" s="374"/>
      <c r="G422" s="374"/>
      <c r="H422" s="374"/>
      <c r="I422" s="374"/>
      <c r="J422" s="374"/>
      <c r="K422" s="374"/>
      <c r="L422" s="374"/>
      <c r="M422" s="374"/>
      <c r="N422" s="374"/>
      <c r="O422" s="374"/>
      <c r="P422" s="374"/>
      <c r="Q422" s="374"/>
      <c r="R422" s="374"/>
    </row>
    <row r="423" customFormat="false" ht="15.75" hidden="false" customHeight="false" outlineLevel="0" collapsed="false">
      <c r="A423" s="374" t="n">
        <v>484</v>
      </c>
      <c r="B423" s="374" t="str">
        <f aca="false" t="array" ref="B423:B423">INDEX('0.0.1 Pokémon Dex Data'!$E$3:$E1007,MATCH(A423,'0.0.1 Pokémon Dex Data'!$B$3:$B1007,0))</f>
        <v>Combee</v>
      </c>
      <c r="C423" s="374"/>
      <c r="D423" s="374"/>
      <c r="E423" s="374"/>
      <c r="F423" s="374"/>
      <c r="G423" s="374"/>
      <c r="H423" s="374"/>
      <c r="I423" s="374"/>
      <c r="J423" s="374"/>
      <c r="K423" s="374"/>
      <c r="L423" s="374"/>
      <c r="M423" s="374"/>
      <c r="N423" s="374"/>
      <c r="O423" s="374"/>
      <c r="P423" s="374"/>
      <c r="Q423" s="374"/>
      <c r="R423" s="374"/>
    </row>
    <row r="424" customFormat="false" ht="15.75" hidden="false" customHeight="false" outlineLevel="0" collapsed="false">
      <c r="A424" s="374" t="n">
        <v>485</v>
      </c>
      <c r="B424" s="374" t="str">
        <f aca="false" t="array" ref="B424:B424">INDEX('0.0.1 Pokémon Dex Data'!$E$3:$E1007,MATCH(A424,'0.0.1 Pokémon Dex Data'!$B$3:$B1007,0))</f>
        <v>Vespiquen</v>
      </c>
      <c r="C424" s="374"/>
      <c r="D424" s="374"/>
      <c r="E424" s="374"/>
      <c r="F424" s="374"/>
      <c r="G424" s="374"/>
      <c r="H424" s="374"/>
      <c r="I424" s="374"/>
      <c r="J424" s="374"/>
      <c r="K424" s="374"/>
      <c r="L424" s="374"/>
      <c r="M424" s="374"/>
      <c r="N424" s="374"/>
      <c r="O424" s="374"/>
      <c r="P424" s="374"/>
      <c r="Q424" s="374"/>
      <c r="R424" s="374"/>
    </row>
    <row r="425" customFormat="false" ht="15.75" hidden="false" customHeight="false" outlineLevel="0" collapsed="false">
      <c r="A425" s="374" t="n">
        <v>486</v>
      </c>
      <c r="B425" s="374" t="str">
        <f aca="false" t="array" ref="B425:B425">INDEX('0.0.1 Pokémon Dex Data'!$E$3:$E1007,MATCH(A425,'0.0.1 Pokémon Dex Data'!$B$3:$B1007,0))</f>
        <v>Pachirisu</v>
      </c>
      <c r="C425" s="374"/>
      <c r="D425" s="374"/>
      <c r="E425" s="374"/>
      <c r="F425" s="374"/>
      <c r="G425" s="374"/>
      <c r="H425" s="374"/>
      <c r="I425" s="374"/>
      <c r="J425" s="374"/>
      <c r="K425" s="374"/>
      <c r="L425" s="374"/>
      <c r="M425" s="374"/>
      <c r="N425" s="374"/>
      <c r="O425" s="374"/>
      <c r="P425" s="374"/>
      <c r="Q425" s="374"/>
      <c r="R425" s="374"/>
    </row>
    <row r="426" customFormat="false" ht="15.75" hidden="false" customHeight="false" outlineLevel="0" collapsed="false">
      <c r="A426" s="374" t="n">
        <v>487</v>
      </c>
      <c r="B426" s="374" t="str">
        <f aca="false" t="array" ref="B426:B426">INDEX('0.0.1 Pokémon Dex Data'!$E$3:$E1007,MATCH(A426,'0.0.1 Pokémon Dex Data'!$B$3:$B1007,0))</f>
        <v>Buizel</v>
      </c>
      <c r="C426" s="374"/>
      <c r="D426" s="374"/>
      <c r="E426" s="374"/>
      <c r="F426" s="374"/>
      <c r="G426" s="374"/>
      <c r="H426" s="374"/>
      <c r="I426" s="374"/>
      <c r="J426" s="374"/>
      <c r="K426" s="374"/>
      <c r="L426" s="374"/>
      <c r="M426" s="374"/>
      <c r="N426" s="374"/>
      <c r="O426" s="374"/>
      <c r="P426" s="374"/>
      <c r="Q426" s="374"/>
      <c r="R426" s="374"/>
    </row>
    <row r="427" customFormat="false" ht="15.75" hidden="false" customHeight="false" outlineLevel="0" collapsed="false">
      <c r="A427" s="374" t="n">
        <v>488</v>
      </c>
      <c r="B427" s="374" t="str">
        <f aca="false" t="array" ref="B427:B427">INDEX('0.0.1 Pokémon Dex Data'!$E$3:$E1007,MATCH(A427,'0.0.1 Pokémon Dex Data'!$B$3:$B1007,0))</f>
        <v>Floatzel</v>
      </c>
      <c r="C427" s="374"/>
      <c r="D427" s="374"/>
      <c r="E427" s="374"/>
      <c r="F427" s="374"/>
      <c r="G427" s="374"/>
      <c r="H427" s="374"/>
      <c r="I427" s="374"/>
      <c r="J427" s="374"/>
      <c r="K427" s="374"/>
      <c r="L427" s="374"/>
      <c r="M427" s="374"/>
      <c r="N427" s="374"/>
      <c r="O427" s="374"/>
      <c r="P427" s="374"/>
      <c r="Q427" s="374"/>
      <c r="R427" s="374"/>
    </row>
    <row r="428" customFormat="false" ht="15.75" hidden="false" customHeight="false" outlineLevel="0" collapsed="false">
      <c r="A428" s="374" t="n">
        <v>489</v>
      </c>
      <c r="B428" s="374" t="str">
        <f aca="false" t="array" ref="B428:B428">INDEX('0.0.1 Pokémon Dex Data'!$E$3:$E1007,MATCH(A428,'0.0.1 Pokémon Dex Data'!$B$3:$B1007,0))</f>
        <v>Cherubi</v>
      </c>
      <c r="C428" s="374"/>
      <c r="D428" s="374"/>
      <c r="E428" s="374"/>
      <c r="F428" s="374"/>
      <c r="G428" s="374"/>
      <c r="H428" s="374"/>
      <c r="I428" s="374"/>
      <c r="J428" s="374"/>
      <c r="K428" s="374"/>
      <c r="L428" s="374"/>
      <c r="M428" s="374"/>
      <c r="N428" s="374"/>
      <c r="O428" s="374"/>
      <c r="P428" s="374"/>
      <c r="Q428" s="374"/>
      <c r="R428" s="374"/>
    </row>
    <row r="429" customFormat="false" ht="15.75" hidden="false" customHeight="false" outlineLevel="0" collapsed="false">
      <c r="A429" s="374" t="n">
        <v>490</v>
      </c>
      <c r="B429" s="374" t="str">
        <f aca="false" t="array" ref="B429:B429">INDEX('0.0.1 Pokémon Dex Data'!$E$3:$E1007,MATCH(A429,'0.0.1 Pokémon Dex Data'!$B$3:$B1007,0))</f>
        <v>Cherrim</v>
      </c>
      <c r="C429" s="374"/>
      <c r="D429" s="374"/>
      <c r="E429" s="374"/>
      <c r="F429" s="374"/>
      <c r="G429" s="374"/>
      <c r="H429" s="374"/>
      <c r="I429" s="374"/>
      <c r="J429" s="374"/>
      <c r="K429" s="374"/>
      <c r="L429" s="374"/>
      <c r="M429" s="374"/>
      <c r="N429" s="374"/>
      <c r="O429" s="374"/>
      <c r="P429" s="374"/>
      <c r="Q429" s="374"/>
      <c r="R429" s="374"/>
    </row>
    <row r="430" customFormat="false" ht="15.75" hidden="false" customHeight="false" outlineLevel="0" collapsed="false">
      <c r="A430" s="374" t="n">
        <v>491</v>
      </c>
      <c r="B430" s="374" t="str">
        <f aca="false" t="array" ref="B430:B430">INDEX('0.0.1 Pokémon Dex Data'!$E$3:$E1007,MATCH(A430,'0.0.1 Pokémon Dex Data'!$B$3:$B1007,0))</f>
        <v>Shellos</v>
      </c>
      <c r="C430" s="374"/>
      <c r="D430" s="374"/>
      <c r="E430" s="374"/>
      <c r="F430" s="374"/>
      <c r="G430" s="374"/>
      <c r="H430" s="374"/>
      <c r="I430" s="374"/>
      <c r="J430" s="374"/>
      <c r="K430" s="374"/>
      <c r="L430" s="374"/>
      <c r="M430" s="374"/>
      <c r="N430" s="374"/>
      <c r="O430" s="374"/>
      <c r="P430" s="374"/>
      <c r="Q430" s="374"/>
      <c r="R430" s="374"/>
    </row>
    <row r="431" customFormat="false" ht="15.75" hidden="false" customHeight="false" outlineLevel="0" collapsed="false">
      <c r="A431" s="374" t="n">
        <v>492</v>
      </c>
      <c r="B431" s="374" t="str">
        <f aca="false" t="array" ref="B431:B431">INDEX('0.0.1 Pokémon Dex Data'!$E$3:$E1007,MATCH(A431,'0.0.1 Pokémon Dex Data'!$B$3:$B1007,0))</f>
        <v>Gastrodon</v>
      </c>
      <c r="C431" s="374"/>
      <c r="D431" s="374"/>
      <c r="E431" s="374"/>
      <c r="F431" s="374"/>
      <c r="G431" s="374"/>
      <c r="H431" s="374"/>
      <c r="I431" s="374"/>
      <c r="J431" s="374"/>
      <c r="K431" s="374"/>
      <c r="L431" s="374"/>
      <c r="M431" s="374"/>
      <c r="N431" s="374"/>
      <c r="O431" s="374"/>
      <c r="P431" s="374"/>
      <c r="Q431" s="374"/>
      <c r="R431" s="374"/>
    </row>
    <row r="432" customFormat="false" ht="15.75" hidden="false" customHeight="false" outlineLevel="0" collapsed="false">
      <c r="A432" s="374" t="n">
        <v>493</v>
      </c>
      <c r="B432" s="374" t="str">
        <f aca="false" t="array" ref="B432:B432">INDEX('0.0.1 Pokémon Dex Data'!$E$3:$E1007,MATCH(A432,'0.0.1 Pokémon Dex Data'!$B$3:$B1007,0))</f>
        <v>Ambipom</v>
      </c>
      <c r="C432" s="374"/>
      <c r="D432" s="374"/>
      <c r="E432" s="374"/>
      <c r="F432" s="374"/>
      <c r="G432" s="374"/>
      <c r="H432" s="374"/>
      <c r="I432" s="374"/>
      <c r="J432" s="374"/>
      <c r="K432" s="374"/>
      <c r="L432" s="374"/>
      <c r="M432" s="374"/>
      <c r="N432" s="374"/>
      <c r="O432" s="374"/>
      <c r="P432" s="374"/>
      <c r="Q432" s="374"/>
      <c r="R432" s="374"/>
    </row>
    <row r="433" customFormat="false" ht="15.75" hidden="false" customHeight="false" outlineLevel="0" collapsed="false">
      <c r="A433" s="374" t="n">
        <v>494</v>
      </c>
      <c r="B433" s="374" t="str">
        <f aca="false" t="array" ref="B433:B433">INDEX('0.0.1 Pokémon Dex Data'!$E$3:$E1007,MATCH(A433,'0.0.1 Pokémon Dex Data'!$B$3:$B1007,0))</f>
        <v>Drifloon</v>
      </c>
      <c r="C433" s="374"/>
      <c r="D433" s="374"/>
      <c r="E433" s="374"/>
      <c r="F433" s="374"/>
      <c r="G433" s="374"/>
      <c r="H433" s="374"/>
      <c r="I433" s="374"/>
      <c r="J433" s="374"/>
      <c r="K433" s="374"/>
      <c r="L433" s="374"/>
      <c r="M433" s="374"/>
      <c r="N433" s="374"/>
      <c r="O433" s="374"/>
      <c r="P433" s="374"/>
      <c r="Q433" s="374"/>
      <c r="R433" s="374"/>
    </row>
    <row r="434" customFormat="false" ht="15.75" hidden="false" customHeight="false" outlineLevel="0" collapsed="false">
      <c r="A434" s="374" t="n">
        <v>495</v>
      </c>
      <c r="B434" s="374" t="str">
        <f aca="false" t="array" ref="B434:B434">INDEX('0.0.1 Pokémon Dex Data'!$E$3:$E1007,MATCH(A434,'0.0.1 Pokémon Dex Data'!$B$3:$B1007,0))</f>
        <v>Drifblim</v>
      </c>
      <c r="C434" s="374"/>
      <c r="D434" s="374"/>
      <c r="E434" s="374"/>
      <c r="F434" s="374"/>
      <c r="G434" s="374"/>
      <c r="H434" s="374"/>
      <c r="I434" s="374"/>
      <c r="J434" s="374"/>
      <c r="K434" s="374"/>
      <c r="L434" s="374"/>
      <c r="M434" s="374"/>
      <c r="N434" s="374"/>
      <c r="O434" s="374"/>
      <c r="P434" s="374"/>
      <c r="Q434" s="374"/>
      <c r="R434" s="374"/>
    </row>
    <row r="435" customFormat="false" ht="15.75" hidden="false" customHeight="false" outlineLevel="0" collapsed="false">
      <c r="A435" s="374" t="n">
        <v>496</v>
      </c>
      <c r="B435" s="374" t="str">
        <f aca="false" t="array" ref="B435:B435">INDEX('0.0.1 Pokémon Dex Data'!$E$3:$E1007,MATCH(A435,'0.0.1 Pokémon Dex Data'!$B$3:$B1007,0))</f>
        <v>Buneary</v>
      </c>
      <c r="C435" s="374"/>
      <c r="D435" s="374"/>
      <c r="E435" s="374"/>
      <c r="F435" s="374"/>
      <c r="G435" s="374"/>
      <c r="H435" s="374"/>
      <c r="I435" s="374"/>
      <c r="J435" s="374"/>
      <c r="K435" s="374"/>
      <c r="L435" s="374"/>
      <c r="M435" s="374"/>
      <c r="N435" s="374"/>
      <c r="O435" s="374"/>
      <c r="P435" s="374"/>
      <c r="Q435" s="374"/>
      <c r="R435" s="374"/>
    </row>
    <row r="436" customFormat="false" ht="15.75" hidden="false" customHeight="false" outlineLevel="0" collapsed="false">
      <c r="A436" s="374" t="n">
        <v>497</v>
      </c>
      <c r="B436" s="374" t="str">
        <f aca="false" t="array" ref="B436:B436">INDEX('0.0.1 Pokémon Dex Data'!$E$3:$E1007,MATCH(A436,'0.0.1 Pokémon Dex Data'!$B$3:$B1007,0))</f>
        <v>Lopunny</v>
      </c>
      <c r="C436" s="374"/>
      <c r="D436" s="374"/>
      <c r="E436" s="374"/>
      <c r="F436" s="374"/>
      <c r="G436" s="374"/>
      <c r="H436" s="374"/>
      <c r="I436" s="374"/>
      <c r="J436" s="374"/>
      <c r="K436" s="374"/>
      <c r="L436" s="374"/>
      <c r="M436" s="374"/>
      <c r="N436" s="374"/>
      <c r="O436" s="374"/>
      <c r="P436" s="374"/>
      <c r="Q436" s="374"/>
      <c r="R436" s="374"/>
    </row>
    <row r="437" customFormat="false" ht="15.75" hidden="false" customHeight="false" outlineLevel="0" collapsed="false">
      <c r="A437" s="374" t="n">
        <v>499</v>
      </c>
      <c r="B437" s="374" t="str">
        <f aca="false" t="array" ref="B437:B437">INDEX('0.0.1 Pokémon Dex Data'!$E$3:$E1007,MATCH(A437,'0.0.1 Pokémon Dex Data'!$B$3:$B1007,0))</f>
        <v>Mismagius</v>
      </c>
      <c r="C437" s="374"/>
      <c r="D437" s="374"/>
      <c r="E437" s="374"/>
      <c r="F437" s="374"/>
      <c r="G437" s="374"/>
      <c r="H437" s="374"/>
      <c r="I437" s="374"/>
      <c r="J437" s="374"/>
      <c r="K437" s="374"/>
      <c r="L437" s="374"/>
      <c r="M437" s="374"/>
      <c r="N437" s="374"/>
      <c r="O437" s="374"/>
      <c r="P437" s="374"/>
      <c r="Q437" s="374"/>
      <c r="R437" s="374"/>
    </row>
    <row r="438" customFormat="false" ht="15.75" hidden="false" customHeight="false" outlineLevel="0" collapsed="false">
      <c r="A438" s="374" t="n">
        <v>500</v>
      </c>
      <c r="B438" s="374" t="str">
        <f aca="false" t="array" ref="B438:B438">INDEX('0.0.1 Pokémon Dex Data'!$E$3:$E1007,MATCH(A438,'0.0.1 Pokémon Dex Data'!$B$3:$B1007,0))</f>
        <v>Honchkrow</v>
      </c>
      <c r="C438" s="374"/>
      <c r="D438" s="374"/>
      <c r="E438" s="374"/>
      <c r="F438" s="374"/>
      <c r="G438" s="374"/>
      <c r="H438" s="374"/>
      <c r="I438" s="374"/>
      <c r="J438" s="374"/>
      <c r="K438" s="374"/>
      <c r="L438" s="374"/>
      <c r="M438" s="374"/>
      <c r="N438" s="374"/>
      <c r="O438" s="374"/>
      <c r="P438" s="374"/>
      <c r="Q438" s="374"/>
      <c r="R438" s="374"/>
    </row>
    <row r="439" customFormat="false" ht="15.75" hidden="false" customHeight="false" outlineLevel="0" collapsed="false">
      <c r="A439" s="374" t="n">
        <v>501</v>
      </c>
      <c r="B439" s="374" t="str">
        <f aca="false" t="array" ref="B439:B439">INDEX('0.0.1 Pokémon Dex Data'!$E$3:$E1007,MATCH(A439,'0.0.1 Pokémon Dex Data'!$B$3:$B1007,0))</f>
        <v>Glameow</v>
      </c>
      <c r="C439" s="374"/>
      <c r="D439" s="374"/>
      <c r="E439" s="374"/>
      <c r="F439" s="374"/>
      <c r="G439" s="374"/>
      <c r="H439" s="374"/>
      <c r="I439" s="374"/>
      <c r="J439" s="374"/>
      <c r="K439" s="374"/>
      <c r="L439" s="374"/>
      <c r="M439" s="374"/>
      <c r="N439" s="374"/>
      <c r="O439" s="374"/>
      <c r="P439" s="374"/>
      <c r="Q439" s="374"/>
      <c r="R439" s="374"/>
    </row>
    <row r="440" customFormat="false" ht="15.75" hidden="false" customHeight="false" outlineLevel="0" collapsed="false">
      <c r="A440" s="374" t="n">
        <v>502</v>
      </c>
      <c r="B440" s="374" t="str">
        <f aca="false" t="array" ref="B440:B440">INDEX('0.0.1 Pokémon Dex Data'!$E$3:$E1007,MATCH(A440,'0.0.1 Pokémon Dex Data'!$B$3:$B1007,0))</f>
        <v>Purugly</v>
      </c>
      <c r="C440" s="374"/>
      <c r="D440" s="374"/>
      <c r="E440" s="374"/>
      <c r="F440" s="374"/>
      <c r="G440" s="374"/>
      <c r="H440" s="374"/>
      <c r="I440" s="374"/>
      <c r="J440" s="374"/>
      <c r="K440" s="374"/>
      <c r="L440" s="374"/>
      <c r="M440" s="374"/>
      <c r="N440" s="374"/>
      <c r="O440" s="374"/>
      <c r="P440" s="374"/>
      <c r="Q440" s="374"/>
      <c r="R440" s="374"/>
    </row>
    <row r="441" customFormat="false" ht="15.75" hidden="false" customHeight="false" outlineLevel="0" collapsed="false">
      <c r="A441" s="374" t="n">
        <v>503</v>
      </c>
      <c r="B441" s="374" t="str">
        <f aca="false" t="array" ref="B441:B441">INDEX('0.0.1 Pokémon Dex Data'!$E$3:$E1007,MATCH(A441,'0.0.1 Pokémon Dex Data'!$B$3:$B1007,0))</f>
        <v>Chingling</v>
      </c>
      <c r="C441" s="374"/>
      <c r="D441" s="374"/>
      <c r="E441" s="374"/>
      <c r="F441" s="374"/>
      <c r="G441" s="374"/>
      <c r="H441" s="374"/>
      <c r="I441" s="374"/>
      <c r="J441" s="374"/>
      <c r="K441" s="374"/>
      <c r="L441" s="374"/>
      <c r="M441" s="374"/>
      <c r="N441" s="374"/>
      <c r="O441" s="374"/>
      <c r="P441" s="374"/>
      <c r="Q441" s="374"/>
      <c r="R441" s="374"/>
    </row>
    <row r="442" customFormat="false" ht="15.75" hidden="false" customHeight="false" outlineLevel="0" collapsed="false">
      <c r="A442" s="374" t="n">
        <v>504</v>
      </c>
      <c r="B442" s="374" t="str">
        <f aca="false" t="array" ref="B442:B442">INDEX('0.0.1 Pokémon Dex Data'!$E$3:$E1007,MATCH(A442,'0.0.1 Pokémon Dex Data'!$B$3:$B1007,0))</f>
        <v>Stunky</v>
      </c>
      <c r="C442" s="374"/>
      <c r="D442" s="374"/>
      <c r="E442" s="374"/>
      <c r="F442" s="374"/>
      <c r="G442" s="374"/>
      <c r="H442" s="374"/>
      <c r="I442" s="374"/>
      <c r="J442" s="374"/>
      <c r="K442" s="374"/>
      <c r="L442" s="374"/>
      <c r="M442" s="374"/>
      <c r="N442" s="374"/>
      <c r="O442" s="374"/>
      <c r="P442" s="374"/>
      <c r="Q442" s="374"/>
      <c r="R442" s="374"/>
    </row>
    <row r="443" customFormat="false" ht="15.75" hidden="false" customHeight="false" outlineLevel="0" collapsed="false">
      <c r="A443" s="374" t="n">
        <v>505</v>
      </c>
      <c r="B443" s="374" t="str">
        <f aca="false" t="array" ref="B443:B443">INDEX('0.0.1 Pokémon Dex Data'!$E$3:$E1007,MATCH(A443,'0.0.1 Pokémon Dex Data'!$B$3:$B1007,0))</f>
        <v>Skuntank</v>
      </c>
      <c r="C443" s="374"/>
      <c r="D443" s="374"/>
      <c r="E443" s="374"/>
      <c r="F443" s="374"/>
      <c r="G443" s="374"/>
      <c r="H443" s="374"/>
      <c r="I443" s="374"/>
      <c r="J443" s="374"/>
      <c r="K443" s="374"/>
      <c r="L443" s="374"/>
      <c r="M443" s="374"/>
      <c r="N443" s="374"/>
      <c r="O443" s="374"/>
      <c r="P443" s="374"/>
      <c r="Q443" s="374"/>
      <c r="R443" s="374"/>
    </row>
    <row r="444" customFormat="false" ht="15.75" hidden="false" customHeight="false" outlineLevel="0" collapsed="false">
      <c r="A444" s="374" t="n">
        <v>506</v>
      </c>
      <c r="B444" s="374" t="str">
        <f aca="false" t="array" ref="B444:B444">INDEX('0.0.1 Pokémon Dex Data'!$E$3:$E1007,MATCH(A444,'0.0.1 Pokémon Dex Data'!$B$3:$B1007,0))</f>
        <v>Bronzor</v>
      </c>
      <c r="C444" s="374"/>
      <c r="D444" s="374"/>
      <c r="E444" s="374"/>
      <c r="F444" s="374"/>
      <c r="G444" s="374"/>
      <c r="H444" s="374"/>
      <c r="I444" s="374"/>
      <c r="J444" s="374"/>
      <c r="K444" s="374"/>
      <c r="L444" s="374"/>
      <c r="M444" s="374"/>
      <c r="N444" s="374"/>
      <c r="O444" s="374"/>
      <c r="P444" s="374"/>
      <c r="Q444" s="374"/>
      <c r="R444" s="374"/>
    </row>
    <row r="445" customFormat="false" ht="15.75" hidden="false" customHeight="false" outlineLevel="0" collapsed="false">
      <c r="A445" s="374" t="n">
        <v>507</v>
      </c>
      <c r="B445" s="374" t="str">
        <f aca="false" t="array" ref="B445:B445">INDEX('0.0.1 Pokémon Dex Data'!$E$3:$E1007,MATCH(A445,'0.0.1 Pokémon Dex Data'!$B$3:$B1007,0))</f>
        <v>Bronzong</v>
      </c>
      <c r="C445" s="374"/>
      <c r="D445" s="374"/>
      <c r="E445" s="374"/>
      <c r="F445" s="374"/>
      <c r="G445" s="374"/>
      <c r="H445" s="374"/>
      <c r="I445" s="374"/>
      <c r="J445" s="374"/>
      <c r="K445" s="374"/>
      <c r="L445" s="374"/>
      <c r="M445" s="374"/>
      <c r="N445" s="374"/>
      <c r="O445" s="374"/>
      <c r="P445" s="374"/>
      <c r="Q445" s="374"/>
      <c r="R445" s="374"/>
    </row>
    <row r="446" customFormat="false" ht="15.75" hidden="false" customHeight="false" outlineLevel="0" collapsed="false">
      <c r="A446" s="374" t="n">
        <v>508</v>
      </c>
      <c r="B446" s="374" t="str">
        <f aca="false" t="array" ref="B446:B446">INDEX('0.0.1 Pokémon Dex Data'!$E$3:$E1007,MATCH(A446,'0.0.1 Pokémon Dex Data'!$B$3:$B1007,0))</f>
        <v>Bonsly</v>
      </c>
      <c r="C446" s="374"/>
      <c r="D446" s="374"/>
      <c r="E446" s="374"/>
      <c r="F446" s="374"/>
      <c r="G446" s="374"/>
      <c r="H446" s="374"/>
      <c r="I446" s="374"/>
      <c r="J446" s="374"/>
      <c r="K446" s="374"/>
      <c r="L446" s="374"/>
      <c r="M446" s="374"/>
      <c r="N446" s="374"/>
      <c r="O446" s="374"/>
      <c r="P446" s="374"/>
      <c r="Q446" s="374"/>
      <c r="R446" s="374"/>
    </row>
    <row r="447" customFormat="false" ht="15.75" hidden="false" customHeight="false" outlineLevel="0" collapsed="false">
      <c r="A447" s="374" t="n">
        <v>509</v>
      </c>
      <c r="B447" s="374" t="str">
        <f aca="false" t="array" ref="B447:B447">INDEX('0.0.1 Pokémon Dex Data'!$E$3:$E1007,MATCH(A447,'0.0.1 Pokémon Dex Data'!$B$3:$B1007,0))</f>
        <v>Mime Jr.</v>
      </c>
      <c r="C447" s="374"/>
      <c r="D447" s="374"/>
      <c r="E447" s="374"/>
      <c r="F447" s="374"/>
      <c r="G447" s="374"/>
      <c r="H447" s="374"/>
      <c r="I447" s="374"/>
      <c r="J447" s="374"/>
      <c r="K447" s="374"/>
      <c r="L447" s="374"/>
      <c r="M447" s="374"/>
      <c r="N447" s="374"/>
      <c r="O447" s="374"/>
      <c r="P447" s="374"/>
      <c r="Q447" s="374"/>
      <c r="R447" s="374"/>
    </row>
    <row r="448" customFormat="false" ht="15.75" hidden="false" customHeight="false" outlineLevel="0" collapsed="false">
      <c r="A448" s="374" t="n">
        <v>510</v>
      </c>
      <c r="B448" s="374" t="str">
        <f aca="false" t="array" ref="B448:B448">INDEX('0.0.1 Pokémon Dex Data'!$E$3:$E1007,MATCH(A448,'0.0.1 Pokémon Dex Data'!$B$3:$B1007,0))</f>
        <v>Happiny</v>
      </c>
      <c r="C448" s="374"/>
      <c r="D448" s="374"/>
      <c r="E448" s="374"/>
      <c r="F448" s="374"/>
      <c r="G448" s="374"/>
      <c r="H448" s="374"/>
      <c r="I448" s="374"/>
      <c r="J448" s="374"/>
      <c r="K448" s="374"/>
      <c r="L448" s="374"/>
      <c r="M448" s="374"/>
      <c r="N448" s="374"/>
      <c r="O448" s="374"/>
      <c r="P448" s="374"/>
      <c r="Q448" s="374"/>
      <c r="R448" s="374"/>
    </row>
    <row r="449" customFormat="false" ht="15.75" hidden="false" customHeight="false" outlineLevel="0" collapsed="false">
      <c r="A449" s="374" t="n">
        <v>511</v>
      </c>
      <c r="B449" s="374" t="str">
        <f aca="false" t="array" ref="B449:B449">INDEX('0.0.1 Pokémon Dex Data'!$E$3:$E1007,MATCH(A449,'0.0.1 Pokémon Dex Data'!$B$3:$B1007,0))</f>
        <v>Chatot</v>
      </c>
      <c r="C449" s="374"/>
      <c r="D449" s="374"/>
      <c r="E449" s="374"/>
      <c r="F449" s="374"/>
      <c r="G449" s="374"/>
      <c r="H449" s="374"/>
      <c r="I449" s="374"/>
      <c r="J449" s="374"/>
      <c r="K449" s="374"/>
      <c r="L449" s="374"/>
      <c r="M449" s="374"/>
      <c r="N449" s="374"/>
      <c r="O449" s="374"/>
      <c r="P449" s="374"/>
      <c r="Q449" s="374"/>
      <c r="R449" s="374"/>
    </row>
    <row r="450" customFormat="false" ht="15.75" hidden="false" customHeight="false" outlineLevel="0" collapsed="false">
      <c r="A450" s="374" t="n">
        <v>512</v>
      </c>
      <c r="B450" s="374" t="str">
        <f aca="false" t="array" ref="B450:B450">INDEX('0.0.1 Pokémon Dex Data'!$E$3:$E1007,MATCH(A450,'0.0.1 Pokémon Dex Data'!$B$3:$B1007,0))</f>
        <v>Spiritomb</v>
      </c>
      <c r="C450" s="374"/>
      <c r="D450" s="374"/>
      <c r="E450" s="374"/>
      <c r="F450" s="374"/>
      <c r="G450" s="374"/>
      <c r="H450" s="374"/>
      <c r="I450" s="374"/>
      <c r="J450" s="374"/>
      <c r="K450" s="374"/>
      <c r="L450" s="374"/>
      <c r="M450" s="374"/>
      <c r="N450" s="374"/>
      <c r="O450" s="374"/>
      <c r="P450" s="374"/>
      <c r="Q450" s="374"/>
      <c r="R450" s="374"/>
    </row>
    <row r="451" customFormat="false" ht="15.75" hidden="false" customHeight="false" outlineLevel="0" collapsed="false">
      <c r="A451" s="374" t="n">
        <v>513</v>
      </c>
      <c r="B451" s="374" t="str">
        <f aca="false" t="array" ref="B451:B451">INDEX('0.0.1 Pokémon Dex Data'!$E$3:$E1007,MATCH(A451,'0.0.1 Pokémon Dex Data'!$B$3:$B1007,0))</f>
        <v>Gible</v>
      </c>
      <c r="C451" s="374"/>
      <c r="D451" s="374"/>
      <c r="E451" s="374"/>
      <c r="F451" s="374"/>
      <c r="G451" s="374"/>
      <c r="H451" s="374"/>
      <c r="I451" s="374"/>
      <c r="J451" s="374"/>
      <c r="K451" s="374"/>
      <c r="L451" s="374"/>
      <c r="M451" s="374"/>
      <c r="N451" s="374"/>
      <c r="O451" s="374"/>
      <c r="P451" s="374"/>
      <c r="Q451" s="374"/>
      <c r="R451" s="374"/>
    </row>
    <row r="452" customFormat="false" ht="15.75" hidden="false" customHeight="false" outlineLevel="0" collapsed="false">
      <c r="A452" s="374" t="n">
        <v>514</v>
      </c>
      <c r="B452" s="374" t="str">
        <f aca="false" t="array" ref="B452:B452">INDEX('0.0.1 Pokémon Dex Data'!$E$3:$E1007,MATCH(A452,'0.0.1 Pokémon Dex Data'!$B$3:$B1007,0))</f>
        <v>Gabite</v>
      </c>
      <c r="C452" s="374"/>
      <c r="D452" s="374"/>
      <c r="E452" s="374"/>
      <c r="F452" s="374"/>
      <c r="G452" s="374"/>
      <c r="H452" s="374"/>
      <c r="I452" s="374"/>
      <c r="J452" s="374"/>
      <c r="K452" s="374"/>
      <c r="L452" s="374"/>
      <c r="M452" s="374"/>
      <c r="N452" s="374"/>
      <c r="O452" s="374"/>
      <c r="P452" s="374"/>
      <c r="Q452" s="374"/>
      <c r="R452" s="374"/>
    </row>
    <row r="453" customFormat="false" ht="15.75" hidden="false" customHeight="false" outlineLevel="0" collapsed="false">
      <c r="A453" s="374" t="n">
        <v>515</v>
      </c>
      <c r="B453" s="374" t="str">
        <f aca="false" t="array" ref="B453:B453">INDEX('0.0.1 Pokémon Dex Data'!$E$3:$E1007,MATCH(A453,'0.0.1 Pokémon Dex Data'!$B$3:$B1007,0))</f>
        <v>Garchomp</v>
      </c>
      <c r="C453" s="374"/>
      <c r="D453" s="374"/>
      <c r="E453" s="374"/>
      <c r="F453" s="374"/>
      <c r="G453" s="374"/>
      <c r="H453" s="374"/>
      <c r="I453" s="374"/>
      <c r="J453" s="374"/>
      <c r="K453" s="374"/>
      <c r="L453" s="374"/>
      <c r="M453" s="374"/>
      <c r="N453" s="374"/>
      <c r="O453" s="374"/>
      <c r="P453" s="374"/>
      <c r="Q453" s="374"/>
      <c r="R453" s="374"/>
    </row>
    <row r="454" customFormat="false" ht="15.75" hidden="false" customHeight="false" outlineLevel="0" collapsed="false">
      <c r="A454" s="374" t="n">
        <v>517</v>
      </c>
      <c r="B454" s="374" t="str">
        <f aca="false" t="array" ref="B454:B454">INDEX('0.0.1 Pokémon Dex Data'!$E$3:$E1007,MATCH(A454,'0.0.1 Pokémon Dex Data'!$B$3:$B1007,0))</f>
        <v>Munchlax</v>
      </c>
      <c r="C454" s="374"/>
      <c r="D454" s="374"/>
      <c r="E454" s="374"/>
      <c r="F454" s="374"/>
      <c r="G454" s="374"/>
      <c r="H454" s="374"/>
      <c r="I454" s="374"/>
      <c r="J454" s="374"/>
      <c r="K454" s="374"/>
      <c r="L454" s="374"/>
      <c r="M454" s="374"/>
      <c r="N454" s="374"/>
      <c r="O454" s="374"/>
      <c r="P454" s="374"/>
      <c r="Q454" s="374"/>
      <c r="R454" s="374"/>
    </row>
    <row r="455" customFormat="false" ht="15.75" hidden="false" customHeight="false" outlineLevel="0" collapsed="false">
      <c r="A455" s="374" t="n">
        <v>518</v>
      </c>
      <c r="B455" s="374" t="str">
        <f aca="false" t="array" ref="B455:B455">INDEX('0.0.1 Pokémon Dex Data'!$E$3:$E1007,MATCH(A455,'0.0.1 Pokémon Dex Data'!$B$3:$B1007,0))</f>
        <v>Riolu</v>
      </c>
      <c r="C455" s="374"/>
      <c r="D455" s="374"/>
      <c r="E455" s="374"/>
      <c r="F455" s="374"/>
      <c r="G455" s="374"/>
      <c r="H455" s="374"/>
      <c r="I455" s="374"/>
      <c r="J455" s="374"/>
      <c r="K455" s="374"/>
      <c r="L455" s="374"/>
      <c r="M455" s="374"/>
      <c r="N455" s="374"/>
      <c r="O455" s="374"/>
      <c r="P455" s="374"/>
      <c r="Q455" s="374"/>
      <c r="R455" s="374"/>
    </row>
    <row r="456" customFormat="false" ht="15.75" hidden="false" customHeight="false" outlineLevel="0" collapsed="false">
      <c r="A456" s="374" t="n">
        <v>519</v>
      </c>
      <c r="B456" s="374" t="str">
        <f aca="false" t="array" ref="B456:B456">INDEX('0.0.1 Pokémon Dex Data'!$E$3:$E1007,MATCH(A456,'0.0.1 Pokémon Dex Data'!$B$3:$B1007,0))</f>
        <v>Lucario</v>
      </c>
      <c r="C456" s="374"/>
      <c r="D456" s="374"/>
      <c r="E456" s="374"/>
      <c r="F456" s="374"/>
      <c r="G456" s="374"/>
      <c r="H456" s="374"/>
      <c r="I456" s="374"/>
      <c r="J456" s="374"/>
      <c r="K456" s="374"/>
      <c r="L456" s="374"/>
      <c r="M456" s="374"/>
      <c r="N456" s="374"/>
      <c r="O456" s="374"/>
      <c r="P456" s="374"/>
      <c r="Q456" s="374"/>
      <c r="R456" s="374"/>
    </row>
    <row r="457" customFormat="false" ht="15.75" hidden="false" customHeight="false" outlineLevel="0" collapsed="false">
      <c r="A457" s="374" t="n">
        <v>521</v>
      </c>
      <c r="B457" s="374" t="str">
        <f aca="false" t="array" ref="B457:B457">INDEX('0.0.1 Pokémon Dex Data'!$E$3:$E1007,MATCH(A457,'0.0.1 Pokémon Dex Data'!$B$3:$B1007,0))</f>
        <v>Hippopotas</v>
      </c>
      <c r="C457" s="374"/>
      <c r="D457" s="374"/>
      <c r="E457" s="374"/>
      <c r="F457" s="374"/>
      <c r="G457" s="374"/>
      <c r="H457" s="374"/>
      <c r="I457" s="374"/>
      <c r="J457" s="374"/>
      <c r="K457" s="374"/>
      <c r="L457" s="374"/>
      <c r="M457" s="374"/>
      <c r="N457" s="374"/>
      <c r="O457" s="374"/>
      <c r="P457" s="374"/>
      <c r="Q457" s="374"/>
      <c r="R457" s="374"/>
    </row>
    <row r="458" customFormat="false" ht="15.75" hidden="false" customHeight="false" outlineLevel="0" collapsed="false">
      <c r="A458" s="374" t="n">
        <v>522</v>
      </c>
      <c r="B458" s="374" t="str">
        <f aca="false" t="array" ref="B458:B458">INDEX('0.0.1 Pokémon Dex Data'!$E$3:$E1007,MATCH(A458,'0.0.1 Pokémon Dex Data'!$B$3:$B1007,0))</f>
        <v>Hippowdon</v>
      </c>
      <c r="C458" s="374"/>
      <c r="D458" s="374"/>
      <c r="E458" s="374"/>
      <c r="F458" s="374"/>
      <c r="G458" s="374"/>
      <c r="H458" s="374"/>
      <c r="I458" s="374"/>
      <c r="J458" s="374"/>
      <c r="K458" s="374"/>
      <c r="L458" s="374"/>
      <c r="M458" s="374"/>
      <c r="N458" s="374"/>
      <c r="O458" s="374"/>
      <c r="P458" s="374"/>
      <c r="Q458" s="374"/>
      <c r="R458" s="374"/>
    </row>
    <row r="459" customFormat="false" ht="15.75" hidden="false" customHeight="false" outlineLevel="0" collapsed="false">
      <c r="A459" s="374" t="n">
        <v>523</v>
      </c>
      <c r="B459" s="374" t="str">
        <f aca="false" t="array" ref="B459:B459">INDEX('0.0.1 Pokémon Dex Data'!$E$3:$E1007,MATCH(A459,'0.0.1 Pokémon Dex Data'!$B$3:$B1007,0))</f>
        <v>Skorupi</v>
      </c>
      <c r="C459" s="374"/>
      <c r="D459" s="374"/>
      <c r="E459" s="374"/>
      <c r="F459" s="374"/>
      <c r="G459" s="374"/>
      <c r="H459" s="374"/>
      <c r="I459" s="374"/>
      <c r="J459" s="374"/>
      <c r="K459" s="374"/>
      <c r="L459" s="374"/>
      <c r="M459" s="374"/>
      <c r="N459" s="374"/>
      <c r="O459" s="374"/>
      <c r="P459" s="374"/>
      <c r="Q459" s="374"/>
      <c r="R459" s="374"/>
    </row>
    <row r="460" customFormat="false" ht="15.75" hidden="false" customHeight="false" outlineLevel="0" collapsed="false">
      <c r="A460" s="374" t="n">
        <v>524</v>
      </c>
      <c r="B460" s="374" t="str">
        <f aca="false" t="array" ref="B460:B460">INDEX('0.0.1 Pokémon Dex Data'!$E$3:$E1007,MATCH(A460,'0.0.1 Pokémon Dex Data'!$B$3:$B1007,0))</f>
        <v>Drapion</v>
      </c>
      <c r="C460" s="374"/>
      <c r="D460" s="374"/>
      <c r="E460" s="374"/>
      <c r="F460" s="374"/>
      <c r="G460" s="374"/>
      <c r="H460" s="374"/>
      <c r="I460" s="374"/>
      <c r="J460" s="374"/>
      <c r="K460" s="374"/>
      <c r="L460" s="374"/>
      <c r="M460" s="374"/>
      <c r="N460" s="374"/>
      <c r="O460" s="374"/>
      <c r="P460" s="374"/>
      <c r="Q460" s="374"/>
      <c r="R460" s="374"/>
    </row>
    <row r="461" customFormat="false" ht="15.75" hidden="false" customHeight="false" outlineLevel="0" collapsed="false">
      <c r="A461" s="374" t="n">
        <v>525</v>
      </c>
      <c r="B461" s="374" t="str">
        <f aca="false" t="array" ref="B461:B461">INDEX('0.0.1 Pokémon Dex Data'!$E$3:$E1007,MATCH(A461,'0.0.1 Pokémon Dex Data'!$B$3:$B1007,0))</f>
        <v>Croagunk</v>
      </c>
      <c r="C461" s="374"/>
      <c r="D461" s="374"/>
      <c r="E461" s="374"/>
      <c r="F461" s="374"/>
      <c r="G461" s="374"/>
      <c r="H461" s="374"/>
      <c r="I461" s="374"/>
      <c r="J461" s="374"/>
      <c r="K461" s="374"/>
      <c r="L461" s="374"/>
      <c r="M461" s="374"/>
      <c r="N461" s="374"/>
      <c r="O461" s="374"/>
      <c r="P461" s="374"/>
      <c r="Q461" s="374"/>
      <c r="R461" s="374"/>
    </row>
    <row r="462" customFormat="false" ht="15.75" hidden="false" customHeight="false" outlineLevel="0" collapsed="false">
      <c r="A462" s="374" t="n">
        <v>526</v>
      </c>
      <c r="B462" s="374" t="str">
        <f aca="false" t="array" ref="B462:B462">INDEX('0.0.1 Pokémon Dex Data'!$E$3:$E1007,MATCH(A462,'0.0.1 Pokémon Dex Data'!$B$3:$B1007,0))</f>
        <v>Toxicroak</v>
      </c>
      <c r="C462" s="374"/>
      <c r="D462" s="374"/>
      <c r="E462" s="374"/>
      <c r="F462" s="374"/>
      <c r="G462" s="374"/>
      <c r="H462" s="374"/>
      <c r="I462" s="374"/>
      <c r="J462" s="374"/>
      <c r="K462" s="374"/>
      <c r="L462" s="374"/>
      <c r="M462" s="374"/>
      <c r="N462" s="374"/>
      <c r="O462" s="374"/>
      <c r="P462" s="374"/>
      <c r="Q462" s="374"/>
      <c r="R462" s="374"/>
    </row>
    <row r="463" customFormat="false" ht="15.75" hidden="false" customHeight="false" outlineLevel="0" collapsed="false">
      <c r="A463" s="374" t="n">
        <v>527</v>
      </c>
      <c r="B463" s="374" t="str">
        <f aca="false" t="array" ref="B463:B463">INDEX('0.0.1 Pokémon Dex Data'!$E$3:$E1007,MATCH(A463,'0.0.1 Pokémon Dex Data'!$B$3:$B1007,0))</f>
        <v>Carnivine</v>
      </c>
      <c r="C463" s="374"/>
      <c r="D463" s="374"/>
      <c r="E463" s="374"/>
      <c r="F463" s="374"/>
      <c r="G463" s="374"/>
      <c r="H463" s="374"/>
      <c r="I463" s="374"/>
      <c r="J463" s="374"/>
      <c r="K463" s="374"/>
      <c r="L463" s="374"/>
      <c r="M463" s="374"/>
      <c r="N463" s="374"/>
      <c r="O463" s="374"/>
      <c r="P463" s="374"/>
      <c r="Q463" s="374"/>
      <c r="R463" s="374"/>
    </row>
    <row r="464" customFormat="false" ht="15.75" hidden="false" customHeight="false" outlineLevel="0" collapsed="false">
      <c r="A464" s="374" t="n">
        <v>528</v>
      </c>
      <c r="B464" s="374" t="str">
        <f aca="false" t="array" ref="B464:B464">INDEX('0.0.1 Pokémon Dex Data'!$E$3:$E1007,MATCH(A464,'0.0.1 Pokémon Dex Data'!$B$3:$B1007,0))</f>
        <v>Finneon</v>
      </c>
      <c r="C464" s="374"/>
      <c r="D464" s="374"/>
      <c r="E464" s="374"/>
      <c r="F464" s="374"/>
      <c r="G464" s="374"/>
      <c r="H464" s="374"/>
      <c r="I464" s="374"/>
      <c r="J464" s="374"/>
      <c r="K464" s="374"/>
      <c r="L464" s="374"/>
      <c r="M464" s="374"/>
      <c r="N464" s="374"/>
      <c r="O464" s="374"/>
      <c r="P464" s="374"/>
      <c r="Q464" s="374"/>
      <c r="R464" s="374"/>
    </row>
    <row r="465" customFormat="false" ht="15.75" hidden="false" customHeight="false" outlineLevel="0" collapsed="false">
      <c r="A465" s="374" t="n">
        <v>529</v>
      </c>
      <c r="B465" s="374" t="str">
        <f aca="false" t="array" ref="B465:B465">INDEX('0.0.1 Pokémon Dex Data'!$E$3:$E1007,MATCH(A465,'0.0.1 Pokémon Dex Data'!$B$3:$B1007,0))</f>
        <v>Lumineon</v>
      </c>
      <c r="C465" s="374"/>
      <c r="D465" s="374"/>
      <c r="E465" s="374"/>
      <c r="F465" s="374"/>
      <c r="G465" s="374"/>
      <c r="H465" s="374"/>
      <c r="I465" s="374"/>
      <c r="J465" s="374"/>
      <c r="K465" s="374"/>
      <c r="L465" s="374"/>
      <c r="M465" s="374"/>
      <c r="N465" s="374"/>
      <c r="O465" s="374"/>
      <c r="P465" s="374"/>
      <c r="Q465" s="374"/>
      <c r="R465" s="374"/>
    </row>
    <row r="466" customFormat="false" ht="15.75" hidden="false" customHeight="false" outlineLevel="0" collapsed="false">
      <c r="A466" s="374" t="n">
        <v>530</v>
      </c>
      <c r="B466" s="374" t="str">
        <f aca="false" t="array" ref="B466:B466">INDEX('0.0.1 Pokémon Dex Data'!$E$3:$E1007,MATCH(A466,'0.0.1 Pokémon Dex Data'!$B$3:$B1007,0))</f>
        <v>Mantyke</v>
      </c>
      <c r="C466" s="374"/>
      <c r="D466" s="374"/>
      <c r="E466" s="374"/>
      <c r="F466" s="374"/>
      <c r="G466" s="374"/>
      <c r="H466" s="374"/>
      <c r="I466" s="374"/>
      <c r="J466" s="374"/>
      <c r="K466" s="374"/>
      <c r="L466" s="374"/>
      <c r="M466" s="374"/>
      <c r="N466" s="374"/>
      <c r="O466" s="374"/>
      <c r="P466" s="374"/>
      <c r="Q466" s="374"/>
      <c r="R466" s="374"/>
    </row>
    <row r="467" customFormat="false" ht="15.75" hidden="false" customHeight="false" outlineLevel="0" collapsed="false">
      <c r="A467" s="374" t="n">
        <v>531</v>
      </c>
      <c r="B467" s="374" t="str">
        <f aca="false" t="array" ref="B467:B467">INDEX('0.0.1 Pokémon Dex Data'!$E$3:$E1007,MATCH(A467,'0.0.1 Pokémon Dex Data'!$B$3:$B1007,0))</f>
        <v>Snover</v>
      </c>
      <c r="C467" s="374"/>
      <c r="D467" s="374"/>
      <c r="E467" s="374"/>
      <c r="F467" s="374"/>
      <c r="G467" s="374"/>
      <c r="H467" s="374"/>
      <c r="I467" s="374"/>
      <c r="J467" s="374"/>
      <c r="K467" s="374"/>
      <c r="L467" s="374"/>
      <c r="M467" s="374"/>
      <c r="N467" s="374"/>
      <c r="O467" s="374"/>
      <c r="P467" s="374"/>
      <c r="Q467" s="374"/>
      <c r="R467" s="374"/>
    </row>
    <row r="468" customFormat="false" ht="15.75" hidden="false" customHeight="false" outlineLevel="0" collapsed="false">
      <c r="A468" s="374" t="n">
        <v>532</v>
      </c>
      <c r="B468" s="374" t="str">
        <f aca="false" t="array" ref="B468:B468">INDEX('0.0.1 Pokémon Dex Data'!$E$3:$E1007,MATCH(A468,'0.0.1 Pokémon Dex Data'!$B$3:$B1007,0))</f>
        <v>Abomasnow</v>
      </c>
      <c r="C468" s="374"/>
      <c r="D468" s="374"/>
      <c r="E468" s="374"/>
      <c r="F468" s="374"/>
      <c r="G468" s="374"/>
      <c r="H468" s="374"/>
      <c r="I468" s="374"/>
      <c r="J468" s="374"/>
      <c r="K468" s="374"/>
      <c r="L468" s="374"/>
      <c r="M468" s="374"/>
      <c r="N468" s="374"/>
      <c r="O468" s="374"/>
      <c r="P468" s="374"/>
      <c r="Q468" s="374"/>
      <c r="R468" s="374"/>
    </row>
    <row r="469" customFormat="false" ht="15.75" hidden="false" customHeight="false" outlineLevel="0" collapsed="false">
      <c r="A469" s="374" t="n">
        <v>534</v>
      </c>
      <c r="B469" s="374" t="str">
        <f aca="false" t="array" ref="B469:B469">INDEX('0.0.1 Pokémon Dex Data'!$E$3:$E1007,MATCH(A469,'0.0.1 Pokémon Dex Data'!$B$3:$B1007,0))</f>
        <v>Weavile</v>
      </c>
      <c r="C469" s="374"/>
      <c r="D469" s="374"/>
      <c r="E469" s="374"/>
      <c r="F469" s="374"/>
      <c r="G469" s="374"/>
      <c r="H469" s="374"/>
      <c r="I469" s="374"/>
      <c r="J469" s="374"/>
      <c r="K469" s="374"/>
      <c r="L469" s="374"/>
      <c r="M469" s="374"/>
      <c r="N469" s="374"/>
      <c r="O469" s="374"/>
      <c r="P469" s="374"/>
      <c r="Q469" s="374"/>
      <c r="R469" s="374"/>
    </row>
    <row r="470" customFormat="false" ht="15.75" hidden="false" customHeight="false" outlineLevel="0" collapsed="false">
      <c r="A470" s="374" t="n">
        <v>535</v>
      </c>
      <c r="B470" s="374" t="str">
        <f aca="false" t="array" ref="B470:B470">INDEX('0.0.1 Pokémon Dex Data'!$E$3:$E1007,MATCH(A470,'0.0.1 Pokémon Dex Data'!$B$3:$B1007,0))</f>
        <v>Magnezone</v>
      </c>
      <c r="C470" s="374"/>
      <c r="D470" s="374"/>
      <c r="E470" s="374"/>
      <c r="F470" s="374"/>
      <c r="G470" s="374"/>
      <c r="H470" s="374"/>
      <c r="I470" s="374"/>
      <c r="J470" s="374"/>
      <c r="K470" s="374"/>
      <c r="L470" s="374"/>
      <c r="M470" s="374"/>
      <c r="N470" s="374"/>
      <c r="O470" s="374"/>
      <c r="P470" s="374"/>
      <c r="Q470" s="374"/>
      <c r="R470" s="374"/>
    </row>
    <row r="471" customFormat="false" ht="15.75" hidden="false" customHeight="false" outlineLevel="0" collapsed="false">
      <c r="A471" s="374" t="n">
        <v>536</v>
      </c>
      <c r="B471" s="374" t="str">
        <f aca="false" t="array" ref="B471:B471">INDEX('0.0.1 Pokémon Dex Data'!$E$3:$E1007,MATCH(A471,'0.0.1 Pokémon Dex Data'!$B$3:$B1007,0))</f>
        <v>Lickilicky</v>
      </c>
      <c r="C471" s="374"/>
      <c r="D471" s="374"/>
      <c r="E471" s="374"/>
      <c r="F471" s="374"/>
      <c r="G471" s="374"/>
      <c r="H471" s="374"/>
      <c r="I471" s="374"/>
      <c r="J471" s="374"/>
      <c r="K471" s="374"/>
      <c r="L471" s="374"/>
      <c r="M471" s="374"/>
      <c r="N471" s="374"/>
      <c r="O471" s="374"/>
      <c r="P471" s="374"/>
      <c r="Q471" s="374"/>
      <c r="R471" s="374"/>
    </row>
    <row r="472" customFormat="false" ht="15.75" hidden="false" customHeight="false" outlineLevel="0" collapsed="false">
      <c r="A472" s="374" t="n">
        <v>537</v>
      </c>
      <c r="B472" s="374" t="str">
        <f aca="false" t="array" ref="B472:B472">INDEX('0.0.1 Pokémon Dex Data'!$E$3:$E1007,MATCH(A472,'0.0.1 Pokémon Dex Data'!$B$3:$B1007,0))</f>
        <v>Rhyperior</v>
      </c>
      <c r="C472" s="374"/>
      <c r="D472" s="374"/>
      <c r="E472" s="374"/>
      <c r="F472" s="374"/>
      <c r="G472" s="374"/>
      <c r="H472" s="374"/>
      <c r="I472" s="374"/>
      <c r="J472" s="374"/>
      <c r="K472" s="374"/>
      <c r="L472" s="374"/>
      <c r="M472" s="374"/>
      <c r="N472" s="374"/>
      <c r="O472" s="374"/>
      <c r="P472" s="374"/>
      <c r="Q472" s="374"/>
      <c r="R472" s="374"/>
    </row>
    <row r="473" customFormat="false" ht="15.75" hidden="false" customHeight="false" outlineLevel="0" collapsed="false">
      <c r="A473" s="374" t="n">
        <v>538</v>
      </c>
      <c r="B473" s="374" t="str">
        <f aca="false" t="array" ref="B473:B473">INDEX('0.0.1 Pokémon Dex Data'!$E$3:$E1007,MATCH(A473,'0.0.1 Pokémon Dex Data'!$B$3:$B1007,0))</f>
        <v>Tangrowth</v>
      </c>
      <c r="C473" s="374"/>
      <c r="D473" s="374"/>
      <c r="E473" s="374"/>
      <c r="F473" s="374"/>
      <c r="G473" s="374"/>
      <c r="H473" s="374"/>
      <c r="I473" s="374"/>
      <c r="J473" s="374"/>
      <c r="K473" s="374"/>
      <c r="L473" s="374"/>
      <c r="M473" s="374"/>
      <c r="N473" s="374"/>
      <c r="O473" s="374"/>
      <c r="P473" s="374"/>
      <c r="Q473" s="374"/>
      <c r="R473" s="374"/>
    </row>
    <row r="474" customFormat="false" ht="15.75" hidden="false" customHeight="false" outlineLevel="0" collapsed="false">
      <c r="A474" s="374" t="n">
        <v>539</v>
      </c>
      <c r="B474" s="374" t="str">
        <f aca="false" t="array" ref="B474:B474">INDEX('0.0.1 Pokémon Dex Data'!$E$3:$E1007,MATCH(A474,'0.0.1 Pokémon Dex Data'!$B$3:$B1007,0))</f>
        <v>Electivire</v>
      </c>
      <c r="C474" s="374"/>
      <c r="D474" s="374"/>
      <c r="E474" s="374"/>
      <c r="F474" s="374"/>
      <c r="G474" s="374"/>
      <c r="H474" s="374"/>
      <c r="I474" s="374"/>
      <c r="J474" s="374"/>
      <c r="K474" s="374"/>
      <c r="L474" s="374"/>
      <c r="M474" s="374"/>
      <c r="N474" s="374"/>
      <c r="O474" s="374"/>
      <c r="P474" s="374"/>
      <c r="Q474" s="374"/>
      <c r="R474" s="374"/>
    </row>
    <row r="475" customFormat="false" ht="15.75" hidden="false" customHeight="false" outlineLevel="0" collapsed="false">
      <c r="A475" s="374" t="n">
        <v>540</v>
      </c>
      <c r="B475" s="374" t="str">
        <f aca="false" t="array" ref="B475:B475">INDEX('0.0.1 Pokémon Dex Data'!$E$3:$E1007,MATCH(A475,'0.0.1 Pokémon Dex Data'!$B$3:$B1007,0))</f>
        <v>Magmortar</v>
      </c>
      <c r="C475" s="374"/>
      <c r="D475" s="374"/>
      <c r="E475" s="374"/>
      <c r="F475" s="374"/>
      <c r="G475" s="374"/>
      <c r="H475" s="374"/>
      <c r="I475" s="374"/>
      <c r="J475" s="374"/>
      <c r="K475" s="374"/>
      <c r="L475" s="374"/>
      <c r="M475" s="374"/>
      <c r="N475" s="374"/>
      <c r="O475" s="374"/>
      <c r="P475" s="374"/>
      <c r="Q475" s="374"/>
      <c r="R475" s="374"/>
    </row>
    <row r="476" customFormat="false" ht="15.75" hidden="false" customHeight="false" outlineLevel="0" collapsed="false">
      <c r="A476" s="374" t="n">
        <v>541</v>
      </c>
      <c r="B476" s="374" t="str">
        <f aca="false" t="array" ref="B476:B476">INDEX('0.0.1 Pokémon Dex Data'!$E$3:$E1007,MATCH(A476,'0.0.1 Pokémon Dex Data'!$B$3:$B1007,0))</f>
        <v>Togekiss</v>
      </c>
      <c r="C476" s="374"/>
      <c r="D476" s="374"/>
      <c r="E476" s="374"/>
      <c r="F476" s="374"/>
      <c r="G476" s="374"/>
      <c r="H476" s="374"/>
      <c r="I476" s="374"/>
      <c r="J476" s="374"/>
      <c r="K476" s="374"/>
      <c r="L476" s="374"/>
      <c r="M476" s="374"/>
      <c r="N476" s="374"/>
      <c r="O476" s="374"/>
      <c r="P476" s="374"/>
      <c r="Q476" s="374"/>
      <c r="R476" s="374"/>
    </row>
    <row r="477" customFormat="false" ht="15.75" hidden="false" customHeight="false" outlineLevel="0" collapsed="false">
      <c r="A477" s="374" t="n">
        <v>542</v>
      </c>
      <c r="B477" s="374" t="str">
        <f aca="false" t="array" ref="B477:B477">INDEX('0.0.1 Pokémon Dex Data'!$E$3:$E1007,MATCH(A477,'0.0.1 Pokémon Dex Data'!$B$3:$B1007,0))</f>
        <v>Yanmega</v>
      </c>
      <c r="C477" s="374"/>
      <c r="D477" s="374"/>
      <c r="E477" s="374"/>
      <c r="F477" s="374"/>
      <c r="G477" s="374"/>
      <c r="H477" s="374"/>
      <c r="I477" s="374"/>
      <c r="J477" s="374"/>
      <c r="K477" s="374"/>
      <c r="L477" s="374"/>
      <c r="M477" s="374"/>
      <c r="N477" s="374"/>
      <c r="O477" s="374"/>
      <c r="P477" s="374"/>
      <c r="Q477" s="374"/>
      <c r="R477" s="374"/>
    </row>
    <row r="478" customFormat="false" ht="15.75" hidden="false" customHeight="false" outlineLevel="0" collapsed="false">
      <c r="A478" s="374" t="n">
        <v>543</v>
      </c>
      <c r="B478" s="374" t="str">
        <f aca="false" t="array" ref="B478:B478">INDEX('0.0.1 Pokémon Dex Data'!$E$3:$E1007,MATCH(A478,'0.0.1 Pokémon Dex Data'!$B$3:$B1007,0))</f>
        <v>Leafeon</v>
      </c>
      <c r="C478" s="374"/>
      <c r="D478" s="374"/>
      <c r="E478" s="374"/>
      <c r="F478" s="374"/>
      <c r="G478" s="374"/>
      <c r="H478" s="374"/>
      <c r="I478" s="374"/>
      <c r="J478" s="374"/>
      <c r="K478" s="374"/>
      <c r="L478" s="374"/>
      <c r="M478" s="374"/>
      <c r="N478" s="374"/>
      <c r="O478" s="374"/>
      <c r="P478" s="374"/>
      <c r="Q478" s="374"/>
      <c r="R478" s="374"/>
    </row>
    <row r="479" customFormat="false" ht="15.75" hidden="false" customHeight="false" outlineLevel="0" collapsed="false">
      <c r="A479" s="374" t="n">
        <v>544</v>
      </c>
      <c r="B479" s="374" t="str">
        <f aca="false" t="array" ref="B479:B479">INDEX('0.0.1 Pokémon Dex Data'!$E$3:$E1007,MATCH(A479,'0.0.1 Pokémon Dex Data'!$B$3:$B1007,0))</f>
        <v>Glaceon</v>
      </c>
      <c r="C479" s="374"/>
      <c r="D479" s="374"/>
      <c r="E479" s="374"/>
      <c r="F479" s="374"/>
      <c r="G479" s="374"/>
      <c r="H479" s="374"/>
      <c r="I479" s="374"/>
      <c r="J479" s="374"/>
      <c r="K479" s="374"/>
      <c r="L479" s="374"/>
      <c r="M479" s="374"/>
      <c r="N479" s="374"/>
      <c r="O479" s="374"/>
      <c r="P479" s="374"/>
      <c r="Q479" s="374"/>
      <c r="R479" s="374"/>
    </row>
    <row r="480" customFormat="false" ht="15.75" hidden="false" customHeight="false" outlineLevel="0" collapsed="false">
      <c r="A480" s="374" t="n">
        <v>545</v>
      </c>
      <c r="B480" s="374" t="str">
        <f aca="false" t="array" ref="B480:B480">INDEX('0.0.1 Pokémon Dex Data'!$E$3:$E1007,MATCH(A480,'0.0.1 Pokémon Dex Data'!$B$3:$B1007,0))</f>
        <v>Gliscor</v>
      </c>
      <c r="C480" s="374"/>
      <c r="D480" s="374"/>
      <c r="E480" s="374"/>
      <c r="F480" s="374"/>
      <c r="G480" s="374"/>
      <c r="H480" s="374"/>
      <c r="I480" s="374"/>
      <c r="J480" s="374"/>
      <c r="K480" s="374"/>
      <c r="L480" s="374"/>
      <c r="M480" s="374"/>
      <c r="N480" s="374"/>
      <c r="O480" s="374"/>
      <c r="P480" s="374"/>
      <c r="Q480" s="374"/>
      <c r="R480" s="374"/>
    </row>
    <row r="481" customFormat="false" ht="15.75" hidden="false" customHeight="false" outlineLevel="0" collapsed="false">
      <c r="A481" s="374" t="n">
        <v>546</v>
      </c>
      <c r="B481" s="374" t="str">
        <f aca="false" t="array" ref="B481:B481">INDEX('0.0.1 Pokémon Dex Data'!$E$3:$E1007,MATCH(A481,'0.0.1 Pokémon Dex Data'!$B$3:$B1007,0))</f>
        <v>Mamoswine</v>
      </c>
      <c r="C481" s="374"/>
      <c r="D481" s="374"/>
      <c r="E481" s="374"/>
      <c r="F481" s="374"/>
      <c r="G481" s="374"/>
      <c r="H481" s="374"/>
      <c r="I481" s="374"/>
      <c r="J481" s="374"/>
      <c r="K481" s="374"/>
      <c r="L481" s="374"/>
      <c r="M481" s="374"/>
      <c r="N481" s="374"/>
      <c r="O481" s="374"/>
      <c r="P481" s="374"/>
      <c r="Q481" s="374"/>
      <c r="R481" s="374"/>
    </row>
    <row r="482" customFormat="false" ht="15.75" hidden="false" customHeight="false" outlineLevel="0" collapsed="false">
      <c r="A482" s="374" t="n">
        <v>547</v>
      </c>
      <c r="B482" s="374" t="str">
        <f aca="false" t="array" ref="B482:B482">INDEX('0.0.1 Pokémon Dex Data'!$E$3:$E1007,MATCH(A482,'0.0.1 Pokémon Dex Data'!$B$3:$B1007,0))</f>
        <v>Porygon-Z</v>
      </c>
      <c r="C482" s="374"/>
      <c r="D482" s="374"/>
      <c r="E482" s="374"/>
      <c r="F482" s="374"/>
      <c r="G482" s="374"/>
      <c r="H482" s="374"/>
      <c r="I482" s="374"/>
      <c r="J482" s="374"/>
      <c r="K482" s="374"/>
      <c r="L482" s="374"/>
      <c r="M482" s="374"/>
      <c r="N482" s="374"/>
      <c r="O482" s="374"/>
      <c r="P482" s="374"/>
      <c r="Q482" s="374"/>
      <c r="R482" s="374"/>
    </row>
    <row r="483" customFormat="false" ht="15.75" hidden="false" customHeight="false" outlineLevel="0" collapsed="false">
      <c r="A483" s="374" t="n">
        <v>548</v>
      </c>
      <c r="B483" s="374" t="str">
        <f aca="false" t="array" ref="B483:B483">INDEX('0.0.1 Pokémon Dex Data'!$E$3:$E1007,MATCH(A483,'0.0.1 Pokémon Dex Data'!$B$3:$B1007,0))</f>
        <v>Gallade</v>
      </c>
      <c r="C483" s="374"/>
      <c r="D483" s="374"/>
      <c r="E483" s="374"/>
      <c r="F483" s="374"/>
      <c r="G483" s="374"/>
      <c r="H483" s="374"/>
      <c r="I483" s="374"/>
      <c r="J483" s="374"/>
      <c r="K483" s="374"/>
      <c r="L483" s="374"/>
      <c r="M483" s="374"/>
      <c r="N483" s="374"/>
      <c r="O483" s="374"/>
      <c r="P483" s="374"/>
      <c r="Q483" s="374"/>
      <c r="R483" s="374"/>
    </row>
    <row r="484" customFormat="false" ht="15.75" hidden="false" customHeight="false" outlineLevel="0" collapsed="false">
      <c r="A484" s="374" t="n">
        <v>550</v>
      </c>
      <c r="B484" s="374" t="str">
        <f aca="false" t="array" ref="B484:B484">INDEX('0.0.1 Pokémon Dex Data'!$E$3:$E1007,MATCH(A484,'0.0.1 Pokémon Dex Data'!$B$3:$B1007,0))</f>
        <v>Probopass</v>
      </c>
      <c r="C484" s="374"/>
      <c r="D484" s="374"/>
      <c r="E484" s="374"/>
      <c r="F484" s="374"/>
      <c r="G484" s="374"/>
      <c r="H484" s="374"/>
      <c r="I484" s="374"/>
      <c r="J484" s="374"/>
      <c r="K484" s="374"/>
      <c r="L484" s="374"/>
      <c r="M484" s="374"/>
      <c r="N484" s="374"/>
      <c r="O484" s="374"/>
      <c r="P484" s="374"/>
      <c r="Q484" s="374"/>
      <c r="R484" s="374"/>
    </row>
    <row r="485" customFormat="false" ht="15.75" hidden="false" customHeight="false" outlineLevel="0" collapsed="false">
      <c r="A485" s="374" t="n">
        <v>551</v>
      </c>
      <c r="B485" s="374" t="str">
        <f aca="false" t="array" ref="B485:B485">INDEX('0.0.1 Pokémon Dex Data'!$E$3:$E1007,MATCH(A485,'0.0.1 Pokémon Dex Data'!$B$3:$B1007,0))</f>
        <v>Dusknoir</v>
      </c>
      <c r="C485" s="374"/>
      <c r="D485" s="374"/>
      <c r="E485" s="374"/>
      <c r="F485" s="374"/>
      <c r="G485" s="374"/>
      <c r="H485" s="374"/>
      <c r="I485" s="374"/>
      <c r="J485" s="374"/>
      <c r="K485" s="374"/>
      <c r="L485" s="374"/>
      <c r="M485" s="374"/>
      <c r="N485" s="374"/>
      <c r="O485" s="374"/>
      <c r="P485" s="374"/>
      <c r="Q485" s="374"/>
      <c r="R485" s="374"/>
    </row>
    <row r="486" customFormat="false" ht="15.75" hidden="false" customHeight="false" outlineLevel="0" collapsed="false">
      <c r="A486" s="374" t="n">
        <v>552</v>
      </c>
      <c r="B486" s="374" t="str">
        <f aca="false" t="array" ref="B486:B486">INDEX('0.0.1 Pokémon Dex Data'!$E$3:$E1007,MATCH(A486,'0.0.1 Pokémon Dex Data'!$B$3:$B1007,0))</f>
        <v>Froslass</v>
      </c>
      <c r="C486" s="374"/>
      <c r="D486" s="374"/>
      <c r="E486" s="374"/>
      <c r="F486" s="374"/>
      <c r="G486" s="374"/>
      <c r="H486" s="374"/>
      <c r="I486" s="374"/>
      <c r="J486" s="374"/>
      <c r="K486" s="374"/>
      <c r="L486" s="374"/>
      <c r="M486" s="374"/>
      <c r="N486" s="374"/>
      <c r="O486" s="374"/>
      <c r="P486" s="374"/>
      <c r="Q486" s="374"/>
      <c r="R486" s="374"/>
    </row>
    <row r="487" customFormat="false" ht="15.75" hidden="false" customHeight="false" outlineLevel="0" collapsed="false">
      <c r="A487" s="374" t="n">
        <v>553</v>
      </c>
      <c r="B487" s="374" t="str">
        <f aca="false" t="array" ref="B487:B487">INDEX('0.0.1 Pokémon Dex Data'!$E$3:$E1007,MATCH(A487,'0.0.1 Pokémon Dex Data'!$B$3:$B1007,0))</f>
        <v>Rotom</v>
      </c>
      <c r="C487" s="374"/>
      <c r="D487" s="374"/>
      <c r="E487" s="374"/>
      <c r="F487" s="374"/>
      <c r="G487" s="374"/>
      <c r="H487" s="374"/>
      <c r="I487" s="374"/>
      <c r="J487" s="374"/>
      <c r="K487" s="374"/>
      <c r="L487" s="374"/>
      <c r="M487" s="374"/>
      <c r="N487" s="374"/>
      <c r="O487" s="374"/>
      <c r="P487" s="374"/>
      <c r="Q487" s="374"/>
      <c r="R487" s="374"/>
    </row>
    <row r="488" customFormat="false" ht="15.75" hidden="false" customHeight="false" outlineLevel="0" collapsed="false">
      <c r="A488" s="374" t="n">
        <v>559</v>
      </c>
      <c r="B488" s="374" t="str">
        <f aca="false" t="array" ref="B488:B488">INDEX('0.0.1 Pokémon Dex Data'!$E$3:$E1007,MATCH(A488,'0.0.1 Pokémon Dex Data'!$B$3:$B1007,0))</f>
        <v>Uxie</v>
      </c>
      <c r="C488" s="374"/>
      <c r="D488" s="374"/>
      <c r="E488" s="374"/>
      <c r="F488" s="374"/>
      <c r="G488" s="374"/>
      <c r="H488" s="374"/>
      <c r="I488" s="374"/>
      <c r="J488" s="374"/>
      <c r="K488" s="374"/>
      <c r="L488" s="374"/>
      <c r="M488" s="374"/>
      <c r="N488" s="374"/>
      <c r="O488" s="374"/>
      <c r="P488" s="374"/>
      <c r="Q488" s="374"/>
      <c r="R488" s="374"/>
    </row>
    <row r="489" customFormat="false" ht="15.75" hidden="false" customHeight="false" outlineLevel="0" collapsed="false">
      <c r="A489" s="374" t="n">
        <v>560</v>
      </c>
      <c r="B489" s="374" t="str">
        <f aca="false" t="array" ref="B489:B489">INDEX('0.0.1 Pokémon Dex Data'!$E$3:$E1007,MATCH(A489,'0.0.1 Pokémon Dex Data'!$B$3:$B1007,0))</f>
        <v>Mesprit</v>
      </c>
      <c r="C489" s="374"/>
      <c r="D489" s="374"/>
      <c r="E489" s="374"/>
      <c r="F489" s="374"/>
      <c r="G489" s="374"/>
      <c r="H489" s="374"/>
      <c r="I489" s="374"/>
      <c r="J489" s="374"/>
      <c r="K489" s="374"/>
      <c r="L489" s="374"/>
      <c r="M489" s="374"/>
      <c r="N489" s="374"/>
      <c r="O489" s="374"/>
      <c r="P489" s="374"/>
      <c r="Q489" s="374"/>
      <c r="R489" s="374"/>
    </row>
    <row r="490" customFormat="false" ht="15.75" hidden="false" customHeight="false" outlineLevel="0" collapsed="false">
      <c r="A490" s="374" t="n">
        <v>561</v>
      </c>
      <c r="B490" s="374" t="str">
        <f aca="false" t="array" ref="B490:B490">INDEX('0.0.1 Pokémon Dex Data'!$E$3:$E1007,MATCH(A490,'0.0.1 Pokémon Dex Data'!$B$3:$B1007,0))</f>
        <v>Azelf</v>
      </c>
      <c r="C490" s="374"/>
      <c r="D490" s="374"/>
      <c r="E490" s="374"/>
      <c r="F490" s="374"/>
      <c r="G490" s="374"/>
      <c r="H490" s="374"/>
      <c r="I490" s="374"/>
      <c r="J490" s="374"/>
      <c r="K490" s="374"/>
      <c r="L490" s="374"/>
      <c r="M490" s="374"/>
      <c r="N490" s="374"/>
      <c r="O490" s="374"/>
      <c r="P490" s="374"/>
      <c r="Q490" s="374"/>
      <c r="R490" s="374"/>
    </row>
    <row r="491" customFormat="false" ht="15.75" hidden="false" customHeight="false" outlineLevel="0" collapsed="false">
      <c r="A491" s="374" t="n">
        <v>562</v>
      </c>
      <c r="B491" s="374" t="str">
        <f aca="false" t="array" ref="B491:B491">INDEX('0.0.1 Pokémon Dex Data'!$E$3:$E1007,MATCH(A491,'0.0.1 Pokémon Dex Data'!$B$3:$B1007,0))</f>
        <v>Dialga</v>
      </c>
      <c r="C491" s="374"/>
      <c r="D491" s="374"/>
      <c r="E491" s="374"/>
      <c r="F491" s="374"/>
      <c r="G491" s="374"/>
      <c r="H491" s="374"/>
      <c r="I491" s="374"/>
      <c r="J491" s="374"/>
      <c r="K491" s="374"/>
      <c r="L491" s="374"/>
      <c r="M491" s="374"/>
      <c r="N491" s="374"/>
      <c r="O491" s="374"/>
      <c r="P491" s="374"/>
      <c r="Q491" s="374"/>
      <c r="R491" s="374"/>
    </row>
    <row r="492" customFormat="false" ht="15.75" hidden="false" customHeight="false" outlineLevel="0" collapsed="false">
      <c r="A492" s="374" t="n">
        <v>563</v>
      </c>
      <c r="B492" s="374" t="str">
        <f aca="false" t="array" ref="B492:B492">INDEX('0.0.1 Pokémon Dex Data'!$E$3:$E1007,MATCH(A492,'0.0.1 Pokémon Dex Data'!$B$3:$B1007,0))</f>
        <v>Palkia</v>
      </c>
      <c r="C492" s="374"/>
      <c r="D492" s="374"/>
      <c r="E492" s="374"/>
      <c r="F492" s="374"/>
      <c r="G492" s="374"/>
      <c r="H492" s="374"/>
      <c r="I492" s="374"/>
      <c r="J492" s="374"/>
      <c r="K492" s="374"/>
      <c r="L492" s="374"/>
      <c r="M492" s="374"/>
      <c r="N492" s="374"/>
      <c r="O492" s="374"/>
      <c r="P492" s="374"/>
      <c r="Q492" s="374"/>
      <c r="R492" s="374"/>
    </row>
    <row r="493" customFormat="false" ht="15.75" hidden="false" customHeight="false" outlineLevel="0" collapsed="false">
      <c r="A493" s="374" t="n">
        <v>564</v>
      </c>
      <c r="B493" s="374" t="str">
        <f aca="false" t="array" ref="B493:B493">INDEX('0.0.1 Pokémon Dex Data'!$E$3:$E1007,MATCH(A493,'0.0.1 Pokémon Dex Data'!$B$3:$B1007,0))</f>
        <v>Heatran</v>
      </c>
      <c r="C493" s="374"/>
      <c r="D493" s="374"/>
      <c r="E493" s="374"/>
      <c r="F493" s="374"/>
      <c r="G493" s="374"/>
      <c r="H493" s="374"/>
      <c r="I493" s="374"/>
      <c r="J493" s="374"/>
      <c r="K493" s="374"/>
      <c r="L493" s="374"/>
      <c r="M493" s="374"/>
      <c r="N493" s="374"/>
      <c r="O493" s="374"/>
      <c r="P493" s="374"/>
      <c r="Q493" s="374"/>
      <c r="R493" s="374"/>
    </row>
    <row r="494" customFormat="false" ht="15.75" hidden="false" customHeight="false" outlineLevel="0" collapsed="false">
      <c r="A494" s="374" t="n">
        <v>565</v>
      </c>
      <c r="B494" s="374" t="str">
        <f aca="false" t="array" ref="B494:B494">INDEX('0.0.1 Pokémon Dex Data'!$E$3:$E1007,MATCH(A494,'0.0.1 Pokémon Dex Data'!$B$3:$B1007,0))</f>
        <v>Regigigas</v>
      </c>
      <c r="C494" s="374"/>
      <c r="D494" s="374"/>
      <c r="E494" s="374"/>
      <c r="F494" s="374"/>
      <c r="G494" s="374"/>
      <c r="H494" s="374"/>
      <c r="I494" s="374"/>
      <c r="J494" s="374"/>
      <c r="K494" s="374"/>
      <c r="L494" s="374"/>
      <c r="M494" s="374"/>
      <c r="N494" s="374"/>
      <c r="O494" s="374"/>
      <c r="P494" s="374"/>
      <c r="Q494" s="374"/>
      <c r="R494" s="374"/>
    </row>
    <row r="495" customFormat="false" ht="15.75" hidden="false" customHeight="false" outlineLevel="0" collapsed="false">
      <c r="A495" s="374" t="n">
        <v>566</v>
      </c>
      <c r="B495" s="374" t="str">
        <f aca="false" t="array" ref="B495:B495">INDEX('0.0.1 Pokémon Dex Data'!$E$3:$E1007,MATCH(A495,'0.0.1 Pokémon Dex Data'!$B$3:$B1007,0))</f>
        <v>Giratina</v>
      </c>
      <c r="C495" s="374"/>
      <c r="D495" s="374"/>
      <c r="E495" s="374"/>
      <c r="F495" s="374"/>
      <c r="G495" s="374"/>
      <c r="H495" s="374"/>
      <c r="I495" s="374"/>
      <c r="J495" s="374"/>
      <c r="K495" s="374"/>
      <c r="L495" s="374"/>
      <c r="M495" s="374"/>
      <c r="N495" s="374"/>
      <c r="O495" s="374"/>
      <c r="P495" s="374"/>
      <c r="Q495" s="374"/>
      <c r="R495" s="374"/>
    </row>
    <row r="496" customFormat="false" ht="15.75" hidden="false" customHeight="false" outlineLevel="0" collapsed="false">
      <c r="A496" s="374" t="n">
        <v>568</v>
      </c>
      <c r="B496" s="374" t="str">
        <f aca="false" t="array" ref="B496:B496">INDEX('0.0.1 Pokémon Dex Data'!$E$3:$E1007,MATCH(A496,'0.0.1 Pokémon Dex Data'!$B$3:$B1007,0))</f>
        <v>Cresselia</v>
      </c>
      <c r="C496" s="374"/>
      <c r="D496" s="374"/>
      <c r="E496" s="374"/>
      <c r="F496" s="374"/>
      <c r="G496" s="374"/>
      <c r="H496" s="374"/>
      <c r="I496" s="374"/>
      <c r="J496" s="374"/>
      <c r="K496" s="374"/>
      <c r="L496" s="374"/>
      <c r="M496" s="374"/>
      <c r="N496" s="374"/>
      <c r="O496" s="374"/>
      <c r="P496" s="374"/>
      <c r="Q496" s="374"/>
      <c r="R496" s="374"/>
    </row>
    <row r="497" customFormat="false" ht="15.75" hidden="false" customHeight="false" outlineLevel="0" collapsed="false">
      <c r="A497" s="374" t="n">
        <v>569</v>
      </c>
      <c r="B497" s="374" t="str">
        <f aca="false" t="array" ref="B497:B497">INDEX('0.0.1 Pokémon Dex Data'!$E$3:$E1007,MATCH(A497,'0.0.1 Pokémon Dex Data'!$B$3:$B1007,0))</f>
        <v>Phione</v>
      </c>
      <c r="C497" s="374"/>
      <c r="D497" s="374"/>
      <c r="E497" s="374"/>
      <c r="F497" s="374"/>
      <c r="G497" s="374"/>
      <c r="H497" s="374"/>
      <c r="I497" s="374"/>
      <c r="J497" s="374"/>
      <c r="K497" s="374"/>
      <c r="L497" s="374"/>
      <c r="M497" s="374"/>
      <c r="N497" s="374"/>
      <c r="O497" s="374"/>
      <c r="P497" s="374"/>
      <c r="Q497" s="374"/>
      <c r="R497" s="374"/>
    </row>
    <row r="498" customFormat="false" ht="15.75" hidden="false" customHeight="false" outlineLevel="0" collapsed="false">
      <c r="A498" s="374" t="n">
        <v>570</v>
      </c>
      <c r="B498" s="374" t="str">
        <f aca="false" t="array" ref="B498:B498">INDEX('0.0.1 Pokémon Dex Data'!$E$3:$E1007,MATCH(A498,'0.0.1 Pokémon Dex Data'!$B$3:$B1007,0))</f>
        <v>Manaphy</v>
      </c>
      <c r="C498" s="374"/>
      <c r="D498" s="374"/>
      <c r="E498" s="374"/>
      <c r="F498" s="374"/>
      <c r="G498" s="374"/>
      <c r="H498" s="374"/>
      <c r="I498" s="374"/>
      <c r="J498" s="374"/>
      <c r="K498" s="374"/>
      <c r="L498" s="374"/>
      <c r="M498" s="374"/>
      <c r="N498" s="374"/>
      <c r="O498" s="374"/>
      <c r="P498" s="374"/>
      <c r="Q498" s="374"/>
      <c r="R498" s="374"/>
    </row>
    <row r="499" customFormat="false" ht="15.75" hidden="false" customHeight="false" outlineLevel="0" collapsed="false">
      <c r="A499" s="374" t="n">
        <v>571</v>
      </c>
      <c r="B499" s="374" t="str">
        <f aca="false" t="array" ref="B499:B499">INDEX('0.0.1 Pokémon Dex Data'!$E$3:$E1007,MATCH(A499,'0.0.1 Pokémon Dex Data'!$B$3:$B1007,0))</f>
        <v>Darkrai</v>
      </c>
      <c r="C499" s="374"/>
      <c r="D499" s="374"/>
      <c r="E499" s="374"/>
      <c r="F499" s="374"/>
      <c r="G499" s="374"/>
      <c r="H499" s="374"/>
      <c r="I499" s="374"/>
      <c r="J499" s="374"/>
      <c r="K499" s="374"/>
      <c r="L499" s="374"/>
      <c r="M499" s="374"/>
      <c r="N499" s="374"/>
      <c r="O499" s="374"/>
      <c r="P499" s="374"/>
      <c r="Q499" s="374"/>
      <c r="R499" s="374"/>
    </row>
    <row r="500" customFormat="false" ht="15.75" hidden="false" customHeight="false" outlineLevel="0" collapsed="false">
      <c r="A500" s="374" t="n">
        <v>572</v>
      </c>
      <c r="B500" s="374" t="str">
        <f aca="false" t="array" ref="B500:B500">INDEX('0.0.1 Pokémon Dex Data'!$E$3:$E1007,MATCH(A500,'0.0.1 Pokémon Dex Data'!$B$3:$B1007,0))</f>
        <v>Shaymin</v>
      </c>
      <c r="C500" s="374"/>
      <c r="D500" s="374"/>
      <c r="E500" s="374"/>
      <c r="F500" s="374"/>
      <c r="G500" s="374"/>
      <c r="H500" s="374"/>
      <c r="I500" s="374"/>
      <c r="J500" s="374"/>
      <c r="K500" s="374"/>
      <c r="L500" s="374"/>
      <c r="M500" s="374"/>
      <c r="N500" s="374"/>
      <c r="O500" s="374"/>
      <c r="P500" s="374"/>
      <c r="Q500" s="374"/>
      <c r="R500" s="374"/>
    </row>
    <row r="501" customFormat="false" ht="15.75" hidden="false" customHeight="false" outlineLevel="0" collapsed="false">
      <c r="A501" s="374" t="n">
        <v>574</v>
      </c>
      <c r="B501" s="374" t="str">
        <f aca="false" t="array" ref="B501:B501">INDEX('0.0.1 Pokémon Dex Data'!$E$3:$E1007,MATCH(A501,'0.0.1 Pokémon Dex Data'!$B$3:$B1007,0))</f>
        <v>Arceus-Normal</v>
      </c>
      <c r="C501" s="374"/>
      <c r="D501" s="374"/>
      <c r="E501" s="374"/>
      <c r="F501" s="374"/>
      <c r="G501" s="374"/>
      <c r="H501" s="374"/>
      <c r="I501" s="374"/>
      <c r="J501" s="374"/>
      <c r="K501" s="374"/>
      <c r="L501" s="374"/>
      <c r="M501" s="374"/>
      <c r="N501" s="374"/>
      <c r="O501" s="374"/>
      <c r="P501" s="374"/>
      <c r="Q501" s="374"/>
      <c r="R501" s="374"/>
    </row>
    <row r="502" customFormat="false" ht="15.75" hidden="false" customHeight="false" outlineLevel="0" collapsed="false">
      <c r="A502" s="374" t="n">
        <v>592</v>
      </c>
      <c r="B502" s="374" t="str">
        <f aca="false" t="array" ref="B502:B502">INDEX('0.0.1 Pokémon Dex Data'!$E$3:$E1007,MATCH(A502,'0.0.1 Pokémon Dex Data'!$B$3:$B1007,0))</f>
        <v>Victini</v>
      </c>
      <c r="C502" s="374"/>
      <c r="D502" s="374"/>
      <c r="E502" s="374"/>
      <c r="F502" s="374"/>
      <c r="G502" s="374"/>
      <c r="H502" s="374"/>
      <c r="I502" s="374"/>
      <c r="J502" s="374"/>
      <c r="K502" s="374"/>
      <c r="L502" s="374"/>
      <c r="M502" s="374"/>
      <c r="N502" s="374"/>
      <c r="O502" s="374"/>
      <c r="P502" s="374"/>
      <c r="Q502" s="374"/>
      <c r="R502" s="374"/>
    </row>
    <row r="503" customFormat="false" ht="15.75" hidden="false" customHeight="false" outlineLevel="0" collapsed="false">
      <c r="A503" s="374" t="n">
        <v>593</v>
      </c>
      <c r="B503" s="374" t="str">
        <f aca="false" t="array" ref="B503:B503">INDEX('0.0.1 Pokémon Dex Data'!$E$3:$E1007,MATCH(A503,'0.0.1 Pokémon Dex Data'!$B$3:$B1007,0))</f>
        <v>Snivy</v>
      </c>
      <c r="C503" s="374"/>
      <c r="D503" s="374"/>
      <c r="E503" s="374"/>
      <c r="F503" s="374"/>
      <c r="G503" s="374"/>
      <c r="H503" s="374"/>
      <c r="I503" s="374"/>
      <c r="J503" s="374"/>
      <c r="K503" s="374"/>
      <c r="L503" s="374"/>
      <c r="M503" s="374"/>
      <c r="N503" s="374"/>
      <c r="O503" s="374"/>
      <c r="P503" s="374"/>
      <c r="Q503" s="374"/>
      <c r="R503" s="374"/>
    </row>
    <row r="504" customFormat="false" ht="15.75" hidden="false" customHeight="false" outlineLevel="0" collapsed="false">
      <c r="A504" s="374" t="n">
        <v>594</v>
      </c>
      <c r="B504" s="374" t="str">
        <f aca="false" t="array" ref="B504:B504">INDEX('0.0.1 Pokémon Dex Data'!$E$3:$E1007,MATCH(A504,'0.0.1 Pokémon Dex Data'!$B$3:$B1007,0))</f>
        <v>Servine</v>
      </c>
      <c r="C504" s="374"/>
      <c r="D504" s="374"/>
      <c r="E504" s="374"/>
      <c r="F504" s="374"/>
      <c r="G504" s="374"/>
      <c r="H504" s="374"/>
      <c r="I504" s="374"/>
      <c r="J504" s="374"/>
      <c r="K504" s="374"/>
      <c r="L504" s="374"/>
      <c r="M504" s="374"/>
      <c r="N504" s="374"/>
      <c r="O504" s="374"/>
      <c r="P504" s="374"/>
      <c r="Q504" s="374"/>
      <c r="R504" s="374"/>
    </row>
    <row r="505" customFormat="false" ht="15.75" hidden="false" customHeight="false" outlineLevel="0" collapsed="false">
      <c r="A505" s="374" t="n">
        <v>595</v>
      </c>
      <c r="B505" s="374" t="str">
        <f aca="false" t="array" ref="B505:B505">INDEX('0.0.1 Pokémon Dex Data'!$E$3:$E1007,MATCH(A505,'0.0.1 Pokémon Dex Data'!$B$3:$B1007,0))</f>
        <v>Serperior</v>
      </c>
      <c r="C505" s="374"/>
      <c r="D505" s="374"/>
      <c r="E505" s="374"/>
      <c r="F505" s="374"/>
      <c r="G505" s="374"/>
      <c r="H505" s="374"/>
      <c r="I505" s="374"/>
      <c r="J505" s="374"/>
      <c r="K505" s="374"/>
      <c r="L505" s="374"/>
      <c r="M505" s="374"/>
      <c r="N505" s="374"/>
      <c r="O505" s="374"/>
      <c r="P505" s="374"/>
      <c r="Q505" s="374"/>
      <c r="R505" s="374"/>
    </row>
    <row r="506" customFormat="false" ht="15.75" hidden="false" customHeight="false" outlineLevel="0" collapsed="false">
      <c r="A506" s="374" t="n">
        <v>596</v>
      </c>
      <c r="B506" s="374" t="str">
        <f aca="false" t="array" ref="B506:B506">INDEX('0.0.1 Pokémon Dex Data'!$E$3:$E1007,MATCH(A506,'0.0.1 Pokémon Dex Data'!$B$3:$B1007,0))</f>
        <v>Tepig</v>
      </c>
      <c r="C506" s="374"/>
      <c r="D506" s="374"/>
      <c r="E506" s="374"/>
      <c r="F506" s="374"/>
      <c r="G506" s="374"/>
      <c r="H506" s="374"/>
      <c r="I506" s="374"/>
      <c r="J506" s="374"/>
      <c r="K506" s="374"/>
      <c r="L506" s="374"/>
      <c r="M506" s="374"/>
      <c r="N506" s="374"/>
      <c r="O506" s="374"/>
      <c r="P506" s="374"/>
      <c r="Q506" s="374"/>
      <c r="R506" s="374"/>
    </row>
    <row r="507" customFormat="false" ht="15.75" hidden="false" customHeight="false" outlineLevel="0" collapsed="false">
      <c r="A507" s="374" t="n">
        <v>597</v>
      </c>
      <c r="B507" s="374" t="str">
        <f aca="false" t="array" ref="B507:B507">INDEX('0.0.1 Pokémon Dex Data'!$E$3:$E1007,MATCH(A507,'0.0.1 Pokémon Dex Data'!$B$3:$B1007,0))</f>
        <v>Pignite</v>
      </c>
      <c r="C507" s="374"/>
      <c r="D507" s="374"/>
      <c r="E507" s="374"/>
      <c r="F507" s="374"/>
      <c r="G507" s="374"/>
      <c r="H507" s="374"/>
      <c r="I507" s="374"/>
      <c r="J507" s="374"/>
      <c r="K507" s="374"/>
      <c r="L507" s="374"/>
      <c r="M507" s="374"/>
      <c r="N507" s="374"/>
      <c r="O507" s="374"/>
      <c r="P507" s="374"/>
      <c r="Q507" s="374"/>
      <c r="R507" s="374"/>
    </row>
    <row r="508" customFormat="false" ht="15.75" hidden="false" customHeight="false" outlineLevel="0" collapsed="false">
      <c r="A508" s="374" t="n">
        <v>598</v>
      </c>
      <c r="B508" s="374" t="str">
        <f aca="false" t="array" ref="B508:B508">INDEX('0.0.1 Pokémon Dex Data'!$E$3:$E1007,MATCH(A508,'0.0.1 Pokémon Dex Data'!$B$3:$B1007,0))</f>
        <v>Emboar</v>
      </c>
      <c r="C508" s="374"/>
      <c r="D508" s="374"/>
      <c r="E508" s="374"/>
      <c r="F508" s="374"/>
      <c r="G508" s="374"/>
      <c r="H508" s="374"/>
      <c r="I508" s="374"/>
      <c r="J508" s="374"/>
      <c r="K508" s="374"/>
      <c r="L508" s="374"/>
      <c r="M508" s="374"/>
      <c r="N508" s="374"/>
      <c r="O508" s="374"/>
      <c r="P508" s="374"/>
      <c r="Q508" s="374"/>
      <c r="R508" s="374"/>
    </row>
    <row r="509" customFormat="false" ht="15.75" hidden="false" customHeight="false" outlineLevel="0" collapsed="false">
      <c r="A509" s="374" t="n">
        <v>599</v>
      </c>
      <c r="B509" s="374" t="str">
        <f aca="false" t="array" ref="B509:B509">INDEX('0.0.1 Pokémon Dex Data'!$E$3:$E1007,MATCH(A509,'0.0.1 Pokémon Dex Data'!$B$3:$B1007,0))</f>
        <v>Oshawott</v>
      </c>
      <c r="C509" s="374"/>
      <c r="D509" s="374"/>
      <c r="E509" s="374"/>
      <c r="F509" s="374"/>
      <c r="G509" s="374"/>
      <c r="H509" s="374"/>
      <c r="I509" s="374"/>
      <c r="J509" s="374"/>
      <c r="K509" s="374"/>
      <c r="L509" s="374"/>
      <c r="M509" s="374"/>
      <c r="N509" s="374"/>
      <c r="O509" s="374"/>
      <c r="P509" s="374"/>
      <c r="Q509" s="374"/>
      <c r="R509" s="374"/>
    </row>
    <row r="510" customFormat="false" ht="15.75" hidden="false" customHeight="false" outlineLevel="0" collapsed="false">
      <c r="A510" s="374" t="n">
        <v>600</v>
      </c>
      <c r="B510" s="374" t="str">
        <f aca="false" t="array" ref="B510:B510">INDEX('0.0.1 Pokémon Dex Data'!$E$3:$E1007,MATCH(A510,'0.0.1 Pokémon Dex Data'!$B$3:$B1007,0))</f>
        <v>Dewott</v>
      </c>
      <c r="C510" s="374"/>
      <c r="D510" s="374"/>
      <c r="E510" s="374"/>
      <c r="F510" s="374"/>
      <c r="G510" s="374"/>
      <c r="H510" s="374"/>
      <c r="I510" s="374"/>
      <c r="J510" s="374"/>
      <c r="K510" s="374"/>
      <c r="L510" s="374"/>
      <c r="M510" s="374"/>
      <c r="N510" s="374"/>
      <c r="O510" s="374"/>
      <c r="P510" s="374"/>
      <c r="Q510" s="374"/>
      <c r="R510" s="374"/>
    </row>
    <row r="511" customFormat="false" ht="15.75" hidden="false" customHeight="false" outlineLevel="0" collapsed="false">
      <c r="A511" s="374" t="n">
        <v>601</v>
      </c>
      <c r="B511" s="374" t="str">
        <f aca="false" t="array" ref="B511:B511">INDEX('0.0.1 Pokémon Dex Data'!$E$3:$E1007,MATCH(A511,'0.0.1 Pokémon Dex Data'!$B$3:$B1007,0))</f>
        <v>Samurott</v>
      </c>
      <c r="C511" s="374"/>
      <c r="D511" s="374"/>
      <c r="E511" s="374"/>
      <c r="F511" s="374"/>
      <c r="G511" s="374"/>
      <c r="H511" s="374"/>
      <c r="I511" s="374"/>
      <c r="J511" s="374"/>
      <c r="K511" s="374"/>
      <c r="L511" s="374"/>
      <c r="M511" s="374"/>
      <c r="N511" s="374"/>
      <c r="O511" s="374"/>
      <c r="P511" s="374"/>
      <c r="Q511" s="374"/>
      <c r="R511" s="374"/>
    </row>
    <row r="512" customFormat="false" ht="15.75" hidden="false" customHeight="false" outlineLevel="0" collapsed="false">
      <c r="A512" s="374" t="n">
        <v>602</v>
      </c>
      <c r="B512" s="374" t="str">
        <f aca="false" t="array" ref="B512:B512">INDEX('0.0.1 Pokémon Dex Data'!$E$3:$E1007,MATCH(A512,'0.0.1 Pokémon Dex Data'!$B$3:$B1007,0))</f>
        <v>Patrat</v>
      </c>
      <c r="C512" s="374"/>
      <c r="D512" s="374"/>
      <c r="E512" s="374"/>
      <c r="F512" s="374"/>
      <c r="G512" s="374"/>
      <c r="H512" s="374"/>
      <c r="I512" s="374"/>
      <c r="J512" s="374"/>
      <c r="K512" s="374"/>
      <c r="L512" s="374"/>
      <c r="M512" s="374"/>
      <c r="N512" s="374"/>
      <c r="O512" s="374"/>
      <c r="P512" s="374"/>
      <c r="Q512" s="374"/>
      <c r="R512" s="374"/>
    </row>
    <row r="513" customFormat="false" ht="15.75" hidden="false" customHeight="false" outlineLevel="0" collapsed="false">
      <c r="A513" s="374" t="n">
        <v>603</v>
      </c>
      <c r="B513" s="374" t="str">
        <f aca="false" t="array" ref="B513:B513">INDEX('0.0.1 Pokémon Dex Data'!$E$3:$E1007,MATCH(A513,'0.0.1 Pokémon Dex Data'!$B$3:$B1007,0))</f>
        <v>Watchog</v>
      </c>
      <c r="C513" s="374"/>
      <c r="D513" s="374"/>
      <c r="E513" s="374"/>
      <c r="F513" s="374"/>
      <c r="G513" s="374"/>
      <c r="H513" s="374"/>
      <c r="I513" s="374"/>
      <c r="J513" s="374"/>
      <c r="K513" s="374"/>
      <c r="L513" s="374"/>
      <c r="M513" s="374"/>
      <c r="N513" s="374"/>
      <c r="O513" s="374"/>
      <c r="P513" s="374"/>
      <c r="Q513" s="374"/>
      <c r="R513" s="374"/>
    </row>
    <row r="514" customFormat="false" ht="15.75" hidden="false" customHeight="false" outlineLevel="0" collapsed="false">
      <c r="A514" s="374" t="n">
        <v>604</v>
      </c>
      <c r="B514" s="374" t="str">
        <f aca="false" t="array" ref="B514:B514">INDEX('0.0.1 Pokémon Dex Data'!$E$3:$E1007,MATCH(A514,'0.0.1 Pokémon Dex Data'!$B$3:$B1007,0))</f>
        <v>Lillipup</v>
      </c>
      <c r="C514" s="374"/>
      <c r="D514" s="374"/>
      <c r="E514" s="374"/>
      <c r="F514" s="374"/>
      <c r="G514" s="374"/>
      <c r="H514" s="374"/>
      <c r="I514" s="374"/>
      <c r="J514" s="374"/>
      <c r="K514" s="374"/>
      <c r="L514" s="374"/>
      <c r="M514" s="374"/>
      <c r="N514" s="374"/>
      <c r="O514" s="374"/>
      <c r="P514" s="374"/>
      <c r="Q514" s="374"/>
      <c r="R514" s="374"/>
    </row>
    <row r="515" customFormat="false" ht="15.75" hidden="false" customHeight="false" outlineLevel="0" collapsed="false">
      <c r="A515" s="374" t="n">
        <v>605</v>
      </c>
      <c r="B515" s="374" t="str">
        <f aca="false" t="array" ref="B515:B515">INDEX('0.0.1 Pokémon Dex Data'!$E$3:$E1007,MATCH(A515,'0.0.1 Pokémon Dex Data'!$B$3:$B1007,0))</f>
        <v>Herdier</v>
      </c>
      <c r="C515" s="374"/>
      <c r="D515" s="374"/>
      <c r="E515" s="374"/>
      <c r="F515" s="374"/>
      <c r="G515" s="374"/>
      <c r="H515" s="374"/>
      <c r="I515" s="374"/>
      <c r="J515" s="374"/>
      <c r="K515" s="374"/>
      <c r="L515" s="374"/>
      <c r="M515" s="374"/>
      <c r="N515" s="374"/>
      <c r="O515" s="374"/>
      <c r="P515" s="374"/>
      <c r="Q515" s="374"/>
      <c r="R515" s="374"/>
    </row>
    <row r="516" customFormat="false" ht="15.75" hidden="false" customHeight="false" outlineLevel="0" collapsed="false">
      <c r="A516" s="374" t="n">
        <v>606</v>
      </c>
      <c r="B516" s="374" t="str">
        <f aca="false" t="array" ref="B516:B516">INDEX('0.0.1 Pokémon Dex Data'!$E$3:$E1007,MATCH(A516,'0.0.1 Pokémon Dex Data'!$B$3:$B1007,0))</f>
        <v>Stoutland</v>
      </c>
      <c r="C516" s="374"/>
      <c r="D516" s="374"/>
      <c r="E516" s="374"/>
      <c r="F516" s="374"/>
      <c r="G516" s="374"/>
      <c r="H516" s="374"/>
      <c r="I516" s="374"/>
      <c r="J516" s="374"/>
      <c r="K516" s="374"/>
      <c r="L516" s="374"/>
      <c r="M516" s="374"/>
      <c r="N516" s="374"/>
      <c r="O516" s="374"/>
      <c r="P516" s="374"/>
      <c r="Q516" s="374"/>
      <c r="R516" s="374"/>
    </row>
    <row r="517" customFormat="false" ht="15.75" hidden="false" customHeight="false" outlineLevel="0" collapsed="false">
      <c r="A517" s="374" t="n">
        <v>607</v>
      </c>
      <c r="B517" s="374" t="str">
        <f aca="false" t="array" ref="B517:B517">INDEX('0.0.1 Pokémon Dex Data'!$E$3:$E1007,MATCH(A517,'0.0.1 Pokémon Dex Data'!$B$3:$B1007,0))</f>
        <v>Purrloin</v>
      </c>
      <c r="C517" s="374"/>
      <c r="D517" s="374"/>
      <c r="E517" s="374"/>
      <c r="F517" s="374"/>
      <c r="G517" s="374"/>
      <c r="H517" s="374"/>
      <c r="I517" s="374"/>
      <c r="J517" s="374"/>
      <c r="K517" s="374"/>
      <c r="L517" s="374"/>
      <c r="M517" s="374"/>
      <c r="N517" s="374"/>
      <c r="O517" s="374"/>
      <c r="P517" s="374"/>
      <c r="Q517" s="374"/>
      <c r="R517" s="374"/>
    </row>
    <row r="518" customFormat="false" ht="15.75" hidden="false" customHeight="false" outlineLevel="0" collapsed="false">
      <c r="A518" s="374" t="n">
        <v>608</v>
      </c>
      <c r="B518" s="374" t="str">
        <f aca="false" t="array" ref="B518:B518">INDEX('0.0.1 Pokémon Dex Data'!$E$3:$E1007,MATCH(A518,'0.0.1 Pokémon Dex Data'!$B$3:$B1007,0))</f>
        <v>Liepard</v>
      </c>
      <c r="C518" s="374"/>
      <c r="D518" s="374"/>
      <c r="E518" s="374"/>
      <c r="F518" s="374"/>
      <c r="G518" s="374"/>
      <c r="H518" s="374"/>
      <c r="I518" s="374"/>
      <c r="J518" s="374"/>
      <c r="K518" s="374"/>
      <c r="L518" s="374"/>
      <c r="M518" s="374"/>
      <c r="N518" s="374"/>
      <c r="O518" s="374"/>
      <c r="P518" s="374"/>
      <c r="Q518" s="374"/>
      <c r="R518" s="374"/>
    </row>
    <row r="519" customFormat="false" ht="15.75" hidden="false" customHeight="false" outlineLevel="0" collapsed="false">
      <c r="A519" s="374" t="n">
        <v>609</v>
      </c>
      <c r="B519" s="374" t="str">
        <f aca="false" t="array" ref="B519:B519">INDEX('0.0.1 Pokémon Dex Data'!$E$3:$E1007,MATCH(A519,'0.0.1 Pokémon Dex Data'!$B$3:$B1007,0))</f>
        <v>Pansage</v>
      </c>
      <c r="C519" s="374"/>
      <c r="D519" s="374"/>
      <c r="E519" s="374"/>
      <c r="F519" s="374"/>
      <c r="G519" s="374"/>
      <c r="H519" s="374"/>
      <c r="I519" s="374"/>
      <c r="J519" s="374"/>
      <c r="K519" s="374"/>
      <c r="L519" s="374"/>
      <c r="M519" s="374"/>
      <c r="N519" s="374"/>
      <c r="O519" s="374"/>
      <c r="P519" s="374"/>
      <c r="Q519" s="374"/>
      <c r="R519" s="374"/>
    </row>
    <row r="520" customFormat="false" ht="15.75" hidden="false" customHeight="false" outlineLevel="0" collapsed="false">
      <c r="A520" s="374" t="n">
        <v>610</v>
      </c>
      <c r="B520" s="374" t="str">
        <f aca="false" t="array" ref="B520:B520">INDEX('0.0.1 Pokémon Dex Data'!$E$3:$E1007,MATCH(A520,'0.0.1 Pokémon Dex Data'!$B$3:$B1007,0))</f>
        <v>Simisage</v>
      </c>
      <c r="C520" s="374"/>
      <c r="D520" s="374"/>
      <c r="E520" s="374"/>
      <c r="F520" s="374"/>
      <c r="G520" s="374"/>
      <c r="H520" s="374"/>
      <c r="I520" s="374"/>
      <c r="J520" s="374"/>
      <c r="K520" s="374"/>
      <c r="L520" s="374"/>
      <c r="M520" s="374"/>
      <c r="N520" s="374"/>
      <c r="O520" s="374"/>
      <c r="P520" s="374"/>
      <c r="Q520" s="374"/>
      <c r="R520" s="374"/>
    </row>
    <row r="521" customFormat="false" ht="15.75" hidden="false" customHeight="false" outlineLevel="0" collapsed="false">
      <c r="A521" s="374" t="n">
        <v>611</v>
      </c>
      <c r="B521" s="374" t="str">
        <f aca="false" t="array" ref="B521:B521">INDEX('0.0.1 Pokémon Dex Data'!$E$3:$E1007,MATCH(A521,'0.0.1 Pokémon Dex Data'!$B$3:$B1007,0))</f>
        <v>Pansear</v>
      </c>
      <c r="C521" s="374"/>
      <c r="D521" s="374"/>
      <c r="E521" s="374"/>
      <c r="F521" s="374"/>
      <c r="G521" s="374"/>
      <c r="H521" s="374"/>
      <c r="I521" s="374"/>
      <c r="J521" s="374"/>
      <c r="K521" s="374"/>
      <c r="L521" s="374"/>
      <c r="M521" s="374"/>
      <c r="N521" s="374"/>
      <c r="O521" s="374"/>
      <c r="P521" s="374"/>
      <c r="Q521" s="374"/>
      <c r="R521" s="374"/>
    </row>
    <row r="522" customFormat="false" ht="15.75" hidden="false" customHeight="false" outlineLevel="0" collapsed="false">
      <c r="A522" s="374" t="n">
        <v>612</v>
      </c>
      <c r="B522" s="374" t="str">
        <f aca="false" t="array" ref="B522:B522">INDEX('0.0.1 Pokémon Dex Data'!$E$3:$E1007,MATCH(A522,'0.0.1 Pokémon Dex Data'!$B$3:$B1007,0))</f>
        <v>Simisear</v>
      </c>
      <c r="C522" s="374"/>
      <c r="D522" s="374"/>
      <c r="E522" s="374"/>
      <c r="F522" s="374"/>
      <c r="G522" s="374"/>
      <c r="H522" s="374"/>
      <c r="I522" s="374"/>
      <c r="J522" s="374"/>
      <c r="K522" s="374"/>
      <c r="L522" s="374"/>
      <c r="M522" s="374"/>
      <c r="N522" s="374"/>
      <c r="O522" s="374"/>
      <c r="P522" s="374"/>
      <c r="Q522" s="374"/>
      <c r="R522" s="374"/>
    </row>
    <row r="523" customFormat="false" ht="15.75" hidden="false" customHeight="false" outlineLevel="0" collapsed="false">
      <c r="A523" s="374" t="n">
        <v>613</v>
      </c>
      <c r="B523" s="374" t="str">
        <f aca="false" t="array" ref="B523:B523">INDEX('0.0.1 Pokémon Dex Data'!$E$3:$E1007,MATCH(A523,'0.0.1 Pokémon Dex Data'!$B$3:$B1007,0))</f>
        <v>Panpour</v>
      </c>
      <c r="C523" s="374"/>
      <c r="D523" s="374"/>
      <c r="E523" s="374"/>
      <c r="F523" s="374"/>
      <c r="G523" s="374"/>
      <c r="H523" s="374"/>
      <c r="I523" s="374"/>
      <c r="J523" s="374"/>
      <c r="K523" s="374"/>
      <c r="L523" s="374"/>
      <c r="M523" s="374"/>
      <c r="N523" s="374"/>
      <c r="O523" s="374"/>
      <c r="P523" s="374"/>
      <c r="Q523" s="374"/>
      <c r="R523" s="374"/>
    </row>
    <row r="524" customFormat="false" ht="15.75" hidden="false" customHeight="false" outlineLevel="0" collapsed="false">
      <c r="A524" s="374" t="n">
        <v>614</v>
      </c>
      <c r="B524" s="374" t="str">
        <f aca="false" t="array" ref="B524:B524">INDEX('0.0.1 Pokémon Dex Data'!$E$3:$E1007,MATCH(A524,'0.0.1 Pokémon Dex Data'!$B$3:$B1007,0))</f>
        <v>Simipour</v>
      </c>
      <c r="C524" s="374"/>
      <c r="D524" s="374"/>
      <c r="E524" s="374"/>
      <c r="F524" s="374"/>
      <c r="G524" s="374"/>
      <c r="H524" s="374"/>
      <c r="I524" s="374"/>
      <c r="J524" s="374"/>
      <c r="K524" s="374"/>
      <c r="L524" s="374"/>
      <c r="M524" s="374"/>
      <c r="N524" s="374"/>
      <c r="O524" s="374"/>
      <c r="P524" s="374"/>
      <c r="Q524" s="374"/>
      <c r="R524" s="374"/>
    </row>
    <row r="525" customFormat="false" ht="15.75" hidden="false" customHeight="false" outlineLevel="0" collapsed="false">
      <c r="A525" s="374" t="n">
        <v>615</v>
      </c>
      <c r="B525" s="374" t="str">
        <f aca="false" t="array" ref="B525:B525">INDEX('0.0.1 Pokémon Dex Data'!$E$3:$E1007,MATCH(A525,'0.0.1 Pokémon Dex Data'!$B$3:$B1007,0))</f>
        <v>Munna</v>
      </c>
      <c r="C525" s="374"/>
      <c r="D525" s="374"/>
      <c r="E525" s="374"/>
      <c r="F525" s="374"/>
      <c r="G525" s="374"/>
      <c r="H525" s="374"/>
      <c r="I525" s="374"/>
      <c r="J525" s="374"/>
      <c r="K525" s="374"/>
      <c r="L525" s="374"/>
      <c r="M525" s="374"/>
      <c r="N525" s="374"/>
      <c r="O525" s="374"/>
      <c r="P525" s="374"/>
      <c r="Q525" s="374"/>
      <c r="R525" s="374"/>
    </row>
    <row r="526" customFormat="false" ht="15.75" hidden="false" customHeight="false" outlineLevel="0" collapsed="false">
      <c r="A526" s="374" t="n">
        <v>616</v>
      </c>
      <c r="B526" s="374" t="str">
        <f aca="false" t="array" ref="B526:B526">INDEX('0.0.1 Pokémon Dex Data'!$E$3:$E1007,MATCH(A526,'0.0.1 Pokémon Dex Data'!$B$3:$B1007,0))</f>
        <v>Musharna</v>
      </c>
      <c r="C526" s="374"/>
      <c r="D526" s="374"/>
      <c r="E526" s="374"/>
      <c r="F526" s="374"/>
      <c r="G526" s="374"/>
      <c r="H526" s="374"/>
      <c r="I526" s="374"/>
      <c r="J526" s="374"/>
      <c r="K526" s="374"/>
      <c r="L526" s="374"/>
      <c r="M526" s="374"/>
      <c r="N526" s="374"/>
      <c r="O526" s="374"/>
      <c r="P526" s="374"/>
      <c r="Q526" s="374"/>
      <c r="R526" s="374"/>
    </row>
    <row r="527" customFormat="false" ht="15.75" hidden="false" customHeight="false" outlineLevel="0" collapsed="false">
      <c r="A527" s="374" t="n">
        <v>617</v>
      </c>
      <c r="B527" s="374" t="str">
        <f aca="false" t="array" ref="B527:B527">INDEX('0.0.1 Pokémon Dex Data'!$E$3:$E1007,MATCH(A527,'0.0.1 Pokémon Dex Data'!$B$3:$B1007,0))</f>
        <v>Pidove</v>
      </c>
      <c r="C527" s="374"/>
      <c r="D527" s="374"/>
      <c r="E527" s="374"/>
      <c r="F527" s="374"/>
      <c r="G527" s="374"/>
      <c r="H527" s="374"/>
      <c r="I527" s="374"/>
      <c r="J527" s="374"/>
      <c r="K527" s="374"/>
      <c r="L527" s="374"/>
      <c r="M527" s="374"/>
      <c r="N527" s="374"/>
      <c r="O527" s="374"/>
      <c r="P527" s="374"/>
      <c r="Q527" s="374"/>
      <c r="R527" s="374"/>
    </row>
    <row r="528" customFormat="false" ht="15.75" hidden="false" customHeight="false" outlineLevel="0" collapsed="false">
      <c r="A528" s="374" t="n">
        <v>618</v>
      </c>
      <c r="B528" s="374" t="str">
        <f aca="false" t="array" ref="B528:B528">INDEX('0.0.1 Pokémon Dex Data'!$E$3:$E1007,MATCH(A528,'0.0.1 Pokémon Dex Data'!$B$3:$B1007,0))</f>
        <v>Tranquill</v>
      </c>
      <c r="C528" s="374"/>
      <c r="D528" s="374"/>
      <c r="E528" s="374"/>
      <c r="F528" s="374"/>
      <c r="G528" s="374"/>
      <c r="H528" s="374"/>
      <c r="I528" s="374"/>
      <c r="J528" s="374"/>
      <c r="K528" s="374"/>
      <c r="L528" s="374"/>
      <c r="M528" s="374"/>
      <c r="N528" s="374"/>
      <c r="O528" s="374"/>
      <c r="P528" s="374"/>
      <c r="Q528" s="374"/>
      <c r="R528" s="374"/>
    </row>
    <row r="529" customFormat="false" ht="15.75" hidden="false" customHeight="false" outlineLevel="0" collapsed="false">
      <c r="A529" s="374" t="n">
        <v>619</v>
      </c>
      <c r="B529" s="374" t="str">
        <f aca="false" t="array" ref="B529:B529">INDEX('0.0.1 Pokémon Dex Data'!$E$3:$E1007,MATCH(A529,'0.0.1 Pokémon Dex Data'!$B$3:$B1007,0))</f>
        <v>Unfezant</v>
      </c>
      <c r="C529" s="374"/>
      <c r="D529" s="374"/>
      <c r="E529" s="374"/>
      <c r="F529" s="374"/>
      <c r="G529" s="374"/>
      <c r="H529" s="374"/>
      <c r="I529" s="374"/>
      <c r="J529" s="374"/>
      <c r="K529" s="374"/>
      <c r="L529" s="374"/>
      <c r="M529" s="374"/>
      <c r="N529" s="374"/>
      <c r="O529" s="374"/>
      <c r="P529" s="374"/>
      <c r="Q529" s="374"/>
      <c r="R529" s="374"/>
    </row>
    <row r="530" customFormat="false" ht="15.75" hidden="false" customHeight="false" outlineLevel="0" collapsed="false">
      <c r="A530" s="374" t="n">
        <v>620</v>
      </c>
      <c r="B530" s="374" t="str">
        <f aca="false" t="array" ref="B530:B530">INDEX('0.0.1 Pokémon Dex Data'!$E$3:$E1007,MATCH(A530,'0.0.1 Pokémon Dex Data'!$B$3:$B1007,0))</f>
        <v>Blitzle</v>
      </c>
      <c r="C530" s="374"/>
      <c r="D530" s="374"/>
      <c r="E530" s="374"/>
      <c r="F530" s="374"/>
      <c r="G530" s="374"/>
      <c r="H530" s="374"/>
      <c r="I530" s="374"/>
      <c r="J530" s="374"/>
      <c r="K530" s="374"/>
      <c r="L530" s="374"/>
      <c r="M530" s="374"/>
      <c r="N530" s="374"/>
      <c r="O530" s="374"/>
      <c r="P530" s="374"/>
      <c r="Q530" s="374"/>
      <c r="R530" s="374"/>
    </row>
    <row r="531" customFormat="false" ht="15.75" hidden="false" customHeight="false" outlineLevel="0" collapsed="false">
      <c r="A531" s="374" t="n">
        <v>621</v>
      </c>
      <c r="B531" s="374" t="str">
        <f aca="false" t="array" ref="B531:B531">INDEX('0.0.1 Pokémon Dex Data'!$E$3:$E1007,MATCH(A531,'0.0.1 Pokémon Dex Data'!$B$3:$B1007,0))</f>
        <v>Zebstrika</v>
      </c>
      <c r="C531" s="374"/>
      <c r="D531" s="374"/>
      <c r="E531" s="374"/>
      <c r="F531" s="374"/>
      <c r="G531" s="374"/>
      <c r="H531" s="374"/>
      <c r="I531" s="374"/>
      <c r="J531" s="374"/>
      <c r="K531" s="374"/>
      <c r="L531" s="374"/>
      <c r="M531" s="374"/>
      <c r="N531" s="374"/>
      <c r="O531" s="374"/>
      <c r="P531" s="374"/>
      <c r="Q531" s="374"/>
      <c r="R531" s="374"/>
    </row>
    <row r="532" customFormat="false" ht="15.75" hidden="false" customHeight="false" outlineLevel="0" collapsed="false">
      <c r="A532" s="374" t="n">
        <v>622</v>
      </c>
      <c r="B532" s="374" t="str">
        <f aca="false" t="array" ref="B532:B532">INDEX('0.0.1 Pokémon Dex Data'!$E$3:$E1007,MATCH(A532,'0.0.1 Pokémon Dex Data'!$B$3:$B1007,0))</f>
        <v>Roggenrola</v>
      </c>
      <c r="C532" s="374"/>
      <c r="D532" s="374"/>
      <c r="E532" s="374"/>
      <c r="F532" s="374"/>
      <c r="G532" s="374"/>
      <c r="H532" s="374"/>
      <c r="I532" s="374"/>
      <c r="J532" s="374"/>
      <c r="K532" s="374"/>
      <c r="L532" s="374"/>
      <c r="M532" s="374"/>
      <c r="N532" s="374"/>
      <c r="O532" s="374"/>
      <c r="P532" s="374"/>
      <c r="Q532" s="374"/>
      <c r="R532" s="374"/>
    </row>
    <row r="533" customFormat="false" ht="15.75" hidden="false" customHeight="false" outlineLevel="0" collapsed="false">
      <c r="A533" s="374" t="n">
        <v>623</v>
      </c>
      <c r="B533" s="374" t="str">
        <f aca="false" t="array" ref="B533:B533">INDEX('0.0.1 Pokémon Dex Data'!$E$3:$E1007,MATCH(A533,'0.0.1 Pokémon Dex Data'!$B$3:$B1007,0))</f>
        <v>Boldore</v>
      </c>
      <c r="C533" s="374"/>
      <c r="D533" s="374"/>
      <c r="E533" s="374"/>
      <c r="F533" s="374"/>
      <c r="G533" s="374"/>
      <c r="H533" s="374"/>
      <c r="I533" s="374"/>
      <c r="J533" s="374"/>
      <c r="K533" s="374"/>
      <c r="L533" s="374"/>
      <c r="M533" s="374"/>
      <c r="N533" s="374"/>
      <c r="O533" s="374"/>
      <c r="P533" s="374"/>
      <c r="Q533" s="374"/>
      <c r="R533" s="374"/>
    </row>
    <row r="534" customFormat="false" ht="15.75" hidden="false" customHeight="false" outlineLevel="0" collapsed="false">
      <c r="A534" s="374" t="n">
        <v>624</v>
      </c>
      <c r="B534" s="374" t="str">
        <f aca="false" t="array" ref="B534:B534">INDEX('0.0.1 Pokémon Dex Data'!$E$3:$E1007,MATCH(A534,'0.0.1 Pokémon Dex Data'!$B$3:$B1007,0))</f>
        <v>Gigalith</v>
      </c>
      <c r="C534" s="374"/>
      <c r="D534" s="374"/>
      <c r="E534" s="374"/>
      <c r="F534" s="374"/>
      <c r="G534" s="374"/>
      <c r="H534" s="374"/>
      <c r="I534" s="374"/>
      <c r="J534" s="374"/>
      <c r="K534" s="374"/>
      <c r="L534" s="374"/>
      <c r="M534" s="374"/>
      <c r="N534" s="374"/>
      <c r="O534" s="374"/>
      <c r="P534" s="374"/>
      <c r="Q534" s="374"/>
      <c r="R534" s="374"/>
    </row>
    <row r="535" customFormat="false" ht="15.75" hidden="false" customHeight="false" outlineLevel="0" collapsed="false">
      <c r="A535" s="374" t="n">
        <v>625</v>
      </c>
      <c r="B535" s="374" t="str">
        <f aca="false" t="array" ref="B535:B535">INDEX('0.0.1 Pokémon Dex Data'!$E$3:$E1007,MATCH(A535,'0.0.1 Pokémon Dex Data'!$B$3:$B1007,0))</f>
        <v>Woobat</v>
      </c>
      <c r="C535" s="374"/>
      <c r="D535" s="374"/>
      <c r="E535" s="374"/>
      <c r="F535" s="374"/>
      <c r="G535" s="374"/>
      <c r="H535" s="374"/>
      <c r="I535" s="374"/>
      <c r="J535" s="374"/>
      <c r="K535" s="374"/>
      <c r="L535" s="374"/>
      <c r="M535" s="374"/>
      <c r="N535" s="374"/>
      <c r="O535" s="374"/>
      <c r="P535" s="374"/>
      <c r="Q535" s="374"/>
      <c r="R535" s="374"/>
    </row>
    <row r="536" customFormat="false" ht="15.75" hidden="false" customHeight="false" outlineLevel="0" collapsed="false">
      <c r="A536" s="374" t="n">
        <v>626</v>
      </c>
      <c r="B536" s="374" t="str">
        <f aca="false" t="array" ref="B536:B536">INDEX('0.0.1 Pokémon Dex Data'!$E$3:$E1007,MATCH(A536,'0.0.1 Pokémon Dex Data'!$B$3:$B1007,0))</f>
        <v>Swoobat</v>
      </c>
      <c r="C536" s="374"/>
      <c r="D536" s="374"/>
      <c r="E536" s="374"/>
      <c r="F536" s="374"/>
      <c r="G536" s="374"/>
      <c r="H536" s="374"/>
      <c r="I536" s="374"/>
      <c r="J536" s="374"/>
      <c r="K536" s="374"/>
      <c r="L536" s="374"/>
      <c r="M536" s="374"/>
      <c r="N536" s="374"/>
      <c r="O536" s="374"/>
      <c r="P536" s="374"/>
      <c r="Q536" s="374"/>
      <c r="R536" s="374"/>
    </row>
    <row r="537" customFormat="false" ht="15.75" hidden="false" customHeight="false" outlineLevel="0" collapsed="false">
      <c r="A537" s="374" t="n">
        <v>627</v>
      </c>
      <c r="B537" s="374" t="str">
        <f aca="false" t="array" ref="B537:B537">INDEX('0.0.1 Pokémon Dex Data'!$E$3:$E1007,MATCH(A537,'0.0.1 Pokémon Dex Data'!$B$3:$B1007,0))</f>
        <v>Drilbur</v>
      </c>
      <c r="C537" s="374"/>
      <c r="D537" s="374"/>
      <c r="E537" s="374"/>
      <c r="F537" s="374"/>
      <c r="G537" s="374"/>
      <c r="H537" s="374"/>
      <c r="I537" s="374"/>
      <c r="J537" s="374"/>
      <c r="K537" s="374"/>
      <c r="L537" s="374"/>
      <c r="M537" s="374"/>
      <c r="N537" s="374"/>
      <c r="O537" s="374"/>
      <c r="P537" s="374"/>
      <c r="Q537" s="374"/>
      <c r="R537" s="374"/>
    </row>
    <row r="538" customFormat="false" ht="15.75" hidden="false" customHeight="false" outlineLevel="0" collapsed="false">
      <c r="A538" s="374" t="n">
        <v>628</v>
      </c>
      <c r="B538" s="374" t="str">
        <f aca="false" t="array" ref="B538:B538">INDEX('0.0.1 Pokémon Dex Data'!$E$3:$E1007,MATCH(A538,'0.0.1 Pokémon Dex Data'!$B$3:$B1007,0))</f>
        <v>Excadrill</v>
      </c>
      <c r="C538" s="374"/>
      <c r="D538" s="374"/>
      <c r="E538" s="374"/>
      <c r="F538" s="374"/>
      <c r="G538" s="374"/>
      <c r="H538" s="374"/>
      <c r="I538" s="374"/>
      <c r="J538" s="374"/>
      <c r="K538" s="374"/>
      <c r="L538" s="374"/>
      <c r="M538" s="374"/>
      <c r="N538" s="374"/>
      <c r="O538" s="374"/>
      <c r="P538" s="374"/>
      <c r="Q538" s="374"/>
      <c r="R538" s="374"/>
    </row>
    <row r="539" customFormat="false" ht="15.75" hidden="false" customHeight="false" outlineLevel="0" collapsed="false">
      <c r="A539" s="374" t="n">
        <v>629</v>
      </c>
      <c r="B539" s="374" t="str">
        <f aca="false" t="array" ref="B539:B539">INDEX('0.0.1 Pokémon Dex Data'!$E$3:$E1007,MATCH(A539,'0.0.1 Pokémon Dex Data'!$B$3:$B1007,0))</f>
        <v>Audino</v>
      </c>
      <c r="C539" s="374"/>
      <c r="D539" s="374"/>
      <c r="E539" s="374"/>
      <c r="F539" s="374"/>
      <c r="G539" s="374"/>
      <c r="H539" s="374"/>
      <c r="I539" s="374"/>
      <c r="J539" s="374"/>
      <c r="K539" s="374"/>
      <c r="L539" s="374"/>
      <c r="M539" s="374"/>
      <c r="N539" s="374"/>
      <c r="O539" s="374"/>
      <c r="P539" s="374"/>
      <c r="Q539" s="374"/>
      <c r="R539" s="374"/>
    </row>
    <row r="540" customFormat="false" ht="15.75" hidden="false" customHeight="false" outlineLevel="0" collapsed="false">
      <c r="A540" s="374" t="n">
        <v>631</v>
      </c>
      <c r="B540" s="374" t="str">
        <f aca="false" t="array" ref="B540:B540">INDEX('0.0.1 Pokémon Dex Data'!$E$3:$E1007,MATCH(A540,'0.0.1 Pokémon Dex Data'!$B$3:$B1007,0))</f>
        <v>Timburr</v>
      </c>
      <c r="C540" s="374"/>
      <c r="D540" s="374"/>
      <c r="E540" s="374"/>
      <c r="F540" s="374"/>
      <c r="G540" s="374"/>
      <c r="H540" s="374"/>
      <c r="I540" s="374"/>
      <c r="J540" s="374"/>
      <c r="K540" s="374"/>
      <c r="L540" s="374"/>
      <c r="M540" s="374"/>
      <c r="N540" s="374"/>
      <c r="O540" s="374"/>
      <c r="P540" s="374"/>
      <c r="Q540" s="374"/>
      <c r="R540" s="374"/>
    </row>
    <row r="541" customFormat="false" ht="15.75" hidden="false" customHeight="false" outlineLevel="0" collapsed="false">
      <c r="A541" s="374" t="n">
        <v>632</v>
      </c>
      <c r="B541" s="374" t="str">
        <f aca="false" t="array" ref="B541:B541">INDEX('0.0.1 Pokémon Dex Data'!$E$3:$E1007,MATCH(A541,'0.0.1 Pokémon Dex Data'!$B$3:$B1007,0))</f>
        <v>Gurdurr</v>
      </c>
      <c r="C541" s="374"/>
      <c r="D541" s="374"/>
      <c r="E541" s="374"/>
      <c r="F541" s="374"/>
      <c r="G541" s="374"/>
      <c r="H541" s="374"/>
      <c r="I541" s="374"/>
      <c r="J541" s="374"/>
      <c r="K541" s="374"/>
      <c r="L541" s="374"/>
      <c r="M541" s="374"/>
      <c r="N541" s="374"/>
      <c r="O541" s="374"/>
      <c r="P541" s="374"/>
      <c r="Q541" s="374"/>
      <c r="R541" s="374"/>
    </row>
    <row r="542" customFormat="false" ht="15.75" hidden="false" customHeight="false" outlineLevel="0" collapsed="false">
      <c r="A542" s="374" t="n">
        <v>633</v>
      </c>
      <c r="B542" s="374" t="str">
        <f aca="false" t="array" ref="B542:B542">INDEX('0.0.1 Pokémon Dex Data'!$E$3:$E1007,MATCH(A542,'0.0.1 Pokémon Dex Data'!$B$3:$B1007,0))</f>
        <v>Conkeldurr</v>
      </c>
      <c r="C542" s="374"/>
      <c r="D542" s="374"/>
      <c r="E542" s="374"/>
      <c r="F542" s="374"/>
      <c r="G542" s="374"/>
      <c r="H542" s="374"/>
      <c r="I542" s="374"/>
      <c r="J542" s="374"/>
      <c r="K542" s="374"/>
      <c r="L542" s="374"/>
      <c r="M542" s="374"/>
      <c r="N542" s="374"/>
      <c r="O542" s="374"/>
      <c r="P542" s="374"/>
      <c r="Q542" s="374"/>
      <c r="R542" s="374"/>
    </row>
    <row r="543" customFormat="false" ht="15.75" hidden="false" customHeight="false" outlineLevel="0" collapsed="false">
      <c r="A543" s="374" t="n">
        <v>634</v>
      </c>
      <c r="B543" s="374" t="str">
        <f aca="false" t="array" ref="B543:B543">INDEX('0.0.1 Pokémon Dex Data'!$E$3:$E1007,MATCH(A543,'0.0.1 Pokémon Dex Data'!$B$3:$B1007,0))</f>
        <v>Tympole</v>
      </c>
      <c r="C543" s="374"/>
      <c r="D543" s="374"/>
      <c r="E543" s="374"/>
      <c r="F543" s="374"/>
      <c r="G543" s="374"/>
      <c r="H543" s="374"/>
      <c r="I543" s="374"/>
      <c r="J543" s="374"/>
      <c r="K543" s="374"/>
      <c r="L543" s="374"/>
      <c r="M543" s="374"/>
      <c r="N543" s="374"/>
      <c r="O543" s="374"/>
      <c r="P543" s="374"/>
      <c r="Q543" s="374"/>
      <c r="R543" s="374"/>
    </row>
    <row r="544" customFormat="false" ht="15.75" hidden="false" customHeight="false" outlineLevel="0" collapsed="false">
      <c r="A544" s="374" t="n">
        <v>635</v>
      </c>
      <c r="B544" s="374" t="str">
        <f aca="false" t="array" ref="B544:B544">INDEX('0.0.1 Pokémon Dex Data'!$E$3:$E1007,MATCH(A544,'0.0.1 Pokémon Dex Data'!$B$3:$B1007,0))</f>
        <v>Palpitoad</v>
      </c>
      <c r="C544" s="374"/>
      <c r="D544" s="374"/>
      <c r="E544" s="374"/>
      <c r="F544" s="374"/>
      <c r="G544" s="374"/>
      <c r="H544" s="374"/>
      <c r="I544" s="374"/>
      <c r="J544" s="374"/>
      <c r="K544" s="374"/>
      <c r="L544" s="374"/>
      <c r="M544" s="374"/>
      <c r="N544" s="374"/>
      <c r="O544" s="374"/>
      <c r="P544" s="374"/>
      <c r="Q544" s="374"/>
      <c r="R544" s="374"/>
    </row>
    <row r="545" customFormat="false" ht="15.75" hidden="false" customHeight="false" outlineLevel="0" collapsed="false">
      <c r="A545" s="374" t="n">
        <v>636</v>
      </c>
      <c r="B545" s="374" t="str">
        <f aca="false" t="array" ref="B545:B545">INDEX('0.0.1 Pokémon Dex Data'!$E$3:$E1007,MATCH(A545,'0.0.1 Pokémon Dex Data'!$B$3:$B1007,0))</f>
        <v>Seismitoad</v>
      </c>
      <c r="C545" s="374"/>
      <c r="D545" s="374"/>
      <c r="E545" s="374"/>
      <c r="F545" s="374"/>
      <c r="G545" s="374"/>
      <c r="H545" s="374"/>
      <c r="I545" s="374"/>
      <c r="J545" s="374"/>
      <c r="K545" s="374"/>
      <c r="L545" s="374"/>
      <c r="M545" s="374"/>
      <c r="N545" s="374"/>
      <c r="O545" s="374"/>
      <c r="P545" s="374"/>
      <c r="Q545" s="374"/>
      <c r="R545" s="374"/>
    </row>
    <row r="546" customFormat="false" ht="15.75" hidden="false" customHeight="false" outlineLevel="0" collapsed="false">
      <c r="A546" s="374" t="n">
        <v>637</v>
      </c>
      <c r="B546" s="374" t="str">
        <f aca="false" t="array" ref="B546:B546">INDEX('0.0.1 Pokémon Dex Data'!$E$3:$E1007,MATCH(A546,'0.0.1 Pokémon Dex Data'!$B$3:$B1007,0))</f>
        <v>Throh</v>
      </c>
      <c r="C546" s="374"/>
      <c r="D546" s="374"/>
      <c r="E546" s="374"/>
      <c r="F546" s="374"/>
      <c r="G546" s="374"/>
      <c r="H546" s="374"/>
      <c r="I546" s="374"/>
      <c r="J546" s="374"/>
      <c r="K546" s="374"/>
      <c r="L546" s="374"/>
      <c r="M546" s="374"/>
      <c r="N546" s="374"/>
      <c r="O546" s="374"/>
      <c r="P546" s="374"/>
      <c r="Q546" s="374"/>
      <c r="R546" s="374"/>
    </row>
    <row r="547" customFormat="false" ht="15.75" hidden="false" customHeight="false" outlineLevel="0" collapsed="false">
      <c r="A547" s="374" t="n">
        <v>638</v>
      </c>
      <c r="B547" s="374" t="str">
        <f aca="false" t="array" ref="B547:B547">INDEX('0.0.1 Pokémon Dex Data'!$E$3:$E1007,MATCH(A547,'0.0.1 Pokémon Dex Data'!$B$3:$B1007,0))</f>
        <v>Sawk</v>
      </c>
      <c r="C547" s="374"/>
      <c r="D547" s="374"/>
      <c r="E547" s="374"/>
      <c r="F547" s="374"/>
      <c r="G547" s="374"/>
      <c r="H547" s="374"/>
      <c r="I547" s="374"/>
      <c r="J547" s="374"/>
      <c r="K547" s="374"/>
      <c r="L547" s="374"/>
      <c r="M547" s="374"/>
      <c r="N547" s="374"/>
      <c r="O547" s="374"/>
      <c r="P547" s="374"/>
      <c r="Q547" s="374"/>
      <c r="R547" s="374"/>
    </row>
    <row r="548" customFormat="false" ht="15.75" hidden="false" customHeight="false" outlineLevel="0" collapsed="false">
      <c r="A548" s="374" t="n">
        <v>639</v>
      </c>
      <c r="B548" s="374" t="str">
        <f aca="false" t="array" ref="B548:B548">INDEX('0.0.1 Pokémon Dex Data'!$E$3:$E1007,MATCH(A548,'0.0.1 Pokémon Dex Data'!$B$3:$B1007,0))</f>
        <v>Sewaddle</v>
      </c>
      <c r="C548" s="374"/>
      <c r="D548" s="374"/>
      <c r="E548" s="374"/>
      <c r="F548" s="374"/>
      <c r="G548" s="374"/>
      <c r="H548" s="374"/>
      <c r="I548" s="374"/>
      <c r="J548" s="374"/>
      <c r="K548" s="374"/>
      <c r="L548" s="374"/>
      <c r="M548" s="374"/>
      <c r="N548" s="374"/>
      <c r="O548" s="374"/>
      <c r="P548" s="374"/>
      <c r="Q548" s="374"/>
      <c r="R548" s="374"/>
    </row>
    <row r="549" customFormat="false" ht="15.75" hidden="false" customHeight="false" outlineLevel="0" collapsed="false">
      <c r="A549" s="374" t="n">
        <v>640</v>
      </c>
      <c r="B549" s="374" t="str">
        <f aca="false" t="array" ref="B549:B549">INDEX('0.0.1 Pokémon Dex Data'!$E$3:$E1007,MATCH(A549,'0.0.1 Pokémon Dex Data'!$B$3:$B1007,0))</f>
        <v>Swadloon</v>
      </c>
      <c r="C549" s="374"/>
      <c r="D549" s="374"/>
      <c r="E549" s="374"/>
      <c r="F549" s="374"/>
      <c r="G549" s="374"/>
      <c r="H549" s="374"/>
      <c r="I549" s="374"/>
      <c r="J549" s="374"/>
      <c r="K549" s="374"/>
      <c r="L549" s="374"/>
      <c r="M549" s="374"/>
      <c r="N549" s="374"/>
      <c r="O549" s="374"/>
      <c r="P549" s="374"/>
      <c r="Q549" s="374"/>
      <c r="R549" s="374"/>
    </row>
    <row r="550" customFormat="false" ht="15.75" hidden="false" customHeight="false" outlineLevel="0" collapsed="false">
      <c r="A550" s="374" t="n">
        <v>641</v>
      </c>
      <c r="B550" s="374" t="str">
        <f aca="false" t="array" ref="B550:B550">INDEX('0.0.1 Pokémon Dex Data'!$E$3:$E1007,MATCH(A550,'0.0.1 Pokémon Dex Data'!$B$3:$B1007,0))</f>
        <v>Leavanny</v>
      </c>
      <c r="C550" s="374"/>
      <c r="D550" s="374"/>
      <c r="E550" s="374"/>
      <c r="F550" s="374"/>
      <c r="G550" s="374"/>
      <c r="H550" s="374"/>
      <c r="I550" s="374"/>
      <c r="J550" s="374"/>
      <c r="K550" s="374"/>
      <c r="L550" s="374"/>
      <c r="M550" s="374"/>
      <c r="N550" s="374"/>
      <c r="O550" s="374"/>
      <c r="P550" s="374"/>
      <c r="Q550" s="374"/>
      <c r="R550" s="374"/>
    </row>
    <row r="551" customFormat="false" ht="15.75" hidden="false" customHeight="false" outlineLevel="0" collapsed="false">
      <c r="A551" s="374" t="n">
        <v>642</v>
      </c>
      <c r="B551" s="374" t="str">
        <f aca="false" t="array" ref="B551:B551">INDEX('0.0.1 Pokémon Dex Data'!$E$3:$E1007,MATCH(A551,'0.0.1 Pokémon Dex Data'!$B$3:$B1007,0))</f>
        <v>Venipede</v>
      </c>
      <c r="C551" s="374"/>
      <c r="D551" s="374"/>
      <c r="E551" s="374"/>
      <c r="F551" s="374"/>
      <c r="G551" s="374"/>
      <c r="H551" s="374"/>
      <c r="I551" s="374"/>
      <c r="J551" s="374"/>
      <c r="K551" s="374"/>
      <c r="L551" s="374"/>
      <c r="M551" s="374"/>
      <c r="N551" s="374"/>
      <c r="O551" s="374"/>
      <c r="P551" s="374"/>
      <c r="Q551" s="374"/>
      <c r="R551" s="374"/>
    </row>
    <row r="552" customFormat="false" ht="15.75" hidden="false" customHeight="false" outlineLevel="0" collapsed="false">
      <c r="A552" s="374" t="n">
        <v>643</v>
      </c>
      <c r="B552" s="374" t="str">
        <f aca="false" t="array" ref="B552:B552">INDEX('0.0.1 Pokémon Dex Data'!$E$3:$E1007,MATCH(A552,'0.0.1 Pokémon Dex Data'!$B$3:$B1007,0))</f>
        <v>Whirlipede</v>
      </c>
      <c r="C552" s="374"/>
      <c r="D552" s="374"/>
      <c r="E552" s="374"/>
      <c r="F552" s="374"/>
      <c r="G552" s="374"/>
      <c r="H552" s="374"/>
      <c r="I552" s="374"/>
      <c r="J552" s="374"/>
      <c r="K552" s="374"/>
      <c r="L552" s="374"/>
      <c r="M552" s="374"/>
      <c r="N552" s="374"/>
      <c r="O552" s="374"/>
      <c r="P552" s="374"/>
      <c r="Q552" s="374"/>
      <c r="R552" s="374"/>
    </row>
    <row r="553" customFormat="false" ht="15.75" hidden="false" customHeight="false" outlineLevel="0" collapsed="false">
      <c r="A553" s="374" t="n">
        <v>644</v>
      </c>
      <c r="B553" s="374" t="str">
        <f aca="false" t="array" ref="B553:B553">INDEX('0.0.1 Pokémon Dex Data'!$E$3:$E1007,MATCH(A553,'0.0.1 Pokémon Dex Data'!$B$3:$B1007,0))</f>
        <v>Scolipede</v>
      </c>
      <c r="C553" s="374"/>
      <c r="D553" s="374"/>
      <c r="E553" s="374"/>
      <c r="F553" s="374"/>
      <c r="G553" s="374"/>
      <c r="H553" s="374"/>
      <c r="I553" s="374"/>
      <c r="J553" s="374"/>
      <c r="K553" s="374"/>
      <c r="L553" s="374"/>
      <c r="M553" s="374"/>
      <c r="N553" s="374"/>
      <c r="O553" s="374"/>
      <c r="P553" s="374"/>
      <c r="Q553" s="374"/>
      <c r="R553" s="374"/>
    </row>
    <row r="554" customFormat="false" ht="15.75" hidden="false" customHeight="false" outlineLevel="0" collapsed="false">
      <c r="A554" s="374" t="n">
        <v>645</v>
      </c>
      <c r="B554" s="374" t="str">
        <f aca="false" t="array" ref="B554:B554">INDEX('0.0.1 Pokémon Dex Data'!$E$3:$E1007,MATCH(A554,'0.0.1 Pokémon Dex Data'!$B$3:$B1007,0))</f>
        <v>Cottonee</v>
      </c>
      <c r="C554" s="374"/>
      <c r="D554" s="374"/>
      <c r="E554" s="374"/>
      <c r="F554" s="374"/>
      <c r="G554" s="374"/>
      <c r="H554" s="374"/>
      <c r="I554" s="374"/>
      <c r="J554" s="374"/>
      <c r="K554" s="374"/>
      <c r="L554" s="374"/>
      <c r="M554" s="374"/>
      <c r="N554" s="374"/>
      <c r="O554" s="374"/>
      <c r="P554" s="374"/>
      <c r="Q554" s="374"/>
      <c r="R554" s="374"/>
    </row>
    <row r="555" customFormat="false" ht="15.75" hidden="false" customHeight="false" outlineLevel="0" collapsed="false">
      <c r="A555" s="374" t="n">
        <v>646</v>
      </c>
      <c r="B555" s="374" t="str">
        <f aca="false" t="array" ref="B555:B555">INDEX('0.0.1 Pokémon Dex Data'!$E$3:$E1007,MATCH(A555,'0.0.1 Pokémon Dex Data'!$B$3:$B1007,0))</f>
        <v>Whimsicott</v>
      </c>
      <c r="C555" s="374"/>
      <c r="D555" s="374"/>
      <c r="E555" s="374"/>
      <c r="F555" s="374"/>
      <c r="G555" s="374"/>
      <c r="H555" s="374"/>
      <c r="I555" s="374"/>
      <c r="J555" s="374"/>
      <c r="K555" s="374"/>
      <c r="L555" s="374"/>
      <c r="M555" s="374"/>
      <c r="N555" s="374"/>
      <c r="O555" s="374"/>
      <c r="P555" s="374"/>
      <c r="Q555" s="374"/>
      <c r="R555" s="374"/>
    </row>
    <row r="556" customFormat="false" ht="15.75" hidden="false" customHeight="false" outlineLevel="0" collapsed="false">
      <c r="A556" s="374" t="n">
        <v>647</v>
      </c>
      <c r="B556" s="374" t="str">
        <f aca="false" t="array" ref="B556:B556">INDEX('0.0.1 Pokémon Dex Data'!$E$3:$E1007,MATCH(A556,'0.0.1 Pokémon Dex Data'!$B$3:$B1007,0))</f>
        <v>Petilil</v>
      </c>
      <c r="C556" s="374"/>
      <c r="D556" s="374"/>
      <c r="E556" s="374"/>
      <c r="F556" s="374"/>
      <c r="G556" s="374"/>
      <c r="H556" s="374"/>
      <c r="I556" s="374"/>
      <c r="J556" s="374"/>
      <c r="K556" s="374"/>
      <c r="L556" s="374"/>
      <c r="M556" s="374"/>
      <c r="N556" s="374"/>
      <c r="O556" s="374"/>
      <c r="P556" s="374"/>
      <c r="Q556" s="374"/>
      <c r="R556" s="374"/>
    </row>
    <row r="557" customFormat="false" ht="15.75" hidden="false" customHeight="false" outlineLevel="0" collapsed="false">
      <c r="A557" s="374" t="n">
        <v>648</v>
      </c>
      <c r="B557" s="374" t="str">
        <f aca="false" t="array" ref="B557:B557">INDEX('0.0.1 Pokémon Dex Data'!$E$3:$E1007,MATCH(A557,'0.0.1 Pokémon Dex Data'!$B$3:$B1007,0))</f>
        <v>Lilligant</v>
      </c>
      <c r="C557" s="374"/>
      <c r="D557" s="374"/>
      <c r="E557" s="374"/>
      <c r="F557" s="374"/>
      <c r="G557" s="374"/>
      <c r="H557" s="374"/>
      <c r="I557" s="374"/>
      <c r="J557" s="374"/>
      <c r="K557" s="374"/>
      <c r="L557" s="374"/>
      <c r="M557" s="374"/>
      <c r="N557" s="374"/>
      <c r="O557" s="374"/>
      <c r="P557" s="374"/>
      <c r="Q557" s="374"/>
      <c r="R557" s="374"/>
    </row>
    <row r="558" customFormat="false" ht="15.75" hidden="false" customHeight="false" outlineLevel="0" collapsed="false">
      <c r="A558" s="374" t="n">
        <v>649</v>
      </c>
      <c r="B558" s="374" t="str">
        <f aca="false" t="array" ref="B558:B558">INDEX('0.0.1 Pokémon Dex Data'!$E$3:$E1007,MATCH(A558,'0.0.1 Pokémon Dex Data'!$B$3:$B1007,0))</f>
        <v>Basculin</v>
      </c>
      <c r="C558" s="374"/>
      <c r="D558" s="374"/>
      <c r="E558" s="374"/>
      <c r="F558" s="374"/>
      <c r="G558" s="374"/>
      <c r="H558" s="374"/>
      <c r="I558" s="374"/>
      <c r="J558" s="374"/>
      <c r="K558" s="374"/>
      <c r="L558" s="374"/>
      <c r="M558" s="374"/>
      <c r="N558" s="374"/>
      <c r="O558" s="374"/>
      <c r="P558" s="374"/>
      <c r="Q558" s="374"/>
      <c r="R558" s="374"/>
    </row>
    <row r="559" customFormat="false" ht="15.75" hidden="false" customHeight="false" outlineLevel="0" collapsed="false">
      <c r="A559" s="374" t="n">
        <v>650</v>
      </c>
      <c r="B559" s="374" t="str">
        <f aca="false" t="array" ref="B559:B559">INDEX('0.0.1 Pokémon Dex Data'!$E$3:$E1007,MATCH(A559,'0.0.1 Pokémon Dex Data'!$B$3:$B1007,0))</f>
        <v>Sandile</v>
      </c>
      <c r="C559" s="374"/>
      <c r="D559" s="374"/>
      <c r="E559" s="374"/>
      <c r="F559" s="374"/>
      <c r="G559" s="374"/>
      <c r="H559" s="374"/>
      <c r="I559" s="374"/>
      <c r="J559" s="374"/>
      <c r="K559" s="374"/>
      <c r="L559" s="374"/>
      <c r="M559" s="374"/>
      <c r="N559" s="374"/>
      <c r="O559" s="374"/>
      <c r="P559" s="374"/>
      <c r="Q559" s="374"/>
      <c r="R559" s="374"/>
    </row>
    <row r="560" customFormat="false" ht="15.75" hidden="false" customHeight="false" outlineLevel="0" collapsed="false">
      <c r="A560" s="374" t="n">
        <v>651</v>
      </c>
      <c r="B560" s="374" t="str">
        <f aca="false" t="array" ref="B560:B560">INDEX('0.0.1 Pokémon Dex Data'!$E$3:$E1007,MATCH(A560,'0.0.1 Pokémon Dex Data'!$B$3:$B1007,0))</f>
        <v>Krokorok</v>
      </c>
      <c r="C560" s="374"/>
      <c r="D560" s="374"/>
      <c r="E560" s="374"/>
      <c r="F560" s="374"/>
      <c r="G560" s="374"/>
      <c r="H560" s="374"/>
      <c r="I560" s="374"/>
      <c r="J560" s="374"/>
      <c r="K560" s="374"/>
      <c r="L560" s="374"/>
      <c r="M560" s="374"/>
      <c r="N560" s="374"/>
      <c r="O560" s="374"/>
      <c r="P560" s="374"/>
      <c r="Q560" s="374"/>
      <c r="R560" s="374"/>
    </row>
    <row r="561" customFormat="false" ht="15.75" hidden="false" customHeight="false" outlineLevel="0" collapsed="false">
      <c r="A561" s="374" t="n">
        <v>652</v>
      </c>
      <c r="B561" s="374" t="str">
        <f aca="false" t="array" ref="B561:B561">INDEX('0.0.1 Pokémon Dex Data'!$E$3:$E1007,MATCH(A561,'0.0.1 Pokémon Dex Data'!$B$3:$B1007,0))</f>
        <v>Krookodile</v>
      </c>
      <c r="C561" s="374"/>
      <c r="D561" s="374"/>
      <c r="E561" s="374"/>
      <c r="F561" s="374"/>
      <c r="G561" s="374"/>
      <c r="H561" s="374"/>
      <c r="I561" s="374"/>
      <c r="J561" s="374"/>
      <c r="K561" s="374"/>
      <c r="L561" s="374"/>
      <c r="M561" s="374"/>
      <c r="N561" s="374"/>
      <c r="O561" s="374"/>
      <c r="P561" s="374"/>
      <c r="Q561" s="374"/>
      <c r="R561" s="374"/>
    </row>
    <row r="562" customFormat="false" ht="15.75" hidden="false" customHeight="false" outlineLevel="0" collapsed="false">
      <c r="A562" s="374" t="n">
        <v>653</v>
      </c>
      <c r="B562" s="374" t="str">
        <f aca="false" t="array" ref="B562:B562">INDEX('0.0.1 Pokémon Dex Data'!$E$3:$E1007,MATCH(A562,'0.0.1 Pokémon Dex Data'!$B$3:$B1007,0))</f>
        <v>Darumaka</v>
      </c>
      <c r="C562" s="374"/>
      <c r="D562" s="374"/>
      <c r="E562" s="374"/>
      <c r="F562" s="374"/>
      <c r="G562" s="374"/>
      <c r="H562" s="374"/>
      <c r="I562" s="374"/>
      <c r="J562" s="374"/>
      <c r="K562" s="374"/>
      <c r="L562" s="374"/>
      <c r="M562" s="374"/>
      <c r="N562" s="374"/>
      <c r="O562" s="374"/>
      <c r="P562" s="374"/>
      <c r="Q562" s="374"/>
      <c r="R562" s="374"/>
    </row>
    <row r="563" customFormat="false" ht="15.75" hidden="false" customHeight="false" outlineLevel="0" collapsed="false">
      <c r="A563" s="374" t="n">
        <v>654</v>
      </c>
      <c r="B563" s="374" t="str">
        <f aca="false" t="array" ref="B563:B563">INDEX('0.0.1 Pokémon Dex Data'!$E$3:$E1007,MATCH(A563,'0.0.1 Pokémon Dex Data'!$B$3:$B1007,0))</f>
        <v>Darmanitan</v>
      </c>
      <c r="C563" s="374"/>
      <c r="D563" s="374"/>
      <c r="E563" s="374"/>
      <c r="F563" s="374"/>
      <c r="G563" s="374"/>
      <c r="H563" s="374"/>
      <c r="I563" s="374"/>
      <c r="J563" s="374"/>
      <c r="K563" s="374"/>
      <c r="L563" s="374"/>
      <c r="M563" s="374"/>
      <c r="N563" s="374"/>
      <c r="O563" s="374"/>
      <c r="P563" s="374"/>
      <c r="Q563" s="374"/>
      <c r="R563" s="374"/>
    </row>
    <row r="564" customFormat="false" ht="15.75" hidden="false" customHeight="false" outlineLevel="0" collapsed="false">
      <c r="A564" s="374" t="n">
        <v>656</v>
      </c>
      <c r="B564" s="374" t="str">
        <f aca="false" t="array" ref="B564:B564">INDEX('0.0.1 Pokémon Dex Data'!$E$3:$E1007,MATCH(A564,'0.0.1 Pokémon Dex Data'!$B$3:$B1007,0))</f>
        <v>Maractus</v>
      </c>
      <c r="C564" s="374"/>
      <c r="D564" s="374"/>
      <c r="E564" s="374"/>
      <c r="F564" s="374"/>
      <c r="G564" s="374"/>
      <c r="H564" s="374"/>
      <c r="I564" s="374"/>
      <c r="J564" s="374"/>
      <c r="K564" s="374"/>
      <c r="L564" s="374"/>
      <c r="M564" s="374"/>
      <c r="N564" s="374"/>
      <c r="O564" s="374"/>
      <c r="P564" s="374"/>
      <c r="Q564" s="374"/>
      <c r="R564" s="374"/>
    </row>
    <row r="565" customFormat="false" ht="15.75" hidden="false" customHeight="false" outlineLevel="0" collapsed="false">
      <c r="A565" s="374" t="n">
        <v>657</v>
      </c>
      <c r="B565" s="374" t="str">
        <f aca="false" t="array" ref="B565:B565">INDEX('0.0.1 Pokémon Dex Data'!$E$3:$E1007,MATCH(A565,'0.0.1 Pokémon Dex Data'!$B$3:$B1007,0))</f>
        <v>Dwebble</v>
      </c>
      <c r="C565" s="374"/>
      <c r="D565" s="374"/>
      <c r="E565" s="374"/>
      <c r="F565" s="374"/>
      <c r="G565" s="374"/>
      <c r="H565" s="374"/>
      <c r="I565" s="374"/>
      <c r="J565" s="374"/>
      <c r="K565" s="374"/>
      <c r="L565" s="374"/>
      <c r="M565" s="374"/>
      <c r="N565" s="374"/>
      <c r="O565" s="374"/>
      <c r="P565" s="374"/>
      <c r="Q565" s="374"/>
      <c r="R565" s="374"/>
    </row>
    <row r="566" customFormat="false" ht="15.75" hidden="false" customHeight="false" outlineLevel="0" collapsed="false">
      <c r="A566" s="374" t="n">
        <v>658</v>
      </c>
      <c r="B566" s="374" t="str">
        <f aca="false" t="array" ref="B566:B566">INDEX('0.0.1 Pokémon Dex Data'!$E$3:$E1007,MATCH(A566,'0.0.1 Pokémon Dex Data'!$B$3:$B1007,0))</f>
        <v>Crustle</v>
      </c>
      <c r="C566" s="374"/>
      <c r="D566" s="374"/>
      <c r="E566" s="374"/>
      <c r="F566" s="374"/>
      <c r="G566" s="374"/>
      <c r="H566" s="374"/>
      <c r="I566" s="374"/>
      <c r="J566" s="374"/>
      <c r="K566" s="374"/>
      <c r="L566" s="374"/>
      <c r="M566" s="374"/>
      <c r="N566" s="374"/>
      <c r="O566" s="374"/>
      <c r="P566" s="374"/>
      <c r="Q566" s="374"/>
      <c r="R566" s="374"/>
    </row>
    <row r="567" customFormat="false" ht="15.75" hidden="false" customHeight="false" outlineLevel="0" collapsed="false">
      <c r="A567" s="374" t="n">
        <v>659</v>
      </c>
      <c r="B567" s="374" t="str">
        <f aca="false" t="array" ref="B567:B567">INDEX('0.0.1 Pokémon Dex Data'!$E$3:$E1007,MATCH(A567,'0.0.1 Pokémon Dex Data'!$B$3:$B1007,0))</f>
        <v>Scraggy</v>
      </c>
      <c r="C567" s="374"/>
      <c r="D567" s="374"/>
      <c r="E567" s="374"/>
      <c r="F567" s="374"/>
      <c r="G567" s="374"/>
      <c r="H567" s="374"/>
      <c r="I567" s="374"/>
      <c r="J567" s="374"/>
      <c r="K567" s="374"/>
      <c r="L567" s="374"/>
      <c r="M567" s="374"/>
      <c r="N567" s="374"/>
      <c r="O567" s="374"/>
      <c r="P567" s="374"/>
      <c r="Q567" s="374"/>
      <c r="R567" s="374"/>
    </row>
    <row r="568" customFormat="false" ht="15.75" hidden="false" customHeight="false" outlineLevel="0" collapsed="false">
      <c r="A568" s="374" t="n">
        <v>660</v>
      </c>
      <c r="B568" s="374" t="str">
        <f aca="false" t="array" ref="B568:B568">INDEX('0.0.1 Pokémon Dex Data'!$E$3:$E1007,MATCH(A568,'0.0.1 Pokémon Dex Data'!$B$3:$B1007,0))</f>
        <v>Scrafty</v>
      </c>
      <c r="C568" s="374"/>
      <c r="D568" s="374"/>
      <c r="E568" s="374"/>
      <c r="F568" s="374"/>
      <c r="G568" s="374"/>
      <c r="H568" s="374"/>
      <c r="I568" s="374"/>
      <c r="J568" s="374"/>
      <c r="K568" s="374"/>
      <c r="L568" s="374"/>
      <c r="M568" s="374"/>
      <c r="N568" s="374"/>
      <c r="O568" s="374"/>
      <c r="P568" s="374"/>
      <c r="Q568" s="374"/>
      <c r="R568" s="374"/>
    </row>
    <row r="569" customFormat="false" ht="15.75" hidden="false" customHeight="false" outlineLevel="0" collapsed="false">
      <c r="A569" s="374" t="n">
        <v>661</v>
      </c>
      <c r="B569" s="374" t="str">
        <f aca="false" t="array" ref="B569:B569">INDEX('0.0.1 Pokémon Dex Data'!$E$3:$E1007,MATCH(A569,'0.0.1 Pokémon Dex Data'!$B$3:$B1007,0))</f>
        <v>Sigilyph</v>
      </c>
      <c r="C569" s="374"/>
      <c r="D569" s="374"/>
      <c r="E569" s="374"/>
      <c r="F569" s="374"/>
      <c r="G569" s="374"/>
      <c r="H569" s="374"/>
      <c r="I569" s="374"/>
      <c r="J569" s="374"/>
      <c r="K569" s="374"/>
      <c r="L569" s="374"/>
      <c r="M569" s="374"/>
      <c r="N569" s="374"/>
      <c r="O569" s="374"/>
      <c r="P569" s="374"/>
      <c r="Q569" s="374"/>
      <c r="R569" s="374"/>
    </row>
    <row r="570" customFormat="false" ht="15.75" hidden="false" customHeight="false" outlineLevel="0" collapsed="false">
      <c r="A570" s="374" t="n">
        <v>662</v>
      </c>
      <c r="B570" s="374" t="str">
        <f aca="false" t="array" ref="B570:B570">INDEX('0.0.1 Pokémon Dex Data'!$E$3:$E1007,MATCH(A570,'0.0.1 Pokémon Dex Data'!$B$3:$B1007,0))</f>
        <v>Yamask</v>
      </c>
      <c r="C570" s="374"/>
      <c r="D570" s="374"/>
      <c r="E570" s="374"/>
      <c r="F570" s="374"/>
      <c r="G570" s="374"/>
      <c r="H570" s="374"/>
      <c r="I570" s="374"/>
      <c r="J570" s="374"/>
      <c r="K570" s="374"/>
      <c r="L570" s="374"/>
      <c r="M570" s="374"/>
      <c r="N570" s="374"/>
      <c r="O570" s="374"/>
      <c r="P570" s="374"/>
      <c r="Q570" s="374"/>
      <c r="R570" s="374"/>
    </row>
    <row r="571" customFormat="false" ht="15.75" hidden="false" customHeight="false" outlineLevel="0" collapsed="false">
      <c r="A571" s="374" t="n">
        <v>663</v>
      </c>
      <c r="B571" s="374" t="str">
        <f aca="false" t="array" ref="B571:B571">INDEX('0.0.1 Pokémon Dex Data'!$E$3:$E1007,MATCH(A571,'0.0.1 Pokémon Dex Data'!$B$3:$B1007,0))</f>
        <v>Cofagrigus</v>
      </c>
      <c r="C571" s="374"/>
      <c r="D571" s="374"/>
      <c r="E571" s="374"/>
      <c r="F571" s="374"/>
      <c r="G571" s="374"/>
      <c r="H571" s="374"/>
      <c r="I571" s="374"/>
      <c r="J571" s="374"/>
      <c r="K571" s="374"/>
      <c r="L571" s="374"/>
      <c r="M571" s="374"/>
      <c r="N571" s="374"/>
      <c r="O571" s="374"/>
      <c r="P571" s="374"/>
      <c r="Q571" s="374"/>
      <c r="R571" s="374"/>
    </row>
    <row r="572" customFormat="false" ht="15.75" hidden="false" customHeight="false" outlineLevel="0" collapsed="false">
      <c r="A572" s="374" t="n">
        <v>664</v>
      </c>
      <c r="B572" s="374" t="str">
        <f aca="false" t="array" ref="B572:B572">INDEX('0.0.1 Pokémon Dex Data'!$E$3:$E1007,MATCH(A572,'0.0.1 Pokémon Dex Data'!$B$3:$B1007,0))</f>
        <v>Tirtouga</v>
      </c>
      <c r="C572" s="374"/>
      <c r="D572" s="374"/>
      <c r="E572" s="374"/>
      <c r="F572" s="374"/>
      <c r="G572" s="374"/>
      <c r="H572" s="374"/>
      <c r="I572" s="374"/>
      <c r="J572" s="374"/>
      <c r="K572" s="374"/>
      <c r="L572" s="374"/>
      <c r="M572" s="374"/>
      <c r="N572" s="374"/>
      <c r="O572" s="374"/>
      <c r="P572" s="374"/>
      <c r="Q572" s="374"/>
      <c r="R572" s="374"/>
    </row>
    <row r="573" customFormat="false" ht="15.75" hidden="false" customHeight="false" outlineLevel="0" collapsed="false">
      <c r="A573" s="374" t="n">
        <v>665</v>
      </c>
      <c r="B573" s="374" t="str">
        <f aca="false" t="array" ref="B573:B573">INDEX('0.0.1 Pokémon Dex Data'!$E$3:$E1007,MATCH(A573,'0.0.1 Pokémon Dex Data'!$B$3:$B1007,0))</f>
        <v>Carracosta</v>
      </c>
      <c r="C573" s="374"/>
      <c r="D573" s="374"/>
      <c r="E573" s="374"/>
      <c r="F573" s="374"/>
      <c r="G573" s="374"/>
      <c r="H573" s="374"/>
      <c r="I573" s="374"/>
      <c r="J573" s="374"/>
      <c r="K573" s="374"/>
      <c r="L573" s="374"/>
      <c r="M573" s="374"/>
      <c r="N573" s="374"/>
      <c r="O573" s="374"/>
      <c r="P573" s="374"/>
      <c r="Q573" s="374"/>
      <c r="R573" s="374"/>
    </row>
    <row r="574" customFormat="false" ht="15.75" hidden="false" customHeight="false" outlineLevel="0" collapsed="false">
      <c r="A574" s="374" t="n">
        <v>666</v>
      </c>
      <c r="B574" s="374" t="str">
        <f aca="false" t="array" ref="B574:B574">INDEX('0.0.1 Pokémon Dex Data'!$E$3:$E1007,MATCH(A574,'0.0.1 Pokémon Dex Data'!$B$3:$B1007,0))</f>
        <v>Archen</v>
      </c>
      <c r="C574" s="374"/>
      <c r="D574" s="374"/>
      <c r="E574" s="374"/>
      <c r="F574" s="374"/>
      <c r="G574" s="374"/>
      <c r="H574" s="374"/>
      <c r="I574" s="374"/>
      <c r="J574" s="374"/>
      <c r="K574" s="374"/>
      <c r="L574" s="374"/>
      <c r="M574" s="374"/>
      <c r="N574" s="374"/>
      <c r="O574" s="374"/>
      <c r="P574" s="374"/>
      <c r="Q574" s="374"/>
      <c r="R574" s="374"/>
    </row>
    <row r="575" customFormat="false" ht="15.75" hidden="false" customHeight="false" outlineLevel="0" collapsed="false">
      <c r="A575" s="374" t="n">
        <v>667</v>
      </c>
      <c r="B575" s="374" t="str">
        <f aca="false" t="array" ref="B575:B575">INDEX('0.0.1 Pokémon Dex Data'!$E$3:$E1007,MATCH(A575,'0.0.1 Pokémon Dex Data'!$B$3:$B1007,0))</f>
        <v>Archeops</v>
      </c>
      <c r="C575" s="374"/>
      <c r="D575" s="374"/>
      <c r="E575" s="374"/>
      <c r="F575" s="374"/>
      <c r="G575" s="374"/>
      <c r="H575" s="374"/>
      <c r="I575" s="374"/>
      <c r="J575" s="374"/>
      <c r="K575" s="374"/>
      <c r="L575" s="374"/>
      <c r="M575" s="374"/>
      <c r="N575" s="374"/>
      <c r="O575" s="374"/>
      <c r="P575" s="374"/>
      <c r="Q575" s="374"/>
      <c r="R575" s="374"/>
    </row>
    <row r="576" customFormat="false" ht="15.75" hidden="false" customHeight="false" outlineLevel="0" collapsed="false">
      <c r="A576" s="374" t="n">
        <v>668</v>
      </c>
      <c r="B576" s="374" t="str">
        <f aca="false" t="array" ref="B576:B576">INDEX('0.0.1 Pokémon Dex Data'!$E$3:$E1007,MATCH(A576,'0.0.1 Pokémon Dex Data'!$B$3:$B1007,0))</f>
        <v>Trubbish</v>
      </c>
      <c r="C576" s="374"/>
      <c r="D576" s="374"/>
      <c r="E576" s="374"/>
      <c r="F576" s="374"/>
      <c r="G576" s="374"/>
      <c r="H576" s="374"/>
      <c r="I576" s="374"/>
      <c r="J576" s="374"/>
      <c r="K576" s="374"/>
      <c r="L576" s="374"/>
      <c r="M576" s="374"/>
      <c r="N576" s="374"/>
      <c r="O576" s="374"/>
      <c r="P576" s="374"/>
      <c r="Q576" s="374"/>
      <c r="R576" s="374"/>
    </row>
    <row r="577" customFormat="false" ht="15.75" hidden="false" customHeight="false" outlineLevel="0" collapsed="false">
      <c r="A577" s="374" t="n">
        <v>669</v>
      </c>
      <c r="B577" s="374" t="str">
        <f aca="false" t="array" ref="B577:B577">INDEX('0.0.1 Pokémon Dex Data'!$E$3:$E1007,MATCH(A577,'0.0.1 Pokémon Dex Data'!$B$3:$B1007,0))</f>
        <v>Garbodor</v>
      </c>
      <c r="C577" s="374"/>
      <c r="D577" s="374"/>
      <c r="E577" s="374"/>
      <c r="F577" s="374"/>
      <c r="G577" s="374"/>
      <c r="H577" s="374"/>
      <c r="I577" s="374"/>
      <c r="J577" s="374"/>
      <c r="K577" s="374"/>
      <c r="L577" s="374"/>
      <c r="M577" s="374"/>
      <c r="N577" s="374"/>
      <c r="O577" s="374"/>
      <c r="P577" s="374"/>
      <c r="Q577" s="374"/>
      <c r="R577" s="374"/>
    </row>
    <row r="578" customFormat="false" ht="15.75" hidden="false" customHeight="false" outlineLevel="0" collapsed="false">
      <c r="A578" s="374" t="n">
        <v>670</v>
      </c>
      <c r="B578" s="374" t="str">
        <f aca="false" t="array" ref="B578:B578">INDEX('0.0.1 Pokémon Dex Data'!$E$3:$E1007,MATCH(A578,'0.0.1 Pokémon Dex Data'!$B$3:$B1007,0))</f>
        <v>Zorua</v>
      </c>
      <c r="C578" s="374"/>
      <c r="D578" s="374"/>
      <c r="E578" s="374"/>
      <c r="F578" s="374"/>
      <c r="G578" s="374"/>
      <c r="H578" s="374"/>
      <c r="I578" s="374"/>
      <c r="J578" s="374"/>
      <c r="K578" s="374"/>
      <c r="L578" s="374"/>
      <c r="M578" s="374"/>
      <c r="N578" s="374"/>
      <c r="O578" s="374"/>
      <c r="P578" s="374"/>
      <c r="Q578" s="374"/>
      <c r="R578" s="374"/>
    </row>
    <row r="579" customFormat="false" ht="15.75" hidden="false" customHeight="false" outlineLevel="0" collapsed="false">
      <c r="A579" s="374" t="n">
        <v>671</v>
      </c>
      <c r="B579" s="374" t="str">
        <f aca="false" t="array" ref="B579:B579">INDEX('0.0.1 Pokémon Dex Data'!$E$3:$E1007,MATCH(A579,'0.0.1 Pokémon Dex Data'!$B$3:$B1007,0))</f>
        <v>Zoroark</v>
      </c>
      <c r="C579" s="374"/>
      <c r="D579" s="374"/>
      <c r="E579" s="374"/>
      <c r="F579" s="374"/>
      <c r="G579" s="374"/>
      <c r="H579" s="374"/>
      <c r="I579" s="374"/>
      <c r="J579" s="374"/>
      <c r="K579" s="374"/>
      <c r="L579" s="374"/>
      <c r="M579" s="374"/>
      <c r="N579" s="374"/>
      <c r="O579" s="374"/>
      <c r="P579" s="374"/>
      <c r="Q579" s="374"/>
      <c r="R579" s="374"/>
    </row>
    <row r="580" customFormat="false" ht="15.75" hidden="false" customHeight="false" outlineLevel="0" collapsed="false">
      <c r="A580" s="374" t="n">
        <v>672</v>
      </c>
      <c r="B580" s="374" t="str">
        <f aca="false" t="array" ref="B580:B580">INDEX('0.0.1 Pokémon Dex Data'!$E$3:$E1007,MATCH(A580,'0.0.1 Pokémon Dex Data'!$B$3:$B1007,0))</f>
        <v>Minccino</v>
      </c>
      <c r="C580" s="374"/>
      <c r="D580" s="374"/>
      <c r="E580" s="374"/>
      <c r="F580" s="374"/>
      <c r="G580" s="374"/>
      <c r="H580" s="374"/>
      <c r="I580" s="374"/>
      <c r="J580" s="374"/>
      <c r="K580" s="374"/>
      <c r="L580" s="374"/>
      <c r="M580" s="374"/>
      <c r="N580" s="374"/>
      <c r="O580" s="374"/>
      <c r="P580" s="374"/>
      <c r="Q580" s="374"/>
      <c r="R580" s="374"/>
    </row>
    <row r="581" customFormat="false" ht="15.75" hidden="false" customHeight="false" outlineLevel="0" collapsed="false">
      <c r="A581" s="374" t="n">
        <v>673</v>
      </c>
      <c r="B581" s="374" t="str">
        <f aca="false" t="array" ref="B581:B581">INDEX('0.0.1 Pokémon Dex Data'!$E$3:$E1007,MATCH(A581,'0.0.1 Pokémon Dex Data'!$B$3:$B1007,0))</f>
        <v>Cinccino</v>
      </c>
      <c r="C581" s="374"/>
      <c r="D581" s="374"/>
      <c r="E581" s="374"/>
      <c r="F581" s="374"/>
      <c r="G581" s="374"/>
      <c r="H581" s="374"/>
      <c r="I581" s="374"/>
      <c r="J581" s="374"/>
      <c r="K581" s="374"/>
      <c r="L581" s="374"/>
      <c r="M581" s="374"/>
      <c r="N581" s="374"/>
      <c r="O581" s="374"/>
      <c r="P581" s="374"/>
      <c r="Q581" s="374"/>
      <c r="R581" s="374"/>
    </row>
    <row r="582" customFormat="false" ht="15.75" hidden="false" customHeight="false" outlineLevel="0" collapsed="false">
      <c r="A582" s="374" t="n">
        <v>674</v>
      </c>
      <c r="B582" s="374" t="str">
        <f aca="false" t="array" ref="B582:B582">INDEX('0.0.1 Pokémon Dex Data'!$E$3:$E1007,MATCH(A582,'0.0.1 Pokémon Dex Data'!$B$3:$B1007,0))</f>
        <v>Gothita</v>
      </c>
      <c r="C582" s="374"/>
      <c r="D582" s="374"/>
      <c r="E582" s="374"/>
      <c r="F582" s="374"/>
      <c r="G582" s="374"/>
      <c r="H582" s="374"/>
      <c r="I582" s="374"/>
      <c r="J582" s="374"/>
      <c r="K582" s="374"/>
      <c r="L582" s="374"/>
      <c r="M582" s="374"/>
      <c r="N582" s="374"/>
      <c r="O582" s="374"/>
      <c r="P582" s="374"/>
      <c r="Q582" s="374"/>
      <c r="R582" s="374"/>
    </row>
    <row r="583" customFormat="false" ht="15.75" hidden="false" customHeight="false" outlineLevel="0" collapsed="false">
      <c r="A583" s="374" t="n">
        <v>675</v>
      </c>
      <c r="B583" s="374" t="str">
        <f aca="false" t="array" ref="B583:B583">INDEX('0.0.1 Pokémon Dex Data'!$E$3:$E1007,MATCH(A583,'0.0.1 Pokémon Dex Data'!$B$3:$B1007,0))</f>
        <v>Gothorita</v>
      </c>
      <c r="C583" s="374"/>
      <c r="D583" s="374"/>
      <c r="E583" s="374"/>
      <c r="F583" s="374"/>
      <c r="G583" s="374"/>
      <c r="H583" s="374"/>
      <c r="I583" s="374"/>
      <c r="J583" s="374"/>
      <c r="K583" s="374"/>
      <c r="L583" s="374"/>
      <c r="M583" s="374"/>
      <c r="N583" s="374"/>
      <c r="O583" s="374"/>
      <c r="P583" s="374"/>
      <c r="Q583" s="374"/>
      <c r="R583" s="374"/>
    </row>
    <row r="584" customFormat="false" ht="15.75" hidden="false" customHeight="false" outlineLevel="0" collapsed="false">
      <c r="A584" s="374" t="n">
        <v>676</v>
      </c>
      <c r="B584" s="374" t="str">
        <f aca="false" t="array" ref="B584:B584">INDEX('0.0.1 Pokémon Dex Data'!$E$3:$E1007,MATCH(A584,'0.0.1 Pokémon Dex Data'!$B$3:$B1007,0))</f>
        <v>Gothitelle</v>
      </c>
      <c r="C584" s="374"/>
      <c r="D584" s="374"/>
      <c r="E584" s="374"/>
      <c r="F584" s="374"/>
      <c r="G584" s="374"/>
      <c r="H584" s="374"/>
      <c r="I584" s="374"/>
      <c r="J584" s="374"/>
      <c r="K584" s="374"/>
      <c r="L584" s="374"/>
      <c r="M584" s="374"/>
      <c r="N584" s="374"/>
      <c r="O584" s="374"/>
      <c r="P584" s="374"/>
      <c r="Q584" s="374"/>
      <c r="R584" s="374"/>
    </row>
    <row r="585" customFormat="false" ht="15.75" hidden="false" customHeight="false" outlineLevel="0" collapsed="false">
      <c r="A585" s="374" t="n">
        <v>677</v>
      </c>
      <c r="B585" s="374" t="str">
        <f aca="false" t="array" ref="B585:B585">INDEX('0.0.1 Pokémon Dex Data'!$E$3:$E1007,MATCH(A585,'0.0.1 Pokémon Dex Data'!$B$3:$B1007,0))</f>
        <v>Solosis</v>
      </c>
      <c r="C585" s="374"/>
      <c r="D585" s="374"/>
      <c r="E585" s="374"/>
      <c r="F585" s="374"/>
      <c r="G585" s="374"/>
      <c r="H585" s="374"/>
      <c r="I585" s="374"/>
      <c r="J585" s="374"/>
      <c r="K585" s="374"/>
      <c r="L585" s="374"/>
      <c r="M585" s="374"/>
      <c r="N585" s="374"/>
      <c r="O585" s="374"/>
      <c r="P585" s="374"/>
      <c r="Q585" s="374"/>
      <c r="R585" s="374"/>
    </row>
    <row r="586" customFormat="false" ht="15.75" hidden="false" customHeight="false" outlineLevel="0" collapsed="false">
      <c r="A586" s="374" t="n">
        <v>678</v>
      </c>
      <c r="B586" s="374" t="str">
        <f aca="false" t="array" ref="B586:B586">INDEX('0.0.1 Pokémon Dex Data'!$E$3:$E1007,MATCH(A586,'0.0.1 Pokémon Dex Data'!$B$3:$B1007,0))</f>
        <v>Duosion</v>
      </c>
      <c r="C586" s="374"/>
      <c r="D586" s="374"/>
      <c r="E586" s="374"/>
      <c r="F586" s="374"/>
      <c r="G586" s="374"/>
      <c r="H586" s="374"/>
      <c r="I586" s="374"/>
      <c r="J586" s="374"/>
      <c r="K586" s="374"/>
      <c r="L586" s="374"/>
      <c r="M586" s="374"/>
      <c r="N586" s="374"/>
      <c r="O586" s="374"/>
      <c r="P586" s="374"/>
      <c r="Q586" s="374"/>
      <c r="R586" s="374"/>
    </row>
    <row r="587" customFormat="false" ht="15.75" hidden="false" customHeight="false" outlineLevel="0" collapsed="false">
      <c r="A587" s="374" t="n">
        <v>679</v>
      </c>
      <c r="B587" s="374" t="str">
        <f aca="false" t="array" ref="B587:B587">INDEX('0.0.1 Pokémon Dex Data'!$E$3:$E1007,MATCH(A587,'0.0.1 Pokémon Dex Data'!$B$3:$B1007,0))</f>
        <v>Reuniclus</v>
      </c>
      <c r="C587" s="374"/>
      <c r="D587" s="374"/>
      <c r="E587" s="374"/>
      <c r="F587" s="374"/>
      <c r="G587" s="374"/>
      <c r="H587" s="374"/>
      <c r="I587" s="374"/>
      <c r="J587" s="374"/>
      <c r="K587" s="374"/>
      <c r="L587" s="374"/>
      <c r="M587" s="374"/>
      <c r="N587" s="374"/>
      <c r="O587" s="374"/>
      <c r="P587" s="374"/>
      <c r="Q587" s="374"/>
      <c r="R587" s="374"/>
    </row>
    <row r="588" customFormat="false" ht="15.75" hidden="false" customHeight="false" outlineLevel="0" collapsed="false">
      <c r="A588" s="374" t="n">
        <v>680</v>
      </c>
      <c r="B588" s="374" t="str">
        <f aca="false" t="array" ref="B588:B588">INDEX('0.0.1 Pokémon Dex Data'!$E$3:$E1007,MATCH(A588,'0.0.1 Pokémon Dex Data'!$B$3:$B1007,0))</f>
        <v>Ducklett</v>
      </c>
      <c r="C588" s="374"/>
      <c r="D588" s="374"/>
      <c r="E588" s="374"/>
      <c r="F588" s="374"/>
      <c r="G588" s="374"/>
      <c r="H588" s="374"/>
      <c r="I588" s="374"/>
      <c r="J588" s="374"/>
      <c r="K588" s="374"/>
      <c r="L588" s="374"/>
      <c r="M588" s="374"/>
      <c r="N588" s="374"/>
      <c r="O588" s="374"/>
      <c r="P588" s="374"/>
      <c r="Q588" s="374"/>
      <c r="R588" s="374"/>
    </row>
    <row r="589" customFormat="false" ht="15.75" hidden="false" customHeight="false" outlineLevel="0" collapsed="false">
      <c r="A589" s="374" t="n">
        <v>681</v>
      </c>
      <c r="B589" s="374" t="str">
        <f aca="false" t="array" ref="B589:B589">INDEX('0.0.1 Pokémon Dex Data'!$E$3:$E1007,MATCH(A589,'0.0.1 Pokémon Dex Data'!$B$3:$B1007,0))</f>
        <v>Swanna</v>
      </c>
      <c r="C589" s="374"/>
      <c r="D589" s="374"/>
      <c r="E589" s="374"/>
      <c r="F589" s="374"/>
      <c r="G589" s="374"/>
      <c r="H589" s="374"/>
      <c r="I589" s="374"/>
      <c r="J589" s="374"/>
      <c r="K589" s="374"/>
      <c r="L589" s="374"/>
      <c r="M589" s="374"/>
      <c r="N589" s="374"/>
      <c r="O589" s="374"/>
      <c r="P589" s="374"/>
      <c r="Q589" s="374"/>
      <c r="R589" s="374"/>
    </row>
    <row r="590" customFormat="false" ht="15.75" hidden="false" customHeight="false" outlineLevel="0" collapsed="false">
      <c r="A590" s="374" t="n">
        <v>682</v>
      </c>
      <c r="B590" s="374" t="str">
        <f aca="false" t="array" ref="B590:B590">INDEX('0.0.1 Pokémon Dex Data'!$E$3:$E1007,MATCH(A590,'0.0.1 Pokémon Dex Data'!$B$3:$B1007,0))</f>
        <v>Vanillite</v>
      </c>
      <c r="C590" s="374"/>
      <c r="D590" s="374"/>
      <c r="E590" s="374"/>
      <c r="F590" s="374"/>
      <c r="G590" s="374"/>
      <c r="H590" s="374"/>
      <c r="I590" s="374"/>
      <c r="J590" s="374"/>
      <c r="K590" s="374"/>
      <c r="L590" s="374"/>
      <c r="M590" s="374"/>
      <c r="N590" s="374"/>
      <c r="O590" s="374"/>
      <c r="P590" s="374"/>
      <c r="Q590" s="374"/>
      <c r="R590" s="374"/>
    </row>
    <row r="591" customFormat="false" ht="15.75" hidden="false" customHeight="false" outlineLevel="0" collapsed="false">
      <c r="A591" s="374" t="n">
        <v>683</v>
      </c>
      <c r="B591" s="374" t="str">
        <f aca="false" t="array" ref="B591:B591">INDEX('0.0.1 Pokémon Dex Data'!$E$3:$E1007,MATCH(A591,'0.0.1 Pokémon Dex Data'!$B$3:$B1007,0))</f>
        <v>Vanillish</v>
      </c>
      <c r="C591" s="374"/>
      <c r="D591" s="374"/>
      <c r="E591" s="374"/>
      <c r="F591" s="374"/>
      <c r="G591" s="374"/>
      <c r="H591" s="374"/>
      <c r="I591" s="374"/>
      <c r="J591" s="374"/>
      <c r="K591" s="374"/>
      <c r="L591" s="374"/>
      <c r="M591" s="374"/>
      <c r="N591" s="374"/>
      <c r="O591" s="374"/>
      <c r="P591" s="374"/>
      <c r="Q591" s="374"/>
      <c r="R591" s="374"/>
    </row>
    <row r="592" customFormat="false" ht="15.75" hidden="false" customHeight="false" outlineLevel="0" collapsed="false">
      <c r="A592" s="374" t="n">
        <v>684</v>
      </c>
      <c r="B592" s="374" t="str">
        <f aca="false" t="array" ref="B592:B592">INDEX('0.0.1 Pokémon Dex Data'!$E$3:$E1007,MATCH(A592,'0.0.1 Pokémon Dex Data'!$B$3:$B1007,0))</f>
        <v>Vanilluxe</v>
      </c>
      <c r="C592" s="374"/>
      <c r="D592" s="374"/>
      <c r="E592" s="374"/>
      <c r="F592" s="374"/>
      <c r="G592" s="374"/>
      <c r="H592" s="374"/>
      <c r="I592" s="374"/>
      <c r="J592" s="374"/>
      <c r="K592" s="374"/>
      <c r="L592" s="374"/>
      <c r="M592" s="374"/>
      <c r="N592" s="374"/>
      <c r="O592" s="374"/>
      <c r="P592" s="374"/>
      <c r="Q592" s="374"/>
      <c r="R592" s="374"/>
    </row>
    <row r="593" customFormat="false" ht="15.75" hidden="false" customHeight="false" outlineLevel="0" collapsed="false">
      <c r="A593" s="374" t="n">
        <v>685</v>
      </c>
      <c r="B593" s="374" t="str">
        <f aca="false" t="array" ref="B593:B593">INDEX('0.0.1 Pokémon Dex Data'!$E$3:$E1007,MATCH(A593,'0.0.1 Pokémon Dex Data'!$B$3:$B1007,0))</f>
        <v>Deerling</v>
      </c>
      <c r="C593" s="374"/>
      <c r="D593" s="374"/>
      <c r="E593" s="374"/>
      <c r="F593" s="374"/>
      <c r="G593" s="374"/>
      <c r="H593" s="374"/>
      <c r="I593" s="374"/>
      <c r="J593" s="374"/>
      <c r="K593" s="374"/>
      <c r="L593" s="374"/>
      <c r="M593" s="374"/>
      <c r="N593" s="374"/>
      <c r="O593" s="374"/>
      <c r="P593" s="374"/>
      <c r="Q593" s="374"/>
      <c r="R593" s="374"/>
    </row>
    <row r="594" customFormat="false" ht="15.75" hidden="false" customHeight="false" outlineLevel="0" collapsed="false">
      <c r="A594" s="374" t="n">
        <v>686</v>
      </c>
      <c r="B594" s="374" t="str">
        <f aca="false" t="array" ref="B594:B594">INDEX('0.0.1 Pokémon Dex Data'!$E$3:$E1007,MATCH(A594,'0.0.1 Pokémon Dex Data'!$B$3:$B1007,0))</f>
        <v>Sawsbuck</v>
      </c>
      <c r="C594" s="374"/>
      <c r="D594" s="374"/>
      <c r="E594" s="374"/>
      <c r="F594" s="374"/>
      <c r="G594" s="374"/>
      <c r="H594" s="374"/>
      <c r="I594" s="374"/>
      <c r="J594" s="374"/>
      <c r="K594" s="374"/>
      <c r="L594" s="374"/>
      <c r="M594" s="374"/>
      <c r="N594" s="374"/>
      <c r="O594" s="374"/>
      <c r="P594" s="374"/>
      <c r="Q594" s="374"/>
      <c r="R594" s="374"/>
    </row>
    <row r="595" customFormat="false" ht="15.75" hidden="false" customHeight="false" outlineLevel="0" collapsed="false">
      <c r="A595" s="374" t="n">
        <v>687</v>
      </c>
      <c r="B595" s="374" t="str">
        <f aca="false" t="array" ref="B595:B595">INDEX('0.0.1 Pokémon Dex Data'!$E$3:$E1007,MATCH(A595,'0.0.1 Pokémon Dex Data'!$B$3:$B1007,0))</f>
        <v>Emolga</v>
      </c>
      <c r="C595" s="374"/>
      <c r="D595" s="374"/>
      <c r="E595" s="374"/>
      <c r="F595" s="374"/>
      <c r="G595" s="374"/>
      <c r="H595" s="374"/>
      <c r="I595" s="374"/>
      <c r="J595" s="374"/>
      <c r="K595" s="374"/>
      <c r="L595" s="374"/>
      <c r="M595" s="374"/>
      <c r="N595" s="374"/>
      <c r="O595" s="374"/>
      <c r="P595" s="374"/>
      <c r="Q595" s="374"/>
      <c r="R595" s="374"/>
    </row>
    <row r="596" customFormat="false" ht="15.75" hidden="false" customHeight="false" outlineLevel="0" collapsed="false">
      <c r="A596" s="374" t="n">
        <v>688</v>
      </c>
      <c r="B596" s="374" t="str">
        <f aca="false" t="array" ref="B596:B596">INDEX('0.0.1 Pokémon Dex Data'!$E$3:$E1007,MATCH(A596,'0.0.1 Pokémon Dex Data'!$B$3:$B1007,0))</f>
        <v>Karrablast</v>
      </c>
      <c r="C596" s="374"/>
      <c r="D596" s="374"/>
      <c r="E596" s="374"/>
      <c r="F596" s="374"/>
      <c r="G596" s="374"/>
      <c r="H596" s="374"/>
      <c r="I596" s="374"/>
      <c r="J596" s="374"/>
      <c r="K596" s="374"/>
      <c r="L596" s="374"/>
      <c r="M596" s="374"/>
      <c r="N596" s="374"/>
      <c r="O596" s="374"/>
      <c r="P596" s="374"/>
      <c r="Q596" s="374"/>
      <c r="R596" s="374"/>
    </row>
    <row r="597" customFormat="false" ht="15.75" hidden="false" customHeight="false" outlineLevel="0" collapsed="false">
      <c r="A597" s="374" t="n">
        <v>689</v>
      </c>
      <c r="B597" s="374" t="str">
        <f aca="false" t="array" ref="B597:B597">INDEX('0.0.1 Pokémon Dex Data'!$E$3:$E1007,MATCH(A597,'0.0.1 Pokémon Dex Data'!$B$3:$B1007,0))</f>
        <v>Escavalier</v>
      </c>
      <c r="C597" s="374"/>
      <c r="D597" s="374"/>
      <c r="E597" s="374"/>
      <c r="F597" s="374"/>
      <c r="G597" s="374"/>
      <c r="H597" s="374"/>
      <c r="I597" s="374"/>
      <c r="J597" s="374"/>
      <c r="K597" s="374"/>
      <c r="L597" s="374"/>
      <c r="M597" s="374"/>
      <c r="N597" s="374"/>
      <c r="O597" s="374"/>
      <c r="P597" s="374"/>
      <c r="Q597" s="374"/>
      <c r="R597" s="374"/>
    </row>
    <row r="598" customFormat="false" ht="15.75" hidden="false" customHeight="false" outlineLevel="0" collapsed="false">
      <c r="A598" s="374" t="n">
        <v>690</v>
      </c>
      <c r="B598" s="374" t="str">
        <f aca="false" t="array" ref="B598:B598">INDEX('0.0.1 Pokémon Dex Data'!$E$3:$E1007,MATCH(A598,'0.0.1 Pokémon Dex Data'!$B$3:$B1007,0))</f>
        <v>Foongus</v>
      </c>
      <c r="C598" s="374"/>
      <c r="D598" s="374"/>
      <c r="E598" s="374"/>
      <c r="F598" s="374"/>
      <c r="G598" s="374"/>
      <c r="H598" s="374"/>
      <c r="I598" s="374"/>
      <c r="J598" s="374"/>
      <c r="K598" s="374"/>
      <c r="L598" s="374"/>
      <c r="M598" s="374"/>
      <c r="N598" s="374"/>
      <c r="O598" s="374"/>
      <c r="P598" s="374"/>
      <c r="Q598" s="374"/>
      <c r="R598" s="374"/>
    </row>
    <row r="599" customFormat="false" ht="15.75" hidden="false" customHeight="false" outlineLevel="0" collapsed="false">
      <c r="A599" s="374" t="n">
        <v>691</v>
      </c>
      <c r="B599" s="374" t="str">
        <f aca="false" t="array" ref="B599:B599">INDEX('0.0.1 Pokémon Dex Data'!$E$3:$E1007,MATCH(A599,'0.0.1 Pokémon Dex Data'!$B$3:$B1007,0))</f>
        <v>Amoonguss</v>
      </c>
      <c r="C599" s="374"/>
      <c r="D599" s="374"/>
      <c r="E599" s="374"/>
      <c r="F599" s="374"/>
      <c r="G599" s="374"/>
      <c r="H599" s="374"/>
      <c r="I599" s="374"/>
      <c r="J599" s="374"/>
      <c r="K599" s="374"/>
      <c r="L599" s="374"/>
      <c r="M599" s="374"/>
      <c r="N599" s="374"/>
      <c r="O599" s="374"/>
      <c r="P599" s="374"/>
      <c r="Q599" s="374"/>
      <c r="R599" s="374"/>
    </row>
    <row r="600" customFormat="false" ht="15.75" hidden="false" customHeight="false" outlineLevel="0" collapsed="false">
      <c r="A600" s="374" t="n">
        <v>692</v>
      </c>
      <c r="B600" s="374" t="str">
        <f aca="false" t="array" ref="B600:B600">INDEX('0.0.1 Pokémon Dex Data'!$E$3:$E1007,MATCH(A600,'0.0.1 Pokémon Dex Data'!$B$3:$B1007,0))</f>
        <v>Frillish</v>
      </c>
      <c r="C600" s="374"/>
      <c r="D600" s="374"/>
      <c r="E600" s="374"/>
      <c r="F600" s="374"/>
      <c r="G600" s="374"/>
      <c r="H600" s="374"/>
      <c r="I600" s="374"/>
      <c r="J600" s="374"/>
      <c r="K600" s="374"/>
      <c r="L600" s="374"/>
      <c r="M600" s="374"/>
      <c r="N600" s="374"/>
      <c r="O600" s="374"/>
      <c r="P600" s="374"/>
      <c r="Q600" s="374"/>
      <c r="R600" s="374"/>
    </row>
    <row r="601" customFormat="false" ht="15.75" hidden="false" customHeight="false" outlineLevel="0" collapsed="false">
      <c r="A601" s="374" t="n">
        <v>693</v>
      </c>
      <c r="B601" s="374" t="str">
        <f aca="false" t="array" ref="B601:B601">INDEX('0.0.1 Pokémon Dex Data'!$E$3:$E1007,MATCH(A601,'0.0.1 Pokémon Dex Data'!$B$3:$B1007,0))</f>
        <v>Jellicent</v>
      </c>
      <c r="C601" s="374"/>
      <c r="D601" s="374"/>
      <c r="E601" s="374"/>
      <c r="F601" s="374"/>
      <c r="G601" s="374"/>
      <c r="H601" s="374"/>
      <c r="I601" s="374"/>
      <c r="J601" s="374"/>
      <c r="K601" s="374"/>
      <c r="L601" s="374"/>
      <c r="M601" s="374"/>
      <c r="N601" s="374"/>
      <c r="O601" s="374"/>
      <c r="P601" s="374"/>
      <c r="Q601" s="374"/>
      <c r="R601" s="374"/>
    </row>
    <row r="602" customFormat="false" ht="15.75" hidden="false" customHeight="false" outlineLevel="0" collapsed="false">
      <c r="A602" s="374" t="n">
        <v>694</v>
      </c>
      <c r="B602" s="374" t="str">
        <f aca="false" t="array" ref="B602:B602">INDEX('0.0.1 Pokémon Dex Data'!$E$3:$E1007,MATCH(A602,'0.0.1 Pokémon Dex Data'!$B$3:$B1007,0))</f>
        <v>Alomomola</v>
      </c>
      <c r="C602" s="374"/>
      <c r="D602" s="374"/>
      <c r="E602" s="374"/>
      <c r="F602" s="374"/>
      <c r="G602" s="374"/>
      <c r="H602" s="374"/>
      <c r="I602" s="374"/>
      <c r="J602" s="374"/>
      <c r="K602" s="374"/>
      <c r="L602" s="374"/>
      <c r="M602" s="374"/>
      <c r="N602" s="374"/>
      <c r="O602" s="374"/>
      <c r="P602" s="374"/>
      <c r="Q602" s="374"/>
      <c r="R602" s="374"/>
    </row>
    <row r="603" customFormat="false" ht="15.75" hidden="false" customHeight="false" outlineLevel="0" collapsed="false">
      <c r="A603" s="374" t="n">
        <v>695</v>
      </c>
      <c r="B603" s="374" t="str">
        <f aca="false" t="array" ref="B603:B603">INDEX('0.0.1 Pokémon Dex Data'!$E$3:$E1007,MATCH(A603,'0.0.1 Pokémon Dex Data'!$B$3:$B1007,0))</f>
        <v>Joltik</v>
      </c>
      <c r="C603" s="374"/>
      <c r="D603" s="374"/>
      <c r="E603" s="374"/>
      <c r="F603" s="374"/>
      <c r="G603" s="374"/>
      <c r="H603" s="374"/>
      <c r="I603" s="374"/>
      <c r="J603" s="374"/>
      <c r="K603" s="374"/>
      <c r="L603" s="374"/>
      <c r="M603" s="374"/>
      <c r="N603" s="374"/>
      <c r="O603" s="374"/>
      <c r="P603" s="374"/>
      <c r="Q603" s="374"/>
      <c r="R603" s="374"/>
    </row>
    <row r="604" customFormat="false" ht="15.75" hidden="false" customHeight="false" outlineLevel="0" collapsed="false">
      <c r="A604" s="374" t="n">
        <v>696</v>
      </c>
      <c r="B604" s="374" t="str">
        <f aca="false" t="array" ref="B604:B604">INDEX('0.0.1 Pokémon Dex Data'!$E$3:$E1007,MATCH(A604,'0.0.1 Pokémon Dex Data'!$B$3:$B1007,0))</f>
        <v>Galvantula</v>
      </c>
      <c r="C604" s="374"/>
      <c r="D604" s="374"/>
      <c r="E604" s="374"/>
      <c r="F604" s="374"/>
      <c r="G604" s="374"/>
      <c r="H604" s="374"/>
      <c r="I604" s="374"/>
      <c r="J604" s="374"/>
      <c r="K604" s="374"/>
      <c r="L604" s="374"/>
      <c r="M604" s="374"/>
      <c r="N604" s="374"/>
      <c r="O604" s="374"/>
      <c r="P604" s="374"/>
      <c r="Q604" s="374"/>
      <c r="R604" s="374"/>
    </row>
    <row r="605" customFormat="false" ht="15.75" hidden="false" customHeight="false" outlineLevel="0" collapsed="false">
      <c r="A605" s="374" t="n">
        <v>697</v>
      </c>
      <c r="B605" s="374" t="str">
        <f aca="false" t="array" ref="B605:B605">INDEX('0.0.1 Pokémon Dex Data'!$E$3:$E1007,MATCH(A605,'0.0.1 Pokémon Dex Data'!$B$3:$B1007,0))</f>
        <v>Ferroseed</v>
      </c>
      <c r="C605" s="374"/>
      <c r="D605" s="374"/>
      <c r="E605" s="374"/>
      <c r="F605" s="374"/>
      <c r="G605" s="374"/>
      <c r="H605" s="374"/>
      <c r="I605" s="374"/>
      <c r="J605" s="374"/>
      <c r="K605" s="374"/>
      <c r="L605" s="374"/>
      <c r="M605" s="374"/>
      <c r="N605" s="374"/>
      <c r="O605" s="374"/>
      <c r="P605" s="374"/>
      <c r="Q605" s="374"/>
      <c r="R605" s="374"/>
    </row>
    <row r="606" customFormat="false" ht="15.75" hidden="false" customHeight="false" outlineLevel="0" collapsed="false">
      <c r="A606" s="374" t="n">
        <v>698</v>
      </c>
      <c r="B606" s="374" t="str">
        <f aca="false" t="array" ref="B606:B606">INDEX('0.0.1 Pokémon Dex Data'!$E$3:$E1007,MATCH(A606,'0.0.1 Pokémon Dex Data'!$B$3:$B1007,0))</f>
        <v>Ferrothorn</v>
      </c>
      <c r="C606" s="374"/>
      <c r="D606" s="374"/>
      <c r="E606" s="374"/>
      <c r="F606" s="374"/>
      <c r="G606" s="374"/>
      <c r="H606" s="374"/>
      <c r="I606" s="374"/>
      <c r="J606" s="374"/>
      <c r="K606" s="374"/>
      <c r="L606" s="374"/>
      <c r="M606" s="374"/>
      <c r="N606" s="374"/>
      <c r="O606" s="374"/>
      <c r="P606" s="374"/>
      <c r="Q606" s="374"/>
      <c r="R606" s="374"/>
    </row>
    <row r="607" customFormat="false" ht="15.75" hidden="false" customHeight="false" outlineLevel="0" collapsed="false">
      <c r="A607" s="374" t="n">
        <v>699</v>
      </c>
      <c r="B607" s="374" t="str">
        <f aca="false" t="array" ref="B607:B607">INDEX('0.0.1 Pokémon Dex Data'!$E$3:$E1007,MATCH(A607,'0.0.1 Pokémon Dex Data'!$B$3:$B1007,0))</f>
        <v>Klink</v>
      </c>
      <c r="C607" s="374"/>
      <c r="D607" s="374"/>
      <c r="E607" s="374"/>
      <c r="F607" s="374"/>
      <c r="G607" s="374"/>
      <c r="H607" s="374"/>
      <c r="I607" s="374"/>
      <c r="J607" s="374"/>
      <c r="K607" s="374"/>
      <c r="L607" s="374"/>
      <c r="M607" s="374"/>
      <c r="N607" s="374"/>
      <c r="O607" s="374"/>
      <c r="P607" s="374"/>
      <c r="Q607" s="374"/>
      <c r="R607" s="374"/>
    </row>
    <row r="608" customFormat="false" ht="15.75" hidden="false" customHeight="false" outlineLevel="0" collapsed="false">
      <c r="A608" s="374" t="n">
        <v>700</v>
      </c>
      <c r="B608" s="374" t="str">
        <f aca="false" t="array" ref="B608:B608">INDEX('0.0.1 Pokémon Dex Data'!$E$3:$E1007,MATCH(A608,'0.0.1 Pokémon Dex Data'!$B$3:$B1007,0))</f>
        <v>Klang</v>
      </c>
      <c r="C608" s="374"/>
      <c r="D608" s="374"/>
      <c r="E608" s="374"/>
      <c r="F608" s="374"/>
      <c r="G608" s="374"/>
      <c r="H608" s="374"/>
      <c r="I608" s="374"/>
      <c r="J608" s="374"/>
      <c r="K608" s="374"/>
      <c r="L608" s="374"/>
      <c r="M608" s="374"/>
      <c r="N608" s="374"/>
      <c r="O608" s="374"/>
      <c r="P608" s="374"/>
      <c r="Q608" s="374"/>
      <c r="R608" s="374"/>
    </row>
    <row r="609" customFormat="false" ht="15.75" hidden="false" customHeight="false" outlineLevel="0" collapsed="false">
      <c r="A609" s="374" t="n">
        <v>701</v>
      </c>
      <c r="B609" s="374" t="str">
        <f aca="false" t="array" ref="B609:B609">INDEX('0.0.1 Pokémon Dex Data'!$E$3:$E1007,MATCH(A609,'0.0.1 Pokémon Dex Data'!$B$3:$B1007,0))</f>
        <v>Klinklang</v>
      </c>
      <c r="C609" s="374"/>
      <c r="D609" s="374"/>
      <c r="E609" s="374"/>
      <c r="F609" s="374"/>
      <c r="G609" s="374"/>
      <c r="H609" s="374"/>
      <c r="I609" s="374"/>
      <c r="J609" s="374"/>
      <c r="K609" s="374"/>
      <c r="L609" s="374"/>
      <c r="M609" s="374"/>
      <c r="N609" s="374"/>
      <c r="O609" s="374"/>
      <c r="P609" s="374"/>
      <c r="Q609" s="374"/>
      <c r="R609" s="374"/>
    </row>
    <row r="610" customFormat="false" ht="15.75" hidden="false" customHeight="false" outlineLevel="0" collapsed="false">
      <c r="A610" s="374" t="n">
        <v>702</v>
      </c>
      <c r="B610" s="374" t="str">
        <f aca="false" t="array" ref="B610:B610">INDEX('0.0.1 Pokémon Dex Data'!$E$3:$E1007,MATCH(A610,'0.0.1 Pokémon Dex Data'!$B$3:$B1007,0))</f>
        <v>Tynamo</v>
      </c>
      <c r="C610" s="374"/>
      <c r="D610" s="374"/>
      <c r="E610" s="374"/>
      <c r="F610" s="374"/>
      <c r="G610" s="374"/>
      <c r="H610" s="374"/>
      <c r="I610" s="374"/>
      <c r="J610" s="374"/>
      <c r="K610" s="374"/>
      <c r="L610" s="374"/>
      <c r="M610" s="374"/>
      <c r="N610" s="374"/>
      <c r="O610" s="374"/>
      <c r="P610" s="374"/>
      <c r="Q610" s="374"/>
      <c r="R610" s="374"/>
    </row>
    <row r="611" customFormat="false" ht="15.75" hidden="false" customHeight="false" outlineLevel="0" collapsed="false">
      <c r="A611" s="374" t="n">
        <v>703</v>
      </c>
      <c r="B611" s="374" t="str">
        <f aca="false" t="array" ref="B611:B611">INDEX('0.0.1 Pokémon Dex Data'!$E$3:$E1007,MATCH(A611,'0.0.1 Pokémon Dex Data'!$B$3:$B1007,0))</f>
        <v>Eelektrik</v>
      </c>
      <c r="C611" s="374"/>
      <c r="D611" s="374"/>
      <c r="E611" s="374"/>
      <c r="F611" s="374"/>
      <c r="G611" s="374"/>
      <c r="H611" s="374"/>
      <c r="I611" s="374"/>
      <c r="J611" s="374"/>
      <c r="K611" s="374"/>
      <c r="L611" s="374"/>
      <c r="M611" s="374"/>
      <c r="N611" s="374"/>
      <c r="O611" s="374"/>
      <c r="P611" s="374"/>
      <c r="Q611" s="374"/>
      <c r="R611" s="374"/>
    </row>
    <row r="612" customFormat="false" ht="15.75" hidden="false" customHeight="false" outlineLevel="0" collapsed="false">
      <c r="A612" s="374" t="n">
        <v>704</v>
      </c>
      <c r="B612" s="374" t="str">
        <f aca="false" t="array" ref="B612:B612">INDEX('0.0.1 Pokémon Dex Data'!$E$3:$E1007,MATCH(A612,'0.0.1 Pokémon Dex Data'!$B$3:$B1007,0))</f>
        <v>Eelektross</v>
      </c>
      <c r="C612" s="374"/>
      <c r="D612" s="374"/>
      <c r="E612" s="374"/>
      <c r="F612" s="374"/>
      <c r="G612" s="374"/>
      <c r="H612" s="374"/>
      <c r="I612" s="374"/>
      <c r="J612" s="374"/>
      <c r="K612" s="374"/>
      <c r="L612" s="374"/>
      <c r="M612" s="374"/>
      <c r="N612" s="374"/>
      <c r="O612" s="374"/>
      <c r="P612" s="374"/>
      <c r="Q612" s="374"/>
      <c r="R612" s="374"/>
    </row>
    <row r="613" customFormat="false" ht="15.75" hidden="false" customHeight="false" outlineLevel="0" collapsed="false">
      <c r="A613" s="374" t="n">
        <v>705</v>
      </c>
      <c r="B613" s="374" t="str">
        <f aca="false" t="array" ref="B613:B613">INDEX('0.0.1 Pokémon Dex Data'!$E$3:$E1007,MATCH(A613,'0.0.1 Pokémon Dex Data'!$B$3:$B1007,0))</f>
        <v>Elgyem</v>
      </c>
      <c r="C613" s="374"/>
      <c r="D613" s="374"/>
      <c r="E613" s="374"/>
      <c r="F613" s="374"/>
      <c r="G613" s="374"/>
      <c r="H613" s="374"/>
      <c r="I613" s="374"/>
      <c r="J613" s="374"/>
      <c r="K613" s="374"/>
      <c r="L613" s="374"/>
      <c r="M613" s="374"/>
      <c r="N613" s="374"/>
      <c r="O613" s="374"/>
      <c r="P613" s="374"/>
      <c r="Q613" s="374"/>
      <c r="R613" s="374"/>
    </row>
    <row r="614" customFormat="false" ht="15.75" hidden="false" customHeight="false" outlineLevel="0" collapsed="false">
      <c r="A614" s="374" t="n">
        <v>706</v>
      </c>
      <c r="B614" s="374" t="str">
        <f aca="false" t="array" ref="B614:B614">INDEX('0.0.1 Pokémon Dex Data'!$E$3:$E1007,MATCH(A614,'0.0.1 Pokémon Dex Data'!$B$3:$B1007,0))</f>
        <v>Beheeyem</v>
      </c>
      <c r="C614" s="374"/>
      <c r="D614" s="374"/>
      <c r="E614" s="374"/>
      <c r="F614" s="374"/>
      <c r="G614" s="374"/>
      <c r="H614" s="374"/>
      <c r="I614" s="374"/>
      <c r="J614" s="374"/>
      <c r="K614" s="374"/>
      <c r="L614" s="374"/>
      <c r="M614" s="374"/>
      <c r="N614" s="374"/>
      <c r="O614" s="374"/>
      <c r="P614" s="374"/>
      <c r="Q614" s="374"/>
      <c r="R614" s="374"/>
    </row>
    <row r="615" customFormat="false" ht="15.75" hidden="false" customHeight="false" outlineLevel="0" collapsed="false">
      <c r="A615" s="374" t="n">
        <v>707</v>
      </c>
      <c r="B615" s="374" t="str">
        <f aca="false" t="array" ref="B615:B615">INDEX('0.0.1 Pokémon Dex Data'!$E$3:$E1007,MATCH(A615,'0.0.1 Pokémon Dex Data'!$B$3:$B1007,0))</f>
        <v>Litwick</v>
      </c>
      <c r="C615" s="374"/>
      <c r="D615" s="374"/>
      <c r="E615" s="374"/>
      <c r="F615" s="374"/>
      <c r="G615" s="374"/>
      <c r="H615" s="374"/>
      <c r="I615" s="374"/>
      <c r="J615" s="374"/>
      <c r="K615" s="374"/>
      <c r="L615" s="374"/>
      <c r="M615" s="374"/>
      <c r="N615" s="374"/>
      <c r="O615" s="374"/>
      <c r="P615" s="374"/>
      <c r="Q615" s="374"/>
      <c r="R615" s="374"/>
    </row>
    <row r="616" customFormat="false" ht="15.75" hidden="false" customHeight="false" outlineLevel="0" collapsed="false">
      <c r="A616" s="374" t="n">
        <v>708</v>
      </c>
      <c r="B616" s="374" t="str">
        <f aca="false" t="array" ref="B616:B616">INDEX('0.0.1 Pokémon Dex Data'!$E$3:$E1007,MATCH(A616,'0.0.1 Pokémon Dex Data'!$B$3:$B1007,0))</f>
        <v>Lampent</v>
      </c>
      <c r="C616" s="374"/>
      <c r="D616" s="374"/>
      <c r="E616" s="374"/>
      <c r="F616" s="374"/>
      <c r="G616" s="374"/>
      <c r="H616" s="374"/>
      <c r="I616" s="374"/>
      <c r="J616" s="374"/>
      <c r="K616" s="374"/>
      <c r="L616" s="374"/>
      <c r="M616" s="374"/>
      <c r="N616" s="374"/>
      <c r="O616" s="374"/>
      <c r="P616" s="374"/>
      <c r="Q616" s="374"/>
      <c r="R616" s="374"/>
    </row>
    <row r="617" customFormat="false" ht="15.75" hidden="false" customHeight="false" outlineLevel="0" collapsed="false">
      <c r="A617" s="374" t="n">
        <v>709</v>
      </c>
      <c r="B617" s="374" t="str">
        <f aca="false" t="array" ref="B617:B617">INDEX('0.0.1 Pokémon Dex Data'!$E$3:$E1007,MATCH(A617,'0.0.1 Pokémon Dex Data'!$B$3:$B1007,0))</f>
        <v>Chandelure</v>
      </c>
      <c r="C617" s="374"/>
      <c r="D617" s="374"/>
      <c r="E617" s="374"/>
      <c r="F617" s="374"/>
      <c r="G617" s="374"/>
      <c r="H617" s="374"/>
      <c r="I617" s="374"/>
      <c r="J617" s="374"/>
      <c r="K617" s="374"/>
      <c r="L617" s="374"/>
      <c r="M617" s="374"/>
      <c r="N617" s="374"/>
      <c r="O617" s="374"/>
      <c r="P617" s="374"/>
      <c r="Q617" s="374"/>
      <c r="R617" s="374"/>
    </row>
    <row r="618" customFormat="false" ht="15.75" hidden="false" customHeight="false" outlineLevel="0" collapsed="false">
      <c r="A618" s="374" t="n">
        <v>710</v>
      </c>
      <c r="B618" s="374" t="str">
        <f aca="false" t="array" ref="B618:B618">INDEX('0.0.1 Pokémon Dex Data'!$E$3:$E1007,MATCH(A618,'0.0.1 Pokémon Dex Data'!$B$3:$B1007,0))</f>
        <v>Axew</v>
      </c>
      <c r="C618" s="374"/>
      <c r="D618" s="374"/>
      <c r="E618" s="374"/>
      <c r="F618" s="374"/>
      <c r="G618" s="374"/>
      <c r="H618" s="374"/>
      <c r="I618" s="374"/>
      <c r="J618" s="374"/>
      <c r="K618" s="374"/>
      <c r="L618" s="374"/>
      <c r="M618" s="374"/>
      <c r="N618" s="374"/>
      <c r="O618" s="374"/>
      <c r="P618" s="374"/>
      <c r="Q618" s="374"/>
      <c r="R618" s="374"/>
    </row>
    <row r="619" customFormat="false" ht="15.75" hidden="false" customHeight="false" outlineLevel="0" collapsed="false">
      <c r="A619" s="374" t="n">
        <v>711</v>
      </c>
      <c r="B619" s="374" t="str">
        <f aca="false" t="array" ref="B619:B619">INDEX('0.0.1 Pokémon Dex Data'!$E$3:$E1007,MATCH(A619,'0.0.1 Pokémon Dex Data'!$B$3:$B1007,0))</f>
        <v>Fraxure</v>
      </c>
      <c r="C619" s="374"/>
      <c r="D619" s="374"/>
      <c r="E619" s="374"/>
      <c r="F619" s="374"/>
      <c r="G619" s="374"/>
      <c r="H619" s="374"/>
      <c r="I619" s="374"/>
      <c r="J619" s="374"/>
      <c r="K619" s="374"/>
      <c r="L619" s="374"/>
      <c r="M619" s="374"/>
      <c r="N619" s="374"/>
      <c r="O619" s="374"/>
      <c r="P619" s="374"/>
      <c r="Q619" s="374"/>
      <c r="R619" s="374"/>
    </row>
    <row r="620" customFormat="false" ht="15.75" hidden="false" customHeight="false" outlineLevel="0" collapsed="false">
      <c r="A620" s="374" t="n">
        <v>712</v>
      </c>
      <c r="B620" s="374" t="str">
        <f aca="false" t="array" ref="B620:B620">INDEX('0.0.1 Pokémon Dex Data'!$E$3:$E1007,MATCH(A620,'0.0.1 Pokémon Dex Data'!$B$3:$B1007,0))</f>
        <v>Haxorus</v>
      </c>
      <c r="C620" s="374"/>
      <c r="D620" s="374"/>
      <c r="E620" s="374"/>
      <c r="F620" s="374"/>
      <c r="G620" s="374"/>
      <c r="H620" s="374"/>
      <c r="I620" s="374"/>
      <c r="J620" s="374"/>
      <c r="K620" s="374"/>
      <c r="L620" s="374"/>
      <c r="M620" s="374"/>
      <c r="N620" s="374"/>
      <c r="O620" s="374"/>
      <c r="P620" s="374"/>
      <c r="Q620" s="374"/>
      <c r="R620" s="374"/>
    </row>
    <row r="621" customFormat="false" ht="15.75" hidden="false" customHeight="false" outlineLevel="0" collapsed="false">
      <c r="A621" s="374" t="n">
        <v>713</v>
      </c>
      <c r="B621" s="374" t="str">
        <f aca="false" t="array" ref="B621:B621">INDEX('0.0.1 Pokémon Dex Data'!$E$3:$E1007,MATCH(A621,'0.0.1 Pokémon Dex Data'!$B$3:$B1007,0))</f>
        <v>Cubchoo</v>
      </c>
      <c r="C621" s="374"/>
      <c r="D621" s="374"/>
      <c r="E621" s="374"/>
      <c r="F621" s="374"/>
      <c r="G621" s="374"/>
      <c r="H621" s="374"/>
      <c r="I621" s="374"/>
      <c r="J621" s="374"/>
      <c r="K621" s="374"/>
      <c r="L621" s="374"/>
      <c r="M621" s="374"/>
      <c r="N621" s="374"/>
      <c r="O621" s="374"/>
      <c r="P621" s="374"/>
      <c r="Q621" s="374"/>
      <c r="R621" s="374"/>
    </row>
    <row r="622" customFormat="false" ht="15.75" hidden="false" customHeight="false" outlineLevel="0" collapsed="false">
      <c r="A622" s="374" t="n">
        <v>714</v>
      </c>
      <c r="B622" s="374" t="str">
        <f aca="false" t="array" ref="B622:B622">INDEX('0.0.1 Pokémon Dex Data'!$E$3:$E1007,MATCH(A622,'0.0.1 Pokémon Dex Data'!$B$3:$B1007,0))</f>
        <v>Beartic</v>
      </c>
      <c r="C622" s="374"/>
      <c r="D622" s="374"/>
      <c r="E622" s="374"/>
      <c r="F622" s="374"/>
      <c r="G622" s="374"/>
      <c r="H622" s="374"/>
      <c r="I622" s="374"/>
      <c r="J622" s="374"/>
      <c r="K622" s="374"/>
      <c r="L622" s="374"/>
      <c r="M622" s="374"/>
      <c r="N622" s="374"/>
      <c r="O622" s="374"/>
      <c r="P622" s="374"/>
      <c r="Q622" s="374"/>
      <c r="R622" s="374"/>
    </row>
    <row r="623" customFormat="false" ht="15.75" hidden="false" customHeight="false" outlineLevel="0" collapsed="false">
      <c r="A623" s="374" t="n">
        <v>715</v>
      </c>
      <c r="B623" s="374" t="str">
        <f aca="false" t="array" ref="B623:B623">INDEX('0.0.1 Pokémon Dex Data'!$E$3:$E1007,MATCH(A623,'0.0.1 Pokémon Dex Data'!$B$3:$B1007,0))</f>
        <v>Cryogonal</v>
      </c>
      <c r="C623" s="374"/>
      <c r="D623" s="374"/>
      <c r="E623" s="374"/>
      <c r="F623" s="374"/>
      <c r="G623" s="374"/>
      <c r="H623" s="374"/>
      <c r="I623" s="374"/>
      <c r="J623" s="374"/>
      <c r="K623" s="374"/>
      <c r="L623" s="374"/>
      <c r="M623" s="374"/>
      <c r="N623" s="374"/>
      <c r="O623" s="374"/>
      <c r="P623" s="374"/>
      <c r="Q623" s="374"/>
      <c r="R623" s="374"/>
    </row>
    <row r="624" customFormat="false" ht="15.75" hidden="false" customHeight="false" outlineLevel="0" collapsed="false">
      <c r="A624" s="374" t="n">
        <v>716</v>
      </c>
      <c r="B624" s="374" t="str">
        <f aca="false" t="array" ref="B624:B624">INDEX('0.0.1 Pokémon Dex Data'!$E$3:$E1007,MATCH(A624,'0.0.1 Pokémon Dex Data'!$B$3:$B1007,0))</f>
        <v>Shelmet</v>
      </c>
      <c r="C624" s="374"/>
      <c r="D624" s="374"/>
      <c r="E624" s="374"/>
      <c r="F624" s="374"/>
      <c r="G624" s="374"/>
      <c r="H624" s="374"/>
      <c r="I624" s="374"/>
      <c r="J624" s="374"/>
      <c r="K624" s="374"/>
      <c r="L624" s="374"/>
      <c r="M624" s="374"/>
      <c r="N624" s="374"/>
      <c r="O624" s="374"/>
      <c r="P624" s="374"/>
      <c r="Q624" s="374"/>
      <c r="R624" s="374"/>
    </row>
    <row r="625" customFormat="false" ht="15.75" hidden="false" customHeight="false" outlineLevel="0" collapsed="false">
      <c r="A625" s="374" t="n">
        <v>717</v>
      </c>
      <c r="B625" s="374" t="str">
        <f aca="false" t="array" ref="B625:B625">INDEX('0.0.1 Pokémon Dex Data'!$E$3:$E1007,MATCH(A625,'0.0.1 Pokémon Dex Data'!$B$3:$B1007,0))</f>
        <v>Accelgor</v>
      </c>
      <c r="C625" s="374"/>
      <c r="D625" s="374"/>
      <c r="E625" s="374"/>
      <c r="F625" s="374"/>
      <c r="G625" s="374"/>
      <c r="H625" s="374"/>
      <c r="I625" s="374"/>
      <c r="J625" s="374"/>
      <c r="K625" s="374"/>
      <c r="L625" s="374"/>
      <c r="M625" s="374"/>
      <c r="N625" s="374"/>
      <c r="O625" s="374"/>
      <c r="P625" s="374"/>
      <c r="Q625" s="374"/>
      <c r="R625" s="374"/>
    </row>
    <row r="626" customFormat="false" ht="15.75" hidden="false" customHeight="false" outlineLevel="0" collapsed="false">
      <c r="A626" s="374" t="n">
        <v>718</v>
      </c>
      <c r="B626" s="374" t="str">
        <f aca="false" t="array" ref="B626:B626">INDEX('0.0.1 Pokémon Dex Data'!$E$3:$E1007,MATCH(A626,'0.0.1 Pokémon Dex Data'!$B$3:$B1007,0))</f>
        <v>Stunfisk</v>
      </c>
      <c r="C626" s="374"/>
      <c r="D626" s="374"/>
      <c r="E626" s="374"/>
      <c r="F626" s="374"/>
      <c r="G626" s="374"/>
      <c r="H626" s="374"/>
      <c r="I626" s="374"/>
      <c r="J626" s="374"/>
      <c r="K626" s="374"/>
      <c r="L626" s="374"/>
      <c r="M626" s="374"/>
      <c r="N626" s="374"/>
      <c r="O626" s="374"/>
      <c r="P626" s="374"/>
      <c r="Q626" s="374"/>
      <c r="R626" s="374"/>
    </row>
    <row r="627" customFormat="false" ht="15.75" hidden="false" customHeight="false" outlineLevel="0" collapsed="false">
      <c r="A627" s="374" t="n">
        <v>719</v>
      </c>
      <c r="B627" s="374" t="str">
        <f aca="false" t="array" ref="B627:B627">INDEX('0.0.1 Pokémon Dex Data'!$E$3:$E1007,MATCH(A627,'0.0.1 Pokémon Dex Data'!$B$3:$B1007,0))</f>
        <v>Mienfoo</v>
      </c>
      <c r="C627" s="374"/>
      <c r="D627" s="374"/>
      <c r="E627" s="374"/>
      <c r="F627" s="374"/>
      <c r="G627" s="374"/>
      <c r="H627" s="374"/>
      <c r="I627" s="374"/>
      <c r="J627" s="374"/>
      <c r="K627" s="374"/>
      <c r="L627" s="374"/>
      <c r="M627" s="374"/>
      <c r="N627" s="374"/>
      <c r="O627" s="374"/>
      <c r="P627" s="374"/>
      <c r="Q627" s="374"/>
      <c r="R627" s="374"/>
    </row>
    <row r="628" customFormat="false" ht="15.75" hidden="false" customHeight="false" outlineLevel="0" collapsed="false">
      <c r="A628" s="374" t="n">
        <v>720</v>
      </c>
      <c r="B628" s="374" t="str">
        <f aca="false" t="array" ref="B628:B628">INDEX('0.0.1 Pokémon Dex Data'!$E$3:$E1007,MATCH(A628,'0.0.1 Pokémon Dex Data'!$B$3:$B1007,0))</f>
        <v>Mienshao</v>
      </c>
      <c r="C628" s="374"/>
      <c r="D628" s="374"/>
      <c r="E628" s="374"/>
      <c r="F628" s="374"/>
      <c r="G628" s="374"/>
      <c r="H628" s="374"/>
      <c r="I628" s="374"/>
      <c r="J628" s="374"/>
      <c r="K628" s="374"/>
      <c r="L628" s="374"/>
      <c r="M628" s="374"/>
      <c r="N628" s="374"/>
      <c r="O628" s="374"/>
      <c r="P628" s="374"/>
      <c r="Q628" s="374"/>
      <c r="R628" s="374"/>
    </row>
    <row r="629" customFormat="false" ht="15.75" hidden="false" customHeight="false" outlineLevel="0" collapsed="false">
      <c r="A629" s="374" t="n">
        <v>721</v>
      </c>
      <c r="B629" s="374" t="str">
        <f aca="false" t="array" ref="B629:B629">INDEX('0.0.1 Pokémon Dex Data'!$E$3:$E1007,MATCH(A629,'0.0.1 Pokémon Dex Data'!$B$3:$B1007,0))</f>
        <v>Druddigon</v>
      </c>
      <c r="C629" s="374"/>
      <c r="D629" s="374"/>
      <c r="E629" s="374"/>
      <c r="F629" s="374"/>
      <c r="G629" s="374"/>
      <c r="H629" s="374"/>
      <c r="I629" s="374"/>
      <c r="J629" s="374"/>
      <c r="K629" s="374"/>
      <c r="L629" s="374"/>
      <c r="M629" s="374"/>
      <c r="N629" s="374"/>
      <c r="O629" s="374"/>
      <c r="P629" s="374"/>
      <c r="Q629" s="374"/>
      <c r="R629" s="374"/>
    </row>
    <row r="630" customFormat="false" ht="15.75" hidden="false" customHeight="false" outlineLevel="0" collapsed="false">
      <c r="A630" s="374" t="n">
        <v>722</v>
      </c>
      <c r="B630" s="374" t="str">
        <f aca="false" t="array" ref="B630:B630">INDEX('0.0.1 Pokémon Dex Data'!$E$3:$E1007,MATCH(A630,'0.0.1 Pokémon Dex Data'!$B$3:$B1007,0))</f>
        <v>Golett</v>
      </c>
      <c r="C630" s="374"/>
      <c r="D630" s="374"/>
      <c r="E630" s="374"/>
      <c r="F630" s="374"/>
      <c r="G630" s="374"/>
      <c r="H630" s="374"/>
      <c r="I630" s="374"/>
      <c r="J630" s="374"/>
      <c r="K630" s="374"/>
      <c r="L630" s="374"/>
      <c r="M630" s="374"/>
      <c r="N630" s="374"/>
      <c r="O630" s="374"/>
      <c r="P630" s="374"/>
      <c r="Q630" s="374"/>
      <c r="R630" s="374"/>
    </row>
    <row r="631" customFormat="false" ht="15.75" hidden="false" customHeight="false" outlineLevel="0" collapsed="false">
      <c r="A631" s="374" t="n">
        <v>723</v>
      </c>
      <c r="B631" s="374" t="str">
        <f aca="false" t="array" ref="B631:B631">INDEX('0.0.1 Pokémon Dex Data'!$E$3:$E1007,MATCH(A631,'0.0.1 Pokémon Dex Data'!$B$3:$B1007,0))</f>
        <v>Golurk</v>
      </c>
      <c r="C631" s="374"/>
      <c r="D631" s="374"/>
      <c r="E631" s="374"/>
      <c r="F631" s="374"/>
      <c r="G631" s="374"/>
      <c r="H631" s="374"/>
      <c r="I631" s="374"/>
      <c r="J631" s="374"/>
      <c r="K631" s="374"/>
      <c r="L631" s="374"/>
      <c r="M631" s="374"/>
      <c r="N631" s="374"/>
      <c r="O631" s="374"/>
      <c r="P631" s="374"/>
      <c r="Q631" s="374"/>
      <c r="R631" s="374"/>
    </row>
    <row r="632" customFormat="false" ht="15.75" hidden="false" customHeight="false" outlineLevel="0" collapsed="false">
      <c r="A632" s="374" t="n">
        <v>724</v>
      </c>
      <c r="B632" s="374" t="str">
        <f aca="false" t="array" ref="B632:B632">INDEX('0.0.1 Pokémon Dex Data'!$E$3:$E1007,MATCH(A632,'0.0.1 Pokémon Dex Data'!$B$3:$B1007,0))</f>
        <v>Pawniard</v>
      </c>
      <c r="C632" s="374"/>
      <c r="D632" s="374"/>
      <c r="E632" s="374"/>
      <c r="F632" s="374"/>
      <c r="G632" s="374"/>
      <c r="H632" s="374"/>
      <c r="I632" s="374"/>
      <c r="J632" s="374"/>
      <c r="K632" s="374"/>
      <c r="L632" s="374"/>
      <c r="M632" s="374"/>
      <c r="N632" s="374"/>
      <c r="O632" s="374"/>
      <c r="P632" s="374"/>
      <c r="Q632" s="374"/>
      <c r="R632" s="374"/>
    </row>
    <row r="633" customFormat="false" ht="15.75" hidden="false" customHeight="false" outlineLevel="0" collapsed="false">
      <c r="A633" s="374" t="n">
        <v>725</v>
      </c>
      <c r="B633" s="374" t="str">
        <f aca="false" t="array" ref="B633:B633">INDEX('0.0.1 Pokémon Dex Data'!$E$3:$E1007,MATCH(A633,'0.0.1 Pokémon Dex Data'!$B$3:$B1007,0))</f>
        <v>Bisharp</v>
      </c>
      <c r="C633" s="374"/>
      <c r="D633" s="374"/>
      <c r="E633" s="374"/>
      <c r="F633" s="374"/>
      <c r="G633" s="374"/>
      <c r="H633" s="374"/>
      <c r="I633" s="374"/>
      <c r="J633" s="374"/>
      <c r="K633" s="374"/>
      <c r="L633" s="374"/>
      <c r="M633" s="374"/>
      <c r="N633" s="374"/>
      <c r="O633" s="374"/>
      <c r="P633" s="374"/>
      <c r="Q633" s="374"/>
      <c r="R633" s="374"/>
    </row>
    <row r="634" customFormat="false" ht="15.75" hidden="false" customHeight="false" outlineLevel="0" collapsed="false">
      <c r="A634" s="374" t="n">
        <v>726</v>
      </c>
      <c r="B634" s="374" t="str">
        <f aca="false" t="array" ref="B634:B634">INDEX('0.0.1 Pokémon Dex Data'!$E$3:$E1007,MATCH(A634,'0.0.1 Pokémon Dex Data'!$B$3:$B1007,0))</f>
        <v>Bouffalant</v>
      </c>
      <c r="C634" s="374"/>
      <c r="D634" s="374"/>
      <c r="E634" s="374"/>
      <c r="F634" s="374"/>
      <c r="G634" s="374"/>
      <c r="H634" s="374"/>
      <c r="I634" s="374"/>
      <c r="J634" s="374"/>
      <c r="K634" s="374"/>
      <c r="L634" s="374"/>
      <c r="M634" s="374"/>
      <c r="N634" s="374"/>
      <c r="O634" s="374"/>
      <c r="P634" s="374"/>
      <c r="Q634" s="374"/>
      <c r="R634" s="374"/>
    </row>
    <row r="635" customFormat="false" ht="15.75" hidden="false" customHeight="false" outlineLevel="0" collapsed="false">
      <c r="A635" s="374" t="n">
        <v>727</v>
      </c>
      <c r="B635" s="374" t="str">
        <f aca="false" t="array" ref="B635:B635">INDEX('0.0.1 Pokémon Dex Data'!$E$3:$E1007,MATCH(A635,'0.0.1 Pokémon Dex Data'!$B$3:$B1007,0))</f>
        <v>Rufflet</v>
      </c>
      <c r="C635" s="374"/>
      <c r="D635" s="374"/>
      <c r="E635" s="374"/>
      <c r="F635" s="374"/>
      <c r="G635" s="374"/>
      <c r="H635" s="374"/>
      <c r="I635" s="374"/>
      <c r="J635" s="374"/>
      <c r="K635" s="374"/>
      <c r="L635" s="374"/>
      <c r="M635" s="374"/>
      <c r="N635" s="374"/>
      <c r="O635" s="374"/>
      <c r="P635" s="374"/>
      <c r="Q635" s="374"/>
      <c r="R635" s="374"/>
    </row>
    <row r="636" customFormat="false" ht="15.75" hidden="false" customHeight="false" outlineLevel="0" collapsed="false">
      <c r="A636" s="374" t="n">
        <v>728</v>
      </c>
      <c r="B636" s="374" t="str">
        <f aca="false" t="array" ref="B636:B636">INDEX('0.0.1 Pokémon Dex Data'!$E$3:$E1007,MATCH(A636,'0.0.1 Pokémon Dex Data'!$B$3:$B1007,0))</f>
        <v>Braviary</v>
      </c>
      <c r="C636" s="374"/>
      <c r="D636" s="374"/>
      <c r="E636" s="374"/>
      <c r="F636" s="374"/>
      <c r="G636" s="374"/>
      <c r="H636" s="374"/>
      <c r="I636" s="374"/>
      <c r="J636" s="374"/>
      <c r="K636" s="374"/>
      <c r="L636" s="374"/>
      <c r="M636" s="374"/>
      <c r="N636" s="374"/>
      <c r="O636" s="374"/>
      <c r="P636" s="374"/>
      <c r="Q636" s="374"/>
      <c r="R636" s="374"/>
    </row>
    <row r="637" customFormat="false" ht="15.75" hidden="false" customHeight="false" outlineLevel="0" collapsed="false">
      <c r="A637" s="374" t="n">
        <v>729</v>
      </c>
      <c r="B637" s="374" t="str">
        <f aca="false" t="array" ref="B637:B637">INDEX('0.0.1 Pokémon Dex Data'!$E$3:$E1007,MATCH(A637,'0.0.1 Pokémon Dex Data'!$B$3:$B1007,0))</f>
        <v>Vullaby</v>
      </c>
      <c r="C637" s="374"/>
      <c r="D637" s="374"/>
      <c r="E637" s="374"/>
      <c r="F637" s="374"/>
      <c r="G637" s="374"/>
      <c r="H637" s="374"/>
      <c r="I637" s="374"/>
      <c r="J637" s="374"/>
      <c r="K637" s="374"/>
      <c r="L637" s="374"/>
      <c r="M637" s="374"/>
      <c r="N637" s="374"/>
      <c r="O637" s="374"/>
      <c r="P637" s="374"/>
      <c r="Q637" s="374"/>
      <c r="R637" s="374"/>
    </row>
    <row r="638" customFormat="false" ht="15.75" hidden="false" customHeight="false" outlineLevel="0" collapsed="false">
      <c r="A638" s="374" t="n">
        <v>730</v>
      </c>
      <c r="B638" s="374" t="str">
        <f aca="false" t="array" ref="B638:B638">INDEX('0.0.1 Pokémon Dex Data'!$E$3:$E1007,MATCH(A638,'0.0.1 Pokémon Dex Data'!$B$3:$B1007,0))</f>
        <v>Mandibuzz</v>
      </c>
      <c r="C638" s="374"/>
      <c r="D638" s="374"/>
      <c r="E638" s="374"/>
      <c r="F638" s="374"/>
      <c r="G638" s="374"/>
      <c r="H638" s="374"/>
      <c r="I638" s="374"/>
      <c r="J638" s="374"/>
      <c r="K638" s="374"/>
      <c r="L638" s="374"/>
      <c r="M638" s="374"/>
      <c r="N638" s="374"/>
      <c r="O638" s="374"/>
      <c r="P638" s="374"/>
      <c r="Q638" s="374"/>
      <c r="R638" s="374"/>
    </row>
    <row r="639" customFormat="false" ht="15.75" hidden="false" customHeight="false" outlineLevel="0" collapsed="false">
      <c r="A639" s="374" t="n">
        <v>731</v>
      </c>
      <c r="B639" s="374" t="str">
        <f aca="false" t="array" ref="B639:B639">INDEX('0.0.1 Pokémon Dex Data'!$E$3:$E1007,MATCH(A639,'0.0.1 Pokémon Dex Data'!$B$3:$B1007,0))</f>
        <v>Heatmor</v>
      </c>
      <c r="C639" s="374"/>
      <c r="D639" s="374"/>
      <c r="E639" s="374"/>
      <c r="F639" s="374"/>
      <c r="G639" s="374"/>
      <c r="H639" s="374"/>
      <c r="I639" s="374"/>
      <c r="J639" s="374"/>
      <c r="K639" s="374"/>
      <c r="L639" s="374"/>
      <c r="M639" s="374"/>
      <c r="N639" s="374"/>
      <c r="O639" s="374"/>
      <c r="P639" s="374"/>
      <c r="Q639" s="374"/>
      <c r="R639" s="374"/>
    </row>
    <row r="640" customFormat="false" ht="15.75" hidden="false" customHeight="false" outlineLevel="0" collapsed="false">
      <c r="A640" s="374" t="n">
        <v>732</v>
      </c>
      <c r="B640" s="374" t="str">
        <f aca="false" t="array" ref="B640:B640">INDEX('0.0.1 Pokémon Dex Data'!$E$3:$E1007,MATCH(A640,'0.0.1 Pokémon Dex Data'!$B$3:$B1007,0))</f>
        <v>Durant</v>
      </c>
      <c r="C640" s="374"/>
      <c r="D640" s="374"/>
      <c r="E640" s="374"/>
      <c r="F640" s="374"/>
      <c r="G640" s="374"/>
      <c r="H640" s="374"/>
      <c r="I640" s="374"/>
      <c r="J640" s="374"/>
      <c r="K640" s="374"/>
      <c r="L640" s="374"/>
      <c r="M640" s="374"/>
      <c r="N640" s="374"/>
      <c r="O640" s="374"/>
      <c r="P640" s="374"/>
      <c r="Q640" s="374"/>
      <c r="R640" s="374"/>
    </row>
    <row r="641" customFormat="false" ht="15.75" hidden="false" customHeight="false" outlineLevel="0" collapsed="false">
      <c r="A641" s="374" t="n">
        <v>733</v>
      </c>
      <c r="B641" s="374" t="str">
        <f aca="false" t="array" ref="B641:B641">INDEX('0.0.1 Pokémon Dex Data'!$E$3:$E1007,MATCH(A641,'0.0.1 Pokémon Dex Data'!$B$3:$B1007,0))</f>
        <v>Deino</v>
      </c>
      <c r="C641" s="374"/>
      <c r="D641" s="374"/>
      <c r="E641" s="374"/>
      <c r="F641" s="374"/>
      <c r="G641" s="374"/>
      <c r="H641" s="374"/>
      <c r="I641" s="374"/>
      <c r="J641" s="374"/>
      <c r="K641" s="374"/>
      <c r="L641" s="374"/>
      <c r="M641" s="374"/>
      <c r="N641" s="374"/>
      <c r="O641" s="374"/>
      <c r="P641" s="374"/>
      <c r="Q641" s="374"/>
      <c r="R641" s="374"/>
    </row>
    <row r="642" customFormat="false" ht="15.75" hidden="false" customHeight="false" outlineLevel="0" collapsed="false">
      <c r="A642" s="374" t="n">
        <v>734</v>
      </c>
      <c r="B642" s="374" t="str">
        <f aca="false" t="array" ref="B642:B642">INDEX('0.0.1 Pokémon Dex Data'!$E$3:$E1007,MATCH(A642,'0.0.1 Pokémon Dex Data'!$B$3:$B1007,0))</f>
        <v>Zweilous</v>
      </c>
      <c r="C642" s="374"/>
      <c r="D642" s="374"/>
      <c r="E642" s="374"/>
      <c r="F642" s="374"/>
      <c r="G642" s="374"/>
      <c r="H642" s="374"/>
      <c r="I642" s="374"/>
      <c r="J642" s="374"/>
      <c r="K642" s="374"/>
      <c r="L642" s="374"/>
      <c r="M642" s="374"/>
      <c r="N642" s="374"/>
      <c r="O642" s="374"/>
      <c r="P642" s="374"/>
      <c r="Q642" s="374"/>
      <c r="R642" s="374"/>
    </row>
    <row r="643" customFormat="false" ht="15.75" hidden="false" customHeight="false" outlineLevel="0" collapsed="false">
      <c r="A643" s="374" t="n">
        <v>735</v>
      </c>
      <c r="B643" s="374" t="str">
        <f aca="false" t="array" ref="B643:B643">INDEX('0.0.1 Pokémon Dex Data'!$E$3:$E1007,MATCH(A643,'0.0.1 Pokémon Dex Data'!$B$3:$B1007,0))</f>
        <v>Hydreigon</v>
      </c>
      <c r="C643" s="374"/>
      <c r="D643" s="374"/>
      <c r="E643" s="374"/>
      <c r="F643" s="374"/>
      <c r="G643" s="374"/>
      <c r="H643" s="374"/>
      <c r="I643" s="374"/>
      <c r="J643" s="374"/>
      <c r="K643" s="374"/>
      <c r="L643" s="374"/>
      <c r="M643" s="374"/>
      <c r="N643" s="374"/>
      <c r="O643" s="374"/>
      <c r="P643" s="374"/>
      <c r="Q643" s="374"/>
      <c r="R643" s="374"/>
    </row>
    <row r="644" customFormat="false" ht="15.75" hidden="false" customHeight="false" outlineLevel="0" collapsed="false">
      <c r="A644" s="374" t="n">
        <v>736</v>
      </c>
      <c r="B644" s="374" t="str">
        <f aca="false" t="array" ref="B644:B644">INDEX('0.0.1 Pokémon Dex Data'!$E$3:$E1007,MATCH(A644,'0.0.1 Pokémon Dex Data'!$B$3:$B1007,0))</f>
        <v>Larvesta</v>
      </c>
      <c r="C644" s="374"/>
      <c r="D644" s="374"/>
      <c r="E644" s="374"/>
      <c r="F644" s="374"/>
      <c r="G644" s="374"/>
      <c r="H644" s="374"/>
      <c r="I644" s="374"/>
      <c r="J644" s="374"/>
      <c r="K644" s="374"/>
      <c r="L644" s="374"/>
      <c r="M644" s="374"/>
      <c r="N644" s="374"/>
      <c r="O644" s="374"/>
      <c r="P644" s="374"/>
      <c r="Q644" s="374"/>
      <c r="R644" s="374"/>
    </row>
    <row r="645" customFormat="false" ht="15.75" hidden="false" customHeight="false" outlineLevel="0" collapsed="false">
      <c r="A645" s="374" t="n">
        <v>737</v>
      </c>
      <c r="B645" s="374" t="str">
        <f aca="false" t="array" ref="B645:B645">INDEX('0.0.1 Pokémon Dex Data'!$E$3:$E1007,MATCH(A645,'0.0.1 Pokémon Dex Data'!$B$3:$B1007,0))</f>
        <v>Volcarona</v>
      </c>
      <c r="C645" s="374"/>
      <c r="D645" s="374"/>
      <c r="E645" s="374"/>
      <c r="F645" s="374"/>
      <c r="G645" s="374"/>
      <c r="H645" s="374"/>
      <c r="I645" s="374"/>
      <c r="J645" s="374"/>
      <c r="K645" s="374"/>
      <c r="L645" s="374"/>
      <c r="M645" s="374"/>
      <c r="N645" s="374"/>
      <c r="O645" s="374"/>
      <c r="P645" s="374"/>
      <c r="Q645" s="374"/>
      <c r="R645" s="374"/>
    </row>
    <row r="646" customFormat="false" ht="15.75" hidden="false" customHeight="false" outlineLevel="0" collapsed="false">
      <c r="A646" s="374" t="n">
        <v>738</v>
      </c>
      <c r="B646" s="374" t="str">
        <f aca="false" t="array" ref="B646:B646">INDEX('0.0.1 Pokémon Dex Data'!$E$3:$E1007,MATCH(A646,'0.0.1 Pokémon Dex Data'!$B$3:$B1007,0))</f>
        <v>Cobalion</v>
      </c>
      <c r="C646" s="374"/>
      <c r="D646" s="374"/>
      <c r="E646" s="374"/>
      <c r="F646" s="374"/>
      <c r="G646" s="374"/>
      <c r="H646" s="374"/>
      <c r="I646" s="374"/>
      <c r="J646" s="374"/>
      <c r="K646" s="374"/>
      <c r="L646" s="374"/>
      <c r="M646" s="374"/>
      <c r="N646" s="374"/>
      <c r="O646" s="374"/>
      <c r="P646" s="374"/>
      <c r="Q646" s="374"/>
      <c r="R646" s="374"/>
    </row>
    <row r="647" customFormat="false" ht="15.75" hidden="false" customHeight="false" outlineLevel="0" collapsed="false">
      <c r="A647" s="374" t="n">
        <v>739</v>
      </c>
      <c r="B647" s="374" t="str">
        <f aca="false" t="array" ref="B647:B647">INDEX('0.0.1 Pokémon Dex Data'!$E$3:$E1007,MATCH(A647,'0.0.1 Pokémon Dex Data'!$B$3:$B1007,0))</f>
        <v>Terrakion</v>
      </c>
      <c r="C647" s="374"/>
      <c r="D647" s="374"/>
      <c r="E647" s="374"/>
      <c r="F647" s="374"/>
      <c r="G647" s="374"/>
      <c r="H647" s="374"/>
      <c r="I647" s="374"/>
      <c r="J647" s="374"/>
      <c r="K647" s="374"/>
      <c r="L647" s="374"/>
      <c r="M647" s="374"/>
      <c r="N647" s="374"/>
      <c r="O647" s="374"/>
      <c r="P647" s="374"/>
      <c r="Q647" s="374"/>
      <c r="R647" s="374"/>
    </row>
    <row r="648" customFormat="false" ht="15.75" hidden="false" customHeight="false" outlineLevel="0" collapsed="false">
      <c r="A648" s="374" t="n">
        <v>740</v>
      </c>
      <c r="B648" s="374" t="str">
        <f aca="false" t="array" ref="B648:B648">INDEX('0.0.1 Pokémon Dex Data'!$E$3:$E1007,MATCH(A648,'0.0.1 Pokémon Dex Data'!$B$3:$B1007,0))</f>
        <v>Virizion</v>
      </c>
      <c r="C648" s="374"/>
      <c r="D648" s="374"/>
      <c r="E648" s="374"/>
      <c r="F648" s="374"/>
      <c r="G648" s="374"/>
      <c r="H648" s="374"/>
      <c r="I648" s="374"/>
      <c r="J648" s="374"/>
      <c r="K648" s="374"/>
      <c r="L648" s="374"/>
      <c r="M648" s="374"/>
      <c r="N648" s="374"/>
      <c r="O648" s="374"/>
      <c r="P648" s="374"/>
      <c r="Q648" s="374"/>
      <c r="R648" s="374"/>
    </row>
    <row r="649" customFormat="false" ht="15.75" hidden="false" customHeight="false" outlineLevel="0" collapsed="false">
      <c r="A649" s="374" t="n">
        <v>741</v>
      </c>
      <c r="B649" s="374" t="str">
        <f aca="false" t="array" ref="B649:B649">INDEX('0.0.1 Pokémon Dex Data'!$E$3:$E1007,MATCH(A649,'0.0.1 Pokémon Dex Data'!$B$3:$B1007,0))</f>
        <v>Tornadus</v>
      </c>
      <c r="C649" s="374"/>
      <c r="D649" s="374"/>
      <c r="E649" s="374"/>
      <c r="F649" s="374"/>
      <c r="G649" s="374"/>
      <c r="H649" s="374"/>
      <c r="I649" s="374"/>
      <c r="J649" s="374"/>
      <c r="K649" s="374"/>
      <c r="L649" s="374"/>
      <c r="M649" s="374"/>
      <c r="N649" s="374"/>
      <c r="O649" s="374"/>
      <c r="P649" s="374"/>
      <c r="Q649" s="374"/>
      <c r="R649" s="374"/>
    </row>
    <row r="650" customFormat="false" ht="15.75" hidden="false" customHeight="false" outlineLevel="0" collapsed="false">
      <c r="A650" s="374" t="n">
        <v>743</v>
      </c>
      <c r="B650" s="374" t="str">
        <f aca="false" t="array" ref="B650:B650">INDEX('0.0.1 Pokémon Dex Data'!$E$3:$E1007,MATCH(A650,'0.0.1 Pokémon Dex Data'!$B$3:$B1007,0))</f>
        <v>Thundurus</v>
      </c>
      <c r="C650" s="374"/>
      <c r="D650" s="374"/>
      <c r="E650" s="374"/>
      <c r="F650" s="374"/>
      <c r="G650" s="374"/>
      <c r="H650" s="374"/>
      <c r="I650" s="374"/>
      <c r="J650" s="374"/>
      <c r="K650" s="374"/>
      <c r="L650" s="374"/>
      <c r="M650" s="374"/>
      <c r="N650" s="374"/>
      <c r="O650" s="374"/>
      <c r="P650" s="374"/>
      <c r="Q650" s="374"/>
      <c r="R650" s="374"/>
    </row>
    <row r="651" customFormat="false" ht="15.75" hidden="false" customHeight="false" outlineLevel="0" collapsed="false">
      <c r="A651" s="374" t="n">
        <v>745</v>
      </c>
      <c r="B651" s="374" t="str">
        <f aca="false" t="array" ref="B651:B651">INDEX('0.0.1 Pokémon Dex Data'!$E$3:$E1007,MATCH(A651,'0.0.1 Pokémon Dex Data'!$B$3:$B1007,0))</f>
        <v>Reshiram</v>
      </c>
      <c r="C651" s="374"/>
      <c r="D651" s="374"/>
      <c r="E651" s="374"/>
      <c r="F651" s="374"/>
      <c r="G651" s="374"/>
      <c r="H651" s="374"/>
      <c r="I651" s="374"/>
      <c r="J651" s="374"/>
      <c r="K651" s="374"/>
      <c r="L651" s="374"/>
      <c r="M651" s="374"/>
      <c r="N651" s="374"/>
      <c r="O651" s="374"/>
      <c r="P651" s="374"/>
      <c r="Q651" s="374"/>
      <c r="R651" s="374"/>
    </row>
    <row r="652" customFormat="false" ht="15.75" hidden="false" customHeight="false" outlineLevel="0" collapsed="false">
      <c r="A652" s="374" t="n">
        <v>746</v>
      </c>
      <c r="B652" s="374" t="str">
        <f aca="false" t="array" ref="B652:B652">INDEX('0.0.1 Pokémon Dex Data'!$E$3:$E1007,MATCH(A652,'0.0.1 Pokémon Dex Data'!$B$3:$B1007,0))</f>
        <v>Zekrom</v>
      </c>
      <c r="C652" s="374"/>
      <c r="D652" s="374"/>
      <c r="E652" s="374"/>
      <c r="F652" s="374"/>
      <c r="G652" s="374"/>
      <c r="H652" s="374"/>
      <c r="I652" s="374"/>
      <c r="J652" s="374"/>
      <c r="K652" s="374"/>
      <c r="L652" s="374"/>
      <c r="M652" s="374"/>
      <c r="N652" s="374"/>
      <c r="O652" s="374"/>
      <c r="P652" s="374"/>
      <c r="Q652" s="374"/>
      <c r="R652" s="374"/>
    </row>
    <row r="653" customFormat="false" ht="15.75" hidden="false" customHeight="false" outlineLevel="0" collapsed="false">
      <c r="A653" s="374" t="n">
        <v>747</v>
      </c>
      <c r="B653" s="374" t="str">
        <f aca="false" t="array" ref="B653:B653">INDEX('0.0.1 Pokémon Dex Data'!$E$3:$E1007,MATCH(A653,'0.0.1 Pokémon Dex Data'!$B$3:$B1007,0))</f>
        <v>Landorus</v>
      </c>
      <c r="C653" s="374"/>
      <c r="D653" s="374"/>
      <c r="E653" s="374"/>
      <c r="F653" s="374"/>
      <c r="G653" s="374"/>
      <c r="H653" s="374"/>
      <c r="I653" s="374"/>
      <c r="J653" s="374"/>
      <c r="K653" s="374"/>
      <c r="L653" s="374"/>
      <c r="M653" s="374"/>
      <c r="N653" s="374"/>
      <c r="O653" s="374"/>
      <c r="P653" s="374"/>
      <c r="Q653" s="374"/>
      <c r="R653" s="374"/>
    </row>
    <row r="654" customFormat="false" ht="15.75" hidden="false" customHeight="false" outlineLevel="0" collapsed="false">
      <c r="A654" s="374" t="n">
        <v>749</v>
      </c>
      <c r="B654" s="374" t="str">
        <f aca="false" t="array" ref="B654:B654">INDEX('0.0.1 Pokémon Dex Data'!$E$3:$E1007,MATCH(A654,'0.0.1 Pokémon Dex Data'!$B$3:$B1007,0))</f>
        <v>Kyurem</v>
      </c>
      <c r="C654" s="374"/>
      <c r="D654" s="374"/>
      <c r="E654" s="374"/>
      <c r="F654" s="374"/>
      <c r="G654" s="374"/>
      <c r="H654" s="374"/>
      <c r="I654" s="374"/>
      <c r="J654" s="374"/>
      <c r="K654" s="374"/>
      <c r="L654" s="374"/>
      <c r="M654" s="374"/>
      <c r="N654" s="374"/>
      <c r="O654" s="374"/>
      <c r="P654" s="374"/>
      <c r="Q654" s="374"/>
      <c r="R654" s="374"/>
    </row>
    <row r="655" customFormat="false" ht="15.75" hidden="false" customHeight="false" outlineLevel="0" collapsed="false">
      <c r="A655" s="374" t="n">
        <v>752</v>
      </c>
      <c r="B655" s="374" t="str">
        <f aca="false" t="array" ref="B655:B655">INDEX('0.0.1 Pokémon Dex Data'!$E$3:$E1007,MATCH(A655,'0.0.1 Pokémon Dex Data'!$B$3:$B1007,0))</f>
        <v>Keldeo</v>
      </c>
      <c r="C655" s="374"/>
      <c r="D655" s="374"/>
      <c r="E655" s="374"/>
      <c r="F655" s="374"/>
      <c r="G655" s="374"/>
      <c r="H655" s="374"/>
      <c r="I655" s="374"/>
      <c r="J655" s="374"/>
      <c r="K655" s="374"/>
      <c r="L655" s="374"/>
      <c r="M655" s="374"/>
      <c r="N655" s="374"/>
      <c r="O655" s="374"/>
      <c r="P655" s="374"/>
      <c r="Q655" s="374"/>
      <c r="R655" s="374"/>
    </row>
    <row r="656" customFormat="false" ht="15.75" hidden="false" customHeight="false" outlineLevel="0" collapsed="false">
      <c r="A656" s="374" t="n">
        <v>753</v>
      </c>
      <c r="B656" s="374" t="str">
        <f aca="false" t="array" ref="B656:B656">INDEX('0.0.1 Pokémon Dex Data'!$E$3:$E1007,MATCH(A656,'0.0.1 Pokémon Dex Data'!$B$3:$B1007,0))</f>
        <v>Meloetta</v>
      </c>
      <c r="C656" s="374"/>
      <c r="D656" s="374"/>
      <c r="E656" s="374"/>
      <c r="F656" s="374"/>
      <c r="G656" s="374"/>
      <c r="H656" s="374"/>
      <c r="I656" s="374"/>
      <c r="J656" s="374"/>
      <c r="K656" s="374"/>
      <c r="L656" s="374"/>
      <c r="M656" s="374"/>
      <c r="N656" s="374"/>
      <c r="O656" s="374"/>
      <c r="P656" s="374"/>
      <c r="Q656" s="374"/>
      <c r="R656" s="374"/>
    </row>
    <row r="657" customFormat="false" ht="15.75" hidden="false" customHeight="false" outlineLevel="0" collapsed="false">
      <c r="A657" s="374" t="n">
        <v>755</v>
      </c>
      <c r="B657" s="374" t="str">
        <f aca="false" t="array" ref="B657:B657">INDEX('0.0.1 Pokémon Dex Data'!$E$3:$E1007,MATCH(A657,'0.0.1 Pokémon Dex Data'!$B$3:$B1007,0))</f>
        <v>Genesect</v>
      </c>
      <c r="C657" s="374"/>
      <c r="D657" s="374"/>
      <c r="E657" s="374"/>
      <c r="F657" s="374"/>
      <c r="G657" s="374"/>
      <c r="H657" s="374"/>
      <c r="I657" s="374"/>
      <c r="J657" s="374"/>
      <c r="K657" s="374"/>
      <c r="L657" s="374"/>
      <c r="M657" s="374"/>
      <c r="N657" s="374"/>
      <c r="O657" s="374"/>
      <c r="P657" s="374"/>
      <c r="Q657" s="374"/>
      <c r="R657" s="374"/>
    </row>
    <row r="658" customFormat="false" ht="15.75" hidden="false" customHeight="false" outlineLevel="0" collapsed="false">
      <c r="A658" s="374" t="n">
        <v>756</v>
      </c>
      <c r="B658" s="374" t="str">
        <f aca="false" t="array" ref="B658:B658">INDEX('0.0.1 Pokémon Dex Data'!$E$3:$E1007,MATCH(A658,'0.0.1 Pokémon Dex Data'!$B$3:$B1007,0))</f>
        <v>Chespin</v>
      </c>
      <c r="C658" s="374"/>
      <c r="D658" s="374"/>
      <c r="E658" s="374"/>
      <c r="F658" s="374"/>
      <c r="G658" s="374"/>
      <c r="H658" s="374"/>
      <c r="I658" s="374"/>
      <c r="J658" s="374"/>
      <c r="K658" s="374"/>
      <c r="L658" s="374"/>
      <c r="M658" s="374"/>
      <c r="N658" s="374"/>
      <c r="O658" s="374"/>
      <c r="P658" s="374"/>
      <c r="Q658" s="374"/>
      <c r="R658" s="374"/>
    </row>
    <row r="659" customFormat="false" ht="15.75" hidden="false" customHeight="false" outlineLevel="0" collapsed="false">
      <c r="A659" s="374" t="n">
        <v>757</v>
      </c>
      <c r="B659" s="374" t="str">
        <f aca="false" t="array" ref="B659:B659">INDEX('0.0.1 Pokémon Dex Data'!$E$3:$E1007,MATCH(A659,'0.0.1 Pokémon Dex Data'!$B$3:$B1007,0))</f>
        <v>Quilladin</v>
      </c>
      <c r="C659" s="374"/>
      <c r="D659" s="374"/>
      <c r="E659" s="374"/>
      <c r="F659" s="374"/>
      <c r="G659" s="374"/>
      <c r="H659" s="374"/>
      <c r="I659" s="374"/>
      <c r="J659" s="374"/>
      <c r="K659" s="374"/>
      <c r="L659" s="374"/>
      <c r="M659" s="374"/>
      <c r="N659" s="374"/>
      <c r="O659" s="374"/>
      <c r="P659" s="374"/>
      <c r="Q659" s="374"/>
      <c r="R659" s="374"/>
    </row>
    <row r="660" customFormat="false" ht="15.75" hidden="false" customHeight="false" outlineLevel="0" collapsed="false">
      <c r="A660" s="374" t="n">
        <v>758</v>
      </c>
      <c r="B660" s="374" t="str">
        <f aca="false" t="array" ref="B660:B660">INDEX('0.0.1 Pokémon Dex Data'!$E$3:$E1007,MATCH(A660,'0.0.1 Pokémon Dex Data'!$B$3:$B1007,0))</f>
        <v>Chesnaught</v>
      </c>
      <c r="C660" s="374"/>
      <c r="D660" s="374"/>
      <c r="E660" s="374"/>
      <c r="F660" s="374"/>
      <c r="G660" s="374"/>
      <c r="H660" s="374"/>
      <c r="I660" s="374"/>
      <c r="J660" s="374"/>
      <c r="K660" s="374"/>
      <c r="L660" s="374"/>
      <c r="M660" s="374"/>
      <c r="N660" s="374"/>
      <c r="O660" s="374"/>
      <c r="P660" s="374"/>
      <c r="Q660" s="374"/>
      <c r="R660" s="374"/>
    </row>
    <row r="661" customFormat="false" ht="15.75" hidden="false" customHeight="false" outlineLevel="0" collapsed="false">
      <c r="A661" s="374" t="n">
        <v>759</v>
      </c>
      <c r="B661" s="374" t="str">
        <f aca="false" t="array" ref="B661:B661">INDEX('0.0.1 Pokémon Dex Data'!$E$3:$E1007,MATCH(A661,'0.0.1 Pokémon Dex Data'!$B$3:$B1007,0))</f>
        <v>Fennekin</v>
      </c>
      <c r="C661" s="374"/>
      <c r="D661" s="374"/>
      <c r="E661" s="374"/>
      <c r="F661" s="374"/>
      <c r="G661" s="374"/>
      <c r="H661" s="374"/>
      <c r="I661" s="374"/>
      <c r="J661" s="374"/>
      <c r="K661" s="374"/>
      <c r="L661" s="374"/>
      <c r="M661" s="374"/>
      <c r="N661" s="374"/>
      <c r="O661" s="374"/>
      <c r="P661" s="374"/>
      <c r="Q661" s="374"/>
      <c r="R661" s="374"/>
    </row>
    <row r="662" customFormat="false" ht="15.75" hidden="false" customHeight="false" outlineLevel="0" collapsed="false">
      <c r="A662" s="374" t="n">
        <v>760</v>
      </c>
      <c r="B662" s="374" t="str">
        <f aca="false" t="array" ref="B662:B662">INDEX('0.0.1 Pokémon Dex Data'!$E$3:$E1007,MATCH(A662,'0.0.1 Pokémon Dex Data'!$B$3:$B1007,0))</f>
        <v>Braixen</v>
      </c>
      <c r="C662" s="374"/>
      <c r="D662" s="374"/>
      <c r="E662" s="374"/>
      <c r="F662" s="374"/>
      <c r="G662" s="374"/>
      <c r="H662" s="374"/>
      <c r="I662" s="374"/>
      <c r="J662" s="374"/>
      <c r="K662" s="374"/>
      <c r="L662" s="374"/>
      <c r="M662" s="374"/>
      <c r="N662" s="374"/>
      <c r="O662" s="374"/>
      <c r="P662" s="374"/>
      <c r="Q662" s="374"/>
      <c r="R662" s="374"/>
    </row>
    <row r="663" customFormat="false" ht="15.75" hidden="false" customHeight="false" outlineLevel="0" collapsed="false">
      <c r="A663" s="374" t="n">
        <v>761</v>
      </c>
      <c r="B663" s="374" t="str">
        <f aca="false" t="array" ref="B663:B663">INDEX('0.0.1 Pokémon Dex Data'!$E$3:$E1007,MATCH(A663,'0.0.1 Pokémon Dex Data'!$B$3:$B1007,0))</f>
        <v>Delphox</v>
      </c>
      <c r="C663" s="374"/>
      <c r="D663" s="374"/>
      <c r="E663" s="374"/>
      <c r="F663" s="374"/>
      <c r="G663" s="374"/>
      <c r="H663" s="374"/>
      <c r="I663" s="374"/>
      <c r="J663" s="374"/>
      <c r="K663" s="374"/>
      <c r="L663" s="374"/>
      <c r="M663" s="374"/>
      <c r="N663" s="374"/>
      <c r="O663" s="374"/>
      <c r="P663" s="374"/>
      <c r="Q663" s="374"/>
      <c r="R663" s="374"/>
    </row>
    <row r="664" customFormat="false" ht="15.75" hidden="false" customHeight="false" outlineLevel="0" collapsed="false">
      <c r="A664" s="374" t="n">
        <v>762</v>
      </c>
      <c r="B664" s="374" t="str">
        <f aca="false" t="array" ref="B664:B664">INDEX('0.0.1 Pokémon Dex Data'!$E$3:$E1007,MATCH(A664,'0.0.1 Pokémon Dex Data'!$B$3:$B1007,0))</f>
        <v>Froakie</v>
      </c>
      <c r="C664" s="374"/>
      <c r="D664" s="374"/>
      <c r="E664" s="374"/>
      <c r="F664" s="374"/>
      <c r="G664" s="374"/>
      <c r="H664" s="374"/>
      <c r="I664" s="374"/>
      <c r="J664" s="374"/>
      <c r="K664" s="374"/>
      <c r="L664" s="374"/>
      <c r="M664" s="374"/>
      <c r="N664" s="374"/>
      <c r="O664" s="374"/>
      <c r="P664" s="374"/>
      <c r="Q664" s="374"/>
      <c r="R664" s="374"/>
    </row>
    <row r="665" customFormat="false" ht="15.75" hidden="false" customHeight="false" outlineLevel="0" collapsed="false">
      <c r="A665" s="374" t="n">
        <v>763</v>
      </c>
      <c r="B665" s="374" t="str">
        <f aca="false" t="array" ref="B665:B665">INDEX('0.0.1 Pokémon Dex Data'!$E$3:$E1007,MATCH(A665,'0.0.1 Pokémon Dex Data'!$B$3:$B1007,0))</f>
        <v>Frogadier</v>
      </c>
      <c r="C665" s="374"/>
      <c r="D665" s="374"/>
      <c r="E665" s="374"/>
      <c r="F665" s="374"/>
      <c r="G665" s="374"/>
      <c r="H665" s="374"/>
      <c r="I665" s="374"/>
      <c r="J665" s="374"/>
      <c r="K665" s="374"/>
      <c r="L665" s="374"/>
      <c r="M665" s="374"/>
      <c r="N665" s="374"/>
      <c r="O665" s="374"/>
      <c r="P665" s="374"/>
      <c r="Q665" s="374"/>
      <c r="R665" s="374"/>
    </row>
    <row r="666" customFormat="false" ht="15.75" hidden="false" customHeight="false" outlineLevel="0" collapsed="false">
      <c r="A666" s="374" t="n">
        <v>764</v>
      </c>
      <c r="B666" s="374" t="str">
        <f aca="false" t="array" ref="B666:B666">INDEX('0.0.1 Pokémon Dex Data'!$E$3:$E1007,MATCH(A666,'0.0.1 Pokémon Dex Data'!$B$3:$B1007,0))</f>
        <v>Greninja</v>
      </c>
      <c r="C666" s="374"/>
      <c r="D666" s="374"/>
      <c r="E666" s="374"/>
      <c r="F666" s="374"/>
      <c r="G666" s="374"/>
      <c r="H666" s="374"/>
      <c r="I666" s="374"/>
      <c r="J666" s="374"/>
      <c r="K666" s="374"/>
      <c r="L666" s="374"/>
      <c r="M666" s="374"/>
      <c r="N666" s="374"/>
      <c r="O666" s="374"/>
      <c r="P666" s="374"/>
      <c r="Q666" s="374"/>
      <c r="R666" s="374"/>
    </row>
    <row r="667" customFormat="false" ht="15.75" hidden="false" customHeight="false" outlineLevel="0" collapsed="false">
      <c r="A667" s="374" t="n">
        <v>766</v>
      </c>
      <c r="B667" s="374" t="str">
        <f aca="false" t="array" ref="B667:B667">INDEX('0.0.1 Pokémon Dex Data'!$E$3:$E1007,MATCH(A667,'0.0.1 Pokémon Dex Data'!$B$3:$B1007,0))</f>
        <v>Bunnelby</v>
      </c>
      <c r="C667" s="374"/>
      <c r="D667" s="374"/>
      <c r="E667" s="374"/>
      <c r="F667" s="374"/>
      <c r="G667" s="374"/>
      <c r="H667" s="374"/>
      <c r="I667" s="374"/>
      <c r="J667" s="374"/>
      <c r="K667" s="374"/>
      <c r="L667" s="374"/>
      <c r="M667" s="374"/>
      <c r="N667" s="374"/>
      <c r="O667" s="374"/>
      <c r="P667" s="374"/>
      <c r="Q667" s="374"/>
      <c r="R667" s="374"/>
    </row>
    <row r="668" customFormat="false" ht="15.75" hidden="false" customHeight="false" outlineLevel="0" collapsed="false">
      <c r="A668" s="374" t="n">
        <v>767</v>
      </c>
      <c r="B668" s="374" t="str">
        <f aca="false" t="array" ref="B668:B668">INDEX('0.0.1 Pokémon Dex Data'!$E$3:$E1007,MATCH(A668,'0.0.1 Pokémon Dex Data'!$B$3:$B1007,0))</f>
        <v>Diggersby</v>
      </c>
      <c r="C668" s="374"/>
      <c r="D668" s="374"/>
      <c r="E668" s="374"/>
      <c r="F668" s="374"/>
      <c r="G668" s="374"/>
      <c r="H668" s="374"/>
      <c r="I668" s="374"/>
      <c r="J668" s="374"/>
      <c r="K668" s="374"/>
      <c r="L668" s="374"/>
      <c r="M668" s="374"/>
      <c r="N668" s="374"/>
      <c r="O668" s="374"/>
      <c r="P668" s="374"/>
      <c r="Q668" s="374"/>
      <c r="R668" s="374"/>
    </row>
    <row r="669" customFormat="false" ht="15.75" hidden="false" customHeight="false" outlineLevel="0" collapsed="false">
      <c r="A669" s="374" t="n">
        <v>768</v>
      </c>
      <c r="B669" s="374" t="str">
        <f aca="false" t="array" ref="B669:B669">INDEX('0.0.1 Pokémon Dex Data'!$E$3:$E1007,MATCH(A669,'0.0.1 Pokémon Dex Data'!$B$3:$B1007,0))</f>
        <v>Fletchling</v>
      </c>
      <c r="C669" s="374"/>
      <c r="D669" s="374"/>
      <c r="E669" s="374"/>
      <c r="F669" s="374"/>
      <c r="G669" s="374"/>
      <c r="H669" s="374"/>
      <c r="I669" s="374"/>
      <c r="J669" s="374"/>
      <c r="K669" s="374"/>
      <c r="L669" s="374"/>
      <c r="M669" s="374"/>
      <c r="N669" s="374"/>
      <c r="O669" s="374"/>
      <c r="P669" s="374"/>
      <c r="Q669" s="374"/>
      <c r="R669" s="374"/>
    </row>
    <row r="670" customFormat="false" ht="15.75" hidden="false" customHeight="false" outlineLevel="0" collapsed="false">
      <c r="A670" s="374" t="n">
        <v>769</v>
      </c>
      <c r="B670" s="374" t="str">
        <f aca="false" t="array" ref="B670:B670">INDEX('0.0.1 Pokémon Dex Data'!$E$3:$E1007,MATCH(A670,'0.0.1 Pokémon Dex Data'!$B$3:$B1007,0))</f>
        <v>Fletchinder</v>
      </c>
      <c r="C670" s="374"/>
      <c r="D670" s="374"/>
      <c r="E670" s="374"/>
      <c r="F670" s="374"/>
      <c r="G670" s="374"/>
      <c r="H670" s="374"/>
      <c r="I670" s="374"/>
      <c r="J670" s="374"/>
      <c r="K670" s="374"/>
      <c r="L670" s="374"/>
      <c r="M670" s="374"/>
      <c r="N670" s="374"/>
      <c r="O670" s="374"/>
      <c r="P670" s="374"/>
      <c r="Q670" s="374"/>
      <c r="R670" s="374"/>
    </row>
    <row r="671" customFormat="false" ht="15.75" hidden="false" customHeight="false" outlineLevel="0" collapsed="false">
      <c r="A671" s="374" t="n">
        <v>770</v>
      </c>
      <c r="B671" s="374" t="str">
        <f aca="false" t="array" ref="B671:B671">INDEX('0.0.1 Pokémon Dex Data'!$E$3:$E1007,MATCH(A671,'0.0.1 Pokémon Dex Data'!$B$3:$B1007,0))</f>
        <v>Talonflame</v>
      </c>
      <c r="C671" s="374"/>
      <c r="D671" s="374"/>
      <c r="E671" s="374"/>
      <c r="F671" s="374"/>
      <c r="G671" s="374"/>
      <c r="H671" s="374"/>
      <c r="I671" s="374"/>
      <c r="J671" s="374"/>
      <c r="K671" s="374"/>
      <c r="L671" s="374"/>
      <c r="M671" s="374"/>
      <c r="N671" s="374"/>
      <c r="O671" s="374"/>
      <c r="P671" s="374"/>
      <c r="Q671" s="374"/>
      <c r="R671" s="374"/>
    </row>
    <row r="672" customFormat="false" ht="15.75" hidden="false" customHeight="false" outlineLevel="0" collapsed="false">
      <c r="A672" s="374" t="n">
        <v>771</v>
      </c>
      <c r="B672" s="374" t="str">
        <f aca="false" t="array" ref="B672:B672">INDEX('0.0.1 Pokémon Dex Data'!$E$3:$E1007,MATCH(A672,'0.0.1 Pokémon Dex Data'!$B$3:$B1007,0))</f>
        <v>Scatterbug</v>
      </c>
      <c r="C672" s="374"/>
      <c r="D672" s="374"/>
      <c r="E672" s="374"/>
      <c r="F672" s="374"/>
      <c r="G672" s="374"/>
      <c r="H672" s="374"/>
      <c r="I672" s="374"/>
      <c r="J672" s="374"/>
      <c r="K672" s="374"/>
      <c r="L672" s="374"/>
      <c r="M672" s="374"/>
      <c r="N672" s="374"/>
      <c r="O672" s="374"/>
      <c r="P672" s="374"/>
      <c r="Q672" s="374"/>
      <c r="R672" s="374"/>
    </row>
    <row r="673" customFormat="false" ht="15.75" hidden="false" customHeight="false" outlineLevel="0" collapsed="false">
      <c r="A673" s="374" t="n">
        <v>772</v>
      </c>
      <c r="B673" s="374" t="str">
        <f aca="false" t="array" ref="B673:B673">INDEX('0.0.1 Pokémon Dex Data'!$E$3:$E1007,MATCH(A673,'0.0.1 Pokémon Dex Data'!$B$3:$B1007,0))</f>
        <v>Spewpa</v>
      </c>
      <c r="C673" s="374"/>
      <c r="D673" s="374"/>
      <c r="E673" s="374"/>
      <c r="F673" s="374"/>
      <c r="G673" s="374"/>
      <c r="H673" s="374"/>
      <c r="I673" s="374"/>
      <c r="J673" s="374"/>
      <c r="K673" s="374"/>
      <c r="L673" s="374"/>
      <c r="M673" s="374"/>
      <c r="N673" s="374"/>
      <c r="O673" s="374"/>
      <c r="P673" s="374"/>
      <c r="Q673" s="374"/>
      <c r="R673" s="374"/>
    </row>
    <row r="674" customFormat="false" ht="15.75" hidden="false" customHeight="false" outlineLevel="0" collapsed="false">
      <c r="A674" s="374" t="n">
        <v>773</v>
      </c>
      <c r="B674" s="374" t="str">
        <f aca="false" t="array" ref="B674:B674">INDEX('0.0.1 Pokémon Dex Data'!$E$3:$E1007,MATCH(A674,'0.0.1 Pokémon Dex Data'!$B$3:$B1007,0))</f>
        <v>Vivillon</v>
      </c>
      <c r="C674" s="374"/>
      <c r="D674" s="374"/>
      <c r="E674" s="374"/>
      <c r="F674" s="374"/>
      <c r="G674" s="374"/>
      <c r="H674" s="374"/>
      <c r="I674" s="374"/>
      <c r="J674" s="374"/>
      <c r="K674" s="374"/>
      <c r="L674" s="374"/>
      <c r="M674" s="374"/>
      <c r="N674" s="374"/>
      <c r="O674" s="374"/>
      <c r="P674" s="374"/>
      <c r="Q674" s="374"/>
      <c r="R674" s="374"/>
    </row>
    <row r="675" customFormat="false" ht="15.75" hidden="false" customHeight="false" outlineLevel="0" collapsed="false">
      <c r="A675" s="374" t="n">
        <v>774</v>
      </c>
      <c r="B675" s="374" t="str">
        <f aca="false" t="array" ref="B675:B675">INDEX('0.0.1 Pokémon Dex Data'!$E$3:$E1007,MATCH(A675,'0.0.1 Pokémon Dex Data'!$B$3:$B1007,0))</f>
        <v>Litleo</v>
      </c>
      <c r="C675" s="374"/>
      <c r="D675" s="374"/>
      <c r="E675" s="374"/>
      <c r="F675" s="374"/>
      <c r="G675" s="374"/>
      <c r="H675" s="374"/>
      <c r="I675" s="374"/>
      <c r="J675" s="374"/>
      <c r="K675" s="374"/>
      <c r="L675" s="374"/>
      <c r="M675" s="374"/>
      <c r="N675" s="374"/>
      <c r="O675" s="374"/>
      <c r="P675" s="374"/>
      <c r="Q675" s="374"/>
      <c r="R675" s="374"/>
    </row>
    <row r="676" customFormat="false" ht="15.75" hidden="false" customHeight="false" outlineLevel="0" collapsed="false">
      <c r="A676" s="374" t="n">
        <v>775</v>
      </c>
      <c r="B676" s="374" t="str">
        <f aca="false" t="array" ref="B676:B676">INDEX('0.0.1 Pokémon Dex Data'!$E$3:$E1007,MATCH(A676,'0.0.1 Pokémon Dex Data'!$B$3:$B1007,0))</f>
        <v>Pyroar</v>
      </c>
      <c r="C676" s="374"/>
      <c r="D676" s="374"/>
      <c r="E676" s="374"/>
      <c r="F676" s="374"/>
      <c r="G676" s="374"/>
      <c r="H676" s="374"/>
      <c r="I676" s="374"/>
      <c r="J676" s="374"/>
      <c r="K676" s="374"/>
      <c r="L676" s="374"/>
      <c r="M676" s="374"/>
      <c r="N676" s="374"/>
      <c r="O676" s="374"/>
      <c r="P676" s="374"/>
      <c r="Q676" s="374"/>
      <c r="R676" s="374"/>
    </row>
    <row r="677" customFormat="false" ht="15.75" hidden="false" customHeight="false" outlineLevel="0" collapsed="false">
      <c r="A677" s="374" t="n">
        <v>776</v>
      </c>
      <c r="B677" s="374" t="str">
        <f aca="false" t="array" ref="B677:B677">INDEX('0.0.1 Pokémon Dex Data'!$E$3:$E1007,MATCH(A677,'0.0.1 Pokémon Dex Data'!$B$3:$B1007,0))</f>
        <v>Flabébé</v>
      </c>
      <c r="C677" s="374"/>
      <c r="D677" s="374"/>
      <c r="E677" s="374"/>
      <c r="F677" s="374"/>
      <c r="G677" s="374"/>
      <c r="H677" s="374"/>
      <c r="I677" s="374"/>
      <c r="J677" s="374"/>
      <c r="K677" s="374"/>
      <c r="L677" s="374"/>
      <c r="M677" s="374"/>
      <c r="N677" s="374"/>
      <c r="O677" s="374"/>
      <c r="P677" s="374"/>
      <c r="Q677" s="374"/>
      <c r="R677" s="374"/>
    </row>
    <row r="678" customFormat="false" ht="15.75" hidden="false" customHeight="false" outlineLevel="0" collapsed="false">
      <c r="A678" s="374" t="n">
        <v>777</v>
      </c>
      <c r="B678" s="374" t="str">
        <f aca="false" t="array" ref="B678:B678">INDEX('0.0.1 Pokémon Dex Data'!$E$3:$E1007,MATCH(A678,'0.0.1 Pokémon Dex Data'!$B$3:$B1007,0))</f>
        <v>Floette</v>
      </c>
      <c r="C678" s="374"/>
      <c r="D678" s="374"/>
      <c r="E678" s="374"/>
      <c r="F678" s="374"/>
      <c r="G678" s="374"/>
      <c r="H678" s="374"/>
      <c r="I678" s="374"/>
      <c r="J678" s="374"/>
      <c r="K678" s="374"/>
      <c r="L678" s="374"/>
      <c r="M678" s="374"/>
      <c r="N678" s="374"/>
      <c r="O678" s="374"/>
      <c r="P678" s="374"/>
      <c r="Q678" s="374"/>
      <c r="R678" s="374"/>
    </row>
    <row r="679" customFormat="false" ht="15.75" hidden="false" customHeight="false" outlineLevel="0" collapsed="false">
      <c r="A679" s="374" t="n">
        <v>779</v>
      </c>
      <c r="B679" s="374" t="str">
        <f aca="false" t="array" ref="B679:B679">INDEX('0.0.1 Pokémon Dex Data'!$E$3:$E1007,MATCH(A679,'0.0.1 Pokémon Dex Data'!$B$3:$B1007,0))</f>
        <v>Florges</v>
      </c>
      <c r="C679" s="374"/>
      <c r="D679" s="374"/>
      <c r="E679" s="374"/>
      <c r="F679" s="374"/>
      <c r="G679" s="374"/>
      <c r="H679" s="374"/>
      <c r="I679" s="374"/>
      <c r="J679" s="374"/>
      <c r="K679" s="374"/>
      <c r="L679" s="374"/>
      <c r="M679" s="374"/>
      <c r="N679" s="374"/>
      <c r="O679" s="374"/>
      <c r="P679" s="374"/>
      <c r="Q679" s="374"/>
      <c r="R679" s="374"/>
    </row>
    <row r="680" customFormat="false" ht="15.75" hidden="false" customHeight="false" outlineLevel="0" collapsed="false">
      <c r="A680" s="374" t="n">
        <v>780</v>
      </c>
      <c r="B680" s="374" t="str">
        <f aca="false" t="array" ref="B680:B680">INDEX('0.0.1 Pokémon Dex Data'!$E$3:$E1007,MATCH(A680,'0.0.1 Pokémon Dex Data'!$B$3:$B1007,0))</f>
        <v>Skiddo</v>
      </c>
      <c r="C680" s="374"/>
      <c r="D680" s="374"/>
      <c r="E680" s="374"/>
      <c r="F680" s="374"/>
      <c r="G680" s="374"/>
      <c r="H680" s="374"/>
      <c r="I680" s="374"/>
      <c r="J680" s="374"/>
      <c r="K680" s="374"/>
      <c r="L680" s="374"/>
      <c r="M680" s="374"/>
      <c r="N680" s="374"/>
      <c r="O680" s="374"/>
      <c r="P680" s="374"/>
      <c r="Q680" s="374"/>
      <c r="R680" s="374"/>
    </row>
    <row r="681" customFormat="false" ht="15.75" hidden="false" customHeight="false" outlineLevel="0" collapsed="false">
      <c r="A681" s="374" t="n">
        <v>781</v>
      </c>
      <c r="B681" s="374" t="str">
        <f aca="false" t="array" ref="B681:B681">INDEX('0.0.1 Pokémon Dex Data'!$E$3:$E1007,MATCH(A681,'0.0.1 Pokémon Dex Data'!$B$3:$B1007,0))</f>
        <v>Gogoat</v>
      </c>
      <c r="C681" s="374"/>
      <c r="D681" s="374"/>
      <c r="E681" s="374"/>
      <c r="F681" s="374"/>
      <c r="G681" s="374"/>
      <c r="H681" s="374"/>
      <c r="I681" s="374"/>
      <c r="J681" s="374"/>
      <c r="K681" s="374"/>
      <c r="L681" s="374"/>
      <c r="M681" s="374"/>
      <c r="N681" s="374"/>
      <c r="O681" s="374"/>
      <c r="P681" s="374"/>
      <c r="Q681" s="374"/>
      <c r="R681" s="374"/>
    </row>
    <row r="682" customFormat="false" ht="15.75" hidden="false" customHeight="false" outlineLevel="0" collapsed="false">
      <c r="A682" s="374" t="n">
        <v>782</v>
      </c>
      <c r="B682" s="374" t="str">
        <f aca="false" t="array" ref="B682:B682">INDEX('0.0.1 Pokémon Dex Data'!$E$3:$E1007,MATCH(A682,'0.0.1 Pokémon Dex Data'!$B$3:$B1007,0))</f>
        <v>Pancham</v>
      </c>
      <c r="C682" s="374"/>
      <c r="D682" s="374"/>
      <c r="E682" s="374"/>
      <c r="F682" s="374"/>
      <c r="G682" s="374"/>
      <c r="H682" s="374"/>
      <c r="I682" s="374"/>
      <c r="J682" s="374"/>
      <c r="K682" s="374"/>
      <c r="L682" s="374"/>
      <c r="M682" s="374"/>
      <c r="N682" s="374"/>
      <c r="O682" s="374"/>
      <c r="P682" s="374"/>
      <c r="Q682" s="374"/>
      <c r="R682" s="374"/>
    </row>
    <row r="683" customFormat="false" ht="15.75" hidden="false" customHeight="false" outlineLevel="0" collapsed="false">
      <c r="A683" s="374" t="n">
        <v>783</v>
      </c>
      <c r="B683" s="374" t="str">
        <f aca="false" t="array" ref="B683:B683">INDEX('0.0.1 Pokémon Dex Data'!$E$3:$E1007,MATCH(A683,'0.0.1 Pokémon Dex Data'!$B$3:$B1007,0))</f>
        <v>Pangoro</v>
      </c>
      <c r="C683" s="374"/>
      <c r="D683" s="374"/>
      <c r="E683" s="374"/>
      <c r="F683" s="374"/>
      <c r="G683" s="374"/>
      <c r="H683" s="374"/>
      <c r="I683" s="374"/>
      <c r="J683" s="374"/>
      <c r="K683" s="374"/>
      <c r="L683" s="374"/>
      <c r="M683" s="374"/>
      <c r="N683" s="374"/>
      <c r="O683" s="374"/>
      <c r="P683" s="374"/>
      <c r="Q683" s="374"/>
      <c r="R683" s="374"/>
    </row>
    <row r="684" customFormat="false" ht="15.75" hidden="false" customHeight="false" outlineLevel="0" collapsed="false">
      <c r="A684" s="374" t="n">
        <v>784</v>
      </c>
      <c r="B684" s="374" t="str">
        <f aca="false" t="array" ref="B684:B684">INDEX('0.0.1 Pokémon Dex Data'!$E$3:$E1007,MATCH(A684,'0.0.1 Pokémon Dex Data'!$B$3:$B1007,0))</f>
        <v>Furfrou</v>
      </c>
      <c r="C684" s="374"/>
      <c r="D684" s="374"/>
      <c r="E684" s="374"/>
      <c r="F684" s="374"/>
      <c r="G684" s="374"/>
      <c r="H684" s="374"/>
      <c r="I684" s="374"/>
      <c r="J684" s="374"/>
      <c r="K684" s="374"/>
      <c r="L684" s="374"/>
      <c r="M684" s="374"/>
      <c r="N684" s="374"/>
      <c r="O684" s="374"/>
      <c r="P684" s="374"/>
      <c r="Q684" s="374"/>
      <c r="R684" s="374"/>
    </row>
    <row r="685" customFormat="false" ht="15.75" hidden="false" customHeight="false" outlineLevel="0" collapsed="false">
      <c r="A685" s="374" t="n">
        <v>785</v>
      </c>
      <c r="B685" s="374" t="str">
        <f aca="false" t="array" ref="B685:B685">INDEX('0.0.1 Pokémon Dex Data'!$E$3:$E1007,MATCH(A685,'0.0.1 Pokémon Dex Data'!$B$3:$B1007,0))</f>
        <v>Espurr</v>
      </c>
      <c r="C685" s="374"/>
      <c r="D685" s="374"/>
      <c r="E685" s="374"/>
      <c r="F685" s="374"/>
      <c r="G685" s="374"/>
      <c r="H685" s="374"/>
      <c r="I685" s="374"/>
      <c r="J685" s="374"/>
      <c r="K685" s="374"/>
      <c r="L685" s="374"/>
      <c r="M685" s="374"/>
      <c r="N685" s="374"/>
      <c r="O685" s="374"/>
      <c r="P685" s="374"/>
      <c r="Q685" s="374"/>
      <c r="R685" s="374"/>
    </row>
    <row r="686" customFormat="false" ht="15.75" hidden="false" customHeight="false" outlineLevel="0" collapsed="false">
      <c r="A686" s="374" t="n">
        <v>786</v>
      </c>
      <c r="B686" s="374" t="str">
        <f aca="false" t="array" ref="B686:B686">INDEX('0.0.1 Pokémon Dex Data'!$E$3:$E1007,MATCH(A686,'0.0.1 Pokémon Dex Data'!$B$3:$B1007,0))</f>
        <v>Meowstic</v>
      </c>
      <c r="C686" s="374"/>
      <c r="D686" s="374"/>
      <c r="E686" s="374"/>
      <c r="F686" s="374"/>
      <c r="G686" s="374"/>
      <c r="H686" s="374"/>
      <c r="I686" s="374"/>
      <c r="J686" s="374"/>
      <c r="K686" s="374"/>
      <c r="L686" s="374"/>
      <c r="M686" s="374"/>
      <c r="N686" s="374"/>
      <c r="O686" s="374"/>
      <c r="P686" s="374"/>
      <c r="Q686" s="374"/>
      <c r="R686" s="374"/>
    </row>
    <row r="687" customFormat="false" ht="15.75" hidden="false" customHeight="false" outlineLevel="0" collapsed="false">
      <c r="A687" s="374" t="n">
        <v>787</v>
      </c>
      <c r="B687" s="374" t="str">
        <f aca="false" t="array" ref="B687:B687">INDEX('0.0.1 Pokémon Dex Data'!$E$3:$E1007,MATCH(A687,'0.0.1 Pokémon Dex Data'!$B$3:$B1007,0))</f>
        <v>Honedge</v>
      </c>
      <c r="C687" s="374"/>
      <c r="D687" s="374"/>
      <c r="E687" s="374"/>
      <c r="F687" s="374"/>
      <c r="G687" s="374"/>
      <c r="H687" s="374"/>
      <c r="I687" s="374"/>
      <c r="J687" s="374"/>
      <c r="K687" s="374"/>
      <c r="L687" s="374"/>
      <c r="M687" s="374"/>
      <c r="N687" s="374"/>
      <c r="O687" s="374"/>
      <c r="P687" s="374"/>
      <c r="Q687" s="374"/>
      <c r="R687" s="374"/>
    </row>
    <row r="688" customFormat="false" ht="15.75" hidden="false" customHeight="false" outlineLevel="0" collapsed="false">
      <c r="A688" s="374" t="n">
        <v>788</v>
      </c>
      <c r="B688" s="374" t="str">
        <f aca="false" t="array" ref="B688:B688">INDEX('0.0.1 Pokémon Dex Data'!$E$3:$E1007,MATCH(A688,'0.0.1 Pokémon Dex Data'!$B$3:$B1007,0))</f>
        <v>Doublade</v>
      </c>
      <c r="C688" s="374"/>
      <c r="D688" s="374"/>
      <c r="E688" s="374"/>
      <c r="F688" s="374"/>
      <c r="G688" s="374"/>
      <c r="H688" s="374"/>
      <c r="I688" s="374"/>
      <c r="J688" s="374"/>
      <c r="K688" s="374"/>
      <c r="L688" s="374"/>
      <c r="M688" s="374"/>
      <c r="N688" s="374"/>
      <c r="O688" s="374"/>
      <c r="P688" s="374"/>
      <c r="Q688" s="374"/>
      <c r="R688" s="374"/>
    </row>
    <row r="689" customFormat="false" ht="15.75" hidden="false" customHeight="false" outlineLevel="0" collapsed="false">
      <c r="A689" s="374" t="n">
        <v>789</v>
      </c>
      <c r="B689" s="374" t="str">
        <f aca="false" t="array" ref="B689:B689">INDEX('0.0.1 Pokémon Dex Data'!$E$3:$E1007,MATCH(A689,'0.0.1 Pokémon Dex Data'!$B$3:$B1007,0))</f>
        <v>Aegislash</v>
      </c>
      <c r="C689" s="374"/>
      <c r="D689" s="374"/>
      <c r="E689" s="374"/>
      <c r="F689" s="374"/>
      <c r="G689" s="374"/>
      <c r="H689" s="374"/>
      <c r="I689" s="374"/>
      <c r="J689" s="374"/>
      <c r="K689" s="374"/>
      <c r="L689" s="374"/>
      <c r="M689" s="374"/>
      <c r="N689" s="374"/>
      <c r="O689" s="374"/>
      <c r="P689" s="374"/>
      <c r="Q689" s="374"/>
      <c r="R689" s="374"/>
    </row>
    <row r="690" customFormat="false" ht="15.75" hidden="false" customHeight="false" outlineLevel="0" collapsed="false">
      <c r="A690" s="374" t="n">
        <v>791</v>
      </c>
      <c r="B690" s="374" t="str">
        <f aca="false" t="array" ref="B690:B690">INDEX('0.0.1 Pokémon Dex Data'!$E$3:$E1007,MATCH(A690,'0.0.1 Pokémon Dex Data'!$B$3:$B1007,0))</f>
        <v>Spritzee</v>
      </c>
      <c r="C690" s="374"/>
      <c r="D690" s="374"/>
      <c r="E690" s="374"/>
      <c r="F690" s="374"/>
      <c r="G690" s="374"/>
      <c r="H690" s="374"/>
      <c r="I690" s="374"/>
      <c r="J690" s="374"/>
      <c r="K690" s="374"/>
      <c r="L690" s="374"/>
      <c r="M690" s="374"/>
      <c r="N690" s="374"/>
      <c r="O690" s="374"/>
      <c r="P690" s="374"/>
      <c r="Q690" s="374"/>
      <c r="R690" s="374"/>
    </row>
    <row r="691" customFormat="false" ht="15.75" hidden="false" customHeight="false" outlineLevel="0" collapsed="false">
      <c r="A691" s="374" t="n">
        <v>792</v>
      </c>
      <c r="B691" s="374" t="str">
        <f aca="false" t="array" ref="B691:B691">INDEX('0.0.1 Pokémon Dex Data'!$E$3:$E1007,MATCH(A691,'0.0.1 Pokémon Dex Data'!$B$3:$B1007,0))</f>
        <v>Aromatisse</v>
      </c>
      <c r="C691" s="374"/>
      <c r="D691" s="374"/>
      <c r="E691" s="374"/>
      <c r="F691" s="374"/>
      <c r="G691" s="374"/>
      <c r="H691" s="374"/>
      <c r="I691" s="374"/>
      <c r="J691" s="374"/>
      <c r="K691" s="374"/>
      <c r="L691" s="374"/>
      <c r="M691" s="374"/>
      <c r="N691" s="374"/>
      <c r="O691" s="374"/>
      <c r="P691" s="374"/>
      <c r="Q691" s="374"/>
      <c r="R691" s="374"/>
    </row>
    <row r="692" customFormat="false" ht="15.75" hidden="false" customHeight="false" outlineLevel="0" collapsed="false">
      <c r="A692" s="374" t="n">
        <v>793</v>
      </c>
      <c r="B692" s="374" t="str">
        <f aca="false" t="array" ref="B692:B692">INDEX('0.0.1 Pokémon Dex Data'!$E$3:$E1007,MATCH(A692,'0.0.1 Pokémon Dex Data'!$B$3:$B1007,0))</f>
        <v>Swirlix</v>
      </c>
      <c r="C692" s="374"/>
      <c r="D692" s="374"/>
      <c r="E692" s="374"/>
      <c r="F692" s="374"/>
      <c r="G692" s="374"/>
      <c r="H692" s="374"/>
      <c r="I692" s="374"/>
      <c r="J692" s="374"/>
      <c r="K692" s="374"/>
      <c r="L692" s="374"/>
      <c r="M692" s="374"/>
      <c r="N692" s="374"/>
      <c r="O692" s="374"/>
      <c r="P692" s="374"/>
      <c r="Q692" s="374"/>
      <c r="R692" s="374"/>
    </row>
    <row r="693" customFormat="false" ht="15.75" hidden="false" customHeight="false" outlineLevel="0" collapsed="false">
      <c r="A693" s="374" t="n">
        <v>794</v>
      </c>
      <c r="B693" s="374" t="str">
        <f aca="false" t="array" ref="B693:B693">INDEX('0.0.1 Pokémon Dex Data'!$E$3:$E1007,MATCH(A693,'0.0.1 Pokémon Dex Data'!$B$3:$B1007,0))</f>
        <v>Slurpuff</v>
      </c>
      <c r="C693" s="374"/>
      <c r="D693" s="374"/>
      <c r="E693" s="374"/>
      <c r="F693" s="374"/>
      <c r="G693" s="374"/>
      <c r="H693" s="374"/>
      <c r="I693" s="374"/>
      <c r="J693" s="374"/>
      <c r="K693" s="374"/>
      <c r="L693" s="374"/>
      <c r="M693" s="374"/>
      <c r="N693" s="374"/>
      <c r="O693" s="374"/>
      <c r="P693" s="374"/>
      <c r="Q693" s="374"/>
      <c r="R693" s="374"/>
    </row>
    <row r="694" customFormat="false" ht="15.75" hidden="false" customHeight="false" outlineLevel="0" collapsed="false">
      <c r="A694" s="374" t="n">
        <v>795</v>
      </c>
      <c r="B694" s="374" t="str">
        <f aca="false" t="array" ref="B694:B694">INDEX('0.0.1 Pokémon Dex Data'!$E$3:$E1007,MATCH(A694,'0.0.1 Pokémon Dex Data'!$B$3:$B1007,0))</f>
        <v>Inkay</v>
      </c>
      <c r="C694" s="374"/>
      <c r="D694" s="374"/>
      <c r="E694" s="374"/>
      <c r="F694" s="374"/>
      <c r="G694" s="374"/>
      <c r="H694" s="374"/>
      <c r="I694" s="374"/>
      <c r="J694" s="374"/>
      <c r="K694" s="374"/>
      <c r="L694" s="374"/>
      <c r="M694" s="374"/>
      <c r="N694" s="374"/>
      <c r="O694" s="374"/>
      <c r="P694" s="374"/>
      <c r="Q694" s="374"/>
      <c r="R694" s="374"/>
    </row>
    <row r="695" customFormat="false" ht="15.75" hidden="false" customHeight="false" outlineLevel="0" collapsed="false">
      <c r="A695" s="374" t="n">
        <v>796</v>
      </c>
      <c r="B695" s="374" t="str">
        <f aca="false" t="array" ref="B695:B695">INDEX('0.0.1 Pokémon Dex Data'!$E$3:$E1007,MATCH(A695,'0.0.1 Pokémon Dex Data'!$B$3:$B1007,0))</f>
        <v>Malamar</v>
      </c>
      <c r="C695" s="374"/>
      <c r="D695" s="374"/>
      <c r="E695" s="374"/>
      <c r="F695" s="374"/>
      <c r="G695" s="374"/>
      <c r="H695" s="374"/>
      <c r="I695" s="374"/>
      <c r="J695" s="374"/>
      <c r="K695" s="374"/>
      <c r="L695" s="374"/>
      <c r="M695" s="374"/>
      <c r="N695" s="374"/>
      <c r="O695" s="374"/>
      <c r="P695" s="374"/>
      <c r="Q695" s="374"/>
      <c r="R695" s="374"/>
    </row>
    <row r="696" customFormat="false" ht="15.75" hidden="false" customHeight="false" outlineLevel="0" collapsed="false">
      <c r="A696" s="374" t="n">
        <v>797</v>
      </c>
      <c r="B696" s="374" t="str">
        <f aca="false" t="array" ref="B696:B696">INDEX('0.0.1 Pokémon Dex Data'!$E$3:$E1007,MATCH(A696,'0.0.1 Pokémon Dex Data'!$B$3:$B1007,0))</f>
        <v>Binacle</v>
      </c>
      <c r="C696" s="374"/>
      <c r="D696" s="374"/>
      <c r="E696" s="374"/>
      <c r="F696" s="374"/>
      <c r="G696" s="374"/>
      <c r="H696" s="374"/>
      <c r="I696" s="374"/>
      <c r="J696" s="374"/>
      <c r="K696" s="374"/>
      <c r="L696" s="374"/>
      <c r="M696" s="374"/>
      <c r="N696" s="374"/>
      <c r="O696" s="374"/>
      <c r="P696" s="374"/>
      <c r="Q696" s="374"/>
      <c r="R696" s="374"/>
    </row>
    <row r="697" customFormat="false" ht="15.75" hidden="false" customHeight="false" outlineLevel="0" collapsed="false">
      <c r="A697" s="374" t="n">
        <v>798</v>
      </c>
      <c r="B697" s="374" t="str">
        <f aca="false" t="array" ref="B697:B697">INDEX('0.0.1 Pokémon Dex Data'!$E$3:$E1007,MATCH(A697,'0.0.1 Pokémon Dex Data'!$B$3:$B1007,0))</f>
        <v>Barbaracle</v>
      </c>
      <c r="C697" s="374"/>
      <c r="D697" s="374"/>
      <c r="E697" s="374"/>
      <c r="F697" s="374"/>
      <c r="G697" s="374"/>
      <c r="H697" s="374"/>
      <c r="I697" s="374"/>
      <c r="J697" s="374"/>
      <c r="K697" s="374"/>
      <c r="L697" s="374"/>
      <c r="M697" s="374"/>
      <c r="N697" s="374"/>
      <c r="O697" s="374"/>
      <c r="P697" s="374"/>
      <c r="Q697" s="374"/>
      <c r="R697" s="374"/>
    </row>
    <row r="698" customFormat="false" ht="15.75" hidden="false" customHeight="false" outlineLevel="0" collapsed="false">
      <c r="A698" s="374" t="n">
        <v>799</v>
      </c>
      <c r="B698" s="374" t="str">
        <f aca="false" t="array" ref="B698:B698">INDEX('0.0.1 Pokémon Dex Data'!$E$3:$E1007,MATCH(A698,'0.0.1 Pokémon Dex Data'!$B$3:$B1007,0))</f>
        <v>Skrelp</v>
      </c>
      <c r="C698" s="374"/>
      <c r="D698" s="374"/>
      <c r="E698" s="374"/>
      <c r="F698" s="374"/>
      <c r="G698" s="374"/>
      <c r="H698" s="374"/>
      <c r="I698" s="374"/>
      <c r="J698" s="374"/>
      <c r="K698" s="374"/>
      <c r="L698" s="374"/>
      <c r="M698" s="374"/>
      <c r="N698" s="374"/>
      <c r="O698" s="374"/>
      <c r="P698" s="374"/>
      <c r="Q698" s="374"/>
      <c r="R698" s="374"/>
    </row>
    <row r="699" customFormat="false" ht="15.75" hidden="false" customHeight="false" outlineLevel="0" collapsed="false">
      <c r="A699" s="374" t="n">
        <v>800</v>
      </c>
      <c r="B699" s="374" t="str">
        <f aca="false" t="array" ref="B699:B699">INDEX('0.0.1 Pokémon Dex Data'!$E$3:$E1007,MATCH(A699,'0.0.1 Pokémon Dex Data'!$B$3:$B1007,0))</f>
        <v>Dragalge</v>
      </c>
      <c r="C699" s="374"/>
      <c r="D699" s="374"/>
      <c r="E699" s="374"/>
      <c r="F699" s="374"/>
      <c r="G699" s="374"/>
      <c r="H699" s="374"/>
      <c r="I699" s="374"/>
      <c r="J699" s="374"/>
      <c r="K699" s="374"/>
      <c r="L699" s="374"/>
      <c r="M699" s="374"/>
      <c r="N699" s="374"/>
      <c r="O699" s="374"/>
      <c r="P699" s="374"/>
      <c r="Q699" s="374"/>
      <c r="R699" s="374"/>
    </row>
    <row r="700" customFormat="false" ht="15.75" hidden="false" customHeight="false" outlineLevel="0" collapsed="false">
      <c r="A700" s="374" t="n">
        <v>801</v>
      </c>
      <c r="B700" s="374" t="str">
        <f aca="false" t="array" ref="B700:B700">INDEX('0.0.1 Pokémon Dex Data'!$E$3:$E1007,MATCH(A700,'0.0.1 Pokémon Dex Data'!$B$3:$B1007,0))</f>
        <v>Clauncher</v>
      </c>
      <c r="C700" s="374"/>
      <c r="D700" s="374"/>
      <c r="E700" s="374"/>
      <c r="F700" s="374"/>
      <c r="G700" s="374"/>
      <c r="H700" s="374"/>
      <c r="I700" s="374"/>
      <c r="J700" s="374"/>
      <c r="K700" s="374"/>
      <c r="L700" s="374"/>
      <c r="M700" s="374"/>
      <c r="N700" s="374"/>
      <c r="O700" s="374"/>
      <c r="P700" s="374"/>
      <c r="Q700" s="374"/>
      <c r="R700" s="374"/>
    </row>
    <row r="701" customFormat="false" ht="15.75" hidden="false" customHeight="false" outlineLevel="0" collapsed="false">
      <c r="A701" s="374" t="n">
        <v>802</v>
      </c>
      <c r="B701" s="374" t="str">
        <f aca="false" t="array" ref="B701:B701">INDEX('0.0.1 Pokémon Dex Data'!$E$3:$E1007,MATCH(A701,'0.0.1 Pokémon Dex Data'!$B$3:$B1007,0))</f>
        <v>Clawitzer</v>
      </c>
      <c r="C701" s="374"/>
      <c r="D701" s="374"/>
      <c r="E701" s="374"/>
      <c r="F701" s="374"/>
      <c r="G701" s="374"/>
      <c r="H701" s="374"/>
      <c r="I701" s="374"/>
      <c r="J701" s="374"/>
      <c r="K701" s="374"/>
      <c r="L701" s="374"/>
      <c r="M701" s="374"/>
      <c r="N701" s="374"/>
      <c r="O701" s="374"/>
      <c r="P701" s="374"/>
      <c r="Q701" s="374"/>
      <c r="R701" s="374"/>
    </row>
    <row r="702" customFormat="false" ht="15.75" hidden="false" customHeight="false" outlineLevel="0" collapsed="false">
      <c r="A702" s="374" t="n">
        <v>803</v>
      </c>
      <c r="B702" s="374" t="str">
        <f aca="false" t="array" ref="B702:B702">INDEX('0.0.1 Pokémon Dex Data'!$E$3:$E1007,MATCH(A702,'0.0.1 Pokémon Dex Data'!$B$3:$B1007,0))</f>
        <v>Helioptile</v>
      </c>
      <c r="C702" s="374"/>
      <c r="D702" s="374"/>
      <c r="E702" s="374"/>
      <c r="F702" s="374"/>
      <c r="G702" s="374"/>
      <c r="H702" s="374"/>
      <c r="I702" s="374"/>
      <c r="J702" s="374"/>
      <c r="K702" s="374"/>
      <c r="L702" s="374"/>
      <c r="M702" s="374"/>
      <c r="N702" s="374"/>
      <c r="O702" s="374"/>
      <c r="P702" s="374"/>
      <c r="Q702" s="374"/>
      <c r="R702" s="374"/>
    </row>
    <row r="703" customFormat="false" ht="15.75" hidden="false" customHeight="false" outlineLevel="0" collapsed="false">
      <c r="A703" s="374" t="n">
        <v>804</v>
      </c>
      <c r="B703" s="374" t="str">
        <f aca="false" t="array" ref="B703:B703">INDEX('0.0.1 Pokémon Dex Data'!$E$3:$E1007,MATCH(A703,'0.0.1 Pokémon Dex Data'!$B$3:$B1007,0))</f>
        <v>Heliolisk</v>
      </c>
      <c r="C703" s="374"/>
      <c r="D703" s="374"/>
      <c r="E703" s="374"/>
      <c r="F703" s="374"/>
      <c r="G703" s="374"/>
      <c r="H703" s="374"/>
      <c r="I703" s="374"/>
      <c r="J703" s="374"/>
      <c r="K703" s="374"/>
      <c r="L703" s="374"/>
      <c r="M703" s="374"/>
      <c r="N703" s="374"/>
      <c r="O703" s="374"/>
      <c r="P703" s="374"/>
      <c r="Q703" s="374"/>
      <c r="R703" s="374"/>
    </row>
    <row r="704" customFormat="false" ht="15.75" hidden="false" customHeight="false" outlineLevel="0" collapsed="false">
      <c r="A704" s="374" t="n">
        <v>805</v>
      </c>
      <c r="B704" s="374" t="str">
        <f aca="false" t="array" ref="B704:B704">INDEX('0.0.1 Pokémon Dex Data'!$E$3:$E1007,MATCH(A704,'0.0.1 Pokémon Dex Data'!$B$3:$B1007,0))</f>
        <v>Tyrunt</v>
      </c>
      <c r="C704" s="374"/>
      <c r="D704" s="374"/>
      <c r="E704" s="374"/>
      <c r="F704" s="374"/>
      <c r="G704" s="374"/>
      <c r="H704" s="374"/>
      <c r="I704" s="374"/>
      <c r="J704" s="374"/>
      <c r="K704" s="374"/>
      <c r="L704" s="374"/>
      <c r="M704" s="374"/>
      <c r="N704" s="374"/>
      <c r="O704" s="374"/>
      <c r="P704" s="374"/>
      <c r="Q704" s="374"/>
      <c r="R704" s="374"/>
    </row>
    <row r="705" customFormat="false" ht="15.75" hidden="false" customHeight="false" outlineLevel="0" collapsed="false">
      <c r="A705" s="374" t="n">
        <v>806</v>
      </c>
      <c r="B705" s="374" t="str">
        <f aca="false" t="array" ref="B705:B705">INDEX('0.0.1 Pokémon Dex Data'!$E$3:$E1007,MATCH(A705,'0.0.1 Pokémon Dex Data'!$B$3:$B1007,0))</f>
        <v>Tyrantrum</v>
      </c>
      <c r="C705" s="374"/>
      <c r="D705" s="374"/>
      <c r="E705" s="374"/>
      <c r="F705" s="374"/>
      <c r="G705" s="374"/>
      <c r="H705" s="374"/>
      <c r="I705" s="374"/>
      <c r="J705" s="374"/>
      <c r="K705" s="374"/>
      <c r="L705" s="374"/>
      <c r="M705" s="374"/>
      <c r="N705" s="374"/>
      <c r="O705" s="374"/>
      <c r="P705" s="374"/>
      <c r="Q705" s="374"/>
      <c r="R705" s="374"/>
    </row>
    <row r="706" customFormat="false" ht="15.75" hidden="false" customHeight="false" outlineLevel="0" collapsed="false">
      <c r="A706" s="374" t="n">
        <v>807</v>
      </c>
      <c r="B706" s="374" t="str">
        <f aca="false" t="array" ref="B706:B706">INDEX('0.0.1 Pokémon Dex Data'!$E$3:$E1007,MATCH(A706,'0.0.1 Pokémon Dex Data'!$B$3:$B1007,0))</f>
        <v>Amaura</v>
      </c>
      <c r="C706" s="374"/>
      <c r="D706" s="374"/>
      <c r="E706" s="374"/>
      <c r="F706" s="374"/>
      <c r="G706" s="374"/>
      <c r="H706" s="374"/>
      <c r="I706" s="374"/>
      <c r="J706" s="374"/>
      <c r="K706" s="374"/>
      <c r="L706" s="374"/>
      <c r="M706" s="374"/>
      <c r="N706" s="374"/>
      <c r="O706" s="374"/>
      <c r="P706" s="374"/>
      <c r="Q706" s="374"/>
      <c r="R706" s="374"/>
    </row>
    <row r="707" customFormat="false" ht="15.75" hidden="false" customHeight="false" outlineLevel="0" collapsed="false">
      <c r="A707" s="374" t="n">
        <v>808</v>
      </c>
      <c r="B707" s="374" t="str">
        <f aca="false" t="array" ref="B707:B707">INDEX('0.0.1 Pokémon Dex Data'!$E$3:$E1007,MATCH(A707,'0.0.1 Pokémon Dex Data'!$B$3:$B1007,0))</f>
        <v>Aurorus</v>
      </c>
      <c r="C707" s="374"/>
      <c r="D707" s="374"/>
      <c r="E707" s="374"/>
      <c r="F707" s="374"/>
      <c r="G707" s="374"/>
      <c r="H707" s="374"/>
      <c r="I707" s="374"/>
      <c r="J707" s="374"/>
      <c r="K707" s="374"/>
      <c r="L707" s="374"/>
      <c r="M707" s="374"/>
      <c r="N707" s="374"/>
      <c r="O707" s="374"/>
      <c r="P707" s="374"/>
      <c r="Q707" s="374"/>
      <c r="R707" s="374"/>
    </row>
    <row r="708" customFormat="false" ht="15.75" hidden="false" customHeight="false" outlineLevel="0" collapsed="false">
      <c r="A708" s="374" t="n">
        <v>809</v>
      </c>
      <c r="B708" s="374" t="str">
        <f aca="false" t="array" ref="B708:B708">INDEX('0.0.1 Pokémon Dex Data'!$E$3:$E1007,MATCH(A708,'0.0.1 Pokémon Dex Data'!$B$3:$B1007,0))</f>
        <v>Sylveon</v>
      </c>
      <c r="C708" s="374"/>
      <c r="D708" s="374"/>
      <c r="E708" s="374"/>
      <c r="F708" s="374"/>
      <c r="G708" s="374"/>
      <c r="H708" s="374"/>
      <c r="I708" s="374"/>
      <c r="J708" s="374"/>
      <c r="K708" s="374"/>
      <c r="L708" s="374"/>
      <c r="M708" s="374"/>
      <c r="N708" s="374"/>
      <c r="O708" s="374"/>
      <c r="P708" s="374"/>
      <c r="Q708" s="374"/>
      <c r="R708" s="374"/>
    </row>
    <row r="709" customFormat="false" ht="15.75" hidden="false" customHeight="false" outlineLevel="0" collapsed="false">
      <c r="A709" s="374" t="n">
        <v>810</v>
      </c>
      <c r="B709" s="374" t="str">
        <f aca="false" t="array" ref="B709:B709">INDEX('0.0.1 Pokémon Dex Data'!$E$3:$E1007,MATCH(A709,'0.0.1 Pokémon Dex Data'!$B$3:$B1007,0))</f>
        <v>Hawlucha</v>
      </c>
      <c r="C709" s="374"/>
      <c r="D709" s="374"/>
      <c r="E709" s="374"/>
      <c r="F709" s="374"/>
      <c r="G709" s="374"/>
      <c r="H709" s="374"/>
      <c r="I709" s="374"/>
      <c r="J709" s="374"/>
      <c r="K709" s="374"/>
      <c r="L709" s="374"/>
      <c r="M709" s="374"/>
      <c r="N709" s="374"/>
      <c r="O709" s="374"/>
      <c r="P709" s="374"/>
      <c r="Q709" s="374"/>
      <c r="R709" s="374"/>
    </row>
    <row r="710" customFormat="false" ht="15.75" hidden="false" customHeight="false" outlineLevel="0" collapsed="false">
      <c r="A710" s="374" t="n">
        <v>811</v>
      </c>
      <c r="B710" s="374" t="str">
        <f aca="false" t="array" ref="B710:B710">INDEX('0.0.1 Pokémon Dex Data'!$E$3:$E1007,MATCH(A710,'0.0.1 Pokémon Dex Data'!$B$3:$B1007,0))</f>
        <v>Dedenne</v>
      </c>
      <c r="C710" s="374"/>
      <c r="D710" s="374"/>
      <c r="E710" s="374"/>
      <c r="F710" s="374"/>
      <c r="G710" s="374"/>
      <c r="H710" s="374"/>
      <c r="I710" s="374"/>
      <c r="J710" s="374"/>
      <c r="K710" s="374"/>
      <c r="L710" s="374"/>
      <c r="M710" s="374"/>
      <c r="N710" s="374"/>
      <c r="O710" s="374"/>
      <c r="P710" s="374"/>
      <c r="Q710" s="374"/>
      <c r="R710" s="374"/>
    </row>
    <row r="711" customFormat="false" ht="15.75" hidden="false" customHeight="false" outlineLevel="0" collapsed="false">
      <c r="A711" s="374" t="n">
        <v>812</v>
      </c>
      <c r="B711" s="374" t="str">
        <f aca="false" t="array" ref="B711:B711">INDEX('0.0.1 Pokémon Dex Data'!$E$3:$E1007,MATCH(A711,'0.0.1 Pokémon Dex Data'!$B$3:$B1007,0))</f>
        <v>Carbink</v>
      </c>
      <c r="C711" s="374"/>
      <c r="D711" s="374"/>
      <c r="E711" s="374"/>
      <c r="F711" s="374"/>
      <c r="G711" s="374"/>
      <c r="H711" s="374"/>
      <c r="I711" s="374"/>
      <c r="J711" s="374"/>
      <c r="K711" s="374"/>
      <c r="L711" s="374"/>
      <c r="M711" s="374"/>
      <c r="N711" s="374"/>
      <c r="O711" s="374"/>
      <c r="P711" s="374"/>
      <c r="Q711" s="374"/>
      <c r="R711" s="374"/>
    </row>
    <row r="712" customFormat="false" ht="15.75" hidden="false" customHeight="false" outlineLevel="0" collapsed="false">
      <c r="A712" s="374" t="n">
        <v>813</v>
      </c>
      <c r="B712" s="374" t="str">
        <f aca="false" t="array" ref="B712:B712">INDEX('0.0.1 Pokémon Dex Data'!$E$3:$E1007,MATCH(A712,'0.0.1 Pokémon Dex Data'!$B$3:$B1007,0))</f>
        <v>Goomy</v>
      </c>
      <c r="C712" s="374"/>
      <c r="D712" s="374"/>
      <c r="E712" s="374"/>
      <c r="F712" s="374"/>
      <c r="G712" s="374"/>
      <c r="H712" s="374"/>
      <c r="I712" s="374"/>
      <c r="J712" s="374"/>
      <c r="K712" s="374"/>
      <c r="L712" s="374"/>
      <c r="M712" s="374"/>
      <c r="N712" s="374"/>
      <c r="O712" s="374"/>
      <c r="P712" s="374"/>
      <c r="Q712" s="374"/>
      <c r="R712" s="374"/>
    </row>
    <row r="713" customFormat="false" ht="15.75" hidden="false" customHeight="false" outlineLevel="0" collapsed="false">
      <c r="A713" s="374" t="n">
        <v>814</v>
      </c>
      <c r="B713" s="374" t="str">
        <f aca="false" t="array" ref="B713:B713">INDEX('0.0.1 Pokémon Dex Data'!$E$3:$E1007,MATCH(A713,'0.0.1 Pokémon Dex Data'!$B$3:$B1007,0))</f>
        <v>Sliggoo</v>
      </c>
      <c r="C713" s="374"/>
      <c r="D713" s="374"/>
      <c r="E713" s="374"/>
      <c r="F713" s="374"/>
      <c r="G713" s="374"/>
      <c r="H713" s="374"/>
      <c r="I713" s="374"/>
      <c r="J713" s="374"/>
      <c r="K713" s="374"/>
      <c r="L713" s="374"/>
      <c r="M713" s="374"/>
      <c r="N713" s="374"/>
      <c r="O713" s="374"/>
      <c r="P713" s="374"/>
      <c r="Q713" s="374"/>
      <c r="R713" s="374"/>
    </row>
    <row r="714" customFormat="false" ht="15.75" hidden="false" customHeight="false" outlineLevel="0" collapsed="false">
      <c r="A714" s="374" t="n">
        <v>815</v>
      </c>
      <c r="B714" s="374" t="str">
        <f aca="false" t="array" ref="B714:B714">INDEX('0.0.1 Pokémon Dex Data'!$E$3:$E1007,MATCH(A714,'0.0.1 Pokémon Dex Data'!$B$3:$B1007,0))</f>
        <v>Goodra</v>
      </c>
      <c r="C714" s="374"/>
      <c r="D714" s="374"/>
      <c r="E714" s="374"/>
      <c r="F714" s="374"/>
      <c r="G714" s="374"/>
      <c r="H714" s="374"/>
      <c r="I714" s="374"/>
      <c r="J714" s="374"/>
      <c r="K714" s="374"/>
      <c r="L714" s="374"/>
      <c r="M714" s="374"/>
      <c r="N714" s="374"/>
      <c r="O714" s="374"/>
      <c r="P714" s="374"/>
      <c r="Q714" s="374"/>
      <c r="R714" s="374"/>
    </row>
    <row r="715" customFormat="false" ht="15.75" hidden="false" customHeight="false" outlineLevel="0" collapsed="false">
      <c r="A715" s="374" t="n">
        <v>816</v>
      </c>
      <c r="B715" s="374" t="str">
        <f aca="false" t="array" ref="B715:B715">INDEX('0.0.1 Pokémon Dex Data'!$E$3:$E1007,MATCH(A715,'0.0.1 Pokémon Dex Data'!$B$3:$B1007,0))</f>
        <v>Klefki</v>
      </c>
      <c r="C715" s="374"/>
      <c r="D715" s="374"/>
      <c r="E715" s="374"/>
      <c r="F715" s="374"/>
      <c r="G715" s="374"/>
      <c r="H715" s="374"/>
      <c r="I715" s="374"/>
      <c r="J715" s="374"/>
      <c r="K715" s="374"/>
      <c r="L715" s="374"/>
      <c r="M715" s="374"/>
      <c r="N715" s="374"/>
      <c r="O715" s="374"/>
      <c r="P715" s="374"/>
      <c r="Q715" s="374"/>
      <c r="R715" s="374"/>
    </row>
    <row r="716" customFormat="false" ht="15.75" hidden="false" customHeight="false" outlineLevel="0" collapsed="false">
      <c r="A716" s="374" t="n">
        <v>817</v>
      </c>
      <c r="B716" s="374" t="str">
        <f aca="false" t="array" ref="B716:B716">INDEX('0.0.1 Pokémon Dex Data'!$E$3:$E1007,MATCH(A716,'0.0.1 Pokémon Dex Data'!$B$3:$B1007,0))</f>
        <v>Phantump</v>
      </c>
      <c r="C716" s="374"/>
      <c r="D716" s="374"/>
      <c r="E716" s="374"/>
      <c r="F716" s="374"/>
      <c r="G716" s="374"/>
      <c r="H716" s="374"/>
      <c r="I716" s="374"/>
      <c r="J716" s="374"/>
      <c r="K716" s="374"/>
      <c r="L716" s="374"/>
      <c r="M716" s="374"/>
      <c r="N716" s="374"/>
      <c r="O716" s="374"/>
      <c r="P716" s="374"/>
      <c r="Q716" s="374"/>
      <c r="R716" s="374"/>
    </row>
    <row r="717" customFormat="false" ht="15.75" hidden="false" customHeight="false" outlineLevel="0" collapsed="false">
      <c r="A717" s="374" t="n">
        <v>818</v>
      </c>
      <c r="B717" s="374" t="str">
        <f aca="false" t="array" ref="B717:B717">INDEX('0.0.1 Pokémon Dex Data'!$E$3:$E1007,MATCH(A717,'0.0.1 Pokémon Dex Data'!$B$3:$B1007,0))</f>
        <v>Trevenant</v>
      </c>
      <c r="C717" s="374"/>
      <c r="D717" s="374"/>
      <c r="E717" s="374"/>
      <c r="F717" s="374"/>
      <c r="G717" s="374"/>
      <c r="H717" s="374"/>
      <c r="I717" s="374"/>
      <c r="J717" s="374"/>
      <c r="K717" s="374"/>
      <c r="L717" s="374"/>
      <c r="M717" s="374"/>
      <c r="N717" s="374"/>
      <c r="O717" s="374"/>
      <c r="P717" s="374"/>
      <c r="Q717" s="374"/>
      <c r="R717" s="374"/>
    </row>
    <row r="718" customFormat="false" ht="15.75" hidden="false" customHeight="false" outlineLevel="0" collapsed="false">
      <c r="A718" s="374" t="n">
        <v>819</v>
      </c>
      <c r="B718" s="374" t="str">
        <f aca="false" t="array" ref="B718:B718">INDEX('0.0.1 Pokémon Dex Data'!$E$3:$E1007,MATCH(A718,'0.0.1 Pokémon Dex Data'!$B$3:$B1007,0))</f>
        <v>Pumpkaboo-Average</v>
      </c>
      <c r="C718" s="374"/>
      <c r="D718" s="374"/>
      <c r="E718" s="374"/>
      <c r="F718" s="374"/>
      <c r="G718" s="374"/>
      <c r="H718" s="374"/>
      <c r="I718" s="374"/>
      <c r="J718" s="374"/>
      <c r="K718" s="374"/>
      <c r="L718" s="374"/>
      <c r="M718" s="374"/>
      <c r="N718" s="374"/>
      <c r="O718" s="374"/>
      <c r="P718" s="374"/>
      <c r="Q718" s="374"/>
      <c r="R718" s="374"/>
    </row>
    <row r="719" customFormat="false" ht="15.75" hidden="false" customHeight="false" outlineLevel="0" collapsed="false">
      <c r="A719" s="374" t="n">
        <v>823</v>
      </c>
      <c r="B719" s="374" t="str">
        <f aca="false" t="array" ref="B719:B719">INDEX('0.0.1 Pokémon Dex Data'!$E$3:$E1007,MATCH(A719,'0.0.1 Pokémon Dex Data'!$B$3:$B1007,0))</f>
        <v>Gourgeist-Average</v>
      </c>
      <c r="C719" s="374"/>
      <c r="D719" s="374"/>
      <c r="E719" s="374"/>
      <c r="F719" s="374"/>
      <c r="G719" s="374"/>
      <c r="H719" s="374"/>
      <c r="I719" s="374"/>
      <c r="J719" s="374"/>
      <c r="K719" s="374"/>
      <c r="L719" s="374"/>
      <c r="M719" s="374"/>
      <c r="N719" s="374"/>
      <c r="O719" s="374"/>
      <c r="P719" s="374"/>
      <c r="Q719" s="374"/>
      <c r="R719" s="374"/>
    </row>
    <row r="720" customFormat="false" ht="15.75" hidden="false" customHeight="false" outlineLevel="0" collapsed="false">
      <c r="A720" s="374" t="n">
        <v>827</v>
      </c>
      <c r="B720" s="374" t="str">
        <f aca="false" t="array" ref="B720:B720">INDEX('0.0.1 Pokémon Dex Data'!$E$3:$E1007,MATCH(A720,'0.0.1 Pokémon Dex Data'!$B$3:$B1007,0))</f>
        <v>Bergmite</v>
      </c>
      <c r="C720" s="374"/>
      <c r="D720" s="374"/>
      <c r="E720" s="374"/>
      <c r="F720" s="374"/>
      <c r="G720" s="374"/>
      <c r="H720" s="374"/>
      <c r="I720" s="374"/>
      <c r="J720" s="374"/>
      <c r="K720" s="374"/>
      <c r="L720" s="374"/>
      <c r="M720" s="374"/>
      <c r="N720" s="374"/>
      <c r="O720" s="374"/>
      <c r="P720" s="374"/>
      <c r="Q720" s="374"/>
      <c r="R720" s="374"/>
    </row>
    <row r="721" customFormat="false" ht="15.75" hidden="false" customHeight="false" outlineLevel="0" collapsed="false">
      <c r="A721" s="374" t="n">
        <v>828</v>
      </c>
      <c r="B721" s="374" t="str">
        <f aca="false" t="array" ref="B721:B721">INDEX('0.0.1 Pokémon Dex Data'!$E$3:$E1007,MATCH(A721,'0.0.1 Pokémon Dex Data'!$B$3:$B1007,0))</f>
        <v>Avalugg</v>
      </c>
      <c r="C721" s="374"/>
      <c r="D721" s="374"/>
      <c r="E721" s="374"/>
      <c r="F721" s="374"/>
      <c r="G721" s="374"/>
      <c r="H721" s="374"/>
      <c r="I721" s="374"/>
      <c r="J721" s="374"/>
      <c r="K721" s="374"/>
      <c r="L721" s="374"/>
      <c r="M721" s="374"/>
      <c r="N721" s="374"/>
      <c r="O721" s="374"/>
      <c r="P721" s="374"/>
      <c r="Q721" s="374"/>
      <c r="R721" s="374"/>
    </row>
    <row r="722" customFormat="false" ht="15.75" hidden="false" customHeight="false" outlineLevel="0" collapsed="false">
      <c r="A722" s="374" t="n">
        <v>829</v>
      </c>
      <c r="B722" s="374" t="str">
        <f aca="false" t="array" ref="B722:B722">INDEX('0.0.1 Pokémon Dex Data'!$E$3:$E1007,MATCH(A722,'0.0.1 Pokémon Dex Data'!$B$3:$B1007,0))</f>
        <v>Noibat</v>
      </c>
      <c r="C722" s="374"/>
      <c r="D722" s="374"/>
      <c r="E722" s="374"/>
      <c r="F722" s="374"/>
      <c r="G722" s="374"/>
      <c r="H722" s="374"/>
      <c r="I722" s="374"/>
      <c r="J722" s="374"/>
      <c r="K722" s="374"/>
      <c r="L722" s="374"/>
      <c r="M722" s="374"/>
      <c r="N722" s="374"/>
      <c r="O722" s="374"/>
      <c r="P722" s="374"/>
      <c r="Q722" s="374"/>
      <c r="R722" s="374"/>
    </row>
    <row r="723" customFormat="false" ht="15.75" hidden="false" customHeight="false" outlineLevel="0" collapsed="false">
      <c r="A723" s="374" t="n">
        <v>830</v>
      </c>
      <c r="B723" s="374" t="str">
        <f aca="false" t="array" ref="B723:B723">INDEX('0.0.1 Pokémon Dex Data'!$E$3:$E1007,MATCH(A723,'0.0.1 Pokémon Dex Data'!$B$3:$B1007,0))</f>
        <v>Noivern</v>
      </c>
      <c r="C723" s="374"/>
      <c r="D723" s="374"/>
      <c r="E723" s="374"/>
      <c r="F723" s="374"/>
      <c r="G723" s="374"/>
      <c r="H723" s="374"/>
      <c r="I723" s="374"/>
      <c r="J723" s="374"/>
      <c r="K723" s="374"/>
      <c r="L723" s="374"/>
      <c r="M723" s="374"/>
      <c r="N723" s="374"/>
      <c r="O723" s="374"/>
      <c r="P723" s="374"/>
      <c r="Q723" s="374"/>
      <c r="R723" s="374"/>
    </row>
    <row r="724" customFormat="false" ht="15.75" hidden="false" customHeight="false" outlineLevel="0" collapsed="false">
      <c r="A724" s="374" t="n">
        <v>831</v>
      </c>
      <c r="B724" s="374" t="str">
        <f aca="false" t="array" ref="B724:B724">INDEX('0.0.1 Pokémon Dex Data'!$E$3:$E1007,MATCH(A724,'0.0.1 Pokémon Dex Data'!$B$3:$B1007,0))</f>
        <v>Xerneas</v>
      </c>
      <c r="C724" s="374"/>
      <c r="D724" s="374"/>
      <c r="E724" s="374"/>
      <c r="F724" s="374"/>
      <c r="G724" s="374"/>
      <c r="H724" s="374"/>
      <c r="I724" s="374"/>
      <c r="J724" s="374"/>
      <c r="K724" s="374"/>
      <c r="L724" s="374"/>
      <c r="M724" s="374"/>
      <c r="N724" s="374"/>
      <c r="O724" s="374"/>
      <c r="P724" s="374"/>
      <c r="Q724" s="374"/>
      <c r="R724" s="374"/>
    </row>
    <row r="725" customFormat="false" ht="15.75" hidden="false" customHeight="false" outlineLevel="0" collapsed="false">
      <c r="A725" s="374" t="n">
        <v>832</v>
      </c>
      <c r="B725" s="374" t="str">
        <f aca="false" t="array" ref="B725:B725">INDEX('0.0.1 Pokémon Dex Data'!$E$3:$E1007,MATCH(A725,'0.0.1 Pokémon Dex Data'!$B$3:$B1007,0))</f>
        <v>Yveltal</v>
      </c>
      <c r="C725" s="374"/>
      <c r="D725" s="374"/>
      <c r="E725" s="374"/>
      <c r="F725" s="374"/>
      <c r="G725" s="374"/>
      <c r="H725" s="374"/>
      <c r="I725" s="374"/>
      <c r="J725" s="374"/>
      <c r="K725" s="374"/>
      <c r="L725" s="374"/>
      <c r="M725" s="374"/>
      <c r="N725" s="374"/>
      <c r="O725" s="374"/>
      <c r="P725" s="374"/>
      <c r="Q725" s="374"/>
      <c r="R725" s="374"/>
    </row>
    <row r="726" customFormat="false" ht="15.75" hidden="false" customHeight="false" outlineLevel="0" collapsed="false">
      <c r="A726" s="374" t="n">
        <v>833</v>
      </c>
      <c r="B726" s="374" t="str">
        <f aca="false" t="array" ref="B726:B726">INDEX('0.0.1 Pokémon Dex Data'!$E$3:$E1007,MATCH(A726,'0.0.1 Pokémon Dex Data'!$B$3:$B1007,0))</f>
        <v>Zygarde</v>
      </c>
      <c r="C726" s="374"/>
      <c r="D726" s="374"/>
      <c r="E726" s="374"/>
      <c r="F726" s="374"/>
      <c r="G726" s="374"/>
      <c r="H726" s="374"/>
      <c r="I726" s="374"/>
      <c r="J726" s="374"/>
      <c r="K726" s="374"/>
      <c r="L726" s="374"/>
      <c r="M726" s="374"/>
      <c r="N726" s="374"/>
      <c r="O726" s="374"/>
      <c r="P726" s="374"/>
      <c r="Q726" s="374"/>
      <c r="R726" s="374"/>
    </row>
    <row r="727" customFormat="false" ht="15.75" hidden="false" customHeight="false" outlineLevel="0" collapsed="false">
      <c r="A727" s="374" t="n">
        <v>836</v>
      </c>
      <c r="B727" s="374" t="str">
        <f aca="false" t="array" ref="B727:B727">INDEX('0.0.1 Pokémon Dex Data'!$E$3:$E1007,MATCH(A727,'0.0.1 Pokémon Dex Data'!$B$3:$B1007,0))</f>
        <v>Diancie</v>
      </c>
      <c r="C727" s="374"/>
      <c r="D727" s="374"/>
      <c r="E727" s="374"/>
      <c r="F727" s="374"/>
      <c r="G727" s="374"/>
      <c r="H727" s="374"/>
      <c r="I727" s="374"/>
      <c r="J727" s="374"/>
      <c r="K727" s="374"/>
      <c r="L727" s="374"/>
      <c r="M727" s="374"/>
      <c r="N727" s="374"/>
      <c r="O727" s="374"/>
      <c r="P727" s="374"/>
      <c r="Q727" s="374"/>
      <c r="R727" s="374"/>
    </row>
    <row r="728" customFormat="false" ht="15.75" hidden="false" customHeight="false" outlineLevel="0" collapsed="false">
      <c r="A728" s="374" t="n">
        <v>838</v>
      </c>
      <c r="B728" s="374" t="str">
        <f aca="false" t="array" ref="B728:B728">INDEX('0.0.1 Pokémon Dex Data'!$E$3:$E1007,MATCH(A728,'0.0.1 Pokémon Dex Data'!$B$3:$B1007,0))</f>
        <v>Hoopa</v>
      </c>
      <c r="C728" s="374"/>
      <c r="D728" s="374"/>
      <c r="E728" s="374"/>
      <c r="F728" s="374"/>
      <c r="G728" s="374"/>
      <c r="H728" s="374"/>
      <c r="I728" s="374"/>
      <c r="J728" s="374"/>
      <c r="K728" s="374"/>
      <c r="L728" s="374"/>
      <c r="M728" s="374"/>
      <c r="N728" s="374"/>
      <c r="O728" s="374"/>
      <c r="P728" s="374"/>
      <c r="Q728" s="374"/>
      <c r="R728" s="374"/>
    </row>
    <row r="729" customFormat="false" ht="15.75" hidden="false" customHeight="false" outlineLevel="0" collapsed="false">
      <c r="A729" s="374" t="n">
        <v>840</v>
      </c>
      <c r="B729" s="374" t="str">
        <f aca="false" t="array" ref="B729:B729">INDEX('0.0.1 Pokémon Dex Data'!$E$3:$E1007,MATCH(A729,'0.0.1 Pokémon Dex Data'!$B$3:$B1007,0))</f>
        <v>Volcanion</v>
      </c>
      <c r="C729" s="374"/>
      <c r="D729" s="374"/>
      <c r="E729" s="374"/>
      <c r="F729" s="374"/>
      <c r="G729" s="374"/>
      <c r="H729" s="374"/>
      <c r="I729" s="374"/>
      <c r="J729" s="374"/>
      <c r="K729" s="374"/>
      <c r="L729" s="374"/>
      <c r="M729" s="374"/>
      <c r="N729" s="374"/>
      <c r="O729" s="374"/>
      <c r="P729" s="374"/>
      <c r="Q729" s="374"/>
      <c r="R729" s="374"/>
    </row>
    <row r="730" customFormat="false" ht="15.75" hidden="false" customHeight="false" outlineLevel="0" collapsed="false">
      <c r="A730" s="374" t="n">
        <v>841</v>
      </c>
      <c r="B730" s="374" t="str">
        <f aca="false" t="array" ref="B730:B730">INDEX('0.0.1 Pokémon Dex Data'!$E$3:$E1007,MATCH(A730,'0.0.1 Pokémon Dex Data'!$B$3:$B1007,0))</f>
        <v>Rowlet</v>
      </c>
      <c r="C730" s="374"/>
      <c r="D730" s="374"/>
      <c r="E730" s="374"/>
      <c r="F730" s="374"/>
      <c r="G730" s="374"/>
      <c r="H730" s="374"/>
      <c r="I730" s="374"/>
      <c r="J730" s="374"/>
      <c r="K730" s="374"/>
      <c r="L730" s="374"/>
      <c r="M730" s="374"/>
      <c r="N730" s="374"/>
      <c r="O730" s="374"/>
      <c r="P730" s="374"/>
      <c r="Q730" s="374"/>
      <c r="R730" s="374"/>
    </row>
    <row r="731" customFormat="false" ht="15.75" hidden="false" customHeight="false" outlineLevel="0" collapsed="false">
      <c r="A731" s="374" t="n">
        <v>842</v>
      </c>
      <c r="B731" s="374" t="str">
        <f aca="false" t="array" ref="B731:B731">INDEX('0.0.1 Pokémon Dex Data'!$E$3:$E1007,MATCH(A731,'0.0.1 Pokémon Dex Data'!$B$3:$B1007,0))</f>
        <v>Dartrix</v>
      </c>
      <c r="C731" s="374"/>
      <c r="D731" s="374"/>
      <c r="E731" s="374"/>
      <c r="F731" s="374"/>
      <c r="G731" s="374"/>
      <c r="H731" s="374"/>
      <c r="I731" s="374"/>
      <c r="J731" s="374"/>
      <c r="K731" s="374"/>
      <c r="L731" s="374"/>
      <c r="M731" s="374"/>
      <c r="N731" s="374"/>
      <c r="O731" s="374"/>
      <c r="P731" s="374"/>
      <c r="Q731" s="374"/>
      <c r="R731" s="374"/>
    </row>
    <row r="732" customFormat="false" ht="15.75" hidden="false" customHeight="false" outlineLevel="0" collapsed="false">
      <c r="A732" s="374" t="n">
        <v>843</v>
      </c>
      <c r="B732" s="374" t="str">
        <f aca="false" t="array" ref="B732:B732">INDEX('0.0.1 Pokémon Dex Data'!$E$3:$E1007,MATCH(A732,'0.0.1 Pokémon Dex Data'!$B$3:$B1007,0))</f>
        <v>Decidueye</v>
      </c>
      <c r="C732" s="374"/>
      <c r="D732" s="374"/>
      <c r="E732" s="374"/>
      <c r="F732" s="374"/>
      <c r="G732" s="374"/>
      <c r="H732" s="374"/>
      <c r="I732" s="374"/>
      <c r="J732" s="374"/>
      <c r="K732" s="374"/>
      <c r="L732" s="374"/>
      <c r="M732" s="374"/>
      <c r="N732" s="374"/>
      <c r="O732" s="374"/>
      <c r="P732" s="374"/>
      <c r="Q732" s="374"/>
      <c r="R732" s="374"/>
    </row>
    <row r="733" customFormat="false" ht="15.75" hidden="false" customHeight="false" outlineLevel="0" collapsed="false">
      <c r="A733" s="374" t="n">
        <v>844</v>
      </c>
      <c r="B733" s="374" t="str">
        <f aca="false" t="array" ref="B733:B733">INDEX('0.0.1 Pokémon Dex Data'!$E$3:$E1007,MATCH(A733,'0.0.1 Pokémon Dex Data'!$B$3:$B1007,0))</f>
        <v>Litten</v>
      </c>
      <c r="C733" s="374"/>
      <c r="D733" s="374"/>
      <c r="E733" s="374"/>
      <c r="F733" s="374"/>
      <c r="G733" s="374"/>
      <c r="H733" s="374"/>
      <c r="I733" s="374"/>
      <c r="J733" s="374"/>
      <c r="K733" s="374"/>
      <c r="L733" s="374"/>
      <c r="M733" s="374"/>
      <c r="N733" s="374"/>
      <c r="O733" s="374"/>
      <c r="P733" s="374"/>
      <c r="Q733" s="374"/>
      <c r="R733" s="374"/>
    </row>
    <row r="734" customFormat="false" ht="15.75" hidden="false" customHeight="false" outlineLevel="0" collapsed="false">
      <c r="A734" s="374" t="n">
        <v>845</v>
      </c>
      <c r="B734" s="374" t="str">
        <f aca="false" t="array" ref="B734:B734">INDEX('0.0.1 Pokémon Dex Data'!$E$3:$E1007,MATCH(A734,'0.0.1 Pokémon Dex Data'!$B$3:$B1007,0))</f>
        <v>Torracat</v>
      </c>
      <c r="C734" s="374"/>
      <c r="D734" s="374"/>
      <c r="E734" s="374"/>
      <c r="F734" s="374"/>
      <c r="G734" s="374"/>
      <c r="H734" s="374"/>
      <c r="I734" s="374"/>
      <c r="J734" s="374"/>
      <c r="K734" s="374"/>
      <c r="L734" s="374"/>
      <c r="M734" s="374"/>
      <c r="N734" s="374"/>
      <c r="O734" s="374"/>
      <c r="P734" s="374"/>
      <c r="Q734" s="374"/>
      <c r="R734" s="374"/>
    </row>
    <row r="735" customFormat="false" ht="15.75" hidden="false" customHeight="false" outlineLevel="0" collapsed="false">
      <c r="A735" s="374" t="n">
        <v>846</v>
      </c>
      <c r="B735" s="374" t="str">
        <f aca="false" t="array" ref="B735:B735">INDEX('0.0.1 Pokémon Dex Data'!$E$3:$E1007,MATCH(A735,'0.0.1 Pokémon Dex Data'!$B$3:$B1007,0))</f>
        <v>Incineroar</v>
      </c>
      <c r="C735" s="374"/>
      <c r="D735" s="374"/>
      <c r="E735" s="374"/>
      <c r="F735" s="374"/>
      <c r="G735" s="374"/>
      <c r="H735" s="374"/>
      <c r="I735" s="374"/>
      <c r="J735" s="374"/>
      <c r="K735" s="374"/>
      <c r="L735" s="374"/>
      <c r="M735" s="374"/>
      <c r="N735" s="374"/>
      <c r="O735" s="374"/>
      <c r="P735" s="374"/>
      <c r="Q735" s="374"/>
      <c r="R735" s="374"/>
    </row>
    <row r="736" customFormat="false" ht="15.75" hidden="false" customHeight="false" outlineLevel="0" collapsed="false">
      <c r="A736" s="374" t="n">
        <v>847</v>
      </c>
      <c r="B736" s="374" t="str">
        <f aca="false" t="array" ref="B736:B736">INDEX('0.0.1 Pokémon Dex Data'!$E$3:$E1007,MATCH(A736,'0.0.1 Pokémon Dex Data'!$B$3:$B1007,0))</f>
        <v>Popplio</v>
      </c>
      <c r="C736" s="374"/>
      <c r="D736" s="374"/>
      <c r="E736" s="374"/>
      <c r="F736" s="374"/>
      <c r="G736" s="374"/>
      <c r="H736" s="374"/>
      <c r="I736" s="374"/>
      <c r="J736" s="374"/>
      <c r="K736" s="374"/>
      <c r="L736" s="374"/>
      <c r="M736" s="374"/>
      <c r="N736" s="374"/>
      <c r="O736" s="374"/>
      <c r="P736" s="374"/>
      <c r="Q736" s="374"/>
      <c r="R736" s="374"/>
    </row>
    <row r="737" customFormat="false" ht="15.75" hidden="false" customHeight="false" outlineLevel="0" collapsed="false">
      <c r="A737" s="374" t="n">
        <v>848</v>
      </c>
      <c r="B737" s="374" t="str">
        <f aca="false" t="array" ref="B737:B737">INDEX('0.0.1 Pokémon Dex Data'!$E$3:$E1007,MATCH(A737,'0.0.1 Pokémon Dex Data'!$B$3:$B1007,0))</f>
        <v>Brionne</v>
      </c>
      <c r="C737" s="374"/>
      <c r="D737" s="374"/>
      <c r="E737" s="374"/>
      <c r="F737" s="374"/>
      <c r="G737" s="374"/>
      <c r="H737" s="374"/>
      <c r="I737" s="374"/>
      <c r="J737" s="374"/>
      <c r="K737" s="374"/>
      <c r="L737" s="374"/>
      <c r="M737" s="374"/>
      <c r="N737" s="374"/>
      <c r="O737" s="374"/>
      <c r="P737" s="374"/>
      <c r="Q737" s="374"/>
      <c r="R737" s="374"/>
    </row>
    <row r="738" customFormat="false" ht="15.75" hidden="false" customHeight="false" outlineLevel="0" collapsed="false">
      <c r="A738" s="374" t="n">
        <v>849</v>
      </c>
      <c r="B738" s="374" t="str">
        <f aca="false" t="array" ref="B738:B738">INDEX('0.0.1 Pokémon Dex Data'!$E$3:$E1007,MATCH(A738,'0.0.1 Pokémon Dex Data'!$B$3:$B1007,0))</f>
        <v>Primarina</v>
      </c>
      <c r="C738" s="374"/>
      <c r="D738" s="374"/>
      <c r="E738" s="374"/>
      <c r="F738" s="374"/>
      <c r="G738" s="374"/>
      <c r="H738" s="374"/>
      <c r="I738" s="374"/>
      <c r="J738" s="374"/>
      <c r="K738" s="374"/>
      <c r="L738" s="374"/>
      <c r="M738" s="374"/>
      <c r="N738" s="374"/>
      <c r="O738" s="374"/>
      <c r="P738" s="374"/>
      <c r="Q738" s="374"/>
      <c r="R738" s="374"/>
    </row>
    <row r="739" customFormat="false" ht="15.75" hidden="false" customHeight="false" outlineLevel="0" collapsed="false">
      <c r="A739" s="374" t="n">
        <v>850</v>
      </c>
      <c r="B739" s="374" t="str">
        <f aca="false" t="array" ref="B739:B739">INDEX('0.0.1 Pokémon Dex Data'!$E$3:$E1007,MATCH(A739,'0.0.1 Pokémon Dex Data'!$B$3:$B1007,0))</f>
        <v>Pikipek</v>
      </c>
      <c r="C739" s="374"/>
      <c r="D739" s="374"/>
      <c r="E739" s="374"/>
      <c r="F739" s="374"/>
      <c r="G739" s="374"/>
      <c r="H739" s="374"/>
      <c r="I739" s="374"/>
      <c r="J739" s="374"/>
      <c r="K739" s="374"/>
      <c r="L739" s="374"/>
      <c r="M739" s="374"/>
      <c r="N739" s="374"/>
      <c r="O739" s="374"/>
      <c r="P739" s="374"/>
      <c r="Q739" s="374"/>
      <c r="R739" s="374"/>
    </row>
    <row r="740" customFormat="false" ht="15.75" hidden="false" customHeight="false" outlineLevel="0" collapsed="false">
      <c r="A740" s="374" t="n">
        <v>851</v>
      </c>
      <c r="B740" s="374" t="str">
        <f aca="false" t="array" ref="B740:B740">INDEX('0.0.1 Pokémon Dex Data'!$E$3:$E1007,MATCH(A740,'0.0.1 Pokémon Dex Data'!$B$3:$B1007,0))</f>
        <v>Trumbeak</v>
      </c>
      <c r="C740" s="374"/>
      <c r="D740" s="374"/>
      <c r="E740" s="374"/>
      <c r="F740" s="374"/>
      <c r="G740" s="374"/>
      <c r="H740" s="374"/>
      <c r="I740" s="374"/>
      <c r="J740" s="374"/>
      <c r="K740" s="374"/>
      <c r="L740" s="374"/>
      <c r="M740" s="374"/>
      <c r="N740" s="374"/>
      <c r="O740" s="374"/>
      <c r="P740" s="374"/>
      <c r="Q740" s="374"/>
      <c r="R740" s="374"/>
    </row>
    <row r="741" customFormat="false" ht="15.75" hidden="false" customHeight="false" outlineLevel="0" collapsed="false">
      <c r="A741" s="374" t="n">
        <v>852</v>
      </c>
      <c r="B741" s="374" t="str">
        <f aca="false" t="array" ref="B741:B741">INDEX('0.0.1 Pokémon Dex Data'!$E$3:$E1007,MATCH(A741,'0.0.1 Pokémon Dex Data'!$B$3:$B1007,0))</f>
        <v>Toucannon</v>
      </c>
      <c r="C741" s="374"/>
      <c r="D741" s="374"/>
      <c r="E741" s="374"/>
      <c r="F741" s="374"/>
      <c r="G741" s="374"/>
      <c r="H741" s="374"/>
      <c r="I741" s="374"/>
      <c r="J741" s="374"/>
      <c r="K741" s="374"/>
      <c r="L741" s="374"/>
      <c r="M741" s="374"/>
      <c r="N741" s="374"/>
      <c r="O741" s="374"/>
      <c r="P741" s="374"/>
      <c r="Q741" s="374"/>
      <c r="R741" s="374"/>
    </row>
    <row r="742" customFormat="false" ht="15.75" hidden="false" customHeight="false" outlineLevel="0" collapsed="false">
      <c r="A742" s="374" t="n">
        <v>853</v>
      </c>
      <c r="B742" s="374" t="str">
        <f aca="false" t="array" ref="B742:B742">INDEX('0.0.1 Pokémon Dex Data'!$E$3:$E1007,MATCH(A742,'0.0.1 Pokémon Dex Data'!$B$3:$B1007,0))</f>
        <v>Yungoos</v>
      </c>
      <c r="C742" s="374"/>
      <c r="D742" s="374"/>
      <c r="E742" s="374"/>
      <c r="F742" s="374"/>
      <c r="G742" s="374"/>
      <c r="H742" s="374"/>
      <c r="I742" s="374"/>
      <c r="J742" s="374"/>
      <c r="K742" s="374"/>
      <c r="L742" s="374"/>
      <c r="M742" s="374"/>
      <c r="N742" s="374"/>
      <c r="O742" s="374"/>
      <c r="P742" s="374"/>
      <c r="Q742" s="374"/>
      <c r="R742" s="374"/>
    </row>
    <row r="743" customFormat="false" ht="15.75" hidden="false" customHeight="false" outlineLevel="0" collapsed="false">
      <c r="A743" s="374" t="n">
        <v>854</v>
      </c>
      <c r="B743" s="374" t="str">
        <f aca="false" t="array" ref="B743:B743">INDEX('0.0.1 Pokémon Dex Data'!$E$3:$E1007,MATCH(A743,'0.0.1 Pokémon Dex Data'!$B$3:$B1007,0))</f>
        <v>Gumshoos</v>
      </c>
      <c r="C743" s="374"/>
      <c r="D743" s="374"/>
      <c r="E743" s="374"/>
      <c r="F743" s="374"/>
      <c r="G743" s="374"/>
      <c r="H743" s="374"/>
      <c r="I743" s="374"/>
      <c r="J743" s="374"/>
      <c r="K743" s="374"/>
      <c r="L743" s="374"/>
      <c r="M743" s="374"/>
      <c r="N743" s="374"/>
      <c r="O743" s="374"/>
      <c r="P743" s="374"/>
      <c r="Q743" s="374"/>
      <c r="R743" s="374"/>
    </row>
    <row r="744" customFormat="false" ht="15.75" hidden="false" customHeight="false" outlineLevel="0" collapsed="false">
      <c r="A744" s="374" t="n">
        <v>855</v>
      </c>
      <c r="B744" s="374" t="str">
        <f aca="false" t="array" ref="B744:B744">INDEX('0.0.1 Pokémon Dex Data'!$E$3:$E1007,MATCH(A744,'0.0.1 Pokémon Dex Data'!$B$3:$B1007,0))</f>
        <v>Grubbin</v>
      </c>
      <c r="C744" s="374"/>
      <c r="D744" s="374"/>
      <c r="E744" s="374"/>
      <c r="F744" s="374"/>
      <c r="G744" s="374"/>
      <c r="H744" s="374"/>
      <c r="I744" s="374"/>
      <c r="J744" s="374"/>
      <c r="K744" s="374"/>
      <c r="L744" s="374"/>
      <c r="M744" s="374"/>
      <c r="N744" s="374"/>
      <c r="O744" s="374"/>
      <c r="P744" s="374"/>
      <c r="Q744" s="374"/>
      <c r="R744" s="374"/>
    </row>
    <row r="745" customFormat="false" ht="15.75" hidden="false" customHeight="false" outlineLevel="0" collapsed="false">
      <c r="A745" s="374" t="n">
        <v>856</v>
      </c>
      <c r="B745" s="374" t="str">
        <f aca="false" t="array" ref="B745:B745">INDEX('0.0.1 Pokémon Dex Data'!$E$3:$E1007,MATCH(A745,'0.0.1 Pokémon Dex Data'!$B$3:$B1007,0))</f>
        <v>Charjabug</v>
      </c>
      <c r="C745" s="374"/>
      <c r="D745" s="374"/>
      <c r="E745" s="374"/>
      <c r="F745" s="374"/>
      <c r="G745" s="374"/>
      <c r="H745" s="374"/>
      <c r="I745" s="374"/>
      <c r="J745" s="374"/>
      <c r="K745" s="374"/>
      <c r="L745" s="374"/>
      <c r="M745" s="374"/>
      <c r="N745" s="374"/>
      <c r="O745" s="374"/>
      <c r="P745" s="374"/>
      <c r="Q745" s="374"/>
      <c r="R745" s="374"/>
    </row>
    <row r="746" customFormat="false" ht="15.75" hidden="false" customHeight="false" outlineLevel="0" collapsed="false">
      <c r="A746" s="374" t="n">
        <v>857</v>
      </c>
      <c r="B746" s="374" t="str">
        <f aca="false" t="array" ref="B746:B746">INDEX('0.0.1 Pokémon Dex Data'!$E$3:$E1007,MATCH(A746,'0.0.1 Pokémon Dex Data'!$B$3:$B1007,0))</f>
        <v>Vikavolt</v>
      </c>
      <c r="C746" s="374"/>
      <c r="D746" s="374"/>
      <c r="E746" s="374"/>
      <c r="F746" s="374"/>
      <c r="G746" s="374"/>
      <c r="H746" s="374"/>
      <c r="I746" s="374"/>
      <c r="J746" s="374"/>
      <c r="K746" s="374"/>
      <c r="L746" s="374"/>
      <c r="M746" s="374"/>
      <c r="N746" s="374"/>
      <c r="O746" s="374"/>
      <c r="P746" s="374"/>
      <c r="Q746" s="374"/>
      <c r="R746" s="374"/>
    </row>
    <row r="747" customFormat="false" ht="15.75" hidden="false" customHeight="false" outlineLevel="0" collapsed="false">
      <c r="A747" s="374" t="n">
        <v>858</v>
      </c>
      <c r="B747" s="374" t="str">
        <f aca="false" t="array" ref="B747:B747">INDEX('0.0.1 Pokémon Dex Data'!$E$3:$E1007,MATCH(A747,'0.0.1 Pokémon Dex Data'!$B$3:$B1007,0))</f>
        <v>Crabrawler</v>
      </c>
      <c r="C747" s="374"/>
      <c r="D747" s="374"/>
      <c r="E747" s="374"/>
      <c r="F747" s="374"/>
      <c r="G747" s="374"/>
      <c r="H747" s="374"/>
      <c r="I747" s="374"/>
      <c r="J747" s="374"/>
      <c r="K747" s="374"/>
      <c r="L747" s="374"/>
      <c r="M747" s="374"/>
      <c r="N747" s="374"/>
      <c r="O747" s="374"/>
      <c r="P747" s="374"/>
      <c r="Q747" s="374"/>
      <c r="R747" s="374"/>
    </row>
    <row r="748" customFormat="false" ht="15.75" hidden="false" customHeight="false" outlineLevel="0" collapsed="false">
      <c r="A748" s="374" t="n">
        <v>859</v>
      </c>
      <c r="B748" s="374" t="str">
        <f aca="false" t="array" ref="B748:B748">INDEX('0.0.1 Pokémon Dex Data'!$E$3:$E1007,MATCH(A748,'0.0.1 Pokémon Dex Data'!$B$3:$B1007,0))</f>
        <v>Crabominable</v>
      </c>
      <c r="C748" s="374"/>
      <c r="D748" s="374"/>
      <c r="E748" s="374"/>
      <c r="F748" s="374"/>
      <c r="G748" s="374"/>
      <c r="H748" s="374"/>
      <c r="I748" s="374"/>
      <c r="J748" s="374"/>
      <c r="K748" s="374"/>
      <c r="L748" s="374"/>
      <c r="M748" s="374"/>
      <c r="N748" s="374"/>
      <c r="O748" s="374"/>
      <c r="P748" s="374"/>
      <c r="Q748" s="374"/>
      <c r="R748" s="374"/>
    </row>
    <row r="749" customFormat="false" ht="15.75" hidden="false" customHeight="false" outlineLevel="0" collapsed="false">
      <c r="A749" s="374" t="n">
        <v>860</v>
      </c>
      <c r="B749" s="374" t="str">
        <f aca="false" t="array" ref="B749:B749">INDEX('0.0.1 Pokémon Dex Data'!$E$3:$E1007,MATCH(A749,'0.0.1 Pokémon Dex Data'!$B$3:$B1007,0))</f>
        <v>Oricorio</v>
      </c>
      <c r="C749" s="374"/>
      <c r="D749" s="374"/>
      <c r="E749" s="374"/>
      <c r="F749" s="374"/>
      <c r="G749" s="374"/>
      <c r="H749" s="374"/>
      <c r="I749" s="374"/>
      <c r="J749" s="374"/>
      <c r="K749" s="374"/>
      <c r="L749" s="374"/>
      <c r="M749" s="374"/>
      <c r="N749" s="374"/>
      <c r="O749" s="374"/>
      <c r="P749" s="374"/>
      <c r="Q749" s="374"/>
      <c r="R749" s="374"/>
    </row>
    <row r="750" customFormat="false" ht="15.75" hidden="false" customHeight="false" outlineLevel="0" collapsed="false">
      <c r="A750" s="374" t="n">
        <v>861</v>
      </c>
      <c r="B750" s="374" t="str">
        <f aca="false" t="array" ref="B750:B750">INDEX('0.0.1 Pokémon Dex Data'!$E$3:$E1007,MATCH(A750,'0.0.1 Pokémon Dex Data'!$B$3:$B1007,0))</f>
        <v>Cutiefly</v>
      </c>
      <c r="C750" s="374"/>
      <c r="D750" s="374"/>
      <c r="E750" s="374"/>
      <c r="F750" s="374"/>
      <c r="G750" s="374"/>
      <c r="H750" s="374"/>
      <c r="I750" s="374"/>
      <c r="J750" s="374"/>
      <c r="K750" s="374"/>
      <c r="L750" s="374"/>
      <c r="M750" s="374"/>
      <c r="N750" s="374"/>
      <c r="O750" s="374"/>
      <c r="P750" s="374"/>
      <c r="Q750" s="374"/>
      <c r="R750" s="374"/>
    </row>
    <row r="751" customFormat="false" ht="15.75" hidden="false" customHeight="false" outlineLevel="0" collapsed="false">
      <c r="A751" s="374" t="n">
        <v>862</v>
      </c>
      <c r="B751" s="374" t="str">
        <f aca="false" t="array" ref="B751:B751">INDEX('0.0.1 Pokémon Dex Data'!$E$3:$E1007,MATCH(A751,'0.0.1 Pokémon Dex Data'!$B$3:$B1007,0))</f>
        <v>Ribombee</v>
      </c>
      <c r="C751" s="374"/>
      <c r="D751" s="374"/>
      <c r="E751" s="374"/>
      <c r="F751" s="374"/>
      <c r="G751" s="374"/>
      <c r="H751" s="374"/>
      <c r="I751" s="374"/>
      <c r="J751" s="374"/>
      <c r="K751" s="374"/>
      <c r="L751" s="374"/>
      <c r="M751" s="374"/>
      <c r="N751" s="374"/>
      <c r="O751" s="374"/>
      <c r="P751" s="374"/>
      <c r="Q751" s="374"/>
      <c r="R751" s="374"/>
    </row>
    <row r="752" customFormat="false" ht="15.75" hidden="false" customHeight="false" outlineLevel="0" collapsed="false">
      <c r="A752" s="374" t="n">
        <v>863</v>
      </c>
      <c r="B752" s="374" t="str">
        <f aca="false" t="array" ref="B752:B752">INDEX('0.0.1 Pokémon Dex Data'!$E$3:$E1007,MATCH(A752,'0.0.1 Pokémon Dex Data'!$B$3:$B1007,0))</f>
        <v>Rockruff</v>
      </c>
      <c r="C752" s="374"/>
      <c r="D752" s="374"/>
      <c r="E752" s="374"/>
      <c r="F752" s="374"/>
      <c r="G752" s="374"/>
      <c r="H752" s="374"/>
      <c r="I752" s="374"/>
      <c r="J752" s="374"/>
      <c r="K752" s="374"/>
      <c r="L752" s="374"/>
      <c r="M752" s="374"/>
      <c r="N752" s="374"/>
      <c r="O752" s="374"/>
      <c r="P752" s="374"/>
      <c r="Q752" s="374"/>
      <c r="R752" s="374"/>
    </row>
    <row r="753" customFormat="false" ht="15.75" hidden="false" customHeight="false" outlineLevel="0" collapsed="false">
      <c r="A753" s="374" t="n">
        <v>864</v>
      </c>
      <c r="B753" s="374" t="str">
        <f aca="false" t="array" ref="B753:B753">INDEX('0.0.1 Pokémon Dex Data'!$E$3:$E1007,MATCH(A753,'0.0.1 Pokémon Dex Data'!$B$3:$B1007,0))</f>
        <v>Lycanroc-Midday</v>
      </c>
      <c r="C753" s="374"/>
      <c r="D753" s="374"/>
      <c r="E753" s="374"/>
      <c r="F753" s="374"/>
      <c r="G753" s="374"/>
      <c r="H753" s="374"/>
      <c r="I753" s="374"/>
      <c r="J753" s="374"/>
      <c r="K753" s="374"/>
      <c r="L753" s="374"/>
      <c r="M753" s="374"/>
      <c r="N753" s="374"/>
      <c r="O753" s="374"/>
      <c r="P753" s="374"/>
      <c r="Q753" s="374"/>
      <c r="R753" s="374"/>
    </row>
    <row r="754" customFormat="false" ht="15.75" hidden="false" customHeight="false" outlineLevel="0" collapsed="false">
      <c r="A754" s="374" t="n">
        <v>867</v>
      </c>
      <c r="B754" s="374" t="str">
        <f aca="false" t="array" ref="B754:B754">INDEX('0.0.1 Pokémon Dex Data'!$E$3:$E1007,MATCH(A754,'0.0.1 Pokémon Dex Data'!$B$3:$B1007,0))</f>
        <v>Wishiwashi</v>
      </c>
      <c r="C754" s="374"/>
      <c r="D754" s="374"/>
      <c r="E754" s="374"/>
      <c r="F754" s="374"/>
      <c r="G754" s="374"/>
      <c r="H754" s="374"/>
      <c r="I754" s="374"/>
      <c r="J754" s="374"/>
      <c r="K754" s="374"/>
      <c r="L754" s="374"/>
      <c r="M754" s="374"/>
      <c r="N754" s="374"/>
      <c r="O754" s="374"/>
      <c r="P754" s="374"/>
      <c r="Q754" s="374"/>
      <c r="R754" s="374"/>
    </row>
    <row r="755" customFormat="false" ht="15.75" hidden="false" customHeight="false" outlineLevel="0" collapsed="false">
      <c r="A755" s="374" t="n">
        <v>869</v>
      </c>
      <c r="B755" s="374" t="str">
        <f aca="false" t="array" ref="B755:B755">INDEX('0.0.1 Pokémon Dex Data'!$E$3:$E1007,MATCH(A755,'0.0.1 Pokémon Dex Data'!$B$3:$B1007,0))</f>
        <v>Mareanie</v>
      </c>
      <c r="C755" s="374"/>
      <c r="D755" s="374"/>
      <c r="E755" s="374"/>
      <c r="F755" s="374"/>
      <c r="G755" s="374"/>
      <c r="H755" s="374"/>
      <c r="I755" s="374"/>
      <c r="J755" s="374"/>
      <c r="K755" s="374"/>
      <c r="L755" s="374"/>
      <c r="M755" s="374"/>
      <c r="N755" s="374"/>
      <c r="O755" s="374"/>
      <c r="P755" s="374"/>
      <c r="Q755" s="374"/>
      <c r="R755" s="374"/>
    </row>
    <row r="756" customFormat="false" ht="15.75" hidden="false" customHeight="false" outlineLevel="0" collapsed="false">
      <c r="A756" s="374" t="n">
        <v>870</v>
      </c>
      <c r="B756" s="374" t="str">
        <f aca="false" t="array" ref="B756:B756">INDEX('0.0.1 Pokémon Dex Data'!$E$3:$E1007,MATCH(A756,'0.0.1 Pokémon Dex Data'!$B$3:$B1007,0))</f>
        <v>Toxapex</v>
      </c>
      <c r="C756" s="374"/>
      <c r="D756" s="374"/>
      <c r="E756" s="374"/>
      <c r="F756" s="374"/>
      <c r="G756" s="374"/>
      <c r="H756" s="374"/>
      <c r="I756" s="374"/>
      <c r="J756" s="374"/>
      <c r="K756" s="374"/>
      <c r="L756" s="374"/>
      <c r="M756" s="374"/>
      <c r="N756" s="374"/>
      <c r="O756" s="374"/>
      <c r="P756" s="374"/>
      <c r="Q756" s="374"/>
      <c r="R756" s="374"/>
    </row>
    <row r="757" customFormat="false" ht="15.75" hidden="false" customHeight="false" outlineLevel="0" collapsed="false">
      <c r="A757" s="374" t="n">
        <v>871</v>
      </c>
      <c r="B757" s="374" t="str">
        <f aca="false" t="array" ref="B757:B757">INDEX('0.0.1 Pokémon Dex Data'!$E$3:$E1007,MATCH(A757,'0.0.1 Pokémon Dex Data'!$B$3:$B1007,0))</f>
        <v>Mudbray</v>
      </c>
      <c r="C757" s="374"/>
      <c r="D757" s="374"/>
      <c r="E757" s="374"/>
      <c r="F757" s="374"/>
      <c r="G757" s="374"/>
      <c r="H757" s="374"/>
      <c r="I757" s="374"/>
      <c r="J757" s="374"/>
      <c r="K757" s="374"/>
      <c r="L757" s="374"/>
      <c r="M757" s="374"/>
      <c r="N757" s="374"/>
      <c r="O757" s="374"/>
      <c r="P757" s="374"/>
      <c r="Q757" s="374"/>
      <c r="R757" s="374"/>
    </row>
    <row r="758" customFormat="false" ht="15.75" hidden="false" customHeight="false" outlineLevel="0" collapsed="false">
      <c r="A758" s="374" t="n">
        <v>872</v>
      </c>
      <c r="B758" s="374" t="str">
        <f aca="false" t="array" ref="B758:B758">INDEX('0.0.1 Pokémon Dex Data'!$E$3:$E1007,MATCH(A758,'0.0.1 Pokémon Dex Data'!$B$3:$B1007,0))</f>
        <v>Mudsdale</v>
      </c>
      <c r="C758" s="374"/>
      <c r="D758" s="374"/>
      <c r="E758" s="374"/>
      <c r="F758" s="374"/>
      <c r="G758" s="374"/>
      <c r="H758" s="374"/>
      <c r="I758" s="374"/>
      <c r="J758" s="374"/>
      <c r="K758" s="374"/>
      <c r="L758" s="374"/>
      <c r="M758" s="374"/>
      <c r="N758" s="374"/>
      <c r="O758" s="374"/>
      <c r="P758" s="374"/>
      <c r="Q758" s="374"/>
      <c r="R758" s="374"/>
    </row>
    <row r="759" customFormat="false" ht="15.75" hidden="false" customHeight="false" outlineLevel="0" collapsed="false">
      <c r="A759" s="374" t="n">
        <v>873</v>
      </c>
      <c r="B759" s="374" t="str">
        <f aca="false" t="array" ref="B759:B759">INDEX('0.0.1 Pokémon Dex Data'!$E$3:$E1007,MATCH(A759,'0.0.1 Pokémon Dex Data'!$B$3:$B1007,0))</f>
        <v>Dewpider</v>
      </c>
      <c r="C759" s="374"/>
      <c r="D759" s="374"/>
      <c r="E759" s="374"/>
      <c r="F759" s="374"/>
      <c r="G759" s="374"/>
      <c r="H759" s="374"/>
      <c r="I759" s="374"/>
      <c r="J759" s="374"/>
      <c r="K759" s="374"/>
      <c r="L759" s="374"/>
      <c r="M759" s="374"/>
      <c r="N759" s="374"/>
      <c r="O759" s="374"/>
      <c r="P759" s="374"/>
      <c r="Q759" s="374"/>
      <c r="R759" s="374"/>
    </row>
    <row r="760" customFormat="false" ht="15.75" hidden="false" customHeight="false" outlineLevel="0" collapsed="false">
      <c r="A760" s="374" t="n">
        <v>874</v>
      </c>
      <c r="B760" s="374" t="str">
        <f aca="false" t="array" ref="B760:B760">INDEX('0.0.1 Pokémon Dex Data'!$E$3:$E1007,MATCH(A760,'0.0.1 Pokémon Dex Data'!$B$3:$B1007,0))</f>
        <v>Araquanid</v>
      </c>
      <c r="C760" s="374"/>
      <c r="D760" s="374"/>
      <c r="E760" s="374"/>
      <c r="F760" s="374"/>
      <c r="G760" s="374"/>
      <c r="H760" s="374"/>
      <c r="I760" s="374"/>
      <c r="J760" s="374"/>
      <c r="K760" s="374"/>
      <c r="L760" s="374"/>
      <c r="M760" s="374"/>
      <c r="N760" s="374"/>
      <c r="O760" s="374"/>
      <c r="P760" s="374"/>
      <c r="Q760" s="374"/>
      <c r="R760" s="374"/>
    </row>
    <row r="761" customFormat="false" ht="15.75" hidden="false" customHeight="false" outlineLevel="0" collapsed="false">
      <c r="A761" s="374" t="n">
        <v>875</v>
      </c>
      <c r="B761" s="374" t="str">
        <f aca="false" t="array" ref="B761:B761">INDEX('0.0.1 Pokémon Dex Data'!$E$3:$E1007,MATCH(A761,'0.0.1 Pokémon Dex Data'!$B$3:$B1007,0))</f>
        <v>Fomantis</v>
      </c>
      <c r="C761" s="374"/>
      <c r="D761" s="374"/>
      <c r="E761" s="374"/>
      <c r="F761" s="374"/>
      <c r="G761" s="374"/>
      <c r="H761" s="374"/>
      <c r="I761" s="374"/>
      <c r="J761" s="374"/>
      <c r="K761" s="374"/>
      <c r="L761" s="374"/>
      <c r="M761" s="374"/>
      <c r="N761" s="374"/>
      <c r="O761" s="374"/>
      <c r="P761" s="374"/>
      <c r="Q761" s="374"/>
      <c r="R761" s="374"/>
    </row>
    <row r="762" customFormat="false" ht="15.75" hidden="false" customHeight="false" outlineLevel="0" collapsed="false">
      <c r="A762" s="374" t="n">
        <v>876</v>
      </c>
      <c r="B762" s="374" t="str">
        <f aca="false" t="array" ref="B762:B762">INDEX('0.0.1 Pokémon Dex Data'!$E$3:$E1007,MATCH(A762,'0.0.1 Pokémon Dex Data'!$B$3:$B1007,0))</f>
        <v>Lurantis</v>
      </c>
      <c r="C762" s="374"/>
      <c r="D762" s="374"/>
      <c r="E762" s="374"/>
      <c r="F762" s="374"/>
      <c r="G762" s="374"/>
      <c r="H762" s="374"/>
      <c r="I762" s="374"/>
      <c r="J762" s="374"/>
      <c r="K762" s="374"/>
      <c r="L762" s="374"/>
      <c r="M762" s="374"/>
      <c r="N762" s="374"/>
      <c r="O762" s="374"/>
      <c r="P762" s="374"/>
      <c r="Q762" s="374"/>
      <c r="R762" s="374"/>
    </row>
    <row r="763" customFormat="false" ht="15.75" hidden="false" customHeight="false" outlineLevel="0" collapsed="false">
      <c r="A763" s="374" t="n">
        <v>877</v>
      </c>
      <c r="B763" s="374" t="str">
        <f aca="false" t="array" ref="B763:B763">INDEX('0.0.1 Pokémon Dex Data'!$E$3:$E1007,MATCH(A763,'0.0.1 Pokémon Dex Data'!$B$3:$B1007,0))</f>
        <v>Morelull</v>
      </c>
      <c r="C763" s="374"/>
      <c r="D763" s="374"/>
      <c r="E763" s="374"/>
      <c r="F763" s="374"/>
      <c r="G763" s="374"/>
      <c r="H763" s="374"/>
      <c r="I763" s="374"/>
      <c r="J763" s="374"/>
      <c r="K763" s="374"/>
      <c r="L763" s="374"/>
      <c r="M763" s="374"/>
      <c r="N763" s="374"/>
      <c r="O763" s="374"/>
      <c r="P763" s="374"/>
      <c r="Q763" s="374"/>
      <c r="R763" s="374"/>
    </row>
    <row r="764" customFormat="false" ht="15.75" hidden="false" customHeight="false" outlineLevel="0" collapsed="false">
      <c r="A764" s="374" t="n">
        <v>878</v>
      </c>
      <c r="B764" s="374" t="str">
        <f aca="false" t="array" ref="B764:B764">INDEX('0.0.1 Pokémon Dex Data'!$E$3:$E1007,MATCH(A764,'0.0.1 Pokémon Dex Data'!$B$3:$B1007,0))</f>
        <v>Shiinotic</v>
      </c>
      <c r="C764" s="374"/>
      <c r="D764" s="374"/>
      <c r="E764" s="374"/>
      <c r="F764" s="374"/>
      <c r="G764" s="374"/>
      <c r="H764" s="374"/>
      <c r="I764" s="374"/>
      <c r="J764" s="374"/>
      <c r="K764" s="374"/>
      <c r="L764" s="374"/>
      <c r="M764" s="374"/>
      <c r="N764" s="374"/>
      <c r="O764" s="374"/>
      <c r="P764" s="374"/>
      <c r="Q764" s="374"/>
      <c r="R764" s="374"/>
    </row>
    <row r="765" customFormat="false" ht="15.75" hidden="false" customHeight="false" outlineLevel="0" collapsed="false">
      <c r="A765" s="374" t="n">
        <v>879</v>
      </c>
      <c r="B765" s="374" t="str">
        <f aca="false" t="array" ref="B765:B765">INDEX('0.0.1 Pokémon Dex Data'!$E$3:$E1007,MATCH(A765,'0.0.1 Pokémon Dex Data'!$B$3:$B1007,0))</f>
        <v>Salandit</v>
      </c>
      <c r="C765" s="374"/>
      <c r="D765" s="374"/>
      <c r="E765" s="374"/>
      <c r="F765" s="374"/>
      <c r="G765" s="374"/>
      <c r="H765" s="374"/>
      <c r="I765" s="374"/>
      <c r="J765" s="374"/>
      <c r="K765" s="374"/>
      <c r="L765" s="374"/>
      <c r="M765" s="374"/>
      <c r="N765" s="374"/>
      <c r="O765" s="374"/>
      <c r="P765" s="374"/>
      <c r="Q765" s="374"/>
      <c r="R765" s="374"/>
    </row>
    <row r="766" customFormat="false" ht="15.75" hidden="false" customHeight="false" outlineLevel="0" collapsed="false">
      <c r="A766" s="374" t="n">
        <v>880</v>
      </c>
      <c r="B766" s="374" t="str">
        <f aca="false" t="array" ref="B766:B766">INDEX('0.0.1 Pokémon Dex Data'!$E$3:$E1007,MATCH(A766,'0.0.1 Pokémon Dex Data'!$B$3:$B1007,0))</f>
        <v>Salazzle</v>
      </c>
      <c r="C766" s="374"/>
      <c r="D766" s="374"/>
      <c r="E766" s="374"/>
      <c r="F766" s="374"/>
      <c r="G766" s="374"/>
      <c r="H766" s="374"/>
      <c r="I766" s="374"/>
      <c r="J766" s="374"/>
      <c r="K766" s="374"/>
      <c r="L766" s="374"/>
      <c r="M766" s="374"/>
      <c r="N766" s="374"/>
      <c r="O766" s="374"/>
      <c r="P766" s="374"/>
      <c r="Q766" s="374"/>
      <c r="R766" s="374"/>
    </row>
    <row r="767" customFormat="false" ht="15.75" hidden="false" customHeight="false" outlineLevel="0" collapsed="false">
      <c r="A767" s="374" t="n">
        <v>881</v>
      </c>
      <c r="B767" s="374" t="str">
        <f aca="false" t="array" ref="B767:B767">INDEX('0.0.1 Pokémon Dex Data'!$E$3:$E1007,MATCH(A767,'0.0.1 Pokémon Dex Data'!$B$3:$B1007,0))</f>
        <v>Stufful</v>
      </c>
      <c r="C767" s="374"/>
      <c r="D767" s="374"/>
      <c r="E767" s="374"/>
      <c r="F767" s="374"/>
      <c r="G767" s="374"/>
      <c r="H767" s="374"/>
      <c r="I767" s="374"/>
      <c r="J767" s="374"/>
      <c r="K767" s="374"/>
      <c r="L767" s="374"/>
      <c r="M767" s="374"/>
      <c r="N767" s="374"/>
      <c r="O767" s="374"/>
      <c r="P767" s="374"/>
      <c r="Q767" s="374"/>
      <c r="R767" s="374"/>
    </row>
    <row r="768" customFormat="false" ht="15.75" hidden="false" customHeight="false" outlineLevel="0" collapsed="false">
      <c r="A768" s="374" t="n">
        <v>882</v>
      </c>
      <c r="B768" s="374" t="str">
        <f aca="false" t="array" ref="B768:B768">INDEX('0.0.1 Pokémon Dex Data'!$E$3:$E1007,MATCH(A768,'0.0.1 Pokémon Dex Data'!$B$3:$B1007,0))</f>
        <v>Bewear</v>
      </c>
      <c r="C768" s="374"/>
      <c r="D768" s="374"/>
      <c r="E768" s="374"/>
      <c r="F768" s="374"/>
      <c r="G768" s="374"/>
      <c r="H768" s="374"/>
      <c r="I768" s="374"/>
      <c r="J768" s="374"/>
      <c r="K768" s="374"/>
      <c r="L768" s="374"/>
      <c r="M768" s="374"/>
      <c r="N768" s="374"/>
      <c r="O768" s="374"/>
      <c r="P768" s="374"/>
      <c r="Q768" s="374"/>
      <c r="R768" s="374"/>
    </row>
    <row r="769" customFormat="false" ht="15.75" hidden="false" customHeight="false" outlineLevel="0" collapsed="false">
      <c r="A769" s="374" t="n">
        <v>883</v>
      </c>
      <c r="B769" s="374" t="str">
        <f aca="false" t="array" ref="B769:B769">INDEX('0.0.1 Pokémon Dex Data'!$E$3:$E1007,MATCH(A769,'0.0.1 Pokémon Dex Data'!$B$3:$B1007,0))</f>
        <v>Bounsweet</v>
      </c>
      <c r="C769" s="374"/>
      <c r="D769" s="374"/>
      <c r="E769" s="374"/>
      <c r="F769" s="374"/>
      <c r="G769" s="374"/>
      <c r="H769" s="374"/>
      <c r="I769" s="374"/>
      <c r="J769" s="374"/>
      <c r="K769" s="374"/>
      <c r="L769" s="374"/>
      <c r="M769" s="374"/>
      <c r="N769" s="374"/>
      <c r="O769" s="374"/>
      <c r="P769" s="374"/>
      <c r="Q769" s="374"/>
      <c r="R769" s="374"/>
    </row>
    <row r="770" customFormat="false" ht="15.75" hidden="false" customHeight="false" outlineLevel="0" collapsed="false">
      <c r="A770" s="374" t="n">
        <v>884</v>
      </c>
      <c r="B770" s="374" t="str">
        <f aca="false" t="array" ref="B770:B770">INDEX('0.0.1 Pokémon Dex Data'!$E$3:$E1007,MATCH(A770,'0.0.1 Pokémon Dex Data'!$B$3:$B1007,0))</f>
        <v>Steenee</v>
      </c>
      <c r="C770" s="374"/>
      <c r="D770" s="374"/>
      <c r="E770" s="374"/>
      <c r="F770" s="374"/>
      <c r="G770" s="374"/>
      <c r="H770" s="374"/>
      <c r="I770" s="374"/>
      <c r="J770" s="374"/>
      <c r="K770" s="374"/>
      <c r="L770" s="374"/>
      <c r="M770" s="374"/>
      <c r="N770" s="374"/>
      <c r="O770" s="374"/>
      <c r="P770" s="374"/>
      <c r="Q770" s="374"/>
      <c r="R770" s="374"/>
    </row>
    <row r="771" customFormat="false" ht="15.75" hidden="false" customHeight="false" outlineLevel="0" collapsed="false">
      <c r="A771" s="374" t="n">
        <v>885</v>
      </c>
      <c r="B771" s="374" t="str">
        <f aca="false" t="array" ref="B771:B771">INDEX('0.0.1 Pokémon Dex Data'!$E$3:$E1007,MATCH(A771,'0.0.1 Pokémon Dex Data'!$B$3:$B1007,0))</f>
        <v>Tsareena</v>
      </c>
      <c r="C771" s="374"/>
      <c r="D771" s="374"/>
      <c r="E771" s="374"/>
      <c r="F771" s="374"/>
      <c r="G771" s="374"/>
      <c r="H771" s="374"/>
      <c r="I771" s="374"/>
      <c r="J771" s="374"/>
      <c r="K771" s="374"/>
      <c r="L771" s="374"/>
      <c r="M771" s="374"/>
      <c r="N771" s="374"/>
      <c r="O771" s="374"/>
      <c r="P771" s="374"/>
      <c r="Q771" s="374"/>
      <c r="R771" s="374"/>
    </row>
    <row r="772" customFormat="false" ht="15.75" hidden="false" customHeight="false" outlineLevel="0" collapsed="false">
      <c r="A772" s="374" t="n">
        <v>886</v>
      </c>
      <c r="B772" s="374" t="str">
        <f aca="false" t="array" ref="B772:B772">INDEX('0.0.1 Pokémon Dex Data'!$E$3:$E1007,MATCH(A772,'0.0.1 Pokémon Dex Data'!$B$3:$B1007,0))</f>
        <v>Comfey</v>
      </c>
      <c r="C772" s="374"/>
      <c r="D772" s="374"/>
      <c r="E772" s="374"/>
      <c r="F772" s="374"/>
      <c r="G772" s="374"/>
      <c r="H772" s="374"/>
      <c r="I772" s="374"/>
      <c r="J772" s="374"/>
      <c r="K772" s="374"/>
      <c r="L772" s="374"/>
      <c r="M772" s="374"/>
      <c r="N772" s="374"/>
      <c r="O772" s="374"/>
      <c r="P772" s="374"/>
      <c r="Q772" s="374"/>
      <c r="R772" s="374"/>
    </row>
    <row r="773" customFormat="false" ht="15.75" hidden="false" customHeight="false" outlineLevel="0" collapsed="false">
      <c r="A773" s="374" t="n">
        <v>887</v>
      </c>
      <c r="B773" s="374" t="str">
        <f aca="false" t="array" ref="B773:B773">INDEX('0.0.1 Pokémon Dex Data'!$E$3:$E1007,MATCH(A773,'0.0.1 Pokémon Dex Data'!$B$3:$B1007,0))</f>
        <v>Oranguru</v>
      </c>
      <c r="C773" s="374"/>
      <c r="D773" s="374"/>
      <c r="E773" s="374"/>
      <c r="F773" s="374"/>
      <c r="G773" s="374"/>
      <c r="H773" s="374"/>
      <c r="I773" s="374"/>
      <c r="J773" s="374"/>
      <c r="K773" s="374"/>
      <c r="L773" s="374"/>
      <c r="M773" s="374"/>
      <c r="N773" s="374"/>
      <c r="O773" s="374"/>
      <c r="P773" s="374"/>
      <c r="Q773" s="374"/>
      <c r="R773" s="374"/>
    </row>
    <row r="774" customFormat="false" ht="15.75" hidden="false" customHeight="false" outlineLevel="0" collapsed="false">
      <c r="A774" s="374" t="n">
        <v>888</v>
      </c>
      <c r="B774" s="374" t="str">
        <f aca="false" t="array" ref="B774:B774">INDEX('0.0.1 Pokémon Dex Data'!$E$3:$E1007,MATCH(A774,'0.0.1 Pokémon Dex Data'!$B$3:$B1007,0))</f>
        <v>Passimian</v>
      </c>
      <c r="C774" s="374"/>
      <c r="D774" s="374"/>
      <c r="E774" s="374"/>
      <c r="F774" s="374"/>
      <c r="G774" s="374"/>
      <c r="H774" s="374"/>
      <c r="I774" s="374"/>
      <c r="J774" s="374"/>
      <c r="K774" s="374"/>
      <c r="L774" s="374"/>
      <c r="M774" s="374"/>
      <c r="N774" s="374"/>
      <c r="O774" s="374"/>
      <c r="P774" s="374"/>
      <c r="Q774" s="374"/>
      <c r="R774" s="374"/>
    </row>
    <row r="775" customFormat="false" ht="15.75" hidden="false" customHeight="false" outlineLevel="0" collapsed="false">
      <c r="A775" s="374" t="n">
        <v>889</v>
      </c>
      <c r="B775" s="374" t="str">
        <f aca="false" t="array" ref="B775:B775">INDEX('0.0.1 Pokémon Dex Data'!$E$3:$E1007,MATCH(A775,'0.0.1 Pokémon Dex Data'!$B$3:$B1007,0))</f>
        <v>Wimpod</v>
      </c>
      <c r="C775" s="374"/>
      <c r="D775" s="374"/>
      <c r="E775" s="374"/>
      <c r="F775" s="374"/>
      <c r="G775" s="374"/>
      <c r="H775" s="374"/>
      <c r="I775" s="374"/>
      <c r="J775" s="374"/>
      <c r="K775" s="374"/>
      <c r="L775" s="374"/>
      <c r="M775" s="374"/>
      <c r="N775" s="374"/>
      <c r="O775" s="374"/>
      <c r="P775" s="374"/>
      <c r="Q775" s="374"/>
      <c r="R775" s="374"/>
    </row>
    <row r="776" customFormat="false" ht="15.75" hidden="false" customHeight="false" outlineLevel="0" collapsed="false">
      <c r="A776" s="374" t="n">
        <v>890</v>
      </c>
      <c r="B776" s="374" t="str">
        <f aca="false" t="array" ref="B776:B776">INDEX('0.0.1 Pokémon Dex Data'!$E$3:$E1007,MATCH(A776,'0.0.1 Pokémon Dex Data'!$B$3:$B1007,0))</f>
        <v>Golisopod</v>
      </c>
      <c r="C776" s="374"/>
      <c r="D776" s="374"/>
      <c r="E776" s="374"/>
      <c r="F776" s="374"/>
      <c r="G776" s="374"/>
      <c r="H776" s="374"/>
      <c r="I776" s="374"/>
      <c r="J776" s="374"/>
      <c r="K776" s="374"/>
      <c r="L776" s="374"/>
      <c r="M776" s="374"/>
      <c r="N776" s="374"/>
      <c r="O776" s="374"/>
      <c r="P776" s="374"/>
      <c r="Q776" s="374"/>
      <c r="R776" s="374"/>
    </row>
    <row r="777" customFormat="false" ht="15.75" hidden="false" customHeight="false" outlineLevel="0" collapsed="false">
      <c r="A777" s="374" t="n">
        <v>891</v>
      </c>
      <c r="B777" s="374" t="str">
        <f aca="false" t="array" ref="B777:B777">INDEX('0.0.1 Pokémon Dex Data'!$E$3:$E1007,MATCH(A777,'0.0.1 Pokémon Dex Data'!$B$3:$B1007,0))</f>
        <v>Sandygast</v>
      </c>
      <c r="C777" s="374"/>
      <c r="D777" s="374"/>
      <c r="E777" s="374"/>
      <c r="F777" s="374"/>
      <c r="G777" s="374"/>
      <c r="H777" s="374"/>
      <c r="I777" s="374"/>
      <c r="J777" s="374"/>
      <c r="K777" s="374"/>
      <c r="L777" s="374"/>
      <c r="M777" s="374"/>
      <c r="N777" s="374"/>
      <c r="O777" s="374"/>
      <c r="P777" s="374"/>
      <c r="Q777" s="374"/>
      <c r="R777" s="374"/>
    </row>
    <row r="778" customFormat="false" ht="15.75" hidden="false" customHeight="false" outlineLevel="0" collapsed="false">
      <c r="A778" s="374" t="n">
        <v>892</v>
      </c>
      <c r="B778" s="374" t="str">
        <f aca="false" t="array" ref="B778:B778">INDEX('0.0.1 Pokémon Dex Data'!$E$3:$E1007,MATCH(A778,'0.0.1 Pokémon Dex Data'!$B$3:$B1007,0))</f>
        <v>Palossand</v>
      </c>
      <c r="C778" s="374"/>
      <c r="D778" s="374"/>
      <c r="E778" s="374"/>
      <c r="F778" s="374"/>
      <c r="G778" s="374"/>
      <c r="H778" s="374"/>
      <c r="I778" s="374"/>
      <c r="J778" s="374"/>
      <c r="K778" s="374"/>
      <c r="L778" s="374"/>
      <c r="M778" s="374"/>
      <c r="N778" s="374"/>
      <c r="O778" s="374"/>
      <c r="P778" s="374"/>
      <c r="Q778" s="374"/>
      <c r="R778" s="374"/>
    </row>
    <row r="779" customFormat="false" ht="15.75" hidden="false" customHeight="false" outlineLevel="0" collapsed="false">
      <c r="A779" s="374" t="n">
        <v>893</v>
      </c>
      <c r="B779" s="374" t="str">
        <f aca="false" t="array" ref="B779:B779">INDEX('0.0.1 Pokémon Dex Data'!$E$3:$E1007,MATCH(A779,'0.0.1 Pokémon Dex Data'!$B$3:$B1007,0))</f>
        <v>Pyukumuku</v>
      </c>
      <c r="C779" s="374"/>
      <c r="D779" s="374"/>
      <c r="E779" s="374"/>
      <c r="F779" s="374"/>
      <c r="G779" s="374"/>
      <c r="H779" s="374"/>
      <c r="I779" s="374"/>
      <c r="J779" s="374"/>
      <c r="K779" s="374"/>
      <c r="L779" s="374"/>
      <c r="M779" s="374"/>
      <c r="N779" s="374"/>
      <c r="O779" s="374"/>
      <c r="P779" s="374"/>
      <c r="Q779" s="374"/>
      <c r="R779" s="374"/>
    </row>
    <row r="780" customFormat="false" ht="15.75" hidden="false" customHeight="false" outlineLevel="0" collapsed="false">
      <c r="A780" s="374" t="n">
        <v>894</v>
      </c>
      <c r="B780" s="374" t="str">
        <f aca="false" t="array" ref="B780:B780">INDEX('0.0.1 Pokémon Dex Data'!$E$3:$E1007,MATCH(A780,'0.0.1 Pokémon Dex Data'!$B$3:$B1007,0))</f>
        <v>Type: Null</v>
      </c>
      <c r="C780" s="374"/>
      <c r="D780" s="374"/>
      <c r="E780" s="374"/>
      <c r="F780" s="374"/>
      <c r="G780" s="374"/>
      <c r="H780" s="374"/>
      <c r="I780" s="374"/>
      <c r="J780" s="374"/>
      <c r="K780" s="374"/>
      <c r="L780" s="374"/>
      <c r="M780" s="374"/>
      <c r="N780" s="374"/>
      <c r="O780" s="374"/>
      <c r="P780" s="374"/>
      <c r="Q780" s="374"/>
      <c r="R780" s="374"/>
    </row>
    <row r="781" customFormat="false" ht="15.75" hidden="false" customHeight="false" outlineLevel="0" collapsed="false">
      <c r="A781" s="374" t="n">
        <v>895</v>
      </c>
      <c r="B781" s="374" t="str">
        <f aca="false" t="array" ref="B781:B781">INDEX('0.0.1 Pokémon Dex Data'!$E$3:$E1007,MATCH(A781,'0.0.1 Pokémon Dex Data'!$B$3:$B1007,0))</f>
        <v>Silvally-Normal</v>
      </c>
      <c r="C781" s="374"/>
      <c r="D781" s="374"/>
      <c r="E781" s="374"/>
      <c r="F781" s="374"/>
      <c r="G781" s="374"/>
      <c r="H781" s="374"/>
      <c r="I781" s="374"/>
      <c r="J781" s="374"/>
      <c r="K781" s="374"/>
      <c r="L781" s="374"/>
      <c r="M781" s="374"/>
      <c r="N781" s="374"/>
      <c r="O781" s="374"/>
      <c r="P781" s="374"/>
      <c r="Q781" s="374"/>
      <c r="R781" s="374"/>
    </row>
    <row r="782" customFormat="false" ht="15.75" hidden="false" customHeight="false" outlineLevel="0" collapsed="false">
      <c r="A782" s="374" t="n">
        <v>913</v>
      </c>
      <c r="B782" s="374" t="str">
        <f aca="false" t="array" ref="B782:B782">INDEX('0.0.1 Pokémon Dex Data'!$E$3:$E1007,MATCH(A782,'0.0.1 Pokémon Dex Data'!$B$3:$B1007,0))</f>
        <v>Minior</v>
      </c>
      <c r="C782" s="374"/>
      <c r="D782" s="374"/>
      <c r="E782" s="374"/>
      <c r="F782" s="374"/>
      <c r="G782" s="374"/>
      <c r="H782" s="374"/>
      <c r="I782" s="374"/>
      <c r="J782" s="374"/>
      <c r="K782" s="374"/>
      <c r="L782" s="374"/>
      <c r="M782" s="374"/>
      <c r="N782" s="374"/>
      <c r="O782" s="374"/>
      <c r="P782" s="374"/>
      <c r="Q782" s="374"/>
      <c r="R782" s="374"/>
    </row>
    <row r="783" customFormat="false" ht="15.75" hidden="false" customHeight="false" outlineLevel="0" collapsed="false">
      <c r="A783" s="374" t="n">
        <v>915</v>
      </c>
      <c r="B783" s="374" t="str">
        <f aca="false" t="array" ref="B783:B783">INDEX('0.0.1 Pokémon Dex Data'!$E$3:$E1007,MATCH(A783,'0.0.1 Pokémon Dex Data'!$B$3:$B1007,0))</f>
        <v>Komala</v>
      </c>
      <c r="C783" s="374"/>
      <c r="D783" s="374"/>
      <c r="E783" s="374"/>
      <c r="F783" s="374"/>
      <c r="G783" s="374"/>
      <c r="H783" s="374"/>
      <c r="I783" s="374"/>
      <c r="J783" s="374"/>
      <c r="K783" s="374"/>
      <c r="L783" s="374"/>
      <c r="M783" s="374"/>
      <c r="N783" s="374"/>
      <c r="O783" s="374"/>
      <c r="P783" s="374"/>
      <c r="Q783" s="374"/>
      <c r="R783" s="374"/>
    </row>
    <row r="784" customFormat="false" ht="15.75" hidden="false" customHeight="false" outlineLevel="0" collapsed="false">
      <c r="A784" s="374" t="n">
        <v>916</v>
      </c>
      <c r="B784" s="374" t="str">
        <f aca="false" t="array" ref="B784:B784">INDEX('0.0.1 Pokémon Dex Data'!$E$3:$E1007,MATCH(A784,'0.0.1 Pokémon Dex Data'!$B$3:$B1007,0))</f>
        <v>Turtonator</v>
      </c>
      <c r="C784" s="374"/>
      <c r="D784" s="374"/>
      <c r="E784" s="374"/>
      <c r="F784" s="374"/>
      <c r="G784" s="374"/>
      <c r="H784" s="374"/>
      <c r="I784" s="374"/>
      <c r="J784" s="374"/>
      <c r="K784" s="374"/>
      <c r="L784" s="374"/>
      <c r="M784" s="374"/>
      <c r="N784" s="374"/>
      <c r="O784" s="374"/>
      <c r="P784" s="374"/>
      <c r="Q784" s="374"/>
      <c r="R784" s="374"/>
    </row>
    <row r="785" customFormat="false" ht="15.75" hidden="false" customHeight="false" outlineLevel="0" collapsed="false">
      <c r="A785" s="374" t="n">
        <v>917</v>
      </c>
      <c r="B785" s="374" t="str">
        <f aca="false" t="array" ref="B785:B785">INDEX('0.0.1 Pokémon Dex Data'!$E$3:$E1007,MATCH(A785,'0.0.1 Pokémon Dex Data'!$B$3:$B1007,0))</f>
        <v>Togedemaru</v>
      </c>
      <c r="C785" s="374"/>
      <c r="D785" s="374"/>
      <c r="E785" s="374"/>
      <c r="F785" s="374"/>
      <c r="G785" s="374"/>
      <c r="H785" s="374"/>
      <c r="I785" s="374"/>
      <c r="J785" s="374"/>
      <c r="K785" s="374"/>
      <c r="L785" s="374"/>
      <c r="M785" s="374"/>
      <c r="N785" s="374"/>
      <c r="O785" s="374"/>
      <c r="P785" s="374"/>
      <c r="Q785" s="374"/>
      <c r="R785" s="374"/>
    </row>
    <row r="786" customFormat="false" ht="15.75" hidden="false" customHeight="false" outlineLevel="0" collapsed="false">
      <c r="A786" s="374" t="n">
        <v>918</v>
      </c>
      <c r="B786" s="374" t="str">
        <f aca="false" t="array" ref="B786:B786">INDEX('0.0.1 Pokémon Dex Data'!$E$3:$E1007,MATCH(A786,'0.0.1 Pokémon Dex Data'!$B$3:$B1007,0))</f>
        <v>Mimikyu</v>
      </c>
      <c r="C786" s="374"/>
      <c r="D786" s="374"/>
      <c r="E786" s="374"/>
      <c r="F786" s="374"/>
      <c r="G786" s="374"/>
      <c r="H786" s="374"/>
      <c r="I786" s="374"/>
      <c r="J786" s="374"/>
      <c r="K786" s="374"/>
      <c r="L786" s="374"/>
      <c r="M786" s="374"/>
      <c r="N786" s="374"/>
      <c r="O786" s="374"/>
      <c r="P786" s="374"/>
      <c r="Q786" s="374"/>
      <c r="R786" s="374"/>
    </row>
    <row r="787" customFormat="false" ht="15.75" hidden="false" customHeight="false" outlineLevel="0" collapsed="false">
      <c r="A787" s="374" t="n">
        <v>919</v>
      </c>
      <c r="B787" s="374" t="str">
        <f aca="false" t="array" ref="B787:B787">INDEX('0.0.1 Pokémon Dex Data'!$E$3:$E1007,MATCH(A787,'0.0.1 Pokémon Dex Data'!$B$3:$B1007,0))</f>
        <v>Bruxish</v>
      </c>
      <c r="C787" s="374"/>
      <c r="D787" s="374"/>
      <c r="E787" s="374"/>
      <c r="F787" s="374"/>
      <c r="G787" s="374"/>
      <c r="H787" s="374"/>
      <c r="I787" s="374"/>
      <c r="J787" s="374"/>
      <c r="K787" s="374"/>
      <c r="L787" s="374"/>
      <c r="M787" s="374"/>
      <c r="N787" s="374"/>
      <c r="O787" s="374"/>
      <c r="P787" s="374"/>
      <c r="Q787" s="374"/>
      <c r="R787" s="374"/>
    </row>
    <row r="788" customFormat="false" ht="15.75" hidden="false" customHeight="false" outlineLevel="0" collapsed="false">
      <c r="A788" s="374" t="n">
        <v>920</v>
      </c>
      <c r="B788" s="374" t="str">
        <f aca="false" t="array" ref="B788:B788">INDEX('0.0.1 Pokémon Dex Data'!$E$3:$E1007,MATCH(A788,'0.0.1 Pokémon Dex Data'!$B$3:$B1007,0))</f>
        <v>Drampa</v>
      </c>
      <c r="C788" s="374"/>
      <c r="D788" s="374"/>
      <c r="E788" s="374"/>
      <c r="F788" s="374"/>
      <c r="G788" s="374"/>
      <c r="H788" s="374"/>
      <c r="I788" s="374"/>
      <c r="J788" s="374"/>
      <c r="K788" s="374"/>
      <c r="L788" s="374"/>
      <c r="M788" s="374"/>
      <c r="N788" s="374"/>
      <c r="O788" s="374"/>
      <c r="P788" s="374"/>
      <c r="Q788" s="374"/>
      <c r="R788" s="374"/>
    </row>
    <row r="789" customFormat="false" ht="15.75" hidden="false" customHeight="false" outlineLevel="0" collapsed="false">
      <c r="A789" s="374" t="n">
        <v>921</v>
      </c>
      <c r="B789" s="374" t="str">
        <f aca="false" t="array" ref="B789:B789">INDEX('0.0.1 Pokémon Dex Data'!$E$3:$E1007,MATCH(A789,'0.0.1 Pokémon Dex Data'!$B$3:$B1007,0))</f>
        <v>Dhelmise</v>
      </c>
      <c r="C789" s="374"/>
      <c r="D789" s="374"/>
      <c r="E789" s="374"/>
      <c r="F789" s="374"/>
      <c r="G789" s="374"/>
      <c r="H789" s="374"/>
      <c r="I789" s="374"/>
      <c r="J789" s="374"/>
      <c r="K789" s="374"/>
      <c r="L789" s="374"/>
      <c r="M789" s="374"/>
      <c r="N789" s="374"/>
      <c r="O789" s="374"/>
      <c r="P789" s="374"/>
      <c r="Q789" s="374"/>
      <c r="R789" s="374"/>
    </row>
    <row r="790" customFormat="false" ht="15.75" hidden="false" customHeight="false" outlineLevel="0" collapsed="false">
      <c r="A790" s="374" t="n">
        <v>922</v>
      </c>
      <c r="B790" s="374" t="str">
        <f aca="false" t="array" ref="B790:B790">INDEX('0.0.1 Pokémon Dex Data'!$E$3:$E1007,MATCH(A790,'0.0.1 Pokémon Dex Data'!$B$3:$B1007,0))</f>
        <v>Jangmo-o</v>
      </c>
      <c r="C790" s="374"/>
      <c r="D790" s="374"/>
      <c r="E790" s="374"/>
      <c r="F790" s="374"/>
      <c r="G790" s="374"/>
      <c r="H790" s="374"/>
      <c r="I790" s="374"/>
      <c r="J790" s="374"/>
      <c r="K790" s="374"/>
      <c r="L790" s="374"/>
      <c r="M790" s="374"/>
      <c r="N790" s="374"/>
      <c r="O790" s="374"/>
      <c r="P790" s="374"/>
      <c r="Q790" s="374"/>
      <c r="R790" s="374"/>
    </row>
    <row r="791" customFormat="false" ht="15.75" hidden="false" customHeight="false" outlineLevel="0" collapsed="false">
      <c r="A791" s="374" t="n">
        <v>923</v>
      </c>
      <c r="B791" s="374" t="str">
        <f aca="false" t="array" ref="B791:B791">INDEX('0.0.1 Pokémon Dex Data'!$E$3:$E1007,MATCH(A791,'0.0.1 Pokémon Dex Data'!$B$3:$B1007,0))</f>
        <v>Hakamo-o</v>
      </c>
      <c r="C791" s="374"/>
      <c r="D791" s="374"/>
      <c r="E791" s="374"/>
      <c r="F791" s="374"/>
      <c r="G791" s="374"/>
      <c r="H791" s="374"/>
      <c r="I791" s="374"/>
      <c r="J791" s="374"/>
      <c r="K791" s="374"/>
      <c r="L791" s="374"/>
      <c r="M791" s="374"/>
      <c r="N791" s="374"/>
      <c r="O791" s="374"/>
      <c r="P791" s="374"/>
      <c r="Q791" s="374"/>
      <c r="R791" s="374"/>
    </row>
    <row r="792" customFormat="false" ht="15.75" hidden="false" customHeight="false" outlineLevel="0" collapsed="false">
      <c r="A792" s="374" t="n">
        <v>924</v>
      </c>
      <c r="B792" s="374" t="str">
        <f aca="false" t="array" ref="B792:B792">INDEX('0.0.1 Pokémon Dex Data'!$E$3:$E1007,MATCH(A792,'0.0.1 Pokémon Dex Data'!$B$3:$B1007,0))</f>
        <v>Kommo-o</v>
      </c>
      <c r="C792" s="374"/>
      <c r="D792" s="374"/>
      <c r="E792" s="374"/>
      <c r="F792" s="374"/>
      <c r="G792" s="374"/>
      <c r="H792" s="374"/>
      <c r="I792" s="374"/>
      <c r="J792" s="374"/>
      <c r="K792" s="374"/>
      <c r="L792" s="374"/>
      <c r="M792" s="374"/>
      <c r="N792" s="374"/>
      <c r="O792" s="374"/>
      <c r="P792" s="374"/>
      <c r="Q792" s="374"/>
      <c r="R792" s="374"/>
    </row>
    <row r="793" customFormat="false" ht="15.75" hidden="false" customHeight="false" outlineLevel="0" collapsed="false">
      <c r="A793" s="374" t="n">
        <v>925</v>
      </c>
      <c r="B793" s="374" t="str">
        <f aca="false" t="array" ref="B793:B793">INDEX('0.0.1 Pokémon Dex Data'!$E$3:$E1007,MATCH(A793,'0.0.1 Pokémon Dex Data'!$B$3:$B1007,0))</f>
        <v>Tapu Koko</v>
      </c>
      <c r="C793" s="374"/>
      <c r="D793" s="374"/>
      <c r="E793" s="374"/>
      <c r="F793" s="374"/>
      <c r="G793" s="374"/>
      <c r="H793" s="374"/>
      <c r="I793" s="374"/>
      <c r="J793" s="374"/>
      <c r="K793" s="374"/>
      <c r="L793" s="374"/>
      <c r="M793" s="374"/>
      <c r="N793" s="374"/>
      <c r="O793" s="374"/>
      <c r="P793" s="374"/>
      <c r="Q793" s="374"/>
      <c r="R793" s="374"/>
    </row>
    <row r="794" customFormat="false" ht="15.75" hidden="false" customHeight="false" outlineLevel="0" collapsed="false">
      <c r="A794" s="374" t="n">
        <v>926</v>
      </c>
      <c r="B794" s="374" t="str">
        <f aca="false" t="array" ref="B794:B794">INDEX('0.0.1 Pokémon Dex Data'!$E$3:$E1007,MATCH(A794,'0.0.1 Pokémon Dex Data'!$B$3:$B1007,0))</f>
        <v>Tapu Lele</v>
      </c>
      <c r="C794" s="374"/>
      <c r="D794" s="374"/>
      <c r="E794" s="374"/>
      <c r="F794" s="374"/>
      <c r="G794" s="374"/>
      <c r="H794" s="374"/>
      <c r="I794" s="374"/>
      <c r="J794" s="374"/>
      <c r="K794" s="374"/>
      <c r="L794" s="374"/>
      <c r="M794" s="374"/>
      <c r="N794" s="374"/>
      <c r="O794" s="374"/>
      <c r="P794" s="374"/>
      <c r="Q794" s="374"/>
      <c r="R794" s="374"/>
    </row>
    <row r="795" customFormat="false" ht="15.75" hidden="false" customHeight="false" outlineLevel="0" collapsed="false">
      <c r="A795" s="374" t="n">
        <v>927</v>
      </c>
      <c r="B795" s="374" t="str">
        <f aca="false" t="array" ref="B795:B795">INDEX('0.0.1 Pokémon Dex Data'!$E$3:$E1007,MATCH(A795,'0.0.1 Pokémon Dex Data'!$B$3:$B1007,0))</f>
        <v>Tapu Bulu</v>
      </c>
      <c r="C795" s="374"/>
      <c r="D795" s="374"/>
      <c r="E795" s="374"/>
      <c r="F795" s="374"/>
      <c r="G795" s="374"/>
      <c r="H795" s="374"/>
      <c r="I795" s="374"/>
      <c r="J795" s="374"/>
      <c r="K795" s="374"/>
      <c r="L795" s="374"/>
      <c r="M795" s="374"/>
      <c r="N795" s="374"/>
      <c r="O795" s="374"/>
      <c r="P795" s="374"/>
      <c r="Q795" s="374"/>
      <c r="R795" s="374"/>
    </row>
    <row r="796" customFormat="false" ht="15.75" hidden="false" customHeight="false" outlineLevel="0" collapsed="false">
      <c r="A796" s="374" t="n">
        <v>928</v>
      </c>
      <c r="B796" s="374" t="str">
        <f aca="false" t="array" ref="B796:B796">INDEX('0.0.1 Pokémon Dex Data'!$E$3:$E1007,MATCH(A796,'0.0.1 Pokémon Dex Data'!$B$3:$B1007,0))</f>
        <v>Tapu Fini</v>
      </c>
      <c r="C796" s="374"/>
      <c r="D796" s="374"/>
      <c r="E796" s="374"/>
      <c r="F796" s="374"/>
      <c r="G796" s="374"/>
      <c r="H796" s="374"/>
      <c r="I796" s="374"/>
      <c r="J796" s="374"/>
      <c r="K796" s="374"/>
      <c r="L796" s="374"/>
      <c r="M796" s="374"/>
      <c r="N796" s="374"/>
      <c r="O796" s="374"/>
      <c r="P796" s="374"/>
      <c r="Q796" s="374"/>
      <c r="R796" s="374"/>
    </row>
    <row r="797" customFormat="false" ht="15.75" hidden="false" customHeight="false" outlineLevel="0" collapsed="false">
      <c r="A797" s="374" t="n">
        <v>929</v>
      </c>
      <c r="B797" s="374" t="str">
        <f aca="false" t="array" ref="B797:B797">INDEX('0.0.1 Pokémon Dex Data'!$E$3:$E1007,MATCH(A797,'0.0.1 Pokémon Dex Data'!$B$3:$B1007,0))</f>
        <v>Cosmog</v>
      </c>
      <c r="C797" s="374"/>
      <c r="D797" s="374"/>
      <c r="E797" s="374"/>
      <c r="F797" s="374"/>
      <c r="G797" s="374"/>
      <c r="H797" s="374"/>
      <c r="I797" s="374"/>
      <c r="J797" s="374"/>
      <c r="K797" s="374"/>
      <c r="L797" s="374"/>
      <c r="M797" s="374"/>
      <c r="N797" s="374"/>
      <c r="O797" s="374"/>
      <c r="P797" s="374"/>
      <c r="Q797" s="374"/>
      <c r="R797" s="374"/>
    </row>
    <row r="798" customFormat="false" ht="15.75" hidden="false" customHeight="false" outlineLevel="0" collapsed="false">
      <c r="A798" s="374" t="n">
        <v>930</v>
      </c>
      <c r="B798" s="374" t="str">
        <f aca="false" t="array" ref="B798:B798">INDEX('0.0.1 Pokémon Dex Data'!$E$3:$E1007,MATCH(A798,'0.0.1 Pokémon Dex Data'!$B$3:$B1007,0))</f>
        <v>Cosmoem</v>
      </c>
      <c r="C798" s="374"/>
      <c r="D798" s="374"/>
      <c r="E798" s="374"/>
      <c r="F798" s="374"/>
      <c r="G798" s="374"/>
      <c r="H798" s="374"/>
      <c r="I798" s="374"/>
      <c r="J798" s="374"/>
      <c r="K798" s="374"/>
      <c r="L798" s="374"/>
      <c r="M798" s="374"/>
      <c r="N798" s="374"/>
      <c r="O798" s="374"/>
      <c r="P798" s="374"/>
      <c r="Q798" s="374"/>
      <c r="R798" s="374"/>
    </row>
    <row r="799" customFormat="false" ht="15.75" hidden="false" customHeight="false" outlineLevel="0" collapsed="false">
      <c r="A799" s="374" t="n">
        <v>931</v>
      </c>
      <c r="B799" s="374" t="str">
        <f aca="false" t="array" ref="B799:B799">INDEX('0.0.1 Pokémon Dex Data'!$E$3:$E1007,MATCH(A799,'0.0.1 Pokémon Dex Data'!$B$3:$B1007,0))</f>
        <v>Solgaleo</v>
      </c>
      <c r="C799" s="374"/>
      <c r="D799" s="374"/>
      <c r="E799" s="374"/>
      <c r="F799" s="374"/>
      <c r="G799" s="374"/>
      <c r="H799" s="374"/>
      <c r="I799" s="374"/>
      <c r="J799" s="374"/>
      <c r="K799" s="374"/>
      <c r="L799" s="374"/>
      <c r="M799" s="374"/>
      <c r="N799" s="374"/>
      <c r="O799" s="374"/>
      <c r="P799" s="374"/>
      <c r="Q799" s="374"/>
      <c r="R799" s="374"/>
    </row>
    <row r="800" customFormat="false" ht="15.75" hidden="false" customHeight="false" outlineLevel="0" collapsed="false">
      <c r="A800" s="374" t="n">
        <v>932</v>
      </c>
      <c r="B800" s="374" t="str">
        <f aca="false" t="array" ref="B800:B800">INDEX('0.0.1 Pokémon Dex Data'!$E$3:$E1007,MATCH(A800,'0.0.1 Pokémon Dex Data'!$B$3:$B1007,0))</f>
        <v>Lunala</v>
      </c>
      <c r="C800" s="374"/>
      <c r="D800" s="374"/>
      <c r="E800" s="374"/>
      <c r="F800" s="374"/>
      <c r="G800" s="374"/>
      <c r="H800" s="374"/>
      <c r="I800" s="374"/>
      <c r="J800" s="374"/>
      <c r="K800" s="374"/>
      <c r="L800" s="374"/>
      <c r="M800" s="374"/>
      <c r="N800" s="374"/>
      <c r="O800" s="374"/>
      <c r="P800" s="374"/>
      <c r="Q800" s="374"/>
      <c r="R800" s="374"/>
    </row>
    <row r="801" customFormat="false" ht="15.75" hidden="false" customHeight="false" outlineLevel="0" collapsed="false">
      <c r="A801" s="374" t="n">
        <v>933</v>
      </c>
      <c r="B801" s="374" t="str">
        <f aca="false" t="array" ref="B801:B801">INDEX('0.0.1 Pokémon Dex Data'!$E$3:$E1007,MATCH(A801,'0.0.1 Pokémon Dex Data'!$B$3:$B1007,0))</f>
        <v>Nihilego</v>
      </c>
      <c r="C801" s="374"/>
      <c r="D801" s="374"/>
      <c r="E801" s="374"/>
      <c r="F801" s="374"/>
      <c r="G801" s="374"/>
      <c r="H801" s="374"/>
      <c r="I801" s="374"/>
      <c r="J801" s="374"/>
      <c r="K801" s="374"/>
      <c r="L801" s="374"/>
      <c r="M801" s="374"/>
      <c r="N801" s="374"/>
      <c r="O801" s="374"/>
      <c r="P801" s="374"/>
      <c r="Q801" s="374"/>
      <c r="R801" s="374"/>
    </row>
    <row r="802" customFormat="false" ht="15.75" hidden="false" customHeight="false" outlineLevel="0" collapsed="false">
      <c r="A802" s="374" t="n">
        <v>934</v>
      </c>
      <c r="B802" s="374" t="str">
        <f aca="false" t="array" ref="B802:B802">INDEX('0.0.1 Pokémon Dex Data'!$E$3:$E1007,MATCH(A802,'0.0.1 Pokémon Dex Data'!$B$3:$B1007,0))</f>
        <v>Buzzwole</v>
      </c>
      <c r="C802" s="374"/>
      <c r="D802" s="374"/>
      <c r="E802" s="374"/>
      <c r="F802" s="374"/>
      <c r="G802" s="374"/>
      <c r="H802" s="374"/>
      <c r="I802" s="374"/>
      <c r="J802" s="374"/>
      <c r="K802" s="374"/>
      <c r="L802" s="374"/>
      <c r="M802" s="374"/>
      <c r="N802" s="374"/>
      <c r="O802" s="374"/>
      <c r="P802" s="374"/>
      <c r="Q802" s="374"/>
      <c r="R802" s="374"/>
    </row>
    <row r="803" customFormat="false" ht="15.75" hidden="false" customHeight="false" outlineLevel="0" collapsed="false">
      <c r="A803" s="374" t="n">
        <v>935</v>
      </c>
      <c r="B803" s="374" t="str">
        <f aca="false" t="array" ref="B803:B803">INDEX('0.0.1 Pokémon Dex Data'!$E$3:$E1007,MATCH(A803,'0.0.1 Pokémon Dex Data'!$B$3:$B1007,0))</f>
        <v>Pheromosa</v>
      </c>
      <c r="C803" s="374"/>
      <c r="D803" s="374"/>
      <c r="E803" s="374"/>
      <c r="F803" s="374"/>
      <c r="G803" s="374"/>
      <c r="H803" s="374"/>
      <c r="I803" s="374"/>
      <c r="J803" s="374"/>
      <c r="K803" s="374"/>
      <c r="L803" s="374"/>
      <c r="M803" s="374"/>
      <c r="N803" s="374"/>
      <c r="O803" s="374"/>
      <c r="P803" s="374"/>
      <c r="Q803" s="374"/>
      <c r="R803" s="374"/>
    </row>
    <row r="804" customFormat="false" ht="15.75" hidden="false" customHeight="false" outlineLevel="0" collapsed="false">
      <c r="A804" s="374" t="n">
        <v>936</v>
      </c>
      <c r="B804" s="374" t="str">
        <f aca="false" t="array" ref="B804:B804">INDEX('0.0.1 Pokémon Dex Data'!$E$3:$E1007,MATCH(A804,'0.0.1 Pokémon Dex Data'!$B$3:$B1007,0))</f>
        <v>Xurkitree</v>
      </c>
      <c r="C804" s="374"/>
      <c r="D804" s="374"/>
      <c r="E804" s="374"/>
      <c r="F804" s="374"/>
      <c r="G804" s="374"/>
      <c r="H804" s="374"/>
      <c r="I804" s="374"/>
      <c r="J804" s="374"/>
      <c r="K804" s="374"/>
      <c r="L804" s="374"/>
      <c r="M804" s="374"/>
      <c r="N804" s="374"/>
      <c r="O804" s="374"/>
      <c r="P804" s="374"/>
      <c r="Q804" s="374"/>
      <c r="R804" s="374"/>
    </row>
    <row r="805" customFormat="false" ht="15.75" hidden="false" customHeight="false" outlineLevel="0" collapsed="false">
      <c r="A805" s="374" t="n">
        <v>937</v>
      </c>
      <c r="B805" s="374" t="str">
        <f aca="false" t="array" ref="B805:B805">INDEX('0.0.1 Pokémon Dex Data'!$E$3:$E1007,MATCH(A805,'0.0.1 Pokémon Dex Data'!$B$3:$B1007,0))</f>
        <v>Celesteela</v>
      </c>
      <c r="C805" s="374"/>
      <c r="D805" s="374"/>
      <c r="E805" s="374"/>
      <c r="F805" s="374"/>
      <c r="G805" s="374"/>
      <c r="H805" s="374"/>
      <c r="I805" s="374"/>
      <c r="J805" s="374"/>
      <c r="K805" s="374"/>
      <c r="L805" s="374"/>
      <c r="M805" s="374"/>
      <c r="N805" s="374"/>
      <c r="O805" s="374"/>
      <c r="P805" s="374"/>
      <c r="Q805" s="374"/>
      <c r="R805" s="374"/>
    </row>
    <row r="806" customFormat="false" ht="15.75" hidden="false" customHeight="false" outlineLevel="0" collapsed="false">
      <c r="A806" s="374" t="n">
        <v>938</v>
      </c>
      <c r="B806" s="374" t="str">
        <f aca="false" t="array" ref="B806:B806">INDEX('0.0.1 Pokémon Dex Data'!$E$3:$E1007,MATCH(A806,'0.0.1 Pokémon Dex Data'!$B$3:$B1007,0))</f>
        <v>Kartana</v>
      </c>
      <c r="C806" s="374"/>
      <c r="D806" s="374"/>
      <c r="E806" s="374"/>
      <c r="F806" s="374"/>
      <c r="G806" s="374"/>
      <c r="H806" s="374"/>
      <c r="I806" s="374"/>
      <c r="J806" s="374"/>
      <c r="K806" s="374"/>
      <c r="L806" s="374"/>
      <c r="M806" s="374"/>
      <c r="N806" s="374"/>
      <c r="O806" s="374"/>
      <c r="P806" s="374"/>
      <c r="Q806" s="374"/>
      <c r="R806" s="374"/>
    </row>
    <row r="807" customFormat="false" ht="15.75" hidden="false" customHeight="false" outlineLevel="0" collapsed="false">
      <c r="A807" s="374" t="n">
        <v>939</v>
      </c>
      <c r="B807" s="374" t="str">
        <f aca="false" t="array" ref="B807:B807">INDEX('0.0.1 Pokémon Dex Data'!$E$3:$E1007,MATCH(A807,'0.0.1 Pokémon Dex Data'!$B$3:$B1007,0))</f>
        <v>Guzzlord</v>
      </c>
      <c r="C807" s="374"/>
      <c r="D807" s="374"/>
      <c r="E807" s="374"/>
      <c r="F807" s="374"/>
      <c r="G807" s="374"/>
      <c r="H807" s="374"/>
      <c r="I807" s="374"/>
      <c r="J807" s="374"/>
      <c r="K807" s="374"/>
      <c r="L807" s="374"/>
      <c r="M807" s="374"/>
      <c r="N807" s="374"/>
      <c r="O807" s="374"/>
      <c r="P807" s="374"/>
      <c r="Q807" s="374"/>
      <c r="R807" s="374"/>
    </row>
    <row r="808" customFormat="false" ht="15.75" hidden="false" customHeight="false" outlineLevel="0" collapsed="false">
      <c r="A808" s="374" t="n">
        <v>940</v>
      </c>
      <c r="B808" s="374" t="str">
        <f aca="false" t="array" ref="B808:B808">INDEX('0.0.1 Pokémon Dex Data'!$E$3:$E1007,MATCH(A808,'0.0.1 Pokémon Dex Data'!$B$3:$B1007,0))</f>
        <v>Necrozma</v>
      </c>
      <c r="C808" s="374"/>
      <c r="D808" s="374"/>
      <c r="E808" s="374"/>
      <c r="F808" s="374"/>
      <c r="G808" s="374"/>
      <c r="H808" s="374"/>
      <c r="I808" s="374"/>
      <c r="J808" s="374"/>
      <c r="K808" s="374"/>
      <c r="L808" s="374"/>
      <c r="M808" s="374"/>
      <c r="N808" s="374"/>
      <c r="O808" s="374"/>
      <c r="P808" s="374"/>
      <c r="Q808" s="374"/>
      <c r="R808" s="374"/>
    </row>
    <row r="809" customFormat="false" ht="15.75" hidden="false" customHeight="false" outlineLevel="0" collapsed="false">
      <c r="A809" s="374" t="n">
        <v>944</v>
      </c>
      <c r="B809" s="374" t="str">
        <f aca="false" t="array" ref="B809:B809">INDEX('0.0.1 Pokémon Dex Data'!$E$3:$E1007,MATCH(A809,'0.0.1 Pokémon Dex Data'!$B$3:$B1007,0))</f>
        <v>Magearna</v>
      </c>
      <c r="C809" s="374"/>
      <c r="D809" s="374"/>
      <c r="E809" s="374"/>
      <c r="F809" s="374"/>
      <c r="G809" s="374"/>
      <c r="H809" s="374"/>
      <c r="I809" s="374"/>
      <c r="J809" s="374"/>
      <c r="K809" s="374"/>
      <c r="L809" s="374"/>
      <c r="M809" s="374"/>
      <c r="N809" s="374"/>
      <c r="O809" s="374"/>
      <c r="P809" s="374"/>
      <c r="Q809" s="374"/>
      <c r="R809" s="374"/>
    </row>
    <row r="810" customFormat="false" ht="15.75" hidden="false" customHeight="false" outlineLevel="0" collapsed="false">
      <c r="A810" s="374" t="n">
        <v>945</v>
      </c>
      <c r="B810" s="374" t="str">
        <f aca="false" t="array" ref="B810:B810">INDEX('0.0.1 Pokémon Dex Data'!$E$3:$E1007,MATCH(A810,'0.0.1 Pokémon Dex Data'!$B$3:$B1007,0))</f>
        <v>Marshadow</v>
      </c>
      <c r="C810" s="374"/>
      <c r="D810" s="374"/>
      <c r="E810" s="374"/>
      <c r="F810" s="374"/>
      <c r="G810" s="374"/>
      <c r="H810" s="374"/>
      <c r="I810" s="374"/>
      <c r="J810" s="374"/>
      <c r="K810" s="374"/>
      <c r="L810" s="374"/>
      <c r="M810" s="374"/>
      <c r="N810" s="374"/>
      <c r="O810" s="374"/>
      <c r="P810" s="374"/>
      <c r="Q810" s="374"/>
      <c r="R810" s="374"/>
    </row>
    <row r="811" customFormat="false" ht="15.75" hidden="false" customHeight="false" outlineLevel="0" collapsed="false">
      <c r="A811" s="374" t="n">
        <v>946</v>
      </c>
      <c r="B811" s="374" t="str">
        <f aca="false" t="array" ref="B811:B811">INDEX('0.0.1 Pokémon Dex Data'!$E$3:$E1007,MATCH(A811,'0.0.1 Pokémon Dex Data'!$B$3:$B1007,0))</f>
        <v>Poipole</v>
      </c>
      <c r="C811" s="374"/>
      <c r="D811" s="374"/>
      <c r="E811" s="374"/>
      <c r="F811" s="374"/>
      <c r="G811" s="374"/>
      <c r="H811" s="374"/>
      <c r="I811" s="374"/>
      <c r="J811" s="374"/>
      <c r="K811" s="374"/>
      <c r="L811" s="374"/>
      <c r="M811" s="374"/>
      <c r="N811" s="374"/>
      <c r="O811" s="374"/>
      <c r="P811" s="374"/>
      <c r="Q811" s="374"/>
      <c r="R811" s="374"/>
    </row>
    <row r="812" customFormat="false" ht="15.75" hidden="false" customHeight="false" outlineLevel="0" collapsed="false">
      <c r="A812" s="374" t="n">
        <v>947</v>
      </c>
      <c r="B812" s="374" t="str">
        <f aca="false" t="array" ref="B812:B812">INDEX('0.0.1 Pokémon Dex Data'!$E$3:$E1007,MATCH(A812,'0.0.1 Pokémon Dex Data'!$B$3:$B1007,0))</f>
        <v>Naganadel</v>
      </c>
      <c r="C812" s="374"/>
      <c r="D812" s="374"/>
      <c r="E812" s="374"/>
      <c r="F812" s="374"/>
      <c r="G812" s="374"/>
      <c r="H812" s="374"/>
      <c r="I812" s="374"/>
      <c r="J812" s="374"/>
      <c r="K812" s="374"/>
      <c r="L812" s="374"/>
      <c r="M812" s="374"/>
      <c r="N812" s="374"/>
      <c r="O812" s="374"/>
      <c r="P812" s="374"/>
      <c r="Q812" s="374"/>
      <c r="R812" s="374"/>
    </row>
    <row r="813" customFormat="false" ht="15.75" hidden="false" customHeight="false" outlineLevel="0" collapsed="false">
      <c r="A813" s="374" t="n">
        <v>948</v>
      </c>
      <c r="B813" s="374" t="str">
        <f aca="false" t="array" ref="B813:B813">INDEX('0.0.1 Pokémon Dex Data'!$E$3:$E1007,MATCH(A813,'0.0.1 Pokémon Dex Data'!$B$3:$B1007,0))</f>
        <v>Stakataka</v>
      </c>
      <c r="C813" s="374"/>
      <c r="D813" s="374"/>
      <c r="E813" s="374"/>
      <c r="F813" s="374"/>
      <c r="G813" s="374"/>
      <c r="H813" s="374"/>
      <c r="I813" s="374"/>
      <c r="J813" s="374"/>
      <c r="K813" s="374"/>
      <c r="L813" s="374"/>
      <c r="M813" s="374"/>
      <c r="N813" s="374"/>
      <c r="O813" s="374"/>
      <c r="P813" s="374"/>
      <c r="Q813" s="374"/>
      <c r="R813" s="374"/>
    </row>
    <row r="814" customFormat="false" ht="15.75" hidden="false" customHeight="false" outlineLevel="0" collapsed="false">
      <c r="A814" s="374" t="n">
        <v>949</v>
      </c>
      <c r="B814" s="374" t="str">
        <f aca="false" t="array" ref="B814:B814">INDEX('0.0.1 Pokémon Dex Data'!$E$3:$E1007,MATCH(A814,'0.0.1 Pokémon Dex Data'!$B$3:$B1007,0))</f>
        <v>Blacephalon</v>
      </c>
      <c r="C814" s="374"/>
      <c r="D814" s="374"/>
      <c r="E814" s="374"/>
      <c r="F814" s="374"/>
      <c r="G814" s="374"/>
      <c r="H814" s="374"/>
      <c r="I814" s="374"/>
      <c r="J814" s="374"/>
      <c r="K814" s="374"/>
      <c r="L814" s="374"/>
      <c r="M814" s="374"/>
      <c r="N814" s="374"/>
      <c r="O814" s="374"/>
      <c r="P814" s="374"/>
      <c r="Q814" s="374"/>
      <c r="R814" s="374"/>
    </row>
    <row r="815" customFormat="false" ht="15.75" hidden="false" customHeight="false" outlineLevel="0" collapsed="false">
      <c r="A815" s="374" t="n">
        <v>950</v>
      </c>
      <c r="B815" s="374" t="str">
        <f aca="false" t="array" ref="B815:B815">INDEX('0.0.1 Pokémon Dex Data'!$E$3:$E1007,MATCH(A815,'0.0.1 Pokémon Dex Data'!$B$3:$B1007,0))</f>
        <v>Zeraora</v>
      </c>
      <c r="C815" s="374"/>
      <c r="D815" s="374"/>
      <c r="E815" s="374"/>
      <c r="F815" s="374"/>
      <c r="G815" s="374"/>
      <c r="H815" s="374"/>
      <c r="I815" s="374"/>
      <c r="J815" s="374"/>
      <c r="K815" s="374"/>
      <c r="L815" s="374"/>
      <c r="M815" s="374"/>
      <c r="N815" s="374"/>
      <c r="O815" s="374"/>
      <c r="P815" s="374"/>
      <c r="Q815" s="374"/>
      <c r="R815" s="374"/>
    </row>
  </sheetData>
  <autoFilter ref="A2:R815"/>
  <mergeCells count="5">
    <mergeCell ref="A1:B1"/>
    <mergeCell ref="C1:D1"/>
    <mergeCell ref="E1:L1"/>
    <mergeCell ref="M1:O1"/>
    <mergeCell ref="P1:R1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48576"/>
  <sheetViews>
    <sheetView showFormulas="false" showGridLines="true" showRowColHeaders="true" showZeros="true" rightToLeft="false" tabSelected="false" showOutlineSymbols="true" defaultGridColor="true" view="normal" topLeftCell="A154" colorId="64" zoomScale="100" zoomScaleNormal="100" zoomScalePageLayoutView="100" workbookViewId="0">
      <selection pane="topLeft" activeCell="H170" activeCellId="0" sqref="H170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>
    <row r="1" customFormat="false" ht="15.75" hidden="false" customHeight="false" outlineLevel="0" collapsed="false">
      <c r="A1" s="372" t="s">
        <v>50</v>
      </c>
      <c r="B1" s="372" t="s">
        <v>2778</v>
      </c>
      <c r="C1" s="372" t="s">
        <v>51</v>
      </c>
      <c r="D1" s="372" t="s">
        <v>52</v>
      </c>
      <c r="E1" s="372" t="s">
        <v>139</v>
      </c>
      <c r="F1" s="372" t="s">
        <v>2779</v>
      </c>
      <c r="G1" s="375" t="s">
        <v>2780</v>
      </c>
      <c r="H1" s="372" t="s">
        <v>2781</v>
      </c>
    </row>
    <row r="2" customFormat="false" ht="15.75" hidden="false" customHeight="false" outlineLevel="0" collapsed="false">
      <c r="A2" s="374" t="s">
        <v>2481</v>
      </c>
      <c r="B2" s="374" t="s">
        <v>147</v>
      </c>
      <c r="C2" s="374" t="s">
        <v>2782</v>
      </c>
      <c r="D2" s="374" t="n">
        <f aca="false">ROUND(E2/(H2/1000),1)</f>
        <v>11.3</v>
      </c>
      <c r="E2" s="376" t="n">
        <v>9</v>
      </c>
      <c r="F2" s="376" t="n">
        <v>8</v>
      </c>
      <c r="G2" s="377" t="n">
        <f aca="false">IF(C2="Fast",(F2/(H2/1000)),E2/(F2/100))</f>
        <v>10</v>
      </c>
      <c r="H2" s="376" t="n">
        <v>800</v>
      </c>
    </row>
    <row r="3" customFormat="false" ht="15.75" hidden="false" customHeight="false" outlineLevel="0" collapsed="false">
      <c r="A3" s="374" t="s">
        <v>2352</v>
      </c>
      <c r="B3" s="374" t="s">
        <v>146</v>
      </c>
      <c r="C3" s="374" t="s">
        <v>70</v>
      </c>
      <c r="D3" s="374" t="n">
        <f aca="false">ROUND(E3/(H3/1000),1)</f>
        <v>22.9</v>
      </c>
      <c r="E3" s="376" t="n">
        <v>55</v>
      </c>
      <c r="F3" s="378" t="n">
        <f aca="false">100/3</f>
        <v>33.33333333</v>
      </c>
      <c r="G3" s="377" t="n">
        <f aca="false">IF(C3="Fast",(F3/(H3/1000)),E3/(F3/100))</f>
        <v>165.0000000165</v>
      </c>
      <c r="H3" s="376" t="n">
        <v>2400</v>
      </c>
    </row>
    <row r="4" customFormat="false" ht="15.75" hidden="false" customHeight="false" outlineLevel="0" collapsed="false">
      <c r="A4" s="374" t="s">
        <v>2353</v>
      </c>
      <c r="B4" s="374" t="s">
        <v>146</v>
      </c>
      <c r="C4" s="374" t="s">
        <v>70</v>
      </c>
      <c r="D4" s="374" t="n">
        <f aca="false">ROUND(E4/(H4/1000),1)</f>
        <v>22.2</v>
      </c>
      <c r="E4" s="376" t="n">
        <v>60</v>
      </c>
      <c r="F4" s="376" t="n">
        <f aca="false">100/2</f>
        <v>50</v>
      </c>
      <c r="G4" s="377" t="n">
        <f aca="false">IF(C4="Fast",(F4/(H4/1000)),E4/(F4/100))</f>
        <v>120</v>
      </c>
      <c r="H4" s="376" t="n">
        <v>2700</v>
      </c>
    </row>
    <row r="5" customFormat="false" ht="15.75" hidden="false" customHeight="false" outlineLevel="0" collapsed="false">
      <c r="A5" s="374" t="s">
        <v>2354</v>
      </c>
      <c r="B5" s="374" t="s">
        <v>146</v>
      </c>
      <c r="C5" s="374" t="s">
        <v>2782</v>
      </c>
      <c r="D5" s="374" t="n">
        <f aca="false">ROUND(E5/(H5/1000),1)</f>
        <v>11.7</v>
      </c>
      <c r="E5" s="376" t="n">
        <v>14</v>
      </c>
      <c r="F5" s="376" t="n">
        <v>10</v>
      </c>
      <c r="G5" s="377" t="n">
        <f aca="false">IF(C5="Fast",(F5/(H5/1000)),E5/(F5/100))</f>
        <v>8.33333333333333</v>
      </c>
      <c r="H5" s="376" t="n">
        <v>1200</v>
      </c>
    </row>
    <row r="6" customFormat="false" ht="15.75" hidden="false" customHeight="false" outlineLevel="0" collapsed="false">
      <c r="A6" s="374" t="s">
        <v>2561</v>
      </c>
      <c r="B6" s="374" t="s">
        <v>149</v>
      </c>
      <c r="C6" s="374" t="s">
        <v>70</v>
      </c>
      <c r="D6" s="374" t="n">
        <f aca="false">ROUND(E6/(H6/1000),1)</f>
        <v>20</v>
      </c>
      <c r="E6" s="376" t="n">
        <v>70</v>
      </c>
      <c r="F6" s="378" t="n">
        <f aca="false">100/3</f>
        <v>33.3333333333333</v>
      </c>
      <c r="G6" s="377" t="n">
        <f aca="false">IF(C6="Fast",(F6/(H6/1000)),E6/(F6/100))</f>
        <v>210</v>
      </c>
      <c r="H6" s="376" t="n">
        <v>3500</v>
      </c>
    </row>
    <row r="7" customFormat="false" ht="15.75" hidden="false" customHeight="false" outlineLevel="0" collapsed="false">
      <c r="A7" s="374" t="s">
        <v>2538</v>
      </c>
      <c r="B7" s="374" t="s">
        <v>154</v>
      </c>
      <c r="C7" s="374" t="s">
        <v>70</v>
      </c>
      <c r="D7" s="374" t="n">
        <f aca="false">ROUND(E7/(H7/1000),1)</f>
        <v>17.3</v>
      </c>
      <c r="E7" s="376" t="n">
        <v>45</v>
      </c>
      <c r="F7" s="378" t="n">
        <f aca="false">100/3</f>
        <v>33.3333333333333</v>
      </c>
      <c r="G7" s="377" t="n">
        <f aca="false">IF(C7="Fast",(F7/(H7/1000)),E7/(F7/100))</f>
        <v>135</v>
      </c>
      <c r="H7" s="376" t="n">
        <v>2600</v>
      </c>
    </row>
    <row r="8" customFormat="false" ht="15.75" hidden="false" customHeight="false" outlineLevel="0" collapsed="false">
      <c r="A8" s="374" t="s">
        <v>2402</v>
      </c>
      <c r="B8" s="374" t="s">
        <v>154</v>
      </c>
      <c r="C8" s="374" t="s">
        <v>70</v>
      </c>
      <c r="D8" s="374" t="n">
        <f aca="false">ROUND(E8/(H8/1000),1)</f>
        <v>26.3</v>
      </c>
      <c r="E8" s="376" t="n">
        <v>50</v>
      </c>
      <c r="F8" s="378" t="n">
        <f aca="false">100/3</f>
        <v>33.3333333333333</v>
      </c>
      <c r="G8" s="377" t="n">
        <f aca="false">IF(C8="Fast",(F8/(H8/1000)),E8/(F8/100))</f>
        <v>150</v>
      </c>
      <c r="H8" s="376" t="n">
        <v>1900</v>
      </c>
    </row>
    <row r="9" customFormat="false" ht="15.75" hidden="false" customHeight="false" outlineLevel="0" collapsed="false">
      <c r="A9" s="374" t="s">
        <v>2528</v>
      </c>
      <c r="B9" s="374" t="s">
        <v>151</v>
      </c>
      <c r="C9" s="374" t="s">
        <v>2782</v>
      </c>
      <c r="D9" s="374" t="n">
        <f aca="false">ROUND(E9/(H9/1000),1)</f>
        <v>7.3</v>
      </c>
      <c r="E9" s="376" t="n">
        <v>8</v>
      </c>
      <c r="F9" s="376" t="n">
        <v>14</v>
      </c>
      <c r="G9" s="377" t="n">
        <f aca="false">IF(C9="Fast",(F9/(H9/1000)),E9/(F9/100))</f>
        <v>12.7272727272727</v>
      </c>
      <c r="H9" s="376" t="n">
        <v>1100</v>
      </c>
    </row>
    <row r="10" customFormat="false" ht="15.75" hidden="false" customHeight="false" outlineLevel="0" collapsed="false">
      <c r="A10" s="374" t="s">
        <v>2581</v>
      </c>
      <c r="B10" s="374" t="s">
        <v>158</v>
      </c>
      <c r="C10" s="374" t="s">
        <v>70</v>
      </c>
      <c r="D10" s="374" t="n">
        <f aca="false">ROUND(E10/(H10/1000),1)</f>
        <v>22.2</v>
      </c>
      <c r="E10" s="376" t="n">
        <v>80</v>
      </c>
      <c r="F10" s="376" t="n">
        <f aca="false">100/2</f>
        <v>50</v>
      </c>
      <c r="G10" s="377" t="n">
        <f aca="false">IF(C10="Fast",(F10/(H10/1000)),E10/(F10/100))</f>
        <v>160</v>
      </c>
      <c r="H10" s="376" t="n">
        <v>3600</v>
      </c>
    </row>
    <row r="11" customFormat="false" ht="15.75" hidden="false" customHeight="false" outlineLevel="0" collapsed="false">
      <c r="A11" s="374" t="s">
        <v>2403</v>
      </c>
      <c r="B11" s="374" t="s">
        <v>158</v>
      </c>
      <c r="C11" s="374" t="s">
        <v>70</v>
      </c>
      <c r="D11" s="374" t="n">
        <f aca="false">ROUND(E11/(H11/1000),1)</f>
        <v>33.3</v>
      </c>
      <c r="E11" s="376" t="n">
        <v>90</v>
      </c>
      <c r="F11" s="376" t="n">
        <f aca="false">100/2</f>
        <v>50</v>
      </c>
      <c r="G11" s="377" t="n">
        <f aca="false">IF(C11="Fast",(F11/(H11/1000)),E11/(F11/100))</f>
        <v>180</v>
      </c>
      <c r="H11" s="376" t="n">
        <v>2700</v>
      </c>
    </row>
    <row r="12" customFormat="false" ht="15.75" hidden="false" customHeight="false" outlineLevel="0" collapsed="false">
      <c r="A12" s="374" t="s">
        <v>2404</v>
      </c>
      <c r="B12" s="374" t="s">
        <v>160</v>
      </c>
      <c r="C12" s="374" t="s">
        <v>2782</v>
      </c>
      <c r="D12" s="374" t="n">
        <f aca="false">ROUND(E12/(H12/1000),1)</f>
        <v>12</v>
      </c>
      <c r="E12" s="376" t="n">
        <v>6</v>
      </c>
      <c r="F12" s="376" t="n">
        <v>4</v>
      </c>
      <c r="G12" s="377" t="n">
        <f aca="false">IF(C12="Fast",(F12/(H12/1000)),E12/(F12/100))</f>
        <v>8</v>
      </c>
      <c r="H12" s="376" t="n">
        <v>500</v>
      </c>
    </row>
    <row r="13" customFormat="false" ht="15.75" hidden="false" customHeight="false" outlineLevel="0" collapsed="false">
      <c r="A13" s="374" t="s">
        <v>2405</v>
      </c>
      <c r="B13" s="374" t="s">
        <v>158</v>
      </c>
      <c r="C13" s="374" t="s">
        <v>70</v>
      </c>
      <c r="D13" s="374" t="n">
        <f aca="false">ROUND(E13/(H13/1000),1)</f>
        <v>41.9</v>
      </c>
      <c r="E13" s="376" t="n">
        <v>130</v>
      </c>
      <c r="F13" s="376" t="n">
        <v>100</v>
      </c>
      <c r="G13" s="377" t="n">
        <f aca="false">IF(C13="Fast",(F13/(H13/1000)),E13/(F13/100))</f>
        <v>130</v>
      </c>
      <c r="H13" s="376" t="n">
        <v>3100</v>
      </c>
    </row>
    <row r="14" customFormat="false" ht="15.75" hidden="false" customHeight="false" outlineLevel="0" collapsed="false">
      <c r="A14" s="374" t="s">
        <v>2312</v>
      </c>
      <c r="B14" s="374" t="s">
        <v>144</v>
      </c>
      <c r="C14" s="374" t="s">
        <v>70</v>
      </c>
      <c r="D14" s="374" t="n">
        <f aca="false">ROUND(E14/(H14/1000),1)</f>
        <v>26.3</v>
      </c>
      <c r="E14" s="376" t="n">
        <v>50</v>
      </c>
      <c r="F14" s="378" t="n">
        <f aca="false">100/3</f>
        <v>33.3333333333333</v>
      </c>
      <c r="G14" s="377" t="n">
        <f aca="false">IF(C14="Fast",(F14/(H14/1000)),E14/(F14/100))</f>
        <v>150</v>
      </c>
      <c r="H14" s="376" t="n">
        <v>1900</v>
      </c>
    </row>
    <row r="15" customFormat="false" ht="15.75" hidden="false" customHeight="false" outlineLevel="0" collapsed="false">
      <c r="A15" s="374" t="s">
        <v>2603</v>
      </c>
      <c r="B15" s="374" t="s">
        <v>148</v>
      </c>
      <c r="C15" s="374" t="s">
        <v>70</v>
      </c>
      <c r="D15" s="374" t="n">
        <f aca="false">ROUND(E15/(H15/1000),1)</f>
        <v>25</v>
      </c>
      <c r="E15" s="376" t="n">
        <v>40</v>
      </c>
      <c r="F15" s="378" t="n">
        <f aca="false">100/3</f>
        <v>33.3333333333333</v>
      </c>
      <c r="G15" s="377" t="n">
        <f aca="false">IF(C15="Fast",(F15/(H15/1000)),E15/(F15/100))</f>
        <v>120</v>
      </c>
      <c r="H15" s="376" t="n">
        <v>1600</v>
      </c>
    </row>
    <row r="16" customFormat="false" ht="15.75" hidden="false" customHeight="false" outlineLevel="0" collapsed="false">
      <c r="A16" s="374" t="s">
        <v>2577</v>
      </c>
      <c r="B16" s="374" t="s">
        <v>146</v>
      </c>
      <c r="C16" s="374" t="s">
        <v>70</v>
      </c>
      <c r="D16" s="374" t="n">
        <f aca="false">ROUND(E16/(H16/1000),1)</f>
        <v>45</v>
      </c>
      <c r="E16" s="376" t="n">
        <v>90</v>
      </c>
      <c r="F16" s="376" t="n">
        <v>100</v>
      </c>
      <c r="G16" s="377" t="n">
        <f aca="false">IF(C16="Fast",(F16/(H16/1000)),E16/(F16/100))</f>
        <v>90</v>
      </c>
      <c r="H16" s="376" t="n">
        <v>2000</v>
      </c>
    </row>
    <row r="17" customFormat="false" ht="15.75" hidden="false" customHeight="false" outlineLevel="0" collapsed="false">
      <c r="A17" s="374" t="s">
        <v>2356</v>
      </c>
      <c r="B17" s="374" t="s">
        <v>145</v>
      </c>
      <c r="C17" s="374" t="s">
        <v>70</v>
      </c>
      <c r="D17" s="374" t="n">
        <f aca="false">ROUND(E17/(H17/1000),1)</f>
        <v>25</v>
      </c>
      <c r="E17" s="376" t="n">
        <v>40</v>
      </c>
      <c r="F17" s="378" t="n">
        <f aca="false">100/3</f>
        <v>33.33333333</v>
      </c>
      <c r="G17" s="377" t="n">
        <f aca="false">IF(C17="Fast",(F17/(H17/1000)),E17/(F17/100))</f>
        <v>120.000000012</v>
      </c>
      <c r="H17" s="376" t="n">
        <v>1600</v>
      </c>
    </row>
    <row r="18" customFormat="false" ht="15.75" hidden="false" customHeight="false" outlineLevel="0" collapsed="false">
      <c r="A18" s="374" t="s">
        <v>2406</v>
      </c>
      <c r="B18" s="374" t="s">
        <v>154</v>
      </c>
      <c r="C18" s="374" t="s">
        <v>70</v>
      </c>
      <c r="D18" s="374" t="n">
        <f aca="false">ROUND(E18/(H18/1000),1)</f>
        <v>26.1</v>
      </c>
      <c r="E18" s="376" t="n">
        <v>60</v>
      </c>
      <c r="F18" s="376" t="n">
        <f aca="false">100/2</f>
        <v>50</v>
      </c>
      <c r="G18" s="377" t="n">
        <f aca="false">IF(C18="Fast",(F18/(H18/1000)),E18/(F18/100))</f>
        <v>120</v>
      </c>
      <c r="H18" s="376" t="n">
        <v>2300</v>
      </c>
    </row>
    <row r="19" customFormat="false" ht="15.75" hidden="false" customHeight="false" outlineLevel="0" collapsed="false">
      <c r="A19" s="374" t="s">
        <v>2407</v>
      </c>
      <c r="B19" s="374" t="s">
        <v>154</v>
      </c>
      <c r="C19" s="374" t="s">
        <v>2782</v>
      </c>
      <c r="D19" s="374" t="n">
        <f aca="false">ROUND(E19/(H19/1000),1)</f>
        <v>10</v>
      </c>
      <c r="E19" s="376" t="n">
        <v>12</v>
      </c>
      <c r="F19" s="376" t="n">
        <v>14</v>
      </c>
      <c r="G19" s="377" t="n">
        <f aca="false">IF(C19="Fast",(F19/(H19/1000)),E19/(F19/100))</f>
        <v>11.6666666666667</v>
      </c>
      <c r="H19" s="376" t="n">
        <v>1200</v>
      </c>
    </row>
    <row r="20" customFormat="false" ht="15.75" hidden="false" customHeight="false" outlineLevel="0" collapsed="false">
      <c r="A20" s="374" t="s">
        <v>2408</v>
      </c>
      <c r="B20" s="374" t="s">
        <v>154</v>
      </c>
      <c r="C20" s="374" t="s">
        <v>70</v>
      </c>
      <c r="D20" s="374" t="n">
        <f aca="false">ROUND(E20/(H20/1000),1)</f>
        <v>23.7</v>
      </c>
      <c r="E20" s="376" t="n">
        <v>45</v>
      </c>
      <c r="F20" s="378" t="n">
        <f aca="false">100/3</f>
        <v>33.33333333</v>
      </c>
      <c r="G20" s="377" t="n">
        <f aca="false">IF(C20="Fast",(F20/(H20/1000)),E20/(F20/100))</f>
        <v>135.0000000135</v>
      </c>
      <c r="H20" s="376" t="n">
        <v>1900</v>
      </c>
    </row>
    <row r="21" customFormat="false" ht="15.75" hidden="false" customHeight="false" outlineLevel="0" collapsed="false">
      <c r="A21" s="374" t="s">
        <v>2432</v>
      </c>
      <c r="B21" s="374" t="s">
        <v>150</v>
      </c>
      <c r="C21" s="374" t="s">
        <v>2782</v>
      </c>
      <c r="D21" s="374" t="n">
        <f aca="false">ROUND(E21/(H21/1000),1)</f>
        <v>10</v>
      </c>
      <c r="E21" s="376" t="n">
        <v>5</v>
      </c>
      <c r="F21" s="376" t="n">
        <v>6</v>
      </c>
      <c r="G21" s="377" t="n">
        <f aca="false">IF(C21="Fast",(F21/(H21/1000)),E21/(F21/100))</f>
        <v>12</v>
      </c>
      <c r="H21" s="376" t="n">
        <v>500</v>
      </c>
    </row>
    <row r="22" customFormat="false" ht="15.75" hidden="false" customHeight="false" outlineLevel="0" collapsed="false">
      <c r="A22" s="374" t="s">
        <v>2433</v>
      </c>
      <c r="B22" s="374" t="s">
        <v>150</v>
      </c>
      <c r="C22" s="374" t="s">
        <v>70</v>
      </c>
      <c r="D22" s="374" t="n">
        <f aca="false">ROUND(E22/(H22/1000),1)</f>
        <v>24.3</v>
      </c>
      <c r="E22" s="376" t="n">
        <v>90</v>
      </c>
      <c r="F22" s="376" t="n">
        <f aca="false">100/2</f>
        <v>50</v>
      </c>
      <c r="G22" s="377" t="n">
        <f aca="false">IF(C22="Fast",(F22/(H22/1000)),E22/(F22/100))</f>
        <v>180</v>
      </c>
      <c r="H22" s="376" t="n">
        <v>3700</v>
      </c>
    </row>
    <row r="23" customFormat="false" ht="15.75" hidden="false" customHeight="false" outlineLevel="0" collapsed="false">
      <c r="A23" s="374" t="s">
        <v>2313</v>
      </c>
      <c r="B23" s="374" t="s">
        <v>148</v>
      </c>
      <c r="C23" s="374" t="s">
        <v>70</v>
      </c>
      <c r="D23" s="374" t="n">
        <f aca="false">ROUND(E23/(H23/1000),1)</f>
        <v>22.9</v>
      </c>
      <c r="E23" s="376" t="n">
        <v>80</v>
      </c>
      <c r="F23" s="376" t="n">
        <f aca="false">100/2</f>
        <v>50</v>
      </c>
      <c r="G23" s="377" t="n">
        <f aca="false">IF(C23="Fast",(F23/(H23/1000)),E23/(F23/100))</f>
        <v>160</v>
      </c>
      <c r="H23" s="376" t="n">
        <v>3500</v>
      </c>
    </row>
    <row r="24" customFormat="false" ht="15.75" hidden="false" customHeight="false" outlineLevel="0" collapsed="false">
      <c r="A24" s="374" t="s">
        <v>2552</v>
      </c>
      <c r="B24" s="374" t="s">
        <v>152</v>
      </c>
      <c r="C24" s="374" t="s">
        <v>2782</v>
      </c>
      <c r="D24" s="374" t="n">
        <f aca="false">ROUND(E24/(H24/1000),1)</f>
        <v>10</v>
      </c>
      <c r="E24" s="376" t="n">
        <v>9</v>
      </c>
      <c r="F24" s="376" t="n">
        <v>10</v>
      </c>
      <c r="G24" s="377" t="n">
        <f aca="false">IF(C24="Fast",(F24/(H24/1000)),E24/(F24/100))</f>
        <v>11.1111111111111</v>
      </c>
      <c r="H24" s="376" t="n">
        <v>900</v>
      </c>
    </row>
    <row r="25" customFormat="false" ht="15.75" hidden="false" customHeight="false" outlineLevel="0" collapsed="false">
      <c r="A25" s="374" t="s">
        <v>2314</v>
      </c>
      <c r="B25" s="374" t="s">
        <v>155</v>
      </c>
      <c r="C25" s="374" t="s">
        <v>2782</v>
      </c>
      <c r="D25" s="374" t="n">
        <f aca="false">ROUND(E25/(H25/1000),1)</f>
        <v>7.3</v>
      </c>
      <c r="E25" s="376" t="n">
        <v>8</v>
      </c>
      <c r="F25" s="376" t="n">
        <v>14</v>
      </c>
      <c r="G25" s="377" t="n">
        <f aca="false">IF(C25="Fast",(F25/(H25/1000)),E25/(F25/100))</f>
        <v>12.7272727272727</v>
      </c>
      <c r="H25" s="376" t="n">
        <v>1100</v>
      </c>
    </row>
    <row r="26" customFormat="false" ht="15.75" hidden="false" customHeight="false" outlineLevel="0" collapsed="false">
      <c r="A26" s="374" t="s">
        <v>2464</v>
      </c>
      <c r="B26" s="374" t="s">
        <v>156</v>
      </c>
      <c r="C26" s="374" t="s">
        <v>2782</v>
      </c>
      <c r="D26" s="374" t="n">
        <f aca="false">ROUND(E26/(H26/1000),1)</f>
        <v>7.3</v>
      </c>
      <c r="E26" s="376" t="n">
        <v>8</v>
      </c>
      <c r="F26" s="376" t="n">
        <v>15</v>
      </c>
      <c r="G26" s="377" t="n">
        <f aca="false">IF(C26="Fast",(F26/(H26/1000)),E26/(F26/100))</f>
        <v>13.6363636363636</v>
      </c>
      <c r="H26" s="376" t="n">
        <v>1100</v>
      </c>
    </row>
    <row r="27" customFormat="false" ht="15.75" hidden="false" customHeight="false" outlineLevel="0" collapsed="false">
      <c r="A27" s="374" t="s">
        <v>2541</v>
      </c>
      <c r="B27" s="374" t="s">
        <v>145</v>
      </c>
      <c r="C27" s="374" t="s">
        <v>70</v>
      </c>
      <c r="D27" s="374" t="n">
        <f aca="false">ROUND(E27/(H27/1000),1)</f>
        <v>43.5</v>
      </c>
      <c r="E27" s="376" t="n">
        <v>100</v>
      </c>
      <c r="F27" s="376" t="n">
        <v>100</v>
      </c>
      <c r="G27" s="377" t="n">
        <f aca="false">IF(C27="Fast",(F27/(H27/1000)),E27/(F27/100))</f>
        <v>100</v>
      </c>
      <c r="H27" s="376" t="n">
        <v>2300</v>
      </c>
    </row>
    <row r="28" customFormat="false" ht="15.75" hidden="false" customHeight="false" outlineLevel="0" collapsed="false">
      <c r="A28" s="374" t="s">
        <v>2434</v>
      </c>
      <c r="B28" s="374" t="s">
        <v>157</v>
      </c>
      <c r="C28" s="374" t="s">
        <v>2782</v>
      </c>
      <c r="D28" s="374" t="n">
        <f aca="false">ROUND(E28/(H28/1000),1)</f>
        <v>12.5</v>
      </c>
      <c r="E28" s="376" t="n">
        <v>20</v>
      </c>
      <c r="F28" s="376" t="n">
        <v>15</v>
      </c>
      <c r="G28" s="377" t="n">
        <f aca="false">IF(C28="Fast",(F28/(H28/1000)),E28/(F28/100))</f>
        <v>9.375</v>
      </c>
      <c r="H28" s="376" t="n">
        <v>1600</v>
      </c>
    </row>
    <row r="29" customFormat="false" ht="15.75" hidden="false" customHeight="false" outlineLevel="0" collapsed="false">
      <c r="A29" s="374" t="s">
        <v>138</v>
      </c>
      <c r="B29" s="374" t="s">
        <v>145</v>
      </c>
      <c r="C29" s="374" t="s">
        <v>2782</v>
      </c>
      <c r="D29" s="374" t="n">
        <f aca="false">ROUND(E29/(H29/1000),1)</f>
        <v>13.3</v>
      </c>
      <c r="E29" s="376" t="n">
        <v>12</v>
      </c>
      <c r="F29" s="376" t="n">
        <v>8</v>
      </c>
      <c r="G29" s="377" t="n">
        <f aca="false">IF(C29="Fast",(F29/(H29/1000)),E29/(F29/100))</f>
        <v>8.88888888888889</v>
      </c>
      <c r="H29" s="376" t="n">
        <v>900</v>
      </c>
    </row>
    <row r="30" customFormat="false" ht="15.75" hidden="false" customHeight="false" outlineLevel="0" collapsed="false">
      <c r="A30" s="374" t="s">
        <v>2542</v>
      </c>
      <c r="B30" s="374" t="s">
        <v>145</v>
      </c>
      <c r="C30" s="374" t="s">
        <v>70</v>
      </c>
      <c r="D30" s="374" t="n">
        <f aca="false">ROUND(E30/(H30/1000),1)</f>
        <v>33.3</v>
      </c>
      <c r="E30" s="376" t="n">
        <v>50</v>
      </c>
      <c r="F30" s="376" t="n">
        <f aca="false">100/2</f>
        <v>50</v>
      </c>
      <c r="G30" s="377" t="n">
        <f aca="false">IF(C30="Fast",(F30/(H30/1000)),E30/(F30/100))</f>
        <v>100</v>
      </c>
      <c r="H30" s="376" t="n">
        <v>1500</v>
      </c>
    </row>
    <row r="31" customFormat="false" ht="15.75" hidden="false" customHeight="false" outlineLevel="0" collapsed="false">
      <c r="A31" s="374" t="s">
        <v>2530</v>
      </c>
      <c r="B31" s="374" t="s">
        <v>147</v>
      </c>
      <c r="C31" s="374" t="s">
        <v>70</v>
      </c>
      <c r="D31" s="374" t="n">
        <f aca="false">ROUND(E31/(H31/1000),1)</f>
        <v>26.7</v>
      </c>
      <c r="E31" s="376" t="n">
        <v>40</v>
      </c>
      <c r="F31" s="378" t="n">
        <f aca="false">100/3</f>
        <v>33.3333333333333</v>
      </c>
      <c r="G31" s="377" t="n">
        <f aca="false">IF(C31="Fast",(F31/(H31/1000)),E31/(F31/100))</f>
        <v>120</v>
      </c>
      <c r="H31" s="376" t="n">
        <v>1500</v>
      </c>
    </row>
    <row r="32" customFormat="false" ht="15.75" hidden="false" customHeight="false" outlineLevel="0" collapsed="false">
      <c r="A32" s="374" t="s">
        <v>2466</v>
      </c>
      <c r="B32" s="374" t="s">
        <v>160</v>
      </c>
      <c r="C32" s="374" t="s">
        <v>70</v>
      </c>
      <c r="D32" s="374" t="n">
        <f aca="false">ROUND(E32/(H32/1000),1)</f>
        <v>21.9</v>
      </c>
      <c r="E32" s="376" t="n">
        <v>70</v>
      </c>
      <c r="F32" s="378" t="n">
        <f aca="false">100/3</f>
        <v>33.3333333333333</v>
      </c>
      <c r="G32" s="377" t="n">
        <f aca="false">IF(C32="Fast",(F32/(H32/1000)),E32/(F32/100))</f>
        <v>210</v>
      </c>
      <c r="H32" s="376" t="n">
        <v>3200</v>
      </c>
    </row>
    <row r="33" customFormat="false" ht="15.75" hidden="false" customHeight="false" outlineLevel="0" collapsed="false">
      <c r="A33" s="374" t="s">
        <v>2315</v>
      </c>
      <c r="B33" s="374" t="s">
        <v>144</v>
      </c>
      <c r="C33" s="374" t="s">
        <v>2782</v>
      </c>
      <c r="D33" s="374" t="n">
        <f aca="false">ROUND(E33/(H33/1000),1)</f>
        <v>10</v>
      </c>
      <c r="E33" s="376" t="n">
        <v>5</v>
      </c>
      <c r="F33" s="376" t="n">
        <v>5</v>
      </c>
      <c r="G33" s="377" t="n">
        <f aca="false">IF(C33="Fast",(F33/(H33/1000)),E33/(F33/100))</f>
        <v>10</v>
      </c>
      <c r="H33" s="376" t="n">
        <v>500</v>
      </c>
    </row>
    <row r="34" customFormat="false" ht="15.75" hidden="false" customHeight="false" outlineLevel="0" collapsed="false">
      <c r="A34" s="374" t="s">
        <v>2409</v>
      </c>
      <c r="B34" s="374" t="s">
        <v>160</v>
      </c>
      <c r="C34" s="374" t="s">
        <v>70</v>
      </c>
      <c r="D34" s="374" t="n">
        <f aca="false">ROUND(E34/(H34/1000),1)</f>
        <v>26.7</v>
      </c>
      <c r="E34" s="376" t="n">
        <v>80</v>
      </c>
      <c r="F34" s="376" t="n">
        <f aca="false">100/2</f>
        <v>50</v>
      </c>
      <c r="G34" s="377" t="n">
        <f aca="false">IF(C34="Fast",(F34/(H34/1000)),E34/(F34/100))</f>
        <v>160</v>
      </c>
      <c r="H34" s="376" t="n">
        <v>3000</v>
      </c>
    </row>
    <row r="35" customFormat="false" ht="15.75" hidden="false" customHeight="false" outlineLevel="0" collapsed="false">
      <c r="A35" s="374" t="s">
        <v>2517</v>
      </c>
      <c r="B35" s="374" t="s">
        <v>161</v>
      </c>
      <c r="C35" s="374" t="s">
        <v>70</v>
      </c>
      <c r="D35" s="374" t="n">
        <f aca="false">ROUND(E35/(H35/1000),1)</f>
        <v>28.6</v>
      </c>
      <c r="E35" s="376" t="n">
        <v>100</v>
      </c>
      <c r="F35" s="376" t="n">
        <f aca="false">100/2</f>
        <v>50</v>
      </c>
      <c r="G35" s="377" t="n">
        <f aca="false">IF(C35="Fast",(F35/(H35/1000)),E35/(F35/100))</f>
        <v>200</v>
      </c>
      <c r="H35" s="376" t="n">
        <v>3500</v>
      </c>
    </row>
    <row r="36" customFormat="false" ht="15.75" hidden="false" customHeight="false" outlineLevel="0" collapsed="false">
      <c r="A36" s="374" t="s">
        <v>2358</v>
      </c>
      <c r="B36" s="374" t="s">
        <v>148</v>
      </c>
      <c r="C36" s="374" t="s">
        <v>70</v>
      </c>
      <c r="D36" s="374" t="n">
        <f aca="false">ROUND(E36/(H36/1000),1)</f>
        <v>21.3</v>
      </c>
      <c r="E36" s="376" t="n">
        <v>100</v>
      </c>
      <c r="F36" s="376" t="n">
        <f aca="false">100/2</f>
        <v>50</v>
      </c>
      <c r="G36" s="377" t="n">
        <f aca="false">IF(C36="Fast",(F36/(H36/1000)),E36/(F36/100))</f>
        <v>200</v>
      </c>
      <c r="H36" s="376" t="n">
        <v>4700</v>
      </c>
    </row>
    <row r="37" customFormat="false" ht="15.75" hidden="false" customHeight="false" outlineLevel="0" collapsed="false">
      <c r="A37" s="374" t="s">
        <v>2518</v>
      </c>
      <c r="B37" s="374" t="s">
        <v>161</v>
      </c>
      <c r="C37" s="374" t="s">
        <v>70</v>
      </c>
      <c r="D37" s="374" t="n">
        <f aca="false">ROUND(E37/(H37/1000),1)</f>
        <v>17.9</v>
      </c>
      <c r="E37" s="376" t="n">
        <v>70</v>
      </c>
      <c r="F37" s="378" t="n">
        <f aca="false">100/3</f>
        <v>33.3333333333333</v>
      </c>
      <c r="G37" s="377" t="n">
        <f aca="false">IF(C37="Fast",(F37/(H37/1000)),E37/(F37/100))</f>
        <v>210</v>
      </c>
      <c r="H37" s="376" t="n">
        <v>3900</v>
      </c>
    </row>
    <row r="38" customFormat="false" ht="15.75" hidden="false" customHeight="false" outlineLevel="0" collapsed="false">
      <c r="A38" s="374" t="s">
        <v>2569</v>
      </c>
      <c r="B38" s="374" t="s">
        <v>156</v>
      </c>
      <c r="C38" s="374" t="s">
        <v>70</v>
      </c>
      <c r="D38" s="374" t="n">
        <f aca="false">ROUND(E38/(H38/1000),1)</f>
        <v>26</v>
      </c>
      <c r="E38" s="376" t="n">
        <v>65</v>
      </c>
      <c r="F38" s="378" t="n">
        <f aca="false">100/3</f>
        <v>33.3333333333333</v>
      </c>
      <c r="G38" s="377" t="n">
        <f aca="false">IF(C38="Fast",(F38/(H38/1000)),E38/(F38/100))</f>
        <v>195</v>
      </c>
      <c r="H38" s="376" t="n">
        <v>2500</v>
      </c>
    </row>
    <row r="39" customFormat="false" ht="15.75" hidden="false" customHeight="false" outlineLevel="0" collapsed="false">
      <c r="A39" s="374" t="s">
        <v>2669</v>
      </c>
      <c r="B39" s="374" t="s">
        <v>152</v>
      </c>
      <c r="C39" s="374" t="s">
        <v>70</v>
      </c>
      <c r="D39" s="374" t="n">
        <f aca="false">ROUND(E39/(H39/1000),1)</f>
        <v>47.1</v>
      </c>
      <c r="E39" s="376" t="n">
        <v>80</v>
      </c>
      <c r="F39" s="376" t="n">
        <v>50</v>
      </c>
      <c r="G39" s="377" t="n">
        <f aca="false">IF(C39="Fast",(F39/(H39/1000)),E39/(F39/100))</f>
        <v>160</v>
      </c>
      <c r="H39" s="376" t="n">
        <v>1700</v>
      </c>
    </row>
    <row r="40" customFormat="false" ht="15.75" hidden="false" customHeight="false" outlineLevel="0" collapsed="false">
      <c r="A40" s="374" t="s">
        <v>2601</v>
      </c>
      <c r="B40" s="374" t="s">
        <v>159</v>
      </c>
      <c r="C40" s="374" t="s">
        <v>70</v>
      </c>
      <c r="D40" s="374" t="n">
        <f aca="false">ROUND(E40/(H40/1000),1)</f>
        <v>41.7</v>
      </c>
      <c r="E40" s="376" t="n">
        <v>150</v>
      </c>
      <c r="F40" s="376" t="n">
        <v>100</v>
      </c>
      <c r="G40" s="377" t="n">
        <f aca="false">IF(C40="Fast",(F40/(H40/1000)),E40/(F40/100))</f>
        <v>150</v>
      </c>
      <c r="H40" s="376" t="n">
        <v>3600</v>
      </c>
    </row>
    <row r="41" customFormat="false" ht="15.75" hidden="false" customHeight="false" outlineLevel="0" collapsed="false">
      <c r="A41" s="374" t="s">
        <v>2359</v>
      </c>
      <c r="B41" s="374" t="s">
        <v>159</v>
      </c>
      <c r="C41" s="374" t="s">
        <v>2782</v>
      </c>
      <c r="D41" s="374" t="n">
        <f aca="false">ROUND(E41/(H41/1000),1)</f>
        <v>12</v>
      </c>
      <c r="E41" s="376" t="n">
        <v>6</v>
      </c>
      <c r="F41" s="376" t="n">
        <v>4</v>
      </c>
      <c r="G41" s="377" t="n">
        <f aca="false">IF(C41="Fast",(F41/(H41/1000)),E41/(F41/100))</f>
        <v>8</v>
      </c>
      <c r="H41" s="376" t="n">
        <v>500</v>
      </c>
    </row>
    <row r="42" customFormat="false" ht="15.75" hidden="false" customHeight="false" outlineLevel="0" collapsed="false">
      <c r="A42" s="374" t="s">
        <v>2360</v>
      </c>
      <c r="B42" s="374" t="s">
        <v>159</v>
      </c>
      <c r="C42" s="374" t="s">
        <v>70</v>
      </c>
      <c r="D42" s="374" t="n">
        <f aca="false">ROUND(E42/(H42/1000),1)</f>
        <v>29.4</v>
      </c>
      <c r="E42" s="376" t="n">
        <v>50</v>
      </c>
      <c r="F42" s="378" t="n">
        <f aca="false">100/3</f>
        <v>33.33333333</v>
      </c>
      <c r="G42" s="377" t="n">
        <f aca="false">IF(C42="Fast",(F42/(H42/1000)),E42/(F42/100))</f>
        <v>150.000000015</v>
      </c>
      <c r="H42" s="376" t="n">
        <v>1700</v>
      </c>
    </row>
    <row r="43" customFormat="false" ht="15.75" hidden="false" customHeight="false" outlineLevel="0" collapsed="false">
      <c r="A43" s="374" t="s">
        <v>2361</v>
      </c>
      <c r="B43" s="374" t="s">
        <v>159</v>
      </c>
      <c r="C43" s="374" t="s">
        <v>70</v>
      </c>
      <c r="D43" s="374" t="n">
        <f aca="false">ROUND(E43/(H43/1000),1)</f>
        <v>25</v>
      </c>
      <c r="E43" s="376" t="n">
        <v>90</v>
      </c>
      <c r="F43" s="376" t="n">
        <f aca="false">100/2</f>
        <v>50</v>
      </c>
      <c r="G43" s="377" t="n">
        <f aca="false">IF(C43="Fast",(F43/(H43/1000)),E43/(F43/100))</f>
        <v>180</v>
      </c>
      <c r="H43" s="376" t="n">
        <v>3600</v>
      </c>
    </row>
    <row r="44" customFormat="false" ht="15.75" hidden="false" customHeight="false" outlineLevel="0" collapsed="false">
      <c r="A44" s="374" t="s">
        <v>2363</v>
      </c>
      <c r="B44" s="374" t="s">
        <v>159</v>
      </c>
      <c r="C44" s="374" t="s">
        <v>2782</v>
      </c>
      <c r="D44" s="374" t="n">
        <f aca="false">ROUND(E44/(H44/1000),1)</f>
        <v>13.6</v>
      </c>
      <c r="E44" s="376" t="n">
        <v>15</v>
      </c>
      <c r="F44" s="376" t="n">
        <v>9</v>
      </c>
      <c r="G44" s="377" t="n">
        <f aca="false">IF(C44="Fast",(F44/(H44/1000)),E44/(F44/100))</f>
        <v>8.18181818181818</v>
      </c>
      <c r="H44" s="376" t="n">
        <v>1100</v>
      </c>
    </row>
    <row r="45" customFormat="false" ht="15.75" hidden="false" customHeight="false" outlineLevel="0" collapsed="false">
      <c r="A45" s="374" t="s">
        <v>2624</v>
      </c>
      <c r="B45" s="374" t="s">
        <v>161</v>
      </c>
      <c r="C45" s="374" t="s">
        <v>70</v>
      </c>
      <c r="D45" s="374" t="n">
        <f aca="false">ROUND(E45/(H45/1000),1)</f>
        <v>23.1</v>
      </c>
      <c r="E45" s="376" t="n">
        <v>60</v>
      </c>
      <c r="F45" s="376" t="n">
        <f aca="false">100/2</f>
        <v>50</v>
      </c>
      <c r="G45" s="377" t="n">
        <f aca="false">IF(C45="Fast",(F45/(H45/1000)),E45/(F45/100))</f>
        <v>120</v>
      </c>
      <c r="H45" s="376" t="n">
        <v>2600</v>
      </c>
    </row>
    <row r="46" customFormat="false" ht="15.75" hidden="false" customHeight="false" outlineLevel="0" collapsed="false">
      <c r="A46" s="374" t="s">
        <v>2479</v>
      </c>
      <c r="B46" s="374" t="s">
        <v>146</v>
      </c>
      <c r="C46" s="374" t="s">
        <v>70</v>
      </c>
      <c r="D46" s="374" t="n">
        <f aca="false">ROUND(E46/(H46/1000),1)</f>
        <v>26.1</v>
      </c>
      <c r="E46" s="376" t="n">
        <v>60</v>
      </c>
      <c r="F46" s="378" t="n">
        <f aca="false">100/3</f>
        <v>33.33333333</v>
      </c>
      <c r="G46" s="377" t="n">
        <f aca="false">IF(C46="Fast",(F46/(H46/1000)),E46/(F46/100))</f>
        <v>180.000000018</v>
      </c>
      <c r="H46" s="376" t="n">
        <v>2300</v>
      </c>
    </row>
    <row r="47" customFormat="false" ht="15.75" hidden="false" customHeight="false" outlineLevel="0" collapsed="false">
      <c r="A47" s="374" t="s">
        <v>184</v>
      </c>
      <c r="B47" s="374" t="s">
        <v>148</v>
      </c>
      <c r="C47" s="374" t="s">
        <v>70</v>
      </c>
      <c r="D47" s="374" t="n">
        <f aca="false">ROUND(E47/(H47/1000),1)</f>
        <v>28.6</v>
      </c>
      <c r="E47" s="376" t="n">
        <v>80</v>
      </c>
      <c r="F47" s="376" t="n">
        <f aca="false">100/2</f>
        <v>50</v>
      </c>
      <c r="G47" s="377" t="n">
        <f aca="false">IF(C47="Fast",(F47/(H47/1000)),E47/(F47/100))</f>
        <v>160</v>
      </c>
      <c r="H47" s="376" t="n">
        <v>2800</v>
      </c>
    </row>
    <row r="48" customFormat="false" ht="15.75" hidden="false" customHeight="false" outlineLevel="0" collapsed="false">
      <c r="A48" s="374" t="s">
        <v>2364</v>
      </c>
      <c r="B48" s="374" t="s">
        <v>145</v>
      </c>
      <c r="C48" s="374" t="s">
        <v>70</v>
      </c>
      <c r="D48" s="374" t="n">
        <f aca="false">ROUND(E48/(H48/1000),1)</f>
        <v>33.3</v>
      </c>
      <c r="E48" s="376" t="n">
        <v>90</v>
      </c>
      <c r="F48" s="376" t="n">
        <f aca="false">100/2</f>
        <v>50</v>
      </c>
      <c r="G48" s="377" t="n">
        <f aca="false">IF(C48="Fast",(F48/(H48/1000)),E48/(F48/100))</f>
        <v>180</v>
      </c>
      <c r="H48" s="376" t="n">
        <v>2700</v>
      </c>
    </row>
    <row r="49" customFormat="false" ht="15.75" hidden="false" customHeight="false" outlineLevel="0" collapsed="false">
      <c r="A49" s="374" t="s">
        <v>2317</v>
      </c>
      <c r="B49" s="374" t="s">
        <v>148</v>
      </c>
      <c r="C49" s="374" t="s">
        <v>70</v>
      </c>
      <c r="D49" s="374" t="n">
        <f aca="false">ROUND(E49/(H49/1000),1)</f>
        <v>33.3</v>
      </c>
      <c r="E49" s="376" t="n">
        <v>120</v>
      </c>
      <c r="F49" s="376" t="n">
        <v>100</v>
      </c>
      <c r="G49" s="377" t="n">
        <f aca="false">IF(C49="Fast",(F49/(H49/1000)),E49/(F49/100))</f>
        <v>120</v>
      </c>
      <c r="H49" s="376" t="n">
        <v>3600</v>
      </c>
    </row>
    <row r="50" customFormat="false" ht="15.75" hidden="false" customHeight="false" outlineLevel="0" collapsed="false">
      <c r="A50" s="374" t="s">
        <v>2365</v>
      </c>
      <c r="B50" s="374" t="s">
        <v>153</v>
      </c>
      <c r="C50" s="374" t="s">
        <v>2782</v>
      </c>
      <c r="D50" s="374" t="n">
        <f aca="false">ROUND(E50/(H50/1000),1)</f>
        <v>10</v>
      </c>
      <c r="E50" s="376" t="n">
        <v>10</v>
      </c>
      <c r="F50" s="376" t="n">
        <v>10</v>
      </c>
      <c r="G50" s="377" t="n">
        <f aca="false">IF(C50="Fast",(F50/(H50/1000)),E50/(F50/100))</f>
        <v>10</v>
      </c>
      <c r="H50" s="376" t="n">
        <v>1000</v>
      </c>
    </row>
    <row r="51" customFormat="false" ht="15.75" hidden="false" customHeight="false" outlineLevel="0" collapsed="false">
      <c r="A51" s="374" t="s">
        <v>2319</v>
      </c>
      <c r="B51" s="374" t="s">
        <v>155</v>
      </c>
      <c r="C51" s="374" t="s">
        <v>70</v>
      </c>
      <c r="D51" s="374" t="n">
        <f aca="false">ROUND(E51/(H51/1000),1)</f>
        <v>23.1</v>
      </c>
      <c r="E51" s="376" t="n">
        <v>90</v>
      </c>
      <c r="F51" s="376" t="n">
        <f aca="false">100/2</f>
        <v>50</v>
      </c>
      <c r="G51" s="377" t="n">
        <f aca="false">IF(C51="Fast",(F51/(H51/1000)),E51/(F51/100))</f>
        <v>180</v>
      </c>
      <c r="H51" s="376" t="n">
        <v>3900</v>
      </c>
    </row>
    <row r="52" customFormat="false" ht="15.75" hidden="false" customHeight="false" outlineLevel="0" collapsed="false">
      <c r="A52" s="374" t="s">
        <v>2632</v>
      </c>
      <c r="B52" s="374" t="s">
        <v>157</v>
      </c>
      <c r="C52" s="374" t="s">
        <v>2782</v>
      </c>
      <c r="D52" s="374" t="n">
        <f aca="false">ROUND(E52/(H52/1000),1)</f>
        <v>10.9</v>
      </c>
      <c r="E52" s="376" t="n">
        <v>12</v>
      </c>
      <c r="F52" s="376" t="n">
        <v>12</v>
      </c>
      <c r="G52" s="377" t="n">
        <f aca="false">IF(C52="Fast",(F52/(H52/1000)),E52/(F52/100))</f>
        <v>10.9090909090909</v>
      </c>
      <c r="H52" s="376" t="n">
        <v>1100</v>
      </c>
    </row>
    <row r="53" customFormat="false" ht="15.75" hidden="false" customHeight="false" outlineLevel="0" collapsed="false">
      <c r="A53" s="374" t="s">
        <v>2535</v>
      </c>
      <c r="B53" s="374" t="s">
        <v>160</v>
      </c>
      <c r="C53" s="374" t="s">
        <v>2782</v>
      </c>
      <c r="D53" s="374" t="n">
        <f aca="false">ROUND(E53/(H53/1000),1)</f>
        <v>11.1</v>
      </c>
      <c r="E53" s="376" t="n">
        <v>10</v>
      </c>
      <c r="F53" s="376" t="n">
        <v>9</v>
      </c>
      <c r="G53" s="377" t="n">
        <f aca="false">IF(C53="Fast",(F53/(H53/1000)),E53/(F53/100))</f>
        <v>10</v>
      </c>
      <c r="H53" s="376" t="n">
        <v>900</v>
      </c>
    </row>
    <row r="54" customFormat="false" ht="15.75" hidden="false" customHeight="false" outlineLevel="0" collapsed="false">
      <c r="A54" s="374" t="s">
        <v>2366</v>
      </c>
      <c r="B54" s="374" t="s">
        <v>153</v>
      </c>
      <c r="C54" s="374" t="s">
        <v>70</v>
      </c>
      <c r="D54" s="374" t="n">
        <f aca="false">ROUND(E54/(H54/1000),1)</f>
        <v>33.3</v>
      </c>
      <c r="E54" s="376" t="n">
        <v>140</v>
      </c>
      <c r="F54" s="376" t="n">
        <v>100</v>
      </c>
      <c r="G54" s="377" t="n">
        <f aca="false">IF(C54="Fast",(F54/(H54/1000)),E54/(F54/100))</f>
        <v>140</v>
      </c>
      <c r="H54" s="376" t="n">
        <v>4200</v>
      </c>
    </row>
    <row r="55" customFormat="false" ht="15.75" hidden="false" customHeight="false" outlineLevel="0" collapsed="false">
      <c r="A55" s="374" t="s">
        <v>2367</v>
      </c>
      <c r="B55" s="374" t="s">
        <v>153</v>
      </c>
      <c r="C55" s="374" t="s">
        <v>2782</v>
      </c>
      <c r="D55" s="374" t="n">
        <f aca="false">ROUND(E55/(H55/1000),1)</f>
        <v>12.2</v>
      </c>
      <c r="E55" s="376" t="n">
        <v>11</v>
      </c>
      <c r="F55" s="376" t="n">
        <v>8</v>
      </c>
      <c r="G55" s="377" t="n">
        <f aca="false">IF(C55="Fast",(F55/(H55/1000)),E55/(F55/100))</f>
        <v>8.88888888888889</v>
      </c>
      <c r="H55" s="376" t="n">
        <v>900</v>
      </c>
    </row>
    <row r="56" customFormat="false" ht="15.75" hidden="false" customHeight="false" outlineLevel="0" collapsed="false">
      <c r="A56" s="374" t="s">
        <v>2369</v>
      </c>
      <c r="B56" s="374" t="s">
        <v>153</v>
      </c>
      <c r="C56" s="374" t="s">
        <v>70</v>
      </c>
      <c r="D56" s="374" t="n">
        <f aca="false">ROUND(E56/(H56/1000),1)</f>
        <v>25</v>
      </c>
      <c r="E56" s="376" t="n">
        <v>55</v>
      </c>
      <c r="F56" s="378" t="n">
        <f aca="false">100/3</f>
        <v>33.33333333</v>
      </c>
      <c r="G56" s="377" t="n">
        <f aca="false">IF(C56="Fast",(F56/(H56/1000)),E56/(F56/100))</f>
        <v>165.0000000165</v>
      </c>
      <c r="H56" s="376" t="n">
        <v>2200</v>
      </c>
    </row>
    <row r="57" customFormat="false" ht="15.75" hidden="false" customHeight="false" outlineLevel="0" collapsed="false">
      <c r="A57" s="374" t="s">
        <v>2370</v>
      </c>
      <c r="B57" s="374" t="s">
        <v>153</v>
      </c>
      <c r="C57" s="374" t="s">
        <v>2782</v>
      </c>
      <c r="D57" s="374" t="n">
        <f aca="false">ROUND(E57/(H57/1000),1)</f>
        <v>12.7</v>
      </c>
      <c r="E57" s="376" t="n">
        <v>14</v>
      </c>
      <c r="F57" s="376" t="n">
        <v>10</v>
      </c>
      <c r="G57" s="377" t="n">
        <f aca="false">IF(C57="Fast",(F57/(H57/1000)),E57/(F57/100))</f>
        <v>9.09090909090909</v>
      </c>
      <c r="H57" s="376" t="n">
        <v>1100</v>
      </c>
    </row>
    <row r="58" customFormat="false" ht="15.75" hidden="false" customHeight="false" outlineLevel="0" collapsed="false">
      <c r="A58" s="374" t="s">
        <v>2371</v>
      </c>
      <c r="B58" s="374" t="s">
        <v>153</v>
      </c>
      <c r="C58" s="374" t="s">
        <v>70</v>
      </c>
      <c r="D58" s="374" t="n">
        <f aca="false">ROUND(E58/(H58/1000),1)</f>
        <v>26.9</v>
      </c>
      <c r="E58" s="376" t="n">
        <v>70</v>
      </c>
      <c r="F58" s="376" t="n">
        <f aca="false">100/2</f>
        <v>50</v>
      </c>
      <c r="G58" s="377" t="n">
        <f aca="false">IF(C58="Fast",(F58/(H58/1000)),E58/(F58/100))</f>
        <v>140</v>
      </c>
      <c r="H58" s="376" t="n">
        <v>2600</v>
      </c>
    </row>
    <row r="59" customFormat="false" ht="15.75" hidden="false" customHeight="false" outlineLevel="0" collapsed="false">
      <c r="A59" s="374" t="s">
        <v>2372</v>
      </c>
      <c r="B59" s="374" t="s">
        <v>153</v>
      </c>
      <c r="C59" s="374" t="s">
        <v>70</v>
      </c>
      <c r="D59" s="374" t="n">
        <f aca="false">ROUND(E59/(H59/1000),1)</f>
        <v>18.4</v>
      </c>
      <c r="E59" s="376" t="n">
        <v>70</v>
      </c>
      <c r="F59" s="378" t="n">
        <f aca="false">100/3</f>
        <v>33.33333333</v>
      </c>
      <c r="G59" s="377" t="n">
        <f aca="false">IF(C59="Fast",(F59/(H59/1000)),E59/(F59/100))</f>
        <v>210.000000021</v>
      </c>
      <c r="H59" s="376" t="n">
        <v>3800</v>
      </c>
    </row>
    <row r="60" customFormat="false" ht="15.75" hidden="false" customHeight="false" outlineLevel="0" collapsed="false">
      <c r="A60" s="374" t="s">
        <v>2548</v>
      </c>
      <c r="B60" s="374" t="s">
        <v>153</v>
      </c>
      <c r="C60" s="374" t="s">
        <v>70</v>
      </c>
      <c r="D60" s="374" t="n">
        <f aca="false">ROUND(E60/(H60/1000),1)</f>
        <v>22.2</v>
      </c>
      <c r="E60" s="376" t="n">
        <v>60</v>
      </c>
      <c r="F60" s="376" t="n">
        <f aca="false">100/2</f>
        <v>50</v>
      </c>
      <c r="G60" s="377" t="n">
        <f aca="false">IF(C60="Fast",(F60/(H60/1000)),E60/(F60/100))</f>
        <v>120</v>
      </c>
      <c r="H60" s="376" t="n">
        <v>2700</v>
      </c>
    </row>
    <row r="61" customFormat="false" ht="15.75" hidden="false" customHeight="false" outlineLevel="0" collapsed="false">
      <c r="A61" s="374" t="s">
        <v>2373</v>
      </c>
      <c r="B61" s="374" t="s">
        <v>153</v>
      </c>
      <c r="C61" s="374" t="s">
        <v>70</v>
      </c>
      <c r="D61" s="374" t="n">
        <f aca="false">ROUND(E61/(H61/1000),1)</f>
        <v>31.8</v>
      </c>
      <c r="E61" s="376" t="n">
        <v>70</v>
      </c>
      <c r="F61" s="376" t="n">
        <f aca="false">100/2</f>
        <v>50</v>
      </c>
      <c r="G61" s="377" t="n">
        <f aca="false">IF(C61="Fast",(F61/(H61/1000)),E61/(F61/100))</f>
        <v>140</v>
      </c>
      <c r="H61" s="376" t="n">
        <v>2200</v>
      </c>
    </row>
    <row r="62" customFormat="false" ht="15.75" hidden="false" customHeight="false" outlineLevel="0" collapsed="false">
      <c r="A62" s="374" t="s">
        <v>2411</v>
      </c>
      <c r="B62" s="374" t="s">
        <v>152</v>
      </c>
      <c r="C62" s="374" t="s">
        <v>70</v>
      </c>
      <c r="D62" s="374" t="n">
        <f aca="false">ROUND(E62/(H62/1000),1)</f>
        <v>37</v>
      </c>
      <c r="E62" s="376" t="n">
        <v>100</v>
      </c>
      <c r="F62" s="376" t="n">
        <v>100</v>
      </c>
      <c r="G62" s="377" t="n">
        <f aca="false">IF(C62="Fast",(F62/(H62/1000)),E62/(F62/100))</f>
        <v>100</v>
      </c>
      <c r="H62" s="376" t="n">
        <v>2700</v>
      </c>
    </row>
    <row r="63" customFormat="false" ht="15.75" hidden="false" customHeight="false" outlineLevel="0" collapsed="false">
      <c r="A63" s="374" t="s">
        <v>2376</v>
      </c>
      <c r="B63" s="374" t="s">
        <v>145</v>
      </c>
      <c r="C63" s="374" t="s">
        <v>70</v>
      </c>
      <c r="D63" s="374" t="n">
        <f aca="false">ROUND(E63/(H63/1000),1)</f>
        <v>40</v>
      </c>
      <c r="E63" s="376" t="n">
        <v>140</v>
      </c>
      <c r="F63" s="376" t="n">
        <v>100</v>
      </c>
      <c r="G63" s="377" t="n">
        <f aca="false">IF(C63="Fast",(F63/(H63/1000)),E63/(F63/100))</f>
        <v>140</v>
      </c>
      <c r="H63" s="376" t="n">
        <v>3500</v>
      </c>
    </row>
    <row r="64" customFormat="false" ht="15.75" hidden="false" customHeight="false" outlineLevel="0" collapsed="false">
      <c r="A64" s="374" t="s">
        <v>2523</v>
      </c>
      <c r="B64" s="374" t="s">
        <v>160</v>
      </c>
      <c r="C64" s="374" t="s">
        <v>70</v>
      </c>
      <c r="D64" s="374" t="n">
        <f aca="false">ROUND(E64/(H64/1000),1)</f>
        <v>35</v>
      </c>
      <c r="E64" s="376" t="n">
        <v>70</v>
      </c>
      <c r="F64" s="376" t="n">
        <f aca="false">100/2</f>
        <v>50</v>
      </c>
      <c r="G64" s="377" t="n">
        <f aca="false">IF(C64="Fast",(F64/(H64/1000)),E64/(F64/100))</f>
        <v>140</v>
      </c>
      <c r="H64" s="376" t="n">
        <v>2000</v>
      </c>
    </row>
    <row r="65" customFormat="false" ht="15.75" hidden="false" customHeight="false" outlineLevel="0" collapsed="false">
      <c r="A65" s="374" t="s">
        <v>2321</v>
      </c>
      <c r="B65" s="374" t="s">
        <v>155</v>
      </c>
      <c r="C65" s="374" t="s">
        <v>70</v>
      </c>
      <c r="D65" s="374" t="n">
        <f aca="false">ROUND(E65/(H65/1000),1)</f>
        <v>38.5</v>
      </c>
      <c r="E65" s="374" t="n">
        <v>100</v>
      </c>
      <c r="F65" s="374" t="n">
        <v>50</v>
      </c>
      <c r="G65" s="377" t="n">
        <f aca="false">IF(C65="Fast",(F65/(H65/1000)),E65/(F65/100))</f>
        <v>200</v>
      </c>
      <c r="H65" s="374" t="n">
        <v>2600</v>
      </c>
    </row>
    <row r="66" customFormat="false" ht="15.75" hidden="false" customHeight="false" outlineLevel="0" collapsed="false">
      <c r="A66" s="374" t="s">
        <v>2502</v>
      </c>
      <c r="B66" s="374" t="s">
        <v>158</v>
      </c>
      <c r="C66" s="374" t="s">
        <v>2782</v>
      </c>
      <c r="D66" s="374" t="n">
        <f aca="false">ROUND(E66/(H66/1000),1)</f>
        <v>11.1</v>
      </c>
      <c r="E66" s="376" t="n">
        <v>10</v>
      </c>
      <c r="F66" s="376" t="n">
        <v>8</v>
      </c>
      <c r="G66" s="377" t="n">
        <f aca="false">IF(C66="Fast",(F66/(H66/1000)),E66/(F66/100))</f>
        <v>8.88888888888889</v>
      </c>
      <c r="H66" s="376" t="n">
        <v>900</v>
      </c>
    </row>
    <row r="67" customFormat="false" ht="15.75" hidden="false" customHeight="false" outlineLevel="0" collapsed="false">
      <c r="A67" s="374" t="s">
        <v>2322</v>
      </c>
      <c r="B67" s="374" t="s">
        <v>150</v>
      </c>
      <c r="C67" s="374" t="s">
        <v>2782</v>
      </c>
      <c r="D67" s="374" t="n">
        <f aca="false">ROUND(E67/(H67/1000),1)</f>
        <v>7.5</v>
      </c>
      <c r="E67" s="376" t="n">
        <v>3</v>
      </c>
      <c r="F67" s="376" t="n">
        <v>6</v>
      </c>
      <c r="G67" s="377" t="n">
        <f aca="false">IF(C67="Fast",(F67/(H67/1000)),E67/(F67/100))</f>
        <v>15</v>
      </c>
      <c r="H67" s="376" t="n">
        <v>400</v>
      </c>
    </row>
    <row r="68" customFormat="false" ht="15.75" hidden="false" customHeight="false" outlineLevel="0" collapsed="false">
      <c r="A68" s="374" t="s">
        <v>2550</v>
      </c>
      <c r="B68" s="374" t="s">
        <v>157</v>
      </c>
      <c r="C68" s="374" t="s">
        <v>70</v>
      </c>
      <c r="D68" s="374" t="n">
        <f aca="false">ROUND(E68/(H68/1000),1)</f>
        <v>44.4</v>
      </c>
      <c r="E68" s="376" t="n">
        <v>120</v>
      </c>
      <c r="F68" s="376" t="n">
        <v>100</v>
      </c>
      <c r="G68" s="377" t="n">
        <f aca="false">IF(C68="Fast",(F68/(H68/1000)),E68/(F68/100))</f>
        <v>120</v>
      </c>
      <c r="H68" s="376" t="n">
        <v>2700</v>
      </c>
    </row>
    <row r="69" customFormat="false" ht="15.75" hidden="false" customHeight="false" outlineLevel="0" collapsed="false">
      <c r="A69" s="374" t="s">
        <v>2323</v>
      </c>
      <c r="B69" s="374" t="s">
        <v>155</v>
      </c>
      <c r="C69" s="374" t="s">
        <v>70</v>
      </c>
      <c r="D69" s="374" t="n">
        <f aca="false">ROUND(E69/(H69/1000),1)</f>
        <v>12.8</v>
      </c>
      <c r="E69" s="376" t="n">
        <v>50</v>
      </c>
      <c r="F69" s="376" t="n">
        <v>100</v>
      </c>
      <c r="G69" s="377" t="n">
        <f aca="false">IF(C69="Fast",(F69/(H69/1000)),E69/(F69/100))</f>
        <v>50</v>
      </c>
      <c r="H69" s="376" t="n">
        <v>3900</v>
      </c>
    </row>
    <row r="70" customFormat="false" ht="15.75" hidden="false" customHeight="false" outlineLevel="0" collapsed="false">
      <c r="A70" s="374" t="s">
        <v>2325</v>
      </c>
      <c r="B70" s="374" t="s">
        <v>155</v>
      </c>
      <c r="C70" s="374" t="s">
        <v>70</v>
      </c>
      <c r="D70" s="374" t="n">
        <f aca="false">ROUND(E70/(H70/1000),1)</f>
        <v>34.6</v>
      </c>
      <c r="E70" s="376" t="n">
        <v>90</v>
      </c>
      <c r="F70" s="376" t="n">
        <f aca="false">100/2</f>
        <v>50</v>
      </c>
      <c r="G70" s="377" t="n">
        <f aca="false">IF(C70="Fast",(F70/(H70/1000)),E70/(F70/100))</f>
        <v>180</v>
      </c>
      <c r="H70" s="376" t="n">
        <v>2600</v>
      </c>
    </row>
    <row r="71" customFormat="false" ht="15.75" hidden="false" customHeight="false" outlineLevel="0" collapsed="false">
      <c r="A71" s="374" t="s">
        <v>2484</v>
      </c>
      <c r="B71" s="374" t="s">
        <v>147</v>
      </c>
      <c r="C71" s="374" t="s">
        <v>70</v>
      </c>
      <c r="D71" s="374" t="n">
        <f aca="false">ROUND(E71/(H71/1000),1)</f>
        <v>41.9</v>
      </c>
      <c r="E71" s="376" t="n">
        <v>130</v>
      </c>
      <c r="F71" s="376" t="n">
        <v>100</v>
      </c>
      <c r="G71" s="377" t="n">
        <f aca="false">IF(C71="Fast",(F71/(H71/1000)),E71/(F71/100))</f>
        <v>130</v>
      </c>
      <c r="H71" s="376" t="n">
        <v>3100</v>
      </c>
    </row>
    <row r="72" customFormat="false" ht="15.75" hidden="false" customHeight="false" outlineLevel="0" collapsed="false">
      <c r="A72" s="374" t="s">
        <v>2412</v>
      </c>
      <c r="B72" s="374" t="s">
        <v>152</v>
      </c>
      <c r="C72" s="374" t="s">
        <v>70</v>
      </c>
      <c r="D72" s="374" t="n">
        <f aca="false">ROUND(E72/(H72/1000),1)</f>
        <v>24.2</v>
      </c>
      <c r="E72" s="376" t="n">
        <v>80</v>
      </c>
      <c r="F72" s="376" t="n">
        <f aca="false">100/2</f>
        <v>50</v>
      </c>
      <c r="G72" s="377" t="n">
        <f aca="false">IF(C72="Fast",(F72/(H72/1000)),E72/(F72/100))</f>
        <v>160</v>
      </c>
      <c r="H72" s="376" t="n">
        <v>3300</v>
      </c>
    </row>
    <row r="73" customFormat="false" ht="15.75" hidden="false" customHeight="false" outlineLevel="0" collapsed="false">
      <c r="A73" s="374" t="s">
        <v>2625</v>
      </c>
      <c r="B73" s="374" t="s">
        <v>157</v>
      </c>
      <c r="C73" s="374" t="s">
        <v>70</v>
      </c>
      <c r="D73" s="374" t="n">
        <f aca="false">ROUND(E73/(H73/1000),1)</f>
        <v>21.1</v>
      </c>
      <c r="E73" s="376" t="n">
        <v>40</v>
      </c>
      <c r="F73" s="378" t="n">
        <f aca="false">100/3</f>
        <v>33.33333333</v>
      </c>
      <c r="G73" s="377" t="n">
        <f aca="false">IF(C73="Fast",(F73/(H73/1000)),E73/(F73/100))</f>
        <v>120.000000012</v>
      </c>
      <c r="H73" s="376" t="n">
        <v>1900</v>
      </c>
    </row>
    <row r="74" customFormat="false" ht="15.75" hidden="false" customHeight="false" outlineLevel="0" collapsed="false">
      <c r="A74" s="374" t="s">
        <v>2378</v>
      </c>
      <c r="B74" s="374" t="s">
        <v>153</v>
      </c>
      <c r="C74" s="374" t="s">
        <v>70</v>
      </c>
      <c r="D74" s="374" t="n">
        <f aca="false">ROUND(E74/(H74/1000),1)</f>
        <v>31.7</v>
      </c>
      <c r="E74" s="376" t="n">
        <v>95</v>
      </c>
      <c r="F74" s="376" t="n">
        <v>100</v>
      </c>
      <c r="G74" s="377" t="n">
        <f aca="false">IF(C74="Fast",(F74/(H74/1000)),E74/(F74/100))</f>
        <v>95</v>
      </c>
      <c r="H74" s="376" t="n">
        <v>3000</v>
      </c>
    </row>
    <row r="75" customFormat="false" ht="15.75" hidden="false" customHeight="false" outlineLevel="0" collapsed="false">
      <c r="A75" s="374" t="s">
        <v>2563</v>
      </c>
      <c r="B75" s="374" t="s">
        <v>152</v>
      </c>
      <c r="C75" s="374" t="s">
        <v>70</v>
      </c>
      <c r="D75" s="374" t="n">
        <f aca="false">ROUND(E75/(H75/1000),1)</f>
        <v>33.3</v>
      </c>
      <c r="E75" s="376" t="n">
        <v>70</v>
      </c>
      <c r="F75" s="376" t="n">
        <f aca="false">100/2</f>
        <v>50</v>
      </c>
      <c r="G75" s="377" t="n">
        <f aca="false">IF(C75="Fast",(F75/(H75/1000)),E75/(F75/100))</f>
        <v>140</v>
      </c>
      <c r="H75" s="376" t="n">
        <v>2100</v>
      </c>
    </row>
    <row r="76" customFormat="false" ht="15.75" hidden="false" customHeight="false" outlineLevel="0" collapsed="false">
      <c r="A76" s="374" t="s">
        <v>2560</v>
      </c>
      <c r="B76" s="374" t="s">
        <v>151</v>
      </c>
      <c r="C76" s="374" t="s">
        <v>2782</v>
      </c>
      <c r="D76" s="374" t="n">
        <f aca="false">ROUND(E76/(H76/1000),1)</f>
        <v>8.3</v>
      </c>
      <c r="E76" s="376" t="n">
        <v>10</v>
      </c>
      <c r="F76" s="376" t="n">
        <v>15</v>
      </c>
      <c r="G76" s="377" t="n">
        <f aca="false">IF(C76="Fast",(F76/(H76/1000)),E76/(F76/100))</f>
        <v>12.5</v>
      </c>
      <c r="H76" s="376" t="n">
        <v>1200</v>
      </c>
    </row>
    <row r="77" customFormat="false" ht="15.75" hidden="false" customHeight="false" outlineLevel="0" collapsed="false">
      <c r="A77" s="374" t="s">
        <v>2328</v>
      </c>
      <c r="B77" s="374" t="s">
        <v>162</v>
      </c>
      <c r="C77" s="374" t="s">
        <v>2782</v>
      </c>
      <c r="D77" s="374" t="n">
        <f aca="false">ROUND(E77/(H77/1000),1)</f>
        <v>10</v>
      </c>
      <c r="E77" s="376" t="n">
        <v>15</v>
      </c>
      <c r="F77" s="376" t="n">
        <v>15</v>
      </c>
      <c r="G77" s="377" t="n">
        <f aca="false">IF(C77="Fast",(F77/(H77/1000)),E77/(F77/100))</f>
        <v>10</v>
      </c>
      <c r="H77" s="376" t="n">
        <v>1500</v>
      </c>
    </row>
    <row r="78" customFormat="false" ht="15.75" hidden="false" customHeight="false" outlineLevel="0" collapsed="false">
      <c r="A78" s="374" t="s">
        <v>2512</v>
      </c>
      <c r="B78" s="374" t="s">
        <v>144</v>
      </c>
      <c r="C78" s="374" t="s">
        <v>70</v>
      </c>
      <c r="D78" s="374" t="n">
        <f aca="false">ROUND(E78/(H78/1000),1)</f>
        <v>21.1</v>
      </c>
      <c r="E78" s="376" t="n">
        <v>40</v>
      </c>
      <c r="F78" s="378" t="n">
        <f aca="false">100/3</f>
        <v>33.33333333</v>
      </c>
      <c r="G78" s="377" t="n">
        <f aca="false">IF(C78="Fast",(F78/(H78/1000)),E78/(F78/100))</f>
        <v>120.000000012</v>
      </c>
      <c r="H78" s="376" t="n">
        <v>1900</v>
      </c>
    </row>
    <row r="79" customFormat="false" ht="15.75" hidden="false" customHeight="false" outlineLevel="0" collapsed="false">
      <c r="A79" s="374" t="s">
        <v>2459</v>
      </c>
      <c r="B79" s="374" t="s">
        <v>146</v>
      </c>
      <c r="C79" s="374" t="s">
        <v>70</v>
      </c>
      <c r="D79" s="374" t="n">
        <f aca="false">ROUND(E79/(H79/1000),1)</f>
        <v>40.7</v>
      </c>
      <c r="E79" s="376" t="n">
        <v>110</v>
      </c>
      <c r="F79" s="376" t="n">
        <v>100</v>
      </c>
      <c r="G79" s="377" t="n">
        <f aca="false">IF(C79="Fast",(F79/(H79/1000)),E79/(F79/100))</f>
        <v>110</v>
      </c>
      <c r="H79" s="376" t="n">
        <v>2700</v>
      </c>
    </row>
    <row r="80" customFormat="false" ht="15.75" hidden="false" customHeight="false" outlineLevel="0" collapsed="false">
      <c r="A80" s="374" t="s">
        <v>2414</v>
      </c>
      <c r="B80" s="374" t="s">
        <v>154</v>
      </c>
      <c r="C80" s="374" t="s">
        <v>70</v>
      </c>
      <c r="D80" s="374" t="n">
        <f aca="false">ROUND(E80/(H80/1000),1)</f>
        <v>39.4</v>
      </c>
      <c r="E80" s="376" t="n">
        <v>130</v>
      </c>
      <c r="F80" s="376" t="n">
        <v>100</v>
      </c>
      <c r="G80" s="377" t="n">
        <f aca="false">IF(C80="Fast",(F80/(H80/1000)),E80/(F80/100))</f>
        <v>130</v>
      </c>
      <c r="H80" s="376" t="n">
        <v>3300</v>
      </c>
    </row>
    <row r="81" customFormat="false" ht="15.75" hidden="false" customHeight="false" outlineLevel="0" collapsed="false">
      <c r="A81" s="374" t="s">
        <v>2329</v>
      </c>
      <c r="B81" s="374" t="s">
        <v>144</v>
      </c>
      <c r="C81" s="374" t="s">
        <v>70</v>
      </c>
      <c r="D81" s="374" t="n">
        <f aca="false">ROUND(E81/(H81/1000),1)</f>
        <v>39.5</v>
      </c>
      <c r="E81" s="376" t="n">
        <v>150</v>
      </c>
      <c r="F81" s="376" t="n">
        <v>100</v>
      </c>
      <c r="G81" s="377" t="n">
        <f aca="false">IF(C81="Fast",(F81/(H81/1000)),E81/(F81/100))</f>
        <v>150</v>
      </c>
      <c r="H81" s="376" t="n">
        <v>3800</v>
      </c>
    </row>
    <row r="82" customFormat="false" ht="15.75" hidden="false" customHeight="false" outlineLevel="0" collapsed="false">
      <c r="A82" s="374" t="s">
        <v>2467</v>
      </c>
      <c r="B82" s="374" t="s">
        <v>144</v>
      </c>
      <c r="C82" s="374" t="s">
        <v>70</v>
      </c>
      <c r="D82" s="374" t="n">
        <f aca="false">ROUND(E82/(H82/1000),1)</f>
        <v>32</v>
      </c>
      <c r="E82" s="376" t="n">
        <v>80</v>
      </c>
      <c r="F82" s="376" t="n">
        <f aca="false">100/2</f>
        <v>50</v>
      </c>
      <c r="G82" s="377" t="n">
        <f aca="false">IF(C82="Fast",(F82/(H82/1000)),E82/(F82/100))</f>
        <v>160</v>
      </c>
      <c r="H82" s="376" t="n">
        <v>2500</v>
      </c>
    </row>
    <row r="83" customFormat="false" ht="15.75" hidden="false" customHeight="false" outlineLevel="0" collapsed="false">
      <c r="A83" s="374" t="s">
        <v>2415</v>
      </c>
      <c r="B83" s="374" t="s">
        <v>158</v>
      </c>
      <c r="C83" s="374" t="s">
        <v>70</v>
      </c>
      <c r="D83" s="374" t="n">
        <f aca="false">ROUND(E83/(H83/1000),1)</f>
        <v>27.3</v>
      </c>
      <c r="E83" s="376" t="n">
        <v>90</v>
      </c>
      <c r="F83" s="376" t="n">
        <f aca="false">100/2</f>
        <v>50</v>
      </c>
      <c r="G83" s="377" t="n">
        <f aca="false">IF(C83="Fast",(F83/(H83/1000)),E83/(F83/100))</f>
        <v>180</v>
      </c>
      <c r="H83" s="376" t="n">
        <v>3300</v>
      </c>
    </row>
    <row r="84" customFormat="false" ht="15.75" hidden="false" customHeight="false" outlineLevel="0" collapsed="false">
      <c r="A84" s="374" t="s">
        <v>2416</v>
      </c>
      <c r="B84" s="374" t="s">
        <v>158</v>
      </c>
      <c r="C84" s="374" t="s">
        <v>70</v>
      </c>
      <c r="D84" s="374" t="n">
        <f aca="false">ROUND(E84/(H84/1000),1)</f>
        <v>26.3</v>
      </c>
      <c r="E84" s="376" t="n">
        <v>50</v>
      </c>
      <c r="F84" s="378" t="n">
        <f aca="false">100/3</f>
        <v>33.33333333</v>
      </c>
      <c r="G84" s="377" t="n">
        <f aca="false">IF(C84="Fast",(F84/(H84/1000)),E84/(F84/100))</f>
        <v>150.000000015</v>
      </c>
      <c r="H84" s="376" t="n">
        <v>1900</v>
      </c>
    </row>
    <row r="85" customFormat="false" ht="15.75" hidden="false" customHeight="false" outlineLevel="0" collapsed="false">
      <c r="A85" s="374" t="s">
        <v>2525</v>
      </c>
      <c r="B85" s="374" t="s">
        <v>158</v>
      </c>
      <c r="C85" s="374" t="s">
        <v>2782</v>
      </c>
      <c r="D85" s="374" t="n">
        <f aca="false">ROUND(E85/(H85/1000),1)</f>
        <v>10</v>
      </c>
      <c r="E85" s="376" t="n">
        <v>12</v>
      </c>
      <c r="F85" s="376" t="n">
        <v>12</v>
      </c>
      <c r="G85" s="377" t="n">
        <f aca="false">IF(C85="Fast",(F85/(H85/1000)),E85/(F85/100))</f>
        <v>10</v>
      </c>
      <c r="H85" s="376" t="n">
        <v>1200</v>
      </c>
    </row>
    <row r="86" customFormat="false" ht="15.75" hidden="false" customHeight="false" outlineLevel="0" collapsed="false">
      <c r="A86" s="374" t="s">
        <v>2417</v>
      </c>
      <c r="B86" s="374" t="s">
        <v>158</v>
      </c>
      <c r="C86" s="374" t="s">
        <v>70</v>
      </c>
      <c r="D86" s="374" t="n">
        <f aca="false">ROUND(E86/(H86/1000),1)</f>
        <v>18.2</v>
      </c>
      <c r="E86" s="376" t="n">
        <v>60</v>
      </c>
      <c r="F86" s="378" t="n">
        <f aca="false">100/3</f>
        <v>33.33333333</v>
      </c>
      <c r="G86" s="377" t="n">
        <f aca="false">IF(C86="Fast",(F86/(H86/1000)),E86/(F86/100))</f>
        <v>180.000000018</v>
      </c>
      <c r="H86" s="376" t="n">
        <v>3300</v>
      </c>
    </row>
    <row r="87" customFormat="false" ht="15.75" hidden="false" customHeight="false" outlineLevel="0" collapsed="false">
      <c r="A87" s="374" t="s">
        <v>2438</v>
      </c>
      <c r="B87" s="374" t="s">
        <v>150</v>
      </c>
      <c r="C87" s="374" t="s">
        <v>2782</v>
      </c>
      <c r="D87" s="374" t="n">
        <f aca="false">ROUND(E87/(H87/1000),1)</f>
        <v>9.1</v>
      </c>
      <c r="E87" s="376" t="n">
        <v>10</v>
      </c>
      <c r="F87" s="376" t="n">
        <v>14</v>
      </c>
      <c r="G87" s="377" t="n">
        <f aca="false">IF(C87="Fast",(F87/(H87/1000)),E87/(F87/100))</f>
        <v>12.7272727272727</v>
      </c>
      <c r="H87" s="376" t="n">
        <v>1100</v>
      </c>
    </row>
    <row r="88" customFormat="false" ht="15.75" hidden="false" customHeight="false" outlineLevel="0" collapsed="false">
      <c r="A88" s="374" t="s">
        <v>2506</v>
      </c>
      <c r="B88" s="374" t="s">
        <v>152</v>
      </c>
      <c r="C88" s="374" t="s">
        <v>70</v>
      </c>
      <c r="D88" s="374" t="n">
        <f aca="false">ROUND(E88/(H88/1000),1)</f>
        <v>31.6</v>
      </c>
      <c r="E88" s="376" t="n">
        <v>60</v>
      </c>
      <c r="F88" s="376" t="n">
        <f aca="false">100/2</f>
        <v>50</v>
      </c>
      <c r="G88" s="377" t="n">
        <f aca="false">IF(C88="Fast",(F88/(H88/1000)),E88/(F88/100))</f>
        <v>120</v>
      </c>
      <c r="H88" s="376" t="n">
        <v>1900</v>
      </c>
    </row>
    <row r="89" customFormat="false" ht="15.75" hidden="false" customHeight="false" outlineLevel="0" collapsed="false">
      <c r="A89" s="374" t="s">
        <v>2381</v>
      </c>
      <c r="B89" s="374" t="s">
        <v>152</v>
      </c>
      <c r="C89" s="374" t="s">
        <v>2782</v>
      </c>
      <c r="D89" s="374" t="n">
        <f aca="false">ROUND(E89/(H89/1000),1)</f>
        <v>13.6</v>
      </c>
      <c r="E89" s="376" t="n">
        <v>15</v>
      </c>
      <c r="F89" s="376" t="n">
        <v>7</v>
      </c>
      <c r="G89" s="377" t="n">
        <f aca="false">IF(C89="Fast",(F89/(H89/1000)),E89/(F89/100))</f>
        <v>6.36363636363636</v>
      </c>
      <c r="H89" s="376" t="n">
        <v>1100</v>
      </c>
    </row>
    <row r="90" customFormat="false" ht="15.75" hidden="false" customHeight="false" outlineLevel="0" collapsed="false">
      <c r="A90" s="374" t="s">
        <v>2545</v>
      </c>
      <c r="B90" s="374" t="s">
        <v>145</v>
      </c>
      <c r="C90" s="374" t="s">
        <v>2782</v>
      </c>
      <c r="D90" s="374" t="n">
        <f aca="false">ROUND(E90/(H90/1000),1)</f>
        <v>10</v>
      </c>
      <c r="E90" s="376" t="n">
        <v>8</v>
      </c>
      <c r="F90" s="376" t="n">
        <v>10</v>
      </c>
      <c r="G90" s="377" t="n">
        <f aca="false">IF(C90="Fast",(F90/(H90/1000)),E90/(F90/100))</f>
        <v>12.5</v>
      </c>
      <c r="H90" s="376" t="n">
        <v>800</v>
      </c>
    </row>
    <row r="91" customFormat="false" ht="15.75" hidden="false" customHeight="false" outlineLevel="0" collapsed="false">
      <c r="A91" s="374" t="s">
        <v>2556</v>
      </c>
      <c r="B91" s="374" t="s">
        <v>155</v>
      </c>
      <c r="C91" s="374" t="s">
        <v>70</v>
      </c>
      <c r="D91" s="374" t="n">
        <f aca="false">ROUND(E91/(H91/1000),1)</f>
        <v>29.2</v>
      </c>
      <c r="E91" s="376" t="n">
        <v>70</v>
      </c>
      <c r="F91" s="378" t="n">
        <f aca="false">100/3</f>
        <v>33.33333333</v>
      </c>
      <c r="G91" s="377" t="n">
        <f aca="false">IF(C91="Fast",(F91/(H91/1000)),E91/(F91/100))</f>
        <v>210.000000021</v>
      </c>
      <c r="H91" s="376" t="n">
        <v>2400</v>
      </c>
    </row>
    <row r="92" customFormat="false" ht="15.75" hidden="false" customHeight="false" outlineLevel="0" collapsed="false">
      <c r="A92" s="374" t="s">
        <v>2588</v>
      </c>
      <c r="B92" s="374" t="s">
        <v>151</v>
      </c>
      <c r="C92" s="374" t="s">
        <v>2782</v>
      </c>
      <c r="D92" s="374" t="n">
        <f aca="false">ROUND(E92/(H92/1000),1)</f>
        <v>10</v>
      </c>
      <c r="E92" s="376" t="n">
        <v>5</v>
      </c>
      <c r="F92" s="376" t="n">
        <v>6</v>
      </c>
      <c r="G92" s="377" t="n">
        <f aca="false">IF(C92="Fast",(F92/(H92/1000)),E92/(F92/100))</f>
        <v>12</v>
      </c>
      <c r="H92" s="376" t="n">
        <v>500</v>
      </c>
    </row>
    <row r="93" customFormat="false" ht="15.75" hidden="false" customHeight="false" outlineLevel="0" collapsed="false">
      <c r="A93" s="374" t="s">
        <v>2539</v>
      </c>
      <c r="B93" s="374" t="s">
        <v>145</v>
      </c>
      <c r="C93" s="374" t="s">
        <v>2782</v>
      </c>
      <c r="D93" s="374" t="n">
        <f aca="false">ROUND(E93/(H93/1000),1)</f>
        <v>10</v>
      </c>
      <c r="E93" s="376" t="n">
        <v>6</v>
      </c>
      <c r="F93" s="376" t="n">
        <v>6</v>
      </c>
      <c r="G93" s="377" t="n">
        <f aca="false">IF(C93="Fast",(F93/(H93/1000)),E93/(F93/100))</f>
        <v>10</v>
      </c>
      <c r="H93" s="376" t="n">
        <v>600</v>
      </c>
    </row>
    <row r="94" customFormat="false" ht="15.75" hidden="false" customHeight="false" outlineLevel="0" collapsed="false">
      <c r="A94" s="374" t="s">
        <v>2540</v>
      </c>
      <c r="B94" s="374" t="s">
        <v>145</v>
      </c>
      <c r="C94" s="374" t="s">
        <v>70</v>
      </c>
      <c r="D94" s="374" t="n">
        <f aca="false">ROUND(E94/(H94/1000),1)</f>
        <v>21.1</v>
      </c>
      <c r="E94" s="376" t="n">
        <v>40</v>
      </c>
      <c r="F94" s="378" t="n">
        <f aca="false">100/3</f>
        <v>33.3333333333333</v>
      </c>
      <c r="G94" s="377" t="n">
        <f aca="false">IF(C94="Fast",(F94/(H94/1000)),E94/(F94/100))</f>
        <v>120</v>
      </c>
      <c r="H94" s="376" t="n">
        <v>1900</v>
      </c>
    </row>
    <row r="95" customFormat="false" ht="15.75" hidden="false" customHeight="false" outlineLevel="0" collapsed="false">
      <c r="A95" s="374" t="s">
        <v>2573</v>
      </c>
      <c r="B95" s="374" t="s">
        <v>152</v>
      </c>
      <c r="C95" s="374" t="s">
        <v>70</v>
      </c>
      <c r="D95" s="374" t="n">
        <f aca="false">ROUND(E95/(H95/1000),1)</f>
        <v>25</v>
      </c>
      <c r="E95" s="376" t="n">
        <v>70</v>
      </c>
      <c r="F95" s="378" t="n">
        <f aca="false">100/3</f>
        <v>33.3333333333333</v>
      </c>
      <c r="G95" s="377" t="n">
        <f aca="false">IF(C95="Fast",(F95/(H95/1000)),E95/(F95/100))</f>
        <v>210</v>
      </c>
      <c r="H95" s="376" t="n">
        <v>2800</v>
      </c>
    </row>
    <row r="96" customFormat="false" ht="15.75" hidden="false" customHeight="false" outlineLevel="0" collapsed="false">
      <c r="A96" s="374" t="s">
        <v>2331</v>
      </c>
      <c r="B96" s="374" t="s">
        <v>155</v>
      </c>
      <c r="C96" s="374" t="s">
        <v>70</v>
      </c>
      <c r="D96" s="374" t="n">
        <f aca="false">ROUND(E96/(H96/1000),1)</f>
        <v>9.6</v>
      </c>
      <c r="E96" s="376" t="n">
        <v>25</v>
      </c>
      <c r="F96" s="376" t="n">
        <f aca="false">100/2</f>
        <v>50</v>
      </c>
      <c r="G96" s="377" t="n">
        <f aca="false">IF(C96="Fast",(F96/(H96/1000)),E96/(F96/100))</f>
        <v>50</v>
      </c>
      <c r="H96" s="376" t="n">
        <v>2600</v>
      </c>
    </row>
    <row r="97" customFormat="false" ht="15.75" hidden="false" customHeight="false" outlineLevel="0" collapsed="false">
      <c r="A97" s="374" t="s">
        <v>2513</v>
      </c>
      <c r="B97" s="374" t="s">
        <v>150</v>
      </c>
      <c r="C97" s="374" t="s">
        <v>70</v>
      </c>
      <c r="D97" s="374" t="n">
        <f aca="false">ROUND(E97/(H97/1000),1)</f>
        <v>40.9</v>
      </c>
      <c r="E97" s="376" t="n">
        <v>90</v>
      </c>
      <c r="F97" s="376" t="n">
        <v>100</v>
      </c>
      <c r="G97" s="377" t="n">
        <f aca="false">IF(C97="Fast",(F97/(H97/1000)),E97/(F97/100))</f>
        <v>90</v>
      </c>
      <c r="H97" s="376" t="n">
        <v>2200</v>
      </c>
    </row>
    <row r="98" customFormat="false" ht="15.75" hidden="false" customHeight="false" outlineLevel="0" collapsed="false">
      <c r="A98" s="374" t="s">
        <v>2384</v>
      </c>
      <c r="B98" s="374" t="s">
        <v>152</v>
      </c>
      <c r="C98" s="374" t="s">
        <v>2782</v>
      </c>
      <c r="D98" s="374" t="n">
        <f aca="false">ROUND(E98/(H98/1000),1)</f>
        <v>11.4</v>
      </c>
      <c r="E98" s="376" t="n">
        <v>8</v>
      </c>
      <c r="F98" s="376" t="n">
        <v>7</v>
      </c>
      <c r="G98" s="377" t="n">
        <f aca="false">IF(C98="Fast",(F98/(H98/1000)),E98/(F98/100))</f>
        <v>10</v>
      </c>
      <c r="H98" s="376" t="n">
        <v>700</v>
      </c>
    </row>
    <row r="99" customFormat="false" ht="15.75" hidden="false" customHeight="false" outlineLevel="0" collapsed="false">
      <c r="A99" s="374" t="s">
        <v>2596</v>
      </c>
      <c r="B99" s="374" t="s">
        <v>157</v>
      </c>
      <c r="C99" s="374" t="s">
        <v>70</v>
      </c>
      <c r="D99" s="374" t="n">
        <f aca="false">ROUND(E99/(H99/1000),1)</f>
        <v>23.1</v>
      </c>
      <c r="E99" s="376" t="n">
        <v>60</v>
      </c>
      <c r="F99" s="376" t="n">
        <f aca="false">100/2</f>
        <v>50</v>
      </c>
      <c r="G99" s="377" t="n">
        <f aca="false">IF(C99="Fast",(F99/(H99/1000)),E99/(F99/100))</f>
        <v>120</v>
      </c>
      <c r="H99" s="376" t="n">
        <v>2600</v>
      </c>
    </row>
    <row r="100" customFormat="false" ht="15.75" hidden="false" customHeight="false" outlineLevel="0" collapsed="false">
      <c r="A100" s="374" t="s">
        <v>2638</v>
      </c>
      <c r="B100" s="374" t="s">
        <v>161</v>
      </c>
      <c r="C100" s="374" t="s">
        <v>70</v>
      </c>
      <c r="D100" s="374" t="n">
        <f aca="false">ROUND(E100/(H100/1000),1)</f>
        <v>33.3</v>
      </c>
      <c r="E100" s="376" t="n">
        <v>130</v>
      </c>
      <c r="F100" s="376" t="n">
        <v>100</v>
      </c>
      <c r="G100" s="377" t="n">
        <f aca="false">IF(C100="Fast",(F100/(H100/1000)),E100/(F100/100))</f>
        <v>130</v>
      </c>
      <c r="H100" s="376" t="n">
        <v>3900</v>
      </c>
    </row>
    <row r="101" customFormat="false" ht="15.75" hidden="false" customHeight="false" outlineLevel="0" collapsed="false">
      <c r="A101" s="374" t="s">
        <v>2486</v>
      </c>
      <c r="B101" s="374" t="s">
        <v>148</v>
      </c>
      <c r="C101" s="374" t="s">
        <v>70</v>
      </c>
      <c r="D101" s="374" t="n">
        <f aca="false">ROUND(E101/(H101/1000),1)</f>
        <v>23.9</v>
      </c>
      <c r="E101" s="376" t="n">
        <v>55</v>
      </c>
      <c r="F101" s="378" t="n">
        <f aca="false">100/3</f>
        <v>33.33333333</v>
      </c>
      <c r="G101" s="377" t="n">
        <f aca="false">IF(C101="Fast",(F101/(H101/1000)),E101/(F101/100))</f>
        <v>165.0000000165</v>
      </c>
      <c r="H101" s="376" t="n">
        <v>2300</v>
      </c>
    </row>
    <row r="102" customFormat="false" ht="15.75" hidden="false" customHeight="false" outlineLevel="0" collapsed="false">
      <c r="A102" s="374" t="s">
        <v>2594</v>
      </c>
      <c r="B102" s="374" t="s">
        <v>148</v>
      </c>
      <c r="C102" s="374" t="s">
        <v>2782</v>
      </c>
      <c r="D102" s="374" t="n">
        <f aca="false">ROUND(E102/(H102/1000),1)</f>
        <v>8.3</v>
      </c>
      <c r="E102" s="376" t="n">
        <v>5</v>
      </c>
      <c r="F102" s="376" t="n">
        <v>7</v>
      </c>
      <c r="G102" s="377" t="n">
        <f aca="false">IF(C102="Fast",(F102/(H102/1000)),E102/(F102/100))</f>
        <v>11.6666666666667</v>
      </c>
      <c r="H102" s="376" t="n">
        <v>600</v>
      </c>
    </row>
    <row r="103" customFormat="false" ht="15.75" hidden="false" customHeight="false" outlineLevel="0" collapsed="false">
      <c r="A103" s="374" t="s">
        <v>183</v>
      </c>
      <c r="B103" s="374" t="s">
        <v>148</v>
      </c>
      <c r="C103" s="374" t="s">
        <v>2782</v>
      </c>
      <c r="D103" s="374" t="n">
        <f aca="false">ROUND(E103/(H103/1000),1)</f>
        <v>10.7</v>
      </c>
      <c r="E103" s="376" t="n">
        <v>15</v>
      </c>
      <c r="F103" s="376" t="n">
        <v>12</v>
      </c>
      <c r="G103" s="377" t="n">
        <f aca="false">IF(C103="Fast",(F103/(H103/1000)),E103/(F103/100))</f>
        <v>8.57142857142857</v>
      </c>
      <c r="H103" s="376" t="n">
        <v>1400</v>
      </c>
    </row>
    <row r="104" customFormat="false" ht="15.75" hidden="false" customHeight="false" outlineLevel="0" collapsed="false">
      <c r="A104" s="374" t="s">
        <v>2589</v>
      </c>
      <c r="B104" s="374" t="s">
        <v>151</v>
      </c>
      <c r="C104" s="374" t="s">
        <v>70</v>
      </c>
      <c r="D104" s="374" t="n">
        <f aca="false">ROUND(E104/(H104/1000),1)</f>
        <v>23.1</v>
      </c>
      <c r="E104" s="376" t="n">
        <v>60</v>
      </c>
      <c r="F104" s="376" t="n">
        <f aca="false">100/2</f>
        <v>50</v>
      </c>
      <c r="G104" s="377" t="n">
        <f aca="false">IF(C104="Fast",(F104/(H104/1000)),E104/(F104/100))</f>
        <v>120</v>
      </c>
      <c r="H104" s="376" t="n">
        <v>2600</v>
      </c>
    </row>
    <row r="105" customFormat="false" ht="15.75" hidden="false" customHeight="false" outlineLevel="0" collapsed="false">
      <c r="A105" s="374" t="s">
        <v>2531</v>
      </c>
      <c r="B105" s="374" t="s">
        <v>160</v>
      </c>
      <c r="C105" s="374" t="s">
        <v>70</v>
      </c>
      <c r="D105" s="374" t="n">
        <f aca="false">ROUND(E105/(H105/1000),1)</f>
        <v>22.7</v>
      </c>
      <c r="E105" s="376" t="n">
        <v>50</v>
      </c>
      <c r="F105" s="378" t="n">
        <f aca="false">100/3</f>
        <v>33.3333333333333</v>
      </c>
      <c r="G105" s="377" t="n">
        <f aca="false">IF(C105="Fast",(F105/(H105/1000)),E105/(F105/100))</f>
        <v>150</v>
      </c>
      <c r="H105" s="376" t="n">
        <v>2200</v>
      </c>
    </row>
    <row r="106" customFormat="false" ht="15.75" hidden="false" customHeight="false" outlineLevel="0" collapsed="false">
      <c r="A106" s="374" t="s">
        <v>2385</v>
      </c>
      <c r="B106" s="374" t="s">
        <v>151</v>
      </c>
      <c r="C106" s="374" t="s">
        <v>70</v>
      </c>
      <c r="D106" s="374" t="n">
        <f aca="false">ROUND(E106/(H106/1000),1)</f>
        <v>21.7</v>
      </c>
      <c r="E106" s="376" t="n">
        <v>50</v>
      </c>
      <c r="F106" s="378" t="n">
        <f aca="false">100/3</f>
        <v>33.3333333333333</v>
      </c>
      <c r="G106" s="377" t="n">
        <f aca="false">IF(C106="Fast",(F106/(H106/1000)),E106/(F106/100))</f>
        <v>150</v>
      </c>
      <c r="H106" s="376" t="n">
        <v>2300</v>
      </c>
    </row>
    <row r="107" customFormat="false" ht="15.75" hidden="false" customHeight="false" outlineLevel="0" collapsed="false">
      <c r="A107" s="374" t="s">
        <v>2665</v>
      </c>
      <c r="B107" s="374" t="s">
        <v>154</v>
      </c>
      <c r="C107" s="374" t="s">
        <v>70</v>
      </c>
      <c r="D107" s="374" t="n">
        <f aca="false">ROUND(E107/(H107/1000),1)</f>
        <v>76.5</v>
      </c>
      <c r="E107" s="376" t="n">
        <v>130</v>
      </c>
      <c r="F107" s="376" t="n">
        <v>100</v>
      </c>
      <c r="G107" s="377" t="n">
        <f aca="false">IF(C107="Fast",(F107/(H107/1000)),E107/(F107/100))</f>
        <v>130</v>
      </c>
      <c r="H107" s="376" t="n">
        <v>1700</v>
      </c>
    </row>
    <row r="108" customFormat="false" ht="15.75" hidden="false" customHeight="false" outlineLevel="0" collapsed="false">
      <c r="A108" s="374" t="s">
        <v>2332</v>
      </c>
      <c r="B108" s="374" t="s">
        <v>159</v>
      </c>
      <c r="C108" s="374" t="s">
        <v>70</v>
      </c>
      <c r="D108" s="374" t="n">
        <f aca="false">ROUND(E108/(H108/1000),1)</f>
        <v>28.2</v>
      </c>
      <c r="E108" s="376" t="n">
        <v>110</v>
      </c>
      <c r="F108" s="376" t="n">
        <f aca="false">100/2</f>
        <v>50</v>
      </c>
      <c r="G108" s="377" t="n">
        <f aca="false">IF(C108="Fast",(F108/(H108/1000)),E108/(F108/100))</f>
        <v>220</v>
      </c>
      <c r="H108" s="376" t="n">
        <v>3900</v>
      </c>
    </row>
    <row r="109" customFormat="false" ht="15.75" hidden="false" customHeight="false" outlineLevel="0" collapsed="false">
      <c r="A109" s="374" t="s">
        <v>2386</v>
      </c>
      <c r="B109" s="374" t="s">
        <v>153</v>
      </c>
      <c r="C109" s="374" t="s">
        <v>70</v>
      </c>
      <c r="D109" s="374" t="n">
        <f aca="false">ROUND(E109/(H109/1000),1)</f>
        <v>40</v>
      </c>
      <c r="E109" s="376" t="n">
        <v>160</v>
      </c>
      <c r="F109" s="376" t="n">
        <v>100</v>
      </c>
      <c r="G109" s="377" t="n">
        <f aca="false">IF(C109="Fast",(F109/(H109/1000)),E109/(F109/100))</f>
        <v>160</v>
      </c>
      <c r="H109" s="376" t="n">
        <v>4000</v>
      </c>
    </row>
    <row r="110" customFormat="false" ht="15.75" hidden="false" customHeight="false" outlineLevel="0" collapsed="false">
      <c r="A110" s="374" t="s">
        <v>2711</v>
      </c>
      <c r="B110" s="374" t="s">
        <v>156</v>
      </c>
      <c r="C110" s="374" t="s">
        <v>70</v>
      </c>
      <c r="D110" s="374" t="n">
        <f aca="false">ROUND(E110/(H110/1000),1)</f>
        <v>8.9</v>
      </c>
      <c r="E110" s="376" t="n">
        <v>25</v>
      </c>
      <c r="F110" s="376" t="n">
        <f aca="false">100/2</f>
        <v>50</v>
      </c>
      <c r="G110" s="377" t="n">
        <f aca="false">IF(C110="Fast",(F110/(H110/1000)),E110/(F110/100))</f>
        <v>50</v>
      </c>
      <c r="H110" s="376" t="n">
        <v>2800</v>
      </c>
    </row>
    <row r="111" customFormat="false" ht="15.75" hidden="false" customHeight="false" outlineLevel="0" collapsed="false">
      <c r="A111" s="374" t="s">
        <v>2480</v>
      </c>
      <c r="B111" s="374" t="s">
        <v>146</v>
      </c>
      <c r="C111" s="374" t="s">
        <v>2782</v>
      </c>
      <c r="D111" s="374" t="n">
        <f aca="false">ROUND(E111/(H111/1000),1)</f>
        <v>10</v>
      </c>
      <c r="E111" s="376" t="n">
        <v>10</v>
      </c>
      <c r="F111" s="376" t="n">
        <v>10</v>
      </c>
      <c r="G111" s="377" t="n">
        <f aca="false">IF(C111="Fast",(F111/(H111/1000)),E111/(F111/100))</f>
        <v>10</v>
      </c>
      <c r="H111" s="376" t="n">
        <v>1000</v>
      </c>
    </row>
    <row r="112" customFormat="false" ht="15.75" hidden="false" customHeight="false" outlineLevel="0" collapsed="false">
      <c r="A112" s="374" t="s">
        <v>2333</v>
      </c>
      <c r="B112" s="374" t="s">
        <v>155</v>
      </c>
      <c r="C112" s="374" t="s">
        <v>70</v>
      </c>
      <c r="D112" s="374" t="n">
        <f aca="false">ROUND(E112/(H112/1000),1)</f>
        <v>42.3</v>
      </c>
      <c r="E112" s="376" t="n">
        <v>110</v>
      </c>
      <c r="F112" s="376" t="n">
        <v>100</v>
      </c>
      <c r="G112" s="377" t="n">
        <f aca="false">IF(C112="Fast",(F112/(H112/1000)),E112/(F112/100))</f>
        <v>110</v>
      </c>
      <c r="H112" s="376" t="n">
        <v>2600</v>
      </c>
    </row>
    <row r="113" customFormat="false" ht="15.75" hidden="false" customHeight="false" outlineLevel="0" collapsed="false">
      <c r="A113" s="374" t="s">
        <v>2526</v>
      </c>
      <c r="B113" s="374" t="s">
        <v>161</v>
      </c>
      <c r="C113" s="374" t="s">
        <v>70</v>
      </c>
      <c r="D113" s="374" t="n">
        <f aca="false">ROUND(E113/(H113/1000),1)</f>
        <v>31</v>
      </c>
      <c r="E113" s="376" t="n">
        <v>90</v>
      </c>
      <c r="F113" s="376" t="n">
        <f aca="false">100/2</f>
        <v>50</v>
      </c>
      <c r="G113" s="377" t="n">
        <f aca="false">IF(C113="Fast",(F113/(H113/1000)),E113/(F113/100))</f>
        <v>180</v>
      </c>
      <c r="H113" s="376" t="n">
        <v>2900</v>
      </c>
    </row>
    <row r="114" customFormat="false" ht="15.75" hidden="false" customHeight="false" outlineLevel="0" collapsed="false">
      <c r="A114" s="374" t="s">
        <v>2529</v>
      </c>
      <c r="B114" s="374" t="s">
        <v>147</v>
      </c>
      <c r="C114" s="374" t="s">
        <v>70</v>
      </c>
      <c r="D114" s="374" t="n">
        <f aca="false">ROUND(E114/(H114/1000),1)</f>
        <v>20.6</v>
      </c>
      <c r="E114" s="376" t="n">
        <v>35</v>
      </c>
      <c r="F114" s="378" t="n">
        <f aca="false">100/3</f>
        <v>33.33333333</v>
      </c>
      <c r="G114" s="377" t="n">
        <f aca="false">IF(C114="Fast",(F114/(H114/1000)),E114/(F114/100))</f>
        <v>105.0000000105</v>
      </c>
      <c r="H114" s="376" t="n">
        <v>1700</v>
      </c>
    </row>
    <row r="115" customFormat="false" ht="15.75" hidden="false" customHeight="false" outlineLevel="0" collapsed="false">
      <c r="A115" s="374" t="s">
        <v>2454</v>
      </c>
      <c r="B115" s="374" t="s">
        <v>147</v>
      </c>
      <c r="C115" s="374" t="s">
        <v>2782</v>
      </c>
      <c r="D115" s="374" t="n">
        <f aca="false">ROUND(E115/(H115/1000),1)</f>
        <v>12.5</v>
      </c>
      <c r="E115" s="376" t="n">
        <v>10</v>
      </c>
      <c r="F115" s="376" t="n">
        <v>7</v>
      </c>
      <c r="G115" s="377" t="n">
        <f aca="false">IF(C115="Fast",(F115/(H115/1000)),E115/(F115/100))</f>
        <v>8.75</v>
      </c>
      <c r="H115" s="376" t="n">
        <v>800</v>
      </c>
    </row>
    <row r="116" customFormat="false" ht="15.75" hidden="false" customHeight="false" outlineLevel="0" collapsed="false">
      <c r="A116" s="374" t="s">
        <v>2487</v>
      </c>
      <c r="B116" s="374" t="s">
        <v>147</v>
      </c>
      <c r="C116" s="374" t="s">
        <v>2782</v>
      </c>
      <c r="D116" s="374" t="n">
        <f aca="false">ROUND(E116/(H116/1000),1)</f>
        <v>8.3</v>
      </c>
      <c r="E116" s="376" t="n">
        <v>5</v>
      </c>
      <c r="F116" s="376" t="n">
        <v>7</v>
      </c>
      <c r="G116" s="377" t="n">
        <f aca="false">IF(C116="Fast",(F116/(H116/1000)),E116/(F116/100))</f>
        <v>11.6666666666667</v>
      </c>
      <c r="H116" s="376" t="n">
        <v>600</v>
      </c>
    </row>
    <row r="117" customFormat="false" ht="15.75" hidden="false" customHeight="false" outlineLevel="0" collapsed="false">
      <c r="A117" s="374" t="s">
        <v>2582</v>
      </c>
      <c r="B117" s="374" t="s">
        <v>144</v>
      </c>
      <c r="C117" s="374" t="s">
        <v>2782</v>
      </c>
      <c r="D117" s="374" t="n">
        <f aca="false">ROUND(E117/(H117/1000),1)</f>
        <v>11.7</v>
      </c>
      <c r="E117" s="376" t="n">
        <v>7</v>
      </c>
      <c r="F117" s="376" t="n">
        <v>6</v>
      </c>
      <c r="G117" s="377" t="n">
        <f aca="false">IF(C117="Fast",(F117/(H117/1000)),E117/(F117/100))</f>
        <v>10</v>
      </c>
      <c r="H117" s="376" t="n">
        <v>600</v>
      </c>
    </row>
    <row r="118" customFormat="false" ht="15.75" hidden="false" customHeight="false" outlineLevel="0" collapsed="false">
      <c r="A118" s="374" t="s">
        <v>2626</v>
      </c>
      <c r="B118" s="374" t="s">
        <v>158</v>
      </c>
      <c r="C118" s="374" t="s">
        <v>2782</v>
      </c>
      <c r="D118" s="374" t="n">
        <f aca="false">ROUND(E118/(H118/1000),1)</f>
        <v>6</v>
      </c>
      <c r="E118" s="376" t="n">
        <v>6</v>
      </c>
      <c r="F118" s="376" t="n">
        <v>15</v>
      </c>
      <c r="G118" s="377" t="n">
        <f aca="false">IF(C118="Fast",(F118/(H118/1000)),E118/(F118/100))</f>
        <v>15</v>
      </c>
      <c r="H118" s="376" t="n">
        <v>1000</v>
      </c>
    </row>
    <row r="119" customFormat="false" ht="15.75" hidden="false" customHeight="false" outlineLevel="0" collapsed="false">
      <c r="A119" s="374" t="s">
        <v>2536</v>
      </c>
      <c r="B119" s="374" t="s">
        <v>149</v>
      </c>
      <c r="C119" s="374" t="s">
        <v>70</v>
      </c>
      <c r="D119" s="374" t="n">
        <f aca="false">ROUND(E119/(H119/1000),1)</f>
        <v>27.6</v>
      </c>
      <c r="E119" s="376" t="n">
        <v>80</v>
      </c>
      <c r="F119" s="376" t="n">
        <f aca="false">100/2</f>
        <v>50</v>
      </c>
      <c r="G119" s="377" t="n">
        <f aca="false">IF(C119="Fast",(F119/(H119/1000)),E119/(F119/100))</f>
        <v>160</v>
      </c>
      <c r="H119" s="376" t="n">
        <v>2900</v>
      </c>
    </row>
    <row r="120" customFormat="false" ht="15.75" hidden="false" customHeight="false" outlineLevel="0" collapsed="false">
      <c r="A120" s="374" t="s">
        <v>2616</v>
      </c>
      <c r="B120" s="374" t="s">
        <v>155</v>
      </c>
      <c r="C120" s="374" t="s">
        <v>70</v>
      </c>
      <c r="D120" s="374" t="n">
        <f aca="false">ROUND(E120/(H120/1000),1)</f>
        <v>34.6</v>
      </c>
      <c r="E120" s="376" t="n">
        <v>90</v>
      </c>
      <c r="F120" s="376" t="n">
        <f aca="false">100/2</f>
        <v>50</v>
      </c>
      <c r="G120" s="377" t="n">
        <f aca="false">IF(C120="Fast",(F120/(H120/1000)),E120/(F120/100))</f>
        <v>180</v>
      </c>
      <c r="H120" s="376" t="n">
        <v>2600</v>
      </c>
    </row>
    <row r="121" customFormat="false" ht="15.75" hidden="false" customHeight="false" outlineLevel="0" collapsed="false">
      <c r="A121" s="374" t="s">
        <v>2666</v>
      </c>
      <c r="B121" s="374" t="s">
        <v>148</v>
      </c>
      <c r="C121" s="374" t="s">
        <v>70</v>
      </c>
      <c r="D121" s="374" t="n">
        <f aca="false">ROUND(E121/(H121/1000),1)</f>
        <v>76.5</v>
      </c>
      <c r="E121" s="376" t="n">
        <v>130</v>
      </c>
      <c r="F121" s="376" t="n">
        <v>100</v>
      </c>
      <c r="G121" s="377" t="n">
        <f aca="false">IF(C121="Fast",(F121/(H121/1000)),E121/(F121/100))</f>
        <v>130</v>
      </c>
      <c r="H121" s="376" t="n">
        <v>1700</v>
      </c>
    </row>
    <row r="122" customFormat="false" ht="15.75" hidden="false" customHeight="false" outlineLevel="0" collapsed="false">
      <c r="A122" s="374" t="s">
        <v>2620</v>
      </c>
      <c r="B122" s="374" t="s">
        <v>144</v>
      </c>
      <c r="C122" s="374" t="s">
        <v>2782</v>
      </c>
      <c r="D122" s="374" t="n">
        <f aca="false">ROUND(E122/(H122/1000),1)</f>
        <v>3.8</v>
      </c>
      <c r="E122" s="376" t="n">
        <v>5</v>
      </c>
      <c r="F122" s="376" t="n">
        <v>20</v>
      </c>
      <c r="G122" s="377" t="n">
        <f aca="false">IF(C122="Fast",(F122/(H122/1000)),E122/(F122/100))</f>
        <v>15.3846153846154</v>
      </c>
      <c r="H122" s="376" t="n">
        <v>1300</v>
      </c>
    </row>
    <row r="123" customFormat="false" ht="15.75" hidden="false" customHeight="false" outlineLevel="0" collapsed="false">
      <c r="A123" s="374" t="s">
        <v>2439</v>
      </c>
      <c r="B123" s="374" t="s">
        <v>157</v>
      </c>
      <c r="C123" s="374" t="s">
        <v>70</v>
      </c>
      <c r="D123" s="374" t="n">
        <f aca="false">ROUND(E123/(H123/1000),1)</f>
        <v>21.9</v>
      </c>
      <c r="E123" s="376" t="n">
        <v>70</v>
      </c>
      <c r="F123" s="376" t="n">
        <f aca="false">100/2</f>
        <v>50</v>
      </c>
      <c r="G123" s="377" t="n">
        <f aca="false">IF(C123="Fast",(F123/(H123/1000)),E123/(F123/100))</f>
        <v>140</v>
      </c>
      <c r="H123" s="376" t="n">
        <v>3200</v>
      </c>
    </row>
    <row r="124" customFormat="false" ht="15.75" hidden="false" customHeight="false" outlineLevel="0" collapsed="false">
      <c r="A124" s="374" t="s">
        <v>157</v>
      </c>
      <c r="B124" s="374" t="s">
        <v>157</v>
      </c>
      <c r="C124" s="374" t="s">
        <v>70</v>
      </c>
      <c r="D124" s="374" t="n">
        <f aca="false">ROUND(E124/(H124/1000),1)</f>
        <v>35.7</v>
      </c>
      <c r="E124" s="376" t="n">
        <v>100</v>
      </c>
      <c r="F124" s="376" t="n">
        <v>100</v>
      </c>
      <c r="G124" s="377" t="n">
        <f aca="false">IF(C124="Fast",(F124/(H124/1000)),E124/(F124/100))</f>
        <v>100</v>
      </c>
      <c r="H124" s="376" t="n">
        <v>2800</v>
      </c>
    </row>
    <row r="125" customFormat="false" ht="15.75" hidden="false" customHeight="false" outlineLevel="0" collapsed="false">
      <c r="A125" s="374" t="s">
        <v>2653</v>
      </c>
      <c r="B125" s="374" t="s">
        <v>157</v>
      </c>
      <c r="C125" s="374" t="s">
        <v>70</v>
      </c>
      <c r="D125" s="374" t="n">
        <f aca="false">ROUND(E125/(H125/1000),1)</f>
        <v>17.5</v>
      </c>
      <c r="E125" s="376" t="n">
        <v>70</v>
      </c>
      <c r="F125" s="376" t="n">
        <v>50</v>
      </c>
      <c r="G125" s="377" t="n">
        <f aca="false">IF(C125="Fast",(F125/(H125/1000)),E125/(F125/100))</f>
        <v>140</v>
      </c>
      <c r="H125" s="376" t="n">
        <v>4000</v>
      </c>
    </row>
    <row r="126" customFormat="false" ht="15.75" hidden="false" customHeight="false" outlineLevel="0" collapsed="false">
      <c r="A126" s="374" t="s">
        <v>2551</v>
      </c>
      <c r="B126" s="374" t="s">
        <v>157</v>
      </c>
      <c r="C126" s="374" t="s">
        <v>2782</v>
      </c>
      <c r="D126" s="374" t="n">
        <f aca="false">ROUND(E126/(H126/1000),1)</f>
        <v>8.3</v>
      </c>
      <c r="E126" s="376" t="n">
        <v>5</v>
      </c>
      <c r="F126" s="376" t="n">
        <v>8</v>
      </c>
      <c r="G126" s="377" t="n">
        <f aca="false">IF(C126="Fast",(F126/(H126/1000)),E126/(F126/100))</f>
        <v>13.3333333333333</v>
      </c>
      <c r="H126" s="376" t="n">
        <v>600</v>
      </c>
    </row>
    <row r="127" customFormat="false" ht="15.75" hidden="false" customHeight="false" outlineLevel="0" collapsed="false">
      <c r="A127" s="374" t="s">
        <v>2495</v>
      </c>
      <c r="B127" s="374" t="s">
        <v>157</v>
      </c>
      <c r="C127" s="374" t="s">
        <v>70</v>
      </c>
      <c r="D127" s="374" t="n">
        <f aca="false">ROUND(E127/(H127/1000),1)</f>
        <v>24.1</v>
      </c>
      <c r="E127" s="376" t="n">
        <v>65</v>
      </c>
      <c r="F127" s="378" t="n">
        <f aca="false">100/3</f>
        <v>33.33333333</v>
      </c>
      <c r="G127" s="377" t="n">
        <f aca="false">IF(C127="Fast",(F127/(H127/1000)),E127/(F127/100))</f>
        <v>195.0000000195</v>
      </c>
      <c r="H127" s="376" t="n">
        <v>2700</v>
      </c>
    </row>
    <row r="128" customFormat="false" ht="15.75" hidden="false" customHeight="false" outlineLevel="0" collapsed="false">
      <c r="A128" s="374" t="s">
        <v>2636</v>
      </c>
      <c r="B128" s="374" t="s">
        <v>157</v>
      </c>
      <c r="C128" s="374" t="s">
        <v>70</v>
      </c>
      <c r="D128" s="374" t="n">
        <f aca="false">ROUND(E128/(H128/1000),1)</f>
        <v>22.7</v>
      </c>
      <c r="E128" s="376" t="n">
        <v>100</v>
      </c>
      <c r="F128" s="376" t="n">
        <f aca="false">100/2</f>
        <v>50</v>
      </c>
      <c r="G128" s="377" t="n">
        <f aca="false">IF(C128="Fast",(F128/(H128/1000)),E128/(F128/100))</f>
        <v>200</v>
      </c>
      <c r="H128" s="376" t="n">
        <v>4400</v>
      </c>
    </row>
    <row r="129" customFormat="false" ht="15.75" hidden="false" customHeight="false" outlineLevel="0" collapsed="false">
      <c r="A129" s="374" t="s">
        <v>2461</v>
      </c>
      <c r="B129" s="374" t="s">
        <v>144</v>
      </c>
      <c r="C129" s="374" t="s">
        <v>2782</v>
      </c>
      <c r="D129" s="374" t="n">
        <f aca="false">ROUND(E129/(H129/1000),1)</f>
        <v>10</v>
      </c>
      <c r="E129" s="376" t="n">
        <v>8</v>
      </c>
      <c r="F129" s="376" t="n">
        <v>10</v>
      </c>
      <c r="G129" s="377" t="n">
        <f aca="false">IF(C129="Fast",(F129/(H129/1000)),E129/(F129/100))</f>
        <v>12.5</v>
      </c>
      <c r="H129" s="376" t="n">
        <v>800</v>
      </c>
    </row>
    <row r="130" customFormat="false" ht="15.75" hidden="false" customHeight="false" outlineLevel="0" collapsed="false">
      <c r="A130" s="374" t="s">
        <v>2336</v>
      </c>
      <c r="B130" s="374" t="s">
        <v>155</v>
      </c>
      <c r="C130" s="374" t="s">
        <v>2782</v>
      </c>
      <c r="D130" s="374" t="n">
        <f aca="false">ROUND(E130/(H130/1000),1)</f>
        <v>13</v>
      </c>
      <c r="E130" s="376" t="n">
        <v>13</v>
      </c>
      <c r="F130" s="376" t="n">
        <v>7</v>
      </c>
      <c r="G130" s="377" t="n">
        <f aca="false">IF(C130="Fast",(F130/(H130/1000)),E130/(F130/100))</f>
        <v>7</v>
      </c>
      <c r="H130" s="376" t="n">
        <v>1000</v>
      </c>
    </row>
    <row r="131" customFormat="false" ht="15.75" hidden="false" customHeight="false" outlineLevel="0" collapsed="false">
      <c r="A131" s="374" t="s">
        <v>2337</v>
      </c>
      <c r="B131" s="374" t="s">
        <v>144</v>
      </c>
      <c r="C131" s="374" t="s">
        <v>70</v>
      </c>
      <c r="D131" s="374" t="n">
        <f aca="false">ROUND(E131/(H131/1000),1)</f>
        <v>26.3</v>
      </c>
      <c r="E131" s="376" t="n">
        <v>50</v>
      </c>
      <c r="F131" s="378" t="n">
        <f aca="false">100/3</f>
        <v>33.3333333333333</v>
      </c>
      <c r="G131" s="377" t="n">
        <f aca="false">IF(C131="Fast",(F131/(H131/1000)),E131/(F131/100))</f>
        <v>150</v>
      </c>
      <c r="H131" s="376" t="n">
        <v>1900</v>
      </c>
    </row>
    <row r="132" customFormat="false" ht="15.75" hidden="false" customHeight="false" outlineLevel="0" collapsed="false">
      <c r="A132" s="374" t="s">
        <v>2564</v>
      </c>
      <c r="B132" s="374" t="s">
        <v>149</v>
      </c>
      <c r="C132" s="374" t="s">
        <v>70</v>
      </c>
      <c r="D132" s="374" t="n">
        <f aca="false">ROUND(E132/(H132/1000),1)</f>
        <v>23.8</v>
      </c>
      <c r="E132" s="376" t="n">
        <v>50</v>
      </c>
      <c r="F132" s="378" t="n">
        <f aca="false">100/3</f>
        <v>33.3333333333333</v>
      </c>
      <c r="G132" s="377" t="n">
        <f aca="false">IF(C132="Fast",(F132/(H132/1000)),E132/(F132/100))</f>
        <v>150</v>
      </c>
      <c r="H132" s="376" t="n">
        <v>2100</v>
      </c>
    </row>
    <row r="133" customFormat="false" ht="15.75" hidden="false" customHeight="false" outlineLevel="0" collapsed="false">
      <c r="A133" s="374" t="s">
        <v>2388</v>
      </c>
      <c r="B133" s="374" t="s">
        <v>149</v>
      </c>
      <c r="C133" s="374" t="s">
        <v>70</v>
      </c>
      <c r="D133" s="374" t="n">
        <f aca="false">ROUND(E133/(H133/1000),1)</f>
        <v>29.6</v>
      </c>
      <c r="E133" s="376" t="n">
        <v>80</v>
      </c>
      <c r="F133" s="376" t="n">
        <f aca="false">100/2</f>
        <v>50</v>
      </c>
      <c r="G133" s="377" t="n">
        <f aca="false">IF(C133="Fast",(F133/(H133/1000)),E133/(F133/100))</f>
        <v>160</v>
      </c>
      <c r="H133" s="376" t="n">
        <v>2700</v>
      </c>
    </row>
    <row r="134" customFormat="false" ht="15.75" hidden="false" customHeight="false" outlineLevel="0" collapsed="false">
      <c r="A134" s="374" t="s">
        <v>2339</v>
      </c>
      <c r="B134" s="374" t="s">
        <v>145</v>
      </c>
      <c r="C134" s="374" t="s">
        <v>2782</v>
      </c>
      <c r="D134" s="374" t="n">
        <f aca="false">ROUND(E134/(H134/1000),1)</f>
        <v>11.5</v>
      </c>
      <c r="E134" s="376" t="n">
        <v>15</v>
      </c>
      <c r="F134" s="376" t="n">
        <v>10</v>
      </c>
      <c r="G134" s="377" t="n">
        <f aca="false">IF(C134="Fast",(F134/(H134/1000)),E134/(F134/100))</f>
        <v>7.69230769230769</v>
      </c>
      <c r="H134" s="376" t="n">
        <v>1300</v>
      </c>
    </row>
    <row r="135" customFormat="false" ht="15.75" hidden="false" customHeight="false" outlineLevel="0" collapsed="false">
      <c r="A135" s="374" t="s">
        <v>2565</v>
      </c>
      <c r="B135" s="374" t="s">
        <v>149</v>
      </c>
      <c r="C135" s="374" t="s">
        <v>2782</v>
      </c>
      <c r="D135" s="374" t="n">
        <f aca="false">ROUND(E135/(H135/1000),1)</f>
        <v>13.3</v>
      </c>
      <c r="E135" s="376" t="n">
        <v>12</v>
      </c>
      <c r="F135" s="376" t="n">
        <v>7</v>
      </c>
      <c r="G135" s="377" t="n">
        <f aca="false">IF(C135="Fast",(F135/(H135/1000)),E135/(F135/100))</f>
        <v>7.77777777777778</v>
      </c>
      <c r="H135" s="376" t="n">
        <v>900</v>
      </c>
    </row>
    <row r="136" customFormat="false" ht="15.75" hidden="false" customHeight="false" outlineLevel="0" collapsed="false">
      <c r="A136" s="374" t="s">
        <v>2389</v>
      </c>
      <c r="B136" s="374" t="s">
        <v>149</v>
      </c>
      <c r="C136" s="374" t="s">
        <v>70</v>
      </c>
      <c r="D136" s="374" t="n">
        <f aca="false">ROUND(E136/(H136/1000),1)</f>
        <v>21.9</v>
      </c>
      <c r="E136" s="376" t="n">
        <v>70</v>
      </c>
      <c r="F136" s="376" t="n">
        <f aca="false">100/2</f>
        <v>50</v>
      </c>
      <c r="G136" s="377" t="n">
        <f aca="false">IF(C136="Fast",(F136/(H136/1000)),E136/(F136/100))</f>
        <v>140</v>
      </c>
      <c r="H136" s="376" t="n">
        <v>3200</v>
      </c>
    </row>
    <row r="137" customFormat="false" ht="15.75" hidden="false" customHeight="false" outlineLevel="0" collapsed="false">
      <c r="A137" s="374" t="s">
        <v>2499</v>
      </c>
      <c r="B137" s="374" t="s">
        <v>148</v>
      </c>
      <c r="C137" s="374" t="s">
        <v>70</v>
      </c>
      <c r="D137" s="374" t="n">
        <f aca="false">ROUND(E137/(H137/1000),1)</f>
        <v>20</v>
      </c>
      <c r="E137" s="376" t="n">
        <v>80</v>
      </c>
      <c r="F137" s="376" t="n">
        <f aca="false">100/2</f>
        <v>50</v>
      </c>
      <c r="G137" s="377" t="n">
        <f aca="false">IF(C137="Fast",(F137/(H137/1000)),E137/(F137/100))</f>
        <v>160</v>
      </c>
      <c r="H137" s="376" t="n">
        <v>4000</v>
      </c>
    </row>
    <row r="138" customFormat="false" ht="15.75" hidden="false" customHeight="false" outlineLevel="0" collapsed="false">
      <c r="A138" s="374" t="s">
        <v>2421</v>
      </c>
      <c r="B138" s="374" t="s">
        <v>154</v>
      </c>
      <c r="C138" s="374" t="s">
        <v>70</v>
      </c>
      <c r="D138" s="374" t="n">
        <f aca="false">ROUND(E138/(H138/1000),1)</f>
        <v>21.6</v>
      </c>
      <c r="E138" s="376" t="n">
        <v>80</v>
      </c>
      <c r="F138" s="376" t="n">
        <f aca="false">100/2</f>
        <v>50</v>
      </c>
      <c r="G138" s="377" t="n">
        <f aca="false">IF(C138="Fast",(F138/(H138/1000)),E138/(F138/100))</f>
        <v>160</v>
      </c>
      <c r="H138" s="376" t="n">
        <v>3700</v>
      </c>
    </row>
    <row r="139" customFormat="false" ht="15.75" hidden="false" customHeight="false" outlineLevel="0" collapsed="false">
      <c r="A139" s="374" t="s">
        <v>2390</v>
      </c>
      <c r="B139" s="374" t="s">
        <v>144</v>
      </c>
      <c r="C139" s="374" t="s">
        <v>2782</v>
      </c>
      <c r="D139" s="374" t="n">
        <f aca="false">ROUND(E139/(H139/1000),1)</f>
        <v>12</v>
      </c>
      <c r="E139" s="376" t="n">
        <v>6</v>
      </c>
      <c r="F139" s="376" t="n">
        <v>4</v>
      </c>
      <c r="G139" s="377" t="n">
        <f aca="false">IF(C139="Fast",(F139/(H139/1000)),E139/(F139/100))</f>
        <v>8</v>
      </c>
      <c r="H139" s="376" t="n">
        <v>500</v>
      </c>
    </row>
    <row r="140" customFormat="false" ht="15.75" hidden="false" customHeight="false" outlineLevel="0" collapsed="false">
      <c r="A140" s="374" t="s">
        <v>2342</v>
      </c>
      <c r="B140" s="374" t="s">
        <v>155</v>
      </c>
      <c r="C140" s="374" t="s">
        <v>70</v>
      </c>
      <c r="D140" s="374" t="n">
        <f aca="false">ROUND(E140/(H140/1000),1)</f>
        <v>26.2</v>
      </c>
      <c r="E140" s="376" t="n">
        <v>55</v>
      </c>
      <c r="F140" s="378" t="n">
        <f aca="false">100/3</f>
        <v>33.33333333</v>
      </c>
      <c r="G140" s="377" t="n">
        <f aca="false">IF(C140="Fast",(F140/(H140/1000)),E140/(F140/100))</f>
        <v>165.0000000165</v>
      </c>
      <c r="H140" s="376" t="n">
        <v>2100</v>
      </c>
    </row>
    <row r="141" customFormat="false" ht="15.75" hidden="false" customHeight="false" outlineLevel="0" collapsed="false">
      <c r="A141" s="374" t="s">
        <v>2442</v>
      </c>
      <c r="B141" s="374" t="s">
        <v>151</v>
      </c>
      <c r="C141" s="374" t="s">
        <v>70</v>
      </c>
      <c r="D141" s="374" t="n">
        <f aca="false">ROUND(E141/(H141/1000),1)</f>
        <v>33.3</v>
      </c>
      <c r="E141" s="376" t="n">
        <v>100</v>
      </c>
      <c r="F141" s="376" t="n">
        <f aca="false">100/2</f>
        <v>50</v>
      </c>
      <c r="G141" s="377" t="n">
        <f aca="false">IF(C141="Fast",(F141/(H141/1000)),E141/(F141/100))</f>
        <v>200</v>
      </c>
      <c r="H141" s="376" t="n">
        <v>3000</v>
      </c>
    </row>
    <row r="142" customFormat="false" ht="15.75" hidden="false" customHeight="false" outlineLevel="0" collapsed="false">
      <c r="A142" s="374" t="s">
        <v>2392</v>
      </c>
      <c r="B142" s="374" t="s">
        <v>151</v>
      </c>
      <c r="C142" s="374" t="s">
        <v>2782</v>
      </c>
      <c r="D142" s="374" t="n">
        <f aca="false">ROUND(E142/(H142/1000),1)</f>
        <v>12.9</v>
      </c>
      <c r="E142" s="376" t="n">
        <v>9</v>
      </c>
      <c r="F142" s="376" t="n">
        <v>6</v>
      </c>
      <c r="G142" s="377" t="n">
        <f aca="false">IF(C142="Fast",(F142/(H142/1000)),E142/(F142/100))</f>
        <v>8.57142857142857</v>
      </c>
      <c r="H142" s="376" t="n">
        <v>700</v>
      </c>
    </row>
    <row r="143" customFormat="false" ht="15.75" hidden="false" customHeight="false" outlineLevel="0" collapsed="false">
      <c r="A143" s="374" t="s">
        <v>2590</v>
      </c>
      <c r="B143" s="374" t="s">
        <v>151</v>
      </c>
      <c r="C143" s="374" t="s">
        <v>70</v>
      </c>
      <c r="D143" s="374" t="n">
        <f aca="false">ROUND(E143/(H143/1000),1)</f>
        <v>23.5</v>
      </c>
      <c r="E143" s="376" t="n">
        <v>40</v>
      </c>
      <c r="F143" s="378" t="n">
        <f aca="false">100/3</f>
        <v>33.3333333333333</v>
      </c>
      <c r="G143" s="377" t="n">
        <f aca="false">IF(C143="Fast",(F143/(H143/1000)),E143/(F143/100))</f>
        <v>120</v>
      </c>
      <c r="H143" s="376" t="n">
        <v>1700</v>
      </c>
    </row>
    <row r="144" customFormat="false" ht="15.75" hidden="false" customHeight="false" outlineLevel="0" collapsed="false">
      <c r="A144" s="374" t="s">
        <v>2639</v>
      </c>
      <c r="B144" s="374" t="s">
        <v>151</v>
      </c>
      <c r="C144" s="374" t="s">
        <v>70</v>
      </c>
      <c r="D144" s="374" t="n">
        <f aca="false">ROUND(E144/(H144/1000),1)</f>
        <v>17.2</v>
      </c>
      <c r="E144" s="376" t="n">
        <v>50</v>
      </c>
      <c r="F144" s="378" t="n">
        <f aca="false">100/3</f>
        <v>33.3333333333333</v>
      </c>
      <c r="G144" s="377" t="n">
        <f aca="false">IF(C144="Fast",(F144/(H144/1000)),E144/(F144/100))</f>
        <v>150</v>
      </c>
      <c r="H144" s="376" t="n">
        <v>2900</v>
      </c>
    </row>
    <row r="145" customFormat="false" ht="15.75" hidden="false" customHeight="false" outlineLevel="0" collapsed="false">
      <c r="A145" s="374" t="s">
        <v>2422</v>
      </c>
      <c r="B145" s="374" t="s">
        <v>150</v>
      </c>
      <c r="C145" s="374" t="s">
        <v>70</v>
      </c>
      <c r="D145" s="374" t="n">
        <f aca="false">ROUND(E145/(H145/1000),1)</f>
        <v>25.9</v>
      </c>
      <c r="E145" s="376" t="n">
        <v>75</v>
      </c>
      <c r="F145" s="376" t="n">
        <f aca="false">100/2</f>
        <v>50</v>
      </c>
      <c r="G145" s="377" t="n">
        <f aca="false">IF(C145="Fast",(F145/(H145/1000)),E145/(F145/100))</f>
        <v>150</v>
      </c>
      <c r="H145" s="376" t="n">
        <v>2900</v>
      </c>
    </row>
    <row r="146" customFormat="false" ht="15.75" hidden="false" customHeight="false" outlineLevel="0" collapsed="false">
      <c r="A146" s="374" t="s">
        <v>2443</v>
      </c>
      <c r="B146" s="374" t="s">
        <v>150</v>
      </c>
      <c r="C146" s="374" t="s">
        <v>70</v>
      </c>
      <c r="D146" s="374" t="n">
        <f aca="false">ROUND(E146/(H146/1000),1)</f>
        <v>18.9</v>
      </c>
      <c r="E146" s="376" t="n">
        <v>70</v>
      </c>
      <c r="F146" s="378" t="n">
        <f aca="false">100/3</f>
        <v>33.33333333</v>
      </c>
      <c r="G146" s="377" t="n">
        <f aca="false">IF(C146="Fast",(F146/(H146/1000)),E146/(F146/100))</f>
        <v>210.000000021</v>
      </c>
      <c r="H146" s="376" t="n">
        <v>3700</v>
      </c>
    </row>
    <row r="147" customFormat="false" ht="15.75" hidden="false" customHeight="false" outlineLevel="0" collapsed="false">
      <c r="A147" s="374" t="s">
        <v>2462</v>
      </c>
      <c r="B147" s="374" t="s">
        <v>146</v>
      </c>
      <c r="C147" s="374" t="s">
        <v>70</v>
      </c>
      <c r="D147" s="374" t="n">
        <f aca="false">ROUND(E147/(H147/1000),1)</f>
        <v>40</v>
      </c>
      <c r="E147" s="376" t="n">
        <v>80</v>
      </c>
      <c r="F147" s="376" t="n">
        <f aca="false">100/2</f>
        <v>50</v>
      </c>
      <c r="G147" s="377" t="n">
        <f aca="false">IF(C147="Fast",(F147/(H147/1000)),E147/(F147/100))</f>
        <v>160</v>
      </c>
      <c r="H147" s="376" t="n">
        <v>2000</v>
      </c>
    </row>
    <row r="148" customFormat="false" ht="15.75" hidden="false" customHeight="false" outlineLevel="0" collapsed="false">
      <c r="A148" s="374" t="s">
        <v>2583</v>
      </c>
      <c r="B148" s="374" t="s">
        <v>147</v>
      </c>
      <c r="C148" s="374" t="s">
        <v>70</v>
      </c>
      <c r="D148" s="374" t="n">
        <f aca="false">ROUND(E148/(H148/1000),1)</f>
        <v>23.8</v>
      </c>
      <c r="E148" s="376" t="n">
        <v>50</v>
      </c>
      <c r="F148" s="378" t="n">
        <f aca="false">100/3</f>
        <v>33.33333333</v>
      </c>
      <c r="G148" s="377" t="n">
        <f aca="false">IF(C148="Fast",(F148/(H148/1000)),E148/(F148/100))</f>
        <v>150.000000015</v>
      </c>
      <c r="H148" s="376" t="n">
        <v>2100</v>
      </c>
    </row>
    <row r="149" customFormat="false" ht="15.75" hidden="false" customHeight="false" outlineLevel="0" collapsed="false">
      <c r="A149" s="374" t="s">
        <v>2343</v>
      </c>
      <c r="B149" s="374" t="s">
        <v>147</v>
      </c>
      <c r="C149" s="374" t="s">
        <v>70</v>
      </c>
      <c r="D149" s="374" t="n">
        <f aca="false">ROUND(E149/(H149/1000),1)</f>
        <v>34.8</v>
      </c>
      <c r="E149" s="376" t="n">
        <v>80</v>
      </c>
      <c r="F149" s="376" t="n">
        <f aca="false">100/2</f>
        <v>50</v>
      </c>
      <c r="G149" s="377" t="n">
        <f aca="false">IF(C149="Fast",(F149/(H149/1000)),E149/(F149/100))</f>
        <v>160</v>
      </c>
      <c r="H149" s="376" t="n">
        <v>2300</v>
      </c>
    </row>
    <row r="150" customFormat="false" ht="15.75" hidden="false" customHeight="false" outlineLevel="0" collapsed="false">
      <c r="A150" s="374" t="s">
        <v>2471</v>
      </c>
      <c r="B150" s="374" t="s">
        <v>147</v>
      </c>
      <c r="C150" s="374" t="s">
        <v>70</v>
      </c>
      <c r="D150" s="374" t="n">
        <f aca="false">ROUND(E150/(H150/1000),1)</f>
        <v>34.4</v>
      </c>
      <c r="E150" s="376" t="n">
        <v>110</v>
      </c>
      <c r="F150" s="376" t="n">
        <v>100</v>
      </c>
      <c r="G150" s="377" t="n">
        <f aca="false">IF(C150="Fast",(F150/(H150/1000)),E150/(F150/100))</f>
        <v>110</v>
      </c>
      <c r="H150" s="376" t="n">
        <v>3200</v>
      </c>
    </row>
    <row r="151" customFormat="false" ht="15.75" hidden="false" customHeight="false" outlineLevel="0" collapsed="false">
      <c r="A151" s="374" t="s">
        <v>2472</v>
      </c>
      <c r="B151" s="374" t="s">
        <v>160</v>
      </c>
      <c r="C151" s="374" t="s">
        <v>2782</v>
      </c>
      <c r="D151" s="374" t="n">
        <f aca="false">ROUND(E151/(H151/1000),1)</f>
        <v>10.9</v>
      </c>
      <c r="E151" s="376" t="n">
        <v>12</v>
      </c>
      <c r="F151" s="376" t="n">
        <v>12</v>
      </c>
      <c r="G151" s="377" t="n">
        <f aca="false">IF(C151="Fast",(F151/(H151/1000)),E151/(F151/100))</f>
        <v>10.9090909090909</v>
      </c>
      <c r="H151" s="376" t="n">
        <v>1100</v>
      </c>
    </row>
    <row r="152" customFormat="false" ht="15.75" hidden="false" customHeight="false" outlineLevel="0" collapsed="false">
      <c r="A152" s="374" t="s">
        <v>2345</v>
      </c>
      <c r="B152" s="374" t="s">
        <v>155</v>
      </c>
      <c r="C152" s="374" t="s">
        <v>70</v>
      </c>
      <c r="D152" s="374" t="n">
        <f aca="false">ROUND(E152/(H152/1000),1)</f>
        <v>36.7</v>
      </c>
      <c r="E152" s="376" t="n">
        <v>180</v>
      </c>
      <c r="F152" s="376" t="n">
        <v>100</v>
      </c>
      <c r="G152" s="377" t="n">
        <f aca="false">IF(C152="Fast",(F152/(H152/1000)),E152/(F152/100))</f>
        <v>180</v>
      </c>
      <c r="H152" s="376" t="n">
        <v>4900</v>
      </c>
    </row>
    <row r="153" customFormat="false" ht="15.75" hidden="false" customHeight="false" outlineLevel="0" collapsed="false">
      <c r="A153" s="374" t="s">
        <v>2570</v>
      </c>
      <c r="B153" s="374" t="s">
        <v>156</v>
      </c>
      <c r="C153" s="374" t="s">
        <v>2782</v>
      </c>
      <c r="D153" s="374" t="n">
        <f aca="false">ROUND(E153/(H153/1000),1)</f>
        <v>8.6</v>
      </c>
      <c r="E153" s="376" t="n">
        <v>6</v>
      </c>
      <c r="F153" s="376" t="n">
        <v>9</v>
      </c>
      <c r="G153" s="377" t="n">
        <f aca="false">IF(C153="Fast",(F153/(H153/1000)),E153/(F153/100))</f>
        <v>12.8571428571429</v>
      </c>
      <c r="H153" s="376" t="n">
        <v>700</v>
      </c>
    </row>
    <row r="154" customFormat="false" ht="15.75" hidden="false" customHeight="false" outlineLevel="0" collapsed="false">
      <c r="A154" s="374" t="s">
        <v>2643</v>
      </c>
      <c r="B154" s="374" t="s">
        <v>154</v>
      </c>
      <c r="C154" s="374" t="s">
        <v>2782</v>
      </c>
      <c r="D154" s="374" t="n">
        <f aca="false">ROUND(E154/(H154/1000),1)</f>
        <v>0</v>
      </c>
      <c r="E154" s="376" t="n">
        <v>0</v>
      </c>
      <c r="F154" s="376" t="n">
        <v>20</v>
      </c>
      <c r="G154" s="377" t="n">
        <f aca="false">IF(C154="Fast",(F154/(H154/1000)),E154/(F154/100))</f>
        <v>11.7647058823529</v>
      </c>
      <c r="H154" s="376" t="n">
        <v>1700</v>
      </c>
    </row>
    <row r="155" customFormat="false" ht="15.75" hidden="false" customHeight="false" outlineLevel="0" collapsed="false">
      <c r="A155" s="374" t="s">
        <v>2396</v>
      </c>
      <c r="B155" s="374" t="s">
        <v>152</v>
      </c>
      <c r="C155" s="374" t="s">
        <v>2782</v>
      </c>
      <c r="D155" s="374" t="n">
        <f aca="false">ROUND(E155/(H155/1000),1)</f>
        <v>13.8</v>
      </c>
      <c r="E155" s="376" t="n">
        <v>11</v>
      </c>
      <c r="F155" s="376" t="n">
        <v>6</v>
      </c>
      <c r="G155" s="377" t="n">
        <f aca="false">IF(C155="Fast",(F155/(H155/1000)),E155/(F155/100))</f>
        <v>7.5</v>
      </c>
      <c r="H155" s="376" t="n">
        <v>800</v>
      </c>
    </row>
    <row r="156" customFormat="false" ht="15.75" hidden="false" customHeight="false" outlineLevel="0" collapsed="false">
      <c r="A156" s="374" t="s">
        <v>2571</v>
      </c>
      <c r="B156" s="374" t="s">
        <v>144</v>
      </c>
      <c r="C156" s="374" t="s">
        <v>70</v>
      </c>
      <c r="D156" s="374" t="n">
        <f aca="false">ROUND(E156/(H156/1000),1)</f>
        <v>32.4</v>
      </c>
      <c r="E156" s="376" t="n">
        <v>55</v>
      </c>
      <c r="F156" s="376" t="n">
        <f aca="false">100/2</f>
        <v>50</v>
      </c>
      <c r="G156" s="377" t="n">
        <f aca="false">IF(C156="Fast",(F156/(H156/1000)),E156/(F156/100))</f>
        <v>110</v>
      </c>
      <c r="H156" s="376" t="n">
        <v>1700</v>
      </c>
    </row>
    <row r="157" customFormat="false" ht="15.75" hidden="false" customHeight="false" outlineLevel="0" collapsed="false">
      <c r="A157" s="374" t="s">
        <v>2500</v>
      </c>
      <c r="B157" s="374" t="s">
        <v>149</v>
      </c>
      <c r="C157" s="374" t="s">
        <v>70</v>
      </c>
      <c r="D157" s="374" t="n">
        <f aca="false">ROUND(E157/(H157/1000),1)</f>
        <v>43.5</v>
      </c>
      <c r="E157" s="376" t="n">
        <v>100</v>
      </c>
      <c r="F157" s="376" t="n">
        <v>100</v>
      </c>
      <c r="G157" s="377" t="n">
        <f aca="false">IF(C157="Fast",(F157/(H157/1000)),E157/(F157/100))</f>
        <v>100</v>
      </c>
      <c r="H157" s="376" t="n">
        <v>2300</v>
      </c>
    </row>
    <row r="158" customFormat="false" ht="15.75" hidden="false" customHeight="false" outlineLevel="0" collapsed="false">
      <c r="A158" s="374" t="s">
        <v>2777</v>
      </c>
      <c r="B158" s="374" t="s">
        <v>144</v>
      </c>
      <c r="C158" s="374" t="s">
        <v>70</v>
      </c>
      <c r="D158" s="374" t="n">
        <f aca="false">ROUND(E158/(H158/1000),1)</f>
        <v>15.9</v>
      </c>
      <c r="E158" s="376" t="n">
        <v>35</v>
      </c>
      <c r="F158" s="378" t="n">
        <f aca="false">100/3</f>
        <v>33.33333333</v>
      </c>
      <c r="G158" s="377" t="n">
        <f aca="false">IF(C158="Fast",(F158/(H158/1000)),E158/(F158/100))</f>
        <v>105.0000000105</v>
      </c>
      <c r="H158" s="376" t="n">
        <v>2200</v>
      </c>
    </row>
    <row r="159" customFormat="false" ht="15.75" hidden="false" customHeight="false" outlineLevel="0" collapsed="false">
      <c r="A159" s="374" t="s">
        <v>2444</v>
      </c>
      <c r="B159" s="374" t="s">
        <v>150</v>
      </c>
      <c r="C159" s="374" t="s">
        <v>2782</v>
      </c>
      <c r="D159" s="374" t="n">
        <f aca="false">ROUND(E159/(H159/1000),1)</f>
        <v>10</v>
      </c>
      <c r="E159" s="376" t="n">
        <v>15</v>
      </c>
      <c r="F159" s="376" t="n">
        <v>15</v>
      </c>
      <c r="G159" s="377" t="n">
        <f aca="false">IF(C159="Fast",(F159/(H159/1000)),E159/(F159/100))</f>
        <v>10</v>
      </c>
      <c r="H159" s="376" t="n">
        <v>1500</v>
      </c>
    </row>
    <row r="160" customFormat="false" ht="15.75" hidden="false" customHeight="false" outlineLevel="0" collapsed="false">
      <c r="A160" s="374" t="s">
        <v>2397</v>
      </c>
      <c r="B160" s="374" t="s">
        <v>145</v>
      </c>
      <c r="C160" s="374" t="s">
        <v>70</v>
      </c>
      <c r="D160" s="374" t="n">
        <f aca="false">ROUND(E160/(H160/1000),1)</f>
        <v>27.3</v>
      </c>
      <c r="E160" s="376" t="n">
        <v>60</v>
      </c>
      <c r="F160" s="376" t="n">
        <f aca="false">100/2</f>
        <v>50</v>
      </c>
      <c r="G160" s="377" t="n">
        <f aca="false">IF(C160="Fast",(F160/(H160/1000)),E160/(F160/100))</f>
        <v>120</v>
      </c>
      <c r="H160" s="376" t="n">
        <v>2200</v>
      </c>
    </row>
    <row r="161" customFormat="false" ht="15.75" hidden="false" customHeight="false" outlineLevel="0" collapsed="false">
      <c r="A161" s="374" t="s">
        <v>2473</v>
      </c>
      <c r="B161" s="374" t="s">
        <v>160</v>
      </c>
      <c r="C161" s="374" t="s">
        <v>2782</v>
      </c>
      <c r="D161" s="374" t="n">
        <f aca="false">ROUND(E161/(H161/1000),1)</f>
        <v>10</v>
      </c>
      <c r="E161" s="376" t="n">
        <v>7</v>
      </c>
      <c r="F161" s="376" t="n">
        <v>8</v>
      </c>
      <c r="G161" s="377" t="n">
        <f aca="false">IF(C161="Fast",(F161/(H161/1000)),E161/(F161/100))</f>
        <v>11.4285714285714</v>
      </c>
      <c r="H161" s="376" t="n">
        <v>700</v>
      </c>
    </row>
    <row r="162" customFormat="false" ht="15.75" hidden="false" customHeight="false" outlineLevel="0" collapsed="false">
      <c r="A162" s="374" t="s">
        <v>2424</v>
      </c>
      <c r="B162" s="374" t="s">
        <v>154</v>
      </c>
      <c r="C162" s="374" t="s">
        <v>70</v>
      </c>
      <c r="D162" s="374" t="n">
        <f aca="false">ROUND(E162/(H162/1000),1)</f>
        <v>38.2</v>
      </c>
      <c r="E162" s="376" t="n">
        <v>65</v>
      </c>
      <c r="F162" s="376" t="n">
        <f aca="false">100/2</f>
        <v>50</v>
      </c>
      <c r="G162" s="377" t="n">
        <f aca="false">IF(C162="Fast",(F162/(H162/1000)),E162/(F162/100))</f>
        <v>130</v>
      </c>
      <c r="H162" s="376" t="n">
        <v>1700</v>
      </c>
    </row>
    <row r="163" customFormat="false" ht="15.75" hidden="false" customHeight="false" outlineLevel="0" collapsed="false">
      <c r="A163" s="374" t="s">
        <v>2398</v>
      </c>
      <c r="B163" s="374" t="s">
        <v>144</v>
      </c>
      <c r="C163" s="374" t="s">
        <v>70</v>
      </c>
      <c r="D163" s="374" t="n">
        <f aca="false">ROUND(E163/(H163/1000),1)</f>
        <v>21.4</v>
      </c>
      <c r="E163" s="376" t="n">
        <v>60</v>
      </c>
      <c r="F163" s="376" t="n">
        <f aca="false">100/2</f>
        <v>50</v>
      </c>
      <c r="G163" s="377" t="n">
        <f aca="false">IF(C163="Fast",(F163/(H163/1000)),E163/(F163/100))</f>
        <v>120</v>
      </c>
      <c r="H163" s="376" t="n">
        <v>2800</v>
      </c>
    </row>
    <row r="164" customFormat="false" ht="15.75" hidden="false" customHeight="false" outlineLevel="0" collapsed="false">
      <c r="A164" s="374" t="s">
        <v>2348</v>
      </c>
      <c r="B164" s="374" t="s">
        <v>144</v>
      </c>
      <c r="C164" s="374" t="s">
        <v>2782</v>
      </c>
      <c r="D164" s="374" t="n">
        <f aca="false">ROUND(E164/(H164/1000),1)</f>
        <v>10</v>
      </c>
      <c r="E164" s="376" t="n">
        <v>5</v>
      </c>
      <c r="F164" s="376" t="n">
        <v>5</v>
      </c>
      <c r="G164" s="377" t="n">
        <f aca="false">IF(C164="Fast",(F164/(H164/1000)),E164/(F164/100))</f>
        <v>10</v>
      </c>
      <c r="H164" s="376" t="n">
        <v>500</v>
      </c>
    </row>
    <row r="165" customFormat="false" ht="15.75" hidden="false" customHeight="false" outlineLevel="0" collapsed="false">
      <c r="A165" s="374" t="s">
        <v>2349</v>
      </c>
      <c r="B165" s="374" t="s">
        <v>144</v>
      </c>
      <c r="C165" s="374" t="s">
        <v>2782</v>
      </c>
      <c r="D165" s="374" t="n">
        <f aca="false">ROUND(E165/(H165/1000),1)</f>
        <v>6.7</v>
      </c>
      <c r="E165" s="376" t="n">
        <v>8</v>
      </c>
      <c r="F165" s="376" t="n">
        <v>10</v>
      </c>
      <c r="G165" s="377" t="n">
        <f aca="false">IF(C165="Fast",(F165/(H165/1000)),E165/(F165/100))</f>
        <v>8.33333333333333</v>
      </c>
      <c r="H165" s="376" t="n">
        <v>1200</v>
      </c>
    </row>
    <row r="166" customFormat="false" ht="15.75" hidden="false" customHeight="false" outlineLevel="0" collapsed="false">
      <c r="A166" s="374" t="s">
        <v>2475</v>
      </c>
      <c r="B166" s="374" t="s">
        <v>156</v>
      </c>
      <c r="C166" s="374" t="s">
        <v>70</v>
      </c>
      <c r="D166" s="374" t="n">
        <f aca="false">ROUND(E166/(H166/1000),1)</f>
        <v>41.7</v>
      </c>
      <c r="E166" s="376" t="n">
        <v>100</v>
      </c>
      <c r="F166" s="376" t="n">
        <v>100</v>
      </c>
      <c r="G166" s="377" t="n">
        <f aca="false">IF(C166="Fast",(F166/(H166/1000)),E166/(F166/100))</f>
        <v>100</v>
      </c>
      <c r="H166" s="376" t="n">
        <v>2400</v>
      </c>
    </row>
    <row r="167" customFormat="false" ht="15.75" hidden="false" customHeight="false" outlineLevel="0" collapsed="false">
      <c r="A167" s="374" t="s">
        <v>2399</v>
      </c>
      <c r="B167" s="374" t="s">
        <v>156</v>
      </c>
      <c r="C167" s="374" t="s">
        <v>70</v>
      </c>
      <c r="D167" s="374" t="n">
        <f aca="false">ROUND(E167/(H167/1000),1)</f>
        <v>25</v>
      </c>
      <c r="E167" s="376" t="n">
        <v>45</v>
      </c>
      <c r="F167" s="378" t="n">
        <f aca="false">100/3</f>
        <v>33.33333333</v>
      </c>
      <c r="G167" s="377" t="n">
        <f aca="false">IF(C167="Fast",(F167/(H167/1000)),E167/(F167/100))</f>
        <v>135.0000000135</v>
      </c>
      <c r="H167" s="376" t="n">
        <v>1800</v>
      </c>
    </row>
    <row r="168" customFormat="false" ht="15.75" hidden="false" customHeight="false" outlineLevel="0" collapsed="false">
      <c r="A168" s="374" t="s">
        <v>2491</v>
      </c>
      <c r="B168" s="374" t="s">
        <v>156</v>
      </c>
      <c r="C168" s="374" t="s">
        <v>2782</v>
      </c>
      <c r="D168" s="374" t="n">
        <f aca="false">ROUND(E168/(H168/1000),1)</f>
        <v>8.3</v>
      </c>
      <c r="E168" s="376" t="n">
        <v>5</v>
      </c>
      <c r="F168" s="376" t="n">
        <v>8</v>
      </c>
      <c r="G168" s="377" t="n">
        <f aca="false">IF(C168="Fast",(F168/(H168/1000)),E168/(F168/100))</f>
        <v>13.3333333333333</v>
      </c>
      <c r="H168" s="376" t="n">
        <v>600</v>
      </c>
    </row>
    <row r="169" customFormat="false" ht="15.75" hidden="false" customHeight="false" outlineLevel="0" collapsed="false">
      <c r="A169" s="374" t="s">
        <v>2476</v>
      </c>
      <c r="B169" s="374" t="s">
        <v>156</v>
      </c>
      <c r="C169" s="374" t="s">
        <v>70</v>
      </c>
      <c r="D169" s="374" t="n">
        <f aca="false">ROUND(E169/(H169/1000),1)</f>
        <v>32</v>
      </c>
      <c r="E169" s="376" t="n">
        <v>80</v>
      </c>
      <c r="F169" s="376" t="n">
        <f aca="false">100/2</f>
        <v>50</v>
      </c>
      <c r="G169" s="377" t="n">
        <f aca="false">IF(C169="Fast",(F169/(H169/1000)),E169/(F169/100))</f>
        <v>160</v>
      </c>
      <c r="H169" s="376" t="n">
        <v>2500</v>
      </c>
    </row>
    <row r="170" customFormat="false" ht="15.75" hidden="false" customHeight="false" outlineLevel="0" collapsed="false">
      <c r="A170" s="374" t="s">
        <v>2630</v>
      </c>
      <c r="B170" s="374" t="s">
        <v>144</v>
      </c>
      <c r="C170" s="374" t="s">
        <v>2782</v>
      </c>
      <c r="D170" s="374" t="n">
        <f aca="false">ROUND(E170/(H170/1000),1)</f>
        <v>0</v>
      </c>
      <c r="E170" s="376" t="n">
        <v>0</v>
      </c>
      <c r="F170" s="376" t="n">
        <v>0</v>
      </c>
      <c r="G170" s="377" t="n">
        <f aca="false">IF(C170="Fast",(F170/(H170/1000)),E170/(F170/100))</f>
        <v>0</v>
      </c>
      <c r="H170" s="376" t="n">
        <v>2200</v>
      </c>
    </row>
    <row r="171" customFormat="false" ht="15.75" hidden="false" customHeight="false" outlineLevel="0" collapsed="false">
      <c r="A171" s="374" t="s">
        <v>2400</v>
      </c>
      <c r="B171" s="374" t="s">
        <v>159</v>
      </c>
      <c r="C171" s="374" t="s">
        <v>70</v>
      </c>
      <c r="D171" s="374" t="n">
        <f aca="false">ROUND(E171/(H171/1000),1)</f>
        <v>16.1</v>
      </c>
      <c r="E171" s="376" t="n">
        <v>45</v>
      </c>
      <c r="F171" s="378" t="n">
        <f aca="false">100/3</f>
        <v>33.3333333333333</v>
      </c>
      <c r="G171" s="377" t="n">
        <f aca="false">IF(C171="Fast",(F171/(H171/1000)),E171/(F171/100))</f>
        <v>135</v>
      </c>
      <c r="H171" s="376" t="n">
        <v>2800</v>
      </c>
    </row>
    <row r="172" customFormat="false" ht="15.75" hidden="false" customHeight="false" outlineLevel="0" collapsed="false">
      <c r="A172" s="374" t="s">
        <v>2595</v>
      </c>
      <c r="B172" s="374" t="s">
        <v>144</v>
      </c>
      <c r="C172" s="374" t="s">
        <v>70</v>
      </c>
      <c r="D172" s="374" t="n">
        <f aca="false">ROUND(E172/(H172/1000),1)</f>
        <v>18.4</v>
      </c>
      <c r="E172" s="376" t="n">
        <v>35</v>
      </c>
      <c r="F172" s="378" t="n">
        <f aca="false">100/3</f>
        <v>33.3333333333333</v>
      </c>
      <c r="G172" s="377" t="n">
        <f aca="false">IF(C172="Fast",(F172/(H172/1000)),E172/(F172/100))</f>
        <v>105</v>
      </c>
      <c r="H172" s="376" t="n">
        <v>1900</v>
      </c>
    </row>
    <row r="173" customFormat="false" ht="15.75" hidden="false" customHeight="false" outlineLevel="0" collapsed="false">
      <c r="A173" s="374" t="s">
        <v>2351</v>
      </c>
      <c r="B173" s="374" t="s">
        <v>155</v>
      </c>
      <c r="C173" s="374" t="s">
        <v>2782</v>
      </c>
      <c r="D173" s="374" t="n">
        <f aca="false">ROUND(E173/(H173/1000),1)</f>
        <v>11.7</v>
      </c>
      <c r="E173" s="376" t="n">
        <v>7</v>
      </c>
      <c r="F173" s="376" t="n">
        <v>6</v>
      </c>
      <c r="G173" s="377" t="n">
        <f aca="false">IF(C173="Fast",(F173/(H173/1000)),E173/(F173/100))</f>
        <v>10</v>
      </c>
      <c r="H173" s="376" t="n">
        <v>600</v>
      </c>
    </row>
    <row r="174" customFormat="false" ht="15.75" hidden="false" customHeight="false" outlineLevel="0" collapsed="false">
      <c r="A174" s="374" t="s">
        <v>2492</v>
      </c>
      <c r="B174" s="374" t="s">
        <v>156</v>
      </c>
      <c r="C174" s="374" t="s">
        <v>2782</v>
      </c>
      <c r="D174" s="374" t="n">
        <f aca="false">ROUND(E174/(H174/1000),1)</f>
        <v>8.7</v>
      </c>
      <c r="E174" s="376" t="n">
        <v>20</v>
      </c>
      <c r="F174" s="376" t="n">
        <v>25</v>
      </c>
      <c r="G174" s="377" t="n">
        <f aca="false">IF(C174="Fast",(F174/(H174/1000)),E174/(F174/100))</f>
        <v>10.8695652173913</v>
      </c>
      <c r="H174" s="376" t="n">
        <v>2300</v>
      </c>
    </row>
    <row r="175" customFormat="false" ht="15.75" hidden="false" customHeight="false" outlineLevel="0" collapsed="false">
      <c r="A175" s="374" t="s">
        <v>2426</v>
      </c>
      <c r="B175" s="374" t="s">
        <v>154</v>
      </c>
      <c r="C175" s="374" t="s">
        <v>2782</v>
      </c>
      <c r="D175" s="374" t="n">
        <f aca="false">ROUND(E175/(H175/1000),1)</f>
        <v>10</v>
      </c>
      <c r="E175" s="376" t="n">
        <v>5</v>
      </c>
      <c r="F175" s="376" t="n">
        <v>5</v>
      </c>
      <c r="G175" s="377" t="n">
        <f aca="false">IF(C175="Fast",(F175/(H175/1000)),E175/(F175/100))</f>
        <v>10</v>
      </c>
      <c r="H175" s="376" t="n">
        <v>500</v>
      </c>
    </row>
    <row r="176" customFormat="false" ht="15.75" hidden="false" customHeight="false" outlineLevel="0" collapsed="false">
      <c r="A176" s="374" t="s">
        <v>2428</v>
      </c>
      <c r="B176" s="374" t="s">
        <v>154</v>
      </c>
      <c r="C176" s="374" t="s">
        <v>70</v>
      </c>
      <c r="D176" s="374" t="n">
        <f aca="false">ROUND(E176/(H176/1000),1)</f>
        <v>21.9</v>
      </c>
      <c r="E176" s="376" t="n">
        <v>70</v>
      </c>
      <c r="F176" s="376" t="n">
        <f aca="false">100/2</f>
        <v>50</v>
      </c>
      <c r="G176" s="377" t="n">
        <f aca="false">IF(C176="Fast",(F176/(H176/1000)),E176/(F176/100))</f>
        <v>140</v>
      </c>
      <c r="H176" s="376" t="n">
        <v>3200</v>
      </c>
    </row>
    <row r="177" customFormat="false" ht="15.75" hidden="false" customHeight="false" outlineLevel="0" collapsed="false">
      <c r="A177" s="374" t="s">
        <v>2425</v>
      </c>
      <c r="B177" s="374" t="s">
        <v>154</v>
      </c>
      <c r="C177" s="374" t="s">
        <v>2782</v>
      </c>
      <c r="D177" s="374" t="n">
        <f aca="false">ROUND(E177/(H177/1000),1)</f>
        <v>13.3</v>
      </c>
      <c r="E177" s="376" t="n">
        <v>16</v>
      </c>
      <c r="F177" s="376" t="n">
        <v>8</v>
      </c>
      <c r="G177" s="377" t="n">
        <f aca="false">IF(C177="Fast",(F177/(H177/1000)),E177/(F177/100))</f>
        <v>6.66666666666667</v>
      </c>
      <c r="H177" s="376" t="n">
        <v>1200</v>
      </c>
    </row>
    <row r="178" customFormat="false" ht="15.75" hidden="false" customHeight="false" outlineLevel="0" collapsed="false">
      <c r="A178" s="374" t="s">
        <v>2477</v>
      </c>
      <c r="B178" s="374" t="s">
        <v>156</v>
      </c>
      <c r="C178" s="374" t="s">
        <v>70</v>
      </c>
      <c r="D178" s="374" t="n">
        <f aca="false">ROUND(E178/(H178/1000),1)</f>
        <v>34.6</v>
      </c>
      <c r="E178" s="376" t="n">
        <v>90</v>
      </c>
      <c r="F178" s="376" t="n">
        <f aca="false">100/2</f>
        <v>50</v>
      </c>
      <c r="G178" s="377" t="n">
        <f aca="false">IF(C178="Fast",(F178/(H178/1000)),E178/(F178/100))</f>
        <v>180</v>
      </c>
      <c r="H178" s="376" t="n">
        <v>2600</v>
      </c>
    </row>
    <row r="179" customFormat="false" ht="15.75" hidden="false" customHeight="false" outlineLevel="0" collapsed="false">
      <c r="A179" s="374" t="s">
        <v>2401</v>
      </c>
      <c r="B179" s="374" t="s">
        <v>146</v>
      </c>
      <c r="C179" s="374" t="s">
        <v>2782</v>
      </c>
      <c r="D179" s="374" t="n">
        <f aca="false">ROUND(E179/(H179/1000),1)</f>
        <v>10</v>
      </c>
      <c r="E179" s="376" t="n">
        <v>8</v>
      </c>
      <c r="F179" s="376" t="n">
        <v>9</v>
      </c>
      <c r="G179" s="377" t="n">
        <f aca="false">IF(C179="Fast",(F179/(H179/1000)),E179/(F179/100))</f>
        <v>11.25</v>
      </c>
      <c r="H179" s="376" t="n">
        <v>800</v>
      </c>
    </row>
    <row r="180" customFormat="false" ht="15.75" hidden="false" customHeight="false" outlineLevel="0" collapsed="false">
      <c r="A180" s="374" t="s">
        <v>2489</v>
      </c>
      <c r="B180" s="374" t="s">
        <v>144</v>
      </c>
      <c r="C180" s="374" t="s">
        <v>70</v>
      </c>
      <c r="D180" s="374" t="n">
        <f aca="false">ROUND(E180/(H180/1000),1)</f>
        <v>20.7</v>
      </c>
      <c r="E180" s="376" t="n">
        <v>60</v>
      </c>
      <c r="F180" s="378" t="n">
        <f aca="false">100/3</f>
        <v>33.3333333333333</v>
      </c>
      <c r="G180" s="377" t="n">
        <f aca="false">IF(C180="Fast",(F180/(H180/1000)),E180/(F180/100))</f>
        <v>180</v>
      </c>
      <c r="H180" s="376" t="n">
        <v>2900</v>
      </c>
    </row>
    <row r="181" customFormat="false" ht="15.75" hidden="false" customHeight="false" outlineLevel="0" collapsed="false">
      <c r="A181" s="374" t="s">
        <v>2458</v>
      </c>
      <c r="B181" s="374" t="s">
        <v>150</v>
      </c>
      <c r="C181" s="374" t="s">
        <v>70</v>
      </c>
      <c r="D181" s="374" t="n">
        <f aca="false">ROUND(E181/(H181/1000),1)</f>
        <v>28.1</v>
      </c>
      <c r="E181" s="376" t="n">
        <v>45</v>
      </c>
      <c r="F181" s="378" t="n">
        <f aca="false">100/3</f>
        <v>33.3333333333333</v>
      </c>
      <c r="G181" s="377" t="n">
        <f aca="false">IF(C181="Fast",(F181/(H181/1000)),E181/(F181/100))</f>
        <v>135</v>
      </c>
      <c r="H181" s="376" t="n">
        <v>1600</v>
      </c>
    </row>
    <row r="182" customFormat="false" ht="15.75" hidden="false" customHeight="false" outlineLevel="0" collapsed="false">
      <c r="A182" s="374" t="s">
        <v>2572</v>
      </c>
      <c r="B182" s="374" t="s">
        <v>144</v>
      </c>
      <c r="C182" s="374" t="s">
        <v>2782</v>
      </c>
      <c r="D182" s="374" t="n">
        <f aca="false">ROUND(E182/(H182/1000),1)</f>
        <v>0</v>
      </c>
      <c r="E182" s="376" t="n">
        <v>0</v>
      </c>
      <c r="F182" s="376" t="n">
        <v>15</v>
      </c>
      <c r="G182" s="377" t="n">
        <f aca="false">IF(C182="Fast",(F182/(H182/1000)),E182/(F182/100))</f>
        <v>8.82352941176471</v>
      </c>
      <c r="H182" s="376" t="n">
        <v>1700</v>
      </c>
    </row>
    <row r="183" customFormat="false" ht="15.75" hidden="false" customHeight="false" outlineLevel="0" collapsed="false">
      <c r="A183" s="374" t="s">
        <v>2493</v>
      </c>
      <c r="B183" s="374" t="s">
        <v>156</v>
      </c>
      <c r="C183" s="374" t="s">
        <v>70</v>
      </c>
      <c r="D183" s="374" t="n">
        <f aca="false">ROUND(E183/(H183/1000),1)</f>
        <v>37.8</v>
      </c>
      <c r="E183" s="376" t="n">
        <v>140</v>
      </c>
      <c r="F183" s="376" t="n">
        <v>100</v>
      </c>
      <c r="G183" s="377" t="n">
        <f aca="false">IF(C183="Fast",(F183/(H183/1000)),E183/(F183/100))</f>
        <v>140</v>
      </c>
      <c r="H183" s="376" t="n">
        <v>3700</v>
      </c>
    </row>
    <row r="184" customFormat="false" ht="15.75" hidden="false" customHeight="false" outlineLevel="0" collapsed="false">
      <c r="A184" s="374" t="s">
        <v>2430</v>
      </c>
      <c r="B184" s="374" t="s">
        <v>157</v>
      </c>
      <c r="C184" s="374" t="s">
        <v>2782</v>
      </c>
      <c r="D184" s="374" t="n">
        <f aca="false">ROUND(E184/(H184/1000),1)</f>
        <v>10.9</v>
      </c>
      <c r="E184" s="376" t="n">
        <v>12</v>
      </c>
      <c r="F184" s="376" t="n">
        <v>10</v>
      </c>
      <c r="G184" s="377" t="n">
        <f aca="false">IF(C184="Fast",(F184/(H184/1000)),E184/(F184/100))</f>
        <v>9.09090909090909</v>
      </c>
      <c r="H184" s="376" t="n">
        <v>1100</v>
      </c>
    </row>
    <row r="1048576" customFormat="false" ht="15.75" hidden="false" customHeight="true" outlineLevel="0" collapsed="false"/>
  </sheetData>
  <autoFilter ref="A1:H19951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14.43"/>
    <col collapsed="false" customWidth="true" hidden="false" outlineLevel="0" max="2" min="2" style="0" width="11.14"/>
    <col collapsed="false" customWidth="true" hidden="false" outlineLevel="0" max="1025" min="3" style="0" width="14.43"/>
  </cols>
  <sheetData>
    <row r="1" customFormat="false" ht="15.75" hidden="false" customHeight="false" outlineLevel="0" collapsed="false">
      <c r="A1" s="379" t="s">
        <v>2783</v>
      </c>
      <c r="B1" s="379" t="s">
        <v>51</v>
      </c>
      <c r="C1" s="380" t="s">
        <v>2784</v>
      </c>
      <c r="E1" s="380" t="s">
        <v>2785</v>
      </c>
      <c r="F1" s="380" t="s">
        <v>76</v>
      </c>
    </row>
    <row r="2" customFormat="false" ht="15.75" hidden="false" customHeight="false" outlineLevel="0" collapsed="false">
      <c r="A2" s="381" t="s">
        <v>2527</v>
      </c>
      <c r="B2" s="381" t="s">
        <v>155</v>
      </c>
      <c r="C2" s="0" t="n">
        <f aca="false">COUNTIF($E$2:$E$413,A2)</f>
        <v>0</v>
      </c>
      <c r="E2" s="0" t="str">
        <f aca="false">'0.1.2 Attack Dex (GO)'!A2</f>
        <v>Acid</v>
      </c>
      <c r="F2" s="0" t="str">
        <f aca="false" t="array" ref="F2:F2">IFERROR(INDEX($A$2:$A$413, SMALL(IF(0=$C$2:$C$413, ROW($C$2:$C$413)-ROW($C$2)+1), ROW(1:1))),)</f>
        <v>Absorb</v>
      </c>
    </row>
    <row r="3" customFormat="false" ht="15.75" hidden="false" customHeight="false" outlineLevel="0" collapsed="false">
      <c r="A3" s="381" t="s">
        <v>2729</v>
      </c>
      <c r="B3" s="381" t="s">
        <v>149</v>
      </c>
      <c r="C3" s="0" t="n">
        <f aca="false">COUNTIF($E$2:$E$413,A3)</f>
        <v>0</v>
      </c>
      <c r="E3" s="0" t="str">
        <f aca="false">'0.1.2 Attack Dex (GO)'!A3</f>
        <v>Aerial Ace</v>
      </c>
      <c r="F3" s="0" t="str">
        <f aca="false" t="array" ref="F3:F3">IFERROR(INDEX($A$2:$A$413, SMALL(IF(0=$C$2:$C$413, ROW($C$2:$C$413)-ROW($C$2)+1), ROW(2:2))),)</f>
        <v>Accelerock</v>
      </c>
    </row>
    <row r="4" customFormat="false" ht="15.75" hidden="false" customHeight="false" outlineLevel="0" collapsed="false">
      <c r="A4" s="381" t="s">
        <v>2481</v>
      </c>
      <c r="B4" s="381" t="s">
        <v>147</v>
      </c>
      <c r="C4" s="0" t="n">
        <f aca="false">COUNTIF($E$2:$E$413,A4)</f>
        <v>1</v>
      </c>
      <c r="E4" s="0" t="str">
        <f aca="false">'0.1.2 Attack Dex (GO)'!A4</f>
        <v>Air Cutter</v>
      </c>
      <c r="F4" s="0" t="str">
        <f aca="false" t="array" ref="F4:F4">IFERROR(INDEX($A$2:$A$413, SMALL(IF(0=$C$2:$C$413, ROW($C$2:$C$413)-ROW($C$2)+1), ROW(3:3))),)</f>
        <v>Acid Spray</v>
      </c>
    </row>
    <row r="5" customFormat="false" ht="15.75" hidden="false" customHeight="false" outlineLevel="0" collapsed="false">
      <c r="A5" s="381" t="s">
        <v>2482</v>
      </c>
      <c r="B5" s="381" t="s">
        <v>147</v>
      </c>
      <c r="C5" s="0" t="n">
        <f aca="false">COUNTIF($E$2:$E$413,A5)</f>
        <v>0</v>
      </c>
      <c r="E5" s="0" t="str">
        <f aca="false">'0.1.2 Attack Dex (GO)'!A5</f>
        <v>Air Slash</v>
      </c>
      <c r="F5" s="0" t="str">
        <f aca="false" t="array" ref="F5:F5">IFERROR(INDEX($A$2:$A$413, SMALL(IF(0=$C$2:$C$413, ROW($C$2:$C$413)-ROW($C$2)+1), ROW(4:4))),)</f>
        <v>Acrobatics</v>
      </c>
    </row>
    <row r="6" customFormat="false" ht="15.75" hidden="false" customHeight="false" outlineLevel="0" collapsed="false">
      <c r="A6" s="381" t="s">
        <v>2431</v>
      </c>
      <c r="B6" s="381" t="s">
        <v>146</v>
      </c>
      <c r="C6" s="0" t="n">
        <f aca="false">COUNTIF($E$2:$E$413,A6)</f>
        <v>0</v>
      </c>
      <c r="E6" s="0" t="str">
        <f aca="false">'0.1.2 Attack Dex (GO)'!A6</f>
        <v>Ancient Power</v>
      </c>
      <c r="F6" s="0" t="str">
        <f aca="false" t="array" ref="F6:F6">IFERROR(INDEX($A$2:$A$413, SMALL(IF(0=$C$2:$C$413, ROW($C$2:$C$413)-ROW($C$2)+1), ROW(5:5))),)</f>
        <v>Aeroblast</v>
      </c>
    </row>
    <row r="7" customFormat="false" ht="15.75" hidden="false" customHeight="false" outlineLevel="0" collapsed="false">
      <c r="A7" s="381" t="s">
        <v>2352</v>
      </c>
      <c r="B7" s="381" t="s">
        <v>146</v>
      </c>
      <c r="C7" s="0" t="n">
        <f aca="false">COUNTIF($E$2:$E$413,A7)</f>
        <v>1</v>
      </c>
      <c r="E7" s="0" t="str">
        <f aca="false">'0.1.2 Attack Dex (GO)'!A7</f>
        <v>Aqua Jet</v>
      </c>
      <c r="F7" s="0" t="str">
        <f aca="false" t="array" ref="F7:F7">IFERROR(INDEX($A$2:$A$413, SMALL(IF(0=$C$2:$C$413, ROW($C$2:$C$413)-ROW($C$2)+1), ROW(6:6))),)</f>
        <v>Anchor Shot</v>
      </c>
    </row>
    <row r="8" customFormat="false" ht="15.75" hidden="false" customHeight="false" outlineLevel="0" collapsed="false">
      <c r="A8" s="381" t="s">
        <v>2652</v>
      </c>
      <c r="B8" s="381" t="s">
        <v>146</v>
      </c>
      <c r="C8" s="0" t="n">
        <f aca="false">COUNTIF($E$2:$E$413,A8)</f>
        <v>0</v>
      </c>
      <c r="E8" s="0" t="str">
        <f aca="false">'0.1.2 Attack Dex (GO)'!A8</f>
        <v>Aqua Tail</v>
      </c>
      <c r="F8" s="0" t="str">
        <f aca="false" t="array" ref="F8:F8">IFERROR(INDEX($A$2:$A$413, SMALL(IF(0=$C$2:$C$413, ROW($C$2:$C$413)-ROW($C$2)+1), ROW(7:7))),)</f>
        <v>Arm Thrust</v>
      </c>
    </row>
    <row r="9" customFormat="false" ht="15.75" hidden="false" customHeight="false" outlineLevel="0" collapsed="false">
      <c r="A9" s="381" t="s">
        <v>2353</v>
      </c>
      <c r="B9" s="381" t="s">
        <v>146</v>
      </c>
      <c r="C9" s="0" t="n">
        <f aca="false">COUNTIF($E$2:$E$413,A9)</f>
        <v>1</v>
      </c>
      <c r="E9" s="0" t="str">
        <f aca="false">'0.1.2 Attack Dex (GO)'!A9</f>
        <v>Astonish</v>
      </c>
      <c r="F9" s="0" t="str">
        <f aca="false" t="array" ref="F9:F9">IFERROR(INDEX($A$2:$A$413, SMALL(IF(0=$C$2:$C$413, ROW($C$2:$C$413)-ROW($C$2)+1), ROW(8:8))),)</f>
        <v>Assurance</v>
      </c>
    </row>
    <row r="10" customFormat="false" ht="15.75" hidden="false" customHeight="false" outlineLevel="0" collapsed="false">
      <c r="A10" s="381" t="s">
        <v>2354</v>
      </c>
      <c r="B10" s="381" t="s">
        <v>146</v>
      </c>
      <c r="C10" s="0" t="n">
        <f aca="false">COUNTIF($E$2:$E$413,A10)</f>
        <v>1</v>
      </c>
      <c r="E10" s="0" t="str">
        <f aca="false">'0.1.2 Attack Dex (GO)'!A10</f>
        <v>Aurora Beam</v>
      </c>
      <c r="F10" s="0" t="str">
        <f aca="false" t="array" ref="F10:F10">IFERROR(INDEX($A$2:$A$413, SMALL(IF(0=$C$2:$C$413, ROW($C$2:$C$413)-ROW($C$2)+1), ROW(9:9))),)</f>
        <v>Attack Order</v>
      </c>
    </row>
    <row r="11" customFormat="false" ht="15.75" hidden="false" customHeight="false" outlineLevel="0" collapsed="false">
      <c r="A11" s="381" t="s">
        <v>2738</v>
      </c>
      <c r="B11" s="381" t="s">
        <v>152</v>
      </c>
      <c r="C11" s="0" t="n">
        <f aca="false">COUNTIF($E$2:$E$413,A11)</f>
        <v>0</v>
      </c>
      <c r="E11" s="0" t="str">
        <f aca="false">'0.1.2 Attack Dex (GO)'!A11</f>
        <v>Avalanche</v>
      </c>
      <c r="F11" s="0" t="str">
        <f aca="false" t="array" ref="F11:F11">IFERROR(INDEX($A$2:$A$413, SMALL(IF(0=$C$2:$C$413, ROW($C$2:$C$413)-ROW($C$2)+1), ROW(10:10))),)</f>
        <v>Aura Sphere</v>
      </c>
    </row>
    <row r="12" customFormat="false" ht="15.75" hidden="false" customHeight="false" outlineLevel="0" collapsed="false">
      <c r="A12" s="381" t="s">
        <v>2561</v>
      </c>
      <c r="B12" s="381" t="s">
        <v>149</v>
      </c>
      <c r="C12" s="0" t="n">
        <f aca="false">COUNTIF($E$2:$E$413,A12)</f>
        <v>1</v>
      </c>
      <c r="E12" s="0" t="str">
        <f aca="false">'0.1.2 Attack Dex (GO)'!A12</f>
        <v>Bite</v>
      </c>
      <c r="F12" s="0" t="str">
        <f aca="false" t="array" ref="F12:F12">IFERROR(INDEX($A$2:$A$413, SMALL(IF(0=$C$2:$C$413, ROW($C$2:$C$413)-ROW($C$2)+1), ROW(11:11))),)</f>
        <v>Barrage</v>
      </c>
    </row>
    <row r="13" customFormat="false" ht="15.75" hidden="false" customHeight="false" outlineLevel="0" collapsed="false">
      <c r="A13" s="381" t="s">
        <v>2538</v>
      </c>
      <c r="B13" s="381" t="s">
        <v>154</v>
      </c>
      <c r="C13" s="0" t="n">
        <f aca="false">COUNTIF($E$2:$E$413,A13)</f>
        <v>1</v>
      </c>
      <c r="E13" s="0" t="str">
        <f aca="false">'0.1.2 Attack Dex (GO)'!A13</f>
        <v>Blizzard</v>
      </c>
      <c r="F13" s="0" t="str">
        <f aca="false" t="array" ref="F13:F13">IFERROR(INDEX($A$2:$A$413, SMALL(IF(0=$C$2:$C$413, ROW($C$2:$C$413)-ROW($C$2)+1), ROW(12:12))),)</f>
        <v>Beak Blast</v>
      </c>
    </row>
    <row r="14" customFormat="false" ht="15.75" hidden="false" customHeight="false" outlineLevel="0" collapsed="false">
      <c r="A14" s="381" t="s">
        <v>2402</v>
      </c>
      <c r="B14" s="381" t="s">
        <v>154</v>
      </c>
      <c r="C14" s="0" t="n">
        <f aca="false">COUNTIF($E$2:$E$413,A14)</f>
        <v>1</v>
      </c>
      <c r="E14" s="0" t="str">
        <f aca="false">'0.1.2 Attack Dex (GO)'!A14</f>
        <v>Body Slam</v>
      </c>
      <c r="F14" s="0" t="str">
        <f aca="false" t="array" ref="F14:F14">IFERROR(INDEX($A$2:$A$413, SMALL(IF(0=$C$2:$C$413, ROW($C$2:$C$413)-ROW($C$2)+1), ROW(13:13))),)</f>
        <v>Belch</v>
      </c>
    </row>
    <row r="15" customFormat="false" ht="15.75" hidden="false" customHeight="false" outlineLevel="0" collapsed="false">
      <c r="A15" s="381" t="s">
        <v>2647</v>
      </c>
      <c r="B15" s="381" t="s">
        <v>145</v>
      </c>
      <c r="C15" s="0" t="n">
        <f aca="false">COUNTIF($E$2:$E$413,A15)</f>
        <v>0</v>
      </c>
      <c r="E15" s="0" t="str">
        <f aca="false">'0.1.2 Attack Dex (GO)'!A15</f>
        <v>Bone Club</v>
      </c>
      <c r="F15" s="0" t="str">
        <f aca="false" t="array" ref="F15:F15">IFERROR(INDEX($A$2:$A$413, SMALL(IF(0=$C$2:$C$413, ROW($C$2:$C$413)-ROW($C$2)+1), ROW(14:14))),)</f>
        <v>Bide</v>
      </c>
    </row>
    <row r="16" customFormat="false" ht="15.75" hidden="false" customHeight="false" outlineLevel="0" collapsed="false">
      <c r="A16" s="381" t="s">
        <v>2447</v>
      </c>
      <c r="B16" s="381" t="s">
        <v>160</v>
      </c>
      <c r="C16" s="0" t="n">
        <f aca="false">COUNTIF($E$2:$E$413,A16)</f>
        <v>0</v>
      </c>
      <c r="E16" s="0" t="str">
        <f aca="false">'0.1.2 Attack Dex (GO)'!A16</f>
        <v>Brave Bird</v>
      </c>
      <c r="F16" s="0" t="str">
        <f aca="false" t="array" ref="F16:F16">IFERROR(INDEX($A$2:$A$413, SMALL(IF(0=$C$2:$C$413, ROW($C$2:$C$413)-ROW($C$2)+1), ROW(15:15))),)</f>
        <v>Bind</v>
      </c>
    </row>
    <row r="17" customFormat="false" ht="15.75" hidden="false" customHeight="false" outlineLevel="0" collapsed="false">
      <c r="A17" s="381" t="s">
        <v>2528</v>
      </c>
      <c r="B17" s="381" t="s">
        <v>151</v>
      </c>
      <c r="C17" s="0" t="n">
        <f aca="false">COUNTIF($E$2:$E$413,A17)</f>
        <v>1</v>
      </c>
      <c r="E17" s="0" t="str">
        <f aca="false">'0.1.2 Attack Dex (GO)'!A17</f>
        <v>Brick Break</v>
      </c>
      <c r="F17" s="0" t="str">
        <f aca="false" t="array" ref="F17:F17">IFERROR(INDEX($A$2:$A$413, SMALL(IF(0=$C$2:$C$413, ROW($C$2:$C$413)-ROW($C$2)+1), ROW(16:16))),)</f>
        <v>Blast Burn</v>
      </c>
    </row>
    <row r="18" customFormat="false" ht="15.75" hidden="false" customHeight="false" outlineLevel="0" collapsed="false">
      <c r="A18" s="381" t="s">
        <v>2672</v>
      </c>
      <c r="B18" s="381" t="s">
        <v>150</v>
      </c>
      <c r="C18" s="0" t="n">
        <f aca="false">COUNTIF($E$2:$E$413,A18)</f>
        <v>0</v>
      </c>
      <c r="E18" s="0" t="str">
        <f aca="false">'0.1.2 Attack Dex (GO)'!A18</f>
        <v>Brine</v>
      </c>
      <c r="F18" s="0" t="str">
        <f aca="false" t="array" ref="F18:F18">IFERROR(INDEX($A$2:$A$413, SMALL(IF(0=$C$2:$C$413, ROW($C$2:$C$413)-ROW($C$2)+1), ROW(17:17))),)</f>
        <v>Blaze Kick</v>
      </c>
    </row>
    <row r="19" customFormat="false" ht="15.75" hidden="false" customHeight="false" outlineLevel="0" collapsed="false">
      <c r="A19" s="381" t="s">
        <v>2635</v>
      </c>
      <c r="B19" s="381" t="s">
        <v>145</v>
      </c>
      <c r="C19" s="0" t="n">
        <f aca="false">COUNTIF($E$2:$E$413,A19)</f>
        <v>0</v>
      </c>
      <c r="E19" s="0" t="str">
        <f aca="false">'0.1.2 Attack Dex (GO)'!A19</f>
        <v>Bubble</v>
      </c>
      <c r="F19" s="0" t="str">
        <f aca="false" t="array" ref="F19:F19">IFERROR(INDEX($A$2:$A$413, SMALL(IF(0=$C$2:$C$413, ROW($C$2:$C$413)-ROW($C$2)+1), ROW(18:18))),)</f>
        <v>Blue Flare</v>
      </c>
    </row>
    <row r="20" customFormat="false" ht="15.75" hidden="false" customHeight="false" outlineLevel="0" collapsed="false">
      <c r="A20" s="381" t="s">
        <v>2581</v>
      </c>
      <c r="B20" s="381" t="s">
        <v>158</v>
      </c>
      <c r="C20" s="0" t="n">
        <f aca="false">COUNTIF($E$2:$E$413,A20)</f>
        <v>1</v>
      </c>
      <c r="E20" s="0" t="str">
        <f aca="false">'0.1.2 Attack Dex (GO)'!A20</f>
        <v>Bubble Beam</v>
      </c>
      <c r="F20" s="0" t="str">
        <f aca="false" t="array" ref="F20:F20">IFERROR(INDEX($A$2:$A$413, SMALL(IF(0=$C$2:$C$413, ROW($C$2:$C$413)-ROW($C$2)+1), ROW(19:19))),)</f>
        <v>Bolt Strike</v>
      </c>
    </row>
    <row r="21" customFormat="false" ht="15.75" hidden="false" customHeight="false" outlineLevel="0" collapsed="false">
      <c r="A21" s="381" t="s">
        <v>2403</v>
      </c>
      <c r="B21" s="381" t="s">
        <v>158</v>
      </c>
      <c r="C21" s="0" t="n">
        <f aca="false">COUNTIF($E$2:$E$413,A21)</f>
        <v>1</v>
      </c>
      <c r="E21" s="0" t="str">
        <f aca="false">'0.1.2 Attack Dex (GO)'!A21</f>
        <v>Bug Bite</v>
      </c>
      <c r="F21" s="0" t="str">
        <f aca="false" t="array" ref="F21:F21">IFERROR(INDEX($A$2:$A$413, SMALL(IF(0=$C$2:$C$413, ROW($C$2:$C$413)-ROW($C$2)+1), ROW(20:20))),)</f>
        <v>Bone Rush</v>
      </c>
    </row>
    <row r="22" customFormat="false" ht="15.75" hidden="false" customHeight="false" outlineLevel="0" collapsed="false">
      <c r="A22" s="381" t="s">
        <v>2597</v>
      </c>
      <c r="B22" s="381" t="s">
        <v>144</v>
      </c>
      <c r="C22" s="0" t="n">
        <f aca="false">COUNTIF($E$2:$E$413,A22)</f>
        <v>0</v>
      </c>
      <c r="E22" s="0" t="str">
        <f aca="false">'0.1.2 Attack Dex (GO)'!A22</f>
        <v>Bug Buzz</v>
      </c>
      <c r="F22" s="0" t="str">
        <f aca="false" t="array" ref="F22:F22">IFERROR(INDEX($A$2:$A$413, SMALL(IF(0=$C$2:$C$413, ROW($C$2:$C$413)-ROW($C$2)+1), ROW(21:21))),)</f>
        <v>Bonemerang</v>
      </c>
    </row>
    <row r="23" customFormat="false" ht="15.75" hidden="false" customHeight="false" outlineLevel="0" collapsed="false">
      <c r="A23" s="381" t="s">
        <v>2725</v>
      </c>
      <c r="B23" s="381" t="s">
        <v>146</v>
      </c>
      <c r="C23" s="0" t="n">
        <f aca="false">COUNTIF($E$2:$E$413,A23)</f>
        <v>0</v>
      </c>
      <c r="E23" s="0" t="str">
        <f aca="false">'0.1.2 Attack Dex (GO)'!A23</f>
        <v>Bulldoze</v>
      </c>
      <c r="F23" s="0" t="str">
        <f aca="false" t="array" ref="F23:F23">IFERROR(INDEX($A$2:$A$413, SMALL(IF(0=$C$2:$C$413, ROW($C$2:$C$413)-ROW($C$2)+1), ROW(22:22))),)</f>
        <v>Boomburst</v>
      </c>
    </row>
    <row r="24" customFormat="false" ht="15.75" hidden="false" customHeight="false" outlineLevel="0" collapsed="false">
      <c r="A24" s="381" t="s">
        <v>2483</v>
      </c>
      <c r="B24" s="381" t="s">
        <v>147</v>
      </c>
      <c r="C24" s="0" t="n">
        <f aca="false">COUNTIF($E$2:$E$413,A24)</f>
        <v>0</v>
      </c>
      <c r="E24" s="0" t="str">
        <f aca="false">'0.1.2 Attack Dex (GO)'!A24</f>
        <v>Bullet Punch</v>
      </c>
      <c r="F24" s="0" t="str">
        <f aca="false" t="array" ref="F24:F24">IFERROR(INDEX($A$2:$A$413, SMALL(IF(0=$C$2:$C$413, ROW($C$2:$C$413)-ROW($C$2)+1), ROW(23:23))),)</f>
        <v>Bounce</v>
      </c>
    </row>
    <row r="25" customFormat="false" ht="15.75" hidden="false" customHeight="false" outlineLevel="0" collapsed="false">
      <c r="A25" s="381" t="s">
        <v>2310</v>
      </c>
      <c r="B25" s="381" t="s">
        <v>144</v>
      </c>
      <c r="C25" s="0" t="n">
        <f aca="false">COUNTIF($E$2:$E$413,A25)</f>
        <v>0</v>
      </c>
      <c r="E25" s="0" t="str">
        <f aca="false">'0.1.2 Attack Dex (GO)'!A25</f>
        <v>Bullet Seed</v>
      </c>
      <c r="F25" s="0" t="str">
        <f aca="false" t="array" ref="F25:F25">IFERROR(INDEX($A$2:$A$413, SMALL(IF(0=$C$2:$C$413, ROW($C$2:$C$413)-ROW($C$2)+1), ROW(24:24))),)</f>
        <v>Brutal Swing</v>
      </c>
    </row>
    <row r="26" customFormat="false" ht="15.75" hidden="false" customHeight="false" outlineLevel="0" collapsed="false">
      <c r="A26" s="381" t="s">
        <v>2311</v>
      </c>
      <c r="B26" s="381" t="s">
        <v>144</v>
      </c>
      <c r="C26" s="0" t="n">
        <f aca="false">COUNTIF($E$2:$E$413,A26)</f>
        <v>0</v>
      </c>
      <c r="E26" s="0" t="str">
        <f aca="false">'0.1.2 Attack Dex (GO)'!A26</f>
        <v>Charge Beam</v>
      </c>
      <c r="F26" s="0" t="str">
        <f aca="false" t="array" ref="F26:F26">IFERROR(INDEX($A$2:$A$413, SMALL(IF(0=$C$2:$C$413, ROW($C$2:$C$413)-ROW($C$2)+1), ROW(25:25))),)</f>
        <v>Burn Up</v>
      </c>
    </row>
    <row r="27" customFormat="false" ht="15.75" hidden="false" customHeight="false" outlineLevel="0" collapsed="false">
      <c r="A27" s="381" t="s">
        <v>2404</v>
      </c>
      <c r="B27" s="381" t="s">
        <v>160</v>
      </c>
      <c r="C27" s="0" t="n">
        <f aca="false">COUNTIF($E$2:$E$413,A27)</f>
        <v>1</v>
      </c>
      <c r="E27" s="0" t="str">
        <f aca="false">'0.1.2 Attack Dex (GO)'!A27</f>
        <v>Close Combat</v>
      </c>
      <c r="F27" s="0" t="str">
        <f aca="false" t="array" ref="F27:F27">IFERROR(INDEX($A$2:$A$413, SMALL(IF(0=$C$2:$C$413, ROW($C$2:$C$413)-ROW($C$2)+1), ROW(26:26))),)</f>
        <v>Chatter</v>
      </c>
    </row>
    <row r="28" customFormat="false" ht="15.75" hidden="false" customHeight="false" outlineLevel="0" collapsed="false">
      <c r="A28" s="381" t="s">
        <v>2355</v>
      </c>
      <c r="B28" s="381" t="s">
        <v>153</v>
      </c>
      <c r="C28" s="0" t="n">
        <f aca="false">COUNTIF($E$2:$E$413,A28)</f>
        <v>0</v>
      </c>
      <c r="E28" s="0" t="str">
        <f aca="false">'0.1.2 Attack Dex (GO)'!A28</f>
        <v>Confusion</v>
      </c>
      <c r="F28" s="0" t="str">
        <f aca="false" t="array" ref="F28:F28">IFERROR(INDEX($A$2:$A$413, SMALL(IF(0=$C$2:$C$413, ROW($C$2:$C$413)-ROW($C$2)+1), ROW(27:27))),)</f>
        <v>Chip Away</v>
      </c>
    </row>
    <row r="29" customFormat="false" ht="15.75" hidden="false" customHeight="false" outlineLevel="0" collapsed="false">
      <c r="A29" s="381" t="s">
        <v>2608</v>
      </c>
      <c r="B29" s="381" t="s">
        <v>153</v>
      </c>
      <c r="C29" s="0" t="n">
        <f aca="false">COUNTIF($E$2:$E$413,A29)</f>
        <v>0</v>
      </c>
      <c r="E29" s="0" t="str">
        <f aca="false">'0.1.2 Attack Dex (GO)'!A29</f>
        <v>Counter</v>
      </c>
      <c r="F29" s="0" t="str">
        <f aca="false" t="array" ref="F29:F29">IFERROR(INDEX($A$2:$A$413, SMALL(IF(0=$C$2:$C$413, ROW($C$2:$C$413)-ROW($C$2)+1), ROW(28:28))),)</f>
        <v>Circle Throw</v>
      </c>
    </row>
    <row r="30" customFormat="false" ht="15.75" hidden="false" customHeight="false" outlineLevel="0" collapsed="false">
      <c r="A30" s="381" t="s">
        <v>2405</v>
      </c>
      <c r="B30" s="381" t="s">
        <v>158</v>
      </c>
      <c r="C30" s="0" t="n">
        <f aca="false">COUNTIF($E$2:$E$413,A30)</f>
        <v>1</v>
      </c>
      <c r="E30" s="0" t="str">
        <f aca="false">'0.1.2 Attack Dex (GO)'!A30</f>
        <v>Cross Chop</v>
      </c>
      <c r="F30" s="0" t="str">
        <f aca="false" t="array" ref="F30:F30">IFERROR(INDEX($A$2:$A$413, SMALL(IF(0=$C$2:$C$413, ROW($C$2:$C$413)-ROW($C$2)+1), ROW(29:29))),)</f>
        <v>Clamp</v>
      </c>
    </row>
    <row r="31" customFormat="false" ht="15.75" hidden="false" customHeight="false" outlineLevel="0" collapsed="false">
      <c r="A31" s="381" t="s">
        <v>2687</v>
      </c>
      <c r="B31" s="381" t="s">
        <v>153</v>
      </c>
      <c r="C31" s="0" t="n">
        <f aca="false">COUNTIF($E$2:$E$413,A31)</f>
        <v>0</v>
      </c>
      <c r="E31" s="0" t="str">
        <f aca="false">'0.1.2 Attack Dex (GO)'!A31</f>
        <v>Cross Poison</v>
      </c>
      <c r="F31" s="0" t="str">
        <f aca="false" t="array" ref="F31:F31">IFERROR(INDEX($A$2:$A$413, SMALL(IF(0=$C$2:$C$413, ROW($C$2:$C$413)-ROW($C$2)+1), ROW(30:30))),)</f>
        <v>Clanging Scales</v>
      </c>
    </row>
    <row r="32" customFormat="false" ht="15.75" hidden="false" customHeight="false" outlineLevel="0" collapsed="false">
      <c r="A32" s="381" t="s">
        <v>2312</v>
      </c>
      <c r="B32" s="381" t="s">
        <v>144</v>
      </c>
      <c r="C32" s="0" t="n">
        <f aca="false">COUNTIF($E$2:$E$413,A32)</f>
        <v>1</v>
      </c>
      <c r="E32" s="0" t="str">
        <f aca="false">'0.1.2 Attack Dex (GO)'!A32</f>
        <v>Crunch</v>
      </c>
      <c r="F32" s="0" t="str">
        <f aca="false" t="array" ref="F32:F32">IFERROR(INDEX($A$2:$A$413, SMALL(IF(0=$C$2:$C$413, ROW($C$2:$C$413)-ROW($C$2)+1), ROW(31:31))),)</f>
        <v>Clear Smog</v>
      </c>
    </row>
    <row r="33" customFormat="false" ht="15.75" hidden="false" customHeight="false" outlineLevel="0" collapsed="false">
      <c r="A33" s="381" t="s">
        <v>2688</v>
      </c>
      <c r="B33" s="381" t="s">
        <v>156</v>
      </c>
      <c r="C33" s="0" t="n">
        <f aca="false">COUNTIF($E$2:$E$413,A33)</f>
        <v>0</v>
      </c>
      <c r="E33" s="0" t="str">
        <f aca="false">'0.1.2 Attack Dex (GO)'!A33</f>
        <v>Cut</v>
      </c>
      <c r="F33" s="0" t="str">
        <f aca="false" t="array" ref="F33:F33">IFERROR(INDEX($A$2:$A$413, SMALL(IF(0=$C$2:$C$413, ROW($C$2:$C$413)-ROW($C$2)+1), ROW(32:32))),)</f>
        <v>Comet Punch</v>
      </c>
    </row>
    <row r="34" customFormat="false" ht="15.75" hidden="false" customHeight="false" outlineLevel="0" collapsed="false">
      <c r="A34" s="381" t="s">
        <v>2603</v>
      </c>
      <c r="B34" s="381" t="s">
        <v>148</v>
      </c>
      <c r="C34" s="0" t="n">
        <f aca="false">COUNTIF($E$2:$E$413,A34)</f>
        <v>1</v>
      </c>
      <c r="E34" s="0" t="str">
        <f aca="false">'0.1.2 Attack Dex (GO)'!A34</f>
        <v>Dark Pulse</v>
      </c>
      <c r="F34" s="0" t="str">
        <f aca="false" t="array" ref="F34:F34">IFERROR(INDEX($A$2:$A$413, SMALL(IF(0=$C$2:$C$413, ROW($C$2:$C$413)-ROW($C$2)+1), ROW(33:33))),)</f>
        <v>Constrict</v>
      </c>
    </row>
    <row r="35" customFormat="false" ht="15.75" hidden="false" customHeight="false" outlineLevel="0" collapsed="false">
      <c r="A35" s="381" t="s">
        <v>2605</v>
      </c>
      <c r="B35" s="381" t="s">
        <v>148</v>
      </c>
      <c r="C35" s="0" t="n">
        <f aca="false">COUNTIF($E$2:$E$413,A35)</f>
        <v>0</v>
      </c>
      <c r="E35" s="0" t="str">
        <f aca="false">'0.1.2 Attack Dex (GO)'!A35</f>
        <v>Dazzling Gleam</v>
      </c>
      <c r="F35" s="0" t="str">
        <f aca="false" t="array" ref="F35:F35">IFERROR(INDEX($A$2:$A$413, SMALL(IF(0=$C$2:$C$413, ROW($C$2:$C$413)-ROW($C$2)+1), ROW(34:34))),)</f>
        <v>Core Enforcer</v>
      </c>
    </row>
    <row r="36" customFormat="false" ht="15.75" hidden="false" customHeight="false" outlineLevel="0" collapsed="false">
      <c r="A36" s="381" t="s">
        <v>2604</v>
      </c>
      <c r="B36" s="381" t="s">
        <v>148</v>
      </c>
      <c r="C36" s="0" t="n">
        <f aca="false">COUNTIF($E$2:$E$413,A36)</f>
        <v>0</v>
      </c>
      <c r="E36" s="0" t="str">
        <f aca="false">'0.1.2 Attack Dex (GO)'!A36</f>
        <v>Dig</v>
      </c>
      <c r="F36" s="0" t="str">
        <f aca="false" t="array" ref="F36:F36">IFERROR(INDEX($A$2:$A$413, SMALL(IF(0=$C$2:$C$413, ROW($C$2:$C$413)-ROW($C$2)+1), ROW(35:35))),)</f>
        <v>Covet</v>
      </c>
    </row>
    <row r="37" customFormat="false" ht="15.75" hidden="false" customHeight="false" outlineLevel="0" collapsed="false">
      <c r="A37" s="381" t="s">
        <v>2657</v>
      </c>
      <c r="B37" s="381" t="s">
        <v>144</v>
      </c>
      <c r="C37" s="0" t="n">
        <f aca="false">COUNTIF($E$2:$E$413,A37)</f>
        <v>0</v>
      </c>
      <c r="E37" s="0" t="str">
        <f aca="false">'0.1.2 Attack Dex (GO)'!A37</f>
        <v>Disarming Voice</v>
      </c>
      <c r="F37" s="0" t="str">
        <f aca="false" t="array" ref="F37:F37">IFERROR(INDEX($A$2:$A$413, SMALL(IF(0=$C$2:$C$413, ROW($C$2:$C$413)-ROW($C$2)+1), ROW(36:36))),)</f>
        <v>Crabhammer</v>
      </c>
    </row>
    <row r="38" customFormat="false" ht="15.75" hidden="false" customHeight="false" outlineLevel="0" collapsed="false">
      <c r="A38" s="381" t="s">
        <v>2516</v>
      </c>
      <c r="B38" s="381" t="s">
        <v>146</v>
      </c>
      <c r="C38" s="0" t="n">
        <f aca="false">COUNTIF($E$2:$E$413,A38)</f>
        <v>0</v>
      </c>
      <c r="E38" s="0" t="str">
        <f aca="false">'0.1.2 Attack Dex (GO)'!A38</f>
        <v>Discharge</v>
      </c>
      <c r="F38" s="0" t="str">
        <f aca="false" t="array" ref="F38:F38">IFERROR(INDEX($A$2:$A$413, SMALL(IF(0=$C$2:$C$413, ROW($C$2:$C$413)-ROW($C$2)+1), ROW(37:37))),)</f>
        <v>Crush Claw</v>
      </c>
    </row>
    <row r="39" customFormat="false" ht="15.75" hidden="false" customHeight="false" outlineLevel="0" collapsed="false">
      <c r="A39" s="381" t="s">
        <v>2577</v>
      </c>
      <c r="B39" s="381" t="s">
        <v>146</v>
      </c>
      <c r="C39" s="0" t="n">
        <f aca="false">COUNTIF($E$2:$E$413,A39)</f>
        <v>1</v>
      </c>
      <c r="E39" s="0" t="str">
        <f aca="false">'0.1.2 Attack Dex (GO)'!A39</f>
        <v>Doom Desire</v>
      </c>
      <c r="F39" s="0" t="str">
        <f aca="false" t="array" ref="F39:F39">IFERROR(INDEX($A$2:$A$413, SMALL(IF(0=$C$2:$C$413, ROW($C$2:$C$413)-ROW($C$2)+1), ROW(38:38))),)</f>
        <v>Darkest Lariat</v>
      </c>
    </row>
    <row r="40" customFormat="false" ht="15.75" hidden="false" customHeight="false" outlineLevel="0" collapsed="false">
      <c r="A40" s="381" t="s">
        <v>2356</v>
      </c>
      <c r="B40" s="381" t="s">
        <v>145</v>
      </c>
      <c r="C40" s="0" t="n">
        <f aca="false">COUNTIF($E$2:$E$413,A40)</f>
        <v>1</v>
      </c>
      <c r="E40" s="0" t="str">
        <f aca="false">'0.1.2 Attack Dex (GO)'!A40</f>
        <v>Draco Meteor</v>
      </c>
      <c r="F40" s="0" t="str">
        <f aca="false" t="array" ref="F40:F40">IFERROR(INDEX($A$2:$A$413, SMALL(IF(0=$C$2:$C$413, ROW($C$2:$C$413)-ROW($C$2)+1), ROW(39:39))),)</f>
        <v>Diamond Storm</v>
      </c>
    </row>
    <row r="41" customFormat="false" ht="15.75" hidden="false" customHeight="false" outlineLevel="0" collapsed="false">
      <c r="A41" s="381" t="s">
        <v>2406</v>
      </c>
      <c r="B41" s="381" t="s">
        <v>154</v>
      </c>
      <c r="C41" s="0" t="n">
        <f aca="false">COUNTIF($E$2:$E$413,A41)</f>
        <v>1</v>
      </c>
      <c r="E41" s="0" t="str">
        <f aca="false">'0.1.2 Attack Dex (GO)'!A41</f>
        <v>Dragon Breath</v>
      </c>
      <c r="F41" s="0" t="str">
        <f aca="false" t="array" ref="F41:F41">IFERROR(INDEX($A$2:$A$413, SMALL(IF(0=$C$2:$C$413, ROW($C$2:$C$413)-ROW($C$2)+1), ROW(40:40))),)</f>
        <v>Dive</v>
      </c>
    </row>
    <row r="42" customFormat="false" ht="15.75" hidden="false" customHeight="false" outlineLevel="0" collapsed="false">
      <c r="A42" s="381" t="s">
        <v>2357</v>
      </c>
      <c r="B42" s="381" t="s">
        <v>160</v>
      </c>
      <c r="C42" s="0" t="n">
        <f aca="false">COUNTIF($E$2:$E$413,A42)</f>
        <v>0</v>
      </c>
      <c r="E42" s="0" t="str">
        <f aca="false">'0.1.2 Attack Dex (GO)'!A42</f>
        <v>Dragon Claw</v>
      </c>
      <c r="F42" s="0" t="str">
        <f aca="false" t="array" ref="F42:F42">IFERROR(INDEX($A$2:$A$413, SMALL(IF(0=$C$2:$C$413, ROW($C$2:$C$413)-ROW($C$2)+1), ROW(41:41))),)</f>
        <v>Dizzy Punch</v>
      </c>
    </row>
    <row r="43" customFormat="false" ht="15.75" hidden="false" customHeight="false" outlineLevel="0" collapsed="false">
      <c r="A43" s="381" t="s">
        <v>2407</v>
      </c>
      <c r="B43" s="381" t="s">
        <v>154</v>
      </c>
      <c r="C43" s="0" t="n">
        <f aca="false">COUNTIF($E$2:$E$413,A43)</f>
        <v>1</v>
      </c>
      <c r="E43" s="0" t="str">
        <f aca="false">'0.1.2 Attack Dex (GO)'!A43</f>
        <v>Dragon Pulse</v>
      </c>
      <c r="F43" s="0" t="str">
        <f aca="false" t="array" ref="F43:F43">IFERROR(INDEX($A$2:$A$413, SMALL(IF(0=$C$2:$C$413, ROW($C$2:$C$413)-ROW($C$2)+1), ROW(42:42))),)</f>
        <v>Double Hit</v>
      </c>
    </row>
    <row r="44" customFormat="false" ht="15.75" hidden="false" customHeight="false" outlineLevel="0" collapsed="false">
      <c r="A44" s="381" t="s">
        <v>2408</v>
      </c>
      <c r="B44" s="381" t="s">
        <v>154</v>
      </c>
      <c r="C44" s="0" t="n">
        <f aca="false">COUNTIF($E$2:$E$413,A44)</f>
        <v>1</v>
      </c>
      <c r="E44" s="0" t="str">
        <f aca="false">'0.1.2 Attack Dex (GO)'!A44</f>
        <v>Dragon Tail</v>
      </c>
      <c r="F44" s="0" t="str">
        <f aca="false" t="array" ref="F44:F44">IFERROR(INDEX($A$2:$A$413, SMALL(IF(0=$C$2:$C$413, ROW($C$2:$C$413)-ROW($C$2)+1), ROW(43:43))),)</f>
        <v>Double Kick</v>
      </c>
    </row>
    <row r="45" customFormat="false" ht="15.75" hidden="false" customHeight="false" outlineLevel="0" collapsed="false">
      <c r="A45" s="381" t="s">
        <v>2432</v>
      </c>
      <c r="B45" s="381" t="s">
        <v>150</v>
      </c>
      <c r="C45" s="0" t="n">
        <f aca="false">COUNTIF($E$2:$E$413,A45)</f>
        <v>1</v>
      </c>
      <c r="E45" s="0" t="str">
        <f aca="false">'0.1.2 Attack Dex (GO)'!A45</f>
        <v>Draining Kiss</v>
      </c>
      <c r="F45" s="0" t="str">
        <f aca="false" t="array" ref="F45:F45">IFERROR(INDEX($A$2:$A$413, SMALL(IF(0=$C$2:$C$413, ROW($C$2:$C$413)-ROW($C$2)+1), ROW(44:44))),)</f>
        <v>Double Slap</v>
      </c>
    </row>
    <row r="46" customFormat="false" ht="15.75" hidden="false" customHeight="false" outlineLevel="0" collapsed="false">
      <c r="A46" s="381" t="s">
        <v>2433</v>
      </c>
      <c r="B46" s="381" t="s">
        <v>150</v>
      </c>
      <c r="C46" s="0" t="n">
        <f aca="false">COUNTIF($E$2:$E$413,A46)</f>
        <v>1</v>
      </c>
      <c r="E46" s="0" t="str">
        <f aca="false">'0.1.2 Attack Dex (GO)'!A46</f>
        <v>Drill Peck</v>
      </c>
      <c r="F46" s="0" t="str">
        <f aca="false" t="array" ref="F46:F46">IFERROR(INDEX($A$2:$A$413, SMALL(IF(0=$C$2:$C$413, ROW($C$2:$C$413)-ROW($C$2)+1), ROW(45:45))),)</f>
        <v>Double-Edge</v>
      </c>
    </row>
    <row r="47" customFormat="false" ht="15.75" hidden="false" customHeight="false" outlineLevel="0" collapsed="false">
      <c r="A47" s="381" t="s">
        <v>2313</v>
      </c>
      <c r="B47" s="381" t="s">
        <v>148</v>
      </c>
      <c r="C47" s="0" t="n">
        <f aca="false">COUNTIF($E$2:$E$413,A47)</f>
        <v>1</v>
      </c>
      <c r="E47" s="0" t="str">
        <f aca="false">'0.1.2 Attack Dex (GO)'!A47</f>
        <v>Drill Run</v>
      </c>
      <c r="F47" s="0" t="str">
        <f aca="false" t="array" ref="F47:F47">IFERROR(INDEX($A$2:$A$413, SMALL(IF(0=$C$2:$C$413, ROW($C$2:$C$413)-ROW($C$2)+1), ROW(46:46))),)</f>
        <v>Dragon Ascent</v>
      </c>
    </row>
    <row r="48" customFormat="false" ht="15.75" hidden="false" customHeight="false" outlineLevel="0" collapsed="false">
      <c r="A48" s="381" t="s">
        <v>2552</v>
      </c>
      <c r="B48" s="381" t="s">
        <v>152</v>
      </c>
      <c r="C48" s="0" t="n">
        <f aca="false">COUNTIF($E$2:$E$413,A48)</f>
        <v>1</v>
      </c>
      <c r="E48" s="0" t="str">
        <f aca="false">'0.1.2 Attack Dex (GO)'!A48</f>
        <v>Dynamic Punch</v>
      </c>
      <c r="F48" s="0" t="str">
        <f aca="false" t="array" ref="F48:F48">IFERROR(INDEX($A$2:$A$413, SMALL(IF(0=$C$2:$C$413, ROW($C$2:$C$413)-ROW($C$2)+1), ROW(47:47))),)</f>
        <v>Dragon Hammer</v>
      </c>
    </row>
    <row r="49" customFormat="false" ht="15.75" hidden="false" customHeight="false" outlineLevel="0" collapsed="false">
      <c r="A49" s="381" t="s">
        <v>2314</v>
      </c>
      <c r="B49" s="381" t="s">
        <v>155</v>
      </c>
      <c r="C49" s="0" t="n">
        <f aca="false">COUNTIF($E$2:$E$413,A49)</f>
        <v>1</v>
      </c>
      <c r="E49" s="0" t="str">
        <f aca="false">'0.1.2 Attack Dex (GO)'!A49</f>
        <v>Earthquake</v>
      </c>
      <c r="F49" s="0" t="str">
        <f aca="false" t="array" ref="F49:F49">IFERROR(INDEX($A$2:$A$413, SMALL(IF(0=$C$2:$C$413, ROW($C$2:$C$413)-ROW($C$2)+1), ROW(48:48))),)</f>
        <v>Dragon Rage</v>
      </c>
    </row>
    <row r="50" customFormat="false" ht="15.75" hidden="false" customHeight="false" outlineLevel="0" collapsed="false">
      <c r="A50" s="381" t="s">
        <v>2633</v>
      </c>
      <c r="B50" s="381" t="s">
        <v>153</v>
      </c>
      <c r="C50" s="0" t="n">
        <f aca="false">COUNTIF($E$2:$E$413,A50)</f>
        <v>0</v>
      </c>
      <c r="E50" s="0" t="str">
        <f aca="false">'0.1.2 Attack Dex (GO)'!A50</f>
        <v>Ember</v>
      </c>
      <c r="F50" s="0" t="str">
        <f aca="false" t="array" ref="F50:F50">IFERROR(INDEX($A$2:$A$413, SMALL(IF(0=$C$2:$C$413, ROW($C$2:$C$413)-ROW($C$2)+1), ROW(49:49))),)</f>
        <v>Dragon Rush</v>
      </c>
    </row>
    <row r="51" customFormat="false" ht="15.75" hidden="false" customHeight="false" outlineLevel="0" collapsed="false">
      <c r="A51" s="381" t="s">
        <v>2464</v>
      </c>
      <c r="B51" s="381" t="s">
        <v>156</v>
      </c>
      <c r="C51" s="0" t="n">
        <f aca="false">COUNTIF($E$2:$E$413,A51)</f>
        <v>1</v>
      </c>
      <c r="E51" s="0" t="str">
        <f aca="false">'0.1.2 Attack Dex (GO)'!A51</f>
        <v>Energy Ball</v>
      </c>
      <c r="F51" s="0" t="str">
        <f aca="false" t="array" ref="F51:F51">IFERROR(INDEX($A$2:$A$413, SMALL(IF(0=$C$2:$C$413, ROW($C$2:$C$413)-ROW($C$2)+1), ROW(50:50))),)</f>
        <v>Drain Punch</v>
      </c>
    </row>
    <row r="52" customFormat="false" ht="15.75" hidden="false" customHeight="false" outlineLevel="0" collapsed="false">
      <c r="A52" s="381" t="s">
        <v>2674</v>
      </c>
      <c r="B52" s="381" t="s">
        <v>146</v>
      </c>
      <c r="C52" s="0" t="n">
        <f aca="false">COUNTIF($E$2:$E$413,A52)</f>
        <v>0</v>
      </c>
      <c r="E52" s="0" t="str">
        <f aca="false">'0.1.2 Attack Dex (GO)'!A52</f>
        <v>Extrasensory</v>
      </c>
      <c r="F52" s="0" t="str">
        <f aca="false" t="array" ref="F52:F52">IFERROR(INDEX($A$2:$A$413, SMALL(IF(0=$C$2:$C$413, ROW($C$2:$C$413)-ROW($C$2)+1), ROW(51:51))),)</f>
        <v>Dream Eater</v>
      </c>
    </row>
    <row r="53" customFormat="false" ht="15.75" hidden="false" customHeight="false" outlineLevel="0" collapsed="false">
      <c r="A53" s="381" t="s">
        <v>2509</v>
      </c>
      <c r="B53" s="381" t="s">
        <v>144</v>
      </c>
      <c r="C53" s="0" t="n">
        <f aca="false">COUNTIF($E$2:$E$413,A53)</f>
        <v>0</v>
      </c>
      <c r="E53" s="0" t="str">
        <f aca="false">'0.1.2 Attack Dex (GO)'!A53</f>
        <v>Feint Attack</v>
      </c>
      <c r="F53" s="0" t="str">
        <f aca="false" t="array" ref="F53:F53">IFERROR(INDEX($A$2:$A$413, SMALL(IF(0=$C$2:$C$413, ROW($C$2:$C$413)-ROW($C$2)+1), ROW(52:52))),)</f>
        <v>Dual Chop</v>
      </c>
    </row>
    <row r="54" customFormat="false" ht="15.75" hidden="false" customHeight="false" outlineLevel="0" collapsed="false">
      <c r="A54" s="381" t="s">
        <v>2549</v>
      </c>
      <c r="B54" s="381" t="s">
        <v>145</v>
      </c>
      <c r="C54" s="0" t="n">
        <f aca="false">COUNTIF($E$2:$E$413,A54)</f>
        <v>0</v>
      </c>
      <c r="E54" s="0" t="str">
        <f aca="false">'0.1.2 Attack Dex (GO)'!A54</f>
        <v>Fire Blast</v>
      </c>
      <c r="F54" s="0" t="str">
        <f aca="false" t="array" ref="F54:F54">IFERROR(INDEX($A$2:$A$413, SMALL(IF(0=$C$2:$C$413, ROW($C$2:$C$413)-ROW($C$2)+1), ROW(53:53))),)</f>
        <v>Earth Power</v>
      </c>
    </row>
    <row r="55" customFormat="false" ht="15.75" hidden="false" customHeight="false" outlineLevel="0" collapsed="false">
      <c r="A55" s="381" t="s">
        <v>2585</v>
      </c>
      <c r="B55" s="381" t="s">
        <v>154</v>
      </c>
      <c r="C55" s="0" t="n">
        <f aca="false">COUNTIF($E$2:$E$413,A55)</f>
        <v>0</v>
      </c>
      <c r="E55" s="0" t="str">
        <f aca="false">'0.1.2 Attack Dex (GO)'!A55</f>
        <v>Fire Fang</v>
      </c>
      <c r="F55" s="0" t="str">
        <f aca="false" t="array" ref="F55:F55">IFERROR(INDEX($A$2:$A$413, SMALL(IF(0=$C$2:$C$413, ROW($C$2:$C$413)-ROW($C$2)+1), ROW(54:54))),)</f>
        <v>Echoed Voice</v>
      </c>
    </row>
    <row r="56" customFormat="false" ht="15.75" hidden="false" customHeight="false" outlineLevel="0" collapsed="false">
      <c r="A56" s="381" t="s">
        <v>2739</v>
      </c>
      <c r="B56" s="381" t="s">
        <v>159</v>
      </c>
      <c r="C56" s="0" t="n">
        <f aca="false">COUNTIF($E$2:$E$413,A56)</f>
        <v>0</v>
      </c>
      <c r="E56" s="0" t="str">
        <f aca="false">'0.1.2 Attack Dex (GO)'!A56</f>
        <v>Fire Punch</v>
      </c>
      <c r="F56" s="0" t="str">
        <f aca="false" t="array" ref="F56:F56">IFERROR(INDEX($A$2:$A$413, SMALL(IF(0=$C$2:$C$413, ROW($C$2:$C$413)-ROW($C$2)+1), ROW(55:55))),)</f>
        <v>Egg Bomb</v>
      </c>
    </row>
    <row r="57" customFormat="false" ht="15.75" hidden="false" customHeight="false" outlineLevel="0" collapsed="false">
      <c r="A57" s="381" t="s">
        <v>2618</v>
      </c>
      <c r="B57" s="381" t="s">
        <v>147</v>
      </c>
      <c r="C57" s="0" t="n">
        <f aca="false">COUNTIF($E$2:$E$413,A57)</f>
        <v>0</v>
      </c>
      <c r="E57" s="0" t="str">
        <f aca="false">'0.1.2 Attack Dex (GO)'!A57</f>
        <v>Fire Spin</v>
      </c>
      <c r="F57" s="0" t="str">
        <f aca="false" t="array" ref="F57:F57">IFERROR(INDEX($A$2:$A$413, SMALL(IF(0=$C$2:$C$413, ROW($C$2:$C$413)-ROW($C$2)+1), ROW(56:56))),)</f>
        <v>Electroweb</v>
      </c>
    </row>
    <row r="58" customFormat="false" ht="15.75" hidden="false" customHeight="false" outlineLevel="0" collapsed="false">
      <c r="A58" s="381" t="s">
        <v>2541</v>
      </c>
      <c r="B58" s="381" t="s">
        <v>145</v>
      </c>
      <c r="C58" s="0" t="n">
        <f aca="false">COUNTIF($E$2:$E$413,A58)</f>
        <v>1</v>
      </c>
      <c r="E58" s="0" t="str">
        <f aca="false">'0.1.2 Attack Dex (GO)'!A58</f>
        <v>Flame Burst</v>
      </c>
      <c r="F58" s="0" t="str">
        <f aca="false" t="array" ref="F58:F58">IFERROR(INDEX($A$2:$A$413, SMALL(IF(0=$C$2:$C$413, ROW($C$2:$C$413)-ROW($C$2)+1), ROW(57:57))),)</f>
        <v>Endeavor</v>
      </c>
    </row>
    <row r="59" customFormat="false" ht="15.75" hidden="false" customHeight="false" outlineLevel="0" collapsed="false">
      <c r="A59" s="381" t="s">
        <v>2612</v>
      </c>
      <c r="B59" s="381" t="s">
        <v>144</v>
      </c>
      <c r="C59" s="0" t="n">
        <f aca="false">COUNTIF($E$2:$E$413,A59)</f>
        <v>0</v>
      </c>
      <c r="E59" s="0" t="str">
        <f aca="false">'0.1.2 Attack Dex (GO)'!A59</f>
        <v>Flame Charge</v>
      </c>
      <c r="F59" s="0" t="str">
        <f aca="false" t="array" ref="F59:F59">IFERROR(INDEX($A$2:$A$413, SMALL(IF(0=$C$2:$C$413, ROW($C$2:$C$413)-ROW($C$2)+1), ROW(58:58))),)</f>
        <v>Eruption</v>
      </c>
    </row>
    <row r="60" customFormat="false" ht="15.75" hidden="false" customHeight="false" outlineLevel="0" collapsed="false">
      <c r="A60" s="381" t="s">
        <v>2434</v>
      </c>
      <c r="B60" s="381" t="s">
        <v>157</v>
      </c>
      <c r="C60" s="0" t="n">
        <f aca="false">COUNTIF($E$2:$E$413,A60)</f>
        <v>1</v>
      </c>
      <c r="E60" s="0" t="str">
        <f aca="false">'0.1.2 Attack Dex (GO)'!A60</f>
        <v>Flame Wheel</v>
      </c>
      <c r="F60" s="0" t="str">
        <f aca="false" t="array" ref="F60:F60">IFERROR(INDEX($A$2:$A$413, SMALL(IF(0=$C$2:$C$413, ROW($C$2:$C$413)-ROW($C$2)+1), ROW(59:59))),)</f>
        <v>Explosion</v>
      </c>
    </row>
    <row r="61" customFormat="false" ht="15.75" hidden="false" customHeight="false" outlineLevel="0" collapsed="false">
      <c r="A61" s="381" t="s">
        <v>2559</v>
      </c>
      <c r="B61" s="381" t="s">
        <v>144</v>
      </c>
      <c r="C61" s="0" t="n">
        <f aca="false">COUNTIF($E$2:$E$413,A61)</f>
        <v>0</v>
      </c>
      <c r="E61" s="0" t="str">
        <f aca="false">'0.1.2 Attack Dex (GO)'!A61</f>
        <v>Flamethrower</v>
      </c>
      <c r="F61" s="0" t="str">
        <f aca="false" t="array" ref="F61:F61">IFERROR(INDEX($A$2:$A$413, SMALL(IF(0=$C$2:$C$413, ROW($C$2:$C$413)-ROW($C$2)+1), ROW(60:60))),)</f>
        <v>Extreme Speed</v>
      </c>
    </row>
    <row r="62" customFormat="false" ht="15.75" hidden="false" customHeight="false" outlineLevel="0" collapsed="false">
      <c r="A62" s="381" t="s">
        <v>2714</v>
      </c>
      <c r="B62" s="381" t="s">
        <v>159</v>
      </c>
      <c r="C62" s="0" t="n">
        <f aca="false">COUNTIF($E$2:$E$413,A62)</f>
        <v>0</v>
      </c>
      <c r="E62" s="0" t="str">
        <f aca="false">'0.1.2 Attack Dex (GO)'!A62</f>
        <v>Flash Cannon</v>
      </c>
      <c r="F62" s="0" t="str">
        <f aca="false" t="array" ref="F62:F62">IFERROR(INDEX($A$2:$A$413, SMALL(IF(0=$C$2:$C$413, ROW($C$2:$C$413)-ROW($C$2)+1), ROW(61:61))),)</f>
        <v>Facade</v>
      </c>
    </row>
    <row r="63" customFormat="false" ht="15.75" hidden="false" customHeight="false" outlineLevel="0" collapsed="false">
      <c r="A63" s="381" t="s">
        <v>138</v>
      </c>
      <c r="B63" s="381" t="s">
        <v>145</v>
      </c>
      <c r="C63" s="0" t="n">
        <f aca="false">COUNTIF($E$2:$E$413,A63)</f>
        <v>1</v>
      </c>
      <c r="E63" s="0" t="str">
        <f aca="false">'0.1.2 Attack Dex (GO)'!A63</f>
        <v>Focus Blast</v>
      </c>
      <c r="F63" s="0" t="str">
        <f aca="false" t="array" ref="F63:F63">IFERROR(INDEX($A$2:$A$413, SMALL(IF(0=$C$2:$C$413, ROW($C$2:$C$413)-ROW($C$2)+1), ROW(62:62))),)</f>
        <v>Fairy Wind</v>
      </c>
    </row>
    <row r="64" customFormat="false" ht="15.75" hidden="false" customHeight="false" outlineLevel="0" collapsed="false">
      <c r="A64" s="381" t="s">
        <v>2465</v>
      </c>
      <c r="B64" s="381" t="s">
        <v>144</v>
      </c>
      <c r="C64" s="0" t="n">
        <f aca="false">COUNTIF($E$2:$E$413,A64)</f>
        <v>0</v>
      </c>
      <c r="E64" s="0" t="str">
        <f aca="false">'0.1.2 Attack Dex (GO)'!A64</f>
        <v>Foul Play</v>
      </c>
      <c r="F64" s="0" t="str">
        <f aca="false" t="array" ref="F64:F64">IFERROR(INDEX($A$2:$A$413, SMALL(IF(0=$C$2:$C$413, ROW($C$2:$C$413)-ROW($C$2)+1), ROW(63:63))),)</f>
        <v>Fake Out</v>
      </c>
    </row>
    <row r="65" customFormat="false" ht="15.75" hidden="false" customHeight="false" outlineLevel="0" collapsed="false">
      <c r="A65" s="381" t="s">
        <v>2593</v>
      </c>
      <c r="B65" s="381" t="s">
        <v>154</v>
      </c>
      <c r="C65" s="0" t="n">
        <f aca="false">COUNTIF($E$2:$E$413,A65)</f>
        <v>0</v>
      </c>
      <c r="E65" s="0" t="str">
        <f aca="false">'0.1.2 Attack Dex (GO)'!A65</f>
        <v>Frenzy Plant</v>
      </c>
      <c r="F65" s="0" t="str">
        <f aca="false" t="array" ref="F65:F65">IFERROR(INDEX($A$2:$A$413, SMALL(IF(0=$C$2:$C$413, ROW($C$2:$C$413)-ROW($C$2)+1), ROW(64:64))),)</f>
        <v>False Swipe</v>
      </c>
    </row>
    <row r="66" customFormat="false" ht="15.75" hidden="false" customHeight="false" outlineLevel="0" collapsed="false">
      <c r="A66" s="381" t="s">
        <v>2542</v>
      </c>
      <c r="B66" s="381" t="s">
        <v>145</v>
      </c>
      <c r="C66" s="0" t="n">
        <f aca="false">COUNTIF($E$2:$E$413,A66)</f>
        <v>1</v>
      </c>
      <c r="E66" s="0" t="str">
        <f aca="false">'0.1.2 Attack Dex (GO)'!A66</f>
        <v>Frost Breath</v>
      </c>
      <c r="F66" s="0" t="str">
        <f aca="false" t="array" ref="F66:F66">IFERROR(INDEX($A$2:$A$413, SMALL(IF(0=$C$2:$C$413, ROW($C$2:$C$413)-ROW($C$2)+1), ROW(65:65))),)</f>
        <v>Feint</v>
      </c>
    </row>
    <row r="67" customFormat="false" ht="15.75" hidden="false" customHeight="false" outlineLevel="0" collapsed="false">
      <c r="A67" s="381" t="s">
        <v>2530</v>
      </c>
      <c r="B67" s="381" t="s">
        <v>147</v>
      </c>
      <c r="C67" s="0" t="n">
        <f aca="false">COUNTIF($E$2:$E$413,A67)</f>
        <v>1</v>
      </c>
      <c r="E67" s="0" t="str">
        <f aca="false">'0.1.2 Attack Dex (GO)'!A67</f>
        <v>Fury Cutter</v>
      </c>
      <c r="F67" s="0" t="str">
        <f aca="false" t="array" ref="F67:F67">IFERROR(INDEX($A$2:$A$413, SMALL(IF(0=$C$2:$C$413, ROW($C$2:$C$413)-ROW($C$2)+1), ROW(66:66))),)</f>
        <v>Fell Stinger</v>
      </c>
    </row>
    <row r="68" customFormat="false" ht="15.75" hidden="false" customHeight="false" outlineLevel="0" collapsed="false">
      <c r="A68" s="381" t="s">
        <v>2466</v>
      </c>
      <c r="B68" s="381" t="s">
        <v>160</v>
      </c>
      <c r="C68" s="0" t="n">
        <f aca="false">COUNTIF($E$2:$E$413,A68)</f>
        <v>1</v>
      </c>
      <c r="E68" s="0" t="str">
        <f aca="false">'0.1.2 Attack Dex (GO)'!A68</f>
        <v>Future Sight</v>
      </c>
      <c r="F68" s="0" t="str">
        <f aca="false" t="array" ref="F68:F68">IFERROR(INDEX($A$2:$A$413, SMALL(IF(0=$C$2:$C$413, ROW($C$2:$C$413)-ROW($C$2)+1), ROW(67:67))),)</f>
        <v>Fiery Dance</v>
      </c>
    </row>
    <row r="69" customFormat="false" ht="15.75" hidden="false" customHeight="false" outlineLevel="0" collapsed="false">
      <c r="A69" s="381" t="s">
        <v>2496</v>
      </c>
      <c r="B69" s="381" t="s">
        <v>144</v>
      </c>
      <c r="C69" s="0" t="n">
        <f aca="false">COUNTIF($E$2:$E$413,A69)</f>
        <v>0</v>
      </c>
      <c r="E69" s="0" t="str">
        <f aca="false">'0.1.2 Attack Dex (GO)'!A69</f>
        <v>Giga Drain</v>
      </c>
      <c r="F69" s="0" t="str">
        <f aca="false" t="array" ref="F69:F69">IFERROR(INDEX($A$2:$A$413, SMALL(IF(0=$C$2:$C$413, ROW($C$2:$C$413)-ROW($C$2)+1), ROW(68:68))),)</f>
        <v>Final Gambit</v>
      </c>
    </row>
    <row r="70" customFormat="false" ht="15.75" hidden="false" customHeight="false" outlineLevel="0" collapsed="false">
      <c r="A70" s="381" t="s">
        <v>2315</v>
      </c>
      <c r="B70" s="381" t="s">
        <v>144</v>
      </c>
      <c r="C70" s="0" t="n">
        <f aca="false">COUNTIF($E$2:$E$413,A70)</f>
        <v>1</v>
      </c>
      <c r="E70" s="0" t="str">
        <f aca="false">'0.1.2 Attack Dex (GO)'!A70</f>
        <v>Grass Knot</v>
      </c>
      <c r="F70" s="0" t="str">
        <f aca="false" t="array" ref="F70:F70">IFERROR(INDEX($A$2:$A$413, SMALL(IF(0=$C$2:$C$413, ROW($C$2:$C$413)-ROW($C$2)+1), ROW(69:69))),)</f>
        <v>Fire Lash</v>
      </c>
    </row>
    <row r="71" customFormat="false" ht="15.75" hidden="false" customHeight="false" outlineLevel="0" collapsed="false">
      <c r="A71" s="381" t="s">
        <v>2409</v>
      </c>
      <c r="B71" s="381" t="s">
        <v>160</v>
      </c>
      <c r="C71" s="0" t="n">
        <f aca="false">COUNTIF($E$2:$E$413,A71)</f>
        <v>1</v>
      </c>
      <c r="E71" s="0" t="str">
        <f aca="false">'0.1.2 Attack Dex (GO)'!A71</f>
        <v>Gunk Shot</v>
      </c>
      <c r="F71" s="0" t="str">
        <f aca="false" t="array" ref="F71:F71">IFERROR(INDEX($A$2:$A$413, SMALL(IF(0=$C$2:$C$413, ROW($C$2:$C$413)-ROW($C$2)+1), ROW(70:70))),)</f>
        <v>Fire Pledge</v>
      </c>
    </row>
    <row r="72" customFormat="false" ht="15.75" hidden="false" customHeight="false" outlineLevel="0" collapsed="false">
      <c r="A72" s="381" t="s">
        <v>2723</v>
      </c>
      <c r="B72" s="381" t="s">
        <v>160</v>
      </c>
      <c r="C72" s="0" t="n">
        <f aca="false">COUNTIF($E$2:$E$413,A72)</f>
        <v>0</v>
      </c>
      <c r="E72" s="0" t="str">
        <f aca="false">'0.1.2 Attack Dex (GO)'!A72</f>
        <v>Gyro Ball</v>
      </c>
      <c r="F72" s="0" t="str">
        <f aca="false" t="array" ref="F72:F72">IFERROR(INDEX($A$2:$A$413, SMALL(IF(0=$C$2:$C$413, ROW($C$2:$C$413)-ROW($C$2)+1), ROW(71:71))),)</f>
        <v>First Impression</v>
      </c>
    </row>
    <row r="73" customFormat="false" ht="15.75" hidden="false" customHeight="false" outlineLevel="0" collapsed="false">
      <c r="A73" s="381" t="s">
        <v>2517</v>
      </c>
      <c r="B73" s="381" t="s">
        <v>161</v>
      </c>
      <c r="C73" s="0" t="n">
        <f aca="false">COUNTIF($E$2:$E$413,A73)</f>
        <v>1</v>
      </c>
      <c r="E73" s="0" t="str">
        <f aca="false">'0.1.2 Attack Dex (GO)'!A73</f>
        <v>Heart Stamp</v>
      </c>
      <c r="F73" s="0" t="str">
        <f aca="false" t="array" ref="F73:F73">IFERROR(INDEX($A$2:$A$413, SMALL(IF(0=$C$2:$C$413, ROW($C$2:$C$413)-ROW($C$2)+1), ROW(72:72))),)</f>
        <v>Flare Blitz</v>
      </c>
    </row>
    <row r="74" customFormat="false" ht="15.75" hidden="false" customHeight="false" outlineLevel="0" collapsed="false">
      <c r="A74" s="381" t="s">
        <v>2717</v>
      </c>
      <c r="B74" s="381" t="s">
        <v>149</v>
      </c>
      <c r="C74" s="0" t="n">
        <f aca="false">COUNTIF($E$2:$E$413,A74)</f>
        <v>0</v>
      </c>
      <c r="E74" s="0" t="str">
        <f aca="false">'0.1.2 Attack Dex (GO)'!A74</f>
        <v>Heat Wave</v>
      </c>
      <c r="F74" s="0" t="str">
        <f aca="false" t="array" ref="F74:F74">IFERROR(INDEX($A$2:$A$413, SMALL(IF(0=$C$2:$C$413, ROW($C$2:$C$413)-ROW($C$2)+1), ROW(73:73))),)</f>
        <v>Fleur Cannon</v>
      </c>
    </row>
    <row r="75" customFormat="false" ht="15.75" hidden="false" customHeight="false" outlineLevel="0" collapsed="false">
      <c r="A75" s="381" t="s">
        <v>2358</v>
      </c>
      <c r="B75" s="381" t="s">
        <v>148</v>
      </c>
      <c r="C75" s="0" t="n">
        <f aca="false">COUNTIF($E$2:$E$413,A75)</f>
        <v>1</v>
      </c>
      <c r="E75" s="0" t="str">
        <f aca="false">'0.1.2 Attack Dex (GO)'!A75</f>
        <v>Heavy Slam</v>
      </c>
      <c r="F75" s="0" t="str">
        <f aca="false" t="array" ref="F75:F75">IFERROR(INDEX($A$2:$A$413, SMALL(IF(0=$C$2:$C$413, ROW($C$2:$C$413)-ROW($C$2)+1), ROW(74:74))),)</f>
        <v>Fly</v>
      </c>
    </row>
    <row r="76" customFormat="false" ht="15.75" hidden="false" customHeight="false" outlineLevel="0" collapsed="false">
      <c r="A76" s="381" t="s">
        <v>2518</v>
      </c>
      <c r="B76" s="381" t="s">
        <v>161</v>
      </c>
      <c r="C76" s="0" t="n">
        <f aca="false">COUNTIF($E$2:$E$413,A76)</f>
        <v>1</v>
      </c>
      <c r="E76" s="0" t="str">
        <f aca="false">'0.1.2 Attack Dex (GO)'!A76</f>
        <v>Hex</v>
      </c>
      <c r="F76" s="0" t="str">
        <f aca="false" t="array" ref="F76:F76">IFERROR(INDEX($A$2:$A$413, SMALL(IF(0=$C$2:$C$413, ROW($C$2:$C$413)-ROW($C$2)+1), ROW(75:75))),)</f>
        <v>Flying Press</v>
      </c>
    </row>
    <row r="77" customFormat="false" ht="15.75" hidden="false" customHeight="false" outlineLevel="0" collapsed="false">
      <c r="A77" s="381" t="s">
        <v>2569</v>
      </c>
      <c r="B77" s="381" t="s">
        <v>156</v>
      </c>
      <c r="C77" s="0" t="n">
        <f aca="false">COUNTIF($E$2:$E$413,A77)</f>
        <v>1</v>
      </c>
      <c r="E77" s="0" t="str">
        <f aca="false">'0.1.2 Attack Dex (GO)'!A77</f>
        <v>Hidden Power</v>
      </c>
      <c r="F77" s="0" t="str">
        <f aca="false" t="array" ref="F77:F77">IFERROR(INDEX($A$2:$A$413, SMALL(IF(0=$C$2:$C$413, ROW($C$2:$C$413)-ROW($C$2)+1), ROW(76:76))),)</f>
        <v>Focus Punch</v>
      </c>
    </row>
    <row r="78" customFormat="false" ht="15.75" hidden="false" customHeight="false" outlineLevel="0" collapsed="false">
      <c r="A78" s="381" t="s">
        <v>2410</v>
      </c>
      <c r="B78" s="381" t="s">
        <v>154</v>
      </c>
      <c r="C78" s="0" t="n">
        <f aca="false">COUNTIF($E$2:$E$413,A78)</f>
        <v>0</v>
      </c>
      <c r="E78" s="0" t="str">
        <f aca="false">'0.1.2 Attack Dex (GO)'!A78</f>
        <v>Horn Attack</v>
      </c>
      <c r="F78" s="0" t="str">
        <f aca="false" t="array" ref="F78:F78">IFERROR(INDEX($A$2:$A$413, SMALL(IF(0=$C$2:$C$413, ROW($C$2:$C$413)-ROW($C$2)+1), ROW(77:77))),)</f>
        <v>Force Palm</v>
      </c>
    </row>
    <row r="79" customFormat="false" ht="15.75" hidden="false" customHeight="false" outlineLevel="0" collapsed="false">
      <c r="A79" s="381" t="s">
        <v>2621</v>
      </c>
      <c r="B79" s="381" t="s">
        <v>144</v>
      </c>
      <c r="C79" s="0" t="n">
        <f aca="false">COUNTIF($E$2:$E$413,A79)</f>
        <v>0</v>
      </c>
      <c r="E79" s="0" t="str">
        <f aca="false">'0.1.2 Attack Dex (GO)'!A79</f>
        <v>Hurricane</v>
      </c>
      <c r="F79" s="0" t="str">
        <f aca="false" t="array" ref="F79:F79">IFERROR(INDEX($A$2:$A$413, SMALL(IF(0=$C$2:$C$413, ROW($C$2:$C$413)-ROW($C$2)+1), ROW(78:78))),)</f>
        <v>Freeze Shock</v>
      </c>
    </row>
    <row r="80" customFormat="false" ht="15.75" hidden="false" customHeight="false" outlineLevel="0" collapsed="false">
      <c r="A80" s="381" t="s">
        <v>2669</v>
      </c>
      <c r="B80" s="381" t="s">
        <v>152</v>
      </c>
      <c r="C80" s="0" t="n">
        <f aca="false">COUNTIF($E$2:$E$413,A80)</f>
        <v>1</v>
      </c>
      <c r="E80" s="0" t="str">
        <f aca="false">'0.1.2 Attack Dex (GO)'!A80</f>
        <v>Hydro Pump</v>
      </c>
      <c r="F80" s="0" t="str">
        <f aca="false" t="array" ref="F80:F80">IFERROR(INDEX($A$2:$A$413, SMALL(IF(0=$C$2:$C$413, ROW($C$2:$C$413)-ROW($C$2)+1), ROW(79:79))),)</f>
        <v>Freeze-Dry</v>
      </c>
    </row>
    <row r="81" customFormat="false" ht="15.75" hidden="false" customHeight="false" outlineLevel="0" collapsed="false">
      <c r="A81" s="381" t="s">
        <v>2579</v>
      </c>
      <c r="B81" s="381" t="s">
        <v>144</v>
      </c>
      <c r="C81" s="0" t="n">
        <f aca="false">COUNTIF($E$2:$E$413,A81)</f>
        <v>0</v>
      </c>
      <c r="E81" s="0" t="str">
        <f aca="false">'0.1.2 Attack Dex (GO)'!A81</f>
        <v>Hyper Beam</v>
      </c>
      <c r="F81" s="0" t="str">
        <f aca="false" t="array" ref="F81:F81">IFERROR(INDEX($A$2:$A$413, SMALL(IF(0=$C$2:$C$413, ROW($C$2:$C$413)-ROW($C$2)+1), ROW(80:80))),)</f>
        <v>Fury Attack</v>
      </c>
    </row>
    <row r="82" customFormat="false" ht="15.75" hidden="false" customHeight="false" outlineLevel="0" collapsed="false">
      <c r="A82" s="381" t="s">
        <v>2510</v>
      </c>
      <c r="B82" s="381" t="s">
        <v>145</v>
      </c>
      <c r="C82" s="0" t="n">
        <f aca="false">COUNTIF($E$2:$E$413,A82)</f>
        <v>0</v>
      </c>
      <c r="E82" s="0" t="str">
        <f aca="false">'0.1.2 Attack Dex (GO)'!A82</f>
        <v>Hyper Fang</v>
      </c>
      <c r="F82" s="0" t="str">
        <f aca="false" t="array" ref="F82:F82">IFERROR(INDEX($A$2:$A$413, SMALL(IF(0=$C$2:$C$413, ROW($C$2:$C$413)-ROW($C$2)+1), ROW(81:81))),)</f>
        <v>Fury Swipes</v>
      </c>
    </row>
    <row r="83" customFormat="false" ht="15.75" hidden="false" customHeight="false" outlineLevel="0" collapsed="false">
      <c r="A83" s="381" t="s">
        <v>2519</v>
      </c>
      <c r="B83" s="381" t="s">
        <v>144</v>
      </c>
      <c r="C83" s="0" t="n">
        <f aca="false">COUNTIF($E$2:$E$413,A83)</f>
        <v>0</v>
      </c>
      <c r="E83" s="0" t="str">
        <f aca="false">'0.1.2 Attack Dex (GO)'!A83</f>
        <v>Ice Beam</v>
      </c>
      <c r="F83" s="0" t="str">
        <f aca="false" t="array" ref="F83:F83">IFERROR(INDEX($A$2:$A$413, SMALL(IF(0=$C$2:$C$413, ROW($C$2:$C$413)-ROW($C$2)+1), ROW(82:82))),)</f>
        <v>Fusion Bolt</v>
      </c>
    </row>
    <row r="84" customFormat="false" ht="15.75" hidden="false" customHeight="false" outlineLevel="0" collapsed="false">
      <c r="A84" s="381" t="s">
        <v>2316</v>
      </c>
      <c r="B84" s="381" t="s">
        <v>144</v>
      </c>
      <c r="C84" s="0" t="n">
        <f aca="false">COUNTIF($E$2:$E$413,A84)</f>
        <v>0</v>
      </c>
      <c r="E84" s="0" t="str">
        <f aca="false">'0.1.2 Attack Dex (GO)'!A84</f>
        <v>Ice Punch</v>
      </c>
      <c r="F84" s="0" t="str">
        <f aca="false" t="array" ref="F84:F84">IFERROR(INDEX($A$2:$A$413, SMALL(IF(0=$C$2:$C$413, ROW($C$2:$C$413)-ROW($C$2)+1), ROW(83:83))),)</f>
        <v>Fusion Flare</v>
      </c>
    </row>
    <row r="85" customFormat="false" ht="15.75" hidden="false" customHeight="false" outlineLevel="0" collapsed="false">
      <c r="A85" s="381" t="s">
        <v>2601</v>
      </c>
      <c r="B85" s="381" t="s">
        <v>159</v>
      </c>
      <c r="C85" s="0" t="n">
        <f aca="false">COUNTIF($E$2:$E$413,A85)</f>
        <v>1</v>
      </c>
      <c r="E85" s="0" t="str">
        <f aca="false">'0.1.2 Attack Dex (GO)'!A85</f>
        <v>Ice Shard</v>
      </c>
      <c r="F85" s="0" t="str">
        <f aca="false" t="array" ref="F85:F85">IFERROR(INDEX($A$2:$A$413, SMALL(IF(0=$C$2:$C$413, ROW($C$2:$C$413)-ROW($C$2)+1), ROW(84:84))),)</f>
        <v>Gear Grind</v>
      </c>
    </row>
    <row r="86" customFormat="false" ht="15.75" hidden="false" customHeight="false" outlineLevel="0" collapsed="false">
      <c r="A86" s="381" t="s">
        <v>2667</v>
      </c>
      <c r="B86" s="381" t="s">
        <v>146</v>
      </c>
      <c r="C86" s="0" t="n">
        <f aca="false">COUNTIF($E$2:$E$413,A86)</f>
        <v>0</v>
      </c>
      <c r="E86" s="0" t="str">
        <f aca="false">'0.1.2 Attack Dex (GO)'!A86</f>
        <v>Icy Wind</v>
      </c>
      <c r="F86" s="0" t="str">
        <f aca="false" t="array" ref="F86:F86">IFERROR(INDEX($A$2:$A$413, SMALL(IF(0=$C$2:$C$413, ROW($C$2:$C$413)-ROW($C$2)+1), ROW(85:85))),)</f>
        <v>Giga Impact</v>
      </c>
    </row>
    <row r="87" customFormat="false" ht="15.75" hidden="false" customHeight="false" outlineLevel="0" collapsed="false">
      <c r="A87" s="381" t="s">
        <v>2359</v>
      </c>
      <c r="B87" s="381" t="s">
        <v>159</v>
      </c>
      <c r="C87" s="0" t="n">
        <f aca="false">COUNTIF($E$2:$E$413,A87)</f>
        <v>1</v>
      </c>
      <c r="E87" s="0" t="str">
        <f aca="false">'0.1.2 Attack Dex (GO)'!A87</f>
        <v>Infestation</v>
      </c>
      <c r="F87" s="0" t="str">
        <f aca="false" t="array" ref="F87:F87">IFERROR(INDEX($A$2:$A$413, SMALL(IF(0=$C$2:$C$413, ROW($C$2:$C$413)-ROW($C$2)+1), ROW(86:86))),)</f>
        <v>Glaciate</v>
      </c>
    </row>
    <row r="88" customFormat="false" ht="15.75" hidden="false" customHeight="false" outlineLevel="0" collapsed="false">
      <c r="A88" s="381" t="s">
        <v>2360</v>
      </c>
      <c r="B88" s="381" t="s">
        <v>159</v>
      </c>
      <c r="C88" s="0" t="n">
        <f aca="false">COUNTIF($E$2:$E$413,A88)</f>
        <v>1</v>
      </c>
      <c r="E88" s="0" t="str">
        <f aca="false">'0.1.2 Attack Dex (GO)'!A88</f>
        <v>Iron Head</v>
      </c>
      <c r="F88" s="0" t="str">
        <f aca="false" t="array" ref="F88:F88">IFERROR(INDEX($A$2:$A$413, SMALL(IF(0=$C$2:$C$413, ROW($C$2:$C$413)-ROW($C$2)+1), ROW(87:87))),)</f>
        <v>Grass Pledge</v>
      </c>
    </row>
    <row r="89" customFormat="false" ht="15.75" hidden="false" customHeight="false" outlineLevel="0" collapsed="false">
      <c r="A89" s="381" t="s">
        <v>2602</v>
      </c>
      <c r="B89" s="381" t="s">
        <v>159</v>
      </c>
      <c r="C89" s="0" t="n">
        <f aca="false">COUNTIF($E$2:$E$413,A89)</f>
        <v>0</v>
      </c>
      <c r="E89" s="0" t="str">
        <f aca="false">'0.1.2 Attack Dex (GO)'!A89</f>
        <v>Iron Tail</v>
      </c>
      <c r="F89" s="0" t="str">
        <f aca="false" t="array" ref="F89:F89">IFERROR(INDEX($A$2:$A$413, SMALL(IF(0=$C$2:$C$413, ROW($C$2:$C$413)-ROW($C$2)+1), ROW(88:88))),)</f>
        <v>Gust</v>
      </c>
    </row>
    <row r="90" customFormat="false" ht="15.75" hidden="false" customHeight="false" outlineLevel="0" collapsed="false">
      <c r="A90" s="381" t="s">
        <v>2361</v>
      </c>
      <c r="B90" s="381" t="s">
        <v>159</v>
      </c>
      <c r="C90" s="0" t="n">
        <f aca="false">COUNTIF($E$2:$E$413,A90)</f>
        <v>1</v>
      </c>
      <c r="E90" s="0" t="str">
        <f aca="false">'0.1.2 Attack Dex (GO)'!A90</f>
        <v>Karate Chop</v>
      </c>
      <c r="F90" s="0" t="str">
        <f aca="false" t="array" ref="F90:F90">IFERROR(INDEX($A$2:$A$413, SMALL(IF(0=$C$2:$C$413, ROW($C$2:$C$413)-ROW($C$2)+1), ROW(89:89))),)</f>
        <v>Hammer Arm</v>
      </c>
    </row>
    <row r="91" customFormat="false" ht="15.75" hidden="false" customHeight="false" outlineLevel="0" collapsed="false">
      <c r="A91" s="381" t="s">
        <v>2362</v>
      </c>
      <c r="B91" s="381" t="s">
        <v>159</v>
      </c>
      <c r="C91" s="0" t="n">
        <f aca="false">COUNTIF($E$2:$E$413,A91)</f>
        <v>0</v>
      </c>
      <c r="E91" s="0" t="str">
        <f aca="false">'0.1.2 Attack Dex (GO)'!A91</f>
        <v>Leaf Blade</v>
      </c>
      <c r="F91" s="0" t="str">
        <f aca="false" t="array" ref="F91:F91">IFERROR(INDEX($A$2:$A$413, SMALL(IF(0=$C$2:$C$413, ROW($C$2:$C$413)-ROW($C$2)+1), ROW(90:90))),)</f>
        <v>Head Charge</v>
      </c>
    </row>
    <row r="92" customFormat="false" ht="15.75" hidden="false" customHeight="false" outlineLevel="0" collapsed="false">
      <c r="A92" s="381" t="s">
        <v>2634</v>
      </c>
      <c r="B92" s="381" t="s">
        <v>159</v>
      </c>
      <c r="C92" s="0" t="n">
        <f aca="false">COUNTIF($E$2:$E$413,A92)</f>
        <v>0</v>
      </c>
      <c r="E92" s="0" t="str">
        <f aca="false">'0.1.2 Attack Dex (GO)'!A92</f>
        <v>Lick</v>
      </c>
      <c r="F92" s="0" t="str">
        <f aca="false" t="array" ref="F92:F92">IFERROR(INDEX($A$2:$A$413, SMALL(IF(0=$C$2:$C$413, ROW($C$2:$C$413)-ROW($C$2)+1), ROW(91:91))),)</f>
        <v>Head Smash</v>
      </c>
    </row>
    <row r="93" customFormat="false" ht="15.75" hidden="false" customHeight="false" outlineLevel="0" collapsed="false">
      <c r="A93" s="381" t="s">
        <v>2363</v>
      </c>
      <c r="B93" s="381" t="s">
        <v>159</v>
      </c>
      <c r="C93" s="0" t="n">
        <f aca="false">COUNTIF($E$2:$E$413,A93)</f>
        <v>1</v>
      </c>
      <c r="E93" s="0" t="str">
        <f aca="false">'0.1.2 Attack Dex (GO)'!A93</f>
        <v>Low Kick</v>
      </c>
      <c r="F93" s="0" t="str">
        <f aca="false" t="array" ref="F93:F93">IFERROR(INDEX($A$2:$A$413, SMALL(IF(0=$C$2:$C$413, ROW($C$2:$C$413)-ROW($C$2)+1), ROW(92:92))),)</f>
        <v>Headbutt</v>
      </c>
    </row>
    <row r="94" customFormat="false" ht="15.75" hidden="false" customHeight="false" outlineLevel="0" collapsed="false">
      <c r="A94" s="381" t="s">
        <v>2520</v>
      </c>
      <c r="B94" s="381" t="s">
        <v>145</v>
      </c>
      <c r="C94" s="0" t="n">
        <f aca="false">COUNTIF($E$2:$E$413,A94)</f>
        <v>0</v>
      </c>
      <c r="E94" s="0" t="str">
        <f aca="false">'0.1.2 Attack Dex (GO)'!A94</f>
        <v>Low Sweep</v>
      </c>
      <c r="F94" s="0" t="str">
        <f aca="false" t="array" ref="F94:F94">IFERROR(INDEX($A$2:$A$413, SMALL(IF(0=$C$2:$C$413, ROW($C$2:$C$413)-ROW($C$2)+1), ROW(93:93))),)</f>
        <v>High Horsepower</v>
      </c>
    </row>
    <row r="95" customFormat="false" ht="15.75" hidden="false" customHeight="false" outlineLevel="0" collapsed="false">
      <c r="A95" s="381" t="s">
        <v>2624</v>
      </c>
      <c r="B95" s="381" t="s">
        <v>161</v>
      </c>
      <c r="C95" s="0" t="n">
        <f aca="false">COUNTIF($E$2:$E$413,A95)</f>
        <v>1</v>
      </c>
      <c r="E95" s="0" t="str">
        <f aca="false">'0.1.2 Attack Dex (GO)'!A95</f>
        <v>Magnet Bomb</v>
      </c>
      <c r="F95" s="0" t="str">
        <f aca="false" t="array" ref="F95:F95">IFERROR(INDEX($A$2:$A$413, SMALL(IF(0=$C$2:$C$413, ROW($C$2:$C$413)-ROW($C$2)+1), ROW(94:94))),)</f>
        <v>High Jump Kick</v>
      </c>
    </row>
    <row r="96" customFormat="false" ht="15.75" hidden="false" customHeight="false" outlineLevel="0" collapsed="false">
      <c r="A96" s="381" t="s">
        <v>2435</v>
      </c>
      <c r="B96" s="381" t="s">
        <v>157</v>
      </c>
      <c r="C96" s="0" t="n">
        <f aca="false">COUNTIF($E$2:$E$413,A96)</f>
        <v>0</v>
      </c>
      <c r="E96" s="0" t="str">
        <f aca="false">'0.1.2 Attack Dex (GO)'!A96</f>
        <v>Mega Drain</v>
      </c>
      <c r="F96" s="0" t="str">
        <f aca="false" t="array" ref="F96:F96">IFERROR(INDEX($A$2:$A$413, SMALL(IF(0=$C$2:$C$413, ROW($C$2:$C$413)-ROW($C$2)+1), ROW(95:95))),)</f>
        <v>Hold Back</v>
      </c>
    </row>
    <row r="97" customFormat="false" ht="15.75" hidden="false" customHeight="false" outlineLevel="0" collapsed="false">
      <c r="A97" s="381" t="s">
        <v>2479</v>
      </c>
      <c r="B97" s="381" t="s">
        <v>146</v>
      </c>
      <c r="C97" s="0" t="n">
        <f aca="false">COUNTIF($E$2:$E$413,A97)</f>
        <v>1</v>
      </c>
      <c r="E97" s="0" t="str">
        <f aca="false">'0.1.2 Attack Dex (GO)'!A97</f>
        <v>Megahorn</v>
      </c>
      <c r="F97" s="0" t="str">
        <f aca="false" t="array" ref="F97:F97">IFERROR(INDEX($A$2:$A$413, SMALL(IF(0=$C$2:$C$413, ROW($C$2:$C$413)-ROW($C$2)+1), ROW(96:96))),)</f>
        <v>Horn Leech</v>
      </c>
    </row>
    <row r="98" customFormat="false" ht="15.75" hidden="false" customHeight="false" outlineLevel="0" collapsed="false">
      <c r="A98" s="381" t="s">
        <v>184</v>
      </c>
      <c r="B98" s="381" t="s">
        <v>148</v>
      </c>
      <c r="C98" s="0" t="n">
        <f aca="false">COUNTIF($E$2:$E$413,A98)</f>
        <v>1</v>
      </c>
      <c r="E98" s="0" t="str">
        <f aca="false">'0.1.2 Attack Dex (GO)'!A98</f>
        <v>Metal Claw</v>
      </c>
      <c r="F98" s="0" t="str">
        <f aca="false" t="array" ref="F98:F98">IFERROR(INDEX($A$2:$A$413, SMALL(IF(0=$C$2:$C$413, ROW($C$2:$C$413)-ROW($C$2)+1), ROW(97:97))),)</f>
        <v>Hydro Cannon</v>
      </c>
    </row>
    <row r="99" customFormat="false" ht="15.75" hidden="false" customHeight="false" outlineLevel="0" collapsed="false">
      <c r="A99" s="381" t="s">
        <v>2543</v>
      </c>
      <c r="B99" s="381" t="s">
        <v>159</v>
      </c>
      <c r="C99" s="0" t="n">
        <f aca="false">COUNTIF($E$2:$E$413,A99)</f>
        <v>0</v>
      </c>
      <c r="E99" s="0" t="str">
        <f aca="false">'0.1.2 Attack Dex (GO)'!A99</f>
        <v>Mirror Coat</v>
      </c>
      <c r="F99" s="0" t="str">
        <f aca="false" t="array" ref="F99:F99">IFERROR(INDEX($A$2:$A$413, SMALL(IF(0=$C$2:$C$413, ROW($C$2:$C$413)-ROW($C$2)+1), ROW(98:98))),)</f>
        <v>Hyper Voice</v>
      </c>
    </row>
    <row r="100" customFormat="false" ht="15.75" hidden="false" customHeight="false" outlineLevel="0" collapsed="false">
      <c r="A100" s="381" t="s">
        <v>2364</v>
      </c>
      <c r="B100" s="381" t="s">
        <v>145</v>
      </c>
      <c r="C100" s="0" t="n">
        <f aca="false">COUNTIF($E$2:$E$413,A100)</f>
        <v>1</v>
      </c>
      <c r="E100" s="0" t="str">
        <f aca="false">'0.1.2 Attack Dex (GO)'!A100</f>
        <v>Moonblast</v>
      </c>
      <c r="F100" s="0" t="str">
        <f aca="false" t="array" ref="F100:F100">IFERROR(INDEX($A$2:$A$413, SMALL(IF(0=$C$2:$C$413, ROW($C$2:$C$413)-ROW($C$2)+1), ROW(99:99))),)</f>
        <v>Hyperspace Fury</v>
      </c>
    </row>
    <row r="101" customFormat="false" ht="15.75" hidden="false" customHeight="false" outlineLevel="0" collapsed="false">
      <c r="A101" s="381" t="s">
        <v>2497</v>
      </c>
      <c r="B101" s="381" t="s">
        <v>148</v>
      </c>
      <c r="C101" s="0" t="n">
        <f aca="false">COUNTIF($E$2:$E$413,A101)</f>
        <v>0</v>
      </c>
      <c r="E101" s="0" t="str">
        <f aca="false">'0.1.2 Attack Dex (GO)'!A101</f>
        <v>Mud Bomb</v>
      </c>
      <c r="F101" s="0" t="str">
        <f aca="false" t="array" ref="F101:F101">IFERROR(INDEX($A$2:$A$413, SMALL(IF(0=$C$2:$C$413, ROW($C$2:$C$413)-ROW($C$2)+1), ROW(100:100))),)</f>
        <v>Hyperspace Hole</v>
      </c>
    </row>
    <row r="102" customFormat="false" ht="15.75" hidden="false" customHeight="false" outlineLevel="0" collapsed="false">
      <c r="A102" s="381" t="s">
        <v>2317</v>
      </c>
      <c r="B102" s="381" t="s">
        <v>148</v>
      </c>
      <c r="C102" s="0" t="n">
        <f aca="false">COUNTIF($E$2:$E$413,A102)</f>
        <v>1</v>
      </c>
      <c r="E102" s="0" t="str">
        <f aca="false">'0.1.2 Attack Dex (GO)'!A102</f>
        <v>Mud Shot</v>
      </c>
      <c r="F102" s="0" t="str">
        <f aca="false" t="array" ref="F102:F102">IFERROR(INDEX($A$2:$A$413, SMALL(IF(0=$C$2:$C$413, ROW($C$2:$C$413)-ROW($C$2)+1), ROW(101:101))),)</f>
        <v>Ice Ball</v>
      </c>
    </row>
    <row r="103" customFormat="false" ht="15.75" hidden="false" customHeight="false" outlineLevel="0" collapsed="false">
      <c r="A103" s="381" t="s">
        <v>2318</v>
      </c>
      <c r="B103" s="381" t="s">
        <v>144</v>
      </c>
      <c r="C103" s="0" t="n">
        <f aca="false">COUNTIF($E$2:$E$413,A103)</f>
        <v>0</v>
      </c>
      <c r="E103" s="0" t="str">
        <f aca="false">'0.1.2 Attack Dex (GO)'!A103</f>
        <v>Mud-Slap</v>
      </c>
      <c r="F103" s="0" t="str">
        <f aca="false" t="array" ref="F103:F103">IFERROR(INDEX($A$2:$A$413, SMALL(IF(0=$C$2:$C$413, ROW($C$2:$C$413)-ROW($C$2)+1), ROW(102:102))),)</f>
        <v>Ice Burn</v>
      </c>
    </row>
    <row r="104" customFormat="false" ht="15.75" hidden="false" customHeight="false" outlineLevel="0" collapsed="false">
      <c r="A104" s="381" t="s">
        <v>2598</v>
      </c>
      <c r="B104" s="381" t="s">
        <v>144</v>
      </c>
      <c r="C104" s="0" t="n">
        <f aca="false">COUNTIF($E$2:$E$413,A104)</f>
        <v>0</v>
      </c>
      <c r="E104" s="0" t="str">
        <f aca="false">'0.1.2 Attack Dex (GO)'!A104</f>
        <v>Night Shade</v>
      </c>
      <c r="F104" s="0" t="str">
        <f aca="false" t="array" ref="F104:F104">IFERROR(INDEX($A$2:$A$413, SMALL(IF(0=$C$2:$C$413, ROW($C$2:$C$413)-ROW($C$2)+1), ROW(103:103))),)</f>
        <v>Ice Fang</v>
      </c>
    </row>
    <row r="105" customFormat="false" ht="15.75" hidden="false" customHeight="false" outlineLevel="0" collapsed="false">
      <c r="A105" s="381" t="s">
        <v>2436</v>
      </c>
      <c r="B105" s="381" t="s">
        <v>156</v>
      </c>
      <c r="C105" s="0" t="n">
        <f aca="false">COUNTIF($E$2:$E$413,A105)</f>
        <v>0</v>
      </c>
      <c r="E105" s="0" t="str">
        <f aca="false">'0.1.2 Attack Dex (GO)'!A105</f>
        <v>Night Slash</v>
      </c>
      <c r="F105" s="0" t="str">
        <f aca="false" t="array" ref="F105:F105">IFERROR(INDEX($A$2:$A$413, SMALL(IF(0=$C$2:$C$413, ROW($C$2:$C$413)-ROW($C$2)+1), ROW(104:104))),)</f>
        <v>Ice Hammer</v>
      </c>
    </row>
    <row r="106" customFormat="false" ht="15.75" hidden="false" customHeight="false" outlineLevel="0" collapsed="false">
      <c r="A106" s="381" t="s">
        <v>2365</v>
      </c>
      <c r="B106" s="381" t="s">
        <v>153</v>
      </c>
      <c r="C106" s="0" t="n">
        <f aca="false">COUNTIF($E$2:$E$413,A106)</f>
        <v>1</v>
      </c>
      <c r="E106" s="0" t="str">
        <f aca="false">'0.1.2 Attack Dex (GO)'!A106</f>
        <v>Ominous Wind</v>
      </c>
      <c r="F106" s="0" t="str">
        <f aca="false" t="array" ref="F106:F106">IFERROR(INDEX($A$2:$A$413, SMALL(IF(0=$C$2:$C$413, ROW($C$2:$C$413)-ROW($C$2)+1), ROW(105:105))),)</f>
        <v>Icicle Crash</v>
      </c>
    </row>
    <row r="107" customFormat="false" ht="15.75" hidden="false" customHeight="false" outlineLevel="0" collapsed="false">
      <c r="A107" s="381" t="s">
        <v>2448</v>
      </c>
      <c r="B107" s="381" t="s">
        <v>144</v>
      </c>
      <c r="C107" s="0" t="n">
        <f aca="false">COUNTIF($E$2:$E$413,A107)</f>
        <v>0</v>
      </c>
      <c r="E107" s="0" t="str">
        <f aca="false">'0.1.2 Attack Dex (GO)'!A107</f>
        <v>Origin Pulse</v>
      </c>
      <c r="F107" s="0" t="str">
        <f aca="false" t="array" ref="F107:F107">IFERROR(INDEX($A$2:$A$413, SMALL(IF(0=$C$2:$C$413, ROW($C$2:$C$413)-ROW($C$2)+1), ROW(106:106))),)</f>
        <v>Icicle Spear</v>
      </c>
    </row>
    <row r="108" customFormat="false" ht="15.75" hidden="false" customHeight="false" outlineLevel="0" collapsed="false">
      <c r="A108" s="381" t="s">
        <v>2319</v>
      </c>
      <c r="B108" s="381" t="s">
        <v>155</v>
      </c>
      <c r="C108" s="0" t="n">
        <f aca="false">COUNTIF($E$2:$E$413,A108)</f>
        <v>1</v>
      </c>
      <c r="E108" s="0" t="str">
        <f aca="false">'0.1.2 Attack Dex (GO)'!A108</f>
        <v>Outrage</v>
      </c>
      <c r="F108" s="0" t="str">
        <f aca="false" t="array" ref="F108:F108">IFERROR(INDEX($A$2:$A$413, SMALL(IF(0=$C$2:$C$413, ROW($C$2:$C$413)-ROW($C$2)+1), ROW(107:107))),)</f>
        <v>Incinerate</v>
      </c>
    </row>
    <row r="109" customFormat="false" ht="15.75" hidden="false" customHeight="false" outlineLevel="0" collapsed="false">
      <c r="A109" s="381" t="s">
        <v>2637</v>
      </c>
      <c r="B109" s="381" t="s">
        <v>153</v>
      </c>
      <c r="C109" s="0" t="n">
        <f aca="false">COUNTIF($E$2:$E$413,A109)</f>
        <v>0</v>
      </c>
      <c r="E109" s="0" t="str">
        <f aca="false">'0.1.2 Attack Dex (GO)'!A109</f>
        <v>Overheat</v>
      </c>
      <c r="F109" s="0" t="str">
        <f aca="false" t="array" ref="F109:F109">IFERROR(INDEX($A$2:$A$413, SMALL(IF(0=$C$2:$C$413, ROW($C$2:$C$413)-ROW($C$2)+1), ROW(108:108))),)</f>
        <v>Inferno</v>
      </c>
    </row>
    <row r="110" customFormat="false" ht="15.75" hidden="false" customHeight="false" outlineLevel="0" collapsed="false">
      <c r="A110" s="381" t="s">
        <v>2562</v>
      </c>
      <c r="B110" s="381" t="s">
        <v>144</v>
      </c>
      <c r="C110" s="0" t="n">
        <f aca="false">COUNTIF($E$2:$E$413,A110)</f>
        <v>0</v>
      </c>
      <c r="E110" s="0" t="str">
        <f aca="false">'0.1.2 Attack Dex (GO)'!A110</f>
        <v>Parabolic Charge</v>
      </c>
      <c r="F110" s="0" t="str">
        <f aca="false" t="array" ref="F110:F110">IFERROR(INDEX($A$2:$A$413, SMALL(IF(0=$C$2:$C$413, ROW($C$2:$C$413)-ROW($C$2)+1), ROW(109:109))),)</f>
        <v>Judgment</v>
      </c>
    </row>
    <row r="111" customFormat="false" ht="15.75" hidden="false" customHeight="false" outlineLevel="0" collapsed="false">
      <c r="A111" s="381" t="s">
        <v>2632</v>
      </c>
      <c r="B111" s="381" t="s">
        <v>157</v>
      </c>
      <c r="C111" s="0" t="n">
        <f aca="false">COUNTIF($E$2:$E$413,A111)</f>
        <v>1</v>
      </c>
      <c r="E111" s="0" t="str">
        <f aca="false">'0.1.2 Attack Dex (GO)'!A111</f>
        <v>Peck</v>
      </c>
      <c r="F111" s="0" t="str">
        <f aca="false" t="array" ref="F111:F111">IFERROR(INDEX($A$2:$A$413, SMALL(IF(0=$C$2:$C$413, ROW($C$2:$C$413)-ROW($C$2)+1), ROW(110:110))),)</f>
        <v>Jump Kick</v>
      </c>
    </row>
    <row r="112" customFormat="false" ht="15.75" hidden="false" customHeight="false" outlineLevel="0" collapsed="false">
      <c r="A112" s="381" t="s">
        <v>2547</v>
      </c>
      <c r="B112" s="381" t="s">
        <v>144</v>
      </c>
      <c r="C112" s="0" t="n">
        <f aca="false">COUNTIF($E$2:$E$413,A112)</f>
        <v>0</v>
      </c>
      <c r="E112" s="0" t="str">
        <f aca="false">'0.1.2 Attack Dex (GO)'!A112</f>
        <v>Petal Blizzard</v>
      </c>
      <c r="F112" s="0" t="str">
        <f aca="false" t="array" ref="F112:F112">IFERROR(INDEX($A$2:$A$413, SMALL(IF(0=$C$2:$C$413, ROW($C$2:$C$413)-ROW($C$2)+1), ROW(111:111))),)</f>
        <v>Knock Off</v>
      </c>
    </row>
    <row r="113" customFormat="false" ht="15.75" hidden="false" customHeight="false" outlineLevel="0" collapsed="false">
      <c r="A113" s="381" t="s">
        <v>2320</v>
      </c>
      <c r="B113" s="381" t="s">
        <v>144</v>
      </c>
      <c r="C113" s="0" t="n">
        <f aca="false">COUNTIF($E$2:$E$413,A113)</f>
        <v>0</v>
      </c>
      <c r="E113" s="0" t="str">
        <f aca="false">'0.1.2 Attack Dex (GO)'!A113</f>
        <v>Play Rough</v>
      </c>
      <c r="F113" s="0" t="str">
        <f aca="false" t="array" ref="F113:F113">IFERROR(INDEX($A$2:$A$413, SMALL(IF(0=$C$2:$C$413, ROW($C$2:$C$413)-ROW($C$2)+1), ROW(112:112))),)</f>
        <v>Land's Wrath</v>
      </c>
    </row>
    <row r="114" customFormat="false" ht="15.75" hidden="false" customHeight="false" outlineLevel="0" collapsed="false">
      <c r="A114" s="381" t="s">
        <v>2640</v>
      </c>
      <c r="B114" s="381" t="s">
        <v>161</v>
      </c>
      <c r="C114" s="0" t="n">
        <f aca="false">COUNTIF($E$2:$E$413,A114)</f>
        <v>0</v>
      </c>
      <c r="E114" s="0" t="str">
        <f aca="false">'0.1.2 Attack Dex (GO)'!A114</f>
        <v>Poison Fang</v>
      </c>
      <c r="F114" s="0" t="str">
        <f aca="false" t="array" ref="F114:F114">IFERROR(INDEX($A$2:$A$413, SMALL(IF(0=$C$2:$C$413, ROW($C$2:$C$413)-ROW($C$2)+1), ROW(113:113))),)</f>
        <v>Last Resort</v>
      </c>
    </row>
    <row r="115" customFormat="false" ht="15.75" hidden="false" customHeight="false" outlineLevel="0" collapsed="false">
      <c r="A115" s="381" t="s">
        <v>2533</v>
      </c>
      <c r="B115" s="381" t="s">
        <v>144</v>
      </c>
      <c r="C115" s="0" t="n">
        <f aca="false">COUNTIF($E$2:$E$413,A115)</f>
        <v>0</v>
      </c>
      <c r="E115" s="0" t="str">
        <f aca="false">'0.1.2 Attack Dex (GO)'!A115</f>
        <v>Poison Jab</v>
      </c>
      <c r="F115" s="0" t="str">
        <f aca="false" t="array" ref="F115:F115">IFERROR(INDEX($A$2:$A$413, SMALL(IF(0=$C$2:$C$413, ROW($C$2:$C$413)-ROW($C$2)+1), ROW(114:114))),)</f>
        <v>Lava Plume</v>
      </c>
    </row>
    <row r="116" customFormat="false" ht="15.75" hidden="false" customHeight="false" outlineLevel="0" collapsed="false">
      <c r="A116" s="381" t="s">
        <v>2449</v>
      </c>
      <c r="B116" s="381" t="s">
        <v>144</v>
      </c>
      <c r="C116" s="0" t="n">
        <f aca="false">COUNTIF($E$2:$E$413,A116)</f>
        <v>0</v>
      </c>
      <c r="E116" s="0" t="str">
        <f aca="false">'0.1.2 Attack Dex (GO)'!A116</f>
        <v>Poison Sting</v>
      </c>
      <c r="F116" s="0" t="str">
        <f aca="false" t="array" ref="F116:F116">IFERROR(INDEX($A$2:$A$413, SMALL(IF(0=$C$2:$C$413, ROW($C$2:$C$413)-ROW($C$2)+1), ROW(115:115))),)</f>
        <v>Leaf Storm</v>
      </c>
    </row>
    <row r="117" customFormat="false" ht="15.75" hidden="false" customHeight="false" outlineLevel="0" collapsed="false">
      <c r="A117" s="381" t="s">
        <v>2534</v>
      </c>
      <c r="B117" s="381" t="s">
        <v>144</v>
      </c>
      <c r="C117" s="0" t="n">
        <f aca="false">COUNTIF($E$2:$E$413,A117)</f>
        <v>0</v>
      </c>
      <c r="E117" s="0" t="str">
        <f aca="false">'0.1.2 Attack Dex (GO)'!A117</f>
        <v>Pound</v>
      </c>
      <c r="F117" s="0" t="str">
        <f aca="false" t="array" ref="F117:F117">IFERROR(INDEX($A$2:$A$413, SMALL(IF(0=$C$2:$C$413, ROW($C$2:$C$413)-ROW($C$2)+1), ROW(116:116))),)</f>
        <v>Leaf Tornado</v>
      </c>
    </row>
    <row r="118" customFormat="false" ht="15.75" hidden="false" customHeight="false" outlineLevel="0" collapsed="false">
      <c r="A118" s="381" t="s">
        <v>2535</v>
      </c>
      <c r="B118" s="381" t="s">
        <v>160</v>
      </c>
      <c r="C118" s="0" t="n">
        <f aca="false">COUNTIF($E$2:$E$413,A118)</f>
        <v>1</v>
      </c>
      <c r="E118" s="0" t="str">
        <f aca="false">'0.1.2 Attack Dex (GO)'!A118</f>
        <v>Powder Snow</v>
      </c>
      <c r="F118" s="0" t="str">
        <f aca="false" t="array" ref="F118:F118">IFERROR(INDEX($A$2:$A$413, SMALL(IF(0=$C$2:$C$413, ROW($C$2:$C$413)-ROW($C$2)+1), ROW(117:117))),)</f>
        <v>Leafage</v>
      </c>
    </row>
    <row r="119" customFormat="false" ht="15.75" hidden="false" customHeight="false" outlineLevel="0" collapsed="false">
      <c r="A119" s="381" t="s">
        <v>2450</v>
      </c>
      <c r="B119" s="381" t="s">
        <v>150</v>
      </c>
      <c r="C119" s="0" t="n">
        <f aca="false">COUNTIF($E$2:$E$413,A119)</f>
        <v>0</v>
      </c>
      <c r="E119" s="0" t="str">
        <f aca="false">'0.1.2 Attack Dex (GO)'!A119</f>
        <v>Power Gem</v>
      </c>
      <c r="F119" s="0" t="str">
        <f aca="false" t="array" ref="F119:F119">IFERROR(INDEX($A$2:$A$413, SMALL(IF(0=$C$2:$C$413, ROW($C$2:$C$413)-ROW($C$2)+1), ROW(118:118))),)</f>
        <v>Leech Life</v>
      </c>
    </row>
    <row r="120" customFormat="false" ht="15.75" hidden="false" customHeight="false" outlineLevel="0" collapsed="false">
      <c r="A120" s="381" t="s">
        <v>2700</v>
      </c>
      <c r="B120" s="381" t="s">
        <v>153</v>
      </c>
      <c r="C120" s="0" t="n">
        <f aca="false">COUNTIF($E$2:$E$413,A120)</f>
        <v>0</v>
      </c>
      <c r="E120" s="0" t="str">
        <f aca="false">'0.1.2 Attack Dex (GO)'!A120</f>
        <v>Power Whip</v>
      </c>
      <c r="F120" s="0" t="str">
        <f aca="false" t="array" ref="F120:F120">IFERROR(INDEX($A$2:$A$413, SMALL(IF(0=$C$2:$C$413, ROW($C$2:$C$413)-ROW($C$2)+1), ROW(119:119))),)</f>
        <v>Light of Ruin</v>
      </c>
    </row>
    <row r="121" customFormat="false" ht="15.75" hidden="false" customHeight="false" outlineLevel="0" collapsed="false">
      <c r="A121" s="381" t="s">
        <v>2544</v>
      </c>
      <c r="B121" s="381" t="s">
        <v>145</v>
      </c>
      <c r="C121" s="0" t="n">
        <f aca="false">COUNTIF($E$2:$E$413,A121)</f>
        <v>0</v>
      </c>
      <c r="E121" s="0" t="str">
        <f aca="false">'0.1.2 Attack Dex (GO)'!A121</f>
        <v>Precipice Blades</v>
      </c>
      <c r="F121" s="0" t="str">
        <f aca="false" t="array" ref="F121:F121">IFERROR(INDEX($A$2:$A$413, SMALL(IF(0=$C$2:$C$413, ROW($C$2:$C$413)-ROW($C$2)+1), ROW(120:120))),)</f>
        <v>Liquidation</v>
      </c>
    </row>
    <row r="122" customFormat="false" ht="15.75" hidden="false" customHeight="false" outlineLevel="0" collapsed="false">
      <c r="A122" s="381" t="s">
        <v>2366</v>
      </c>
      <c r="B122" s="381" t="s">
        <v>153</v>
      </c>
      <c r="C122" s="0" t="n">
        <f aca="false">COUNTIF($E$2:$E$413,A122)</f>
        <v>1</v>
      </c>
      <c r="E122" s="0" t="str">
        <f aca="false">'0.1.2 Attack Dex (GO)'!A122</f>
        <v>Present</v>
      </c>
      <c r="F122" s="0" t="str">
        <f aca="false" t="array" ref="F122:F122">IFERROR(INDEX($A$2:$A$413, SMALL(IF(0=$C$2:$C$413, ROW($C$2:$C$413)-ROW($C$2)+1), ROW(121:121))),)</f>
        <v>Lunge</v>
      </c>
    </row>
    <row r="123" customFormat="false" ht="15.75" hidden="false" customHeight="false" outlineLevel="0" collapsed="false">
      <c r="A123" s="381" t="s">
        <v>2367</v>
      </c>
      <c r="B123" s="381" t="s">
        <v>153</v>
      </c>
      <c r="C123" s="0" t="n">
        <f aca="false">COUNTIF($E$2:$E$413,A123)</f>
        <v>1</v>
      </c>
      <c r="E123" s="0" t="str">
        <f aca="false">'0.1.2 Attack Dex (GO)'!A123</f>
        <v>Psybeam</v>
      </c>
      <c r="F123" s="0" t="str">
        <f aca="false" t="array" ref="F123:F123">IFERROR(INDEX($A$2:$A$413, SMALL(IF(0=$C$2:$C$413, ROW($C$2:$C$413)-ROW($C$2)+1), ROW(122:122))),)</f>
        <v>Luster Purge</v>
      </c>
    </row>
    <row r="124" customFormat="false" ht="15.75" hidden="false" customHeight="false" outlineLevel="0" collapsed="false">
      <c r="A124" s="381" t="s">
        <v>2699</v>
      </c>
      <c r="B124" s="381" t="s">
        <v>153</v>
      </c>
      <c r="C124" s="0" t="n">
        <f aca="false">COUNTIF($E$2:$E$413,A124)</f>
        <v>0</v>
      </c>
      <c r="E124" s="0" t="str">
        <f aca="false">'0.1.2 Attack Dex (GO)'!A124</f>
        <v>Psychic</v>
      </c>
      <c r="F124" s="0" t="str">
        <f aca="false" t="array" ref="F124:F124">IFERROR(INDEX($A$2:$A$413, SMALL(IF(0=$C$2:$C$413, ROW($C$2:$C$413)-ROW($C$2)+1), ROW(123:123))),)</f>
        <v>Mach Punch</v>
      </c>
    </row>
    <row r="125" customFormat="false" ht="15.75" hidden="false" customHeight="false" outlineLevel="0" collapsed="false">
      <c r="A125" s="381" t="s">
        <v>2368</v>
      </c>
      <c r="B125" s="381" t="s">
        <v>153</v>
      </c>
      <c r="C125" s="0" t="n">
        <f aca="false">COUNTIF($E$2:$E$413,A125)</f>
        <v>0</v>
      </c>
      <c r="E125" s="0" t="str">
        <f aca="false">'0.1.2 Attack Dex (GO)'!A125</f>
        <v>Psycho Boost</v>
      </c>
      <c r="F125" s="0" t="str">
        <f aca="false" t="array" ref="F125:F125">IFERROR(INDEX($A$2:$A$413, SMALL(IF(0=$C$2:$C$413, ROW($C$2:$C$413)-ROW($C$2)+1), ROW(124:124))),)</f>
        <v>Magical Leaf</v>
      </c>
    </row>
    <row r="126" customFormat="false" ht="15.75" hidden="false" customHeight="false" outlineLevel="0" collapsed="false">
      <c r="A126" s="381" t="s">
        <v>2369</v>
      </c>
      <c r="B126" s="381" t="s">
        <v>153</v>
      </c>
      <c r="C126" s="0" t="n">
        <f aca="false">COUNTIF($E$2:$E$413,A126)</f>
        <v>1</v>
      </c>
      <c r="E126" s="0" t="str">
        <f aca="false">'0.1.2 Attack Dex (GO)'!A126</f>
        <v>Psycho Cut</v>
      </c>
      <c r="F126" s="0" t="str">
        <f aca="false" t="array" ref="F126:F126">IFERROR(INDEX($A$2:$A$413, SMALL(IF(0=$C$2:$C$413, ROW($C$2:$C$413)-ROW($C$2)+1), ROW(125:125))),)</f>
        <v>Magma Storm</v>
      </c>
    </row>
    <row r="127" customFormat="false" ht="15.75" hidden="false" customHeight="false" outlineLevel="0" collapsed="false">
      <c r="A127" s="381" t="s">
        <v>2370</v>
      </c>
      <c r="B127" s="381" t="s">
        <v>153</v>
      </c>
      <c r="C127" s="0" t="n">
        <f aca="false">COUNTIF($E$2:$E$413,A127)</f>
        <v>1</v>
      </c>
      <c r="E127" s="0" t="str">
        <f aca="false">'0.1.2 Attack Dex (GO)'!A127</f>
        <v>Psyshock</v>
      </c>
      <c r="F127" s="0" t="str">
        <f aca="false" t="array" ref="F127:F127">IFERROR(INDEX($A$2:$A$413, SMALL(IF(0=$C$2:$C$413, ROW($C$2:$C$413)-ROW($C$2)+1), ROW(126:126))),)</f>
        <v>Mega Kick</v>
      </c>
    </row>
    <row r="128" customFormat="false" ht="15.75" hidden="false" customHeight="false" outlineLevel="0" collapsed="false">
      <c r="A128" s="381" t="s">
        <v>2578</v>
      </c>
      <c r="B128" s="381" t="s">
        <v>150</v>
      </c>
      <c r="C128" s="0" t="n">
        <f aca="false">COUNTIF($E$2:$E$413,A128)</f>
        <v>0</v>
      </c>
      <c r="E128" s="0" t="str">
        <f aca="false">'0.1.2 Attack Dex (GO)'!A128</f>
        <v>Psystrike</v>
      </c>
      <c r="F128" s="0" t="str">
        <f aca="false" t="array" ref="F128:F128">IFERROR(INDEX($A$2:$A$413, SMALL(IF(0=$C$2:$C$413, ROW($C$2:$C$413)-ROW($C$2)+1), ROW(127:127))),)</f>
        <v>Mega Punch</v>
      </c>
    </row>
    <row r="129" customFormat="false" ht="15.75" hidden="false" customHeight="false" outlineLevel="0" collapsed="false">
      <c r="A129" s="381" t="s">
        <v>2371</v>
      </c>
      <c r="B129" s="381" t="s">
        <v>153</v>
      </c>
      <c r="C129" s="0" t="n">
        <f aca="false">COUNTIF($E$2:$E$413,A129)</f>
        <v>1</v>
      </c>
      <c r="E129" s="0" t="str">
        <f aca="false">'0.1.2 Attack Dex (GO)'!A129</f>
        <v>Quick Attack</v>
      </c>
      <c r="F129" s="0" t="str">
        <f aca="false" t="array" ref="F129:F129">IFERROR(INDEX($A$2:$A$413, SMALL(IF(0=$C$2:$C$413, ROW($C$2:$C$413)-ROW($C$2)+1), ROW(128:128))),)</f>
        <v>Metal Burst</v>
      </c>
    </row>
    <row r="130" customFormat="false" ht="15.75" hidden="false" customHeight="false" outlineLevel="0" collapsed="false">
      <c r="A130" s="381" t="s">
        <v>2372</v>
      </c>
      <c r="B130" s="381" t="s">
        <v>153</v>
      </c>
      <c r="C130" s="0" t="n">
        <f aca="false">COUNTIF($E$2:$E$413,A130)</f>
        <v>1</v>
      </c>
      <c r="E130" s="0" t="str">
        <f aca="false">'0.1.2 Attack Dex (GO)'!A130</f>
        <v>Razor Leaf</v>
      </c>
      <c r="F130" s="0" t="str">
        <f aca="false" t="array" ref="F130:F130">IFERROR(INDEX($A$2:$A$413, SMALL(IF(0=$C$2:$C$413, ROW($C$2:$C$413)-ROW($C$2)+1), ROW(129:129))),)</f>
        <v>Meteor Mash</v>
      </c>
    </row>
    <row r="131" customFormat="false" ht="15.75" hidden="false" customHeight="false" outlineLevel="0" collapsed="false">
      <c r="A131" s="381" t="s">
        <v>2548</v>
      </c>
      <c r="B131" s="381" t="s">
        <v>153</v>
      </c>
      <c r="C131" s="0" t="n">
        <f aca="false">COUNTIF($E$2:$E$413,A131)</f>
        <v>1</v>
      </c>
      <c r="E131" s="0" t="str">
        <f aca="false">'0.1.2 Attack Dex (GO)'!A131</f>
        <v>Rest</v>
      </c>
      <c r="F131" s="0" t="str">
        <f aca="false" t="array" ref="F131:F131">IFERROR(INDEX($A$2:$A$413, SMALL(IF(0=$C$2:$C$413, ROW($C$2:$C$413)-ROW($C$2)+1), ROW(130:130))),)</f>
        <v>Mind Blown</v>
      </c>
    </row>
    <row r="132" customFormat="false" ht="15.75" hidden="false" customHeight="false" outlineLevel="0" collapsed="false">
      <c r="A132" s="381" t="s">
        <v>2373</v>
      </c>
      <c r="B132" s="381" t="s">
        <v>153</v>
      </c>
      <c r="C132" s="0" t="n">
        <f aca="false">COUNTIF($E$2:$E$413,A132)</f>
        <v>1</v>
      </c>
      <c r="E132" s="0" t="str">
        <f aca="false">'0.1.2 Attack Dex (GO)'!A132</f>
        <v>Rock Blast</v>
      </c>
      <c r="F132" s="0" t="str">
        <f aca="false" t="array" ref="F132:F132">IFERROR(INDEX($A$2:$A$413, SMALL(IF(0=$C$2:$C$413, ROW($C$2:$C$413)-ROW($C$2)+1), ROW(131:131))),)</f>
        <v>Mirror Shot</v>
      </c>
    </row>
    <row r="133" customFormat="false" ht="15.75" hidden="false" customHeight="false" outlineLevel="0" collapsed="false">
      <c r="A133" s="381" t="s">
        <v>2374</v>
      </c>
      <c r="B133" s="381" t="s">
        <v>153</v>
      </c>
      <c r="C133" s="0" t="n">
        <f aca="false">COUNTIF($E$2:$E$413,A133)</f>
        <v>0</v>
      </c>
      <c r="E133" s="0" t="str">
        <f aca="false">'0.1.2 Attack Dex (GO)'!A133</f>
        <v>Rock Slide</v>
      </c>
      <c r="F133" s="0" t="str">
        <f aca="false" t="array" ref="F133:F133">IFERROR(INDEX($A$2:$A$413, SMALL(IF(0=$C$2:$C$413, ROW($C$2:$C$413)-ROW($C$2)+1), ROW(132:132))),)</f>
        <v>Mist Ball</v>
      </c>
    </row>
    <row r="134" customFormat="false" ht="15.75" hidden="false" customHeight="false" outlineLevel="0" collapsed="false">
      <c r="A134" s="381" t="s">
        <v>2411</v>
      </c>
      <c r="B134" s="381" t="s">
        <v>152</v>
      </c>
      <c r="C134" s="0" t="n">
        <f aca="false">COUNTIF($E$2:$E$413,A134)</f>
        <v>1</v>
      </c>
      <c r="E134" s="0" t="str">
        <f aca="false">'0.1.2 Attack Dex (GO)'!A134</f>
        <v>Rock Smash</v>
      </c>
      <c r="F134" s="0" t="str">
        <f aca="false" t="array" ref="F134:F134">IFERROR(INDEX($A$2:$A$413, SMALL(IF(0=$C$2:$C$413, ROW($C$2:$C$413)-ROW($C$2)+1), ROW(133:133))),)</f>
        <v>Moongeist Beam</v>
      </c>
    </row>
    <row r="135" customFormat="false" ht="15.75" hidden="false" customHeight="false" outlineLevel="0" collapsed="false">
      <c r="A135" s="381" t="s">
        <v>2751</v>
      </c>
      <c r="B135" s="381" t="s">
        <v>161</v>
      </c>
      <c r="C135" s="0" t="n">
        <f aca="false">COUNTIF($E$2:$E$413,A135)</f>
        <v>0</v>
      </c>
      <c r="E135" s="0" t="str">
        <f aca="false">'0.1.2 Attack Dex (GO)'!A135</f>
        <v>Rock Throw</v>
      </c>
      <c r="F135" s="0" t="str">
        <f aca="false" t="array" ref="F135:F135">IFERROR(INDEX($A$2:$A$413, SMALL(IF(0=$C$2:$C$413, ROW($C$2:$C$413)-ROW($C$2)+1), ROW(134:134))),)</f>
        <v>Muddy Water</v>
      </c>
    </row>
    <row r="136" customFormat="false" ht="15.75" hidden="false" customHeight="false" outlineLevel="0" collapsed="false">
      <c r="A136" s="381" t="s">
        <v>2375</v>
      </c>
      <c r="B136" s="381" t="s">
        <v>146</v>
      </c>
      <c r="C136" s="0" t="n">
        <f aca="false">COUNTIF($E$2:$E$413,A136)</f>
        <v>0</v>
      </c>
      <c r="E136" s="0" t="str">
        <f aca="false">'0.1.2 Attack Dex (GO)'!A136</f>
        <v>Rock Tomb</v>
      </c>
      <c r="F136" s="0" t="str">
        <f aca="false" t="array" ref="F136:F136">IFERROR(INDEX($A$2:$A$413, SMALL(IF(0=$C$2:$C$413, ROW($C$2:$C$413)-ROW($C$2)+1), ROW(135:135))),)</f>
        <v>Multi-Attack</v>
      </c>
    </row>
    <row r="137" customFormat="false" ht="15.75" hidden="false" customHeight="false" outlineLevel="0" collapsed="false">
      <c r="A137" s="381" t="s">
        <v>2712</v>
      </c>
      <c r="B137" s="381" t="s">
        <v>145</v>
      </c>
      <c r="C137" s="0" t="n">
        <f aca="false">COUNTIF($E$2:$E$413,A137)</f>
        <v>0</v>
      </c>
      <c r="E137" s="0" t="str">
        <f aca="false">'0.1.2 Attack Dex (GO)'!A137</f>
        <v>Sand Tomb</v>
      </c>
      <c r="F137" s="0" t="str">
        <f aca="false" t="array" ref="F137:F137">IFERROR(INDEX($A$2:$A$413, SMALL(IF(0=$C$2:$C$413, ROW($C$2:$C$413)-ROW($C$2)+1), ROW(136:136))),)</f>
        <v>Mystical Fire</v>
      </c>
    </row>
    <row r="138" customFormat="false" ht="15.75" hidden="false" customHeight="false" outlineLevel="0" collapsed="false">
      <c r="A138" s="381" t="s">
        <v>2376</v>
      </c>
      <c r="B138" s="381" t="s">
        <v>145</v>
      </c>
      <c r="C138" s="0" t="n">
        <f aca="false">COUNTIF($E$2:$E$413,A138)</f>
        <v>1</v>
      </c>
      <c r="E138" s="0" t="str">
        <f aca="false">'0.1.2 Attack Dex (GO)'!A138</f>
        <v>Scald</v>
      </c>
      <c r="F138" s="0" t="str">
        <f aca="false" t="array" ref="F138:F138">IFERROR(INDEX($A$2:$A$413, SMALL(IF(0=$C$2:$C$413, ROW($C$2:$C$413)-ROW($C$2)+1), ROW(137:137))),)</f>
        <v>Nature's Madness</v>
      </c>
    </row>
    <row r="139" customFormat="false" ht="15.75" hidden="false" customHeight="false" outlineLevel="0" collapsed="false">
      <c r="A139" s="381" t="s">
        <v>2377</v>
      </c>
      <c r="B139" s="381" t="s">
        <v>145</v>
      </c>
      <c r="C139" s="0" t="n">
        <f aca="false">COUNTIF($E$2:$E$413,A139)</f>
        <v>0</v>
      </c>
      <c r="E139" s="0" t="str">
        <f aca="false">'0.1.2 Attack Dex (GO)'!A139</f>
        <v>Scratch</v>
      </c>
      <c r="F139" s="0" t="str">
        <f aca="false" t="array" ref="F139:F139">IFERROR(INDEX($A$2:$A$413, SMALL(IF(0=$C$2:$C$413, ROW($C$2:$C$413)-ROW($C$2)+1), ROW(138:138))),)</f>
        <v>Needle Arm</v>
      </c>
    </row>
    <row r="140" customFormat="false" ht="15.75" hidden="false" customHeight="false" outlineLevel="0" collapsed="false">
      <c r="A140" s="381" t="s">
        <v>2655</v>
      </c>
      <c r="B140" s="381" t="s">
        <v>145</v>
      </c>
      <c r="C140" s="0" t="n">
        <f aca="false">COUNTIF($E$2:$E$413,A140)</f>
        <v>0</v>
      </c>
      <c r="E140" s="0" t="str">
        <f aca="false">'0.1.2 Attack Dex (GO)'!A140</f>
        <v>Seed Bomb</v>
      </c>
      <c r="F140" s="0" t="str">
        <f aca="false" t="array" ref="F140:F140">IFERROR(INDEX($A$2:$A$413, SMALL(IF(0=$C$2:$C$413, ROW($C$2:$C$413)-ROW($C$2)+1), ROW(139:139))),)</f>
        <v>Night Daze</v>
      </c>
    </row>
    <row r="141" customFormat="false" ht="15.75" hidden="false" customHeight="false" outlineLevel="0" collapsed="false">
      <c r="A141" s="381" t="s">
        <v>2523</v>
      </c>
      <c r="B141" s="381" t="s">
        <v>160</v>
      </c>
      <c r="C141" s="0" t="n">
        <f aca="false">COUNTIF($E$2:$E$413,A141)</f>
        <v>1</v>
      </c>
      <c r="E141" s="0" t="str">
        <f aca="false">'0.1.2 Attack Dex (GO)'!A141</f>
        <v>Shadow Ball</v>
      </c>
      <c r="F141" s="0" t="str">
        <f aca="false" t="array" ref="F141:F141">IFERROR(INDEX($A$2:$A$413, SMALL(IF(0=$C$2:$C$413, ROW($C$2:$C$413)-ROW($C$2)+1), ROW(140:140))),)</f>
        <v>Nuzzle</v>
      </c>
    </row>
    <row r="142" customFormat="false" ht="15.75" hidden="false" customHeight="false" outlineLevel="0" collapsed="false">
      <c r="A142" s="381" t="s">
        <v>2703</v>
      </c>
      <c r="B142" s="381" t="s">
        <v>158</v>
      </c>
      <c r="C142" s="0" t="n">
        <f aca="false">COUNTIF($E$2:$E$413,A142)</f>
        <v>0</v>
      </c>
      <c r="E142" s="0" t="str">
        <f aca="false">'0.1.2 Attack Dex (GO)'!A142</f>
        <v>Shadow Claw</v>
      </c>
      <c r="F142" s="0" t="str">
        <f aca="false" t="array" ref="F142:F142">IFERROR(INDEX($A$2:$A$413, SMALL(IF(0=$C$2:$C$413, ROW($C$2:$C$413)-ROW($C$2)+1), ROW(141:141))),)</f>
        <v>Oblivion Wing</v>
      </c>
    </row>
    <row r="143" customFormat="false" ht="15.75" hidden="false" customHeight="false" outlineLevel="0" collapsed="false">
      <c r="A143" s="381" t="s">
        <v>2629</v>
      </c>
      <c r="B143" s="381" t="s">
        <v>158</v>
      </c>
      <c r="C143" s="0" t="n">
        <f aca="false">COUNTIF($E$2:$E$413,A143)</f>
        <v>0</v>
      </c>
      <c r="E143" s="0" t="str">
        <f aca="false">'0.1.2 Attack Dex (GO)'!A143</f>
        <v>Shadow Punch</v>
      </c>
      <c r="F143" s="0" t="str">
        <f aca="false" t="array" ref="F143:F143">IFERROR(INDEX($A$2:$A$413, SMALL(IF(0=$C$2:$C$413, ROW($C$2:$C$413)-ROW($C$2)+1), ROW(142:142))),)</f>
        <v>Octazooka</v>
      </c>
    </row>
    <row r="144" customFormat="false" ht="15.75" hidden="false" customHeight="false" outlineLevel="0" collapsed="false">
      <c r="A144" s="381" t="s">
        <v>2321</v>
      </c>
      <c r="B144" s="381" t="s">
        <v>155</v>
      </c>
      <c r="C144" s="0" t="n">
        <f aca="false">COUNTIF($E$2:$E$413,A144)</f>
        <v>1</v>
      </c>
      <c r="E144" s="0" t="str">
        <f aca="false">'0.1.2 Attack Dex (GO)'!A144</f>
        <v>Shadow Sneak</v>
      </c>
      <c r="F144" s="0" t="str">
        <f aca="false" t="array" ref="F144:F144">IFERROR(INDEX($A$2:$A$413, SMALL(IF(0=$C$2:$C$413, ROW($C$2:$C$413)-ROW($C$2)+1), ROW(143:143))),)</f>
        <v>Pay Day</v>
      </c>
    </row>
    <row r="145" customFormat="false" ht="15.75" hidden="false" customHeight="false" outlineLevel="0" collapsed="false">
      <c r="A145" s="381" t="s">
        <v>2502</v>
      </c>
      <c r="B145" s="381" t="s">
        <v>158</v>
      </c>
      <c r="C145" s="0" t="n">
        <f aca="false">COUNTIF($E$2:$E$413,A145)</f>
        <v>1</v>
      </c>
      <c r="E145" s="0" t="str">
        <f aca="false">'0.1.2 Attack Dex (GO)'!A145</f>
        <v>Signal Beam</v>
      </c>
      <c r="F145" s="0" t="str">
        <f aca="false" t="array" ref="F145:F145">IFERROR(INDEX($A$2:$A$413, SMALL(IF(0=$C$2:$C$413, ROW($C$2:$C$413)-ROW($C$2)+1), ROW(144:144))),)</f>
        <v>Payback</v>
      </c>
    </row>
    <row r="146" customFormat="false" ht="15.75" hidden="false" customHeight="false" outlineLevel="0" collapsed="false">
      <c r="A146" s="381" t="s">
        <v>2451</v>
      </c>
      <c r="B146" s="381" t="s">
        <v>144</v>
      </c>
      <c r="C146" s="0" t="n">
        <f aca="false">COUNTIF($E$2:$E$413,A146)</f>
        <v>0</v>
      </c>
      <c r="E146" s="0" t="str">
        <f aca="false">'0.1.2 Attack Dex (GO)'!A146</f>
        <v>Silver Wind</v>
      </c>
      <c r="F146" s="0" t="str">
        <f aca="false" t="array" ref="F146:F146">IFERROR(INDEX($A$2:$A$413, SMALL(IF(0=$C$2:$C$413, ROW($C$2:$C$413)-ROW($C$2)+1), ROW(145:145))),)</f>
        <v>Petal Dance</v>
      </c>
    </row>
    <row r="147" customFormat="false" ht="15.75" hidden="false" customHeight="false" outlineLevel="0" collapsed="false">
      <c r="A147" s="381" t="s">
        <v>2322</v>
      </c>
      <c r="B147" s="381" t="s">
        <v>150</v>
      </c>
      <c r="C147" s="0" t="n">
        <f aca="false">COUNTIF($E$2:$E$413,A147)</f>
        <v>1</v>
      </c>
      <c r="E147" s="0" t="str">
        <f aca="false">'0.1.2 Attack Dex (GO)'!A147</f>
        <v>Sky Attack</v>
      </c>
      <c r="F147" s="0" t="str">
        <f aca="false" t="array" ref="F147:F147">IFERROR(INDEX($A$2:$A$413, SMALL(IF(0=$C$2:$C$413, ROW($C$2:$C$413)-ROW($C$2)+1), ROW(146:146))),)</f>
        <v>Phantom Force</v>
      </c>
    </row>
    <row r="148" customFormat="false" ht="15.75" hidden="false" customHeight="false" outlineLevel="0" collapsed="false">
      <c r="A148" s="381" t="s">
        <v>2498</v>
      </c>
      <c r="B148" s="381" t="s">
        <v>144</v>
      </c>
      <c r="C148" s="0" t="n">
        <f aca="false">COUNTIF($E$2:$E$413,A148)</f>
        <v>0</v>
      </c>
      <c r="E148" s="0" t="str">
        <f aca="false">'0.1.2 Attack Dex (GO)'!A148</f>
        <v>Sludge</v>
      </c>
      <c r="F148" s="0" t="str">
        <f aca="false" t="array" ref="F148:F148">IFERROR(INDEX($A$2:$A$413, SMALL(IF(0=$C$2:$C$413, ROW($C$2:$C$413)-ROW($C$2)+1), ROW(147:147))),)</f>
        <v>Photon Geyser</v>
      </c>
    </row>
    <row r="149" customFormat="false" ht="15.75" hidden="false" customHeight="false" outlineLevel="0" collapsed="false">
      <c r="A149" s="381" t="s">
        <v>2689</v>
      </c>
      <c r="B149" s="381" t="s">
        <v>156</v>
      </c>
      <c r="C149" s="0" t="n">
        <f aca="false">COUNTIF($E$2:$E$413,A149)</f>
        <v>0</v>
      </c>
      <c r="E149" s="0" t="str">
        <f aca="false">'0.1.2 Attack Dex (GO)'!A149</f>
        <v>Sludge Bomb</v>
      </c>
      <c r="F149" s="0" t="str">
        <f aca="false" t="array" ref="F149:F149">IFERROR(INDEX($A$2:$A$413, SMALL(IF(0=$C$2:$C$413, ROW($C$2:$C$413)-ROW($C$2)+1), ROW(148:148))),)</f>
        <v>Pin Missile</v>
      </c>
    </row>
    <row r="150" customFormat="false" ht="15.75" hidden="false" customHeight="false" outlineLevel="0" collapsed="false">
      <c r="A150" s="381" t="s">
        <v>2690</v>
      </c>
      <c r="B150" s="381" t="s">
        <v>153</v>
      </c>
      <c r="C150" s="0" t="n">
        <f aca="false">COUNTIF($E$2:$E$413,A150)</f>
        <v>0</v>
      </c>
      <c r="E150" s="0" t="str">
        <f aca="false">'0.1.2 Attack Dex (GO)'!A150</f>
        <v>Sludge Wave</v>
      </c>
      <c r="F150" s="0" t="str">
        <f aca="false" t="array" ref="F150:F150">IFERROR(INDEX($A$2:$A$413, SMALL(IF(0=$C$2:$C$413, ROW($C$2:$C$413)-ROW($C$2)+1), ROW(149:149))),)</f>
        <v>Plasma Fists</v>
      </c>
    </row>
    <row r="151" customFormat="false" ht="15.75" hidden="false" customHeight="false" outlineLevel="0" collapsed="false">
      <c r="A151" s="381" t="s">
        <v>2550</v>
      </c>
      <c r="B151" s="381" t="s">
        <v>157</v>
      </c>
      <c r="C151" s="0" t="n">
        <f aca="false">COUNTIF($E$2:$E$413,A151)</f>
        <v>1</v>
      </c>
      <c r="E151" s="0" t="str">
        <f aca="false">'0.1.2 Attack Dex (GO)'!A151</f>
        <v>Snarl</v>
      </c>
      <c r="F151" s="0" t="str">
        <f aca="false" t="array" ref="F151:F151">IFERROR(INDEX($A$2:$A$413, SMALL(IF(0=$C$2:$C$413, ROW($C$2:$C$413)-ROW($C$2)+1), ROW(150:150))),)</f>
        <v>Pluck</v>
      </c>
    </row>
    <row r="152" customFormat="false" ht="15.75" hidden="false" customHeight="false" outlineLevel="0" collapsed="false">
      <c r="A152" s="381" t="s">
        <v>2696</v>
      </c>
      <c r="B152" s="381" t="s">
        <v>152</v>
      </c>
      <c r="C152" s="0" t="n">
        <f aca="false">COUNTIF($E$2:$E$413,A152)</f>
        <v>0</v>
      </c>
      <c r="E152" s="0" t="str">
        <f aca="false">'0.1.2 Attack Dex (GO)'!A152</f>
        <v>Solar Beam</v>
      </c>
      <c r="F152" s="0" t="str">
        <f aca="false" t="array" ref="F152:F152">IFERROR(INDEX($A$2:$A$413, SMALL(IF(0=$C$2:$C$413, ROW($C$2:$C$413)-ROW($C$2)+1), ROW(151:151))),)</f>
        <v>Poison Tail</v>
      </c>
    </row>
    <row r="153" customFormat="false" ht="15.75" hidden="false" customHeight="false" outlineLevel="0" collapsed="false">
      <c r="A153" s="381" t="s">
        <v>2323</v>
      </c>
      <c r="B153" s="381" t="s">
        <v>155</v>
      </c>
      <c r="C153" s="0" t="n">
        <f aca="false">COUNTIF($E$2:$E$413,A153)</f>
        <v>1</v>
      </c>
      <c r="E153" s="0" t="str">
        <f aca="false">'0.1.2 Attack Dex (GO)'!A153</f>
        <v>Spark</v>
      </c>
      <c r="F153" s="0" t="str">
        <f aca="false" t="array" ref="F153:F153">IFERROR(INDEX($A$2:$A$413, SMALL(IF(0=$C$2:$C$413, ROW($C$2:$C$413)-ROW($C$2)+1), ROW(152:152))),)</f>
        <v>Pollen Puff</v>
      </c>
    </row>
    <row r="154" customFormat="false" ht="15.75" hidden="false" customHeight="false" outlineLevel="0" collapsed="false">
      <c r="A154" s="381" t="s">
        <v>2324</v>
      </c>
      <c r="B154" s="381" t="s">
        <v>144</v>
      </c>
      <c r="C154" s="0" t="n">
        <f aca="false">COUNTIF($E$2:$E$413,A154)</f>
        <v>0</v>
      </c>
      <c r="E154" s="0" t="str">
        <f aca="false">'0.1.2 Attack Dex (GO)'!A154</f>
        <v>Splash</v>
      </c>
      <c r="F154" s="0" t="str">
        <f aca="false" t="array" ref="F154:F154">IFERROR(INDEX($A$2:$A$413, SMALL(IF(0=$C$2:$C$413, ROW($C$2:$C$413)-ROW($C$2)+1), ROW(153:153))),)</f>
        <v>Power Trip</v>
      </c>
    </row>
    <row r="155" customFormat="false" ht="15.75" hidden="false" customHeight="false" outlineLevel="0" collapsed="false">
      <c r="A155" s="381" t="s">
        <v>2691</v>
      </c>
      <c r="B155" s="381" t="s">
        <v>158</v>
      </c>
      <c r="C155" s="0" t="n">
        <f aca="false">COUNTIF($E$2:$E$413,A155)</f>
        <v>0</v>
      </c>
      <c r="E155" s="0" t="str">
        <f aca="false">'0.1.2 Attack Dex (GO)'!A155</f>
        <v>Steel Wing</v>
      </c>
      <c r="F155" s="0" t="str">
        <f aca="false" t="array" ref="F155:F155">IFERROR(INDEX($A$2:$A$413, SMALL(IF(0=$C$2:$C$413, ROW($C$2:$C$413)-ROW($C$2)+1), ROW(154:154))),)</f>
        <v>Power-Up Punch</v>
      </c>
    </row>
    <row r="156" customFormat="false" ht="15.75" hidden="false" customHeight="false" outlineLevel="0" collapsed="false">
      <c r="A156" s="381" t="s">
        <v>2326</v>
      </c>
      <c r="B156" s="381" t="s">
        <v>155</v>
      </c>
      <c r="C156" s="0" t="n">
        <f aca="false">COUNTIF($E$2:$E$413,A156)</f>
        <v>0</v>
      </c>
      <c r="E156" s="0" t="str">
        <f aca="false">'0.1.2 Attack Dex (GO)'!A156</f>
        <v>Stomp</v>
      </c>
      <c r="F156" s="0" t="str">
        <f aca="false" t="array" ref="F156:F156">IFERROR(INDEX($A$2:$A$413, SMALL(IF(0=$C$2:$C$413, ROW($C$2:$C$413)-ROW($C$2)+1), ROW(155:155))),)</f>
        <v>Prismatic Laser</v>
      </c>
    </row>
    <row r="157" customFormat="false" ht="15.75" hidden="false" customHeight="false" outlineLevel="0" collapsed="false">
      <c r="A157" s="381" t="s">
        <v>2484</v>
      </c>
      <c r="B157" s="381" t="s">
        <v>147</v>
      </c>
      <c r="C157" s="0" t="n">
        <f aca="false">COUNTIF($E$2:$E$413,A157)</f>
        <v>1</v>
      </c>
      <c r="E157" s="0" t="str">
        <f aca="false">'0.1.2 Attack Dex (GO)'!A157</f>
        <v>Stone Edge</v>
      </c>
      <c r="F157" s="0" t="str">
        <f aca="false" t="array" ref="F157:F157">IFERROR(INDEX($A$2:$A$413, SMALL(IF(0=$C$2:$C$413, ROW($C$2:$C$413)-ROW($C$2)+1), ROW(156:156))),)</f>
        <v>Psychic Fangs</v>
      </c>
    </row>
    <row r="158" customFormat="false" ht="15.75" hidden="false" customHeight="false" outlineLevel="0" collapsed="false">
      <c r="A158" s="381" t="s">
        <v>2437</v>
      </c>
      <c r="B158" s="381" t="s">
        <v>146</v>
      </c>
      <c r="C158" s="0" t="n">
        <f aca="false">COUNTIF($E$2:$E$413,A158)</f>
        <v>0</v>
      </c>
      <c r="E158" s="0" t="str">
        <f aca="false">'0.1.2 Attack Dex (GO)'!A158</f>
        <v>Struggle</v>
      </c>
      <c r="F158" s="0" t="str">
        <f aca="false" t="array" ref="F158:F158">IFERROR(INDEX($A$2:$A$413, SMALL(IF(0=$C$2:$C$413, ROW($C$2:$C$413)-ROW($C$2)+1), ROW(157:157))),)</f>
        <v>Psywave</v>
      </c>
    </row>
    <row r="159" customFormat="false" ht="15.75" hidden="false" customHeight="false" outlineLevel="0" collapsed="false">
      <c r="A159" s="381" t="s">
        <v>2614</v>
      </c>
      <c r="B159" s="381" t="s">
        <v>145</v>
      </c>
      <c r="C159" s="0" t="n">
        <f aca="false">COUNTIF($E$2:$E$413,A159)</f>
        <v>0</v>
      </c>
      <c r="E159" s="0" t="str">
        <f aca="false">'0.1.2 Attack Dex (GO)'!A159</f>
        <v>Struggle Bug</v>
      </c>
      <c r="F159" s="0" t="str">
        <f aca="false" t="array" ref="F159:F159">IFERROR(INDEX($A$2:$A$413, SMALL(IF(0=$C$2:$C$413, ROW($C$2:$C$413)-ROW($C$2)+1), ROW(158:158))),)</f>
        <v>Pursuit</v>
      </c>
    </row>
    <row r="160" customFormat="false" ht="15.75" hidden="false" customHeight="false" outlineLevel="0" collapsed="false">
      <c r="A160" s="381" t="s">
        <v>2698</v>
      </c>
      <c r="B160" s="381" t="s">
        <v>144</v>
      </c>
      <c r="C160" s="0" t="n">
        <f aca="false">COUNTIF($E$2:$E$413,A160)</f>
        <v>0</v>
      </c>
      <c r="E160" s="0" t="str">
        <f aca="false">'0.1.2 Attack Dex (GO)'!A160</f>
        <v>Submission</v>
      </c>
      <c r="F160" s="0" t="str">
        <f aca="false" t="array" ref="F160:F160">IFERROR(INDEX($A$2:$A$413, SMALL(IF(0=$C$2:$C$413, ROW($C$2:$C$413)-ROW($C$2)+1), ROW(159:159))),)</f>
        <v>Rage</v>
      </c>
    </row>
    <row r="161" customFormat="false" ht="15.75" hidden="false" customHeight="false" outlineLevel="0" collapsed="false">
      <c r="A161" s="381" t="s">
        <v>2642</v>
      </c>
      <c r="B161" s="381" t="s">
        <v>149</v>
      </c>
      <c r="C161" s="0" t="n">
        <f aca="false">COUNTIF($E$2:$E$413,A161)</f>
        <v>0</v>
      </c>
      <c r="E161" s="0" t="str">
        <f aca="false">'0.1.2 Attack Dex (GO)'!A161</f>
        <v>Sucker Punch</v>
      </c>
      <c r="F161" s="0" t="str">
        <f aca="false" t="array" ref="F161:F161">IFERROR(INDEX($A$2:$A$413, SMALL(IF(0=$C$2:$C$413, ROW($C$2:$C$413)-ROW($C$2)+1), ROW(160:160))),)</f>
        <v>Rapid Spin</v>
      </c>
    </row>
    <row r="162" customFormat="false" ht="15.75" hidden="false" customHeight="false" outlineLevel="0" collapsed="false">
      <c r="A162" s="381" t="s">
        <v>2327</v>
      </c>
      <c r="B162" s="381" t="s">
        <v>144</v>
      </c>
      <c r="C162" s="0" t="n">
        <f aca="false">COUNTIF($E$2:$E$413,A162)</f>
        <v>0</v>
      </c>
      <c r="E162" s="0" t="str">
        <f aca="false">'0.1.2 Attack Dex (GO)'!A162</f>
        <v>Surf</v>
      </c>
      <c r="F162" s="0" t="str">
        <f aca="false" t="array" ref="F162:F162">IFERROR(INDEX($A$2:$A$413, SMALL(IF(0=$C$2:$C$413, ROW($C$2:$C$413)-ROW($C$2)+1), ROW(161:161))),)</f>
        <v>Razor Shell</v>
      </c>
    </row>
    <row r="163" customFormat="false" ht="15.75" hidden="false" customHeight="false" outlineLevel="0" collapsed="false">
      <c r="A163" s="381" t="s">
        <v>2625</v>
      </c>
      <c r="B163" s="381" t="s">
        <v>157</v>
      </c>
      <c r="C163" s="0" t="n">
        <f aca="false">COUNTIF($E$2:$E$413,A163)</f>
        <v>1</v>
      </c>
      <c r="E163" s="0" t="str">
        <f aca="false">'0.1.2 Attack Dex (GO)'!A163</f>
        <v>Swift</v>
      </c>
      <c r="F163" s="0" t="str">
        <f aca="false" t="array" ref="F163:F163">IFERROR(INDEX($A$2:$A$413, SMALL(IF(0=$C$2:$C$413, ROW($C$2:$C$413)-ROW($C$2)+1), ROW(162:162))),)</f>
        <v>Razor Wind</v>
      </c>
    </row>
    <row r="164" customFormat="false" ht="15.75" hidden="false" customHeight="false" outlineLevel="0" collapsed="false">
      <c r="A164" s="381" t="s">
        <v>2378</v>
      </c>
      <c r="B164" s="381" t="s">
        <v>153</v>
      </c>
      <c r="C164" s="0" t="n">
        <f aca="false">COUNTIF($E$2:$E$413,A164)</f>
        <v>1</v>
      </c>
      <c r="E164" s="0" t="str">
        <f aca="false">'0.1.2 Attack Dex (GO)'!A164</f>
        <v>Tackle</v>
      </c>
      <c r="F164" s="0" t="str">
        <f aca="false" t="array" ref="F164:F164">IFERROR(INDEX($A$2:$A$413, SMALL(IF(0=$C$2:$C$413, ROW($C$2:$C$413)-ROW($C$2)+1), ROW(163:163))),)</f>
        <v>Relic Song</v>
      </c>
    </row>
    <row r="165" customFormat="false" ht="15.75" hidden="false" customHeight="false" outlineLevel="0" collapsed="false">
      <c r="A165" s="381" t="s">
        <v>2560</v>
      </c>
      <c r="B165" s="381" t="s">
        <v>151</v>
      </c>
      <c r="C165" s="0" t="n">
        <f aca="false">COUNTIF($E$2:$E$413,A165)</f>
        <v>1</v>
      </c>
      <c r="E165" s="0" t="str">
        <f aca="false">'0.1.2 Attack Dex (GO)'!A165</f>
        <v>Take Down</v>
      </c>
      <c r="F165" s="0" t="str">
        <f aca="false" t="array" ref="F165:F165">IFERROR(INDEX($A$2:$A$413, SMALL(IF(0=$C$2:$C$413, ROW($C$2:$C$413)-ROW($C$2)+1), ROW(164:164))),)</f>
        <v>Retaliate</v>
      </c>
    </row>
    <row r="166" customFormat="false" ht="15.75" hidden="false" customHeight="false" outlineLevel="0" collapsed="false">
      <c r="A166" s="381" t="s">
        <v>2328</v>
      </c>
      <c r="B166" s="381" t="s">
        <v>162</v>
      </c>
      <c r="C166" s="0" t="n">
        <f aca="false">COUNTIF($E$2:$E$413,A166)</f>
        <v>1</v>
      </c>
      <c r="E166" s="0" t="str">
        <f aca="false">'0.1.2 Attack Dex (GO)'!A166</f>
        <v>Thunder</v>
      </c>
      <c r="F166" s="0" t="str">
        <f aca="false" t="array" ref="F166:F166">IFERROR(INDEX($A$2:$A$413, SMALL(IF(0=$C$2:$C$413, ROW($C$2:$C$413)-ROW($C$2)+1), ROW(165:165))),)</f>
        <v>Revelation Dance</v>
      </c>
    </row>
    <row r="167" customFormat="false" ht="15.75" hidden="false" customHeight="false" outlineLevel="0" collapsed="false">
      <c r="A167" s="381" t="s">
        <v>2631</v>
      </c>
      <c r="B167" s="381" t="s">
        <v>148</v>
      </c>
      <c r="C167" s="0" t="n">
        <f aca="false">COUNTIF($E$2:$E$413,A167)</f>
        <v>0</v>
      </c>
      <c r="E167" s="0" t="str">
        <f aca="false">'0.1.2 Attack Dex (GO)'!A167</f>
        <v>Thunder Punch</v>
      </c>
      <c r="F167" s="0" t="str">
        <f aca="false" t="array" ref="F167:F167">IFERROR(INDEX($A$2:$A$413, SMALL(IF(0=$C$2:$C$413, ROW($C$2:$C$413)-ROW($C$2)+1), ROW(166:166))),)</f>
        <v>Revenge</v>
      </c>
    </row>
    <row r="168" customFormat="false" ht="15.75" hidden="false" customHeight="false" outlineLevel="0" collapsed="false">
      <c r="A168" s="381" t="s">
        <v>2609</v>
      </c>
      <c r="B168" s="381" t="s">
        <v>145</v>
      </c>
      <c r="C168" s="0" t="n">
        <f aca="false">COUNTIF($E$2:$E$413,A168)</f>
        <v>0</v>
      </c>
      <c r="E168" s="0" t="str">
        <f aca="false">'0.1.2 Attack Dex (GO)'!A168</f>
        <v>Thunder Shock</v>
      </c>
      <c r="F168" s="0" t="str">
        <f aca="false" t="array" ref="F168:F168">IFERROR(INDEX($A$2:$A$413, SMALL(IF(0=$C$2:$C$413, ROW($C$2:$C$413)-ROW($C$2)+1), ROW(167:167))),)</f>
        <v>Roar of Time</v>
      </c>
    </row>
    <row r="169" customFormat="false" ht="15.75" hidden="false" customHeight="false" outlineLevel="0" collapsed="false">
      <c r="A169" s="381" t="s">
        <v>2654</v>
      </c>
      <c r="B169" s="381" t="s">
        <v>144</v>
      </c>
      <c r="C169" s="0" t="n">
        <f aca="false">COUNTIF($E$2:$E$413,A169)</f>
        <v>0</v>
      </c>
      <c r="E169" s="0" t="str">
        <f aca="false">'0.1.2 Attack Dex (GO)'!A169</f>
        <v>Thunderbolt</v>
      </c>
      <c r="F169" s="0" t="str">
        <f aca="false" t="array" ref="F169:F169">IFERROR(INDEX($A$2:$A$413, SMALL(IF(0=$C$2:$C$413, ROW($C$2:$C$413)-ROW($C$2)+1), ROW(168:168))),)</f>
        <v>Rock Climb</v>
      </c>
    </row>
    <row r="170" customFormat="false" ht="15.75" hidden="false" customHeight="false" outlineLevel="0" collapsed="false">
      <c r="A170" s="381" t="s">
        <v>2512</v>
      </c>
      <c r="B170" s="381" t="s">
        <v>144</v>
      </c>
      <c r="C170" s="0" t="n">
        <f aca="false">COUNTIF($E$2:$E$413,A170)</f>
        <v>1</v>
      </c>
      <c r="E170" s="0" t="str">
        <f aca="false">'0.1.2 Attack Dex (GO)'!A170</f>
        <v>Transform</v>
      </c>
      <c r="F170" s="0" t="str">
        <f aca="false" t="array" ref="F170:F170">IFERROR(INDEX($A$2:$A$413, SMALL(IF(0=$C$2:$C$413, ROW($C$2:$C$413)-ROW($C$2)+1), ROW(169:169))),)</f>
        <v>Rock Wrecker</v>
      </c>
    </row>
    <row r="171" customFormat="false" ht="15.75" hidden="false" customHeight="false" outlineLevel="0" collapsed="false">
      <c r="A171" s="381" t="s">
        <v>2695</v>
      </c>
      <c r="B171" s="381" t="s">
        <v>155</v>
      </c>
      <c r="C171" s="0" t="n">
        <f aca="false">COUNTIF($E$2:$E$413,A171)</f>
        <v>0</v>
      </c>
      <c r="E171" s="0" t="str">
        <f aca="false">'0.1.2 Attack Dex (GO)'!A171</f>
        <v>Twister</v>
      </c>
      <c r="F171" s="0" t="str">
        <f aca="false" t="array" ref="F171:F171">IFERROR(INDEX($A$2:$A$413, SMALL(IF(0=$C$2:$C$413, ROW($C$2:$C$413)-ROW($C$2)+1), ROW(170:170))),)</f>
        <v>Rolling Kick</v>
      </c>
    </row>
    <row r="172" customFormat="false" ht="15.75" hidden="false" customHeight="false" outlineLevel="0" collapsed="false">
      <c r="A172" s="381" t="s">
        <v>2459</v>
      </c>
      <c r="B172" s="381" t="s">
        <v>146</v>
      </c>
      <c r="C172" s="0" t="n">
        <f aca="false">COUNTIF($E$2:$E$413,A172)</f>
        <v>1</v>
      </c>
      <c r="E172" s="0" t="str">
        <f aca="false">'0.1.2 Attack Dex (GO)'!A172</f>
        <v>Vice Grip</v>
      </c>
      <c r="F172" s="0" t="str">
        <f aca="false" t="array" ref="F172:F172">IFERROR(INDEX($A$2:$A$413, SMALL(IF(0=$C$2:$C$413, ROW($C$2:$C$413)-ROW($C$2)+1), ROW(171:171))),)</f>
        <v>Rollout</v>
      </c>
    </row>
    <row r="173" customFormat="false" ht="15.75" hidden="false" customHeight="false" outlineLevel="0" collapsed="false">
      <c r="A173" s="381" t="s">
        <v>2413</v>
      </c>
      <c r="B173" s="381" t="s">
        <v>154</v>
      </c>
      <c r="C173" s="0" t="n">
        <f aca="false">COUNTIF($E$2:$E$413,A173)</f>
        <v>0</v>
      </c>
      <c r="E173" s="0" t="str">
        <f aca="false">'0.1.2 Attack Dex (GO)'!A173</f>
        <v>Vine Whip</v>
      </c>
      <c r="F173" s="0" t="str">
        <f aca="false" t="array" ref="F173:F173">IFERROR(INDEX($A$2:$A$413, SMALL(IF(0=$C$2:$C$413, ROW($C$2:$C$413)-ROW($C$2)+1), ROW(172:172))),)</f>
        <v>Round</v>
      </c>
    </row>
    <row r="174" customFormat="false" ht="15.75" hidden="false" customHeight="false" outlineLevel="0" collapsed="false">
      <c r="A174" s="381" t="s">
        <v>2414</v>
      </c>
      <c r="B174" s="381" t="s">
        <v>154</v>
      </c>
      <c r="C174" s="0" t="n">
        <f aca="false">COUNTIF($E$2:$E$413,A174)</f>
        <v>1</v>
      </c>
      <c r="E174" s="0" t="str">
        <f aca="false">'0.1.2 Attack Dex (GO)'!A174</f>
        <v>Volt Switch</v>
      </c>
      <c r="F174" s="0" t="str">
        <f aca="false" t="array" ref="F174:F174">IFERROR(INDEX($A$2:$A$413, SMALL(IF(0=$C$2:$C$413, ROW($C$2:$C$413)-ROW($C$2)+1), ROW(173:173))),)</f>
        <v>Sacred Fire</v>
      </c>
    </row>
    <row r="175" customFormat="false" ht="15.75" hidden="false" customHeight="false" outlineLevel="0" collapsed="false">
      <c r="A175" s="381" t="s">
        <v>2329</v>
      </c>
      <c r="B175" s="381" t="s">
        <v>144</v>
      </c>
      <c r="C175" s="0" t="n">
        <f aca="false">COUNTIF($E$2:$E$413,A175)</f>
        <v>1</v>
      </c>
      <c r="E175" s="0" t="str">
        <f aca="false">'0.1.2 Attack Dex (GO)'!A175</f>
        <v>Water Gun</v>
      </c>
      <c r="F175" s="0" t="str">
        <f aca="false" t="array" ref="F175:F175">IFERROR(INDEX($A$2:$A$413, SMALL(IF(0=$C$2:$C$413, ROW($C$2:$C$413)-ROW($C$2)+1), ROW(174:174))),)</f>
        <v>Sacred Sword</v>
      </c>
    </row>
    <row r="176" customFormat="false" ht="15.75" hidden="false" customHeight="false" outlineLevel="0" collapsed="false">
      <c r="A176" s="381" t="s">
        <v>2467</v>
      </c>
      <c r="B176" s="381" t="s">
        <v>144</v>
      </c>
      <c r="C176" s="0" t="n">
        <f aca="false">COUNTIF($E$2:$E$413,A176)</f>
        <v>1</v>
      </c>
      <c r="E176" s="0" t="str">
        <f aca="false">'0.1.2 Attack Dex (GO)'!A176</f>
        <v>Water Pulse</v>
      </c>
      <c r="F176" s="0" t="str">
        <f aca="false" t="array" ref="F176:F176">IFERROR(INDEX($A$2:$A$413, SMALL(IF(0=$C$2:$C$413, ROW($C$2:$C$413)-ROW($C$2)+1), ROW(175:175))),)</f>
        <v>Searing Shot</v>
      </c>
    </row>
    <row r="177" customFormat="false" ht="15.75" hidden="false" customHeight="false" outlineLevel="0" collapsed="false">
      <c r="A177" s="381" t="s">
        <v>2521</v>
      </c>
      <c r="B177" s="381" t="s">
        <v>144</v>
      </c>
      <c r="C177" s="0" t="n">
        <f aca="false">COUNTIF($E$2:$E$413,A177)</f>
        <v>0</v>
      </c>
      <c r="E177" s="0" t="str">
        <f aca="false">'0.1.2 Attack Dex (GO)'!A177</f>
        <v>Waterfall</v>
      </c>
      <c r="F177" s="0" t="str">
        <f aca="false" t="array" ref="F177:F177">IFERROR(INDEX($A$2:$A$413, SMALL(IF(0=$C$2:$C$413, ROW($C$2:$C$413)-ROW($C$2)+1), ROW(176:176))),)</f>
        <v>Secret Power</v>
      </c>
    </row>
    <row r="178" customFormat="false" ht="15.75" hidden="false" customHeight="false" outlineLevel="0" collapsed="false">
      <c r="A178" s="381" t="s">
        <v>2718</v>
      </c>
      <c r="B178" s="381" t="s">
        <v>160</v>
      </c>
      <c r="C178" s="0" t="n">
        <f aca="false">COUNTIF($E$2:$E$413,A178)</f>
        <v>0</v>
      </c>
      <c r="E178" s="0" t="str">
        <f aca="false">'0.1.2 Attack Dex (GO)'!A178</f>
        <v>Wild Charge</v>
      </c>
      <c r="F178" s="0" t="str">
        <f aca="false" t="array" ref="F178:F178">IFERROR(INDEX($A$2:$A$413, SMALL(IF(0=$C$2:$C$413, ROW($C$2:$C$413)-ROW($C$2)+1), ROW(177:177))),)</f>
        <v>Secret Sword</v>
      </c>
    </row>
    <row r="179" customFormat="false" ht="15.75" hidden="false" customHeight="false" outlineLevel="0" collapsed="false">
      <c r="A179" s="381" t="s">
        <v>2719</v>
      </c>
      <c r="B179" s="381" t="s">
        <v>157</v>
      </c>
      <c r="C179" s="0" t="n">
        <f aca="false">COUNTIF($E$2:$E$413,A179)</f>
        <v>0</v>
      </c>
      <c r="E179" s="0" t="str">
        <f aca="false">'0.1.2 Attack Dex (GO)'!A179</f>
        <v>Wing Attack</v>
      </c>
      <c r="F179" s="0" t="str">
        <f aca="false" t="array" ref="F179:F179">IFERROR(INDEX($A$2:$A$413, SMALL(IF(0=$C$2:$C$413, ROW($C$2:$C$413)-ROW($C$2)+1), ROW(178:178))),)</f>
        <v>Seed Flare</v>
      </c>
    </row>
    <row r="180" customFormat="false" ht="15.75" hidden="false" customHeight="false" outlineLevel="0" collapsed="false">
      <c r="A180" s="381" t="s">
        <v>2503</v>
      </c>
      <c r="B180" s="381" t="s">
        <v>158</v>
      </c>
      <c r="C180" s="0" t="n">
        <f aca="false">COUNTIF($E$2:$E$413,A180)</f>
        <v>0</v>
      </c>
      <c r="E180" s="0" t="str">
        <f aca="false">'0.1.2 Attack Dex (GO)'!A180</f>
        <v>Wrap</v>
      </c>
      <c r="F180" s="0" t="str">
        <f aca="false" t="array" ref="F180:F180">IFERROR(INDEX($A$2:$A$413, SMALL(IF(0=$C$2:$C$413, ROW($C$2:$C$413)-ROW($C$2)+1), ROW(179:179))),)</f>
        <v>Seismic Toss</v>
      </c>
    </row>
    <row r="181" customFormat="false" ht="15.75" hidden="false" customHeight="false" outlineLevel="0" collapsed="false">
      <c r="A181" s="381" t="s">
        <v>2415</v>
      </c>
      <c r="B181" s="381" t="s">
        <v>158</v>
      </c>
      <c r="C181" s="0" t="n">
        <f aca="false">COUNTIF($E$2:$E$413,A181)</f>
        <v>1</v>
      </c>
      <c r="E181" s="0" t="str">
        <f aca="false">'0.1.2 Attack Dex (GO)'!A181</f>
        <v>X-Scissor</v>
      </c>
      <c r="F181" s="0" t="str">
        <f aca="false" t="array" ref="F181:F181">IFERROR(INDEX($A$2:$A$413, SMALL(IF(0=$C$2:$C$413, ROW($C$2:$C$413)-ROW($C$2)+1), ROW(180:180))),)</f>
        <v>Self-Destruct</v>
      </c>
    </row>
    <row r="182" customFormat="false" ht="15.75" hidden="false" customHeight="false" outlineLevel="0" collapsed="false">
      <c r="A182" s="381" t="s">
        <v>2705</v>
      </c>
      <c r="B182" s="381" t="s">
        <v>158</v>
      </c>
      <c r="C182" s="0" t="n">
        <f aca="false">COUNTIF($E$2:$E$413,A182)</f>
        <v>0</v>
      </c>
      <c r="E182" s="0" t="str">
        <f aca="false">'0.1.2 Attack Dex (GO)'!A182</f>
        <v>Yawn</v>
      </c>
      <c r="F182" s="0" t="str">
        <f aca="false" t="array" ref="F182:F182">IFERROR(INDEX($A$2:$A$413, SMALL(IF(0=$C$2:$C$413, ROW($C$2:$C$413)-ROW($C$2)+1), ROW(181:181))),)</f>
        <v>Shadow Bone</v>
      </c>
    </row>
    <row r="183" customFormat="false" ht="15.75" hidden="false" customHeight="false" outlineLevel="0" collapsed="false">
      <c r="A183" s="381" t="s">
        <v>2485</v>
      </c>
      <c r="B183" s="381" t="s">
        <v>158</v>
      </c>
      <c r="C183" s="0" t="n">
        <f aca="false">COUNTIF($E$2:$E$413,A183)</f>
        <v>0</v>
      </c>
      <c r="E183" s="0" t="str">
        <f aca="false">'0.1.2 Attack Dex (GO)'!A183</f>
        <v>Zap Cannon</v>
      </c>
      <c r="F183" s="0" t="str">
        <f aca="false" t="array" ref="F183:F183">IFERROR(INDEX($A$2:$A$413, SMALL(IF(0=$C$2:$C$413, ROW($C$2:$C$413)-ROW($C$2)+1), ROW(182:182))),)</f>
        <v>Shadow Force</v>
      </c>
    </row>
    <row r="184" customFormat="false" ht="15.75" hidden="false" customHeight="false" outlineLevel="0" collapsed="false">
      <c r="A184" s="381" t="s">
        <v>2726</v>
      </c>
      <c r="B184" s="381" t="s">
        <v>158</v>
      </c>
      <c r="C184" s="0" t="n">
        <f aca="false">COUNTIF($E$2:$E$413,A184)</f>
        <v>0</v>
      </c>
      <c r="E184" s="0" t="str">
        <f aca="false">'0.1.2 Attack Dex (GO)'!A184</f>
        <v>Zen Headbutt</v>
      </c>
      <c r="F184" s="0" t="str">
        <f aca="false" t="array" ref="F184:F184">IFERROR(INDEX($A$2:$A$413, SMALL(IF(0=$C$2:$C$413, ROW($C$2:$C$413)-ROW($C$2)+1), ROW(183:183))),)</f>
        <v>Shell Trap</v>
      </c>
    </row>
    <row r="185" customFormat="false" ht="15.75" hidden="false" customHeight="false" outlineLevel="0" collapsed="false">
      <c r="A185" s="381" t="s">
        <v>2416</v>
      </c>
      <c r="B185" s="381" t="s">
        <v>158</v>
      </c>
      <c r="C185" s="0" t="n">
        <f aca="false">COUNTIF($E$2:$E$413,A185)</f>
        <v>1</v>
      </c>
      <c r="E185" s="0" t="n">
        <f aca="false">'0.1.2 Attack Dex (GO)'!A185</f>
        <v>0</v>
      </c>
      <c r="F185" s="0" t="str">
        <f aca="false" t="array" ref="F185:F185">IFERROR(INDEX($A$2:$A$413, SMALL(IF(0=$C$2:$C$413, ROW($C$2:$C$413)-ROW($C$2)+1), ROW(184:184))),)</f>
        <v>Shock Wave</v>
      </c>
    </row>
    <row r="186" customFormat="false" ht="15.75" hidden="false" customHeight="false" outlineLevel="0" collapsed="false">
      <c r="A186" s="381" t="s">
        <v>2525</v>
      </c>
      <c r="B186" s="381" t="s">
        <v>158</v>
      </c>
      <c r="C186" s="0" t="n">
        <f aca="false">COUNTIF($E$2:$E$413,A186)</f>
        <v>1</v>
      </c>
      <c r="E186" s="0" t="n">
        <f aca="false">'0.1.2 Attack Dex (GO)'!A186</f>
        <v>0</v>
      </c>
      <c r="F186" s="0" t="str">
        <f aca="false" t="array" ref="F186:F186">IFERROR(INDEX($A$2:$A$413, SMALL(IF(0=$C$2:$C$413, ROW($C$2:$C$413)-ROW($C$2)+1), ROW(185:185))),)</f>
        <v>Skull Bash</v>
      </c>
    </row>
    <row r="187" customFormat="false" ht="15.75" hidden="false" customHeight="false" outlineLevel="0" collapsed="false">
      <c r="A187" s="381" t="s">
        <v>2504</v>
      </c>
      <c r="B187" s="381" t="s">
        <v>158</v>
      </c>
      <c r="C187" s="0" t="n">
        <f aca="false">COUNTIF($E$2:$E$413,A187)</f>
        <v>0</v>
      </c>
      <c r="E187" s="0" t="n">
        <f aca="false">'0.1.2 Attack Dex (GO)'!A187</f>
        <v>0</v>
      </c>
      <c r="F187" s="0" t="str">
        <f aca="false" t="array" ref="F187:F187">IFERROR(INDEX($A$2:$A$413, SMALL(IF(0=$C$2:$C$413, ROW($C$2:$C$413)-ROW($C$2)+1), ROW(186:186))),)</f>
        <v>Sky Drop</v>
      </c>
    </row>
    <row r="188" customFormat="false" ht="15.75" hidden="false" customHeight="false" outlineLevel="0" collapsed="false">
      <c r="A188" s="381" t="s">
        <v>2505</v>
      </c>
      <c r="B188" s="381" t="s">
        <v>158</v>
      </c>
      <c r="C188" s="0" t="n">
        <f aca="false">COUNTIF($E$2:$E$413,A188)</f>
        <v>0</v>
      </c>
      <c r="E188" s="0" t="n">
        <f aca="false">'0.1.2 Attack Dex (GO)'!A188</f>
        <v>0</v>
      </c>
      <c r="F188" s="0" t="str">
        <f aca="false" t="array" ref="F188:F188">IFERROR(INDEX($A$2:$A$413, SMALL(IF(0=$C$2:$C$413, ROW($C$2:$C$413)-ROW($C$2)+1), ROW(187:187))),)</f>
        <v>Sky Uppercut</v>
      </c>
    </row>
    <row r="189" customFormat="false" ht="15.75" hidden="false" customHeight="false" outlineLevel="0" collapsed="false">
      <c r="A189" s="381" t="s">
        <v>2417</v>
      </c>
      <c r="B189" s="381" t="s">
        <v>158</v>
      </c>
      <c r="C189" s="0" t="n">
        <f aca="false">COUNTIF($E$2:$E$413,A189)</f>
        <v>1</v>
      </c>
      <c r="E189" s="0" t="n">
        <f aca="false">'0.1.2 Attack Dex (GO)'!A189</f>
        <v>0</v>
      </c>
      <c r="F189" s="0" t="str">
        <f aca="false" t="array" ref="F189:F189">IFERROR(INDEX($A$2:$A$413, SMALL(IF(0=$C$2:$C$413, ROW($C$2:$C$413)-ROW($C$2)+1), ROW(188:188))),)</f>
        <v>Slam</v>
      </c>
    </row>
    <row r="190" customFormat="false" ht="15.75" hidden="false" customHeight="false" outlineLevel="0" collapsed="false">
      <c r="A190" s="381" t="s">
        <v>2379</v>
      </c>
      <c r="B190" s="381" t="s">
        <v>153</v>
      </c>
      <c r="C190" s="0" t="n">
        <f aca="false">COUNTIF($E$2:$E$413,A190)</f>
        <v>0</v>
      </c>
      <c r="E190" s="0" t="n">
        <f aca="false">'0.1.2 Attack Dex (GO)'!A190</f>
        <v>0</v>
      </c>
      <c r="F190" s="0" t="str">
        <f aca="false" t="array" ref="F190:F190">IFERROR(INDEX($A$2:$A$413, SMALL(IF(0=$C$2:$C$413, ROW($C$2:$C$413)-ROW($C$2)+1), ROW(189:189))),)</f>
        <v>Slash</v>
      </c>
    </row>
    <row r="191" customFormat="false" ht="15.75" hidden="false" customHeight="false" outlineLevel="0" collapsed="false">
      <c r="A191" s="381" t="s">
        <v>2380</v>
      </c>
      <c r="B191" s="381" t="s">
        <v>153</v>
      </c>
      <c r="C191" s="0" t="n">
        <f aca="false">COUNTIF($E$2:$E$413,A191)</f>
        <v>0</v>
      </c>
      <c r="E191" s="0" t="n">
        <f aca="false">'0.1.2 Attack Dex (GO)'!A191</f>
        <v>0</v>
      </c>
      <c r="F191" s="0" t="str">
        <f aca="false" t="array" ref="F191:F191">IFERROR(INDEX($A$2:$A$413, SMALL(IF(0=$C$2:$C$413, ROW($C$2:$C$413)-ROW($C$2)+1), ROW(190:190))),)</f>
        <v>Smack Down</v>
      </c>
    </row>
    <row r="192" customFormat="false" ht="15.75" hidden="false" customHeight="false" outlineLevel="0" collapsed="false">
      <c r="A192" s="381" t="s">
        <v>2438</v>
      </c>
      <c r="B192" s="381" t="s">
        <v>150</v>
      </c>
      <c r="C192" s="0" t="n">
        <f aca="false">COUNTIF($E$2:$E$413,A192)</f>
        <v>1</v>
      </c>
      <c r="E192" s="0" t="n">
        <f aca="false">'0.1.2 Attack Dex (GO)'!A192</f>
        <v>0</v>
      </c>
      <c r="F192" s="0" t="str">
        <f aca="false" t="array" ref="F192:F192">IFERROR(INDEX($A$2:$A$413, SMALL(IF(0=$C$2:$C$413, ROW($C$2:$C$413)-ROW($C$2)+1), ROW(191:191))),)</f>
        <v>Smart Strike</v>
      </c>
    </row>
    <row r="193" customFormat="false" ht="15.75" hidden="false" customHeight="false" outlineLevel="0" collapsed="false">
      <c r="A193" s="381" t="s">
        <v>2506</v>
      </c>
      <c r="B193" s="381" t="s">
        <v>152</v>
      </c>
      <c r="C193" s="0" t="n">
        <f aca="false">COUNTIF($E$2:$E$413,A193)</f>
        <v>1</v>
      </c>
      <c r="E193" s="0" t="n">
        <f aca="false">'0.1.2 Attack Dex (GO)'!A193</f>
        <v>0</v>
      </c>
      <c r="F193" s="0" t="str">
        <f aca="false" t="array" ref="F193:F193">IFERROR(INDEX($A$2:$A$413, SMALL(IF(0=$C$2:$C$413, ROW($C$2:$C$413)-ROW($C$2)+1), ROW(192:192))),)</f>
        <v>Smelling Salts</v>
      </c>
    </row>
    <row r="194" customFormat="false" ht="15.75" hidden="false" customHeight="false" outlineLevel="0" collapsed="false">
      <c r="A194" s="381" t="s">
        <v>2381</v>
      </c>
      <c r="B194" s="381" t="s">
        <v>152</v>
      </c>
      <c r="C194" s="0" t="n">
        <f aca="false">COUNTIF($E$2:$E$413,A194)</f>
        <v>1</v>
      </c>
      <c r="E194" s="0" t="n">
        <f aca="false">'0.1.2 Attack Dex (GO)'!A194</f>
        <v>0</v>
      </c>
      <c r="F194" s="0" t="str">
        <f aca="false" t="array" ref="F194:F194">IFERROR(INDEX($A$2:$A$413, SMALL(IF(0=$C$2:$C$413, ROW($C$2:$C$413)-ROW($C$2)+1), ROW(193:193))),)</f>
        <v>Smog</v>
      </c>
    </row>
    <row r="195" customFormat="false" ht="15.75" hidden="false" customHeight="false" outlineLevel="0" collapsed="false">
      <c r="A195" s="381" t="s">
        <v>2686</v>
      </c>
      <c r="B195" s="381" t="s">
        <v>162</v>
      </c>
      <c r="C195" s="0" t="n">
        <f aca="false">COUNTIF($E$2:$E$413,A195)</f>
        <v>0</v>
      </c>
      <c r="E195" s="0" t="n">
        <f aca="false">'0.1.2 Attack Dex (GO)'!A195</f>
        <v>0</v>
      </c>
      <c r="F195" s="0" t="str">
        <f aca="false" t="array" ref="F195:F195">IFERROR(INDEX($A$2:$A$413, SMALL(IF(0=$C$2:$C$413, ROW($C$2:$C$413)-ROW($C$2)+1), ROW(194:194))),)</f>
        <v>Snore</v>
      </c>
    </row>
    <row r="196" customFormat="false" ht="15.75" hidden="false" customHeight="false" outlineLevel="0" collapsed="false">
      <c r="A196" s="381" t="s">
        <v>2580</v>
      </c>
      <c r="B196" s="381" t="s">
        <v>145</v>
      </c>
      <c r="C196" s="0" t="n">
        <f aca="false">COUNTIF($E$2:$E$413,A196)</f>
        <v>0</v>
      </c>
      <c r="E196" s="0" t="n">
        <f aca="false">'0.1.2 Attack Dex (GO)'!A196</f>
        <v>0</v>
      </c>
      <c r="F196" s="0" t="str">
        <f aca="false" t="array" ref="F196:F196">IFERROR(INDEX($A$2:$A$413, SMALL(IF(0=$C$2:$C$413, ROW($C$2:$C$413)-ROW($C$2)+1), ROW(195:195))),)</f>
        <v>Solar Blade</v>
      </c>
    </row>
    <row r="197" customFormat="false" ht="15.75" hidden="false" customHeight="false" outlineLevel="0" collapsed="false">
      <c r="A197" s="381" t="s">
        <v>2545</v>
      </c>
      <c r="B197" s="381" t="s">
        <v>145</v>
      </c>
      <c r="C197" s="0" t="n">
        <f aca="false">COUNTIF($E$2:$E$413,A197)</f>
        <v>1</v>
      </c>
      <c r="E197" s="0" t="n">
        <f aca="false">'0.1.2 Attack Dex (GO)'!A197</f>
        <v>0</v>
      </c>
      <c r="F197" s="0" t="str">
        <f aca="false" t="array" ref="F197:F197">IFERROR(INDEX($A$2:$A$413, SMALL(IF(0=$C$2:$C$413, ROW($C$2:$C$413)-ROW($C$2)+1), ROW(196:196))),)</f>
        <v>Sonicboom</v>
      </c>
    </row>
    <row r="198" customFormat="false" ht="15.75" hidden="false" customHeight="false" outlineLevel="0" collapsed="false">
      <c r="A198" s="381" t="s">
        <v>2330</v>
      </c>
      <c r="B198" s="381" t="s">
        <v>160</v>
      </c>
      <c r="C198" s="0" t="n">
        <f aca="false">COUNTIF($E$2:$E$413,A198)</f>
        <v>0</v>
      </c>
      <c r="E198" s="0" t="n">
        <f aca="false">'0.1.2 Attack Dex (GO)'!A198</f>
        <v>0</v>
      </c>
      <c r="F198" s="0" t="str">
        <f aca="false" t="array" ref="F198:F198">IFERROR(INDEX($A$2:$A$413, SMALL(IF(0=$C$2:$C$413, ROW($C$2:$C$413)-ROW($C$2)+1), ROW(197:197))),)</f>
        <v>Spacial Rend</v>
      </c>
    </row>
    <row r="199" customFormat="false" ht="15.75" hidden="false" customHeight="false" outlineLevel="0" collapsed="false">
      <c r="A199" s="381" t="s">
        <v>2786</v>
      </c>
      <c r="B199" s="381" t="s">
        <v>148</v>
      </c>
      <c r="C199" s="0" t="n">
        <f aca="false">COUNTIF($E$2:$E$413,A199)</f>
        <v>0</v>
      </c>
      <c r="E199" s="0" t="n">
        <f aca="false">'0.1.2 Attack Dex (GO)'!A199</f>
        <v>0</v>
      </c>
      <c r="F199" s="0" t="str">
        <f aca="false" t="array" ref="F199:F199">IFERROR(INDEX($A$2:$A$413, SMALL(IF(0=$C$2:$C$413, ROW($C$2:$C$413)-ROW($C$2)+1), ROW(198:198))),)</f>
        <v>Sparkling Aria</v>
      </c>
    </row>
    <row r="200" customFormat="false" ht="15.75" hidden="false" customHeight="false" outlineLevel="0" collapsed="false">
      <c r="A200" s="381" t="s">
        <v>2468</v>
      </c>
      <c r="B200" s="381" t="s">
        <v>144</v>
      </c>
      <c r="C200" s="0" t="n">
        <f aca="false">COUNTIF($E$2:$E$413,A200)</f>
        <v>0</v>
      </c>
      <c r="E200" s="0" t="n">
        <f aca="false">'0.1.2 Attack Dex (GO)'!A200</f>
        <v>0</v>
      </c>
      <c r="F200" s="0" t="str">
        <f aca="false" t="array" ref="F200:F200">IFERROR(INDEX($A$2:$A$413, SMALL(IF(0=$C$2:$C$413, ROW($C$2:$C$413)-ROW($C$2)+1), ROW(199:199))),)</f>
        <v>Spectral Thief</v>
      </c>
    </row>
    <row r="201" customFormat="false" ht="15.75" hidden="false" customHeight="false" outlineLevel="0" collapsed="false">
      <c r="A201" s="381" t="s">
        <v>2627</v>
      </c>
      <c r="B201" s="381" t="s">
        <v>153</v>
      </c>
      <c r="C201" s="0" t="n">
        <f aca="false">COUNTIF($E$2:$E$413,A201)</f>
        <v>0</v>
      </c>
      <c r="E201" s="0" t="n">
        <f aca="false">'0.1.2 Attack Dex (GO)'!A201</f>
        <v>0</v>
      </c>
      <c r="F201" s="0" t="str">
        <f aca="false" t="array" ref="F201:F201">IFERROR(INDEX($A$2:$A$413, SMALL(IF(0=$C$2:$C$413, ROW($C$2:$C$413)-ROW($C$2)+1), ROW(200:200))),)</f>
        <v>Spike Cannon</v>
      </c>
    </row>
    <row r="202" customFormat="false" ht="15.75" hidden="false" customHeight="false" outlineLevel="0" collapsed="false">
      <c r="A202" s="381" t="s">
        <v>2556</v>
      </c>
      <c r="B202" s="381" t="s">
        <v>155</v>
      </c>
      <c r="C202" s="0" t="n">
        <f aca="false">COUNTIF($E$2:$E$413,A202)</f>
        <v>1</v>
      </c>
      <c r="E202" s="0" t="n">
        <f aca="false">'0.1.2 Attack Dex (GO)'!A202</f>
        <v>0</v>
      </c>
      <c r="F202" s="0" t="str">
        <f aca="false" t="array" ref="F202:F202">IFERROR(INDEX($A$2:$A$413, SMALL(IF(0=$C$2:$C$413, ROW($C$2:$C$413)-ROW($C$2)+1), ROW(201:201))),)</f>
        <v>Spirit Shackle</v>
      </c>
    </row>
    <row r="203" customFormat="false" ht="15.75" hidden="false" customHeight="false" outlineLevel="0" collapsed="false">
      <c r="A203" s="381" t="s">
        <v>2557</v>
      </c>
      <c r="B203" s="381" t="s">
        <v>155</v>
      </c>
      <c r="C203" s="0" t="n">
        <f aca="false">COUNTIF($E$2:$E$413,A203)</f>
        <v>0</v>
      </c>
      <c r="E203" s="0" t="n">
        <f aca="false">'0.1.2 Attack Dex (GO)'!A203</f>
        <v>0</v>
      </c>
      <c r="F203" s="0" t="str">
        <f aca="false" t="array" ref="F203:F203">IFERROR(INDEX($A$2:$A$413, SMALL(IF(0=$C$2:$C$413, ROW($C$2:$C$413)-ROW($C$2)+1), ROW(202:202))),)</f>
        <v>Steam Eruption</v>
      </c>
    </row>
    <row r="204" customFormat="false" ht="15.75" hidden="false" customHeight="false" outlineLevel="0" collapsed="false">
      <c r="A204" s="381" t="s">
        <v>2558</v>
      </c>
      <c r="B204" s="381" t="s">
        <v>155</v>
      </c>
      <c r="C204" s="0" t="n">
        <f aca="false">COUNTIF($E$2:$E$413,A204)</f>
        <v>0</v>
      </c>
      <c r="E204" s="0" t="n">
        <f aca="false">'0.1.2 Attack Dex (GO)'!A204</f>
        <v>0</v>
      </c>
      <c r="F204" s="0" t="str">
        <f aca="false" t="array" ref="F204:F204">IFERROR(INDEX($A$2:$A$413, SMALL(IF(0=$C$2:$C$413, ROW($C$2:$C$413)-ROW($C$2)+1), ROW(203:203))),)</f>
        <v>Steamroller</v>
      </c>
    </row>
    <row r="205" customFormat="false" ht="15.75" hidden="false" customHeight="false" outlineLevel="0" collapsed="false">
      <c r="A205" s="381" t="s">
        <v>2721</v>
      </c>
      <c r="B205" s="381" t="s">
        <v>155</v>
      </c>
      <c r="C205" s="0" t="n">
        <f aca="false">COUNTIF($E$2:$E$413,A205)</f>
        <v>0</v>
      </c>
      <c r="E205" s="0" t="n">
        <f aca="false">'0.1.2 Attack Dex (GO)'!A205</f>
        <v>0</v>
      </c>
      <c r="F205" s="0" t="str">
        <f aca="false" t="array" ref="F205:F205">IFERROR(INDEX($A$2:$A$413, SMALL(IF(0=$C$2:$C$413, ROW($C$2:$C$413)-ROW($C$2)+1), ROW(204:204))),)</f>
        <v>Stomping Tantrum</v>
      </c>
    </row>
    <row r="206" customFormat="false" ht="15.75" hidden="false" customHeight="false" outlineLevel="0" collapsed="false">
      <c r="A206" s="381" t="s">
        <v>2507</v>
      </c>
      <c r="B206" s="381" t="s">
        <v>150</v>
      </c>
      <c r="C206" s="0" t="n">
        <f aca="false">COUNTIF($E$2:$E$413,A206)</f>
        <v>0</v>
      </c>
      <c r="E206" s="0" t="n">
        <f aca="false">'0.1.2 Attack Dex (GO)'!A206</f>
        <v>0</v>
      </c>
      <c r="F206" s="0" t="str">
        <f aca="false" t="array" ref="F206:F206">IFERROR(INDEX($A$2:$A$413, SMALL(IF(0=$C$2:$C$413, ROW($C$2:$C$413)-ROW($C$2)+1), ROW(205:205))),)</f>
        <v>Stored Power</v>
      </c>
    </row>
    <row r="207" customFormat="false" ht="15.75" hidden="false" customHeight="false" outlineLevel="0" collapsed="false">
      <c r="A207" s="381" t="s">
        <v>2588</v>
      </c>
      <c r="B207" s="381" t="s">
        <v>151</v>
      </c>
      <c r="C207" s="0" t="n">
        <f aca="false">COUNTIF($E$2:$E$413,A207)</f>
        <v>1</v>
      </c>
      <c r="E207" s="0" t="n">
        <f aca="false">'0.1.2 Attack Dex (GO)'!A207</f>
        <v>0</v>
      </c>
      <c r="F207" s="0" t="str">
        <f aca="false" t="array" ref="F207:F207">IFERROR(INDEX($A$2:$A$413, SMALL(IF(0=$C$2:$C$413, ROW($C$2:$C$413)-ROW($C$2)+1), ROW(206:206))),)</f>
        <v>Storm Throw</v>
      </c>
    </row>
    <row r="208" customFormat="false" ht="15.75" hidden="false" customHeight="false" outlineLevel="0" collapsed="false">
      <c r="A208" s="381" t="s">
        <v>2710</v>
      </c>
      <c r="B208" s="381" t="s">
        <v>161</v>
      </c>
      <c r="C208" s="0" t="n">
        <f aca="false">COUNTIF($E$2:$E$413,A208)</f>
        <v>0</v>
      </c>
      <c r="E208" s="0" t="n">
        <f aca="false">'0.1.2 Attack Dex (GO)'!A208</f>
        <v>0</v>
      </c>
      <c r="F208" s="0" t="str">
        <f aca="false" t="array" ref="F208:F208">IFERROR(INDEX($A$2:$A$413, SMALL(IF(0=$C$2:$C$413, ROW($C$2:$C$413)-ROW($C$2)+1), ROW(207:207))),)</f>
        <v>Strength</v>
      </c>
    </row>
    <row r="209" customFormat="false" ht="15.75" hidden="false" customHeight="false" outlineLevel="0" collapsed="false">
      <c r="A209" s="381" t="s">
        <v>2418</v>
      </c>
      <c r="B209" s="381" t="s">
        <v>154</v>
      </c>
      <c r="C209" s="0" t="n">
        <f aca="false">COUNTIF($E$2:$E$413,A209)</f>
        <v>0</v>
      </c>
      <c r="E209" s="0" t="n">
        <f aca="false">'0.1.2 Attack Dex (GO)'!A209</f>
        <v>0</v>
      </c>
      <c r="F209" s="0" t="str">
        <f aca="false" t="array" ref="F209:F209">IFERROR(INDEX($A$2:$A$413, SMALL(IF(0=$C$2:$C$413, ROW($C$2:$C$413)-ROW($C$2)+1), ROW(208:208))),)</f>
        <v>Sunsteel Strike</v>
      </c>
    </row>
    <row r="210" customFormat="false" ht="15.75" hidden="false" customHeight="false" outlineLevel="0" collapsed="false">
      <c r="A210" s="381" t="s">
        <v>2540</v>
      </c>
      <c r="B210" s="381" t="s">
        <v>145</v>
      </c>
      <c r="C210" s="0" t="n">
        <f aca="false">COUNTIF($E$2:$E$413,A210)</f>
        <v>1</v>
      </c>
      <c r="E210" s="0" t="n">
        <f aca="false">'0.1.2 Attack Dex (GO)'!A210</f>
        <v>0</v>
      </c>
      <c r="F210" s="0" t="str">
        <f aca="false" t="array" ref="F210:F210">IFERROR(INDEX($A$2:$A$413, SMALL(IF(0=$C$2:$C$413, ROW($C$2:$C$413)-ROW($C$2)+1), ROW(209:209))),)</f>
        <v>Super Fang</v>
      </c>
    </row>
    <row r="211" customFormat="false" ht="15.75" hidden="false" customHeight="false" outlineLevel="0" collapsed="false">
      <c r="A211" s="381" t="s">
        <v>2659</v>
      </c>
      <c r="B211" s="381" t="s">
        <v>150</v>
      </c>
      <c r="C211" s="0" t="n">
        <f aca="false">COUNTIF($E$2:$E$413,A211)</f>
        <v>0</v>
      </c>
      <c r="E211" s="0" t="n">
        <f aca="false">'0.1.2 Attack Dex (GO)'!A211</f>
        <v>0</v>
      </c>
      <c r="F211" s="0" t="str">
        <f aca="false" t="array" ref="F211:F211">IFERROR(INDEX($A$2:$A$413, SMALL(IF(0=$C$2:$C$413, ROW($C$2:$C$413)-ROW($C$2)+1), ROW(210:210))),)</f>
        <v>Superpower</v>
      </c>
    </row>
    <row r="212" customFormat="false" ht="15.75" hidden="false" customHeight="false" outlineLevel="0" collapsed="false">
      <c r="A212" s="381" t="s">
        <v>2664</v>
      </c>
      <c r="B212" s="381" t="s">
        <v>157</v>
      </c>
      <c r="C212" s="0" t="n">
        <f aca="false">COUNTIF($E$2:$E$413,A212)</f>
        <v>0</v>
      </c>
      <c r="E212" s="0" t="n">
        <f aca="false">'0.1.2 Attack Dex (GO)'!A212</f>
        <v>0</v>
      </c>
      <c r="F212" s="0" t="str">
        <f aca="false" t="array" ref="F212:F212">IFERROR(INDEX($A$2:$A$413, SMALL(IF(0=$C$2:$C$413, ROW($C$2:$C$413)-ROW($C$2)+1), ROW(211:211))),)</f>
        <v>Synchronoise</v>
      </c>
    </row>
    <row r="213" customFormat="false" ht="15.75" hidden="false" customHeight="false" outlineLevel="0" collapsed="false">
      <c r="A213" s="381" t="s">
        <v>2610</v>
      </c>
      <c r="B213" s="381" t="s">
        <v>145</v>
      </c>
      <c r="C213" s="0" t="n">
        <f aca="false">COUNTIF($E$2:$E$413,A213)</f>
        <v>0</v>
      </c>
      <c r="E213" s="0" t="n">
        <f aca="false">'0.1.2 Attack Dex (GO)'!A213</f>
        <v>0</v>
      </c>
      <c r="F213" s="0" t="str">
        <f aca="false" t="array" ref="F213:F213">IFERROR(INDEX($A$2:$A$413, SMALL(IF(0=$C$2:$C$413, ROW($C$2:$C$413)-ROW($C$2)+1), ROW(212:212))),)</f>
        <v>Tail Slap</v>
      </c>
    </row>
    <row r="214" customFormat="false" ht="15.75" hidden="false" customHeight="false" outlineLevel="0" collapsed="false">
      <c r="A214" s="381" t="s">
        <v>2623</v>
      </c>
      <c r="B214" s="381" t="s">
        <v>155</v>
      </c>
      <c r="C214" s="0" t="n">
        <f aca="false">COUNTIF($E$2:$E$413,A214)</f>
        <v>0</v>
      </c>
      <c r="E214" s="0" t="n">
        <f aca="false">'0.1.2 Attack Dex (GO)'!A214</f>
        <v>0</v>
      </c>
      <c r="F214" s="0" t="str">
        <f aca="false" t="array" ref="F214:F214">IFERROR(INDEX($A$2:$A$413, SMALL(IF(0=$C$2:$C$413, ROW($C$2:$C$413)-ROW($C$2)+1), ROW(213:213))),)</f>
        <v>Techno Blast</v>
      </c>
    </row>
    <row r="215" customFormat="false" ht="15.75" hidden="false" customHeight="false" outlineLevel="0" collapsed="false">
      <c r="A215" s="381" t="s">
        <v>2683</v>
      </c>
      <c r="B215" s="381" t="s">
        <v>153</v>
      </c>
      <c r="C215" s="0" t="n">
        <f aca="false">COUNTIF($E$2:$E$413,A215)</f>
        <v>0</v>
      </c>
      <c r="E215" s="0" t="n">
        <f aca="false">'0.1.2 Attack Dex (GO)'!A215</f>
        <v>0</v>
      </c>
      <c r="F215" s="0" t="str">
        <f aca="false" t="array" ref="F215:F215">IFERROR(INDEX($A$2:$A$413, SMALL(IF(0=$C$2:$C$413, ROW($C$2:$C$413)-ROW($C$2)+1), ROW(214:214))),)</f>
        <v>Thief</v>
      </c>
    </row>
    <row r="216" customFormat="false" ht="15.75" hidden="false" customHeight="false" outlineLevel="0" collapsed="false">
      <c r="A216" s="381" t="s">
        <v>2573</v>
      </c>
      <c r="B216" s="381" t="s">
        <v>152</v>
      </c>
      <c r="C216" s="0" t="n">
        <f aca="false">COUNTIF($E$2:$E$413,A216)</f>
        <v>1</v>
      </c>
      <c r="E216" s="0" t="n">
        <f aca="false">'0.1.2 Attack Dex (GO)'!A216</f>
        <v>0</v>
      </c>
      <c r="F216" s="0" t="str">
        <f aca="false" t="array" ref="F216:F216">IFERROR(INDEX($A$2:$A$413, SMALL(IF(0=$C$2:$C$413, ROW($C$2:$C$413)-ROW($C$2)+1), ROW(215:215))),)</f>
        <v>Thousand Arrows</v>
      </c>
    </row>
    <row r="217" customFormat="false" ht="15.75" hidden="false" customHeight="false" outlineLevel="0" collapsed="false">
      <c r="A217" s="381" t="s">
        <v>2331</v>
      </c>
      <c r="B217" s="381" t="s">
        <v>155</v>
      </c>
      <c r="C217" s="0" t="n">
        <f aca="false">COUNTIF($E$2:$E$413,A217)</f>
        <v>1</v>
      </c>
      <c r="E217" s="0" t="n">
        <f aca="false">'0.1.2 Attack Dex (GO)'!A217</f>
        <v>0</v>
      </c>
      <c r="F217" s="0" t="str">
        <f aca="false" t="array" ref="F217:F217">IFERROR(INDEX($A$2:$A$413, SMALL(IF(0=$C$2:$C$413, ROW($C$2:$C$413)-ROW($C$2)+1), ROW(216:216))),)</f>
        <v>Thousand Waves</v>
      </c>
    </row>
    <row r="218" customFormat="false" ht="15.75" hidden="false" customHeight="false" outlineLevel="0" collapsed="false">
      <c r="A218" s="381" t="s">
        <v>2382</v>
      </c>
      <c r="B218" s="381" t="s">
        <v>144</v>
      </c>
      <c r="C218" s="0" t="n">
        <f aca="false">COUNTIF($E$2:$E$413,A218)</f>
        <v>0</v>
      </c>
      <c r="E218" s="0" t="n">
        <f aca="false">'0.1.2 Attack Dex (GO)'!A218</f>
        <v>0</v>
      </c>
      <c r="F218" s="0" t="str">
        <f aca="false" t="array" ref="F218:F218">IFERROR(INDEX($A$2:$A$413, SMALL(IF(0=$C$2:$C$413, ROW($C$2:$C$413)-ROW($C$2)+1), ROW(217:217))),)</f>
        <v>Thrash</v>
      </c>
    </row>
    <row r="219" customFormat="false" ht="15.75" hidden="false" customHeight="false" outlineLevel="0" collapsed="false">
      <c r="A219" s="381" t="s">
        <v>2383</v>
      </c>
      <c r="B219" s="381" t="s">
        <v>144</v>
      </c>
      <c r="C219" s="0" t="n">
        <f aca="false">COUNTIF($E$2:$E$413,A219)</f>
        <v>0</v>
      </c>
      <c r="E219" s="0" t="n">
        <f aca="false">'0.1.2 Attack Dex (GO)'!A219</f>
        <v>0</v>
      </c>
      <c r="F219" s="0" t="str">
        <f aca="false" t="array" ref="F219:F219">IFERROR(INDEX($A$2:$A$413, SMALL(IF(0=$C$2:$C$413, ROW($C$2:$C$413)-ROW($C$2)+1), ROW(218:218))),)</f>
        <v>Throat Chop</v>
      </c>
    </row>
    <row r="220" customFormat="false" ht="15.75" hidden="false" customHeight="false" outlineLevel="0" collapsed="false">
      <c r="A220" s="381" t="s">
        <v>2513</v>
      </c>
      <c r="B220" s="381" t="s">
        <v>150</v>
      </c>
      <c r="C220" s="0" t="n">
        <f aca="false">COUNTIF($E$2:$E$413,A220)</f>
        <v>1</v>
      </c>
      <c r="E220" s="0" t="n">
        <f aca="false">'0.1.2 Attack Dex (GO)'!A220</f>
        <v>0</v>
      </c>
      <c r="F220" s="0" t="str">
        <f aca="false" t="array" ref="F220:F220">IFERROR(INDEX($A$2:$A$413, SMALL(IF(0=$C$2:$C$413, ROW($C$2:$C$413)-ROW($C$2)+1), ROW(219:219))),)</f>
        <v>Thunder Fang</v>
      </c>
    </row>
    <row r="221" customFormat="false" ht="15.75" hidden="false" customHeight="false" outlineLevel="0" collapsed="false">
      <c r="A221" s="381" t="s">
        <v>2508</v>
      </c>
      <c r="B221" s="381" t="s">
        <v>152</v>
      </c>
      <c r="C221" s="0" t="n">
        <f aca="false">COUNTIF($E$2:$E$413,A221)</f>
        <v>0</v>
      </c>
      <c r="E221" s="0" t="n">
        <f aca="false">'0.1.2 Attack Dex (GO)'!A221</f>
        <v>0</v>
      </c>
      <c r="F221" s="0" t="str">
        <f aca="false" t="array" ref="F221:F221">IFERROR(INDEX($A$2:$A$413, SMALL(IF(0=$C$2:$C$413, ROW($C$2:$C$413)-ROW($C$2)+1), ROW(220:220))),)</f>
        <v>Tri Attack</v>
      </c>
    </row>
    <row r="222" customFormat="false" ht="15.75" hidden="false" customHeight="false" outlineLevel="0" collapsed="false">
      <c r="A222" s="381" t="s">
        <v>2384</v>
      </c>
      <c r="B222" s="381" t="s">
        <v>152</v>
      </c>
      <c r="C222" s="0" t="n">
        <f aca="false">COUNTIF($E$2:$E$413,A222)</f>
        <v>1</v>
      </c>
      <c r="E222" s="0" t="n">
        <f aca="false">'0.1.2 Attack Dex (GO)'!A222</f>
        <v>0</v>
      </c>
      <c r="F222" s="0" t="str">
        <f aca="false" t="array" ref="F222:F222">IFERROR(INDEX($A$2:$A$413, SMALL(IF(0=$C$2:$C$413, ROW($C$2:$C$413)-ROW($C$2)+1), ROW(221:221))),)</f>
        <v>Triple Kick</v>
      </c>
    </row>
    <row r="223" customFormat="false" ht="15.75" hidden="false" customHeight="false" outlineLevel="0" collapsed="false">
      <c r="A223" s="381" t="s">
        <v>2662</v>
      </c>
      <c r="B223" s="381" t="s">
        <v>152</v>
      </c>
      <c r="C223" s="0" t="n">
        <f aca="false">COUNTIF($E$2:$E$413,A223)</f>
        <v>0</v>
      </c>
      <c r="E223" s="0" t="n">
        <f aca="false">'0.1.2 Attack Dex (GO)'!A223</f>
        <v>0</v>
      </c>
      <c r="F223" s="0" t="str">
        <f aca="false" t="array" ref="F223:F223">IFERROR(INDEX($A$2:$A$413, SMALL(IF(0=$C$2:$C$413, ROW($C$2:$C$413)-ROW($C$2)+1), ROW(222:222))),)</f>
        <v>Trop Kick</v>
      </c>
    </row>
    <row r="224" customFormat="false" ht="15.75" hidden="false" customHeight="false" outlineLevel="0" collapsed="false">
      <c r="A224" s="381" t="s">
        <v>2753</v>
      </c>
      <c r="B224" s="381" t="s">
        <v>153</v>
      </c>
      <c r="C224" s="0" t="n">
        <f aca="false">COUNTIF($E$2:$E$413,A224)</f>
        <v>0</v>
      </c>
      <c r="E224" s="0" t="n">
        <f aca="false">'0.1.2 Attack Dex (GO)'!A224</f>
        <v>0</v>
      </c>
      <c r="F224" s="0" t="str">
        <f aca="false" t="array" ref="F224:F224">IFERROR(INDEX($A$2:$A$413, SMALL(IF(0=$C$2:$C$413, ROW($C$2:$C$413)-ROW($C$2)+1), ROW(223:223))),)</f>
        <v>Twineedle</v>
      </c>
    </row>
    <row r="225" customFormat="false" ht="15.75" hidden="false" customHeight="false" outlineLevel="0" collapsed="false">
      <c r="A225" s="381" t="s">
        <v>2596</v>
      </c>
      <c r="B225" s="381" t="s">
        <v>157</v>
      </c>
      <c r="C225" s="0" t="n">
        <f aca="false">COUNTIF($E$2:$E$413,A225)</f>
        <v>1</v>
      </c>
      <c r="E225" s="0" t="n">
        <f aca="false">'0.1.2 Attack Dex (GO)'!A225</f>
        <v>0</v>
      </c>
      <c r="F225" s="0" t="str">
        <f aca="false" t="array" ref="F225:F225">IFERROR(INDEX($A$2:$A$413, SMALL(IF(0=$C$2:$C$413, ROW($C$2:$C$413)-ROW($C$2)+1), ROW(224:224))),)</f>
        <v>Uproar</v>
      </c>
    </row>
    <row r="226" customFormat="false" ht="15.75" hidden="false" customHeight="false" outlineLevel="0" collapsed="false">
      <c r="A226" s="381" t="s">
        <v>2574</v>
      </c>
      <c r="B226" s="381" t="s">
        <v>152</v>
      </c>
      <c r="C226" s="0" t="n">
        <f aca="false">COUNTIF($E$2:$E$413,A226)</f>
        <v>0</v>
      </c>
      <c r="E226" s="0" t="n">
        <f aca="false">'0.1.2 Attack Dex (GO)'!A226</f>
        <v>0</v>
      </c>
      <c r="F226" s="0" t="str">
        <f aca="false" t="array" ref="F226:F226">IFERROR(INDEX($A$2:$A$413, SMALL(IF(0=$C$2:$C$413, ROW($C$2:$C$413)-ROW($C$2)+1), ROW(225:225))),)</f>
        <v>U-turn</v>
      </c>
    </row>
    <row r="227" customFormat="false" ht="15.75" hidden="false" customHeight="false" outlineLevel="0" collapsed="false">
      <c r="A227" s="381" t="s">
        <v>2663</v>
      </c>
      <c r="B227" s="381" t="s">
        <v>157</v>
      </c>
      <c r="C227" s="0" t="n">
        <f aca="false">COUNTIF($E$2:$E$413,A227)</f>
        <v>0</v>
      </c>
      <c r="E227" s="0" t="n">
        <f aca="false">'0.1.2 Attack Dex (GO)'!A227</f>
        <v>0</v>
      </c>
      <c r="F227" s="0" t="str">
        <f aca="false" t="array" ref="F227:F227">IFERROR(INDEX($A$2:$A$413, SMALL(IF(0=$C$2:$C$413, ROW($C$2:$C$413)-ROW($C$2)+1), ROW(226:226))),)</f>
        <v>Vacuum Wave</v>
      </c>
    </row>
    <row r="228" customFormat="false" ht="15.75" hidden="false" customHeight="false" outlineLevel="0" collapsed="false">
      <c r="A228" s="381" t="s">
        <v>2638</v>
      </c>
      <c r="B228" s="381" t="s">
        <v>161</v>
      </c>
      <c r="C228" s="0" t="n">
        <f aca="false">COUNTIF($E$2:$E$413,A228)</f>
        <v>1</v>
      </c>
      <c r="E228" s="0" t="n">
        <f aca="false">'0.1.2 Attack Dex (GO)'!A228</f>
        <v>0</v>
      </c>
      <c r="F228" s="0" t="str">
        <f aca="false" t="array" ref="F228:F228">IFERROR(INDEX($A$2:$A$413, SMALL(IF(0=$C$2:$C$413, ROW($C$2:$C$413)-ROW($C$2)+1), ROW(227:227))),)</f>
        <v>V-create</v>
      </c>
    </row>
    <row r="229" customFormat="false" ht="15.75" hidden="false" customHeight="false" outlineLevel="0" collapsed="false">
      <c r="A229" s="381" t="s">
        <v>2746</v>
      </c>
      <c r="B229" s="381" t="s">
        <v>151</v>
      </c>
      <c r="C229" s="0" t="n">
        <f aca="false">COUNTIF($E$2:$E$413,A229)</f>
        <v>0</v>
      </c>
      <c r="E229" s="0" t="n">
        <f aca="false">'0.1.2 Attack Dex (GO)'!A229</f>
        <v>0</v>
      </c>
      <c r="F229" s="0" t="str">
        <f aca="false" t="array" ref="F229:F229">IFERROR(INDEX($A$2:$A$413, SMALL(IF(0=$C$2:$C$413, ROW($C$2:$C$413)-ROW($C$2)+1), ROW(228:228))),)</f>
        <v>Venoshock</v>
      </c>
    </row>
    <row r="230" customFormat="false" ht="15.75" hidden="false" customHeight="false" outlineLevel="0" collapsed="false">
      <c r="A230" s="381" t="s">
        <v>2486</v>
      </c>
      <c r="B230" s="381" t="s">
        <v>148</v>
      </c>
      <c r="C230" s="0" t="n">
        <f aca="false">COUNTIF($E$2:$E$413,A230)</f>
        <v>1</v>
      </c>
      <c r="E230" s="0" t="n">
        <f aca="false">'0.1.2 Attack Dex (GO)'!A230</f>
        <v>0</v>
      </c>
      <c r="F230" s="0" t="str">
        <f aca="false" t="array" ref="F230:F230">IFERROR(INDEX($A$2:$A$413, SMALL(IF(0=$C$2:$C$413, ROW($C$2:$C$413)-ROW($C$2)+1), ROW(229:229))),)</f>
        <v>Vital Throw</v>
      </c>
    </row>
    <row r="231" customFormat="false" ht="15.75" hidden="false" customHeight="false" outlineLevel="0" collapsed="false">
      <c r="A231" s="381" t="s">
        <v>2594</v>
      </c>
      <c r="B231" s="381" t="s">
        <v>148</v>
      </c>
      <c r="C231" s="0" t="n">
        <f aca="false">COUNTIF($E$2:$E$413,A231)</f>
        <v>1</v>
      </c>
      <c r="E231" s="0" t="n">
        <f aca="false">'0.1.2 Attack Dex (GO)'!A231</f>
        <v>0</v>
      </c>
      <c r="F231" s="0" t="str">
        <f aca="false" t="array" ref="F231:F231">IFERROR(INDEX($A$2:$A$413, SMALL(IF(0=$C$2:$C$413, ROW($C$2:$C$413)-ROW($C$2)+1), ROW(230:230))),)</f>
        <v>Wake-Up Slap</v>
      </c>
    </row>
    <row r="232" customFormat="false" ht="15.75" hidden="false" customHeight="false" outlineLevel="0" collapsed="false">
      <c r="A232" s="381" t="s">
        <v>2615</v>
      </c>
      <c r="B232" s="381" t="s">
        <v>154</v>
      </c>
      <c r="C232" s="0" t="n">
        <f aca="false">COUNTIF($E$2:$E$413,A232)</f>
        <v>0</v>
      </c>
      <c r="E232" s="0" t="n">
        <f aca="false">'0.1.2 Attack Dex (GO)'!A232</f>
        <v>0</v>
      </c>
      <c r="F232" s="0" t="str">
        <f aca="false" t="array" ref="F232:F232">IFERROR(INDEX($A$2:$A$413, SMALL(IF(0=$C$2:$C$413, ROW($C$2:$C$413)-ROW($C$2)+1), ROW(231:231))),)</f>
        <v>Water Pledge</v>
      </c>
    </row>
    <row r="233" customFormat="false" ht="15.75" hidden="false" customHeight="false" outlineLevel="0" collapsed="false">
      <c r="A233" s="381" t="s">
        <v>183</v>
      </c>
      <c r="B233" s="381" t="s">
        <v>148</v>
      </c>
      <c r="C233" s="0" t="n">
        <f aca="false">COUNTIF($E$2:$E$413,A233)</f>
        <v>1</v>
      </c>
      <c r="E233" s="0" t="n">
        <f aca="false">'0.1.2 Attack Dex (GO)'!A233</f>
        <v>0</v>
      </c>
      <c r="F233" s="0" t="str">
        <f aca="false" t="array" ref="F233:F233">IFERROR(INDEX($A$2:$A$413, SMALL(IF(0=$C$2:$C$413, ROW($C$2:$C$413)-ROW($C$2)+1), ROW(232:232))),)</f>
        <v>Water Shuriken</v>
      </c>
    </row>
    <row r="234" customFormat="false" ht="15.75" hidden="false" customHeight="false" outlineLevel="0" collapsed="false">
      <c r="A234" s="381" t="s">
        <v>2734</v>
      </c>
      <c r="B234" s="381" t="s">
        <v>144</v>
      </c>
      <c r="C234" s="0" t="n">
        <f aca="false">COUNTIF($E$2:$E$413,A234)</f>
        <v>0</v>
      </c>
      <c r="E234" s="0" t="n">
        <f aca="false">'0.1.2 Attack Dex (GO)'!A234</f>
        <v>0</v>
      </c>
      <c r="F234" s="0" t="str">
        <f aca="false" t="array" ref="F234:F234">IFERROR(INDEX($A$2:$A$413, SMALL(IF(0=$C$2:$C$413, ROW($C$2:$C$413)-ROW($C$2)+1), ROW(233:233))),)</f>
        <v>Water Spout</v>
      </c>
    </row>
    <row r="235" customFormat="false" ht="15.75" hidden="false" customHeight="false" outlineLevel="0" collapsed="false">
      <c r="A235" s="381" t="s">
        <v>2673</v>
      </c>
      <c r="B235" s="381" t="s">
        <v>153</v>
      </c>
      <c r="C235" s="0" t="n">
        <f aca="false">COUNTIF($E$2:$E$413,A235)</f>
        <v>0</v>
      </c>
      <c r="E235" s="0" t="n">
        <f aca="false">'0.1.2 Attack Dex (GO)'!A235</f>
        <v>0</v>
      </c>
      <c r="F235" s="0" t="str">
        <f aca="false" t="array" ref="F235:F235">IFERROR(INDEX($A$2:$A$413, SMALL(IF(0=$C$2:$C$413, ROW($C$2:$C$413)-ROW($C$2)+1), ROW(234:234))),)</f>
        <v>Weather Ball</v>
      </c>
    </row>
    <row r="236" customFormat="false" ht="15.75" hidden="false" customHeight="false" outlineLevel="0" collapsed="false">
      <c r="A236" s="381" t="s">
        <v>2741</v>
      </c>
      <c r="B236" s="381" t="s">
        <v>161</v>
      </c>
      <c r="C236" s="0" t="n">
        <f aca="false">COUNTIF($E$2:$E$413,A236)</f>
        <v>0</v>
      </c>
      <c r="E236" s="0" t="n">
        <f aca="false">'0.1.2 Attack Dex (GO)'!A236</f>
        <v>0</v>
      </c>
      <c r="F236" s="0" t="str">
        <f aca="false" t="array" ref="F236:F236">IFERROR(INDEX($A$2:$A$413, SMALL(IF(0=$C$2:$C$413, ROW($C$2:$C$413)-ROW($C$2)+1), ROW(235:235))),)</f>
        <v>Whirlpool</v>
      </c>
    </row>
    <row r="237" customFormat="false" ht="15.75" hidden="false" customHeight="false" outlineLevel="0" collapsed="false">
      <c r="A237" s="381" t="s">
        <v>2661</v>
      </c>
      <c r="B237" s="381" t="s">
        <v>155</v>
      </c>
      <c r="C237" s="0" t="n">
        <f aca="false">COUNTIF($E$2:$E$413,A237)</f>
        <v>0</v>
      </c>
      <c r="E237" s="0" t="n">
        <f aca="false">'0.1.2 Attack Dex (GO)'!A237</f>
        <v>0</v>
      </c>
      <c r="F237" s="0" t="str">
        <f aca="false" t="array" ref="F237:F237">IFERROR(INDEX($A$2:$A$413, SMALL(IF(0=$C$2:$C$413, ROW($C$2:$C$413)-ROW($C$2)+1), ROW(236:236))),)</f>
        <v>Wood Hammer</v>
      </c>
    </row>
    <row r="238" customFormat="false" ht="15.75" hidden="false" customHeight="false" outlineLevel="0" collapsed="false">
      <c r="A238" s="381" t="s">
        <v>2694</v>
      </c>
      <c r="B238" s="381" t="s">
        <v>160</v>
      </c>
      <c r="C238" s="0" t="n">
        <f aca="false">COUNTIF($E$2:$E$413,A238)</f>
        <v>0</v>
      </c>
      <c r="E238" s="0" t="n">
        <f aca="false">'0.1.2 Attack Dex (GO)'!A238</f>
        <v>0</v>
      </c>
      <c r="F238" s="0" t="str">
        <f aca="false" t="array" ref="F238:F238">IFERROR(INDEX($A$2:$A$413, SMALL(IF(0=$C$2:$C$413, ROW($C$2:$C$413)-ROW($C$2)+1), ROW(237:237))),)</f>
        <v>Zing Zap</v>
      </c>
    </row>
    <row r="239" customFormat="false" ht="15.75" hidden="false" customHeight="false" outlineLevel="0" collapsed="false">
      <c r="A239" s="381" t="s">
        <v>2589</v>
      </c>
      <c r="B239" s="381" t="s">
        <v>151</v>
      </c>
      <c r="C239" s="0" t="n">
        <f aca="false">COUNTIF($E$2:$E$413,A239)</f>
        <v>1</v>
      </c>
      <c r="E239" s="0" t="n">
        <f aca="false">'0.1.2 Attack Dex (GO)'!A239</f>
        <v>0</v>
      </c>
      <c r="F239" s="0" t="n">
        <f aca="false">IFERROR(INDEX($A$2:$A$413, SMALL(IF(0=$C$2:$C$413, ROW($C$2:$C$413)-ROW($C$2)+1), ROW(238:238))),)</f>
        <v>0</v>
      </c>
    </row>
    <row r="240" customFormat="false" ht="15.75" hidden="false" customHeight="false" outlineLevel="0" collapsed="false">
      <c r="A240" s="381" t="s">
        <v>2531</v>
      </c>
      <c r="B240" s="381" t="s">
        <v>160</v>
      </c>
      <c r="C240" s="0" t="n">
        <f aca="false">COUNTIF($E$2:$E$413,A240)</f>
        <v>1</v>
      </c>
      <c r="E240" s="0" t="n">
        <f aca="false">'0.1.2 Attack Dex (GO)'!A240</f>
        <v>0</v>
      </c>
      <c r="F240" s="0" t="n">
        <f aca="false">IFERROR(INDEX($A$2:$A$413, SMALL(IF(0=$C$2:$C$413, ROW($C$2:$C$413)-ROW($C$2)+1), ROW(239:239))),)</f>
        <v>0</v>
      </c>
    </row>
    <row r="241" customFormat="false" ht="15.75" hidden="false" customHeight="false" outlineLevel="0" collapsed="false">
      <c r="A241" s="381" t="s">
        <v>2658</v>
      </c>
      <c r="B241" s="381" t="s">
        <v>156</v>
      </c>
      <c r="C241" s="0" t="n">
        <f aca="false">COUNTIF($E$2:$E$413,A241)</f>
        <v>0</v>
      </c>
      <c r="E241" s="0" t="n">
        <f aca="false">'0.1.2 Attack Dex (GO)'!A241</f>
        <v>0</v>
      </c>
      <c r="F241" s="0" t="n">
        <f aca="false">IFERROR(INDEX($A$2:$A$413, SMALL(IF(0=$C$2:$C$413, ROW($C$2:$C$413)-ROW($C$2)+1), ROW(240:240))),)</f>
        <v>0</v>
      </c>
    </row>
    <row r="242" customFormat="false" ht="15.75" hidden="false" customHeight="false" outlineLevel="0" collapsed="false">
      <c r="A242" s="381" t="s">
        <v>2713</v>
      </c>
      <c r="B242" s="381" t="s">
        <v>146</v>
      </c>
      <c r="C242" s="0" t="n">
        <f aca="false">COUNTIF($E$2:$E$413,A242)</f>
        <v>0</v>
      </c>
      <c r="E242" s="0" t="n">
        <f aca="false">'0.1.2 Attack Dex (GO)'!A242</f>
        <v>0</v>
      </c>
      <c r="F242" s="0" t="n">
        <f aca="false">IFERROR(INDEX($A$2:$A$413, SMALL(IF(0=$C$2:$C$413, ROW($C$2:$C$413)-ROW($C$2)+1), ROW(241:241))),)</f>
        <v>0</v>
      </c>
    </row>
    <row r="243" customFormat="false" ht="15.75" hidden="false" customHeight="false" outlineLevel="0" collapsed="false">
      <c r="A243" s="381" t="s">
        <v>2648</v>
      </c>
      <c r="B243" s="381" t="s">
        <v>154</v>
      </c>
      <c r="C243" s="0" t="n">
        <f aca="false">COUNTIF($E$2:$E$413,A243)</f>
        <v>0</v>
      </c>
      <c r="E243" s="0" t="n">
        <f aca="false">'0.1.2 Attack Dex (GO)'!A243</f>
        <v>0</v>
      </c>
      <c r="F243" s="0" t="n">
        <f aca="false">IFERROR(INDEX($A$2:$A$413, SMALL(IF(0=$C$2:$C$413, ROW($C$2:$C$413)-ROW($C$2)+1), ROW(242:242))),)</f>
        <v>0</v>
      </c>
    </row>
    <row r="244" customFormat="false" ht="15.75" hidden="false" customHeight="false" outlineLevel="0" collapsed="false">
      <c r="A244" s="381" t="s">
        <v>2385</v>
      </c>
      <c r="B244" s="381" t="s">
        <v>151</v>
      </c>
      <c r="C244" s="0" t="n">
        <f aca="false">COUNTIF($E$2:$E$413,A244)</f>
        <v>1</v>
      </c>
      <c r="E244" s="0" t="n">
        <f aca="false">'0.1.2 Attack Dex (GO)'!A244</f>
        <v>0</v>
      </c>
      <c r="F244" s="0" t="n">
        <f aca="false">IFERROR(INDEX($A$2:$A$413, SMALL(IF(0=$C$2:$C$413, ROW($C$2:$C$413)-ROW($C$2)+1), ROW(243:243))),)</f>
        <v>0</v>
      </c>
    </row>
    <row r="245" customFormat="false" ht="15.75" hidden="false" customHeight="false" outlineLevel="0" collapsed="false">
      <c r="A245" s="381" t="s">
        <v>2665</v>
      </c>
      <c r="B245" s="381" t="s">
        <v>154</v>
      </c>
      <c r="C245" s="0" t="n">
        <f aca="false">COUNTIF($E$2:$E$413,A245)</f>
        <v>1</v>
      </c>
      <c r="E245" s="0" t="n">
        <f aca="false">'0.1.2 Attack Dex (GO)'!A245</f>
        <v>0</v>
      </c>
      <c r="F245" s="0" t="n">
        <f aca="false">IFERROR(INDEX($A$2:$A$413, SMALL(IF(0=$C$2:$C$413, ROW($C$2:$C$413)-ROW($C$2)+1), ROW(244:244))),)</f>
        <v>0</v>
      </c>
    </row>
    <row r="246" customFormat="false" ht="15.75" hidden="false" customHeight="false" outlineLevel="0" collapsed="false">
      <c r="A246" s="381" t="s">
        <v>2332</v>
      </c>
      <c r="B246" s="381" t="s">
        <v>159</v>
      </c>
      <c r="C246" s="0" t="n">
        <f aca="false">COUNTIF($E$2:$E$413,A246)</f>
        <v>1</v>
      </c>
      <c r="E246" s="0" t="n">
        <f aca="false">'0.1.2 Attack Dex (GO)'!A246</f>
        <v>0</v>
      </c>
      <c r="F246" s="0" t="n">
        <f aca="false">IFERROR(INDEX($A$2:$A$413, SMALL(IF(0=$C$2:$C$413, ROW($C$2:$C$413)-ROW($C$2)+1), ROW(245:245))),)</f>
        <v>0</v>
      </c>
    </row>
    <row r="247" customFormat="false" ht="15.75" hidden="false" customHeight="false" outlineLevel="0" collapsed="false">
      <c r="A247" s="381" t="s">
        <v>2386</v>
      </c>
      <c r="B247" s="381" t="s">
        <v>153</v>
      </c>
      <c r="C247" s="0" t="n">
        <f aca="false">COUNTIF($E$2:$E$413,A247)</f>
        <v>1</v>
      </c>
      <c r="E247" s="0" t="n">
        <f aca="false">'0.1.2 Attack Dex (GO)'!A247</f>
        <v>0</v>
      </c>
      <c r="F247" s="0" t="n">
        <f aca="false">IFERROR(INDEX($A$2:$A$413, SMALL(IF(0=$C$2:$C$413, ROW($C$2:$C$413)-ROW($C$2)+1), ROW(246:246))),)</f>
        <v>0</v>
      </c>
    </row>
    <row r="248" customFormat="false" ht="15.75" hidden="false" customHeight="false" outlineLevel="0" collapsed="false">
      <c r="A248" s="381" t="s">
        <v>2711</v>
      </c>
      <c r="B248" s="381" t="s">
        <v>156</v>
      </c>
      <c r="C248" s="0" t="n">
        <f aca="false">COUNTIF($E$2:$E$413,A248)</f>
        <v>1</v>
      </c>
      <c r="E248" s="0" t="n">
        <f aca="false">'0.1.2 Attack Dex (GO)'!A248</f>
        <v>0</v>
      </c>
      <c r="F248" s="0" t="n">
        <f aca="false">IFERROR(INDEX($A$2:$A$413, SMALL(IF(0=$C$2:$C$413, ROW($C$2:$C$413)-ROW($C$2)+1), ROW(247:247))),)</f>
        <v>0</v>
      </c>
    </row>
    <row r="249" customFormat="false" ht="15.75" hidden="false" customHeight="false" outlineLevel="0" collapsed="false">
      <c r="A249" s="381" t="s">
        <v>2490</v>
      </c>
      <c r="B249" s="381" t="s">
        <v>144</v>
      </c>
      <c r="C249" s="0" t="n">
        <f aca="false">COUNTIF($E$2:$E$413,A249)</f>
        <v>0</v>
      </c>
      <c r="E249" s="0" t="n">
        <f aca="false">'0.1.2 Attack Dex (GO)'!A249</f>
        <v>0</v>
      </c>
      <c r="F249" s="0" t="n">
        <f aca="false">IFERROR(INDEX($A$2:$A$413, SMALL(IF(0=$C$2:$C$413, ROW($C$2:$C$413)-ROW($C$2)+1), ROW(248:248))),)</f>
        <v>0</v>
      </c>
    </row>
    <row r="250" customFormat="false" ht="15.75" hidden="false" customHeight="false" outlineLevel="0" collapsed="false">
      <c r="A250" s="381" t="s">
        <v>2452</v>
      </c>
      <c r="B250" s="381" t="s">
        <v>160</v>
      </c>
      <c r="C250" s="0" t="n">
        <f aca="false">COUNTIF($E$2:$E$413,A250)</f>
        <v>0</v>
      </c>
      <c r="E250" s="0" t="n">
        <f aca="false">'0.1.2 Attack Dex (GO)'!A250</f>
        <v>0</v>
      </c>
      <c r="F250" s="0" t="n">
        <f aca="false">IFERROR(INDEX($A$2:$A$413, SMALL(IF(0=$C$2:$C$413, ROW($C$2:$C$413)-ROW($C$2)+1), ROW(249:249))),)</f>
        <v>0</v>
      </c>
    </row>
    <row r="251" customFormat="false" ht="15.75" hidden="false" customHeight="false" outlineLevel="0" collapsed="false">
      <c r="A251" s="381" t="s">
        <v>2480</v>
      </c>
      <c r="B251" s="381" t="s">
        <v>146</v>
      </c>
      <c r="C251" s="0" t="n">
        <f aca="false">COUNTIF($E$2:$E$413,A251)</f>
        <v>1</v>
      </c>
      <c r="E251" s="0" t="n">
        <f aca="false">'0.1.2 Attack Dex (GO)'!A251</f>
        <v>0</v>
      </c>
      <c r="F251" s="0" t="n">
        <f aca="false">IFERROR(INDEX($A$2:$A$413, SMALL(IF(0=$C$2:$C$413, ROW($C$2:$C$413)-ROW($C$2)+1), ROW(250:250))),)</f>
        <v>0</v>
      </c>
    </row>
    <row r="252" customFormat="false" ht="15.75" hidden="false" customHeight="false" outlineLevel="0" collapsed="false">
      <c r="A252" s="381" t="s">
        <v>2333</v>
      </c>
      <c r="B252" s="381" t="s">
        <v>155</v>
      </c>
      <c r="C252" s="0" t="n">
        <f aca="false">COUNTIF($E$2:$E$413,A252)</f>
        <v>1</v>
      </c>
      <c r="E252" s="0" t="n">
        <f aca="false">'0.1.2 Attack Dex (GO)'!A252</f>
        <v>0</v>
      </c>
      <c r="F252" s="0" t="n">
        <f aca="false">IFERROR(INDEX($A$2:$A$413, SMALL(IF(0=$C$2:$C$413, ROW($C$2:$C$413)-ROW($C$2)+1), ROW(251:251))),)</f>
        <v>0</v>
      </c>
    </row>
    <row r="253" customFormat="false" ht="15.75" hidden="false" customHeight="false" outlineLevel="0" collapsed="false">
      <c r="A253" s="381" t="s">
        <v>2334</v>
      </c>
      <c r="B253" s="381" t="s">
        <v>155</v>
      </c>
      <c r="C253" s="0" t="n">
        <f aca="false">COUNTIF($E$2:$E$413,A253)</f>
        <v>0</v>
      </c>
      <c r="E253" s="0" t="n">
        <f aca="false">'0.1.2 Attack Dex (GO)'!A253</f>
        <v>0</v>
      </c>
      <c r="F253" s="0" t="n">
        <f aca="false">IFERROR(INDEX($A$2:$A$413, SMALL(IF(0=$C$2:$C$413, ROW($C$2:$C$413)-ROW($C$2)+1), ROW(252:252))),)</f>
        <v>0</v>
      </c>
    </row>
    <row r="254" customFormat="false" ht="15.75" hidden="false" customHeight="false" outlineLevel="0" collapsed="false">
      <c r="A254" s="381" t="s">
        <v>2656</v>
      </c>
      <c r="B254" s="381" t="s">
        <v>151</v>
      </c>
      <c r="C254" s="0" t="n">
        <f aca="false">COUNTIF($E$2:$E$413,A254)</f>
        <v>0</v>
      </c>
      <c r="E254" s="0" t="n">
        <f aca="false">'0.1.2 Attack Dex (GO)'!A254</f>
        <v>0</v>
      </c>
      <c r="F254" s="0" t="n">
        <f aca="false">IFERROR(INDEX($A$2:$A$413, SMALL(IF(0=$C$2:$C$413, ROW($C$2:$C$413)-ROW($C$2)+1), ROW(253:253))),)</f>
        <v>0</v>
      </c>
    </row>
    <row r="255" customFormat="false" ht="15.75" hidden="false" customHeight="false" outlineLevel="0" collapsed="false">
      <c r="A255" s="381" t="s">
        <v>2747</v>
      </c>
      <c r="B255" s="381" t="s">
        <v>157</v>
      </c>
      <c r="C255" s="0" t="n">
        <f aca="false">COUNTIF($E$2:$E$413,A255)</f>
        <v>0</v>
      </c>
      <c r="E255" s="0" t="n">
        <f aca="false">'0.1.2 Attack Dex (GO)'!A255</f>
        <v>0</v>
      </c>
      <c r="F255" s="0" t="n">
        <f aca="false">IFERROR(INDEX($A$2:$A$413, SMALL(IF(0=$C$2:$C$413, ROW($C$2:$C$413)-ROW($C$2)+1), ROW(254:254))),)</f>
        <v>0</v>
      </c>
    </row>
    <row r="256" customFormat="false" ht="15.75" hidden="false" customHeight="false" outlineLevel="0" collapsed="false">
      <c r="A256" s="381" t="s">
        <v>2453</v>
      </c>
      <c r="B256" s="381" t="s">
        <v>150</v>
      </c>
      <c r="C256" s="0" t="n">
        <f aca="false">COUNTIF($E$2:$E$413,A256)</f>
        <v>0</v>
      </c>
      <c r="E256" s="0" t="n">
        <f aca="false">'0.1.2 Attack Dex (GO)'!A256</f>
        <v>0</v>
      </c>
      <c r="F256" s="0" t="n">
        <f aca="false">IFERROR(INDEX($A$2:$A$413, SMALL(IF(0=$C$2:$C$413, ROW($C$2:$C$413)-ROW($C$2)+1), ROW(255:255))),)</f>
        <v>0</v>
      </c>
    </row>
    <row r="257" customFormat="false" ht="15.75" hidden="false" customHeight="false" outlineLevel="0" collapsed="false">
      <c r="A257" s="381" t="s">
        <v>2754</v>
      </c>
      <c r="B257" s="381" t="s">
        <v>156</v>
      </c>
      <c r="C257" s="0" t="n">
        <f aca="false">COUNTIF($E$2:$E$413,A257)</f>
        <v>0</v>
      </c>
      <c r="E257" s="0" t="n">
        <f aca="false">'0.1.2 Attack Dex (GO)'!A257</f>
        <v>0</v>
      </c>
      <c r="F257" s="0" t="n">
        <f aca="false">IFERROR(INDEX($A$2:$A$413, SMALL(IF(0=$C$2:$C$413, ROW($C$2:$C$413)-ROW($C$2)+1), ROW(256:256))),)</f>
        <v>0</v>
      </c>
    </row>
    <row r="258" customFormat="false" ht="15.75" hidden="false" customHeight="false" outlineLevel="0" collapsed="false">
      <c r="A258" s="381" t="s">
        <v>2526</v>
      </c>
      <c r="B258" s="381" t="s">
        <v>161</v>
      </c>
      <c r="C258" s="0" t="n">
        <f aca="false">COUNTIF($E$2:$E$413,A258)</f>
        <v>1</v>
      </c>
      <c r="E258" s="0" t="n">
        <f aca="false">'0.1.2 Attack Dex (GO)'!A258</f>
        <v>0</v>
      </c>
      <c r="F258" s="0" t="n">
        <f aca="false">IFERROR(INDEX($A$2:$A$413, SMALL(IF(0=$C$2:$C$413, ROW($C$2:$C$413)-ROW($C$2)+1), ROW(257:257))),)</f>
        <v>0</v>
      </c>
    </row>
    <row r="259" customFormat="false" ht="15.75" hidden="false" customHeight="false" outlineLevel="0" collapsed="false">
      <c r="A259" s="381" t="s">
        <v>2460</v>
      </c>
      <c r="B259" s="381" t="s">
        <v>146</v>
      </c>
      <c r="C259" s="0" t="n">
        <f aca="false">COUNTIF($E$2:$E$413,A259)</f>
        <v>0</v>
      </c>
      <c r="E259" s="0" t="n">
        <f aca="false">'0.1.2 Attack Dex (GO)'!A259</f>
        <v>0</v>
      </c>
      <c r="F259" s="0" t="n">
        <f aca="false">IFERROR(INDEX($A$2:$A$413, SMALL(IF(0=$C$2:$C$413, ROW($C$2:$C$413)-ROW($C$2)+1), ROW(258:258))),)</f>
        <v>0</v>
      </c>
    </row>
    <row r="260" customFormat="false" ht="15.75" hidden="false" customHeight="false" outlineLevel="0" collapsed="false">
      <c r="A260" s="381" t="s">
        <v>2529</v>
      </c>
      <c r="B260" s="381" t="s">
        <v>147</v>
      </c>
      <c r="C260" s="0" t="n">
        <f aca="false">COUNTIF($E$2:$E$413,A260)</f>
        <v>1</v>
      </c>
      <c r="E260" s="0" t="n">
        <f aca="false">'0.1.2 Attack Dex (GO)'!A260</f>
        <v>0</v>
      </c>
      <c r="F260" s="0" t="n">
        <f aca="false">IFERROR(INDEX($A$2:$A$413, SMALL(IF(0=$C$2:$C$413, ROW($C$2:$C$413)-ROW($C$2)+1), ROW(259:259))),)</f>
        <v>0</v>
      </c>
    </row>
    <row r="261" customFormat="false" ht="15.75" hidden="false" customHeight="false" outlineLevel="0" collapsed="false">
      <c r="A261" s="381" t="s">
        <v>2454</v>
      </c>
      <c r="B261" s="381" t="s">
        <v>147</v>
      </c>
      <c r="C261" s="0" t="n">
        <f aca="false">COUNTIF($E$2:$E$413,A261)</f>
        <v>1</v>
      </c>
      <c r="E261" s="0" t="n">
        <f aca="false">'0.1.2 Attack Dex (GO)'!A261</f>
        <v>0</v>
      </c>
      <c r="F261" s="0" t="n">
        <f aca="false">IFERROR(INDEX($A$2:$A$413, SMALL(IF(0=$C$2:$C$413, ROW($C$2:$C$413)-ROW($C$2)+1), ROW(260:260))),)</f>
        <v>0</v>
      </c>
    </row>
    <row r="262" customFormat="false" ht="15.75" hidden="false" customHeight="false" outlineLevel="0" collapsed="false">
      <c r="A262" s="381" t="s">
        <v>2487</v>
      </c>
      <c r="B262" s="381" t="s">
        <v>147</v>
      </c>
      <c r="C262" s="0" t="n">
        <f aca="false">COUNTIF($E$2:$E$413,A262)</f>
        <v>1</v>
      </c>
      <c r="E262" s="0" t="n">
        <f aca="false">'0.1.2 Attack Dex (GO)'!A262</f>
        <v>0</v>
      </c>
      <c r="F262" s="0" t="n">
        <f aca="false">IFERROR(INDEX($A$2:$A$413, SMALL(IF(0=$C$2:$C$413, ROW($C$2:$C$413)-ROW($C$2)+1), ROW(261:261))),)</f>
        <v>0</v>
      </c>
    </row>
    <row r="263" customFormat="false" ht="15.75" hidden="false" customHeight="false" outlineLevel="0" collapsed="false">
      <c r="A263" s="381" t="s">
        <v>2646</v>
      </c>
      <c r="B263" s="381" t="s">
        <v>147</v>
      </c>
      <c r="C263" s="0" t="n">
        <f aca="false">COUNTIF($E$2:$E$413,A263)</f>
        <v>0</v>
      </c>
      <c r="E263" s="0" t="n">
        <f aca="false">'0.1.2 Attack Dex (GO)'!A263</f>
        <v>0</v>
      </c>
      <c r="F263" s="0" t="n">
        <f aca="false">IFERROR(INDEX($A$2:$A$413, SMALL(IF(0=$C$2:$C$413, ROW($C$2:$C$413)-ROW($C$2)+1), ROW(262:262))),)</f>
        <v>0</v>
      </c>
    </row>
    <row r="264" customFormat="false" ht="15.75" hidden="false" customHeight="false" outlineLevel="0" collapsed="false">
      <c r="A264" s="381" t="s">
        <v>2728</v>
      </c>
      <c r="B264" s="381" t="s">
        <v>150</v>
      </c>
      <c r="C264" s="0" t="n">
        <f aca="false">COUNTIF($E$2:$E$413,A264)</f>
        <v>0</v>
      </c>
      <c r="E264" s="0" t="n">
        <f aca="false">'0.1.2 Attack Dex (GO)'!A264</f>
        <v>0</v>
      </c>
      <c r="F264" s="0" t="n">
        <f aca="false">IFERROR(INDEX($A$2:$A$413, SMALL(IF(0=$C$2:$C$413, ROW($C$2:$C$413)-ROW($C$2)+1), ROW(263:263))),)</f>
        <v>0</v>
      </c>
    </row>
    <row r="265" customFormat="false" ht="15.75" hidden="false" customHeight="false" outlineLevel="0" collapsed="false">
      <c r="A265" s="381" t="s">
        <v>2582</v>
      </c>
      <c r="B265" s="381" t="s">
        <v>144</v>
      </c>
      <c r="C265" s="0" t="n">
        <f aca="false">COUNTIF($E$2:$E$413,A265)</f>
        <v>1</v>
      </c>
      <c r="E265" s="0" t="n">
        <f aca="false">'0.1.2 Attack Dex (GO)'!A265</f>
        <v>0</v>
      </c>
      <c r="F265" s="0" t="n">
        <f aca="false">IFERROR(INDEX($A$2:$A$413, SMALL(IF(0=$C$2:$C$413, ROW($C$2:$C$413)-ROW($C$2)+1), ROW(264:264))),)</f>
        <v>0</v>
      </c>
    </row>
    <row r="266" customFormat="false" ht="15.75" hidden="false" customHeight="false" outlineLevel="0" collapsed="false">
      <c r="A266" s="381" t="s">
        <v>2626</v>
      </c>
      <c r="B266" s="381" t="s">
        <v>158</v>
      </c>
      <c r="C266" s="0" t="n">
        <f aca="false">COUNTIF($E$2:$E$413,A266)</f>
        <v>1</v>
      </c>
      <c r="E266" s="0" t="n">
        <f aca="false">'0.1.2 Attack Dex (GO)'!A266</f>
        <v>0</v>
      </c>
      <c r="F266" s="0" t="n">
        <f aca="false">IFERROR(INDEX($A$2:$A$413, SMALL(IF(0=$C$2:$C$413, ROW($C$2:$C$413)-ROW($C$2)+1), ROW(265:265))),)</f>
        <v>0</v>
      </c>
    </row>
    <row r="267" customFormat="false" ht="15.75" hidden="false" customHeight="false" outlineLevel="0" collapsed="false">
      <c r="A267" s="381" t="s">
        <v>2536</v>
      </c>
      <c r="B267" s="381" t="s">
        <v>149</v>
      </c>
      <c r="C267" s="0" t="n">
        <f aca="false">COUNTIF($E$2:$E$413,A267)</f>
        <v>1</v>
      </c>
      <c r="E267" s="0" t="n">
        <f aca="false">'0.1.2 Attack Dex (GO)'!A267</f>
        <v>0</v>
      </c>
      <c r="F267" s="0" t="n">
        <f aca="false">IFERROR(INDEX($A$2:$A$413, SMALL(IF(0=$C$2:$C$413, ROW($C$2:$C$413)-ROW($C$2)+1), ROW(266:266))),)</f>
        <v>0</v>
      </c>
    </row>
    <row r="268" customFormat="false" ht="15.75" hidden="false" customHeight="false" outlineLevel="0" collapsed="false">
      <c r="A268" s="381" t="s">
        <v>2693</v>
      </c>
      <c r="B268" s="381" t="s">
        <v>160</v>
      </c>
      <c r="C268" s="0" t="n">
        <f aca="false">COUNTIF($E$2:$E$413,A268)</f>
        <v>0</v>
      </c>
      <c r="E268" s="0" t="n">
        <f aca="false">'0.1.2 Attack Dex (GO)'!A268</f>
        <v>0</v>
      </c>
      <c r="F268" s="0" t="n">
        <f aca="false">IFERROR(INDEX($A$2:$A$413, SMALL(IF(0=$C$2:$C$413, ROW($C$2:$C$413)-ROW($C$2)+1), ROW(267:267))),)</f>
        <v>0</v>
      </c>
    </row>
    <row r="269" customFormat="false" ht="15.75" hidden="false" customHeight="false" outlineLevel="0" collapsed="false">
      <c r="A269" s="381" t="s">
        <v>2616</v>
      </c>
      <c r="B269" s="381" t="s">
        <v>155</v>
      </c>
      <c r="C269" s="0" t="n">
        <f aca="false">COUNTIF($E$2:$E$413,A269)</f>
        <v>1</v>
      </c>
      <c r="E269" s="0" t="n">
        <f aca="false">'0.1.2 Attack Dex (GO)'!A269</f>
        <v>0</v>
      </c>
      <c r="F269" s="0" t="n">
        <f aca="false">IFERROR(INDEX($A$2:$A$413, SMALL(IF(0=$C$2:$C$413, ROW($C$2:$C$413)-ROW($C$2)+1), ROW(268:268))),)</f>
        <v>0</v>
      </c>
    </row>
    <row r="270" customFormat="false" ht="15.75" hidden="false" customHeight="false" outlineLevel="0" collapsed="false">
      <c r="A270" s="381" t="s">
        <v>2387</v>
      </c>
      <c r="B270" s="381" t="s">
        <v>145</v>
      </c>
      <c r="C270" s="0" t="n">
        <f aca="false">COUNTIF($E$2:$E$413,A270)</f>
        <v>0</v>
      </c>
      <c r="E270" s="0" t="n">
        <f aca="false">'0.1.2 Attack Dex (GO)'!A270</f>
        <v>0</v>
      </c>
      <c r="F270" s="0" t="n">
        <f aca="false">IFERROR(INDEX($A$2:$A$413, SMALL(IF(0=$C$2:$C$413, ROW($C$2:$C$413)-ROW($C$2)+1), ROW(269:269))),)</f>
        <v>0</v>
      </c>
    </row>
    <row r="271" customFormat="false" ht="15.75" hidden="false" customHeight="false" outlineLevel="0" collapsed="false">
      <c r="A271" s="381" t="s">
        <v>2666</v>
      </c>
      <c r="B271" s="381" t="s">
        <v>148</v>
      </c>
      <c r="C271" s="0" t="n">
        <f aca="false">COUNTIF($E$2:$E$413,A271)</f>
        <v>1</v>
      </c>
      <c r="E271" s="0" t="n">
        <f aca="false">'0.1.2 Attack Dex (GO)'!A271</f>
        <v>0</v>
      </c>
      <c r="F271" s="0" t="n">
        <f aca="false">IFERROR(INDEX($A$2:$A$413, SMALL(IF(0=$C$2:$C$413, ROW($C$2:$C$413)-ROW($C$2)+1), ROW(270:270))),)</f>
        <v>0</v>
      </c>
    </row>
    <row r="272" customFormat="false" ht="15.75" hidden="false" customHeight="false" outlineLevel="0" collapsed="false">
      <c r="A272" s="381" t="s">
        <v>2748</v>
      </c>
      <c r="B272" s="381" t="s">
        <v>157</v>
      </c>
      <c r="C272" s="0" t="n">
        <f aca="false">COUNTIF($E$2:$E$413,A272)</f>
        <v>0</v>
      </c>
      <c r="E272" s="0" t="n">
        <f aca="false">'0.1.2 Attack Dex (GO)'!A272</f>
        <v>0</v>
      </c>
      <c r="F272" s="0" t="n">
        <f aca="false">IFERROR(INDEX($A$2:$A$413, SMALL(IF(0=$C$2:$C$413, ROW($C$2:$C$413)-ROW($C$2)+1), ROW(271:271))),)</f>
        <v>0</v>
      </c>
    </row>
    <row r="273" customFormat="false" ht="15.75" hidden="false" customHeight="false" outlineLevel="0" collapsed="false">
      <c r="A273" s="381" t="s">
        <v>2439</v>
      </c>
      <c r="B273" s="381" t="s">
        <v>157</v>
      </c>
      <c r="C273" s="0" t="n">
        <f aca="false">COUNTIF($E$2:$E$413,A273)</f>
        <v>1</v>
      </c>
      <c r="E273" s="0" t="n">
        <f aca="false">'0.1.2 Attack Dex (GO)'!A273</f>
        <v>0</v>
      </c>
      <c r="F273" s="0" t="n">
        <f aca="false">IFERROR(INDEX($A$2:$A$413, SMALL(IF(0=$C$2:$C$413, ROW($C$2:$C$413)-ROW($C$2)+1), ROW(272:272))),)</f>
        <v>0</v>
      </c>
    </row>
    <row r="274" customFormat="false" ht="15.75" hidden="false" customHeight="false" outlineLevel="0" collapsed="false">
      <c r="A274" s="381" t="s">
        <v>157</v>
      </c>
      <c r="B274" s="381" t="s">
        <v>157</v>
      </c>
      <c r="C274" s="0" t="n">
        <f aca="false">COUNTIF($E$2:$E$413,A274)</f>
        <v>1</v>
      </c>
      <c r="E274" s="0" t="n">
        <f aca="false">'0.1.2 Attack Dex (GO)'!A274</f>
        <v>0</v>
      </c>
      <c r="F274" s="0" t="n">
        <f aca="false">IFERROR(INDEX($A$2:$A$413, SMALL(IF(0=$C$2:$C$413, ROW($C$2:$C$413)-ROW($C$2)+1), ROW(273:273))),)</f>
        <v>0</v>
      </c>
    </row>
    <row r="275" customFormat="false" ht="15.75" hidden="false" customHeight="false" outlineLevel="0" collapsed="false">
      <c r="A275" s="381" t="s">
        <v>2645</v>
      </c>
      <c r="B275" s="381" t="s">
        <v>157</v>
      </c>
      <c r="C275" s="0" t="n">
        <f aca="false">COUNTIF($E$2:$E$413,A275)</f>
        <v>0</v>
      </c>
      <c r="E275" s="0" t="n">
        <f aca="false">'0.1.2 Attack Dex (GO)'!A275</f>
        <v>0</v>
      </c>
      <c r="F275" s="0" t="n">
        <f aca="false">IFERROR(INDEX($A$2:$A$413, SMALL(IF(0=$C$2:$C$413, ROW($C$2:$C$413)-ROW($C$2)+1), ROW(274:274))),)</f>
        <v>0</v>
      </c>
    </row>
    <row r="276" customFormat="false" ht="15.75" hidden="false" customHeight="false" outlineLevel="0" collapsed="false">
      <c r="A276" s="381" t="s">
        <v>2653</v>
      </c>
      <c r="B276" s="381" t="s">
        <v>157</v>
      </c>
      <c r="C276" s="0" t="n">
        <f aca="false">COUNTIF($E$2:$E$413,A276)</f>
        <v>1</v>
      </c>
      <c r="E276" s="0" t="n">
        <f aca="false">'0.1.2 Attack Dex (GO)'!A276</f>
        <v>0</v>
      </c>
      <c r="F276" s="0" t="n">
        <f aca="false">IFERROR(INDEX($A$2:$A$413, SMALL(IF(0=$C$2:$C$413, ROW($C$2:$C$413)-ROW($C$2)+1), ROW(275:275))),)</f>
        <v>0</v>
      </c>
    </row>
    <row r="277" customFormat="false" ht="15.75" hidden="false" customHeight="false" outlineLevel="0" collapsed="false">
      <c r="A277" s="381" t="s">
        <v>2551</v>
      </c>
      <c r="B277" s="381" t="s">
        <v>157</v>
      </c>
      <c r="C277" s="0" t="n">
        <f aca="false">COUNTIF($E$2:$E$413,A277)</f>
        <v>1</v>
      </c>
      <c r="E277" s="0" t="n">
        <f aca="false">'0.1.2 Attack Dex (GO)'!A277</f>
        <v>0</v>
      </c>
      <c r="F277" s="0" t="n">
        <f aca="false">IFERROR(INDEX($A$2:$A$413, SMALL(IF(0=$C$2:$C$413, ROW($C$2:$C$413)-ROW($C$2)+1), ROW(276:276))),)</f>
        <v>0</v>
      </c>
    </row>
    <row r="278" customFormat="false" ht="15.75" hidden="false" customHeight="false" outlineLevel="0" collapsed="false">
      <c r="A278" s="381" t="s">
        <v>2495</v>
      </c>
      <c r="B278" s="381" t="s">
        <v>157</v>
      </c>
      <c r="C278" s="0" t="n">
        <f aca="false">COUNTIF($E$2:$E$413,A278)</f>
        <v>1</v>
      </c>
      <c r="E278" s="0" t="n">
        <f aca="false">'0.1.2 Attack Dex (GO)'!A278</f>
        <v>0</v>
      </c>
      <c r="F278" s="0" t="n">
        <f aca="false">IFERROR(INDEX($A$2:$A$413, SMALL(IF(0=$C$2:$C$413, ROW($C$2:$C$413)-ROW($C$2)+1), ROW(277:277))),)</f>
        <v>0</v>
      </c>
    </row>
    <row r="279" customFormat="false" ht="15.75" hidden="false" customHeight="false" outlineLevel="0" collapsed="false">
      <c r="A279" s="381" t="s">
        <v>2636</v>
      </c>
      <c r="B279" s="381" t="s">
        <v>157</v>
      </c>
      <c r="C279" s="0" t="n">
        <f aca="false">COUNTIF($E$2:$E$413,A279)</f>
        <v>1</v>
      </c>
      <c r="E279" s="0" t="n">
        <f aca="false">'0.1.2 Attack Dex (GO)'!A279</f>
        <v>0</v>
      </c>
      <c r="F279" s="0" t="n">
        <f aca="false">IFERROR(INDEX($A$2:$A$413, SMALL(IF(0=$C$2:$C$413, ROW($C$2:$C$413)-ROW($C$2)+1), ROW(278:278))),)</f>
        <v>0</v>
      </c>
    </row>
    <row r="280" customFormat="false" ht="15.75" hidden="false" customHeight="false" outlineLevel="0" collapsed="false">
      <c r="A280" s="381" t="s">
        <v>2440</v>
      </c>
      <c r="B280" s="381" t="s">
        <v>157</v>
      </c>
      <c r="C280" s="0" t="n">
        <f aca="false">COUNTIF($E$2:$E$413,A280)</f>
        <v>0</v>
      </c>
      <c r="E280" s="0" t="n">
        <f aca="false">'0.1.2 Attack Dex (GO)'!A280</f>
        <v>0</v>
      </c>
      <c r="F280" s="0" t="n">
        <f aca="false">IFERROR(INDEX($A$2:$A$413, SMALL(IF(0=$C$2:$C$413, ROW($C$2:$C$413)-ROW($C$2)+1), ROW(279:279))),)</f>
        <v>0</v>
      </c>
    </row>
    <row r="281" customFormat="false" ht="15.75" hidden="false" customHeight="false" outlineLevel="0" collapsed="false">
      <c r="A281" s="381" t="s">
        <v>2455</v>
      </c>
      <c r="B281" s="381" t="s">
        <v>160</v>
      </c>
      <c r="C281" s="0" t="n">
        <f aca="false">COUNTIF($E$2:$E$413,A281)</f>
        <v>0</v>
      </c>
      <c r="E281" s="0" t="n">
        <f aca="false">'0.1.2 Attack Dex (GO)'!A281</f>
        <v>0</v>
      </c>
      <c r="F281" s="0" t="n">
        <f aca="false">IFERROR(INDEX($A$2:$A$413, SMALL(IF(0=$C$2:$C$413, ROW($C$2:$C$413)-ROW($C$2)+1), ROW(280:280))),)</f>
        <v>0</v>
      </c>
    </row>
    <row r="282" customFormat="false" ht="15.75" hidden="false" customHeight="false" outlineLevel="0" collapsed="false">
      <c r="A282" s="381" t="s">
        <v>2461</v>
      </c>
      <c r="B282" s="381" t="s">
        <v>144</v>
      </c>
      <c r="C282" s="0" t="n">
        <f aca="false">COUNTIF($E$2:$E$413,A282)</f>
        <v>1</v>
      </c>
      <c r="E282" s="0" t="n">
        <f aca="false">'0.1.2 Attack Dex (GO)'!A282</f>
        <v>0</v>
      </c>
      <c r="F282" s="0" t="n">
        <f aca="false">IFERROR(INDEX($A$2:$A$413, SMALL(IF(0=$C$2:$C$413, ROW($C$2:$C$413)-ROW($C$2)+1), ROW(281:281))),)</f>
        <v>0</v>
      </c>
    </row>
    <row r="283" customFormat="false" ht="15.75" hidden="false" customHeight="false" outlineLevel="0" collapsed="false">
      <c r="A283" s="381" t="s">
        <v>2335</v>
      </c>
      <c r="B283" s="381" t="s">
        <v>144</v>
      </c>
      <c r="C283" s="0" t="n">
        <f aca="false">COUNTIF($E$2:$E$413,A283)</f>
        <v>0</v>
      </c>
      <c r="E283" s="0" t="n">
        <f aca="false">'0.1.2 Attack Dex (GO)'!A283</f>
        <v>0</v>
      </c>
      <c r="F283" s="0" t="n">
        <f aca="false">IFERROR(INDEX($A$2:$A$413, SMALL(IF(0=$C$2:$C$413, ROW($C$2:$C$413)-ROW($C$2)+1), ROW(282:282))),)</f>
        <v>0</v>
      </c>
    </row>
    <row r="284" customFormat="false" ht="15.75" hidden="false" customHeight="false" outlineLevel="0" collapsed="false">
      <c r="A284" s="381" t="s">
        <v>2419</v>
      </c>
      <c r="B284" s="381" t="s">
        <v>144</v>
      </c>
      <c r="C284" s="0" t="n">
        <f aca="false">COUNTIF($E$2:$E$413,A284)</f>
        <v>0</v>
      </c>
      <c r="E284" s="0" t="n">
        <f aca="false">'0.1.2 Attack Dex (GO)'!A284</f>
        <v>0</v>
      </c>
      <c r="F284" s="0" t="n">
        <f aca="false">IFERROR(INDEX($A$2:$A$413, SMALL(IF(0=$C$2:$C$413, ROW($C$2:$C$413)-ROW($C$2)+1), ROW(283:283))),)</f>
        <v>0</v>
      </c>
    </row>
    <row r="285" customFormat="false" ht="15.75" hidden="false" customHeight="false" outlineLevel="0" collapsed="false">
      <c r="A285" s="381" t="s">
        <v>2336</v>
      </c>
      <c r="B285" s="381" t="s">
        <v>155</v>
      </c>
      <c r="C285" s="0" t="n">
        <f aca="false">COUNTIF($E$2:$E$413,A285)</f>
        <v>1</v>
      </c>
      <c r="E285" s="0" t="n">
        <f aca="false">'0.1.2 Attack Dex (GO)'!A285</f>
        <v>0</v>
      </c>
      <c r="F285" s="0" t="n">
        <f aca="false">IFERROR(INDEX($A$2:$A$413, SMALL(IF(0=$C$2:$C$413, ROW($C$2:$C$413)-ROW($C$2)+1), ROW(284:284))),)</f>
        <v>0</v>
      </c>
    </row>
    <row r="286" customFormat="false" ht="15.75" hidden="false" customHeight="false" outlineLevel="0" collapsed="false">
      <c r="A286" s="381" t="s">
        <v>2586</v>
      </c>
      <c r="B286" s="381" t="s">
        <v>154</v>
      </c>
      <c r="C286" s="0" t="n">
        <f aca="false">COUNTIF($E$2:$E$413,A286)</f>
        <v>0</v>
      </c>
      <c r="E286" s="0" t="n">
        <f aca="false">'0.1.2 Attack Dex (GO)'!A286</f>
        <v>0</v>
      </c>
      <c r="F286" s="0" t="n">
        <f aca="false">IFERROR(INDEX($A$2:$A$413, SMALL(IF(0=$C$2:$C$413, ROW($C$2:$C$413)-ROW($C$2)+1), ROW(285:285))),)</f>
        <v>0</v>
      </c>
    </row>
    <row r="287" customFormat="false" ht="15.75" hidden="false" customHeight="false" outlineLevel="0" collapsed="false">
      <c r="A287" s="381" t="s">
        <v>2441</v>
      </c>
      <c r="B287" s="381" t="s">
        <v>144</v>
      </c>
      <c r="C287" s="0" t="n">
        <f aca="false">COUNTIF($E$2:$E$413,A287)</f>
        <v>0</v>
      </c>
      <c r="E287" s="0" t="n">
        <f aca="false">'0.1.2 Attack Dex (GO)'!A287</f>
        <v>0</v>
      </c>
      <c r="F287" s="0" t="n">
        <f aca="false">IFERROR(INDEX($A$2:$A$413, SMALL(IF(0=$C$2:$C$413, ROW($C$2:$C$413)-ROW($C$2)+1), ROW(286:286))),)</f>
        <v>0</v>
      </c>
    </row>
    <row r="288" customFormat="false" ht="15.75" hidden="false" customHeight="false" outlineLevel="0" collapsed="false">
      <c r="A288" s="381" t="s">
        <v>2707</v>
      </c>
      <c r="B288" s="381" t="s">
        <v>144</v>
      </c>
      <c r="C288" s="0" t="n">
        <f aca="false">COUNTIF($E$2:$E$413,A288)</f>
        <v>0</v>
      </c>
      <c r="E288" s="0" t="n">
        <f aca="false">'0.1.2 Attack Dex (GO)'!A288</f>
        <v>0</v>
      </c>
      <c r="F288" s="0" t="n">
        <f aca="false">IFERROR(INDEX($A$2:$A$413, SMALL(IF(0=$C$2:$C$413, ROW($C$2:$C$413)-ROW($C$2)+1), ROW(287:287))),)</f>
        <v>0</v>
      </c>
    </row>
    <row r="289" customFormat="false" ht="15.75" hidden="false" customHeight="false" outlineLevel="0" collapsed="false">
      <c r="A289" s="381" t="s">
        <v>2469</v>
      </c>
      <c r="B289" s="381" t="s">
        <v>144</v>
      </c>
      <c r="C289" s="0" t="n">
        <f aca="false">COUNTIF($E$2:$E$413,A289)</f>
        <v>0</v>
      </c>
      <c r="E289" s="0" t="n">
        <f aca="false">'0.1.2 Attack Dex (GO)'!A289</f>
        <v>0</v>
      </c>
      <c r="F289" s="0" t="n">
        <f aca="false">IFERROR(INDEX($A$2:$A$413, SMALL(IF(0=$C$2:$C$413, ROW($C$2:$C$413)-ROW($C$2)+1), ROW(288:288))),)</f>
        <v>0</v>
      </c>
    </row>
    <row r="290" customFormat="false" ht="15.75" hidden="false" customHeight="false" outlineLevel="0" collapsed="false">
      <c r="A290" s="381" t="s">
        <v>2727</v>
      </c>
      <c r="B290" s="381" t="s">
        <v>144</v>
      </c>
      <c r="C290" s="0" t="n">
        <f aca="false">COUNTIF($E$2:$E$413,A290)</f>
        <v>0</v>
      </c>
      <c r="E290" s="0" t="n">
        <f aca="false">'0.1.2 Attack Dex (GO)'!A290</f>
        <v>0</v>
      </c>
      <c r="F290" s="0" t="n">
        <f aca="false">IFERROR(INDEX($A$2:$A$413, SMALL(IF(0=$C$2:$C$413, ROW($C$2:$C$413)-ROW($C$2)+1), ROW(289:289))),)</f>
        <v>0</v>
      </c>
    </row>
    <row r="291" customFormat="false" ht="15.75" hidden="false" customHeight="false" outlineLevel="0" collapsed="false">
      <c r="A291" s="381" t="s">
        <v>2553</v>
      </c>
      <c r="B291" s="381" t="s">
        <v>145</v>
      </c>
      <c r="C291" s="0" t="n">
        <f aca="false">COUNTIF($E$2:$E$413,A291)</f>
        <v>0</v>
      </c>
      <c r="E291" s="0" t="n">
        <f aca="false">'0.1.2 Attack Dex (GO)'!A291</f>
        <v>0</v>
      </c>
      <c r="F291" s="0" t="n">
        <f aca="false">IFERROR(INDEX($A$2:$A$413, SMALL(IF(0=$C$2:$C$413, ROW($C$2:$C$413)-ROW($C$2)+1), ROW(290:290))),)</f>
        <v>0</v>
      </c>
    </row>
    <row r="292" customFormat="false" ht="15.75" hidden="false" customHeight="false" outlineLevel="0" collapsed="false">
      <c r="A292" s="381" t="s">
        <v>2681</v>
      </c>
      <c r="B292" s="381" t="s">
        <v>159</v>
      </c>
      <c r="C292" s="0" t="n">
        <f aca="false">COUNTIF($E$2:$E$413,A292)</f>
        <v>0</v>
      </c>
      <c r="E292" s="0" t="n">
        <f aca="false">'0.1.2 Attack Dex (GO)'!A292</f>
        <v>0</v>
      </c>
      <c r="F292" s="0" t="n">
        <f aca="false">IFERROR(INDEX($A$2:$A$413, SMALL(IF(0=$C$2:$C$413, ROW($C$2:$C$413)-ROW($C$2)+1), ROW(291:291))),)</f>
        <v>0</v>
      </c>
    </row>
    <row r="293" customFormat="false" ht="15.75" hidden="false" customHeight="false" outlineLevel="0" collapsed="false">
      <c r="A293" s="381" t="s">
        <v>2564</v>
      </c>
      <c r="B293" s="381" t="s">
        <v>149</v>
      </c>
      <c r="C293" s="0" t="n">
        <f aca="false">COUNTIF($E$2:$E$413,A293)</f>
        <v>1</v>
      </c>
      <c r="E293" s="0" t="n">
        <f aca="false">'0.1.2 Attack Dex (GO)'!A293</f>
        <v>0</v>
      </c>
      <c r="F293" s="0" t="n">
        <f aca="false">IFERROR(INDEX($A$2:$A$413, SMALL(IF(0=$C$2:$C$413, ROW($C$2:$C$413)-ROW($C$2)+1), ROW(292:292))),)</f>
        <v>0</v>
      </c>
    </row>
    <row r="294" customFormat="false" ht="15.75" hidden="false" customHeight="false" outlineLevel="0" collapsed="false">
      <c r="A294" s="381" t="s">
        <v>2338</v>
      </c>
      <c r="B294" s="381" t="s">
        <v>144</v>
      </c>
      <c r="C294" s="0" t="n">
        <f aca="false">COUNTIF($E$2:$E$413,A294)</f>
        <v>0</v>
      </c>
      <c r="E294" s="0" t="n">
        <f aca="false">'0.1.2 Attack Dex (GO)'!A294</f>
        <v>0</v>
      </c>
      <c r="F294" s="0" t="n">
        <f aca="false">IFERROR(INDEX($A$2:$A$413, SMALL(IF(0=$C$2:$C$413, ROW($C$2:$C$413)-ROW($C$2)+1), ROW(293:293))),)</f>
        <v>0</v>
      </c>
    </row>
    <row r="295" customFormat="false" ht="15.75" hidden="false" customHeight="false" outlineLevel="0" collapsed="false">
      <c r="A295" s="381" t="s">
        <v>2388</v>
      </c>
      <c r="B295" s="381" t="s">
        <v>149</v>
      </c>
      <c r="C295" s="0" t="n">
        <f aca="false">COUNTIF($E$2:$E$413,A295)</f>
        <v>1</v>
      </c>
      <c r="E295" s="0" t="n">
        <f aca="false">'0.1.2 Attack Dex (GO)'!A295</f>
        <v>0</v>
      </c>
      <c r="F295" s="0" t="n">
        <f aca="false">IFERROR(INDEX($A$2:$A$413, SMALL(IF(0=$C$2:$C$413, ROW($C$2:$C$413)-ROW($C$2)+1), ROW(294:294))),)</f>
        <v>0</v>
      </c>
    </row>
    <row r="296" customFormat="false" ht="15.75" hidden="false" customHeight="false" outlineLevel="0" collapsed="false">
      <c r="A296" s="381" t="s">
        <v>2339</v>
      </c>
      <c r="B296" s="381" t="s">
        <v>145</v>
      </c>
      <c r="C296" s="0" t="n">
        <f aca="false">COUNTIF($E$2:$E$413,A296)</f>
        <v>1</v>
      </c>
      <c r="E296" s="0" t="n">
        <f aca="false">'0.1.2 Attack Dex (GO)'!A296</f>
        <v>0</v>
      </c>
      <c r="F296" s="0" t="n">
        <f aca="false">IFERROR(INDEX($A$2:$A$413, SMALL(IF(0=$C$2:$C$413, ROW($C$2:$C$413)-ROW($C$2)+1), ROW(295:295))),)</f>
        <v>0</v>
      </c>
    </row>
    <row r="297" customFormat="false" ht="15.75" hidden="false" customHeight="false" outlineLevel="0" collapsed="false">
      <c r="A297" s="381" t="s">
        <v>2565</v>
      </c>
      <c r="B297" s="381" t="s">
        <v>149</v>
      </c>
      <c r="C297" s="0" t="n">
        <f aca="false">COUNTIF($E$2:$E$413,A297)</f>
        <v>1</v>
      </c>
      <c r="E297" s="0" t="n">
        <f aca="false">'0.1.2 Attack Dex (GO)'!A297</f>
        <v>0</v>
      </c>
      <c r="F297" s="0" t="n">
        <f aca="false">IFERROR(INDEX($A$2:$A$413, SMALL(IF(0=$C$2:$C$413, ROW($C$2:$C$413)-ROW($C$2)+1), ROW(296:296))),)</f>
        <v>0</v>
      </c>
    </row>
    <row r="298" customFormat="false" ht="15.75" hidden="false" customHeight="false" outlineLevel="0" collapsed="false">
      <c r="A298" s="381" t="s">
        <v>2389</v>
      </c>
      <c r="B298" s="381" t="s">
        <v>149</v>
      </c>
      <c r="C298" s="0" t="n">
        <f aca="false">COUNTIF($E$2:$E$413,A298)</f>
        <v>1</v>
      </c>
      <c r="E298" s="0" t="n">
        <f aca="false">'0.1.2 Attack Dex (GO)'!A298</f>
        <v>0</v>
      </c>
      <c r="F298" s="0" t="n">
        <f aca="false">IFERROR(INDEX($A$2:$A$413, SMALL(IF(0=$C$2:$C$413, ROW($C$2:$C$413)-ROW($C$2)+1), ROW(297:297))),)</f>
        <v>0</v>
      </c>
    </row>
    <row r="299" customFormat="false" ht="15.75" hidden="false" customHeight="false" outlineLevel="0" collapsed="false">
      <c r="A299" s="381" t="s">
        <v>2675</v>
      </c>
      <c r="B299" s="381" t="s">
        <v>149</v>
      </c>
      <c r="C299" s="0" t="n">
        <f aca="false">COUNTIF($E$2:$E$413,A299)</f>
        <v>0</v>
      </c>
      <c r="E299" s="0" t="n">
        <f aca="false">'0.1.2 Attack Dex (GO)'!A299</f>
        <v>0</v>
      </c>
      <c r="F299" s="0" t="n">
        <f aca="false">IFERROR(INDEX($A$2:$A$413, SMALL(IF(0=$C$2:$C$413, ROW($C$2:$C$413)-ROW($C$2)+1), ROW(298:298))),)</f>
        <v>0</v>
      </c>
    </row>
    <row r="300" customFormat="false" ht="15.75" hidden="false" customHeight="false" outlineLevel="0" collapsed="false">
      <c r="A300" s="381" t="s">
        <v>2611</v>
      </c>
      <c r="B300" s="381" t="s">
        <v>145</v>
      </c>
      <c r="C300" s="0" t="n">
        <f aca="false">COUNTIF($E$2:$E$413,A300)</f>
        <v>0</v>
      </c>
      <c r="E300" s="0" t="n">
        <f aca="false">'0.1.2 Attack Dex (GO)'!A300</f>
        <v>0</v>
      </c>
      <c r="F300" s="0" t="n">
        <f aca="false">IFERROR(INDEX($A$2:$A$413, SMALL(IF(0=$C$2:$C$413, ROW($C$2:$C$413)-ROW($C$2)+1), ROW(299:299))),)</f>
        <v>0</v>
      </c>
    </row>
    <row r="301" customFormat="false" ht="15.75" hidden="false" customHeight="false" outlineLevel="0" collapsed="false">
      <c r="A301" s="381" t="s">
        <v>2420</v>
      </c>
      <c r="B301" s="381" t="s">
        <v>149</v>
      </c>
      <c r="C301" s="0" t="n">
        <f aca="false">COUNTIF($E$2:$E$413,A301)</f>
        <v>0</v>
      </c>
      <c r="E301" s="0" t="n">
        <f aca="false">'0.1.2 Attack Dex (GO)'!A301</f>
        <v>0</v>
      </c>
      <c r="F301" s="0" t="n">
        <f aca="false">IFERROR(INDEX($A$2:$A$413, SMALL(IF(0=$C$2:$C$413, ROW($C$2:$C$413)-ROW($C$2)+1), ROW(300:300))),)</f>
        <v>0</v>
      </c>
    </row>
    <row r="302" customFormat="false" ht="15.75" hidden="false" customHeight="false" outlineLevel="0" collapsed="false">
      <c r="A302" s="381" t="s">
        <v>2340</v>
      </c>
      <c r="B302" s="381" t="s">
        <v>144</v>
      </c>
      <c r="C302" s="0" t="n">
        <f aca="false">COUNTIF($E$2:$E$413,A302)</f>
        <v>0</v>
      </c>
      <c r="E302" s="0" t="n">
        <f aca="false">'0.1.2 Attack Dex (GO)'!A302</f>
        <v>0</v>
      </c>
      <c r="F302" s="0" t="n">
        <f aca="false">IFERROR(INDEX($A$2:$A$413, SMALL(IF(0=$C$2:$C$413, ROW($C$2:$C$413)-ROW($C$2)+1), ROW(301:301))),)</f>
        <v>0</v>
      </c>
    </row>
    <row r="303" customFormat="false" ht="15.75" hidden="false" customHeight="false" outlineLevel="0" collapsed="false">
      <c r="A303" s="381" t="s">
        <v>2651</v>
      </c>
      <c r="B303" s="381" t="s">
        <v>153</v>
      </c>
      <c r="C303" s="0" t="n">
        <f aca="false">COUNTIF($E$2:$E$413,A303)</f>
        <v>0</v>
      </c>
      <c r="E303" s="0" t="n">
        <f aca="false">'0.1.2 Attack Dex (GO)'!A303</f>
        <v>0</v>
      </c>
      <c r="F303" s="0" t="n">
        <f aca="false">IFERROR(INDEX($A$2:$A$413, SMALL(IF(0=$C$2:$C$413, ROW($C$2:$C$413)-ROW($C$2)+1), ROW(302:302))),)</f>
        <v>0</v>
      </c>
    </row>
    <row r="304" customFormat="false" ht="15.75" hidden="false" customHeight="false" outlineLevel="0" collapsed="false">
      <c r="A304" s="381" t="s">
        <v>2701</v>
      </c>
      <c r="B304" s="381" t="s">
        <v>145</v>
      </c>
      <c r="C304" s="0" t="n">
        <f aca="false">COUNTIF($E$2:$E$413,A304)</f>
        <v>0</v>
      </c>
      <c r="E304" s="0" t="n">
        <f aca="false">'0.1.2 Attack Dex (GO)'!A304</f>
        <v>0</v>
      </c>
      <c r="F304" s="0" t="n">
        <f aca="false">IFERROR(INDEX($A$2:$A$413, SMALL(IF(0=$C$2:$C$413, ROW($C$2:$C$413)-ROW($C$2)+1), ROW(303:303))),)</f>
        <v>0</v>
      </c>
    </row>
    <row r="305" customFormat="false" ht="15.75" hidden="false" customHeight="false" outlineLevel="0" collapsed="false">
      <c r="A305" s="381" t="s">
        <v>2499</v>
      </c>
      <c r="B305" s="381" t="s">
        <v>148</v>
      </c>
      <c r="C305" s="0" t="n">
        <f aca="false">COUNTIF($E$2:$E$413,A305)</f>
        <v>1</v>
      </c>
      <c r="E305" s="0" t="n">
        <f aca="false">'0.1.2 Attack Dex (GO)'!A305</f>
        <v>0</v>
      </c>
      <c r="F305" s="0" t="n">
        <f aca="false">IFERROR(INDEX($A$2:$A$413, SMALL(IF(0=$C$2:$C$413, ROW($C$2:$C$413)-ROW($C$2)+1), ROW(304:304))),)</f>
        <v>0</v>
      </c>
    </row>
    <row r="306" customFormat="false" ht="15.75" hidden="false" customHeight="false" outlineLevel="0" collapsed="false">
      <c r="A306" s="381" t="s">
        <v>2421</v>
      </c>
      <c r="B306" s="381" t="s">
        <v>154</v>
      </c>
      <c r="C306" s="0" t="n">
        <f aca="false">COUNTIF($E$2:$E$413,A306)</f>
        <v>1</v>
      </c>
      <c r="E306" s="0" t="n">
        <f aca="false">'0.1.2 Attack Dex (GO)'!A306</f>
        <v>0</v>
      </c>
      <c r="F306" s="0" t="n">
        <f aca="false">IFERROR(INDEX($A$2:$A$413, SMALL(IF(0=$C$2:$C$413, ROW($C$2:$C$413)-ROW($C$2)+1), ROW(305:305))),)</f>
        <v>0</v>
      </c>
    </row>
    <row r="307" customFormat="false" ht="15.75" hidden="false" customHeight="false" outlineLevel="0" collapsed="false">
      <c r="A307" s="381" t="s">
        <v>2390</v>
      </c>
      <c r="B307" s="381" t="s">
        <v>144</v>
      </c>
      <c r="C307" s="0" t="n">
        <f aca="false">COUNTIF($E$2:$E$413,A307)</f>
        <v>1</v>
      </c>
      <c r="E307" s="0" t="n">
        <f aca="false">'0.1.2 Attack Dex (GO)'!A307</f>
        <v>0</v>
      </c>
      <c r="F307" s="0" t="n">
        <f aca="false">IFERROR(INDEX($A$2:$A$413, SMALL(IF(0=$C$2:$C$413, ROW($C$2:$C$413)-ROW($C$2)+1), ROW(306:306))),)</f>
        <v>0</v>
      </c>
    </row>
    <row r="308" customFormat="false" ht="15.75" hidden="false" customHeight="false" outlineLevel="0" collapsed="false">
      <c r="A308" s="381" t="s">
        <v>2692</v>
      </c>
      <c r="B308" s="381" t="s">
        <v>153</v>
      </c>
      <c r="C308" s="0" t="n">
        <f aca="false">COUNTIF($E$2:$E$413,A308)</f>
        <v>0</v>
      </c>
      <c r="E308" s="0" t="n">
        <f aca="false">'0.1.2 Attack Dex (GO)'!A308</f>
        <v>0</v>
      </c>
      <c r="F308" s="0" t="n">
        <f aca="false">IFERROR(INDEX($A$2:$A$413, SMALL(IF(0=$C$2:$C$413, ROW($C$2:$C$413)-ROW($C$2)+1), ROW(307:307))),)</f>
        <v>0</v>
      </c>
    </row>
    <row r="309" customFormat="false" ht="15.75" hidden="false" customHeight="false" outlineLevel="0" collapsed="false">
      <c r="A309" s="381" t="s">
        <v>2341</v>
      </c>
      <c r="B309" s="381" t="s">
        <v>144</v>
      </c>
      <c r="C309" s="0" t="n">
        <f aca="false">COUNTIF($E$2:$E$413,A309)</f>
        <v>0</v>
      </c>
      <c r="E309" s="0" t="n">
        <f aca="false">'0.1.2 Attack Dex (GO)'!A309</f>
        <v>0</v>
      </c>
      <c r="F309" s="0" t="n">
        <f aca="false">IFERROR(INDEX($A$2:$A$413, SMALL(IF(0=$C$2:$C$413, ROW($C$2:$C$413)-ROW($C$2)+1), ROW(308:308))),)</f>
        <v>0</v>
      </c>
    </row>
    <row r="310" customFormat="false" ht="15.75" hidden="false" customHeight="false" outlineLevel="0" collapsed="false">
      <c r="A310" s="381" t="s">
        <v>2706</v>
      </c>
      <c r="B310" s="381" t="s">
        <v>145</v>
      </c>
      <c r="C310" s="0" t="n">
        <f aca="false">COUNTIF($E$2:$E$413,A310)</f>
        <v>0</v>
      </c>
      <c r="E310" s="0" t="n">
        <f aca="false">'0.1.2 Attack Dex (GO)'!A310</f>
        <v>0</v>
      </c>
      <c r="F310" s="0" t="n">
        <f aca="false">IFERROR(INDEX($A$2:$A$413, SMALL(IF(0=$C$2:$C$413, ROW($C$2:$C$413)-ROW($C$2)+1), ROW(309:309))),)</f>
        <v>0</v>
      </c>
    </row>
    <row r="311" customFormat="false" ht="15.75" hidden="false" customHeight="false" outlineLevel="0" collapsed="false">
      <c r="A311" s="381" t="s">
        <v>2342</v>
      </c>
      <c r="B311" s="381" t="s">
        <v>155</v>
      </c>
      <c r="C311" s="0" t="n">
        <f aca="false">COUNTIF($E$2:$E$413,A311)</f>
        <v>1</v>
      </c>
      <c r="E311" s="0" t="n">
        <f aca="false">'0.1.2 Attack Dex (GO)'!A311</f>
        <v>0</v>
      </c>
      <c r="F311" s="0" t="n">
        <f aca="false">IFERROR(INDEX($A$2:$A$413, SMALL(IF(0=$C$2:$C$413, ROW($C$2:$C$413)-ROW($C$2)+1), ROW(310:310))),)</f>
        <v>0</v>
      </c>
    </row>
    <row r="312" customFormat="false" ht="15.75" hidden="false" customHeight="false" outlineLevel="0" collapsed="false">
      <c r="A312" s="381" t="s">
        <v>2685</v>
      </c>
      <c r="B312" s="381" t="s">
        <v>155</v>
      </c>
      <c r="C312" s="0" t="n">
        <f aca="false">COUNTIF($E$2:$E$413,A312)</f>
        <v>0</v>
      </c>
      <c r="E312" s="0" t="n">
        <f aca="false">'0.1.2 Attack Dex (GO)'!A312</f>
        <v>0</v>
      </c>
      <c r="F312" s="0" t="n">
        <f aca="false">IFERROR(INDEX($A$2:$A$413, SMALL(IF(0=$C$2:$C$413, ROW($C$2:$C$413)-ROW($C$2)+1), ROW(311:311))),)</f>
        <v>0</v>
      </c>
    </row>
    <row r="313" customFormat="false" ht="15.75" hidden="false" customHeight="false" outlineLevel="0" collapsed="false">
      <c r="A313" s="381" t="s">
        <v>2391</v>
      </c>
      <c r="B313" s="381" t="s">
        <v>145</v>
      </c>
      <c r="C313" s="0" t="n">
        <f aca="false">COUNTIF($E$2:$E$413,A313)</f>
        <v>0</v>
      </c>
      <c r="E313" s="0" t="n">
        <f aca="false">'0.1.2 Attack Dex (GO)'!A313</f>
        <v>0</v>
      </c>
      <c r="F313" s="0" t="n">
        <f aca="false">IFERROR(INDEX($A$2:$A$413, SMALL(IF(0=$C$2:$C$413, ROW($C$2:$C$413)-ROW($C$2)+1), ROW(312:312))),)</f>
        <v>0</v>
      </c>
    </row>
    <row r="314" customFormat="false" ht="15.75" hidden="false" customHeight="false" outlineLevel="0" collapsed="false">
      <c r="A314" s="381" t="s">
        <v>2566</v>
      </c>
      <c r="B314" s="381" t="s">
        <v>144</v>
      </c>
      <c r="C314" s="0" t="n">
        <f aca="false">COUNTIF($E$2:$E$413,A314)</f>
        <v>0</v>
      </c>
      <c r="E314" s="0" t="n">
        <f aca="false">'0.1.2 Attack Dex (GO)'!A314</f>
        <v>0</v>
      </c>
      <c r="F314" s="0" t="n">
        <f aca="false">IFERROR(INDEX($A$2:$A$413, SMALL(IF(0=$C$2:$C$413, ROW($C$2:$C$413)-ROW($C$2)+1), ROW(313:313))),)</f>
        <v>0</v>
      </c>
    </row>
    <row r="315" customFormat="false" ht="15.75" hidden="false" customHeight="false" outlineLevel="0" collapsed="false">
      <c r="A315" s="381" t="s">
        <v>2442</v>
      </c>
      <c r="B315" s="381" t="s">
        <v>151</v>
      </c>
      <c r="C315" s="0" t="n">
        <f aca="false">COUNTIF($E$2:$E$413,A315)</f>
        <v>1</v>
      </c>
      <c r="E315" s="0" t="n">
        <f aca="false">'0.1.2 Attack Dex (GO)'!A315</f>
        <v>0</v>
      </c>
      <c r="F315" s="0" t="n">
        <f aca="false">IFERROR(INDEX($A$2:$A$413, SMALL(IF(0=$C$2:$C$413, ROW($C$2:$C$413)-ROW($C$2)+1), ROW(314:314))),)</f>
        <v>0</v>
      </c>
    </row>
    <row r="316" customFormat="false" ht="15.75" hidden="false" customHeight="false" outlineLevel="0" collapsed="false">
      <c r="A316" s="381" t="s">
        <v>2607</v>
      </c>
      <c r="B316" s="381" t="s">
        <v>151</v>
      </c>
      <c r="C316" s="0" t="n">
        <f aca="false">COUNTIF($E$2:$E$413,A316)</f>
        <v>0</v>
      </c>
      <c r="E316" s="0" t="n">
        <f aca="false">'0.1.2 Attack Dex (GO)'!A316</f>
        <v>0</v>
      </c>
      <c r="F316" s="0" t="n">
        <f aca="false">IFERROR(INDEX($A$2:$A$413, SMALL(IF(0=$C$2:$C$413, ROW($C$2:$C$413)-ROW($C$2)+1), ROW(315:315))),)</f>
        <v>0</v>
      </c>
    </row>
    <row r="317" customFormat="false" ht="15.75" hidden="false" customHeight="false" outlineLevel="0" collapsed="false">
      <c r="A317" s="381" t="s">
        <v>2392</v>
      </c>
      <c r="B317" s="381" t="s">
        <v>151</v>
      </c>
      <c r="C317" s="0" t="n">
        <f aca="false">COUNTIF($E$2:$E$413,A317)</f>
        <v>1</v>
      </c>
      <c r="E317" s="0" t="n">
        <f aca="false">'0.1.2 Attack Dex (GO)'!A317</f>
        <v>0</v>
      </c>
      <c r="F317" s="0" t="n">
        <f aca="false">IFERROR(INDEX($A$2:$A$413, SMALL(IF(0=$C$2:$C$413, ROW($C$2:$C$413)-ROW($C$2)+1), ROW(316:316))),)</f>
        <v>0</v>
      </c>
    </row>
    <row r="318" customFormat="false" ht="15.75" hidden="false" customHeight="false" outlineLevel="0" collapsed="false">
      <c r="A318" s="381" t="s">
        <v>2684</v>
      </c>
      <c r="B318" s="381" t="s">
        <v>151</v>
      </c>
      <c r="C318" s="0" t="n">
        <f aca="false">COUNTIF($E$2:$E$413,A318)</f>
        <v>0</v>
      </c>
      <c r="E318" s="0" t="n">
        <f aca="false">'0.1.2 Attack Dex (GO)'!A318</f>
        <v>0</v>
      </c>
      <c r="F318" s="0" t="n">
        <f aca="false">IFERROR(INDEX($A$2:$A$413, SMALL(IF(0=$C$2:$C$413, ROW($C$2:$C$413)-ROW($C$2)+1), ROW(317:317))),)</f>
        <v>0</v>
      </c>
    </row>
    <row r="319" customFormat="false" ht="15.75" hidden="false" customHeight="false" outlineLevel="0" collapsed="false">
      <c r="A319" s="381" t="s">
        <v>2590</v>
      </c>
      <c r="B319" s="381" t="s">
        <v>151</v>
      </c>
      <c r="C319" s="0" t="n">
        <f aca="false">COUNTIF($E$2:$E$413,A319)</f>
        <v>1</v>
      </c>
      <c r="E319" s="0" t="n">
        <f aca="false">'0.1.2 Attack Dex (GO)'!A319</f>
        <v>0</v>
      </c>
      <c r="F319" s="0" t="n">
        <f aca="false">IFERROR(INDEX($A$2:$A$413, SMALL(IF(0=$C$2:$C$413, ROW($C$2:$C$413)-ROW($C$2)+1), ROW(318:318))),)</f>
        <v>0</v>
      </c>
    </row>
    <row r="320" customFormat="false" ht="15.75" hidden="false" customHeight="false" outlineLevel="0" collapsed="false">
      <c r="A320" s="381" t="s">
        <v>2639</v>
      </c>
      <c r="B320" s="381" t="s">
        <v>151</v>
      </c>
      <c r="C320" s="0" t="n">
        <f aca="false">COUNTIF($E$2:$E$413,A320)</f>
        <v>1</v>
      </c>
      <c r="E320" s="0" t="n">
        <f aca="false">'0.1.2 Attack Dex (GO)'!A320</f>
        <v>0</v>
      </c>
      <c r="F320" s="0" t="n">
        <f aca="false">IFERROR(INDEX($A$2:$A$413, SMALL(IF(0=$C$2:$C$413, ROW($C$2:$C$413)-ROW($C$2)+1), ROW(319:319))),)</f>
        <v>0</v>
      </c>
    </row>
    <row r="321" customFormat="false" ht="15.75" hidden="false" customHeight="false" outlineLevel="0" collapsed="false">
      <c r="A321" s="381" t="s">
        <v>2736</v>
      </c>
      <c r="B321" s="381" t="s">
        <v>153</v>
      </c>
      <c r="C321" s="0" t="n">
        <f aca="false">COUNTIF($E$2:$E$413,A321)</f>
        <v>0</v>
      </c>
      <c r="E321" s="0" t="n">
        <f aca="false">'0.1.2 Attack Dex (GO)'!A321</f>
        <v>0</v>
      </c>
      <c r="F321" s="0" t="n">
        <f aca="false">IFERROR(INDEX($A$2:$A$413, SMALL(IF(0=$C$2:$C$413, ROW($C$2:$C$413)-ROW($C$2)+1), ROW(320:320))),)</f>
        <v>0</v>
      </c>
    </row>
    <row r="322" customFormat="false" ht="15.75" hidden="false" customHeight="false" outlineLevel="0" collapsed="false">
      <c r="A322" s="381" t="s">
        <v>2470</v>
      </c>
      <c r="B322" s="381" t="s">
        <v>156</v>
      </c>
      <c r="C322" s="0" t="n">
        <f aca="false">COUNTIF($E$2:$E$413,A322)</f>
        <v>0</v>
      </c>
      <c r="E322" s="0" t="n">
        <f aca="false">'0.1.2 Attack Dex (GO)'!A322</f>
        <v>0</v>
      </c>
      <c r="F322" s="0" t="n">
        <f aca="false">IFERROR(INDEX($A$2:$A$413, SMALL(IF(0=$C$2:$C$413, ROW($C$2:$C$413)-ROW($C$2)+1), ROW(321:321))),)</f>
        <v>0</v>
      </c>
    </row>
    <row r="323" customFormat="false" ht="15.75" hidden="false" customHeight="false" outlineLevel="0" collapsed="false">
      <c r="A323" s="381" t="s">
        <v>2422</v>
      </c>
      <c r="B323" s="381" t="s">
        <v>150</v>
      </c>
      <c r="C323" s="0" t="n">
        <f aca="false">COUNTIF($E$2:$E$413,A323)</f>
        <v>1</v>
      </c>
      <c r="E323" s="0" t="n">
        <f aca="false">'0.1.2 Attack Dex (GO)'!A323</f>
        <v>0</v>
      </c>
      <c r="F323" s="0" t="n">
        <f aca="false">IFERROR(INDEX($A$2:$A$413, SMALL(IF(0=$C$2:$C$413, ROW($C$2:$C$413)-ROW($C$2)+1), ROW(322:322))),)</f>
        <v>0</v>
      </c>
    </row>
    <row r="324" customFormat="false" ht="15.75" hidden="false" customHeight="false" outlineLevel="0" collapsed="false">
      <c r="A324" s="381" t="s">
        <v>2443</v>
      </c>
      <c r="B324" s="381" t="s">
        <v>150</v>
      </c>
      <c r="C324" s="0" t="n">
        <f aca="false">COUNTIF($E$2:$E$413,A324)</f>
        <v>1</v>
      </c>
      <c r="E324" s="0" t="n">
        <f aca="false">'0.1.2 Attack Dex (GO)'!A324</f>
        <v>0</v>
      </c>
      <c r="F324" s="0" t="n">
        <f aca="false">IFERROR(INDEX($A$2:$A$413, SMALL(IF(0=$C$2:$C$413, ROW($C$2:$C$413)-ROW($C$2)+1), ROW(323:323))),)</f>
        <v>0</v>
      </c>
    </row>
    <row r="325" customFormat="false" ht="15.75" hidden="false" customHeight="false" outlineLevel="0" collapsed="false">
      <c r="A325" s="381" t="s">
        <v>2393</v>
      </c>
      <c r="B325" s="381" t="s">
        <v>144</v>
      </c>
      <c r="C325" s="0" t="n">
        <f aca="false">COUNTIF($E$2:$E$413,A325)</f>
        <v>0</v>
      </c>
      <c r="E325" s="0" t="n">
        <f aca="false">'0.1.2 Attack Dex (GO)'!A325</f>
        <v>0</v>
      </c>
      <c r="F325" s="0" t="n">
        <f aca="false">IFERROR(INDEX($A$2:$A$413, SMALL(IF(0=$C$2:$C$413, ROW($C$2:$C$413)-ROW($C$2)+1), ROW(324:324))),)</f>
        <v>0</v>
      </c>
    </row>
    <row r="326" customFormat="false" ht="15.75" hidden="false" customHeight="false" outlineLevel="0" collapsed="false">
      <c r="A326" s="381" t="s">
        <v>2462</v>
      </c>
      <c r="B326" s="381" t="s">
        <v>146</v>
      </c>
      <c r="C326" s="0" t="n">
        <f aca="false">COUNTIF($E$2:$E$413,A326)</f>
        <v>1</v>
      </c>
      <c r="E326" s="0" t="n">
        <f aca="false">'0.1.2 Attack Dex (GO)'!A326</f>
        <v>0</v>
      </c>
      <c r="F326" s="0" t="n">
        <f aca="false">IFERROR(INDEX($A$2:$A$413, SMALL(IF(0=$C$2:$C$413, ROW($C$2:$C$413)-ROW($C$2)+1), ROW(325:325))),)</f>
        <v>0</v>
      </c>
    </row>
    <row r="327" customFormat="false" ht="15.75" hidden="false" customHeight="false" outlineLevel="0" collapsed="false">
      <c r="A327" s="381" t="s">
        <v>2394</v>
      </c>
      <c r="B327" s="381" t="s">
        <v>146</v>
      </c>
      <c r="C327" s="0" t="n">
        <f aca="false">COUNTIF($E$2:$E$413,A327)</f>
        <v>0</v>
      </c>
      <c r="E327" s="0" t="n">
        <f aca="false">'0.1.2 Attack Dex (GO)'!A327</f>
        <v>0</v>
      </c>
      <c r="F327" s="0" t="n">
        <f aca="false">IFERROR(INDEX($A$2:$A$413, SMALL(IF(0=$C$2:$C$413, ROW($C$2:$C$413)-ROW($C$2)+1), ROW(326:326))),)</f>
        <v>0</v>
      </c>
    </row>
    <row r="328" customFormat="false" ht="15.75" hidden="false" customHeight="false" outlineLevel="0" collapsed="false">
      <c r="A328" s="381" t="s">
        <v>2613</v>
      </c>
      <c r="B328" s="381" t="s">
        <v>145</v>
      </c>
      <c r="C328" s="0" t="n">
        <f aca="false">COUNTIF($E$2:$E$413,A328)</f>
        <v>0</v>
      </c>
      <c r="E328" s="0" t="n">
        <f aca="false">'0.1.2 Attack Dex (GO)'!A328</f>
        <v>0</v>
      </c>
      <c r="F328" s="0" t="n">
        <f aca="false">IFERROR(INDEX($A$2:$A$413, SMALL(IF(0=$C$2:$C$413, ROW($C$2:$C$413)-ROW($C$2)+1), ROW(327:327))),)</f>
        <v>0</v>
      </c>
    </row>
    <row r="329" customFormat="false" ht="15.75" hidden="false" customHeight="false" outlineLevel="0" collapsed="false">
      <c r="A329" s="381" t="s">
        <v>2591</v>
      </c>
      <c r="B329" s="381" t="s">
        <v>144</v>
      </c>
      <c r="C329" s="0" t="n">
        <f aca="false">COUNTIF($E$2:$E$413,A329)</f>
        <v>0</v>
      </c>
      <c r="E329" s="0" t="n">
        <f aca="false">'0.1.2 Attack Dex (GO)'!A329</f>
        <v>0</v>
      </c>
      <c r="F329" s="0" t="n">
        <f aca="false">IFERROR(INDEX($A$2:$A$413, SMALL(IF(0=$C$2:$C$413, ROW($C$2:$C$413)-ROW($C$2)+1), ROW(328:328))),)</f>
        <v>0</v>
      </c>
    </row>
    <row r="330" customFormat="false" ht="15.75" hidden="false" customHeight="false" outlineLevel="0" collapsed="false">
      <c r="A330" s="381" t="s">
        <v>2395</v>
      </c>
      <c r="B330" s="381" t="s">
        <v>144</v>
      </c>
      <c r="C330" s="0" t="n">
        <f aca="false">COUNTIF($E$2:$E$413,A330)</f>
        <v>0</v>
      </c>
      <c r="E330" s="0" t="n">
        <f aca="false">'0.1.2 Attack Dex (GO)'!A330</f>
        <v>0</v>
      </c>
      <c r="F330" s="0" t="n">
        <f aca="false">IFERROR(INDEX($A$2:$A$413, SMALL(IF(0=$C$2:$C$413, ROW($C$2:$C$413)-ROW($C$2)+1), ROW(329:329))),)</f>
        <v>0</v>
      </c>
    </row>
    <row r="331" customFormat="false" ht="15.75" hidden="false" customHeight="false" outlineLevel="0" collapsed="false">
      <c r="A331" s="381" t="s">
        <v>2583</v>
      </c>
      <c r="B331" s="381" t="s">
        <v>147</v>
      </c>
      <c r="C331" s="0" t="n">
        <f aca="false">COUNTIF($E$2:$E$413,A331)</f>
        <v>1</v>
      </c>
      <c r="E331" s="0" t="n">
        <f aca="false">'0.1.2 Attack Dex (GO)'!A331</f>
        <v>0</v>
      </c>
      <c r="F331" s="0" t="n">
        <f aca="false">IFERROR(INDEX($A$2:$A$413, SMALL(IF(0=$C$2:$C$413, ROW($C$2:$C$413)-ROW($C$2)+1), ROW(330:330))),)</f>
        <v>0</v>
      </c>
    </row>
    <row r="332" customFormat="false" ht="15.75" hidden="false" customHeight="false" outlineLevel="0" collapsed="false">
      <c r="A332" s="381" t="s">
        <v>2343</v>
      </c>
      <c r="B332" s="381" t="s">
        <v>147</v>
      </c>
      <c r="C332" s="0" t="n">
        <f aca="false">COUNTIF($E$2:$E$413,A332)</f>
        <v>1</v>
      </c>
      <c r="E332" s="0" t="n">
        <f aca="false">'0.1.2 Attack Dex (GO)'!A332</f>
        <v>0</v>
      </c>
      <c r="F332" s="0" t="n">
        <f aca="false">IFERROR(INDEX($A$2:$A$413, SMALL(IF(0=$C$2:$C$413, ROW($C$2:$C$413)-ROW($C$2)+1), ROW(331:331))),)</f>
        <v>0</v>
      </c>
    </row>
    <row r="333" customFormat="false" ht="15.75" hidden="false" customHeight="false" outlineLevel="0" collapsed="false">
      <c r="A333" s="381" t="s">
        <v>2471</v>
      </c>
      <c r="B333" s="381" t="s">
        <v>147</v>
      </c>
      <c r="C333" s="0" t="n">
        <f aca="false">COUNTIF($E$2:$E$413,A333)</f>
        <v>1</v>
      </c>
      <c r="E333" s="0" t="n">
        <f aca="false">'0.1.2 Attack Dex (GO)'!A333</f>
        <v>0</v>
      </c>
      <c r="F333" s="0" t="n">
        <f aca="false">IFERROR(INDEX($A$2:$A$413, SMALL(IF(0=$C$2:$C$413, ROW($C$2:$C$413)-ROW($C$2)+1), ROW(332:332))),)</f>
        <v>0</v>
      </c>
    </row>
    <row r="334" customFormat="false" ht="15.75" hidden="false" customHeight="false" outlineLevel="0" collapsed="false">
      <c r="A334" s="381" t="s">
        <v>2423</v>
      </c>
      <c r="B334" s="381" t="s">
        <v>149</v>
      </c>
      <c r="C334" s="0" t="n">
        <f aca="false">COUNTIF($E$2:$E$413,A334)</f>
        <v>0</v>
      </c>
      <c r="E334" s="0" t="n">
        <f aca="false">'0.1.2 Attack Dex (GO)'!A334</f>
        <v>0</v>
      </c>
      <c r="F334" s="0" t="n">
        <f aca="false">IFERROR(INDEX($A$2:$A$413, SMALL(IF(0=$C$2:$C$413, ROW($C$2:$C$413)-ROW($C$2)+1), ROW(333:333))),)</f>
        <v>0</v>
      </c>
    </row>
    <row r="335" customFormat="false" ht="15.75" hidden="false" customHeight="false" outlineLevel="0" collapsed="false">
      <c r="A335" s="381" t="s">
        <v>2514</v>
      </c>
      <c r="B335" s="381" t="s">
        <v>152</v>
      </c>
      <c r="C335" s="0" t="n">
        <f aca="false">COUNTIF($E$2:$E$413,A335)</f>
        <v>0</v>
      </c>
      <c r="E335" s="0" t="n">
        <f aca="false">'0.1.2 Attack Dex (GO)'!A335</f>
        <v>0</v>
      </c>
      <c r="F335" s="0" t="n">
        <f aca="false">IFERROR(INDEX($A$2:$A$413, SMALL(IF(0=$C$2:$C$413, ROW($C$2:$C$413)-ROW($C$2)+1), ROW(334:334))),)</f>
        <v>0</v>
      </c>
    </row>
    <row r="336" customFormat="false" ht="15.75" hidden="false" customHeight="false" outlineLevel="0" collapsed="false">
      <c r="A336" s="381" t="s">
        <v>2617</v>
      </c>
      <c r="B336" s="381" t="s">
        <v>144</v>
      </c>
      <c r="C336" s="0" t="n">
        <f aca="false">COUNTIF($E$2:$E$413,A336)</f>
        <v>0</v>
      </c>
      <c r="E336" s="0" t="n">
        <f aca="false">'0.1.2 Attack Dex (GO)'!A336</f>
        <v>0</v>
      </c>
      <c r="F336" s="0" t="n">
        <f aca="false">IFERROR(INDEX($A$2:$A$413, SMALL(IF(0=$C$2:$C$413, ROW($C$2:$C$413)-ROW($C$2)+1), ROW(335:335))),)</f>
        <v>0</v>
      </c>
    </row>
    <row r="337" customFormat="false" ht="15.75" hidden="false" customHeight="false" outlineLevel="0" collapsed="false">
      <c r="A337" s="381" t="s">
        <v>2619</v>
      </c>
      <c r="B337" s="381" t="s">
        <v>147</v>
      </c>
      <c r="C337" s="0" t="n">
        <f aca="false">COUNTIF($E$2:$E$413,A337)</f>
        <v>0</v>
      </c>
      <c r="E337" s="0" t="n">
        <f aca="false">'0.1.2 Attack Dex (GO)'!A337</f>
        <v>0</v>
      </c>
      <c r="F337" s="0" t="n">
        <f aca="false">IFERROR(INDEX($A$2:$A$413, SMALL(IF(0=$C$2:$C$413, ROW($C$2:$C$413)-ROW($C$2)+1), ROW(336:336))),)</f>
        <v>0</v>
      </c>
    </row>
    <row r="338" customFormat="false" ht="15.75" hidden="false" customHeight="false" outlineLevel="0" collapsed="false">
      <c r="A338" s="381" t="s">
        <v>2472</v>
      </c>
      <c r="B338" s="381" t="s">
        <v>160</v>
      </c>
      <c r="C338" s="0" t="n">
        <f aca="false">COUNTIF($E$2:$E$413,A338)</f>
        <v>1</v>
      </c>
      <c r="E338" s="0" t="n">
        <f aca="false">'0.1.2 Attack Dex (GO)'!A338</f>
        <v>0</v>
      </c>
      <c r="F338" s="0" t="n">
        <f aca="false">IFERROR(INDEX($A$2:$A$413, SMALL(IF(0=$C$2:$C$413, ROW($C$2:$C$413)-ROW($C$2)+1), ROW(337:337))),)</f>
        <v>0</v>
      </c>
    </row>
    <row r="339" customFormat="false" ht="15.75" hidden="false" customHeight="false" outlineLevel="0" collapsed="false">
      <c r="A339" s="381" t="s">
        <v>2344</v>
      </c>
      <c r="B339" s="381" t="s">
        <v>144</v>
      </c>
      <c r="C339" s="0" t="n">
        <f aca="false">COUNTIF($E$2:$E$413,A339)</f>
        <v>0</v>
      </c>
      <c r="E339" s="0" t="n">
        <f aca="false">'0.1.2 Attack Dex (GO)'!A339</f>
        <v>0</v>
      </c>
      <c r="F339" s="0" t="n">
        <f aca="false">IFERROR(INDEX($A$2:$A$413, SMALL(IF(0=$C$2:$C$413, ROW($C$2:$C$413)-ROW($C$2)+1), ROW(338:338))),)</f>
        <v>0</v>
      </c>
    </row>
    <row r="340" customFormat="false" ht="15.75" hidden="false" customHeight="false" outlineLevel="0" collapsed="false">
      <c r="A340" s="381" t="s">
        <v>2345</v>
      </c>
      <c r="B340" s="381" t="s">
        <v>155</v>
      </c>
      <c r="C340" s="0" t="n">
        <f aca="false">COUNTIF($E$2:$E$413,A340)</f>
        <v>1</v>
      </c>
      <c r="E340" s="0" t="n">
        <f aca="false">'0.1.2 Attack Dex (GO)'!A340</f>
        <v>0</v>
      </c>
      <c r="F340" s="0" t="n">
        <f aca="false">IFERROR(INDEX($A$2:$A$413, SMALL(IF(0=$C$2:$C$413, ROW($C$2:$C$413)-ROW($C$2)+1), ROW(339:339))),)</f>
        <v>0</v>
      </c>
    </row>
    <row r="341" customFormat="false" ht="15.75" hidden="false" customHeight="false" outlineLevel="0" collapsed="false">
      <c r="A341" s="381" t="s">
        <v>2732</v>
      </c>
      <c r="B341" s="381" t="s">
        <v>155</v>
      </c>
      <c r="C341" s="0" t="n">
        <f aca="false">COUNTIF($E$2:$E$413,A341)</f>
        <v>0</v>
      </c>
      <c r="E341" s="0" t="n">
        <f aca="false">'0.1.2 Attack Dex (GO)'!A341</f>
        <v>0</v>
      </c>
      <c r="F341" s="0" t="n">
        <f aca="false">IFERROR(INDEX($A$2:$A$413, SMALL(IF(0=$C$2:$C$413, ROW($C$2:$C$413)-ROW($C$2)+1), ROW(340:340))),)</f>
        <v>0</v>
      </c>
    </row>
    <row r="342" customFormat="false" ht="15.75" hidden="false" customHeight="false" outlineLevel="0" collapsed="false">
      <c r="A342" s="381" t="s">
        <v>2575</v>
      </c>
      <c r="B342" s="382" t="s">
        <v>2787</v>
      </c>
      <c r="C342" s="0" t="n">
        <f aca="false">COUNTIF($E$2:$E$413,A342)</f>
        <v>0</v>
      </c>
      <c r="E342" s="0" t="n">
        <f aca="false">'0.1.2 Attack Dex (GO)'!A342</f>
        <v>0</v>
      </c>
      <c r="F342" s="0" t="n">
        <f aca="false">IFERROR(INDEX($A$2:$A$413, SMALL(IF(0=$C$2:$C$413, ROW($C$2:$C$413)-ROW($C$2)+1), ROW(341:341))),)</f>
        <v>0</v>
      </c>
    </row>
    <row r="343" customFormat="false" ht="15.75" hidden="false" customHeight="false" outlineLevel="0" collapsed="false">
      <c r="A343" s="381" t="s">
        <v>2682</v>
      </c>
      <c r="B343" s="381" t="s">
        <v>159</v>
      </c>
      <c r="C343" s="0" t="n">
        <f aca="false">COUNTIF($E$2:$E$413,A343)</f>
        <v>0</v>
      </c>
      <c r="E343" s="0" t="n">
        <f aca="false">'0.1.2 Attack Dex (GO)'!A343</f>
        <v>0</v>
      </c>
      <c r="F343" s="0" t="n">
        <f aca="false">IFERROR(INDEX($A$2:$A$413, SMALL(IF(0=$C$2:$C$413, ROW($C$2:$C$413)-ROW($C$2)+1), ROW(342:342))),)</f>
        <v>0</v>
      </c>
    </row>
    <row r="344" customFormat="false" ht="15.75" hidden="false" customHeight="false" outlineLevel="0" collapsed="false">
      <c r="A344" s="381" t="s">
        <v>2570</v>
      </c>
      <c r="B344" s="381" t="s">
        <v>156</v>
      </c>
      <c r="C344" s="0" t="n">
        <f aca="false">COUNTIF($E$2:$E$413,A344)</f>
        <v>1</v>
      </c>
      <c r="E344" s="0" t="n">
        <f aca="false">'0.1.2 Attack Dex (GO)'!A344</f>
        <v>0</v>
      </c>
      <c r="F344" s="0" t="n">
        <f aca="false">IFERROR(INDEX($A$2:$A$413, SMALL(IF(0=$C$2:$C$413, ROW($C$2:$C$413)-ROW($C$2)+1), ROW(343:343))),)</f>
        <v>0</v>
      </c>
    </row>
    <row r="345" customFormat="false" ht="15.75" hidden="false" customHeight="false" outlineLevel="0" collapsed="false">
      <c r="A345" s="381" t="s">
        <v>2724</v>
      </c>
      <c r="B345" s="381" t="s">
        <v>154</v>
      </c>
      <c r="C345" s="0" t="n">
        <f aca="false">COUNTIF($E$2:$E$413,A345)</f>
        <v>0</v>
      </c>
      <c r="E345" s="0" t="n">
        <f aca="false">'0.1.2 Attack Dex (GO)'!A345</f>
        <v>0</v>
      </c>
      <c r="F345" s="0" t="n">
        <f aca="false">IFERROR(INDEX($A$2:$A$413, SMALL(IF(0=$C$2:$C$413, ROW($C$2:$C$413)-ROW($C$2)+1), ROW(344:344))),)</f>
        <v>0</v>
      </c>
    </row>
    <row r="346" customFormat="false" ht="15.75" hidden="false" customHeight="false" outlineLevel="0" collapsed="false">
      <c r="A346" s="381" t="s">
        <v>2752</v>
      </c>
      <c r="B346" s="381" t="s">
        <v>151</v>
      </c>
      <c r="C346" s="0" t="n">
        <f aca="false">COUNTIF($E$2:$E$413,A346)</f>
        <v>0</v>
      </c>
      <c r="E346" s="0" t="n">
        <f aca="false">'0.1.2 Attack Dex (GO)'!A346</f>
        <v>0</v>
      </c>
      <c r="F346" s="0" t="n">
        <f aca="false">IFERROR(INDEX($A$2:$A$413, SMALL(IF(0=$C$2:$C$413, ROW($C$2:$C$413)-ROW($C$2)+1), ROW(345:345))),)</f>
        <v>0</v>
      </c>
    </row>
    <row r="347" customFormat="false" ht="15.75" hidden="false" customHeight="false" outlineLevel="0" collapsed="false">
      <c r="A347" s="381" t="s">
        <v>2587</v>
      </c>
      <c r="B347" s="381" t="s">
        <v>144</v>
      </c>
      <c r="C347" s="0" t="n">
        <f aca="false">COUNTIF($E$2:$E$413,A347)</f>
        <v>0</v>
      </c>
      <c r="E347" s="0" t="n">
        <f aca="false">'0.1.2 Attack Dex (GO)'!A347</f>
        <v>0</v>
      </c>
      <c r="F347" s="0" t="n">
        <f aca="false">IFERROR(INDEX($A$2:$A$413, SMALL(IF(0=$C$2:$C$413, ROW($C$2:$C$413)-ROW($C$2)+1), ROW(346:346))),)</f>
        <v>0</v>
      </c>
    </row>
    <row r="348" customFormat="false" ht="15.75" hidden="false" customHeight="false" outlineLevel="0" collapsed="false">
      <c r="A348" s="381" t="s">
        <v>2722</v>
      </c>
      <c r="B348" s="381" t="s">
        <v>151</v>
      </c>
      <c r="C348" s="0" t="n">
        <f aca="false">COUNTIF($E$2:$E$413,A348)</f>
        <v>0</v>
      </c>
      <c r="E348" s="0" t="n">
        <f aca="false">'0.1.2 Attack Dex (GO)'!A348</f>
        <v>0</v>
      </c>
      <c r="F348" s="0" t="n">
        <f aca="false">IFERROR(INDEX($A$2:$A$413, SMALL(IF(0=$C$2:$C$413, ROW($C$2:$C$413)-ROW($C$2)+1), ROW(347:347))),)</f>
        <v>0</v>
      </c>
    </row>
    <row r="349" customFormat="false" ht="15.75" hidden="false" customHeight="false" outlineLevel="0" collapsed="false">
      <c r="A349" s="381" t="s">
        <v>2720</v>
      </c>
      <c r="B349" s="381" t="s">
        <v>154</v>
      </c>
      <c r="C349" s="0" t="n">
        <f aca="false">COUNTIF($E$2:$E$413,A349)</f>
        <v>0</v>
      </c>
      <c r="E349" s="0" t="n">
        <f aca="false">'0.1.2 Attack Dex (GO)'!A349</f>
        <v>0</v>
      </c>
      <c r="F349" s="0" t="n">
        <f aca="false">IFERROR(INDEX($A$2:$A$413, SMALL(IF(0=$C$2:$C$413, ROW($C$2:$C$413)-ROW($C$2)+1), ROW(348:348))),)</f>
        <v>0</v>
      </c>
    </row>
    <row r="350" customFormat="false" ht="15.75" hidden="false" customHeight="false" outlineLevel="0" collapsed="false">
      <c r="A350" s="381" t="s">
        <v>2567</v>
      </c>
      <c r="B350" s="381" t="s">
        <v>150</v>
      </c>
      <c r="C350" s="0" t="n">
        <f aca="false">COUNTIF($E$2:$E$413,A350)</f>
        <v>0</v>
      </c>
      <c r="E350" s="0" t="n">
        <f aca="false">'0.1.2 Attack Dex (GO)'!A350</f>
        <v>0</v>
      </c>
      <c r="F350" s="0" t="n">
        <f aca="false">IFERROR(INDEX($A$2:$A$413, SMALL(IF(0=$C$2:$C$413, ROW($C$2:$C$413)-ROW($C$2)+1), ROW(349:349))),)</f>
        <v>0</v>
      </c>
    </row>
    <row r="351" customFormat="false" ht="15.75" hidden="false" customHeight="false" outlineLevel="0" collapsed="false">
      <c r="A351" s="381" t="s">
        <v>2396</v>
      </c>
      <c r="B351" s="381" t="s">
        <v>152</v>
      </c>
      <c r="C351" s="0" t="n">
        <f aca="false">COUNTIF($E$2:$E$413,A351)</f>
        <v>1</v>
      </c>
      <c r="E351" s="0" t="n">
        <f aca="false">'0.1.2 Attack Dex (GO)'!A351</f>
        <v>0</v>
      </c>
      <c r="F351" s="0" t="n">
        <f aca="false">IFERROR(INDEX($A$2:$A$413, SMALL(IF(0=$C$2:$C$413, ROW($C$2:$C$413)-ROW($C$2)+1), ROW(350:350))),)</f>
        <v>0</v>
      </c>
    </row>
    <row r="352" customFormat="false" ht="15.75" hidden="false" customHeight="false" outlineLevel="0" collapsed="false">
      <c r="A352" s="381" t="s">
        <v>2571</v>
      </c>
      <c r="B352" s="381" t="s">
        <v>144</v>
      </c>
      <c r="C352" s="0" t="n">
        <f aca="false">COUNTIF($E$2:$E$413,A352)</f>
        <v>1</v>
      </c>
      <c r="E352" s="0" t="n">
        <f aca="false">'0.1.2 Attack Dex (GO)'!A352</f>
        <v>0</v>
      </c>
      <c r="F352" s="0" t="n">
        <f aca="false">IFERROR(INDEX($A$2:$A$413, SMALL(IF(0=$C$2:$C$413, ROW($C$2:$C$413)-ROW($C$2)+1), ROW(351:351))),)</f>
        <v>0</v>
      </c>
    </row>
    <row r="353" customFormat="false" ht="15.75" hidden="false" customHeight="false" outlineLevel="0" collapsed="false">
      <c r="A353" s="381" t="s">
        <v>2346</v>
      </c>
      <c r="B353" s="381" t="s">
        <v>148</v>
      </c>
      <c r="C353" s="0" t="n">
        <f aca="false">COUNTIF($E$2:$E$413,A353)</f>
        <v>0</v>
      </c>
      <c r="E353" s="0" t="n">
        <f aca="false">'0.1.2 Attack Dex (GO)'!A353</f>
        <v>0</v>
      </c>
      <c r="F353" s="0" t="n">
        <f aca="false">IFERROR(INDEX($A$2:$A$413, SMALL(IF(0=$C$2:$C$413, ROW($C$2:$C$413)-ROW($C$2)+1), ROW(352:352))),)</f>
        <v>0</v>
      </c>
    </row>
    <row r="354" customFormat="false" ht="15.75" hidden="false" customHeight="false" outlineLevel="0" collapsed="false">
      <c r="A354" s="381" t="s">
        <v>2500</v>
      </c>
      <c r="B354" s="381" t="s">
        <v>149</v>
      </c>
      <c r="C354" s="0" t="n">
        <f aca="false">COUNTIF($E$2:$E$413,A354)</f>
        <v>1</v>
      </c>
      <c r="E354" s="0" t="n">
        <f aca="false">'0.1.2 Attack Dex (GO)'!A354</f>
        <v>0</v>
      </c>
      <c r="F354" s="0" t="n">
        <f aca="false">IFERROR(INDEX($A$2:$A$413, SMALL(IF(0=$C$2:$C$413, ROW($C$2:$C$413)-ROW($C$2)+1), ROW(353:353))),)</f>
        <v>0</v>
      </c>
    </row>
    <row r="355" customFormat="false" ht="15.75" hidden="false" customHeight="false" outlineLevel="0" collapsed="false">
      <c r="A355" s="381" t="s">
        <v>2641</v>
      </c>
      <c r="B355" s="381" t="s">
        <v>157</v>
      </c>
      <c r="C355" s="0" t="n">
        <f aca="false">COUNTIF($E$2:$E$413,A355)</f>
        <v>0</v>
      </c>
      <c r="E355" s="0" t="n">
        <f aca="false">'0.1.2 Attack Dex (GO)'!A355</f>
        <v>0</v>
      </c>
      <c r="F355" s="0" t="n">
        <f aca="false">IFERROR(INDEX($A$2:$A$413, SMALL(IF(0=$C$2:$C$413, ROW($C$2:$C$413)-ROW($C$2)+1), ROW(354:354))),)</f>
        <v>0</v>
      </c>
    </row>
    <row r="356" customFormat="false" ht="15.75" hidden="false" customHeight="false" outlineLevel="0" collapsed="false">
      <c r="A356" s="381" t="s">
        <v>2628</v>
      </c>
      <c r="B356" s="381" t="s">
        <v>145</v>
      </c>
      <c r="C356" s="0" t="n">
        <f aca="false">COUNTIF($E$2:$E$413,A356)</f>
        <v>0</v>
      </c>
      <c r="E356" s="0" t="n">
        <f aca="false">'0.1.2 Attack Dex (GO)'!A356</f>
        <v>0</v>
      </c>
      <c r="F356" s="0" t="n">
        <f aca="false">IFERROR(INDEX($A$2:$A$413, SMALL(IF(0=$C$2:$C$413, ROW($C$2:$C$413)-ROW($C$2)+1), ROW(355:355))),)</f>
        <v>0</v>
      </c>
    </row>
    <row r="357" customFormat="false" ht="15.75" hidden="false" customHeight="false" outlineLevel="0" collapsed="false">
      <c r="A357" s="381" t="s">
        <v>2347</v>
      </c>
      <c r="B357" s="381" t="s">
        <v>144</v>
      </c>
      <c r="C357" s="0" t="n">
        <f aca="false">COUNTIF($E$2:$E$413,A357)</f>
        <v>0</v>
      </c>
      <c r="E357" s="0" t="n">
        <f aca="false">'0.1.2 Attack Dex (GO)'!A357</f>
        <v>0</v>
      </c>
      <c r="F357" s="0" t="n">
        <f aca="false">IFERROR(INDEX($A$2:$A$413, SMALL(IF(0=$C$2:$C$413, ROW($C$2:$C$413)-ROW($C$2)+1), ROW(356:356))),)</f>
        <v>0</v>
      </c>
    </row>
    <row r="358" customFormat="false" ht="15.75" hidden="false" customHeight="false" outlineLevel="0" collapsed="false">
      <c r="A358" s="381" t="s">
        <v>2444</v>
      </c>
      <c r="B358" s="381" t="s">
        <v>150</v>
      </c>
      <c r="C358" s="0" t="n">
        <f aca="false">COUNTIF($E$2:$E$413,A358)</f>
        <v>1</v>
      </c>
      <c r="E358" s="0" t="n">
        <f aca="false">'0.1.2 Attack Dex (GO)'!A358</f>
        <v>0</v>
      </c>
      <c r="F358" s="0" t="n">
        <f aca="false">IFERROR(INDEX($A$2:$A$413, SMALL(IF(0=$C$2:$C$413, ROW($C$2:$C$413)-ROW($C$2)+1), ROW(357:357))),)</f>
        <v>0</v>
      </c>
    </row>
    <row r="359" customFormat="false" ht="15.75" hidden="false" customHeight="false" outlineLevel="0" collapsed="false">
      <c r="A359" s="381" t="s">
        <v>2397</v>
      </c>
      <c r="B359" s="381" t="s">
        <v>145</v>
      </c>
      <c r="C359" s="0" t="n">
        <f aca="false">COUNTIF($E$2:$E$413,A359)</f>
        <v>1</v>
      </c>
      <c r="E359" s="0" t="n">
        <f aca="false">'0.1.2 Attack Dex (GO)'!A359</f>
        <v>0</v>
      </c>
      <c r="F359" s="0" t="n">
        <f aca="false">IFERROR(INDEX($A$2:$A$413, SMALL(IF(0=$C$2:$C$413, ROW($C$2:$C$413)-ROW($C$2)+1), ROW(358:358))),)</f>
        <v>0</v>
      </c>
    </row>
    <row r="360" customFormat="false" ht="15.75" hidden="false" customHeight="false" outlineLevel="0" collapsed="false">
      <c r="A360" s="381" t="s">
        <v>2473</v>
      </c>
      <c r="B360" s="381" t="s">
        <v>160</v>
      </c>
      <c r="C360" s="0" t="n">
        <f aca="false">COUNTIF($E$2:$E$413,A360)</f>
        <v>1</v>
      </c>
      <c r="E360" s="0" t="n">
        <f aca="false">'0.1.2 Attack Dex (GO)'!A360</f>
        <v>0</v>
      </c>
      <c r="F360" s="0" t="n">
        <f aca="false">IFERROR(INDEX($A$2:$A$413, SMALL(IF(0=$C$2:$C$413, ROW($C$2:$C$413)-ROW($C$2)+1), ROW(359:359))),)</f>
        <v>0</v>
      </c>
    </row>
    <row r="361" customFormat="false" ht="15.75" hidden="false" customHeight="false" outlineLevel="0" collapsed="false">
      <c r="A361" s="381" t="s">
        <v>2745</v>
      </c>
      <c r="B361" s="381" t="s">
        <v>152</v>
      </c>
      <c r="C361" s="0" t="n">
        <f aca="false">COUNTIF($E$2:$E$413,A361)</f>
        <v>0</v>
      </c>
      <c r="E361" s="0" t="n">
        <f aca="false">'0.1.2 Attack Dex (GO)'!A361</f>
        <v>0</v>
      </c>
      <c r="F361" s="0" t="n">
        <f aca="false">IFERROR(INDEX($A$2:$A$413, SMALL(IF(0=$C$2:$C$413, ROW($C$2:$C$413)-ROW($C$2)+1), ROW(360:360))),)</f>
        <v>0</v>
      </c>
    </row>
    <row r="362" customFormat="false" ht="15.75" hidden="false" customHeight="false" outlineLevel="0" collapsed="false">
      <c r="A362" s="381" t="s">
        <v>2474</v>
      </c>
      <c r="B362" s="381" t="s">
        <v>144</v>
      </c>
      <c r="C362" s="0" t="n">
        <f aca="false">COUNTIF($E$2:$E$413,A362)</f>
        <v>0</v>
      </c>
      <c r="E362" s="0" t="n">
        <f aca="false">'0.1.2 Attack Dex (GO)'!A362</f>
        <v>0</v>
      </c>
      <c r="F362" s="0" t="n">
        <f aca="false">IFERROR(INDEX($A$2:$A$413, SMALL(IF(0=$C$2:$C$413, ROW($C$2:$C$413)-ROW($C$2)+1), ROW(361:361))),)</f>
        <v>0</v>
      </c>
    </row>
    <row r="363" customFormat="false" ht="15.75" hidden="false" customHeight="false" outlineLevel="0" collapsed="false">
      <c r="A363" s="381" t="s">
        <v>2511</v>
      </c>
      <c r="B363" s="381" t="s">
        <v>145</v>
      </c>
      <c r="C363" s="0" t="n">
        <f aca="false">COUNTIF($E$2:$E$413,A363)</f>
        <v>0</v>
      </c>
      <c r="E363" s="0" t="n">
        <f aca="false">'0.1.2 Attack Dex (GO)'!A363</f>
        <v>0</v>
      </c>
      <c r="F363" s="0" t="n">
        <f aca="false">IFERROR(INDEX($A$2:$A$413, SMALL(IF(0=$C$2:$C$413, ROW($C$2:$C$413)-ROW($C$2)+1), ROW(362:362))),)</f>
        <v>0</v>
      </c>
    </row>
    <row r="364" customFormat="false" ht="15.75" hidden="false" customHeight="false" outlineLevel="0" collapsed="false">
      <c r="A364" s="381" t="s">
        <v>2424</v>
      </c>
      <c r="B364" s="381" t="s">
        <v>154</v>
      </c>
      <c r="C364" s="0" t="n">
        <f aca="false">COUNTIF($E$2:$E$413,A364)</f>
        <v>1</v>
      </c>
      <c r="E364" s="0" t="n">
        <f aca="false">'0.1.2 Attack Dex (GO)'!A364</f>
        <v>0</v>
      </c>
      <c r="F364" s="0" t="n">
        <f aca="false">IFERROR(INDEX($A$2:$A$413, SMALL(IF(0=$C$2:$C$413, ROW($C$2:$C$413)-ROW($C$2)+1), ROW(363:363))),)</f>
        <v>0</v>
      </c>
    </row>
    <row r="365" customFormat="false" ht="15.75" hidden="false" customHeight="false" outlineLevel="0" collapsed="false">
      <c r="A365" s="381" t="s">
        <v>2398</v>
      </c>
      <c r="B365" s="381" t="s">
        <v>144</v>
      </c>
      <c r="C365" s="0" t="n">
        <f aca="false">COUNTIF($E$2:$E$413,A365)</f>
        <v>1</v>
      </c>
      <c r="E365" s="0" t="n">
        <f aca="false">'0.1.2 Attack Dex (GO)'!A365</f>
        <v>0</v>
      </c>
      <c r="F365" s="0" t="n">
        <f aca="false">IFERROR(INDEX($A$2:$A$413, SMALL(IF(0=$C$2:$C$413, ROW($C$2:$C$413)-ROW($C$2)+1), ROW(364:364))),)</f>
        <v>0</v>
      </c>
    </row>
    <row r="366" customFormat="false" ht="15.75" hidden="false" customHeight="false" outlineLevel="0" collapsed="false">
      <c r="A366" s="381" t="s">
        <v>2592</v>
      </c>
      <c r="B366" s="381" t="s">
        <v>157</v>
      </c>
      <c r="C366" s="0" t="n">
        <f aca="false">COUNTIF($E$2:$E$413,A366)</f>
        <v>0</v>
      </c>
      <c r="E366" s="0" t="n">
        <f aca="false">'0.1.2 Attack Dex (GO)'!A366</f>
        <v>0</v>
      </c>
      <c r="F366" s="0" t="n">
        <f aca="false">IFERROR(INDEX($A$2:$A$413, SMALL(IF(0=$C$2:$C$413, ROW($C$2:$C$413)-ROW($C$2)+1), ROW(365:365))),)</f>
        <v>0</v>
      </c>
    </row>
    <row r="367" customFormat="false" ht="15.75" hidden="false" customHeight="false" outlineLevel="0" collapsed="false">
      <c r="A367" s="381" t="s">
        <v>2348</v>
      </c>
      <c r="B367" s="381" t="s">
        <v>144</v>
      </c>
      <c r="C367" s="0" t="n">
        <f aca="false">COUNTIF($E$2:$E$413,A367)</f>
        <v>1</v>
      </c>
      <c r="E367" s="0" t="n">
        <f aca="false">'0.1.2 Attack Dex (GO)'!A367</f>
        <v>0</v>
      </c>
      <c r="F367" s="0" t="n">
        <f aca="false">IFERROR(INDEX($A$2:$A$413, SMALL(IF(0=$C$2:$C$413, ROW($C$2:$C$413)-ROW($C$2)+1), ROW(366:366))),)</f>
        <v>0</v>
      </c>
    </row>
    <row r="368" customFormat="false" ht="15.75" hidden="false" customHeight="false" outlineLevel="0" collapsed="false">
      <c r="A368" s="381" t="s">
        <v>2644</v>
      </c>
      <c r="B368" s="381" t="s">
        <v>144</v>
      </c>
      <c r="C368" s="0" t="n">
        <f aca="false">COUNTIF($E$2:$E$413,A368)</f>
        <v>0</v>
      </c>
      <c r="E368" s="0" t="n">
        <f aca="false">'0.1.2 Attack Dex (GO)'!A368</f>
        <v>0</v>
      </c>
      <c r="F368" s="0" t="n">
        <f aca="false">IFERROR(INDEX($A$2:$A$413, SMALL(IF(0=$C$2:$C$413, ROW($C$2:$C$413)-ROW($C$2)+1), ROW(367:367))),)</f>
        <v>0</v>
      </c>
    </row>
    <row r="369" customFormat="false" ht="15.75" hidden="false" customHeight="false" outlineLevel="0" collapsed="false">
      <c r="A369" s="381" t="s">
        <v>2349</v>
      </c>
      <c r="B369" s="381" t="s">
        <v>144</v>
      </c>
      <c r="C369" s="0" t="n">
        <f aca="false">COUNTIF($E$2:$E$413,A369)</f>
        <v>1</v>
      </c>
      <c r="E369" s="0" t="n">
        <f aca="false">'0.1.2 Attack Dex (GO)'!A369</f>
        <v>0</v>
      </c>
      <c r="F369" s="0" t="n">
        <f aca="false">IFERROR(INDEX($A$2:$A$413, SMALL(IF(0=$C$2:$C$413, ROW($C$2:$C$413)-ROW($C$2)+1), ROW(368:368))),)</f>
        <v>0</v>
      </c>
    </row>
    <row r="370" customFormat="false" ht="15.75" hidden="false" customHeight="false" outlineLevel="0" collapsed="false">
      <c r="A370" s="381" t="s">
        <v>2708</v>
      </c>
      <c r="B370" s="381" t="s">
        <v>162</v>
      </c>
      <c r="C370" s="0" t="n">
        <f aca="false">COUNTIF($E$2:$E$413,A370)</f>
        <v>0</v>
      </c>
      <c r="E370" s="0" t="n">
        <f aca="false">'0.1.2 Attack Dex (GO)'!A370</f>
        <v>0</v>
      </c>
      <c r="F370" s="0" t="n">
        <f aca="false">IFERROR(INDEX($A$2:$A$413, SMALL(IF(0=$C$2:$C$413, ROW($C$2:$C$413)-ROW($C$2)+1), ROW(369:369))),)</f>
        <v>0</v>
      </c>
    </row>
    <row r="371" customFormat="false" ht="15.75" hidden="false" customHeight="false" outlineLevel="0" collapsed="false">
      <c r="A371" s="381" t="s">
        <v>2445</v>
      </c>
      <c r="B371" s="381" t="s">
        <v>160</v>
      </c>
      <c r="C371" s="0" t="n">
        <f aca="false">COUNTIF($E$2:$E$413,A371)</f>
        <v>0</v>
      </c>
      <c r="E371" s="0" t="n">
        <f aca="false">'0.1.2 Attack Dex (GO)'!A371</f>
        <v>0</v>
      </c>
      <c r="F371" s="0" t="n">
        <f aca="false">IFERROR(INDEX($A$2:$A$413, SMALL(IF(0=$C$2:$C$413, ROW($C$2:$C$413)-ROW($C$2)+1), ROW(370:370))),)</f>
        <v>0</v>
      </c>
    </row>
    <row r="372" customFormat="false" ht="15.75" hidden="false" customHeight="false" outlineLevel="0" collapsed="false">
      <c r="A372" s="381" t="s">
        <v>2715</v>
      </c>
      <c r="B372" s="381" t="s">
        <v>148</v>
      </c>
      <c r="C372" s="0" t="n">
        <f aca="false">COUNTIF($E$2:$E$413,A372)</f>
        <v>0</v>
      </c>
      <c r="E372" s="0" t="n">
        <f aca="false">'0.1.2 Attack Dex (GO)'!A372</f>
        <v>0</v>
      </c>
      <c r="F372" s="0" t="n">
        <f aca="false">IFERROR(INDEX($A$2:$A$413, SMALL(IF(0=$C$2:$C$413, ROW($C$2:$C$413)-ROW($C$2)+1), ROW(371:371))),)</f>
        <v>0</v>
      </c>
    </row>
    <row r="373" customFormat="false" ht="15.75" hidden="false" customHeight="false" outlineLevel="0" collapsed="false">
      <c r="A373" s="381" t="s">
        <v>2716</v>
      </c>
      <c r="B373" s="381" t="s">
        <v>148</v>
      </c>
      <c r="C373" s="0" t="n">
        <f aca="false">COUNTIF($E$2:$E$413,A373)</f>
        <v>0</v>
      </c>
      <c r="E373" s="0" t="n">
        <f aca="false">'0.1.2 Attack Dex (GO)'!A373</f>
        <v>0</v>
      </c>
      <c r="F373" s="0" t="n">
        <f aca="false">IFERROR(INDEX($A$2:$A$413, SMALL(IF(0=$C$2:$C$413, ROW($C$2:$C$413)-ROW($C$2)+1), ROW(372:372))),)</f>
        <v>0</v>
      </c>
    </row>
    <row r="374" customFormat="false" ht="15.75" hidden="false" customHeight="false" outlineLevel="0" collapsed="false">
      <c r="A374" s="381" t="s">
        <v>2515</v>
      </c>
      <c r="B374" s="381" t="s">
        <v>144</v>
      </c>
      <c r="C374" s="0" t="n">
        <f aca="false">COUNTIF($E$2:$E$413,A374)</f>
        <v>0</v>
      </c>
      <c r="E374" s="0" t="n">
        <f aca="false">'0.1.2 Attack Dex (GO)'!A374</f>
        <v>0</v>
      </c>
      <c r="F374" s="0" t="n">
        <f aca="false">IFERROR(INDEX($A$2:$A$413, SMALL(IF(0=$C$2:$C$413, ROW($C$2:$C$413)-ROW($C$2)+1), ROW(373:373))),)</f>
        <v>0</v>
      </c>
    </row>
    <row r="375" customFormat="false" ht="15.75" hidden="false" customHeight="false" outlineLevel="0" collapsed="false">
      <c r="A375" s="381" t="s">
        <v>2456</v>
      </c>
      <c r="B375" s="381" t="s">
        <v>160</v>
      </c>
      <c r="C375" s="0" t="n">
        <f aca="false">COUNTIF($E$2:$E$413,A375)</f>
        <v>0</v>
      </c>
      <c r="E375" s="0" t="n">
        <f aca="false">'0.1.2 Attack Dex (GO)'!A375</f>
        <v>0</v>
      </c>
      <c r="F375" s="0" t="n">
        <f aca="false">IFERROR(INDEX($A$2:$A$413, SMALL(IF(0=$C$2:$C$413, ROW($C$2:$C$413)-ROW($C$2)+1), ROW(374:374))),)</f>
        <v>0</v>
      </c>
    </row>
    <row r="376" customFormat="false" ht="15.75" hidden="false" customHeight="false" outlineLevel="0" collapsed="false">
      <c r="A376" s="381" t="s">
        <v>2475</v>
      </c>
      <c r="B376" s="381" t="s">
        <v>156</v>
      </c>
      <c r="C376" s="0" t="n">
        <f aca="false">COUNTIF($E$2:$E$413,A376)</f>
        <v>1</v>
      </c>
      <c r="E376" s="0" t="n">
        <f aca="false">'0.1.2 Attack Dex (GO)'!A376</f>
        <v>0</v>
      </c>
      <c r="F376" s="0" t="n">
        <f aca="false">IFERROR(INDEX($A$2:$A$413, SMALL(IF(0=$C$2:$C$413, ROW($C$2:$C$413)-ROW($C$2)+1), ROW(375:375))),)</f>
        <v>0</v>
      </c>
    </row>
    <row r="377" customFormat="false" ht="15.75" hidden="false" customHeight="false" outlineLevel="0" collapsed="false">
      <c r="A377" s="381" t="s">
        <v>2488</v>
      </c>
      <c r="B377" s="381" t="s">
        <v>156</v>
      </c>
      <c r="C377" s="0" t="n">
        <f aca="false">COUNTIF($E$2:$E$413,A377)</f>
        <v>0</v>
      </c>
      <c r="E377" s="0" t="n">
        <f aca="false">'0.1.2 Attack Dex (GO)'!A377</f>
        <v>0</v>
      </c>
      <c r="F377" s="0" t="n">
        <f aca="false">IFERROR(INDEX($A$2:$A$413, SMALL(IF(0=$C$2:$C$413, ROW($C$2:$C$413)-ROW($C$2)+1), ROW(376:376))),)</f>
        <v>0</v>
      </c>
    </row>
    <row r="378" customFormat="false" ht="15.75" hidden="false" customHeight="false" outlineLevel="0" collapsed="false">
      <c r="A378" s="381" t="s">
        <v>2399</v>
      </c>
      <c r="B378" s="381" t="s">
        <v>156</v>
      </c>
      <c r="C378" s="0" t="n">
        <f aca="false">COUNTIF($E$2:$E$413,A378)</f>
        <v>1</v>
      </c>
      <c r="E378" s="0" t="n">
        <f aca="false">'0.1.2 Attack Dex (GO)'!A378</f>
        <v>0</v>
      </c>
      <c r="F378" s="0" t="n">
        <f aca="false">IFERROR(INDEX($A$2:$A$413, SMALL(IF(0=$C$2:$C$413, ROW($C$2:$C$413)-ROW($C$2)+1), ROW(377:377))),)</f>
        <v>0</v>
      </c>
    </row>
    <row r="379" customFormat="false" ht="15.75" hidden="false" customHeight="false" outlineLevel="0" collapsed="false">
      <c r="A379" s="381" t="s">
        <v>2491</v>
      </c>
      <c r="B379" s="381" t="s">
        <v>156</v>
      </c>
      <c r="C379" s="0" t="n">
        <f aca="false">COUNTIF($E$2:$E$413,A379)</f>
        <v>1</v>
      </c>
      <c r="E379" s="0" t="n">
        <f aca="false">'0.1.2 Attack Dex (GO)'!A379</f>
        <v>0</v>
      </c>
      <c r="F379" s="0" t="n">
        <f aca="false">IFERROR(INDEX($A$2:$A$413, SMALL(IF(0=$C$2:$C$413, ROW($C$2:$C$413)-ROW($C$2)+1), ROW(378:378))),)</f>
        <v>0</v>
      </c>
    </row>
    <row r="380" customFormat="false" ht="15.75" hidden="false" customHeight="false" outlineLevel="0" collapsed="false">
      <c r="A380" s="381" t="s">
        <v>2476</v>
      </c>
      <c r="B380" s="381" t="s">
        <v>156</v>
      </c>
      <c r="C380" s="0" t="n">
        <f aca="false">COUNTIF($E$2:$E$413,A380)</f>
        <v>1</v>
      </c>
      <c r="E380" s="0" t="n">
        <f aca="false">'0.1.2 Attack Dex (GO)'!A380</f>
        <v>0</v>
      </c>
      <c r="F380" s="0" t="n">
        <f aca="false">IFERROR(INDEX($A$2:$A$413, SMALL(IF(0=$C$2:$C$413, ROW($C$2:$C$413)-ROW($C$2)+1), ROW(379:379))),)</f>
        <v>0</v>
      </c>
    </row>
    <row r="381" customFormat="false" ht="15.75" hidden="false" customHeight="false" outlineLevel="0" collapsed="false">
      <c r="A381" s="381" t="s">
        <v>2630</v>
      </c>
      <c r="B381" s="381" t="s">
        <v>144</v>
      </c>
      <c r="C381" s="0" t="n">
        <f aca="false">COUNTIF($E$2:$E$413,A381)</f>
        <v>1</v>
      </c>
      <c r="E381" s="0" t="n">
        <f aca="false">'0.1.2 Attack Dex (GO)'!A381</f>
        <v>0</v>
      </c>
      <c r="F381" s="0" t="n">
        <f aca="false">IFERROR(INDEX($A$2:$A$413, SMALL(IF(0=$C$2:$C$413, ROW($C$2:$C$413)-ROW($C$2)+1), ROW(380:380))),)</f>
        <v>0</v>
      </c>
    </row>
    <row r="382" customFormat="false" ht="15.75" hidden="false" customHeight="false" outlineLevel="0" collapsed="false">
      <c r="A382" s="381" t="s">
        <v>2522</v>
      </c>
      <c r="B382" s="381" t="s">
        <v>144</v>
      </c>
      <c r="C382" s="0" t="n">
        <f aca="false">COUNTIF($E$2:$E$413,A382)</f>
        <v>0</v>
      </c>
      <c r="E382" s="0" t="n">
        <f aca="false">'0.1.2 Attack Dex (GO)'!A382</f>
        <v>0</v>
      </c>
      <c r="F382" s="0" t="n">
        <f aca="false">IFERROR(INDEX($A$2:$A$413, SMALL(IF(0=$C$2:$C$413, ROW($C$2:$C$413)-ROW($C$2)+1), ROW(381:381))),)</f>
        <v>0</v>
      </c>
    </row>
    <row r="383" customFormat="false" ht="15.75" hidden="false" customHeight="false" outlineLevel="0" collapsed="false">
      <c r="A383" s="381" t="s">
        <v>2649</v>
      </c>
      <c r="B383" s="381" t="s">
        <v>145</v>
      </c>
      <c r="C383" s="0" t="n">
        <f aca="false">COUNTIF($E$2:$E$413,A383)</f>
        <v>0</v>
      </c>
      <c r="E383" s="0" t="n">
        <f aca="false">'0.1.2 Attack Dex (GO)'!A383</f>
        <v>0</v>
      </c>
      <c r="F383" s="0" t="n">
        <f aca="false">IFERROR(INDEX($A$2:$A$413, SMALL(IF(0=$C$2:$C$413, ROW($C$2:$C$413)-ROW($C$2)+1), ROW(382:382))),)</f>
        <v>0</v>
      </c>
    </row>
    <row r="384" customFormat="false" ht="15.75" hidden="false" customHeight="false" outlineLevel="0" collapsed="false">
      <c r="A384" s="381" t="s">
        <v>2733</v>
      </c>
      <c r="B384" s="381" t="s">
        <v>155</v>
      </c>
      <c r="C384" s="0" t="n">
        <f aca="false">COUNTIF($E$2:$E$413,A384)</f>
        <v>0</v>
      </c>
      <c r="E384" s="0" t="n">
        <f aca="false">'0.1.2 Attack Dex (GO)'!A384</f>
        <v>0</v>
      </c>
      <c r="F384" s="0" t="n">
        <f aca="false">IFERROR(INDEX($A$2:$A$413, SMALL(IF(0=$C$2:$C$413, ROW($C$2:$C$413)-ROW($C$2)+1), ROW(383:383))),)</f>
        <v>0</v>
      </c>
    </row>
    <row r="385" customFormat="false" ht="15.75" hidden="false" customHeight="false" outlineLevel="0" collapsed="false">
      <c r="A385" s="381" t="s">
        <v>2457</v>
      </c>
      <c r="B385" s="381" t="s">
        <v>150</v>
      </c>
      <c r="C385" s="0" t="n">
        <f aca="false">COUNTIF($E$2:$E$413,A385)</f>
        <v>0</v>
      </c>
      <c r="E385" s="0" t="n">
        <f aca="false">'0.1.2 Attack Dex (GO)'!A385</f>
        <v>0</v>
      </c>
      <c r="F385" s="0" t="n">
        <f aca="false">IFERROR(INDEX($A$2:$A$413, SMALL(IF(0=$C$2:$C$413, ROW($C$2:$C$413)-ROW($C$2)+1), ROW(384:384))),)</f>
        <v>0</v>
      </c>
    </row>
    <row r="386" customFormat="false" ht="15.75" hidden="false" customHeight="false" outlineLevel="0" collapsed="false">
      <c r="A386" s="381" t="s">
        <v>2400</v>
      </c>
      <c r="B386" s="381" t="s">
        <v>159</v>
      </c>
      <c r="C386" s="0" t="n">
        <f aca="false">COUNTIF($E$2:$E$413,A386)</f>
        <v>1</v>
      </c>
      <c r="E386" s="0" t="n">
        <f aca="false">'0.1.2 Attack Dex (GO)'!A386</f>
        <v>0</v>
      </c>
      <c r="F386" s="0" t="n">
        <f aca="false">IFERROR(INDEX($A$2:$A$413, SMALL(IF(0=$C$2:$C$413, ROW($C$2:$C$413)-ROW($C$2)+1), ROW(385:385))),)</f>
        <v>0</v>
      </c>
    </row>
    <row r="387" customFormat="false" ht="15.75" hidden="false" customHeight="false" outlineLevel="0" collapsed="false">
      <c r="A387" s="381" t="s">
        <v>2463</v>
      </c>
      <c r="B387" s="381" t="s">
        <v>144</v>
      </c>
      <c r="C387" s="0" t="n">
        <f aca="false">COUNTIF($E$2:$E$413,A387)</f>
        <v>0</v>
      </c>
      <c r="E387" s="0" t="n">
        <f aca="false">'0.1.2 Attack Dex (GO)'!A387</f>
        <v>0</v>
      </c>
      <c r="F387" s="0" t="n">
        <f aca="false">IFERROR(INDEX($A$2:$A$413, SMALL(IF(0=$C$2:$C$413, ROW($C$2:$C$413)-ROW($C$2)+1), ROW(386:386))),)</f>
        <v>0</v>
      </c>
    </row>
    <row r="388" customFormat="false" ht="15.75" hidden="false" customHeight="false" outlineLevel="0" collapsed="false">
      <c r="A388" s="381" t="s">
        <v>2446</v>
      </c>
      <c r="B388" s="381" t="s">
        <v>150</v>
      </c>
      <c r="C388" s="0" t="n">
        <f aca="false">COUNTIF($E$2:$E$413,A388)</f>
        <v>0</v>
      </c>
      <c r="E388" s="0" t="n">
        <f aca="false">'0.1.2 Attack Dex (GO)'!A388</f>
        <v>0</v>
      </c>
      <c r="F388" s="0" t="n">
        <f aca="false">IFERROR(INDEX($A$2:$A$413, SMALL(IF(0=$C$2:$C$413, ROW($C$2:$C$413)-ROW($C$2)+1), ROW(387:387))),)</f>
        <v>0</v>
      </c>
    </row>
    <row r="389" customFormat="false" ht="15.75" hidden="false" customHeight="false" outlineLevel="0" collapsed="false">
      <c r="A389" s="381" t="s">
        <v>2546</v>
      </c>
      <c r="B389" s="381" t="s">
        <v>145</v>
      </c>
      <c r="C389" s="0" t="n">
        <f aca="false">COUNTIF($E$2:$E$413,A389)</f>
        <v>0</v>
      </c>
      <c r="E389" s="0" t="n">
        <f aca="false">'0.1.2 Attack Dex (GO)'!A389</f>
        <v>0</v>
      </c>
      <c r="F389" s="0" t="n">
        <f aca="false">IFERROR(INDEX($A$2:$A$413, SMALL(IF(0=$C$2:$C$413, ROW($C$2:$C$413)-ROW($C$2)+1), ROW(388:388))),)</f>
        <v>0</v>
      </c>
    </row>
    <row r="390" customFormat="false" ht="15.75" hidden="false" customHeight="false" outlineLevel="0" collapsed="false">
      <c r="A390" s="381" t="s">
        <v>2668</v>
      </c>
      <c r="B390" s="381" t="s">
        <v>153</v>
      </c>
      <c r="C390" s="0" t="n">
        <f aca="false">COUNTIF($E$2:$E$413,A390)</f>
        <v>0</v>
      </c>
      <c r="E390" s="0" t="n">
        <f aca="false">'0.1.2 Attack Dex (GO)'!A390</f>
        <v>0</v>
      </c>
      <c r="F390" s="0" t="n">
        <f aca="false">IFERROR(INDEX($A$2:$A$413, SMALL(IF(0=$C$2:$C$413, ROW($C$2:$C$413)-ROW($C$2)+1), ROW(389:389))),)</f>
        <v>0</v>
      </c>
    </row>
    <row r="391" customFormat="false" ht="15.75" hidden="false" customHeight="false" outlineLevel="0" collapsed="false">
      <c r="A391" s="381" t="s">
        <v>2350</v>
      </c>
      <c r="B391" s="381" t="s">
        <v>147</v>
      </c>
      <c r="C391" s="0" t="n">
        <f aca="false">COUNTIF($E$2:$E$413,A391)</f>
        <v>0</v>
      </c>
      <c r="E391" s="0" t="n">
        <f aca="false">'0.1.2 Attack Dex (GO)'!A391</f>
        <v>0</v>
      </c>
      <c r="F391" s="0" t="n">
        <f aca="false">IFERROR(INDEX($A$2:$A$413, SMALL(IF(0=$C$2:$C$413, ROW($C$2:$C$413)-ROW($C$2)+1), ROW(390:390))),)</f>
        <v>0</v>
      </c>
    </row>
    <row r="392" customFormat="false" ht="15.75" hidden="false" customHeight="false" outlineLevel="0" collapsed="false">
      <c r="A392" s="381" t="s">
        <v>2595</v>
      </c>
      <c r="B392" s="381" t="s">
        <v>144</v>
      </c>
      <c r="C392" s="0" t="n">
        <f aca="false">COUNTIF($E$2:$E$413,A392)</f>
        <v>1</v>
      </c>
      <c r="E392" s="0" t="n">
        <f aca="false">'0.1.2 Attack Dex (GO)'!A392</f>
        <v>0</v>
      </c>
      <c r="F392" s="0" t="n">
        <f aca="false">IFERROR(INDEX($A$2:$A$413, SMALL(IF(0=$C$2:$C$413, ROW($C$2:$C$413)-ROW($C$2)+1), ROW(391:391))),)</f>
        <v>0</v>
      </c>
    </row>
    <row r="393" customFormat="false" ht="15.75" hidden="false" customHeight="false" outlineLevel="0" collapsed="false">
      <c r="A393" s="381" t="s">
        <v>2351</v>
      </c>
      <c r="B393" s="381" t="s">
        <v>155</v>
      </c>
      <c r="C393" s="0" t="n">
        <f aca="false">COUNTIF($E$2:$E$413,A393)</f>
        <v>1</v>
      </c>
      <c r="E393" s="0" t="n">
        <f aca="false">'0.1.2 Attack Dex (GO)'!A393</f>
        <v>0</v>
      </c>
      <c r="F393" s="0" t="n">
        <f aca="false">IFERROR(INDEX($A$2:$A$413, SMALL(IF(0=$C$2:$C$413, ROW($C$2:$C$413)-ROW($C$2)+1), ROW(392:392))),)</f>
        <v>0</v>
      </c>
    </row>
    <row r="394" customFormat="false" ht="15.75" hidden="false" customHeight="false" outlineLevel="0" collapsed="false">
      <c r="A394" s="381" t="s">
        <v>2554</v>
      </c>
      <c r="B394" s="381" t="s">
        <v>145</v>
      </c>
      <c r="C394" s="0" t="n">
        <f aca="false">COUNTIF($E$2:$E$413,A394)</f>
        <v>0</v>
      </c>
      <c r="E394" s="0" t="n">
        <f aca="false">'0.1.2 Attack Dex (GO)'!A394</f>
        <v>0</v>
      </c>
      <c r="F394" s="0" t="n">
        <f aca="false">IFERROR(INDEX($A$2:$A$413, SMALL(IF(0=$C$2:$C$413, ROW($C$2:$C$413)-ROW($C$2)+1), ROW(393:393))),)</f>
        <v>0</v>
      </c>
    </row>
    <row r="395" customFormat="false" ht="15.75" hidden="false" customHeight="false" outlineLevel="0" collapsed="false">
      <c r="A395" s="381" t="s">
        <v>2492</v>
      </c>
      <c r="B395" s="381" t="s">
        <v>156</v>
      </c>
      <c r="C395" s="0" t="n">
        <f aca="false">COUNTIF($E$2:$E$413,A395)</f>
        <v>1</v>
      </c>
      <c r="E395" s="0" t="n">
        <f aca="false">'0.1.2 Attack Dex (GO)'!A395</f>
        <v>0</v>
      </c>
      <c r="F395" s="0" t="n">
        <f aca="false">IFERROR(INDEX($A$2:$A$413, SMALL(IF(0=$C$2:$C$413, ROW($C$2:$C$413)-ROW($C$2)+1), ROW(394:394))),)</f>
        <v>0</v>
      </c>
    </row>
    <row r="396" customFormat="false" ht="15.75" hidden="false" customHeight="false" outlineLevel="0" collapsed="false">
      <c r="A396" s="381" t="s">
        <v>2555</v>
      </c>
      <c r="B396" s="381" t="s">
        <v>145</v>
      </c>
      <c r="C396" s="0" t="n">
        <f aca="false">COUNTIF($E$2:$E$413,A396)</f>
        <v>0</v>
      </c>
      <c r="E396" s="0" t="n">
        <f aca="false">'0.1.2 Attack Dex (GO)'!A396</f>
        <v>0</v>
      </c>
      <c r="F396" s="0" t="n">
        <f aca="false">IFERROR(INDEX($A$2:$A$413, SMALL(IF(0=$C$2:$C$413, ROW($C$2:$C$413)-ROW($C$2)+1), ROW(395:395))),)</f>
        <v>0</v>
      </c>
    </row>
    <row r="397" customFormat="false" ht="15.75" hidden="false" customHeight="false" outlineLevel="0" collapsed="false">
      <c r="A397" s="381" t="s">
        <v>2426</v>
      </c>
      <c r="B397" s="381" t="s">
        <v>154</v>
      </c>
      <c r="C397" s="0" t="n">
        <f aca="false">COUNTIF($E$2:$E$413,A397)</f>
        <v>1</v>
      </c>
      <c r="E397" s="0" t="n">
        <f aca="false">'0.1.2 Attack Dex (GO)'!A397</f>
        <v>0</v>
      </c>
      <c r="F397" s="0" t="n">
        <f aca="false">IFERROR(INDEX($A$2:$A$413, SMALL(IF(0=$C$2:$C$413, ROW($C$2:$C$413)-ROW($C$2)+1), ROW(396:396))),)</f>
        <v>0</v>
      </c>
    </row>
    <row r="398" customFormat="false" ht="15.75" hidden="false" customHeight="false" outlineLevel="0" collapsed="false">
      <c r="A398" s="381" t="s">
        <v>2427</v>
      </c>
      <c r="B398" s="381" t="s">
        <v>154</v>
      </c>
      <c r="C398" s="0" t="n">
        <f aca="false">COUNTIF($E$2:$E$413,A398)</f>
        <v>0</v>
      </c>
      <c r="E398" s="0" t="n">
        <f aca="false">'0.1.2 Attack Dex (GO)'!A398</f>
        <v>0</v>
      </c>
      <c r="F398" s="0" t="n">
        <f aca="false">IFERROR(INDEX($A$2:$A$413, SMALL(IF(0=$C$2:$C$413, ROW($C$2:$C$413)-ROW($C$2)+1), ROW(397:397))),)</f>
        <v>0</v>
      </c>
    </row>
    <row r="399" customFormat="false" ht="15.75" hidden="false" customHeight="false" outlineLevel="0" collapsed="false">
      <c r="A399" s="381" t="s">
        <v>2428</v>
      </c>
      <c r="B399" s="381" t="s">
        <v>154</v>
      </c>
      <c r="C399" s="0" t="n">
        <f aca="false">COUNTIF($E$2:$E$413,A399)</f>
        <v>1</v>
      </c>
      <c r="E399" s="0" t="n">
        <f aca="false">'0.1.2 Attack Dex (GO)'!A399</f>
        <v>0</v>
      </c>
      <c r="F399" s="0" t="n">
        <f aca="false">IFERROR(INDEX($A$2:$A$413, SMALL(IF(0=$C$2:$C$413, ROW($C$2:$C$413)-ROW($C$2)+1), ROW(398:398))),)</f>
        <v>0</v>
      </c>
    </row>
    <row r="400" customFormat="false" ht="15.75" hidden="false" customHeight="false" outlineLevel="0" collapsed="false">
      <c r="A400" s="381" t="s">
        <v>2697</v>
      </c>
      <c r="B400" s="381" t="s">
        <v>154</v>
      </c>
      <c r="C400" s="0" t="n">
        <f aca="false">COUNTIF($E$2:$E$413,A400)</f>
        <v>0</v>
      </c>
      <c r="E400" s="0" t="n">
        <f aca="false">'0.1.2 Attack Dex (GO)'!A400</f>
        <v>0</v>
      </c>
      <c r="F400" s="0" t="n">
        <f aca="false">IFERROR(INDEX($A$2:$A$413, SMALL(IF(0=$C$2:$C$413, ROW($C$2:$C$413)-ROW($C$2)+1), ROW(399:399))),)</f>
        <v>0</v>
      </c>
    </row>
    <row r="401" customFormat="false" ht="15.75" hidden="false" customHeight="false" outlineLevel="0" collapsed="false">
      <c r="A401" s="381" t="s">
        <v>2660</v>
      </c>
      <c r="B401" s="381" t="s">
        <v>154</v>
      </c>
      <c r="C401" s="0" t="n">
        <f aca="false">COUNTIF($E$2:$E$413,A401)</f>
        <v>0</v>
      </c>
      <c r="E401" s="0" t="n">
        <f aca="false">'0.1.2 Attack Dex (GO)'!A401</f>
        <v>0</v>
      </c>
      <c r="F401" s="0" t="n">
        <f aca="false">IFERROR(INDEX($A$2:$A$413, SMALL(IF(0=$C$2:$C$413, ROW($C$2:$C$413)-ROW($C$2)+1), ROW(400:400))),)</f>
        <v>0</v>
      </c>
    </row>
    <row r="402" customFormat="false" ht="15.75" hidden="false" customHeight="false" outlineLevel="0" collapsed="false">
      <c r="A402" s="381" t="s">
        <v>2425</v>
      </c>
      <c r="B402" s="381" t="s">
        <v>154</v>
      </c>
      <c r="C402" s="0" t="n">
        <f aca="false">COUNTIF($E$2:$E$413,A402)</f>
        <v>1</v>
      </c>
      <c r="E402" s="0" t="n">
        <f aca="false">'0.1.2 Attack Dex (GO)'!A402</f>
        <v>0</v>
      </c>
      <c r="F402" s="0" t="n">
        <f aca="false">IFERROR(INDEX($A$2:$A$413, SMALL(IF(0=$C$2:$C$413, ROW($C$2:$C$413)-ROW($C$2)+1), ROW(401:401))),)</f>
        <v>0</v>
      </c>
    </row>
    <row r="403" customFormat="false" ht="15.75" hidden="false" customHeight="false" outlineLevel="0" collapsed="false">
      <c r="A403" s="381" t="s">
        <v>2650</v>
      </c>
      <c r="B403" s="381" t="s">
        <v>144</v>
      </c>
      <c r="C403" s="0" t="n">
        <f aca="false">COUNTIF($E$2:$E$413,A403)</f>
        <v>0</v>
      </c>
      <c r="E403" s="0" t="n">
        <f aca="false">'0.1.2 Attack Dex (GO)'!A403</f>
        <v>0</v>
      </c>
      <c r="F403" s="0" t="n">
        <f aca="false">IFERROR(INDEX($A$2:$A$413, SMALL(IF(0=$C$2:$C$413, ROW($C$2:$C$413)-ROW($C$2)+1), ROW(402:402))),)</f>
        <v>0</v>
      </c>
    </row>
    <row r="404" customFormat="false" ht="15.75" hidden="false" customHeight="false" outlineLevel="0" collapsed="false">
      <c r="A404" s="381" t="s">
        <v>2429</v>
      </c>
      <c r="B404" s="381" t="s">
        <v>154</v>
      </c>
      <c r="C404" s="0" t="n">
        <f aca="false">COUNTIF($E$2:$E$413,A404)</f>
        <v>0</v>
      </c>
      <c r="E404" s="0" t="n">
        <f aca="false">'0.1.2 Attack Dex (GO)'!A404</f>
        <v>0</v>
      </c>
      <c r="F404" s="0" t="n">
        <f aca="false">IFERROR(INDEX($A$2:$A$413, SMALL(IF(0=$C$2:$C$413, ROW($C$2:$C$413)-ROW($C$2)+1), ROW(403:403))),)</f>
        <v>0</v>
      </c>
    </row>
    <row r="405" customFormat="false" ht="15.75" hidden="false" customHeight="false" outlineLevel="0" collapsed="false">
      <c r="A405" s="381" t="s">
        <v>2477</v>
      </c>
      <c r="B405" s="381" t="s">
        <v>156</v>
      </c>
      <c r="C405" s="0" t="n">
        <f aca="false">COUNTIF($E$2:$E$413,A405)</f>
        <v>1</v>
      </c>
      <c r="E405" s="0" t="n">
        <f aca="false">'0.1.2 Attack Dex (GO)'!A405</f>
        <v>0</v>
      </c>
      <c r="F405" s="0" t="n">
        <f aca="false">IFERROR(INDEX($A$2:$A$413, SMALL(IF(0=$C$2:$C$413, ROW($C$2:$C$413)-ROW($C$2)+1), ROW(404:404))),)</f>
        <v>0</v>
      </c>
    </row>
    <row r="406" customFormat="false" ht="15.75" hidden="false" customHeight="false" outlineLevel="0" collapsed="false">
      <c r="A406" s="381" t="s">
        <v>2401</v>
      </c>
      <c r="B406" s="381" t="s">
        <v>146</v>
      </c>
      <c r="C406" s="0" t="n">
        <f aca="false">COUNTIF($E$2:$E$413,A406)</f>
        <v>1</v>
      </c>
      <c r="E406" s="0" t="n">
        <f aca="false">'0.1.2 Attack Dex (GO)'!A406</f>
        <v>0</v>
      </c>
      <c r="F406" s="0" t="n">
        <f aca="false">IFERROR(INDEX($A$2:$A$413, SMALL(IF(0=$C$2:$C$413, ROW($C$2:$C$413)-ROW($C$2)+1), ROW(405:405))),)</f>
        <v>0</v>
      </c>
    </row>
    <row r="407" customFormat="false" ht="15.75" hidden="false" customHeight="false" outlineLevel="0" collapsed="false">
      <c r="A407" s="381" t="s">
        <v>2599</v>
      </c>
      <c r="B407" s="381" t="s">
        <v>155</v>
      </c>
      <c r="C407" s="0" t="n">
        <f aca="false">COUNTIF($E$2:$E$413,A407)</f>
        <v>0</v>
      </c>
      <c r="E407" s="0" t="n">
        <f aca="false">'0.1.2 Attack Dex (GO)'!A407</f>
        <v>0</v>
      </c>
      <c r="F407" s="0" t="n">
        <f aca="false">IFERROR(INDEX($A$2:$A$413, SMALL(IF(0=$C$2:$C$413, ROW($C$2:$C$413)-ROW($C$2)+1), ROW(406:406))),)</f>
        <v>0</v>
      </c>
    </row>
    <row r="408" customFormat="false" ht="15.75" hidden="false" customHeight="false" outlineLevel="0" collapsed="false">
      <c r="A408" s="381" t="s">
        <v>2489</v>
      </c>
      <c r="B408" s="381" t="s">
        <v>144</v>
      </c>
      <c r="C408" s="0" t="n">
        <f aca="false">COUNTIF($E$2:$E$413,A408)</f>
        <v>1</v>
      </c>
      <c r="E408" s="0" t="n">
        <f aca="false">'0.1.2 Attack Dex (GO)'!A408</f>
        <v>0</v>
      </c>
      <c r="F408" s="0" t="n">
        <f aca="false">IFERROR(INDEX($A$2:$A$413, SMALL(IF(0=$C$2:$C$413, ROW($C$2:$C$413)-ROW($C$2)+1), ROW(407:407))),)</f>
        <v>0</v>
      </c>
    </row>
    <row r="409" customFormat="false" ht="15.75" hidden="false" customHeight="false" outlineLevel="0" collapsed="false">
      <c r="A409" s="381" t="s">
        <v>2458</v>
      </c>
      <c r="B409" s="381" t="s">
        <v>150</v>
      </c>
      <c r="C409" s="0" t="n">
        <f aca="false">COUNTIF($E$2:$E$413,A409)</f>
        <v>1</v>
      </c>
      <c r="E409" s="0" t="n">
        <f aca="false">'0.1.2 Attack Dex (GO)'!A409</f>
        <v>0</v>
      </c>
      <c r="F409" s="0" t="n">
        <f aca="false">IFERROR(INDEX($A$2:$A$413, SMALL(IF(0=$C$2:$C$413, ROW($C$2:$C$413)-ROW($C$2)+1), ROW(408:408))),)</f>
        <v>0</v>
      </c>
    </row>
    <row r="410" customFormat="false" ht="15.75" hidden="false" customHeight="false" outlineLevel="0" collapsed="false">
      <c r="A410" s="381" t="s">
        <v>2572</v>
      </c>
      <c r="B410" s="381" t="s">
        <v>144</v>
      </c>
      <c r="C410" s="0" t="n">
        <f aca="false">COUNTIF($E$2:$E$413,A410)</f>
        <v>1</v>
      </c>
      <c r="E410" s="0" t="n">
        <f aca="false">'0.1.2 Attack Dex (GO)'!A410</f>
        <v>0</v>
      </c>
      <c r="F410" s="0" t="n">
        <f aca="false">IFERROR(INDEX($A$2:$A$413, SMALL(IF(0=$C$2:$C$413, ROW($C$2:$C$413)-ROW($C$2)+1), ROW(409:409))),)</f>
        <v>0</v>
      </c>
    </row>
    <row r="411" customFormat="false" ht="15.75" hidden="false" customHeight="false" outlineLevel="0" collapsed="false">
      <c r="A411" s="381" t="s">
        <v>2493</v>
      </c>
      <c r="B411" s="381" t="s">
        <v>156</v>
      </c>
      <c r="C411" s="0" t="n">
        <f aca="false">COUNTIF($E$2:$E$413,A411)</f>
        <v>1</v>
      </c>
      <c r="E411" s="0" t="n">
        <f aca="false">'0.1.2 Attack Dex (GO)'!A411</f>
        <v>0</v>
      </c>
      <c r="F411" s="0" t="n">
        <f aca="false">IFERROR(INDEX($A$2:$A$413, SMALL(IF(0=$C$2:$C$413, ROW($C$2:$C$413)-ROW($C$2)+1), ROW(410:410))),)</f>
        <v>0</v>
      </c>
    </row>
    <row r="412" customFormat="false" ht="15.75" hidden="false" customHeight="false" outlineLevel="0" collapsed="false">
      <c r="A412" s="381" t="s">
        <v>2430</v>
      </c>
      <c r="B412" s="381" t="s">
        <v>157</v>
      </c>
      <c r="C412" s="0" t="n">
        <f aca="false">COUNTIF($E$2:$E$413,A412)</f>
        <v>1</v>
      </c>
      <c r="E412" s="0" t="n">
        <f aca="false">'0.1.2 Attack Dex (GO)'!A412</f>
        <v>0</v>
      </c>
      <c r="F412" s="0" t="n">
        <f aca="false">IFERROR(INDEX($A$2:$A$413, SMALL(IF(0=$C$2:$C$413, ROW($C$2:$C$413)-ROW($C$2)+1), ROW(411:411))),)</f>
        <v>0</v>
      </c>
    </row>
    <row r="413" customFormat="false" ht="15.75" hidden="false" customHeight="false" outlineLevel="0" collapsed="false">
      <c r="A413" s="381" t="s">
        <v>2737</v>
      </c>
      <c r="B413" s="381" t="s">
        <v>156</v>
      </c>
      <c r="C413" s="0" t="n">
        <f aca="false">COUNTIF($E$2:$E$413,A413)</f>
        <v>0</v>
      </c>
      <c r="E413" s="0" t="n">
        <f aca="false">'0.1.2 Attack Dex (GO)'!A413</f>
        <v>0</v>
      </c>
      <c r="F413" s="0" t="n">
        <f aca="false">IFERROR(INDEX($A$2:$A$413, SMALL(IF(0=$C$2:$C$413, ROW($C$2:$C$413)-ROW($C$2)+1), ROW(412:412))),)</f>
        <v>0</v>
      </c>
    </row>
    <row r="414" customFormat="false" ht="15.75" hidden="false" customHeight="false" outlineLevel="0" collapsed="false">
      <c r="A414" s="381" t="s">
        <v>2620</v>
      </c>
      <c r="B414" s="381" t="s">
        <v>144</v>
      </c>
      <c r="C414" s="0" t="n">
        <f aca="false">COUNTIF($E$2:$E$413,A414)</f>
        <v>1</v>
      </c>
      <c r="F414" s="0" t="n">
        <f aca="false">IFERROR(INDEX($A$2:$A$413, SMALL(IF(0=$C$2:$C$413, ROW($C$2:$C$413)-ROW($C$2)+1), ROW(413:413))),)</f>
        <v>0</v>
      </c>
    </row>
    <row r="415" customFormat="false" ht="15.75" hidden="false" customHeight="false" outlineLevel="0" collapsed="false">
      <c r="A415" s="381" t="s">
        <v>2325</v>
      </c>
      <c r="B415" s="381" t="s">
        <v>155</v>
      </c>
      <c r="C415" s="0" t="n">
        <f aca="false">COUNTIF($E$2:$E$413,A415)</f>
        <v>1</v>
      </c>
      <c r="F415" s="0" t="n">
        <f aca="false">IFERROR(INDEX($A$2:$A$413, SMALL(IF(0=$C$2:$C$413, ROW($C$2:$C$413)-ROW($C$2)+1), ROW(414:414))),)</f>
        <v>0</v>
      </c>
    </row>
    <row r="416" customFormat="false" ht="15.75" hidden="false" customHeight="false" outlineLevel="0" collapsed="false">
      <c r="A416" s="381" t="s">
        <v>2412</v>
      </c>
      <c r="B416" s="381" t="s">
        <v>152</v>
      </c>
      <c r="C416" s="0" t="n">
        <f aca="false">COUNTIF($E$2:$E$413,A416)</f>
        <v>1</v>
      </c>
      <c r="F416" s="0" t="n">
        <f aca="false">IFERROR(INDEX($A$2:$A$413, SMALL(IF(0=$C$2:$C$413, ROW($C$2:$C$413)-ROW($C$2)+1), ROW(415:415))),)</f>
        <v>0</v>
      </c>
    </row>
    <row r="417" customFormat="false" ht="15.75" hidden="false" customHeight="false" outlineLevel="0" collapsed="false">
      <c r="A417" s="381" t="s">
        <v>2563</v>
      </c>
      <c r="B417" s="381" t="s">
        <v>152</v>
      </c>
      <c r="C417" s="0" t="n">
        <f aca="false">COUNTIF($E$2:$E$413,A417)</f>
        <v>1</v>
      </c>
      <c r="F417" s="0" t="n">
        <f aca="false">IFERROR(INDEX($A$2:$A$413, SMALL(IF(0=$C$2:$C$413, ROW($C$2:$C$413)-ROW($C$2)+1), ROW(416:416))),)</f>
        <v>0</v>
      </c>
    </row>
    <row r="418" customFormat="false" ht="15.75" hidden="false" customHeight="false" outlineLevel="0" collapsed="false">
      <c r="A418" s="381" t="s">
        <v>2539</v>
      </c>
      <c r="B418" s="381" t="s">
        <v>145</v>
      </c>
      <c r="C418" s="0" t="n">
        <f aca="false">COUNTIF($E$2:$E$413,A418)</f>
        <v>1</v>
      </c>
      <c r="F418" s="0" t="n">
        <f aca="false">IFERROR(INDEX($A$2:$A$413, SMALL(IF(0=$C$2:$C$413, ROW($C$2:$C$413)-ROW($C$2)+1), ROW(417:417))),)</f>
        <v>0</v>
      </c>
    </row>
    <row r="419" customFormat="false" ht="15.75" hidden="false" customHeight="false" outlineLevel="0" collapsed="false">
      <c r="A419" s="381" t="s">
        <v>2337</v>
      </c>
      <c r="B419" s="381" t="s">
        <v>144</v>
      </c>
      <c r="C419" s="0" t="n">
        <f aca="false">COUNTIF($E$2:$E$413,A419)</f>
        <v>1</v>
      </c>
      <c r="F419" s="0" t="n">
        <f aca="false">IFERROR(INDEX($A$2:$A$413, SMALL(IF(0=$C$2:$C$413, ROW($C$2:$C$413)-ROW($C$2)+1), ROW(418:418))),)</f>
        <v>0</v>
      </c>
    </row>
    <row r="420" customFormat="false" ht="15.75" hidden="false" customHeight="false" outlineLevel="0" collapsed="false">
      <c r="A420" s="381" t="s">
        <v>2643</v>
      </c>
      <c r="B420" s="381" t="s">
        <v>144</v>
      </c>
      <c r="C420" s="0" t="n">
        <f aca="false">COUNTIF($E$2:$E$413,A420)</f>
        <v>1</v>
      </c>
      <c r="F420" s="0" t="n">
        <f aca="false">IFERROR(INDEX($A$2:$A$413, SMALL(IF(0=$C$2:$C$413, ROW($C$2:$C$413)-ROW($C$2)+1), ROW(419:419))),)</f>
        <v>0</v>
      </c>
    </row>
    <row r="421" customFormat="false" ht="15.75" hidden="false" customHeight="false" outlineLevel="0" collapsed="false">
      <c r="A421" s="381" t="s">
        <v>2777</v>
      </c>
      <c r="B421" s="381" t="s">
        <v>144</v>
      </c>
      <c r="F421" s="0" t="n">
        <f aca="false">IFERROR(INDEX($A$2:$A$413, SMALL(IF(0=$C$2:$C$413, ROW($C$2:$C$413)-ROW($C$2)+1), ROW(420:420))),)</f>
        <v>0</v>
      </c>
    </row>
    <row r="422" customFormat="false" ht="15.75" hidden="false" customHeight="false" outlineLevel="0" collapsed="false">
      <c r="A422" s="381"/>
      <c r="B422" s="381"/>
      <c r="F422" s="0" t="n">
        <f aca="false">IFERROR(INDEX($A$2:$A$413, SMALL(IF(0=$C$2:$C$413, ROW($C$2:$C$413)-ROW($C$2)+1), ROW(421:421))),)</f>
        <v>0</v>
      </c>
    </row>
    <row r="423" customFormat="false" ht="15.75" hidden="false" customHeight="false" outlineLevel="0" collapsed="false">
      <c r="A423" s="381"/>
      <c r="B423" s="381"/>
      <c r="F423" s="0" t="n">
        <f aca="false">IFERROR(INDEX($A$2:$A$413, SMALL(IF(0=$C$2:$C$413, ROW($C$2:$C$413)-ROW($C$2)+1), ROW(422:422))),)</f>
        <v>0</v>
      </c>
    </row>
    <row r="424" customFormat="false" ht="15.75" hidden="false" customHeight="false" outlineLevel="0" collapsed="false">
      <c r="A424" s="381"/>
      <c r="B424" s="381"/>
      <c r="F424" s="0" t="n">
        <f aca="false">IFERROR(INDEX($A$2:$A$413, SMALL(IF(0=$C$2:$C$413, ROW($C$2:$C$413)-ROW($C$2)+1), ROW(423:423))),)</f>
        <v>0</v>
      </c>
    </row>
    <row r="1048576" customFormat="false" ht="15.75" hidden="false" customHeight="true" outlineLevel="0" collapsed="false"/>
  </sheetData>
  <autoFilter ref="A1:F1000"/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4.43"/>
  </cols>
  <sheetData>
    <row r="1" customFormat="false" ht="15.75" hidden="false" customHeight="false" outlineLevel="0" collapsed="false">
      <c r="A1" s="374" t="s">
        <v>2788</v>
      </c>
      <c r="B1" s="374" t="s">
        <v>2789</v>
      </c>
      <c r="C1" s="374" t="s">
        <v>2790</v>
      </c>
      <c r="D1" s="374" t="s">
        <v>2791</v>
      </c>
      <c r="E1" s="374"/>
      <c r="F1" s="374"/>
      <c r="G1" s="374"/>
      <c r="H1" s="374"/>
      <c r="I1" s="374"/>
      <c r="J1" s="374" t="s">
        <v>2792</v>
      </c>
      <c r="K1" s="260" t="s">
        <v>214</v>
      </c>
    </row>
    <row r="2" customFormat="false" ht="15.75" hidden="false" customHeight="false" outlineLevel="0" collapsed="false">
      <c r="A2" s="376" t="n">
        <v>1</v>
      </c>
      <c r="B2" s="376" t="n">
        <v>0.094</v>
      </c>
      <c r="C2" s="376" t="n">
        <v>0</v>
      </c>
      <c r="D2" s="376" t="n">
        <v>0</v>
      </c>
      <c r="E2" s="374"/>
      <c r="F2" s="374" t="s">
        <v>2793</v>
      </c>
      <c r="G2" s="376" t="n">
        <v>0.5974</v>
      </c>
      <c r="H2" s="374" t="n">
        <v>600</v>
      </c>
      <c r="I2" s="374"/>
      <c r="J2" s="374" t="s">
        <v>638</v>
      </c>
      <c r="K2" s="383" t="n">
        <f aca="false">1/1.1</f>
        <v>0.909090909090909</v>
      </c>
    </row>
    <row r="3" customFormat="false" ht="15.75" hidden="false" customHeight="false" outlineLevel="0" collapsed="false">
      <c r="A3" s="376" t="n">
        <v>1.5</v>
      </c>
      <c r="B3" s="376" t="n">
        <v>0.135137432</v>
      </c>
      <c r="C3" s="376" t="n">
        <v>200</v>
      </c>
      <c r="D3" s="376" t="n">
        <v>1</v>
      </c>
      <c r="E3" s="374"/>
      <c r="F3" s="374" t="s">
        <v>2794</v>
      </c>
      <c r="G3" s="376" t="n">
        <v>0.67</v>
      </c>
      <c r="H3" s="374" t="n">
        <v>1800</v>
      </c>
      <c r="I3" s="374"/>
      <c r="J3" s="374" t="s">
        <v>873</v>
      </c>
      <c r="K3" s="383" t="n">
        <f aca="false">1/1.1</f>
        <v>0.909090909090909</v>
      </c>
    </row>
    <row r="4" customFormat="false" ht="15.75" hidden="false" customHeight="false" outlineLevel="0" collapsed="false">
      <c r="A4" s="376" t="n">
        <v>2</v>
      </c>
      <c r="B4" s="376" t="n">
        <v>0.16639787</v>
      </c>
      <c r="C4" s="376" t="n">
        <v>200</v>
      </c>
      <c r="D4" s="376" t="n">
        <v>1</v>
      </c>
      <c r="E4" s="374"/>
      <c r="F4" s="374" t="s">
        <v>2795</v>
      </c>
      <c r="G4" s="376" t="n">
        <v>0.73</v>
      </c>
      <c r="H4" s="374" t="n">
        <v>3000</v>
      </c>
      <c r="I4" s="374"/>
      <c r="J4" s="374" t="s">
        <v>966</v>
      </c>
      <c r="K4" s="383" t="n">
        <f aca="false">1/1.1</f>
        <v>0.909090909090909</v>
      </c>
    </row>
    <row r="5" customFormat="false" ht="15.75" hidden="false" customHeight="false" outlineLevel="0" collapsed="false">
      <c r="A5" s="376" t="n">
        <v>2.5</v>
      </c>
      <c r="B5" s="376" t="n">
        <v>0.192650919</v>
      </c>
      <c r="C5" s="376" t="n">
        <v>200</v>
      </c>
      <c r="D5" s="376" t="n">
        <v>1</v>
      </c>
      <c r="E5" s="374"/>
      <c r="F5" s="374" t="s">
        <v>131</v>
      </c>
      <c r="G5" s="376" t="n">
        <v>0.79</v>
      </c>
      <c r="H5" s="374" t="n">
        <v>7500</v>
      </c>
      <c r="I5" s="374"/>
      <c r="J5" s="374" t="s">
        <v>1208</v>
      </c>
      <c r="K5" s="383" t="n">
        <f aca="false">1/1.1</f>
        <v>0.909090909090909</v>
      </c>
    </row>
    <row r="6" customFormat="false" ht="15.75" hidden="false" customHeight="false" outlineLevel="0" collapsed="false">
      <c r="A6" s="376" t="n">
        <v>3</v>
      </c>
      <c r="B6" s="376" t="n">
        <v>0.21573247</v>
      </c>
      <c r="C6" s="376" t="n">
        <v>200</v>
      </c>
      <c r="D6" s="376" t="n">
        <v>1</v>
      </c>
      <c r="E6" s="374"/>
      <c r="F6" s="374" t="s">
        <v>45</v>
      </c>
      <c r="G6" s="376" t="n">
        <v>0.79</v>
      </c>
      <c r="H6" s="374" t="n">
        <v>12500</v>
      </c>
      <c r="I6" s="374"/>
      <c r="J6" s="374" t="s">
        <v>1213</v>
      </c>
      <c r="K6" s="383" t="n">
        <f aca="false">1/1.1</f>
        <v>0.909090909090909</v>
      </c>
    </row>
    <row r="7" customFormat="false" ht="15.75" hidden="false" customHeight="false" outlineLevel="0" collapsed="false">
      <c r="A7" s="376" t="n">
        <v>3.5</v>
      </c>
      <c r="B7" s="376" t="n">
        <v>0.236572661</v>
      </c>
      <c r="C7" s="376" t="n">
        <v>400</v>
      </c>
      <c r="D7" s="376" t="n">
        <v>1</v>
      </c>
      <c r="E7" s="374"/>
      <c r="F7" s="374"/>
      <c r="G7" s="374"/>
      <c r="H7" s="374"/>
      <c r="I7" s="374"/>
      <c r="J7" s="374" t="s">
        <v>1218</v>
      </c>
      <c r="K7" s="383" t="n">
        <f aca="false">1/1.1</f>
        <v>0.909090909090909</v>
      </c>
    </row>
    <row r="8" customFormat="false" ht="15.75" hidden="false" customHeight="false" outlineLevel="0" collapsed="false">
      <c r="A8" s="376" t="n">
        <v>4</v>
      </c>
      <c r="B8" s="376" t="n">
        <v>0.25572005</v>
      </c>
      <c r="C8" s="376" t="n">
        <v>400</v>
      </c>
      <c r="D8" s="376" t="n">
        <v>1</v>
      </c>
      <c r="E8" s="374"/>
      <c r="F8" s="374"/>
      <c r="G8" s="374"/>
      <c r="H8" s="374"/>
      <c r="I8" s="374"/>
      <c r="J8" s="374" t="s">
        <v>1464</v>
      </c>
      <c r="K8" s="383" t="n">
        <f aca="false">1/1.1</f>
        <v>0.909090909090909</v>
      </c>
    </row>
    <row r="9" customFormat="false" ht="15.75" hidden="false" customHeight="false" outlineLevel="0" collapsed="false">
      <c r="A9" s="376" t="n">
        <v>4.5</v>
      </c>
      <c r="B9" s="376" t="n">
        <v>0.273530381</v>
      </c>
      <c r="C9" s="376" t="n">
        <v>400</v>
      </c>
      <c r="D9" s="376" t="n">
        <v>1</v>
      </c>
      <c r="E9" s="374"/>
      <c r="F9" s="374"/>
      <c r="G9" s="374"/>
      <c r="H9" s="374"/>
      <c r="I9" s="374"/>
      <c r="J9" s="374" t="s">
        <v>1466</v>
      </c>
      <c r="K9" s="383" t="n">
        <f aca="false">1/1.1</f>
        <v>0.909090909090909</v>
      </c>
    </row>
    <row r="10" customFormat="false" ht="15.75" hidden="false" customHeight="false" outlineLevel="0" collapsed="false">
      <c r="A10" s="376" t="n">
        <v>5</v>
      </c>
      <c r="B10" s="376" t="n">
        <v>0.29024988</v>
      </c>
      <c r="C10" s="376" t="n">
        <v>400</v>
      </c>
      <c r="D10" s="376" t="n">
        <v>1</v>
      </c>
      <c r="E10" s="374"/>
      <c r="F10" s="374"/>
      <c r="G10" s="374"/>
      <c r="H10" s="374"/>
      <c r="I10" s="374"/>
      <c r="J10" s="374" t="s">
        <v>1470</v>
      </c>
      <c r="K10" s="383" t="n">
        <f aca="false">1/1.1</f>
        <v>0.909090909090909</v>
      </c>
    </row>
    <row r="11" customFormat="false" ht="15.75" hidden="false" customHeight="false" outlineLevel="0" collapsed="false">
      <c r="A11" s="376" t="n">
        <v>5.5</v>
      </c>
      <c r="B11" s="376" t="n">
        <v>0.306057377</v>
      </c>
      <c r="C11" s="376" t="n">
        <v>600</v>
      </c>
      <c r="D11" s="376" t="n">
        <v>1</v>
      </c>
      <c r="E11" s="374"/>
      <c r="F11" s="374"/>
      <c r="G11" s="374"/>
      <c r="H11" s="374"/>
      <c r="I11" s="374"/>
      <c r="J11" s="374" t="s">
        <v>1494</v>
      </c>
      <c r="K11" s="383" t="n">
        <f aca="false">1/1.1</f>
        <v>0.909090909090909</v>
      </c>
    </row>
    <row r="12" customFormat="false" ht="15.75" hidden="false" customHeight="false" outlineLevel="0" collapsed="false">
      <c r="A12" s="376" t="n">
        <v>6</v>
      </c>
      <c r="B12" s="376" t="n">
        <v>0.3210876</v>
      </c>
      <c r="C12" s="376" t="n">
        <v>600</v>
      </c>
      <c r="D12" s="376" t="n">
        <v>1</v>
      </c>
      <c r="E12" s="374"/>
      <c r="F12" s="374"/>
      <c r="G12" s="374"/>
      <c r="H12" s="374"/>
      <c r="I12" s="374"/>
      <c r="J12" s="374" t="s">
        <v>1845</v>
      </c>
      <c r="K12" s="383" t="n">
        <f aca="false">1/1.1</f>
        <v>0.909090909090909</v>
      </c>
    </row>
    <row r="13" customFormat="false" ht="15.75" hidden="false" customHeight="false" outlineLevel="0" collapsed="false">
      <c r="A13" s="376" t="n">
        <v>6.5</v>
      </c>
      <c r="B13" s="376" t="n">
        <v>0.335445036</v>
      </c>
      <c r="C13" s="376" t="n">
        <v>600</v>
      </c>
      <c r="D13" s="376" t="n">
        <v>1</v>
      </c>
      <c r="E13" s="374"/>
      <c r="F13" s="374"/>
      <c r="G13" s="374"/>
      <c r="H13" s="374"/>
      <c r="I13" s="374"/>
      <c r="J13" s="374" t="s">
        <v>1847</v>
      </c>
      <c r="K13" s="383" t="n">
        <f aca="false">1/1.1</f>
        <v>0.909090909090909</v>
      </c>
    </row>
    <row r="14" customFormat="false" ht="15.75" hidden="false" customHeight="false" outlineLevel="0" collapsed="false">
      <c r="A14" s="376" t="n">
        <v>7</v>
      </c>
      <c r="B14" s="376" t="n">
        <v>0.34921268</v>
      </c>
      <c r="C14" s="376" t="n">
        <v>600</v>
      </c>
      <c r="D14" s="376" t="n">
        <v>1</v>
      </c>
      <c r="E14" s="374"/>
      <c r="F14" s="374"/>
      <c r="G14" s="374"/>
      <c r="H14" s="374"/>
      <c r="I14" s="374"/>
      <c r="J14" s="374" t="s">
        <v>1853</v>
      </c>
      <c r="K14" s="383" t="n">
        <f aca="false">1/1.1</f>
        <v>0.909090909090909</v>
      </c>
    </row>
    <row r="15" customFormat="false" ht="15.75" hidden="false" customHeight="false" outlineLevel="0" collapsed="false">
      <c r="A15" s="376" t="n">
        <v>7.5</v>
      </c>
      <c r="B15" s="376" t="n">
        <v>0.362457751</v>
      </c>
      <c r="C15" s="376" t="n">
        <v>800</v>
      </c>
      <c r="D15" s="376" t="n">
        <v>1</v>
      </c>
      <c r="E15" s="374"/>
      <c r="F15" s="374"/>
      <c r="G15" s="374"/>
      <c r="H15" s="374"/>
      <c r="I15" s="374"/>
      <c r="J15" s="374" t="s">
        <v>2035</v>
      </c>
      <c r="K15" s="383" t="n">
        <f aca="false">1/1.1</f>
        <v>0.909090909090909</v>
      </c>
    </row>
    <row r="16" customFormat="false" ht="15.75" hidden="false" customHeight="false" outlineLevel="0" collapsed="false">
      <c r="A16" s="376" t="n">
        <v>8</v>
      </c>
      <c r="B16" s="376" t="n">
        <v>0.37523559</v>
      </c>
      <c r="C16" s="376" t="n">
        <v>800</v>
      </c>
      <c r="D16" s="376" t="n">
        <v>1</v>
      </c>
      <c r="E16" s="374"/>
      <c r="F16" s="374"/>
      <c r="G16" s="374"/>
      <c r="H16" s="374"/>
      <c r="I16" s="374"/>
      <c r="J16" s="374" t="s">
        <v>2037</v>
      </c>
      <c r="K16" s="383" t="n">
        <f aca="false">1/1.1</f>
        <v>0.909090909090909</v>
      </c>
    </row>
    <row r="17" customFormat="false" ht="15.75" hidden="false" customHeight="false" outlineLevel="0" collapsed="false">
      <c r="A17" s="376" t="n">
        <v>8.5</v>
      </c>
      <c r="B17" s="376" t="n">
        <v>0.387592406</v>
      </c>
      <c r="C17" s="376" t="n">
        <v>800</v>
      </c>
      <c r="D17" s="376" t="n">
        <v>1</v>
      </c>
      <c r="E17" s="374"/>
      <c r="F17" s="374"/>
      <c r="G17" s="374"/>
      <c r="H17" s="374"/>
      <c r="I17" s="374"/>
      <c r="J17" s="374" t="s">
        <v>2054</v>
      </c>
      <c r="K17" s="383" t="n">
        <f aca="false">1/1.1</f>
        <v>0.909090909090909</v>
      </c>
    </row>
    <row r="18" customFormat="false" ht="15.75" hidden="false" customHeight="false" outlineLevel="0" collapsed="false">
      <c r="A18" s="376" t="n">
        <v>9</v>
      </c>
      <c r="B18" s="376" t="n">
        <v>0.39956728</v>
      </c>
      <c r="C18" s="376" t="n">
        <v>800</v>
      </c>
      <c r="D18" s="376" t="n">
        <v>1</v>
      </c>
      <c r="E18" s="374"/>
      <c r="F18" s="374"/>
      <c r="G18" s="374"/>
      <c r="H18" s="374"/>
      <c r="I18" s="374"/>
      <c r="J18" s="374" t="s">
        <v>2262</v>
      </c>
      <c r="K18" s="383" t="n">
        <f aca="false">1/1.1</f>
        <v>0.909090909090909</v>
      </c>
    </row>
    <row r="19" customFormat="false" ht="15.75" hidden="false" customHeight="false" outlineLevel="0" collapsed="false">
      <c r="A19" s="376" t="n">
        <v>9.5</v>
      </c>
      <c r="B19" s="376" t="n">
        <v>0.411193551</v>
      </c>
      <c r="C19" s="376" t="n">
        <v>1000</v>
      </c>
      <c r="D19" s="376" t="n">
        <v>1</v>
      </c>
      <c r="E19" s="374"/>
      <c r="F19" s="374"/>
      <c r="G19" s="374"/>
      <c r="H19" s="374"/>
      <c r="I19" s="374"/>
      <c r="J19" s="374" t="s">
        <v>2264</v>
      </c>
      <c r="K19" s="383" t="n">
        <f aca="false">1/1.1</f>
        <v>0.909090909090909</v>
      </c>
    </row>
    <row r="20" customFormat="false" ht="15.75" hidden="false" customHeight="false" outlineLevel="0" collapsed="false">
      <c r="A20" s="376" t="n">
        <v>10</v>
      </c>
      <c r="B20" s="376" t="n">
        <v>0.42250001</v>
      </c>
      <c r="C20" s="376" t="n">
        <v>1000</v>
      </c>
      <c r="D20" s="376" t="n">
        <v>1</v>
      </c>
      <c r="E20" s="374"/>
      <c r="F20" s="374"/>
      <c r="G20" s="374"/>
      <c r="H20" s="374"/>
      <c r="I20" s="374"/>
      <c r="J20" s="374" t="s">
        <v>2266</v>
      </c>
      <c r="K20" s="383" t="n">
        <f aca="false">1/1.1</f>
        <v>0.909090909090909</v>
      </c>
    </row>
    <row r="21" customFormat="false" ht="15.75" hidden="false" customHeight="false" outlineLevel="0" collapsed="false">
      <c r="A21" s="376" t="n">
        <v>10.5</v>
      </c>
      <c r="B21" s="376" t="n">
        <v>0.432926419</v>
      </c>
      <c r="C21" s="376" t="n">
        <v>1000</v>
      </c>
      <c r="D21" s="376" t="n">
        <v>1</v>
      </c>
      <c r="E21" s="374"/>
      <c r="F21" s="374"/>
      <c r="G21" s="374"/>
      <c r="H21" s="374"/>
      <c r="I21" s="374"/>
      <c r="J21" s="374" t="s">
        <v>2269</v>
      </c>
      <c r="K21" s="383" t="n">
        <f aca="false">1/1.1</f>
        <v>0.909090909090909</v>
      </c>
    </row>
    <row r="22" customFormat="false" ht="15.75" hidden="false" customHeight="false" outlineLevel="0" collapsed="false">
      <c r="A22" s="376" t="n">
        <v>11</v>
      </c>
      <c r="B22" s="376" t="n">
        <v>0.44310755</v>
      </c>
      <c r="C22" s="376" t="n">
        <v>1000</v>
      </c>
      <c r="D22" s="376" t="n">
        <v>1</v>
      </c>
      <c r="E22" s="374"/>
      <c r="F22" s="374"/>
      <c r="G22" s="374"/>
      <c r="H22" s="374"/>
      <c r="I22" s="374"/>
      <c r="J22" s="374" t="s">
        <v>2277</v>
      </c>
      <c r="K22" s="383" t="n">
        <f aca="false">1/1.1</f>
        <v>0.909090909090909</v>
      </c>
    </row>
    <row r="23" customFormat="false" ht="15.75" hidden="false" customHeight="false" outlineLevel="0" collapsed="false">
      <c r="A23" s="376" t="n">
        <v>11.5</v>
      </c>
      <c r="B23" s="376" t="n">
        <v>0.4530599578</v>
      </c>
      <c r="C23" s="376" t="n">
        <v>1300</v>
      </c>
      <c r="D23" s="376" t="n">
        <v>2</v>
      </c>
      <c r="E23" s="374"/>
      <c r="F23" s="374"/>
      <c r="G23" s="374"/>
      <c r="H23" s="374"/>
      <c r="I23" s="374"/>
      <c r="J23" s="374" t="s">
        <v>2281</v>
      </c>
      <c r="K23" s="383" t="n">
        <f aca="false">1/1.1</f>
        <v>0.909090909090909</v>
      </c>
    </row>
    <row r="24" customFormat="false" ht="15.75" hidden="false" customHeight="false" outlineLevel="0" collapsed="false">
      <c r="A24" s="376" t="n">
        <v>12</v>
      </c>
      <c r="B24" s="376" t="n">
        <v>0.46279839</v>
      </c>
      <c r="C24" s="376" t="n">
        <v>1300</v>
      </c>
      <c r="D24" s="376" t="n">
        <v>2</v>
      </c>
      <c r="E24" s="374"/>
      <c r="F24" s="374"/>
      <c r="G24" s="374"/>
      <c r="H24" s="374"/>
      <c r="I24" s="374"/>
      <c r="J24" s="374" t="s">
        <v>1472</v>
      </c>
      <c r="K24" s="383" t="n">
        <f aca="false">1/1.1</f>
        <v>0.909090909090909</v>
      </c>
    </row>
    <row r="25" customFormat="false" ht="15.75" hidden="false" customHeight="false" outlineLevel="0" collapsed="false">
      <c r="A25" s="376" t="n">
        <v>12.5</v>
      </c>
      <c r="B25" s="376" t="n">
        <v>0.472336083</v>
      </c>
      <c r="C25" s="376" t="n">
        <v>1300</v>
      </c>
      <c r="D25" s="376" t="n">
        <v>2</v>
      </c>
      <c r="E25" s="374"/>
      <c r="F25" s="374"/>
      <c r="G25" s="374"/>
      <c r="H25" s="374"/>
      <c r="I25" s="374"/>
      <c r="J25" s="374"/>
    </row>
    <row r="26" customFormat="false" ht="15.75" hidden="false" customHeight="false" outlineLevel="0" collapsed="false">
      <c r="A26" s="376" t="n">
        <v>13</v>
      </c>
      <c r="B26" s="376" t="n">
        <v>0.48168495</v>
      </c>
      <c r="C26" s="376" t="n">
        <v>1300</v>
      </c>
      <c r="D26" s="376" t="n">
        <v>2</v>
      </c>
      <c r="E26" s="374"/>
      <c r="F26" s="374"/>
      <c r="G26" s="374"/>
      <c r="H26" s="374"/>
      <c r="I26" s="374"/>
      <c r="J26" s="374"/>
    </row>
    <row r="27" customFormat="false" ht="15.75" hidden="false" customHeight="false" outlineLevel="0" collapsed="false">
      <c r="A27" s="376" t="n">
        <v>13.5</v>
      </c>
      <c r="B27" s="376" t="n">
        <v>0.4908558</v>
      </c>
      <c r="C27" s="376" t="n">
        <v>1600</v>
      </c>
      <c r="D27" s="376" t="n">
        <v>2</v>
      </c>
      <c r="E27" s="374"/>
      <c r="F27" s="374"/>
      <c r="G27" s="374"/>
      <c r="H27" s="374"/>
      <c r="I27" s="374"/>
      <c r="J27" s="374"/>
    </row>
    <row r="28" customFormat="false" ht="15.75" hidden="false" customHeight="false" outlineLevel="0" collapsed="false">
      <c r="A28" s="376" t="n">
        <v>14</v>
      </c>
      <c r="B28" s="376" t="n">
        <v>0.49985844</v>
      </c>
      <c r="C28" s="376" t="n">
        <v>1600</v>
      </c>
      <c r="D28" s="376" t="n">
        <v>2</v>
      </c>
      <c r="E28" s="374"/>
      <c r="F28" s="374"/>
      <c r="G28" s="374"/>
      <c r="H28" s="374"/>
      <c r="I28" s="374"/>
      <c r="J28" s="374"/>
    </row>
    <row r="29" customFormat="false" ht="15.75" hidden="false" customHeight="false" outlineLevel="0" collapsed="false">
      <c r="A29" s="376" t="n">
        <v>14.5</v>
      </c>
      <c r="B29" s="376" t="n">
        <v>0.508701765</v>
      </c>
      <c r="C29" s="376" t="n">
        <v>1600</v>
      </c>
      <c r="D29" s="376" t="n">
        <v>2</v>
      </c>
      <c r="E29" s="374"/>
      <c r="F29" s="374"/>
      <c r="G29" s="374"/>
      <c r="H29" s="374"/>
      <c r="I29" s="374"/>
      <c r="J29" s="374"/>
    </row>
    <row r="30" customFormat="false" ht="15.75" hidden="false" customHeight="false" outlineLevel="0" collapsed="false">
      <c r="A30" s="376" t="n">
        <v>15</v>
      </c>
      <c r="B30" s="376" t="n">
        <v>0.51739395</v>
      </c>
      <c r="C30" s="376" t="n">
        <v>1600</v>
      </c>
      <c r="D30" s="376" t="n">
        <v>2</v>
      </c>
      <c r="E30" s="374"/>
      <c r="F30" s="374"/>
      <c r="G30" s="374"/>
      <c r="H30" s="374"/>
      <c r="I30" s="374"/>
      <c r="J30" s="374"/>
    </row>
    <row r="31" customFormat="false" ht="15.75" hidden="false" customHeight="false" outlineLevel="0" collapsed="false">
      <c r="A31" s="376" t="n">
        <v>15.5</v>
      </c>
      <c r="B31" s="376" t="n">
        <v>0.525942511</v>
      </c>
      <c r="C31" s="376" t="n">
        <v>1900</v>
      </c>
      <c r="D31" s="376" t="n">
        <v>2</v>
      </c>
      <c r="E31" s="374"/>
      <c r="F31" s="374"/>
      <c r="G31" s="374"/>
      <c r="H31" s="374"/>
      <c r="I31" s="374"/>
      <c r="J31" s="374"/>
    </row>
    <row r="32" customFormat="false" ht="15.75" hidden="false" customHeight="false" outlineLevel="0" collapsed="false">
      <c r="A32" s="376" t="n">
        <v>16</v>
      </c>
      <c r="B32" s="376" t="n">
        <v>0.53435433</v>
      </c>
      <c r="C32" s="376" t="n">
        <v>1900</v>
      </c>
      <c r="D32" s="376" t="n">
        <v>2</v>
      </c>
      <c r="E32" s="374"/>
      <c r="F32" s="374"/>
      <c r="G32" s="374"/>
      <c r="H32" s="374"/>
      <c r="I32" s="374"/>
      <c r="J32" s="374"/>
    </row>
    <row r="33" customFormat="false" ht="15.75" hidden="false" customHeight="false" outlineLevel="0" collapsed="false">
      <c r="A33" s="376" t="n">
        <v>16.5</v>
      </c>
      <c r="B33" s="376" t="n">
        <v>0.542635767</v>
      </c>
      <c r="C33" s="376" t="n">
        <v>1900</v>
      </c>
      <c r="D33" s="376" t="n">
        <v>2</v>
      </c>
      <c r="E33" s="374"/>
      <c r="F33" s="374"/>
      <c r="G33" s="374"/>
      <c r="H33" s="374"/>
      <c r="I33" s="374"/>
      <c r="J33" s="374"/>
    </row>
    <row r="34" customFormat="false" ht="15.75" hidden="false" customHeight="false" outlineLevel="0" collapsed="false">
      <c r="A34" s="376" t="n">
        <v>17</v>
      </c>
      <c r="B34" s="376" t="n">
        <v>0.55079269</v>
      </c>
      <c r="C34" s="376" t="n">
        <v>1900</v>
      </c>
      <c r="D34" s="376" t="n">
        <v>2</v>
      </c>
      <c r="E34" s="374"/>
      <c r="F34" s="374"/>
      <c r="G34" s="374"/>
      <c r="H34" s="374"/>
      <c r="I34" s="374"/>
      <c r="J34" s="374"/>
    </row>
    <row r="35" customFormat="false" ht="15.75" hidden="false" customHeight="false" outlineLevel="0" collapsed="false">
      <c r="A35" s="376" t="n">
        <v>17.5</v>
      </c>
      <c r="B35" s="376" t="n">
        <v>0.558830576</v>
      </c>
      <c r="C35" s="376" t="n">
        <v>2200</v>
      </c>
      <c r="D35" s="376" t="n">
        <v>2</v>
      </c>
      <c r="E35" s="374"/>
      <c r="F35" s="374"/>
      <c r="G35" s="374"/>
      <c r="H35" s="374"/>
      <c r="I35" s="374"/>
      <c r="J35" s="374"/>
    </row>
    <row r="36" customFormat="false" ht="15.75" hidden="false" customHeight="false" outlineLevel="0" collapsed="false">
      <c r="A36" s="376" t="n">
        <v>18</v>
      </c>
      <c r="B36" s="376" t="n">
        <v>0.56675452</v>
      </c>
      <c r="C36" s="376" t="n">
        <v>2200</v>
      </c>
      <c r="D36" s="376" t="n">
        <v>2</v>
      </c>
      <c r="E36" s="374"/>
      <c r="F36" s="374"/>
      <c r="G36" s="374"/>
      <c r="H36" s="374"/>
      <c r="I36" s="374"/>
      <c r="J36" s="374"/>
    </row>
    <row r="37" customFormat="false" ht="15.75" hidden="false" customHeight="false" outlineLevel="0" collapsed="false">
      <c r="A37" s="376" t="n">
        <v>18.5</v>
      </c>
      <c r="B37" s="376" t="n">
        <v>0.574569153</v>
      </c>
      <c r="C37" s="376" t="n">
        <v>2200</v>
      </c>
      <c r="D37" s="376" t="n">
        <v>2</v>
      </c>
      <c r="E37" s="374"/>
      <c r="F37" s="374"/>
      <c r="G37" s="374"/>
      <c r="H37" s="374"/>
      <c r="I37" s="374"/>
      <c r="J37" s="374"/>
    </row>
    <row r="38" customFormat="false" ht="15.75" hidden="false" customHeight="false" outlineLevel="0" collapsed="false">
      <c r="A38" s="376" t="n">
        <v>19</v>
      </c>
      <c r="B38" s="376" t="n">
        <v>0.58227891</v>
      </c>
      <c r="C38" s="376" t="n">
        <v>2200</v>
      </c>
      <c r="D38" s="376" t="n">
        <v>2</v>
      </c>
      <c r="E38" s="374"/>
      <c r="F38" s="374"/>
      <c r="G38" s="374"/>
      <c r="H38" s="374"/>
      <c r="I38" s="374"/>
      <c r="J38" s="374"/>
    </row>
    <row r="39" customFormat="false" ht="15.75" hidden="false" customHeight="false" outlineLevel="0" collapsed="false">
      <c r="A39" s="376" t="n">
        <v>19.5</v>
      </c>
      <c r="B39" s="376" t="n">
        <v>0.589887917</v>
      </c>
      <c r="C39" s="376" t="n">
        <v>2500</v>
      </c>
      <c r="D39" s="376" t="n">
        <v>2</v>
      </c>
      <c r="E39" s="374"/>
      <c r="F39" s="374"/>
      <c r="G39" s="374"/>
      <c r="H39" s="374"/>
      <c r="I39" s="374"/>
      <c r="J39" s="374"/>
    </row>
    <row r="40" customFormat="false" ht="15.75" hidden="false" customHeight="false" outlineLevel="0" collapsed="false">
      <c r="A40" s="376" t="n">
        <v>20</v>
      </c>
      <c r="B40" s="376" t="n">
        <v>0.59740001</v>
      </c>
      <c r="C40" s="376" t="n">
        <v>2500</v>
      </c>
      <c r="D40" s="376" t="n">
        <v>2</v>
      </c>
      <c r="E40" s="374"/>
      <c r="F40" s="374"/>
      <c r="G40" s="374"/>
      <c r="H40" s="374"/>
      <c r="I40" s="374"/>
      <c r="J40" s="374"/>
    </row>
    <row r="41" customFormat="false" ht="15.75" hidden="false" customHeight="false" outlineLevel="0" collapsed="false">
      <c r="A41" s="376" t="n">
        <v>20.5</v>
      </c>
      <c r="B41" s="376" t="n">
        <v>0.604818814</v>
      </c>
      <c r="C41" s="376" t="n">
        <v>2500</v>
      </c>
      <c r="D41" s="376" t="n">
        <v>2</v>
      </c>
      <c r="E41" s="374"/>
      <c r="F41" s="374"/>
      <c r="G41" s="374"/>
      <c r="H41" s="374"/>
      <c r="I41" s="374"/>
      <c r="J41" s="374"/>
    </row>
    <row r="42" customFormat="false" ht="15.75" hidden="false" customHeight="false" outlineLevel="0" collapsed="false">
      <c r="A42" s="376" t="n">
        <v>21</v>
      </c>
      <c r="B42" s="376" t="n">
        <v>0.61215729</v>
      </c>
      <c r="C42" s="376" t="n">
        <v>2500</v>
      </c>
      <c r="D42" s="376" t="n">
        <v>2</v>
      </c>
      <c r="E42" s="374"/>
      <c r="F42" s="374"/>
      <c r="G42" s="374"/>
      <c r="H42" s="374"/>
      <c r="I42" s="374"/>
      <c r="J42" s="374"/>
    </row>
    <row r="43" customFormat="false" ht="15.75" hidden="false" customHeight="false" outlineLevel="0" collapsed="false">
      <c r="A43" s="376" t="n">
        <v>21.5</v>
      </c>
      <c r="B43" s="376" t="n">
        <v>0.619399365</v>
      </c>
      <c r="C43" s="376" t="n">
        <v>3000</v>
      </c>
      <c r="D43" s="376" t="n">
        <v>3</v>
      </c>
      <c r="E43" s="374"/>
      <c r="F43" s="374"/>
      <c r="G43" s="374"/>
      <c r="H43" s="374"/>
      <c r="I43" s="374"/>
      <c r="J43" s="374"/>
    </row>
    <row r="44" customFormat="false" ht="15.75" hidden="false" customHeight="false" outlineLevel="0" collapsed="false">
      <c r="A44" s="376" t="n">
        <v>22</v>
      </c>
      <c r="B44" s="376" t="n">
        <v>0.62656713</v>
      </c>
      <c r="C44" s="376" t="n">
        <v>3000</v>
      </c>
      <c r="D44" s="376" t="n">
        <v>3</v>
      </c>
      <c r="E44" s="374"/>
      <c r="F44" s="374"/>
      <c r="G44" s="374"/>
      <c r="H44" s="374"/>
      <c r="I44" s="374"/>
      <c r="J44" s="374"/>
    </row>
    <row r="45" customFormat="false" ht="15.75" hidden="false" customHeight="false" outlineLevel="0" collapsed="false">
      <c r="A45" s="376" t="n">
        <v>22.5</v>
      </c>
      <c r="B45" s="376" t="n">
        <v>0.633644533</v>
      </c>
      <c r="C45" s="376" t="n">
        <v>3000</v>
      </c>
      <c r="D45" s="376" t="n">
        <v>3</v>
      </c>
      <c r="E45" s="374"/>
      <c r="F45" s="374"/>
      <c r="G45" s="374"/>
      <c r="H45" s="374"/>
      <c r="I45" s="374"/>
      <c r="J45" s="374"/>
    </row>
    <row r="46" customFormat="false" ht="15.75" hidden="false" customHeight="false" outlineLevel="0" collapsed="false">
      <c r="A46" s="376" t="n">
        <v>23</v>
      </c>
      <c r="B46" s="376" t="n">
        <v>0.64065295</v>
      </c>
      <c r="C46" s="376" t="n">
        <v>3000</v>
      </c>
      <c r="D46" s="376" t="n">
        <v>3</v>
      </c>
      <c r="E46" s="374"/>
      <c r="F46" s="374"/>
      <c r="G46" s="374"/>
      <c r="H46" s="374"/>
      <c r="I46" s="374"/>
      <c r="J46" s="374"/>
    </row>
    <row r="47" customFormat="false" ht="15.75" hidden="false" customHeight="false" outlineLevel="0" collapsed="false">
      <c r="A47" s="376" t="n">
        <v>23.5</v>
      </c>
      <c r="B47" s="376" t="n">
        <v>0.647576426</v>
      </c>
      <c r="C47" s="376" t="n">
        <v>3500</v>
      </c>
      <c r="D47" s="376" t="n">
        <v>3</v>
      </c>
      <c r="E47" s="374"/>
      <c r="F47" s="374"/>
      <c r="G47" s="374"/>
      <c r="H47" s="374"/>
      <c r="I47" s="374"/>
      <c r="J47" s="374"/>
    </row>
    <row r="48" customFormat="false" ht="15.75" hidden="false" customHeight="false" outlineLevel="0" collapsed="false">
      <c r="A48" s="376" t="n">
        <v>24</v>
      </c>
      <c r="B48" s="376" t="n">
        <v>0.65443563</v>
      </c>
      <c r="C48" s="376" t="n">
        <v>3500</v>
      </c>
      <c r="D48" s="376" t="n">
        <v>3</v>
      </c>
      <c r="E48" s="374"/>
      <c r="F48" s="374"/>
      <c r="G48" s="374"/>
      <c r="H48" s="374"/>
      <c r="I48" s="374"/>
      <c r="J48" s="374"/>
    </row>
    <row r="49" customFormat="false" ht="15.75" hidden="false" customHeight="false" outlineLevel="0" collapsed="false">
      <c r="A49" s="376" t="n">
        <v>24.5</v>
      </c>
      <c r="B49" s="376" t="n">
        <v>0.661214806</v>
      </c>
      <c r="C49" s="376" t="n">
        <v>3500</v>
      </c>
      <c r="D49" s="376" t="n">
        <v>3</v>
      </c>
      <c r="E49" s="374"/>
      <c r="F49" s="374"/>
      <c r="G49" s="374"/>
      <c r="H49" s="374"/>
      <c r="I49" s="374"/>
      <c r="J49" s="374"/>
    </row>
    <row r="50" customFormat="false" ht="15.75" hidden="false" customHeight="false" outlineLevel="0" collapsed="false">
      <c r="A50" s="376" t="n">
        <v>25</v>
      </c>
      <c r="B50" s="376" t="n">
        <v>0.667934</v>
      </c>
      <c r="C50" s="376" t="n">
        <v>3500</v>
      </c>
      <c r="D50" s="376" t="n">
        <v>3</v>
      </c>
      <c r="E50" s="374"/>
      <c r="F50" s="374"/>
      <c r="G50" s="374"/>
      <c r="H50" s="374"/>
      <c r="I50" s="374"/>
      <c r="J50" s="374"/>
    </row>
    <row r="51" customFormat="false" ht="15.75" hidden="false" customHeight="false" outlineLevel="0" collapsed="false">
      <c r="A51" s="376" t="n">
        <v>25.5</v>
      </c>
      <c r="B51" s="376" t="n">
        <v>0.674577537</v>
      </c>
      <c r="C51" s="376" t="n">
        <v>4000</v>
      </c>
      <c r="D51" s="376" t="n">
        <v>3</v>
      </c>
      <c r="E51" s="374"/>
      <c r="F51" s="374"/>
      <c r="G51" s="374"/>
      <c r="H51" s="374"/>
      <c r="I51" s="374"/>
      <c r="J51" s="374"/>
    </row>
    <row r="52" customFormat="false" ht="15.75" hidden="false" customHeight="false" outlineLevel="0" collapsed="false">
      <c r="A52" s="376" t="n">
        <v>26</v>
      </c>
      <c r="B52" s="376" t="n">
        <v>0.68116492</v>
      </c>
      <c r="C52" s="376" t="n">
        <v>4000</v>
      </c>
      <c r="D52" s="376" t="n">
        <v>3</v>
      </c>
      <c r="E52" s="374"/>
      <c r="F52" s="374"/>
      <c r="G52" s="374"/>
      <c r="H52" s="374"/>
      <c r="I52" s="374"/>
      <c r="J52" s="374"/>
    </row>
    <row r="53" customFormat="false" ht="15.75" hidden="false" customHeight="false" outlineLevel="0" collapsed="false">
      <c r="A53" s="376" t="n">
        <v>26.5</v>
      </c>
      <c r="B53" s="376" t="n">
        <v>0.687680648</v>
      </c>
      <c r="C53" s="376" t="n">
        <v>4000</v>
      </c>
      <c r="D53" s="376" t="n">
        <v>4</v>
      </c>
      <c r="E53" s="374"/>
      <c r="F53" s="374"/>
      <c r="G53" s="374"/>
      <c r="H53" s="374"/>
      <c r="I53" s="374"/>
      <c r="J53" s="374"/>
    </row>
    <row r="54" customFormat="false" ht="15.75" hidden="false" customHeight="false" outlineLevel="0" collapsed="false">
      <c r="A54" s="376" t="n">
        <v>27</v>
      </c>
      <c r="B54" s="376" t="n">
        <v>0.69414365</v>
      </c>
      <c r="C54" s="376" t="n">
        <v>4000</v>
      </c>
      <c r="D54" s="376" t="n">
        <v>4</v>
      </c>
      <c r="E54" s="374"/>
      <c r="F54" s="374"/>
      <c r="G54" s="374"/>
      <c r="H54" s="374"/>
      <c r="I54" s="374"/>
      <c r="J54" s="374"/>
    </row>
    <row r="55" customFormat="false" ht="15.75" hidden="false" customHeight="false" outlineLevel="0" collapsed="false">
      <c r="A55" s="376" t="n">
        <v>27.5</v>
      </c>
      <c r="B55" s="376" t="n">
        <v>0.700538673</v>
      </c>
      <c r="C55" s="376" t="n">
        <v>4500</v>
      </c>
      <c r="D55" s="376" t="n">
        <v>4</v>
      </c>
      <c r="E55" s="374"/>
      <c r="F55" s="374"/>
      <c r="G55" s="374"/>
      <c r="H55" s="374"/>
      <c r="I55" s="374"/>
      <c r="J55" s="374"/>
    </row>
    <row r="56" customFormat="false" ht="15.75" hidden="false" customHeight="false" outlineLevel="0" collapsed="false">
      <c r="A56" s="376" t="n">
        <v>28</v>
      </c>
      <c r="B56" s="376" t="n">
        <v>0.70688421</v>
      </c>
      <c r="C56" s="376" t="n">
        <v>4500</v>
      </c>
      <c r="D56" s="376" t="n">
        <v>4</v>
      </c>
      <c r="E56" s="374"/>
      <c r="F56" s="374"/>
      <c r="G56" s="374"/>
      <c r="H56" s="374"/>
      <c r="I56" s="374"/>
      <c r="J56" s="374"/>
    </row>
    <row r="57" customFormat="false" ht="15.75" hidden="false" customHeight="false" outlineLevel="0" collapsed="false">
      <c r="A57" s="376" t="n">
        <v>28.5</v>
      </c>
      <c r="B57" s="376" t="n">
        <v>0.713164996</v>
      </c>
      <c r="C57" s="376" t="n">
        <v>4500</v>
      </c>
      <c r="D57" s="376" t="n">
        <v>4</v>
      </c>
      <c r="E57" s="374"/>
      <c r="F57" s="374"/>
      <c r="G57" s="374"/>
      <c r="H57" s="374"/>
      <c r="I57" s="374"/>
      <c r="J57" s="374"/>
    </row>
    <row r="58" customFormat="false" ht="15.75" hidden="false" customHeight="false" outlineLevel="0" collapsed="false">
      <c r="A58" s="376" t="n">
        <v>29</v>
      </c>
      <c r="B58" s="376" t="n">
        <v>0.71939909</v>
      </c>
      <c r="C58" s="376" t="n">
        <v>4500</v>
      </c>
      <c r="D58" s="376" t="n">
        <v>4</v>
      </c>
      <c r="E58" s="374"/>
      <c r="F58" s="374"/>
      <c r="G58" s="374"/>
      <c r="H58" s="374"/>
      <c r="I58" s="374"/>
      <c r="J58" s="374"/>
    </row>
    <row r="59" customFormat="false" ht="15.75" hidden="false" customHeight="false" outlineLevel="0" collapsed="false">
      <c r="A59" s="376" t="n">
        <v>29.5</v>
      </c>
      <c r="B59" s="376" t="n">
        <v>0.725571552</v>
      </c>
      <c r="C59" s="376" t="n">
        <v>5000</v>
      </c>
      <c r="D59" s="376" t="n">
        <v>4</v>
      </c>
      <c r="E59" s="374"/>
      <c r="F59" s="374"/>
      <c r="G59" s="374"/>
      <c r="H59" s="374"/>
      <c r="I59" s="374"/>
      <c r="J59" s="374"/>
    </row>
    <row r="60" customFormat="false" ht="15.75" hidden="false" customHeight="false" outlineLevel="0" collapsed="false">
      <c r="A60" s="376" t="n">
        <v>30</v>
      </c>
      <c r="B60" s="376" t="n">
        <v>0.7317</v>
      </c>
      <c r="C60" s="376" t="n">
        <v>5000</v>
      </c>
      <c r="D60" s="376" t="n">
        <v>4</v>
      </c>
      <c r="E60" s="374"/>
      <c r="F60" s="374"/>
      <c r="G60" s="374"/>
      <c r="H60" s="374"/>
      <c r="I60" s="374"/>
      <c r="J60" s="374"/>
    </row>
    <row r="61" customFormat="false" ht="15.75" hidden="false" customHeight="false" outlineLevel="0" collapsed="false">
      <c r="A61" s="376" t="n">
        <v>30.5</v>
      </c>
      <c r="B61" s="376" t="n">
        <v>0.734741009</v>
      </c>
      <c r="C61" s="376" t="n">
        <v>5000</v>
      </c>
      <c r="D61" s="376" t="n">
        <v>4</v>
      </c>
      <c r="E61" s="374"/>
      <c r="F61" s="374"/>
      <c r="G61" s="374"/>
      <c r="H61" s="374"/>
      <c r="I61" s="374"/>
      <c r="J61" s="374"/>
    </row>
    <row r="62" customFormat="false" ht="15.75" hidden="false" customHeight="false" outlineLevel="0" collapsed="false">
      <c r="A62" s="376" t="n">
        <v>31</v>
      </c>
      <c r="B62" s="376" t="n">
        <v>0.73776948</v>
      </c>
      <c r="C62" s="376" t="n">
        <v>5000</v>
      </c>
      <c r="D62" s="376" t="n">
        <v>4</v>
      </c>
      <c r="E62" s="374"/>
      <c r="F62" s="374"/>
      <c r="G62" s="374"/>
      <c r="H62" s="374"/>
      <c r="I62" s="374"/>
      <c r="J62" s="374"/>
    </row>
    <row r="63" customFormat="false" ht="15.75" hidden="false" customHeight="false" outlineLevel="0" collapsed="false">
      <c r="A63" s="376" t="n">
        <v>31.5</v>
      </c>
      <c r="B63" s="376" t="n">
        <v>0.740785574</v>
      </c>
      <c r="C63" s="376" t="n">
        <v>6000</v>
      </c>
      <c r="D63" s="376" t="n">
        <v>6</v>
      </c>
      <c r="E63" s="374"/>
      <c r="F63" s="374"/>
      <c r="G63" s="374"/>
      <c r="H63" s="374"/>
      <c r="I63" s="374"/>
      <c r="J63" s="374"/>
    </row>
    <row r="64" customFormat="false" ht="15.75" hidden="false" customHeight="false" outlineLevel="0" collapsed="false">
      <c r="A64" s="376" t="n">
        <v>32</v>
      </c>
      <c r="B64" s="376" t="n">
        <v>0.74378943</v>
      </c>
      <c r="C64" s="376" t="n">
        <v>6000</v>
      </c>
      <c r="D64" s="376" t="n">
        <v>6</v>
      </c>
      <c r="E64" s="374"/>
      <c r="F64" s="374"/>
      <c r="G64" s="374"/>
      <c r="H64" s="374"/>
      <c r="I64" s="374"/>
      <c r="J64" s="374"/>
    </row>
    <row r="65" customFormat="false" ht="15.75" hidden="false" customHeight="false" outlineLevel="0" collapsed="false">
      <c r="A65" s="376" t="n">
        <v>32.5</v>
      </c>
      <c r="B65" s="376" t="n">
        <v>0.746781211</v>
      </c>
      <c r="C65" s="376" t="n">
        <v>6000</v>
      </c>
      <c r="D65" s="376" t="n">
        <v>6</v>
      </c>
      <c r="E65" s="374"/>
      <c r="F65" s="374"/>
      <c r="G65" s="374"/>
      <c r="H65" s="374"/>
      <c r="I65" s="374"/>
      <c r="J65" s="374"/>
    </row>
    <row r="66" customFormat="false" ht="15.75" hidden="false" customHeight="false" outlineLevel="0" collapsed="false">
      <c r="A66" s="376" t="n">
        <v>33</v>
      </c>
      <c r="B66" s="376" t="n">
        <v>0.74976104</v>
      </c>
      <c r="C66" s="376" t="n">
        <v>6000</v>
      </c>
      <c r="D66" s="376" t="n">
        <v>6</v>
      </c>
      <c r="E66" s="374"/>
      <c r="F66" s="374"/>
      <c r="G66" s="374"/>
      <c r="H66" s="374"/>
      <c r="I66" s="374"/>
      <c r="J66" s="374"/>
    </row>
    <row r="67" customFormat="false" ht="15.75" hidden="false" customHeight="false" outlineLevel="0" collapsed="false">
      <c r="A67" s="376" t="n">
        <v>33.5</v>
      </c>
      <c r="B67" s="376" t="n">
        <v>0.752729087</v>
      </c>
      <c r="C67" s="376" t="n">
        <v>7000</v>
      </c>
      <c r="D67" s="376" t="n">
        <v>8</v>
      </c>
      <c r="E67" s="374"/>
      <c r="F67" s="374"/>
      <c r="G67" s="374"/>
      <c r="H67" s="374"/>
      <c r="I67" s="374"/>
      <c r="J67" s="374"/>
    </row>
    <row r="68" customFormat="false" ht="15.75" hidden="false" customHeight="false" outlineLevel="0" collapsed="false">
      <c r="A68" s="376" t="n">
        <v>34</v>
      </c>
      <c r="B68" s="376" t="n">
        <v>0.75568551</v>
      </c>
      <c r="C68" s="376" t="n">
        <v>7000</v>
      </c>
      <c r="D68" s="376" t="n">
        <v>8</v>
      </c>
      <c r="E68" s="374"/>
      <c r="F68" s="374"/>
      <c r="G68" s="374"/>
      <c r="H68" s="374"/>
      <c r="I68" s="374"/>
      <c r="J68" s="374"/>
    </row>
    <row r="69" customFormat="false" ht="15.75" hidden="false" customHeight="false" outlineLevel="0" collapsed="false">
      <c r="A69" s="376" t="n">
        <v>34.5</v>
      </c>
      <c r="B69" s="376" t="n">
        <v>0.758630378</v>
      </c>
      <c r="C69" s="376" t="n">
        <v>7000</v>
      </c>
      <c r="D69" s="376" t="n">
        <v>8</v>
      </c>
      <c r="E69" s="374"/>
      <c r="F69" s="374"/>
      <c r="G69" s="374"/>
      <c r="H69" s="374"/>
      <c r="I69" s="374"/>
      <c r="J69" s="374"/>
    </row>
    <row r="70" customFormat="false" ht="15.75" hidden="false" customHeight="false" outlineLevel="0" collapsed="false">
      <c r="A70" s="376" t="n">
        <v>35</v>
      </c>
      <c r="B70" s="376" t="n">
        <v>0.76156384</v>
      </c>
      <c r="C70" s="376" t="n">
        <v>7000</v>
      </c>
      <c r="D70" s="376" t="n">
        <v>8</v>
      </c>
      <c r="E70" s="374"/>
      <c r="F70" s="374"/>
      <c r="G70" s="374"/>
      <c r="H70" s="374"/>
      <c r="I70" s="374"/>
      <c r="J70" s="374"/>
    </row>
    <row r="71" customFormat="false" ht="15.75" hidden="false" customHeight="false" outlineLevel="0" collapsed="false">
      <c r="A71" s="376" t="n">
        <v>35.5</v>
      </c>
      <c r="B71" s="376" t="n">
        <v>0.764486065</v>
      </c>
      <c r="C71" s="376" t="n">
        <v>8000</v>
      </c>
      <c r="D71" s="376" t="n">
        <v>10</v>
      </c>
      <c r="E71" s="374"/>
      <c r="F71" s="374"/>
      <c r="G71" s="374"/>
      <c r="H71" s="374"/>
      <c r="I71" s="374"/>
      <c r="J71" s="374"/>
    </row>
    <row r="72" customFormat="false" ht="15.75" hidden="false" customHeight="false" outlineLevel="0" collapsed="false">
      <c r="A72" s="376" t="n">
        <v>36</v>
      </c>
      <c r="B72" s="376" t="n">
        <v>0.76739717</v>
      </c>
      <c r="C72" s="376" t="n">
        <v>8000</v>
      </c>
      <c r="D72" s="376" t="n">
        <v>10</v>
      </c>
      <c r="E72" s="374"/>
      <c r="F72" s="374"/>
      <c r="G72" s="374"/>
      <c r="H72" s="374"/>
      <c r="I72" s="374"/>
      <c r="J72" s="374"/>
    </row>
    <row r="73" customFormat="false" ht="15.75" hidden="false" customHeight="false" outlineLevel="0" collapsed="false">
      <c r="A73" s="376" t="n">
        <v>36.5</v>
      </c>
      <c r="B73" s="376" t="n">
        <v>0.770297266</v>
      </c>
      <c r="C73" s="376" t="n">
        <v>8000</v>
      </c>
      <c r="D73" s="376" t="n">
        <v>10</v>
      </c>
      <c r="E73" s="374"/>
      <c r="F73" s="374"/>
      <c r="G73" s="374"/>
      <c r="H73" s="374"/>
      <c r="I73" s="374"/>
      <c r="J73" s="374"/>
    </row>
    <row r="74" customFormat="false" ht="15.75" hidden="false" customHeight="false" outlineLevel="0" collapsed="false">
      <c r="A74" s="376" t="n">
        <v>37</v>
      </c>
      <c r="B74" s="376" t="n">
        <v>0.7731865</v>
      </c>
      <c r="C74" s="376" t="n">
        <v>8000</v>
      </c>
      <c r="D74" s="376" t="n">
        <v>10</v>
      </c>
      <c r="E74" s="374"/>
      <c r="F74" s="374"/>
      <c r="G74" s="374"/>
      <c r="H74" s="374"/>
      <c r="I74" s="374"/>
      <c r="J74" s="374"/>
    </row>
    <row r="75" customFormat="false" ht="15.75" hidden="false" customHeight="false" outlineLevel="0" collapsed="false">
      <c r="A75" s="376" t="n">
        <v>37.5</v>
      </c>
      <c r="B75" s="376" t="n">
        <v>0.776064962</v>
      </c>
      <c r="C75" s="376" t="n">
        <v>9000</v>
      </c>
      <c r="D75" s="376" t="n">
        <v>12</v>
      </c>
      <c r="E75" s="374"/>
      <c r="F75" s="374"/>
      <c r="G75" s="374"/>
      <c r="H75" s="374"/>
      <c r="I75" s="374"/>
      <c r="J75" s="374"/>
    </row>
    <row r="76" customFormat="false" ht="15.75" hidden="false" customHeight="false" outlineLevel="0" collapsed="false">
      <c r="A76" s="376" t="n">
        <v>38</v>
      </c>
      <c r="B76" s="376" t="n">
        <v>0.77893275</v>
      </c>
      <c r="C76" s="376" t="n">
        <v>9000</v>
      </c>
      <c r="D76" s="376" t="n">
        <v>12</v>
      </c>
      <c r="E76" s="374"/>
      <c r="F76" s="374"/>
      <c r="G76" s="374"/>
      <c r="H76" s="374"/>
      <c r="I76" s="374"/>
      <c r="J76" s="374"/>
    </row>
    <row r="77" customFormat="false" ht="15.75" hidden="false" customHeight="false" outlineLevel="0" collapsed="false">
      <c r="A77" s="376" t="n">
        <v>38.5</v>
      </c>
      <c r="B77" s="376" t="n">
        <v>0.781790055</v>
      </c>
      <c r="C77" s="376" t="n">
        <v>9000</v>
      </c>
      <c r="D77" s="376" t="n">
        <v>12</v>
      </c>
      <c r="E77" s="374"/>
      <c r="F77" s="374"/>
      <c r="G77" s="374"/>
      <c r="H77" s="374"/>
      <c r="I77" s="374"/>
      <c r="J77" s="374"/>
    </row>
    <row r="78" customFormat="false" ht="15.75" hidden="false" customHeight="false" outlineLevel="0" collapsed="false">
      <c r="A78" s="376" t="n">
        <v>39</v>
      </c>
      <c r="B78" s="376" t="n">
        <v>0.78463697</v>
      </c>
      <c r="C78" s="376" t="n">
        <v>9000</v>
      </c>
      <c r="D78" s="376" t="n">
        <v>12</v>
      </c>
      <c r="E78" s="374"/>
      <c r="F78" s="374"/>
      <c r="G78" s="374"/>
      <c r="H78" s="374"/>
      <c r="I78" s="374"/>
      <c r="J78" s="374"/>
    </row>
    <row r="79" customFormat="false" ht="15.75" hidden="false" customHeight="false" outlineLevel="0" collapsed="false">
      <c r="A79" s="376" t="n">
        <v>39.5</v>
      </c>
      <c r="B79" s="376" t="n">
        <v>0.787473578</v>
      </c>
      <c r="C79" s="376" t="n">
        <v>10000</v>
      </c>
      <c r="D79" s="376" t="n">
        <v>15</v>
      </c>
      <c r="E79" s="374"/>
      <c r="F79" s="374"/>
      <c r="G79" s="374"/>
      <c r="H79" s="374"/>
      <c r="I79" s="374"/>
      <c r="J79" s="374"/>
    </row>
    <row r="80" customFormat="false" ht="15.75" hidden="false" customHeight="false" outlineLevel="0" collapsed="false">
      <c r="A80" s="376" t="n">
        <v>40</v>
      </c>
      <c r="B80" s="376" t="n">
        <v>0.79030001</v>
      </c>
      <c r="C80" s="376" t="n">
        <v>10000</v>
      </c>
      <c r="D80" s="376" t="n">
        <v>15</v>
      </c>
      <c r="E80" s="374"/>
      <c r="F80" s="374"/>
      <c r="G80" s="374"/>
      <c r="H80" s="374"/>
      <c r="I80" s="374"/>
      <c r="J80" s="374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V10" activeCellId="0" sqref="V10"/>
    </sheetView>
  </sheetViews>
  <sheetFormatPr defaultRowHeight="15.75" zeroHeight="false" outlineLevelRow="0" outlineLevelCol="0"/>
  <cols>
    <col collapsed="false" customWidth="true" hidden="false" outlineLevel="0" max="2" min="1" style="0" width="14.43"/>
    <col collapsed="false" customWidth="true" hidden="false" outlineLevel="0" max="20" min="3" style="0" width="7.29"/>
    <col collapsed="false" customWidth="true" hidden="false" outlineLevel="0" max="21" min="21" style="0" width="9.2"/>
    <col collapsed="false" customWidth="true" hidden="false" outlineLevel="0" max="1025" min="22" style="0" width="14.43"/>
  </cols>
  <sheetData>
    <row r="1" customFormat="false" ht="15.75" hidden="false" customHeight="false" outlineLevel="0" collapsed="false">
      <c r="C1" s="384" t="s">
        <v>144</v>
      </c>
      <c r="D1" s="384" t="s">
        <v>145</v>
      </c>
      <c r="E1" s="384" t="s">
        <v>146</v>
      </c>
      <c r="F1" s="384" t="s">
        <v>147</v>
      </c>
      <c r="G1" s="384" t="s">
        <v>148</v>
      </c>
      <c r="H1" s="384" t="s">
        <v>149</v>
      </c>
      <c r="I1" s="384" t="s">
        <v>150</v>
      </c>
      <c r="J1" s="384" t="s">
        <v>151</v>
      </c>
      <c r="K1" s="384" t="s">
        <v>152</v>
      </c>
      <c r="L1" s="384" t="s">
        <v>153</v>
      </c>
      <c r="M1" s="384" t="s">
        <v>154</v>
      </c>
      <c r="N1" s="384" t="s">
        <v>155</v>
      </c>
      <c r="O1" s="384" t="s">
        <v>156</v>
      </c>
      <c r="P1" s="384" t="s">
        <v>157</v>
      </c>
      <c r="Q1" s="384" t="s">
        <v>158</v>
      </c>
      <c r="R1" s="384" t="s">
        <v>159</v>
      </c>
      <c r="S1" s="384" t="s">
        <v>160</v>
      </c>
      <c r="T1" s="384" t="s">
        <v>161</v>
      </c>
      <c r="U1" s="385" t="s">
        <v>162</v>
      </c>
    </row>
    <row r="2" customFormat="false" ht="13.8" hidden="false" customHeight="false" outlineLevel="0" collapsed="false">
      <c r="A2" s="384" t="s">
        <v>144</v>
      </c>
      <c r="B2" s="260" t="s">
        <v>2796</v>
      </c>
      <c r="C2" s="384" t="n">
        <v>1</v>
      </c>
      <c r="D2" s="384" t="n">
        <v>1.4</v>
      </c>
      <c r="E2" s="384" t="n">
        <v>1</v>
      </c>
      <c r="F2" s="384" t="n">
        <v>1</v>
      </c>
      <c r="G2" s="384" t="n">
        <v>1</v>
      </c>
      <c r="H2" s="384" t="n">
        <v>1</v>
      </c>
      <c r="I2" s="384" t="n">
        <v>1</v>
      </c>
      <c r="J2" s="384" t="n">
        <v>0.51</v>
      </c>
      <c r="K2" s="384" t="n">
        <v>1</v>
      </c>
      <c r="L2" s="384" t="n">
        <v>1</v>
      </c>
      <c r="M2" s="384" t="n">
        <v>1</v>
      </c>
      <c r="N2" s="384" t="n">
        <v>1</v>
      </c>
      <c r="O2" s="384" t="n">
        <v>1</v>
      </c>
      <c r="P2" s="384" t="n">
        <v>1</v>
      </c>
      <c r="Q2" s="384" t="n">
        <v>1</v>
      </c>
      <c r="R2" s="384" t="n">
        <v>1</v>
      </c>
      <c r="S2" s="384" t="n">
        <v>1</v>
      </c>
      <c r="T2" s="384" t="n">
        <v>1</v>
      </c>
      <c r="U2" s="385" t="n">
        <v>1</v>
      </c>
    </row>
    <row r="3" customFormat="false" ht="13.8" hidden="false" customHeight="false" outlineLevel="0" collapsed="false">
      <c r="A3" s="384" t="s">
        <v>145</v>
      </c>
      <c r="B3" s="260" t="s">
        <v>137</v>
      </c>
      <c r="C3" s="384" t="n">
        <v>1</v>
      </c>
      <c r="D3" s="384" t="n">
        <v>1</v>
      </c>
      <c r="E3" s="384" t="n">
        <v>1.4</v>
      </c>
      <c r="F3" s="384" t="n">
        <v>1</v>
      </c>
      <c r="G3" s="384" t="n">
        <v>1</v>
      </c>
      <c r="H3" s="384" t="n">
        <v>0.714</v>
      </c>
      <c r="I3" s="384" t="n">
        <v>0.714</v>
      </c>
      <c r="J3" s="384" t="n">
        <v>1</v>
      </c>
      <c r="K3" s="384" t="n">
        <v>1</v>
      </c>
      <c r="L3" s="384" t="n">
        <v>1</v>
      </c>
      <c r="M3" s="384" t="n">
        <v>1</v>
      </c>
      <c r="N3" s="384" t="n">
        <v>1</v>
      </c>
      <c r="O3" s="384" t="n">
        <v>1</v>
      </c>
      <c r="P3" s="384" t="n">
        <v>1.4</v>
      </c>
      <c r="Q3" s="384" t="n">
        <v>1</v>
      </c>
      <c r="R3" s="384" t="n">
        <v>1</v>
      </c>
      <c r="S3" s="384" t="n">
        <v>0.714</v>
      </c>
      <c r="T3" s="384" t="n">
        <v>1.4</v>
      </c>
      <c r="U3" s="385" t="n">
        <v>1</v>
      </c>
    </row>
    <row r="4" customFormat="false" ht="13.8" hidden="false" customHeight="false" outlineLevel="0" collapsed="false">
      <c r="A4" s="384" t="s">
        <v>146</v>
      </c>
      <c r="B4" s="260" t="s">
        <v>2797</v>
      </c>
      <c r="C4" s="384" t="n">
        <v>1</v>
      </c>
      <c r="D4" s="384" t="n">
        <v>0.714</v>
      </c>
      <c r="E4" s="384" t="n">
        <v>1</v>
      </c>
      <c r="F4" s="384" t="n">
        <v>1</v>
      </c>
      <c r="G4" s="384" t="n">
        <v>0.51</v>
      </c>
      <c r="H4" s="384" t="n">
        <v>1.4</v>
      </c>
      <c r="I4" s="384" t="n">
        <v>0.714</v>
      </c>
      <c r="J4" s="384" t="n">
        <v>1</v>
      </c>
      <c r="K4" s="384" t="n">
        <v>1</v>
      </c>
      <c r="L4" s="384" t="n">
        <v>1</v>
      </c>
      <c r="M4" s="384" t="n">
        <v>1</v>
      </c>
      <c r="N4" s="384" t="n">
        <v>0.714</v>
      </c>
      <c r="O4" s="384" t="n">
        <v>1.4</v>
      </c>
      <c r="P4" s="384" t="n">
        <v>1</v>
      </c>
      <c r="Q4" s="384" t="n">
        <v>1.4</v>
      </c>
      <c r="R4" s="384" t="n">
        <v>1</v>
      </c>
      <c r="S4" s="384" t="n">
        <v>1</v>
      </c>
      <c r="T4" s="384" t="n">
        <v>1</v>
      </c>
      <c r="U4" s="385" t="n">
        <v>1</v>
      </c>
    </row>
    <row r="5" customFormat="false" ht="13.8" hidden="false" customHeight="false" outlineLevel="0" collapsed="false">
      <c r="A5" s="384" t="s">
        <v>147</v>
      </c>
      <c r="B5" s="260" t="s">
        <v>137</v>
      </c>
      <c r="C5" s="384" t="n">
        <v>1</v>
      </c>
      <c r="D5" s="384" t="n">
        <v>0.714</v>
      </c>
      <c r="E5" s="384" t="n">
        <v>1</v>
      </c>
      <c r="F5" s="384" t="n">
        <v>0.714</v>
      </c>
      <c r="G5" s="384" t="n">
        <v>1.4</v>
      </c>
      <c r="H5" s="384" t="n">
        <v>1</v>
      </c>
      <c r="I5" s="384" t="n">
        <v>0.714</v>
      </c>
      <c r="J5" s="384" t="n">
        <v>1</v>
      </c>
      <c r="K5" s="384" t="n">
        <v>1</v>
      </c>
      <c r="L5" s="384" t="n">
        <v>1</v>
      </c>
      <c r="M5" s="384" t="n">
        <v>1</v>
      </c>
      <c r="N5" s="384" t="n">
        <v>0.714</v>
      </c>
      <c r="O5" s="384" t="n">
        <v>1</v>
      </c>
      <c r="P5" s="384" t="n">
        <v>1.4</v>
      </c>
      <c r="Q5" s="384" t="n">
        <v>1</v>
      </c>
      <c r="R5" s="384" t="n">
        <v>1</v>
      </c>
      <c r="S5" s="384" t="n">
        <v>1</v>
      </c>
      <c r="T5" s="384" t="n">
        <v>0.714</v>
      </c>
      <c r="U5" s="385" t="n">
        <v>1</v>
      </c>
    </row>
    <row r="6" customFormat="false" ht="13.8" hidden="false" customHeight="false" outlineLevel="0" collapsed="false">
      <c r="A6" s="384" t="s">
        <v>148</v>
      </c>
      <c r="B6" s="260" t="s">
        <v>2798</v>
      </c>
      <c r="C6" s="384" t="n">
        <v>1</v>
      </c>
      <c r="D6" s="384" t="n">
        <v>1</v>
      </c>
      <c r="E6" s="384" t="n">
        <v>1</v>
      </c>
      <c r="F6" s="384" t="n">
        <v>0.714</v>
      </c>
      <c r="G6" s="384" t="n">
        <v>1</v>
      </c>
      <c r="H6" s="384" t="n">
        <v>0.714</v>
      </c>
      <c r="I6" s="384" t="n">
        <v>1</v>
      </c>
      <c r="J6" s="384" t="n">
        <v>1</v>
      </c>
      <c r="K6" s="384" t="n">
        <v>1</v>
      </c>
      <c r="L6" s="384" t="n">
        <v>1</v>
      </c>
      <c r="M6" s="384" t="n">
        <v>1.4</v>
      </c>
      <c r="N6" s="384" t="n">
        <v>1.4</v>
      </c>
      <c r="O6" s="384" t="n">
        <v>0.51</v>
      </c>
      <c r="P6" s="384" t="n">
        <v>1</v>
      </c>
      <c r="Q6" s="384" t="n">
        <v>1.4</v>
      </c>
      <c r="R6" s="384" t="n">
        <v>1</v>
      </c>
      <c r="S6" s="384" t="n">
        <v>1</v>
      </c>
      <c r="T6" s="384" t="n">
        <v>1</v>
      </c>
      <c r="U6" s="385" t="n">
        <v>1</v>
      </c>
    </row>
    <row r="7" customFormat="false" ht="13.8" hidden="false" customHeight="false" outlineLevel="0" collapsed="false">
      <c r="A7" s="384" t="s">
        <v>149</v>
      </c>
      <c r="B7" s="260" t="s">
        <v>2796</v>
      </c>
      <c r="C7" s="384" t="n">
        <v>0.714</v>
      </c>
      <c r="D7" s="384" t="n">
        <v>1.4</v>
      </c>
      <c r="E7" s="384" t="n">
        <v>0.714</v>
      </c>
      <c r="F7" s="384" t="n">
        <v>0.714</v>
      </c>
      <c r="G7" s="384" t="n">
        <v>1.4</v>
      </c>
      <c r="H7" s="384" t="n">
        <v>1</v>
      </c>
      <c r="I7" s="384" t="n">
        <v>1</v>
      </c>
      <c r="J7" s="384" t="n">
        <v>1</v>
      </c>
      <c r="K7" s="384" t="n">
        <v>1.4</v>
      </c>
      <c r="L7" s="384" t="n">
        <v>0.714</v>
      </c>
      <c r="M7" s="384" t="n">
        <v>1.4</v>
      </c>
      <c r="N7" s="384" t="n">
        <v>1.4</v>
      </c>
      <c r="O7" s="384" t="n">
        <v>1</v>
      </c>
      <c r="P7" s="384" t="n">
        <v>1</v>
      </c>
      <c r="Q7" s="384" t="n">
        <v>1</v>
      </c>
      <c r="R7" s="384" t="n">
        <v>1</v>
      </c>
      <c r="S7" s="384" t="n">
        <v>1</v>
      </c>
      <c r="T7" s="384" t="n">
        <v>1</v>
      </c>
      <c r="U7" s="385" t="n">
        <v>1</v>
      </c>
    </row>
    <row r="8" customFormat="false" ht="13.8" hidden="false" customHeight="false" outlineLevel="0" collapsed="false">
      <c r="A8" s="384" t="s">
        <v>150</v>
      </c>
      <c r="B8" s="260" t="s">
        <v>2799</v>
      </c>
      <c r="C8" s="384" t="n">
        <v>1</v>
      </c>
      <c r="D8" s="384" t="n">
        <v>0.714</v>
      </c>
      <c r="E8" s="384" t="n">
        <v>1.4</v>
      </c>
      <c r="F8" s="384" t="n">
        <v>1</v>
      </c>
      <c r="G8" s="384" t="n">
        <v>0.714</v>
      </c>
      <c r="H8" s="384" t="n">
        <v>1.4</v>
      </c>
      <c r="I8" s="384" t="n">
        <v>1</v>
      </c>
      <c r="J8" s="384" t="n">
        <v>1</v>
      </c>
      <c r="K8" s="384" t="n">
        <v>1</v>
      </c>
      <c r="L8" s="384" t="n">
        <v>1.4</v>
      </c>
      <c r="M8" s="384" t="n">
        <v>1</v>
      </c>
      <c r="N8" s="384" t="n">
        <v>0.714</v>
      </c>
      <c r="O8" s="384" t="n">
        <v>1</v>
      </c>
      <c r="P8" s="384" t="n">
        <v>1</v>
      </c>
      <c r="Q8" s="384" t="n">
        <v>1</v>
      </c>
      <c r="R8" s="384" t="n">
        <v>1</v>
      </c>
      <c r="S8" s="384" t="n">
        <v>1</v>
      </c>
      <c r="T8" s="384" t="n">
        <v>1</v>
      </c>
      <c r="U8" s="385" t="n">
        <v>1</v>
      </c>
    </row>
    <row r="9" customFormat="false" ht="13.8" hidden="false" customHeight="false" outlineLevel="0" collapsed="false">
      <c r="A9" s="384" t="s">
        <v>151</v>
      </c>
      <c r="B9" s="260" t="s">
        <v>2800</v>
      </c>
      <c r="C9" s="384" t="n">
        <v>0.51</v>
      </c>
      <c r="D9" s="384" t="n">
        <v>0.51</v>
      </c>
      <c r="E9" s="384" t="n">
        <v>1</v>
      </c>
      <c r="F9" s="384" t="n">
        <v>0.714</v>
      </c>
      <c r="G9" s="384" t="n">
        <v>1</v>
      </c>
      <c r="H9" s="384" t="n">
        <v>1</v>
      </c>
      <c r="I9" s="384" t="n">
        <v>0.714</v>
      </c>
      <c r="J9" s="384" t="n">
        <v>1.4</v>
      </c>
      <c r="K9" s="384" t="n">
        <v>1</v>
      </c>
      <c r="L9" s="384" t="n">
        <v>1</v>
      </c>
      <c r="M9" s="384" t="n">
        <v>1</v>
      </c>
      <c r="N9" s="384" t="n">
        <v>1</v>
      </c>
      <c r="O9" s="384" t="n">
        <v>1</v>
      </c>
      <c r="P9" s="384" t="n">
        <v>1</v>
      </c>
      <c r="Q9" s="384" t="n">
        <v>1</v>
      </c>
      <c r="R9" s="384" t="n">
        <v>1</v>
      </c>
      <c r="S9" s="384" t="n">
        <v>1.4</v>
      </c>
      <c r="T9" s="384" t="n">
        <v>1</v>
      </c>
      <c r="U9" s="385" t="n">
        <v>1</v>
      </c>
    </row>
    <row r="10" customFormat="false" ht="13.8" hidden="false" customHeight="false" outlineLevel="0" collapsed="false">
      <c r="A10" s="384" t="s">
        <v>152</v>
      </c>
      <c r="B10" s="260" t="s">
        <v>2801</v>
      </c>
      <c r="C10" s="384" t="n">
        <v>0.714</v>
      </c>
      <c r="D10" s="384" t="n">
        <v>1.4</v>
      </c>
      <c r="E10" s="384" t="n">
        <v>0.714</v>
      </c>
      <c r="F10" s="384" t="n">
        <v>0.51</v>
      </c>
      <c r="G10" s="384" t="n">
        <v>1.4</v>
      </c>
      <c r="H10" s="384" t="n">
        <v>0.714</v>
      </c>
      <c r="I10" s="384" t="n">
        <v>0.714</v>
      </c>
      <c r="J10" s="384" t="n">
        <v>1</v>
      </c>
      <c r="K10" s="384" t="n">
        <v>0.714</v>
      </c>
      <c r="L10" s="384" t="n">
        <v>1.4</v>
      </c>
      <c r="M10" s="384" t="n">
        <v>1</v>
      </c>
      <c r="N10" s="384" t="n">
        <v>0.714</v>
      </c>
      <c r="O10" s="384" t="n">
        <v>1</v>
      </c>
      <c r="P10" s="384" t="n">
        <v>0.714</v>
      </c>
      <c r="Q10" s="384" t="n">
        <v>0.714</v>
      </c>
      <c r="R10" s="384" t="n">
        <v>0.714</v>
      </c>
      <c r="S10" s="384" t="n">
        <v>1</v>
      </c>
      <c r="T10" s="384" t="n">
        <v>0.714</v>
      </c>
      <c r="U10" s="385" t="n">
        <v>1</v>
      </c>
    </row>
    <row r="11" customFormat="false" ht="13.8" hidden="false" customHeight="false" outlineLevel="0" collapsed="false">
      <c r="A11" s="384" t="s">
        <v>153</v>
      </c>
      <c r="B11" s="260" t="s">
        <v>2798</v>
      </c>
      <c r="C11" s="384" t="n">
        <v>1</v>
      </c>
      <c r="D11" s="384" t="n">
        <v>1</v>
      </c>
      <c r="E11" s="384" t="n">
        <v>1</v>
      </c>
      <c r="F11" s="384" t="n">
        <v>1</v>
      </c>
      <c r="G11" s="384" t="n">
        <v>1.4</v>
      </c>
      <c r="H11" s="384" t="n">
        <v>1.4</v>
      </c>
      <c r="I11" s="384" t="n">
        <v>0.714</v>
      </c>
      <c r="J11" s="384" t="n">
        <v>1</v>
      </c>
      <c r="K11" s="384" t="n">
        <v>0.714</v>
      </c>
      <c r="L11" s="384" t="n">
        <v>0.714</v>
      </c>
      <c r="M11" s="384" t="n">
        <v>1.4</v>
      </c>
      <c r="N11" s="384" t="n">
        <v>0.714</v>
      </c>
      <c r="O11" s="384" t="n">
        <v>1</v>
      </c>
      <c r="P11" s="384" t="n">
        <v>1</v>
      </c>
      <c r="Q11" s="384" t="n">
        <v>0.714</v>
      </c>
      <c r="R11" s="384" t="n">
        <v>1</v>
      </c>
      <c r="S11" s="384" t="n">
        <v>1</v>
      </c>
      <c r="T11" s="384" t="n">
        <v>0.714</v>
      </c>
      <c r="U11" s="385" t="n">
        <v>1</v>
      </c>
    </row>
    <row r="12" customFormat="false" ht="13.8" hidden="false" customHeight="false" outlineLevel="0" collapsed="false">
      <c r="A12" s="384" t="s">
        <v>154</v>
      </c>
      <c r="B12" s="260" t="s">
        <v>2799</v>
      </c>
      <c r="C12" s="384" t="n">
        <v>1</v>
      </c>
      <c r="D12" s="384" t="n">
        <v>1</v>
      </c>
      <c r="E12" s="384" t="n">
        <v>1</v>
      </c>
      <c r="F12" s="384" t="n">
        <v>1</v>
      </c>
      <c r="G12" s="384" t="n">
        <v>1</v>
      </c>
      <c r="H12" s="384" t="n">
        <v>1</v>
      </c>
      <c r="I12" s="384" t="n">
        <v>1</v>
      </c>
      <c r="J12" s="384" t="n">
        <v>1</v>
      </c>
      <c r="K12" s="384" t="n">
        <v>0.714</v>
      </c>
      <c r="L12" s="384" t="n">
        <v>0.714</v>
      </c>
      <c r="M12" s="384" t="n">
        <v>0.714</v>
      </c>
      <c r="N12" s="384" t="n">
        <v>1.4</v>
      </c>
      <c r="O12" s="384" t="n">
        <v>1.4</v>
      </c>
      <c r="P12" s="384" t="n">
        <v>1</v>
      </c>
      <c r="Q12" s="384" t="n">
        <v>0.714</v>
      </c>
      <c r="R12" s="384" t="n">
        <v>1</v>
      </c>
      <c r="S12" s="384" t="n">
        <v>1</v>
      </c>
      <c r="T12" s="384" t="n">
        <v>1</v>
      </c>
      <c r="U12" s="385" t="n">
        <v>1</v>
      </c>
    </row>
    <row r="13" customFormat="false" ht="13.8" hidden="false" customHeight="false" outlineLevel="0" collapsed="false">
      <c r="A13" s="384" t="s">
        <v>155</v>
      </c>
      <c r="B13" s="260" t="s">
        <v>2798</v>
      </c>
      <c r="C13" s="384" t="n">
        <v>1</v>
      </c>
      <c r="D13" s="384" t="n">
        <v>1</v>
      </c>
      <c r="E13" s="384" t="n">
        <v>1.4</v>
      </c>
      <c r="F13" s="384" t="n">
        <v>1.4</v>
      </c>
      <c r="G13" s="384" t="n">
        <v>0.714</v>
      </c>
      <c r="H13" s="384" t="n">
        <v>1</v>
      </c>
      <c r="I13" s="384" t="n">
        <v>1.4</v>
      </c>
      <c r="J13" s="384" t="n">
        <v>1</v>
      </c>
      <c r="K13" s="384" t="n">
        <v>1</v>
      </c>
      <c r="L13" s="384" t="n">
        <v>1.4</v>
      </c>
      <c r="M13" s="384" t="n">
        <v>0.714</v>
      </c>
      <c r="N13" s="384" t="n">
        <v>0.714</v>
      </c>
      <c r="O13" s="384" t="n">
        <v>0.714</v>
      </c>
      <c r="P13" s="384" t="n">
        <v>1</v>
      </c>
      <c r="Q13" s="384" t="n">
        <v>1.4</v>
      </c>
      <c r="R13" s="384" t="n">
        <v>1</v>
      </c>
      <c r="S13" s="384" t="n">
        <v>1</v>
      </c>
      <c r="T13" s="384" t="n">
        <v>1</v>
      </c>
      <c r="U13" s="385" t="n">
        <v>1</v>
      </c>
    </row>
    <row r="14" customFormat="false" ht="13.8" hidden="false" customHeight="false" outlineLevel="0" collapsed="false">
      <c r="A14" s="384" t="s">
        <v>156</v>
      </c>
      <c r="B14" s="260" t="s">
        <v>2799</v>
      </c>
      <c r="C14" s="384" t="n">
        <v>1</v>
      </c>
      <c r="D14" s="384" t="n">
        <v>1</v>
      </c>
      <c r="E14" s="384" t="n">
        <v>0.714</v>
      </c>
      <c r="F14" s="384" t="n">
        <v>1</v>
      </c>
      <c r="G14" s="384" t="n">
        <v>1.4</v>
      </c>
      <c r="H14" s="384" t="n">
        <v>1</v>
      </c>
      <c r="I14" s="384" t="n">
        <v>1</v>
      </c>
      <c r="J14" s="384" t="n">
        <v>1</v>
      </c>
      <c r="K14" s="384" t="n">
        <v>0.714</v>
      </c>
      <c r="L14" s="384" t="n">
        <v>1</v>
      </c>
      <c r="M14" s="384" t="n">
        <v>1</v>
      </c>
      <c r="N14" s="384" t="n">
        <v>1</v>
      </c>
      <c r="O14" s="384" t="n">
        <v>0.714</v>
      </c>
      <c r="P14" s="384" t="n">
        <v>1</v>
      </c>
      <c r="Q14" s="384" t="n">
        <v>1</v>
      </c>
      <c r="R14" s="384" t="n">
        <v>1</v>
      </c>
      <c r="S14" s="384" t="n">
        <v>1</v>
      </c>
      <c r="T14" s="384" t="n">
        <v>1</v>
      </c>
      <c r="U14" s="385" t="n">
        <v>1</v>
      </c>
    </row>
    <row r="15" customFormat="false" ht="13.8" hidden="false" customHeight="false" outlineLevel="0" collapsed="false">
      <c r="A15" s="384" t="s">
        <v>157</v>
      </c>
      <c r="B15" s="260" t="s">
        <v>2797</v>
      </c>
      <c r="C15" s="384" t="n">
        <v>1</v>
      </c>
      <c r="D15" s="384" t="n">
        <v>0.714</v>
      </c>
      <c r="E15" s="384" t="n">
        <v>1</v>
      </c>
      <c r="F15" s="384" t="n">
        <v>1</v>
      </c>
      <c r="G15" s="384" t="n">
        <v>1</v>
      </c>
      <c r="H15" s="384" t="n">
        <v>1</v>
      </c>
      <c r="I15" s="384" t="n">
        <v>1.4</v>
      </c>
      <c r="J15" s="384" t="n">
        <v>1.4</v>
      </c>
      <c r="K15" s="384" t="n">
        <v>1</v>
      </c>
      <c r="L15" s="384" t="n">
        <v>1</v>
      </c>
      <c r="M15" s="384" t="n">
        <v>1</v>
      </c>
      <c r="N15" s="384" t="n">
        <v>1</v>
      </c>
      <c r="O15" s="384" t="n">
        <v>1</v>
      </c>
      <c r="P15" s="384" t="n">
        <v>0.714</v>
      </c>
      <c r="Q15" s="384" t="n">
        <v>1</v>
      </c>
      <c r="R15" s="384" t="n">
        <v>1</v>
      </c>
      <c r="S15" s="384" t="n">
        <v>1.4</v>
      </c>
      <c r="T15" s="384" t="n">
        <v>1</v>
      </c>
      <c r="U15" s="385" t="n">
        <v>1</v>
      </c>
    </row>
    <row r="16" customFormat="false" ht="13.8" hidden="false" customHeight="false" outlineLevel="0" collapsed="false">
      <c r="A16" s="384" t="s">
        <v>158</v>
      </c>
      <c r="B16" s="260" t="s">
        <v>2801</v>
      </c>
      <c r="C16" s="384" t="n">
        <v>1</v>
      </c>
      <c r="D16" s="384" t="n">
        <v>1.4</v>
      </c>
      <c r="E16" s="384" t="n">
        <v>1</v>
      </c>
      <c r="F16" s="384" t="n">
        <v>1</v>
      </c>
      <c r="G16" s="384" t="n">
        <v>1</v>
      </c>
      <c r="H16" s="384" t="n">
        <v>1.4</v>
      </c>
      <c r="I16" s="384" t="n">
        <v>1</v>
      </c>
      <c r="J16" s="384" t="n">
        <v>1</v>
      </c>
      <c r="K16" s="384" t="n">
        <v>1.4</v>
      </c>
      <c r="L16" s="384" t="n">
        <v>1.4</v>
      </c>
      <c r="M16" s="384" t="n">
        <v>1</v>
      </c>
      <c r="N16" s="384" t="n">
        <v>1</v>
      </c>
      <c r="O16" s="384" t="n">
        <v>1</v>
      </c>
      <c r="P16" s="384" t="n">
        <v>1</v>
      </c>
      <c r="Q16" s="384" t="n">
        <v>0.714</v>
      </c>
      <c r="R16" s="384" t="n">
        <v>1</v>
      </c>
      <c r="S16" s="384" t="n">
        <v>1</v>
      </c>
      <c r="T16" s="384" t="n">
        <v>1</v>
      </c>
      <c r="U16" s="385" t="n">
        <v>1</v>
      </c>
    </row>
    <row r="17" customFormat="false" ht="13.8" hidden="false" customHeight="false" outlineLevel="0" collapsed="false">
      <c r="A17" s="384" t="s">
        <v>159</v>
      </c>
      <c r="B17" s="260" t="s">
        <v>2797</v>
      </c>
      <c r="C17" s="384" t="n">
        <v>1</v>
      </c>
      <c r="D17" s="384" t="n">
        <v>1</v>
      </c>
      <c r="E17" s="384" t="n">
        <v>1</v>
      </c>
      <c r="F17" s="384" t="n">
        <v>1</v>
      </c>
      <c r="G17" s="384" t="n">
        <v>1</v>
      </c>
      <c r="H17" s="384" t="n">
        <v>1</v>
      </c>
      <c r="I17" s="384" t="n">
        <v>1</v>
      </c>
      <c r="J17" s="384" t="n">
        <v>1</v>
      </c>
      <c r="K17" s="384" t="n">
        <v>1</v>
      </c>
      <c r="L17" s="384" t="n">
        <v>0.714</v>
      </c>
      <c r="M17" s="384" t="n">
        <v>0.714</v>
      </c>
      <c r="N17" s="384" t="n">
        <v>0.714</v>
      </c>
      <c r="O17" s="384" t="n">
        <v>0.714</v>
      </c>
      <c r="P17" s="384" t="n">
        <v>1</v>
      </c>
      <c r="Q17" s="384" t="n">
        <v>1.4</v>
      </c>
      <c r="R17" s="384" t="n">
        <v>1.4</v>
      </c>
      <c r="S17" s="384" t="n">
        <v>1</v>
      </c>
      <c r="T17" s="384" t="n">
        <v>1.4</v>
      </c>
      <c r="U17" s="385" t="n">
        <v>1</v>
      </c>
    </row>
    <row r="18" customFormat="false" ht="13.8" hidden="false" customHeight="false" outlineLevel="0" collapsed="false">
      <c r="A18" s="384" t="s">
        <v>160</v>
      </c>
      <c r="B18" s="260" t="s">
        <v>2800</v>
      </c>
      <c r="C18" s="384" t="n">
        <v>1</v>
      </c>
      <c r="D18" s="384" t="n">
        <v>1.4</v>
      </c>
      <c r="E18" s="384" t="n">
        <v>1</v>
      </c>
      <c r="F18" s="384" t="n">
        <v>1</v>
      </c>
      <c r="G18" s="384" t="n">
        <v>1</v>
      </c>
      <c r="H18" s="384" t="n">
        <v>1</v>
      </c>
      <c r="I18" s="384" t="n">
        <v>1.4</v>
      </c>
      <c r="J18" s="384" t="n">
        <v>0.714</v>
      </c>
      <c r="K18" s="384" t="n">
        <v>1</v>
      </c>
      <c r="L18" s="384" t="n">
        <v>1</v>
      </c>
      <c r="M18" s="384" t="n">
        <v>1</v>
      </c>
      <c r="N18" s="384" t="n">
        <v>1</v>
      </c>
      <c r="O18" s="384" t="n">
        <v>1</v>
      </c>
      <c r="P18" s="384" t="n">
        <v>0.51</v>
      </c>
      <c r="Q18" s="384" t="n">
        <v>1</v>
      </c>
      <c r="R18" s="384" t="n">
        <v>1</v>
      </c>
      <c r="S18" s="384" t="n">
        <v>0.714</v>
      </c>
      <c r="T18" s="384" t="n">
        <v>1.4</v>
      </c>
      <c r="U18" s="385" t="n">
        <v>1</v>
      </c>
    </row>
    <row r="19" customFormat="false" ht="13.8" hidden="false" customHeight="false" outlineLevel="0" collapsed="false">
      <c r="A19" s="384" t="s">
        <v>161</v>
      </c>
      <c r="B19" s="260" t="s">
        <v>137</v>
      </c>
      <c r="C19" s="384" t="n">
        <v>1</v>
      </c>
      <c r="D19" s="384" t="n">
        <v>0.714</v>
      </c>
      <c r="E19" s="384" t="n">
        <v>1</v>
      </c>
      <c r="F19" s="384" t="n">
        <v>1.4</v>
      </c>
      <c r="G19" s="384" t="n">
        <v>1</v>
      </c>
      <c r="H19" s="384" t="n">
        <v>1</v>
      </c>
      <c r="I19" s="384" t="n">
        <v>0.714</v>
      </c>
      <c r="J19" s="384" t="n">
        <v>1</v>
      </c>
      <c r="K19" s="384" t="n">
        <v>1.4</v>
      </c>
      <c r="L19" s="384" t="n">
        <v>1</v>
      </c>
      <c r="M19" s="384" t="n">
        <v>1</v>
      </c>
      <c r="N19" s="384" t="n">
        <v>1</v>
      </c>
      <c r="O19" s="384" t="n">
        <v>1</v>
      </c>
      <c r="P19" s="384" t="n">
        <v>1</v>
      </c>
      <c r="Q19" s="384" t="n">
        <v>1</v>
      </c>
      <c r="R19" s="384" t="n">
        <v>0.51</v>
      </c>
      <c r="S19" s="384" t="n">
        <v>0.714</v>
      </c>
      <c r="T19" s="384" t="n">
        <v>1</v>
      </c>
      <c r="U19" s="385" t="n">
        <v>1</v>
      </c>
    </row>
    <row r="20" customFormat="false" ht="13.8" hidden="false" customHeight="false" outlineLevel="0" collapsed="false">
      <c r="A20" s="260" t="s">
        <v>162</v>
      </c>
      <c r="B20" s="260"/>
      <c r="C20" s="384" t="n">
        <v>1</v>
      </c>
      <c r="D20" s="384" t="n">
        <v>1</v>
      </c>
      <c r="E20" s="384" t="n">
        <v>1</v>
      </c>
      <c r="F20" s="384" t="n">
        <v>1</v>
      </c>
      <c r="G20" s="384" t="n">
        <v>1</v>
      </c>
      <c r="H20" s="384" t="n">
        <v>1</v>
      </c>
      <c r="I20" s="384" t="n">
        <v>1</v>
      </c>
      <c r="J20" s="384" t="n">
        <v>1</v>
      </c>
      <c r="K20" s="384" t="n">
        <v>1</v>
      </c>
      <c r="L20" s="384" t="n">
        <v>1</v>
      </c>
      <c r="M20" s="384" t="n">
        <v>1</v>
      </c>
      <c r="N20" s="384" t="n">
        <v>1</v>
      </c>
      <c r="O20" s="384" t="n">
        <v>1</v>
      </c>
      <c r="P20" s="384" t="n">
        <v>1</v>
      </c>
      <c r="Q20" s="384" t="n">
        <v>1</v>
      </c>
      <c r="R20" s="384" t="n">
        <v>1</v>
      </c>
      <c r="S20" s="384" t="n">
        <v>1</v>
      </c>
      <c r="T20" s="384" t="n">
        <v>1</v>
      </c>
      <c r="U20" s="385" t="n">
        <v>1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3" min="1" style="0" width="21.57"/>
    <col collapsed="false" customWidth="true" hidden="false" outlineLevel="0" max="6" min="4" style="0" width="14.43"/>
    <col collapsed="false" customWidth="true" hidden="false" outlineLevel="0" max="7" min="7" style="0" width="20.98"/>
    <col collapsed="false" customWidth="true" hidden="false" outlineLevel="0" max="1025" min="8" style="0" width="14.43"/>
  </cols>
  <sheetData>
    <row r="1" customFormat="false" ht="15.75" hidden="false" customHeight="false" outlineLevel="0" collapsed="false">
      <c r="A1" s="364"/>
      <c r="B1" s="364"/>
      <c r="C1" s="262"/>
      <c r="D1" s="364" t="n">
        <f aca="false">'Pokémon GO Dex'!C4</f>
        <v>0</v>
      </c>
      <c r="E1" s="364"/>
      <c r="F1" s="364"/>
      <c r="G1" s="364"/>
      <c r="H1" s="364"/>
      <c r="I1" s="364"/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</row>
    <row r="2" customFormat="false" ht="15.75" hidden="false" customHeight="false" outlineLevel="0" collapsed="false">
      <c r="A2" s="261" t="str">
        <f aca="false">IFERROR(__xludf.dummyfunction("UNIQUE('0.0.1 Pokémon Dex Data'!C3:C1498)"),"Bulbasaur")</f>
        <v>Bulbasaur</v>
      </c>
      <c r="B2" s="365"/>
      <c r="C2" s="365" t="s">
        <v>2802</v>
      </c>
      <c r="D2" s="364" t="e">
        <f aca="false" t="array" ref="D2:D2">IF(INDEX('0.0.1 Pokémon Dex Data'!$D$3:$D1501,MATCH(D1,'0.0.1 Pokémon Dex Data'!$C$3:$C1501,0))="N/A",0,1)</f>
        <v>#N/A</v>
      </c>
      <c r="E2" s="261"/>
      <c r="F2" s="386" t="e">
        <f aca="false" t="array" ref="F2:F2">IF($D$2=1,INDEX('0.0.1 Pokémon Dex Data'!$B$3:$B$1499,MATCH($D$1,'0.0.1 Pokémon Dex Data'!$C$3:$C$1499,0)),"")</f>
        <v>#N/A</v>
      </c>
      <c r="G2" s="387" t="e">
        <f aca="false" t="array" ref="G2:G2">IF(COUNTBLANK(F2),"N/A",INDEX('0.0.1 Pokémon Dex Data'!$D$3:$D$1499,MATCH(F2,'0.0.1 Pokémon Dex Data'!$B$3:$B$1499,0)))</f>
        <v>#N/A</v>
      </c>
      <c r="H2" s="364"/>
      <c r="I2" s="388"/>
      <c r="J2" s="389" t="e">
        <f aca="false">ROUND(J4*J5,2)</f>
        <v>#N/A</v>
      </c>
      <c r="K2" s="389" t="e">
        <f aca="false">ROUND(K4*K5,2)</f>
        <v>#N/A</v>
      </c>
      <c r="L2" s="389" t="e">
        <f aca="false">ROUND(L4*L5,2)</f>
        <v>#N/A</v>
      </c>
      <c r="M2" s="389" t="e">
        <f aca="false">ROUND(M4*M5,2)</f>
        <v>#N/A</v>
      </c>
      <c r="N2" s="389" t="e">
        <f aca="false">ROUND(N4*N5,2)</f>
        <v>#N/A</v>
      </c>
      <c r="O2" s="389" t="e">
        <f aca="false">ROUND(O4*O5,2)</f>
        <v>#N/A</v>
      </c>
      <c r="P2" s="389" t="e">
        <f aca="false">ROUND(P4*P5,2)</f>
        <v>#N/A</v>
      </c>
      <c r="Q2" s="389" t="e">
        <f aca="false">ROUND(Q4*Q5,2)</f>
        <v>#N/A</v>
      </c>
      <c r="R2" s="389" t="e">
        <f aca="false">ROUND(R4*R5,2)</f>
        <v>#N/A</v>
      </c>
      <c r="S2" s="389" t="e">
        <f aca="false">ROUND(S4*S5,2)</f>
        <v>#N/A</v>
      </c>
      <c r="T2" s="389" t="e">
        <f aca="false">ROUND(T4*T5,2)</f>
        <v>#N/A</v>
      </c>
      <c r="U2" s="389" t="e">
        <f aca="false">ROUND(U4*U5,2)</f>
        <v>#N/A</v>
      </c>
      <c r="V2" s="389" t="e">
        <f aca="false">ROUND(V4*V5,2)</f>
        <v>#N/A</v>
      </c>
      <c r="W2" s="389" t="e">
        <f aca="false">ROUND(W4*W5,2)</f>
        <v>#N/A</v>
      </c>
      <c r="X2" s="389" t="e">
        <f aca="false">ROUND(X4*X5,2)</f>
        <v>#N/A</v>
      </c>
      <c r="Y2" s="389" t="e">
        <f aca="false">ROUND(Y4*Y5,2)</f>
        <v>#N/A</v>
      </c>
      <c r="Z2" s="389" t="e">
        <f aca="false">ROUND(Z4*Z5,2)</f>
        <v>#N/A</v>
      </c>
      <c r="AA2" s="390" t="e">
        <f aca="false">ROUND(AA4*AA5,2)</f>
        <v>#N/A</v>
      </c>
    </row>
    <row r="3" customFormat="false" ht="15.75" hidden="false" customHeight="false" outlineLevel="0" collapsed="false">
      <c r="A3" s="261" t="str">
        <f aca="false">IFERROR(__xludf.dummyfunction("""COMPUTED_VALUE"""),"Ivysaur")</f>
        <v>Ivysaur</v>
      </c>
      <c r="B3" s="365"/>
      <c r="C3" s="365" t="s">
        <v>2803</v>
      </c>
      <c r="D3" s="364" t="e">
        <f aca="false" t="array" ref="D3:D3">IF(AND(D2=1,(COUNTIF(G2:G19,'Pokémon GO Dex'!E4))),INDEX(F2:F19,MATCH('Pokémon GO Dex'!E4,G2:G19,0)),INDEX('0.0.1 Pokémon Dex Data'!B3:B1501,MATCH('Pokémon GO Dex'!C4,'0.0.1 Pokémon Dex Data'!$C$3:$C1501,0)))</f>
        <v>#N/A</v>
      </c>
      <c r="E3" s="261"/>
      <c r="F3" s="391" t="e">
        <f aca="false" t="array" ref="F3:F3">IF(AND($D$2=1,F2&lt;MAX('0.0.1 Pokémon Dex Data'!$B$3:$B$1499),NOT(COUNTBLANK(F2))),IF(INDEX('0.0.1 Pokémon Dex Data'!$C$3:$C$1499,MATCH(F2+1,'0.0.1 Pokémon Dex Data'!$B$3:$B$1499,0))=$D$1,F2+1,""),"")</f>
        <v>#N/A</v>
      </c>
      <c r="G3" s="362" t="e">
        <f aca="false" t="array" ref="G3:G3">IF(COUNTBLANK(F3),"",INDEX('0.0.1 Pokémon Dex Data'!$D$3:$D$1499,MATCH(F3,'0.0.1 Pokémon Dex Data'!$B$3:$B$1499,0)))</f>
        <v>#N/A</v>
      </c>
      <c r="H3" s="364"/>
      <c r="I3" s="391"/>
      <c r="J3" s="261" t="s">
        <v>144</v>
      </c>
      <c r="K3" s="261" t="s">
        <v>145</v>
      </c>
      <c r="L3" s="261" t="s">
        <v>146</v>
      </c>
      <c r="M3" s="261" t="s">
        <v>147</v>
      </c>
      <c r="N3" s="261" t="s">
        <v>148</v>
      </c>
      <c r="O3" s="261" t="s">
        <v>149</v>
      </c>
      <c r="P3" s="261" t="s">
        <v>150</v>
      </c>
      <c r="Q3" s="261" t="s">
        <v>151</v>
      </c>
      <c r="R3" s="261" t="s">
        <v>152</v>
      </c>
      <c r="S3" s="261" t="s">
        <v>153</v>
      </c>
      <c r="T3" s="261" t="s">
        <v>154</v>
      </c>
      <c r="U3" s="261" t="s">
        <v>155</v>
      </c>
      <c r="V3" s="261" t="s">
        <v>156</v>
      </c>
      <c r="W3" s="261" t="s">
        <v>157</v>
      </c>
      <c r="X3" s="261" t="s">
        <v>158</v>
      </c>
      <c r="Y3" s="261" t="s">
        <v>159</v>
      </c>
      <c r="Z3" s="261" t="s">
        <v>160</v>
      </c>
      <c r="AA3" s="362" t="s">
        <v>161</v>
      </c>
    </row>
    <row r="4" customFormat="false" ht="15.75" hidden="false" customHeight="false" outlineLevel="0" collapsed="false">
      <c r="A4" s="261" t="str">
        <f aca="false">IFERROR(__xludf.dummyfunction("""COMPUTED_VALUE"""),"Venusaur")</f>
        <v>Venusaur</v>
      </c>
      <c r="B4" s="365"/>
      <c r="C4" s="365"/>
      <c r="D4" s="364"/>
      <c r="E4" s="261"/>
      <c r="F4" s="391" t="e">
        <f aca="false" t="array" ref="F4:F4">IF(AND($D$2=1,F3&lt;MAX('0.0.1 Pokémon Dex Data'!$B$3:$B$1499),NOT(COUNTBLANK(F3))),IF(INDEX('0.0.1 Pokémon Dex Data'!$C$3:$C$1499,MATCH(F3+1,'0.0.1 Pokémon Dex Data'!$B$3:$B$1499,0))=$D$1,F3+1,""),"")</f>
        <v>#N/A</v>
      </c>
      <c r="G4" s="362" t="e">
        <f aca="false" t="array" ref="G4:G4">IF(COUNTBLANK(F4),"",INDEX('0.0.1 Pokémon Dex Data'!$D$3:$D$1499,MATCH(F4,'0.0.1 Pokémon Dex Data'!$B$3:$B$1499,0)))</f>
        <v>#N/A</v>
      </c>
      <c r="H4" s="364"/>
      <c r="I4" s="391" t="e">
        <f aca="false">D5</f>
        <v>#N/A</v>
      </c>
      <c r="J4" s="392" t="e">
        <f aca="false" t="array" ref="J4:J4">INDEX('0.3.1 Type Table'!C$2:C$20,MATCH($I4,'0.3.1 Type Table'!$A$2:$A$20,0))</f>
        <v>#N/A</v>
      </c>
      <c r="K4" s="392" t="e">
        <f aca="false" t="array" ref="K4:K4">INDEX('0.3.1 Type Table'!D$2:D$20,MATCH($I4,'0.3.1 Type Table'!$A$2:$A$20,0))</f>
        <v>#N/A</v>
      </c>
      <c r="L4" s="392" t="e">
        <f aca="false" t="array" ref="L4:L4">INDEX('0.3.1 Type Table'!E$2:E$20,MATCH($I4,'0.3.1 Type Table'!$A$2:$A$20,0))</f>
        <v>#N/A</v>
      </c>
      <c r="M4" s="392" t="e">
        <f aca="false" t="array" ref="M4:M4">INDEX('0.3.1 Type Table'!F$2:F$20,MATCH($I4,'0.3.1 Type Table'!$A$2:$A$20,0))</f>
        <v>#N/A</v>
      </c>
      <c r="N4" s="392" t="e">
        <f aca="false" t="array" ref="N4:N4">INDEX('0.3.1 Type Table'!G$2:G$20,MATCH($I4,'0.3.1 Type Table'!$A$2:$A$20,0))</f>
        <v>#N/A</v>
      </c>
      <c r="O4" s="392" t="e">
        <f aca="false" t="array" ref="O4:O4">INDEX('0.3.1 Type Table'!H$2:H$20,MATCH($I4,'0.3.1 Type Table'!$A$2:$A$20,0))</f>
        <v>#N/A</v>
      </c>
      <c r="P4" s="392" t="e">
        <f aca="false" t="array" ref="P4:P4">INDEX('0.3.1 Type Table'!I$2:I$20,MATCH($I4,'0.3.1 Type Table'!$A$2:$A$20,0))</f>
        <v>#N/A</v>
      </c>
      <c r="Q4" s="392" t="e">
        <f aca="false" t="array" ref="Q4:Q4">INDEX('0.3.1 Type Table'!J$2:J$20,MATCH($I4,'0.3.1 Type Table'!$A$2:$A$20,0))</f>
        <v>#N/A</v>
      </c>
      <c r="R4" s="392" t="e">
        <f aca="false" t="array" ref="R4:R4">INDEX('0.3.1 Type Table'!K$2:K$20,MATCH($I4,'0.3.1 Type Table'!$A$2:$A$20,0))</f>
        <v>#N/A</v>
      </c>
      <c r="S4" s="392" t="e">
        <f aca="false" t="array" ref="S4:S4">INDEX('0.3.1 Type Table'!L$2:L$20,MATCH($I4,'0.3.1 Type Table'!$A$2:$A$20,0))</f>
        <v>#N/A</v>
      </c>
      <c r="T4" s="392" t="e">
        <f aca="false" t="array" ref="T4:T4">INDEX('0.3.1 Type Table'!M$2:M$20,MATCH($I4,'0.3.1 Type Table'!$A$2:$A$20,0))</f>
        <v>#N/A</v>
      </c>
      <c r="U4" s="392" t="e">
        <f aca="false" t="array" ref="U4:U4">INDEX('0.3.1 Type Table'!N$2:N$20,MATCH($I4,'0.3.1 Type Table'!$A$2:$A$20,0))</f>
        <v>#N/A</v>
      </c>
      <c r="V4" s="392" t="e">
        <f aca="false" t="array" ref="V4:V4">INDEX('0.3.1 Type Table'!O$2:O$20,MATCH($I4,'0.3.1 Type Table'!$A$2:$A$20,0))</f>
        <v>#N/A</v>
      </c>
      <c r="W4" s="392" t="e">
        <f aca="false" t="array" ref="W4:W4">INDEX('0.3.1 Type Table'!P$2:P$20,MATCH($I4,'0.3.1 Type Table'!$A$2:$A$20,0))</f>
        <v>#N/A</v>
      </c>
      <c r="X4" s="392" t="e">
        <f aca="false" t="array" ref="X4:X4">INDEX('0.3.1 Type Table'!Q$2:Q$20,MATCH($I4,'0.3.1 Type Table'!$A$2:$A$20,0))</f>
        <v>#N/A</v>
      </c>
      <c r="Y4" s="392" t="e">
        <f aca="false" t="array" ref="Y4:Y4">INDEX('0.3.1 Type Table'!R$2:R$20,MATCH($I4,'0.3.1 Type Table'!$A$2:$A$20,0))</f>
        <v>#N/A</v>
      </c>
      <c r="Z4" s="392" t="e">
        <f aca="false" t="array" ref="Z4:Z4">INDEX('0.3.1 Type Table'!S$2:S$20,MATCH($I4,'0.3.1 Type Table'!$A$2:$A$20,0))</f>
        <v>#N/A</v>
      </c>
      <c r="AA4" s="393" t="e">
        <f aca="false" t="array" ref="AA4:AA4">INDEX('0.3.1 Type Table'!T$2:T$20,MATCH($I4,'0.3.1 Type Table'!$A$2:$A$20,0))</f>
        <v>#N/A</v>
      </c>
    </row>
    <row r="5" customFormat="false" ht="15.75" hidden="false" customHeight="false" outlineLevel="0" collapsed="false">
      <c r="A5" s="261" t="str">
        <f aca="false">IFERROR(__xludf.dummyfunction("""COMPUTED_VALUE"""),"Charmander")</f>
        <v>Charmander</v>
      </c>
      <c r="B5" s="365"/>
      <c r="C5" s="365" t="s">
        <v>2804</v>
      </c>
      <c r="D5" s="364" t="e">
        <f aca="false" t="array" ref="D5:D5">INDEX('0.0.1 Pokémon Dex Data'!$Q$3:$Q1501,MATCH(D3,'0.0.1 Pokémon Dex Data'!$B$3:$B1501,0))</f>
        <v>#N/A</v>
      </c>
      <c r="E5" s="364"/>
      <c r="F5" s="391" t="e">
        <f aca="false" t="array" ref="F5:F5">IF(AND($D$2=1,F4&lt;MAX('0.0.1 Pokémon Dex Data'!$B$3:$B$1499),NOT(COUNTBLANK(F4))),IF(INDEX('0.0.1 Pokémon Dex Data'!$C$3:$C$1499,MATCH(F4+1,'0.0.1 Pokémon Dex Data'!$B$3:$B$1499,0))=$D$1,F4+1,""),"")</f>
        <v>#N/A</v>
      </c>
      <c r="G5" s="362" t="e">
        <f aca="false" t="array" ref="G5:G5">IF(COUNTBLANK(F5),"",INDEX('0.0.1 Pokémon Dex Data'!$D$3:$D$1499,MATCH(F5,'0.0.1 Pokémon Dex Data'!$B$3:$B$1499,0)))</f>
        <v>#N/A</v>
      </c>
      <c r="H5" s="364"/>
      <c r="I5" s="394" t="e">
        <f aca="false">IF(ISBLANK(D6),"Empty",D6)</f>
        <v>#N/A</v>
      </c>
      <c r="J5" s="395" t="e">
        <f aca="false" t="array" ref="J5:J5">INDEX('0.3.1 Type Table'!C$2:C$20,MATCH($I5,'0.3.1 Type Table'!$A$2:$A$20,0))</f>
        <v>#N/A</v>
      </c>
      <c r="K5" s="395" t="e">
        <f aca="false" t="array" ref="K5:K5">INDEX('0.3.1 Type Table'!D$2:D$20,MATCH($I5,'0.3.1 Type Table'!$A$2:$A$20,0))</f>
        <v>#N/A</v>
      </c>
      <c r="L5" s="395" t="e">
        <f aca="false" t="array" ref="L5:L5">INDEX('0.3.1 Type Table'!E$2:E$20,MATCH($I5,'0.3.1 Type Table'!$A$2:$A$20,0))</f>
        <v>#N/A</v>
      </c>
      <c r="M5" s="395" t="e">
        <f aca="false" t="array" ref="M5:M5">INDEX('0.3.1 Type Table'!F$2:F$20,MATCH($I5,'0.3.1 Type Table'!$A$2:$A$20,0))</f>
        <v>#N/A</v>
      </c>
      <c r="N5" s="395" t="e">
        <f aca="false" t="array" ref="N5:N5">INDEX('0.3.1 Type Table'!G$2:G$20,MATCH($I5,'0.3.1 Type Table'!$A$2:$A$20,0))</f>
        <v>#N/A</v>
      </c>
      <c r="O5" s="395" t="e">
        <f aca="false" t="array" ref="O5:O5">INDEX('0.3.1 Type Table'!H$2:H$20,MATCH($I5,'0.3.1 Type Table'!$A$2:$A$20,0))</f>
        <v>#N/A</v>
      </c>
      <c r="P5" s="395" t="e">
        <f aca="false" t="array" ref="P5:P5">INDEX('0.3.1 Type Table'!I$2:I$20,MATCH($I5,'0.3.1 Type Table'!$A$2:$A$20,0))</f>
        <v>#N/A</v>
      </c>
      <c r="Q5" s="395" t="e">
        <f aca="false" t="array" ref="Q5:Q5">INDEX('0.3.1 Type Table'!J$2:J$20,MATCH($I5,'0.3.1 Type Table'!$A$2:$A$20,0))</f>
        <v>#N/A</v>
      </c>
      <c r="R5" s="395" t="e">
        <f aca="false" t="array" ref="R5:R5">INDEX('0.3.1 Type Table'!K$2:K$20,MATCH($I5,'0.3.1 Type Table'!$A$2:$A$20,0))</f>
        <v>#N/A</v>
      </c>
      <c r="S5" s="395" t="e">
        <f aca="false" t="array" ref="S5:S5">INDEX('0.3.1 Type Table'!L$2:L$20,MATCH($I5,'0.3.1 Type Table'!$A$2:$A$20,0))</f>
        <v>#N/A</v>
      </c>
      <c r="T5" s="395" t="e">
        <f aca="false" t="array" ref="T5:T5">INDEX('0.3.1 Type Table'!M$2:M$20,MATCH($I5,'0.3.1 Type Table'!$A$2:$A$20,0))</f>
        <v>#N/A</v>
      </c>
      <c r="U5" s="395" t="e">
        <f aca="false" t="array" ref="U5:U5">INDEX('0.3.1 Type Table'!N$2:N$20,MATCH($I5,'0.3.1 Type Table'!$A$2:$A$20,0))</f>
        <v>#N/A</v>
      </c>
      <c r="V5" s="395" t="e">
        <f aca="false" t="array" ref="V5:V5">INDEX('0.3.1 Type Table'!O$2:O$20,MATCH($I5,'0.3.1 Type Table'!$A$2:$A$20,0))</f>
        <v>#N/A</v>
      </c>
      <c r="W5" s="395" t="e">
        <f aca="false" t="array" ref="W5:W5">INDEX('0.3.1 Type Table'!P$2:P$20,MATCH($I5,'0.3.1 Type Table'!$A$2:$A$20,0))</f>
        <v>#N/A</v>
      </c>
      <c r="X5" s="395" t="e">
        <f aca="false" t="array" ref="X5:X5">INDEX('0.3.1 Type Table'!Q$2:Q$20,MATCH($I5,'0.3.1 Type Table'!$A$2:$A$20,0))</f>
        <v>#N/A</v>
      </c>
      <c r="Y5" s="395" t="e">
        <f aca="false" t="array" ref="Y5:Y5">INDEX('0.3.1 Type Table'!R$2:R$20,MATCH($I5,'0.3.1 Type Table'!$A$2:$A$20,0))</f>
        <v>#N/A</v>
      </c>
      <c r="Z5" s="395" t="e">
        <f aca="false" t="array" ref="Z5:Z5">INDEX('0.3.1 Type Table'!S$2:S$20,MATCH($I5,'0.3.1 Type Table'!$A$2:$A$20,0))</f>
        <v>#N/A</v>
      </c>
      <c r="AA5" s="396" t="e">
        <f aca="false" t="array" ref="AA5:AA5">INDEX('0.3.1 Type Table'!T$2:T$20,MATCH($I5,'0.3.1 Type Table'!$A$2:$A$20,0))</f>
        <v>#N/A</v>
      </c>
    </row>
    <row r="6" customFormat="false" ht="15.75" hidden="false" customHeight="false" outlineLevel="0" collapsed="false">
      <c r="A6" s="261" t="str">
        <f aca="false">IFERROR(__xludf.dummyfunction("""COMPUTED_VALUE"""),"Charmeleon")</f>
        <v>Charmeleon</v>
      </c>
      <c r="B6" s="365"/>
      <c r="C6" s="365" t="s">
        <v>2805</v>
      </c>
      <c r="D6" s="364" t="e">
        <f aca="false" t="array" ref="D6:D6">INDEX('0.0.1 Pokémon Dex Data'!$R$3:$R1501,MATCH(D3,'0.0.1 Pokémon Dex Data'!$B$3:$B1501,0))</f>
        <v>#N/A</v>
      </c>
      <c r="E6" s="364"/>
      <c r="F6" s="391" t="e">
        <f aca="false" t="array" ref="F6:F6">IF(AND($D$2=1,F5&lt;MAX('0.0.1 Pokémon Dex Data'!$B$3:$B$1499),NOT(COUNTBLANK(F5))),IF(INDEX('0.0.1 Pokémon Dex Data'!$C$3:$C$1499,MATCH(F5+1,'0.0.1 Pokémon Dex Data'!$B$3:$B$1499,0))=$D$1,F5+1,""),"")</f>
        <v>#N/A</v>
      </c>
      <c r="G6" s="362" t="e">
        <f aca="false" t="array" ref="G6:G6">IF(COUNTBLANK(F6),"",INDEX('0.0.1 Pokémon Dex Data'!$D$3:$D$1499,MATCH(F6,'0.0.1 Pokémon Dex Data'!$B$3:$B$1499,0)))</f>
        <v>#N/A</v>
      </c>
      <c r="H6" s="364"/>
      <c r="I6" s="364"/>
      <c r="J6" s="364"/>
      <c r="K6" s="364"/>
      <c r="L6" s="364"/>
      <c r="M6" s="364"/>
      <c r="N6" s="364"/>
      <c r="O6" s="364"/>
      <c r="P6" s="364"/>
      <c r="Q6" s="364"/>
      <c r="R6" s="364"/>
      <c r="S6" s="364"/>
      <c r="T6" s="364"/>
      <c r="U6" s="364"/>
      <c r="V6" s="364"/>
      <c r="W6" s="364"/>
      <c r="X6" s="364"/>
      <c r="Y6" s="364"/>
      <c r="Z6" s="364"/>
      <c r="AA6" s="364"/>
    </row>
    <row r="7" customFormat="false" ht="15.75" hidden="false" customHeight="false" outlineLevel="0" collapsed="false">
      <c r="A7" s="261" t="str">
        <f aca="false">IFERROR(__xludf.dummyfunction("""COMPUTED_VALUE"""),"Charizard")</f>
        <v>Charizard</v>
      </c>
      <c r="B7" s="365"/>
      <c r="E7" s="261"/>
      <c r="F7" s="391" t="e">
        <f aca="false" t="array" ref="F7:F7">IF(AND($D$2=1,F6&lt;MAX('0.0.1 Pokémon Dex Data'!$B$3:$B$1499),NOT(COUNTBLANK(F6))),IF(INDEX('0.0.1 Pokémon Dex Data'!$C$3:$C$1499,MATCH(F6+1,'0.0.1 Pokémon Dex Data'!$B$3:$B$1499,0))=$D$1,F6+1,""),"")</f>
        <v>#N/A</v>
      </c>
      <c r="G7" s="362" t="e">
        <f aca="false" t="array" ref="G7:G7">IF(COUNTBLANK(F7),"",INDEX('0.0.1 Pokémon Dex Data'!$D$3:$D$1499,MATCH(F7,'0.0.1 Pokémon Dex Data'!$B$3:$B$1499,0)))</f>
        <v>#N/A</v>
      </c>
      <c r="H7" s="364"/>
      <c r="I7" s="364"/>
      <c r="J7" s="364"/>
      <c r="K7" s="364"/>
      <c r="L7" s="364"/>
      <c r="M7" s="364"/>
      <c r="N7" s="364"/>
      <c r="O7" s="364"/>
      <c r="P7" s="364"/>
      <c r="Q7" s="364"/>
      <c r="R7" s="364"/>
      <c r="S7" s="364"/>
      <c r="T7" s="364"/>
      <c r="U7" s="364"/>
      <c r="V7" s="364"/>
      <c r="W7" s="364"/>
      <c r="X7" s="364"/>
      <c r="Y7" s="364"/>
      <c r="Z7" s="364"/>
      <c r="AA7" s="364"/>
    </row>
    <row r="8" customFormat="false" ht="15.75" hidden="false" customHeight="false" outlineLevel="0" collapsed="false">
      <c r="A8" s="261" t="str">
        <f aca="false">IFERROR(__xludf.dummyfunction("""COMPUTED_VALUE"""),"Squirtle")</f>
        <v>Squirtle</v>
      </c>
      <c r="B8" s="365"/>
      <c r="C8" s="364"/>
      <c r="D8" s="364"/>
      <c r="E8" s="261"/>
      <c r="F8" s="391" t="e">
        <f aca="false" t="array" ref="F8:F8">IF(AND($D$2=1,F7&lt;MAX('0.0.1 Pokémon Dex Data'!$B$3:$B$1499),NOT(COUNTBLANK(F7))),IF(INDEX('0.0.1 Pokémon Dex Data'!$C$3:$C$1499,MATCH(F7+1,'0.0.1 Pokémon Dex Data'!$B$3:$B$1499,0))=$D$1,F7+1,""),"")</f>
        <v>#N/A</v>
      </c>
      <c r="G8" s="362" t="e">
        <f aca="false" t="array" ref="G8:G8">IF(COUNTBLANK(F8),"",INDEX('0.0.1 Pokémon Dex Data'!$D$3:$D$1499,MATCH(F8,'0.0.1 Pokémon Dex Data'!$B$3:$B$1499,0)))</f>
        <v>#N/A</v>
      </c>
      <c r="H8" s="364"/>
      <c r="I8" s="388" t="s">
        <v>2806</v>
      </c>
      <c r="J8" s="397" t="n">
        <f aca="false">COUNTIF($J$2:$AA$2,0.36)</f>
        <v>0</v>
      </c>
      <c r="K8" s="398" t="e">
        <f aca="false" t="array" ref="K8:K8">INDEX($J$3:$AA$3, SMALL(IF(0.36=$J$2:$AA$2, COLUMN($J$3:$AA$3)-MIN(COLUMN($J$3:$AA$3))+1, ""), COLUMN(A$1)))</f>
        <v>#N/A</v>
      </c>
      <c r="L8" s="398" t="e">
        <f aca="false" t="array" ref="L8:L8">INDEX($J$3:$AA$3, SMALL(IF(0.36=$J$2:$AA$2, COLUMN($J$3:$AA$3)-MIN(COLUMN($J$3:$AA$3))+1, ""), COLUMN(B$1)))</f>
        <v>#N/A</v>
      </c>
      <c r="M8" s="398" t="e">
        <f aca="false" t="array" ref="M8:M8">INDEX($J$3:$AA$3, SMALL(IF(0.36=$J$2:$AA$2, COLUMN($J$3:$AA$3)-MIN(COLUMN($J$3:$AA$3))+1, ""), COLUMN(C$1)))</f>
        <v>#N/A</v>
      </c>
      <c r="N8" s="398" t="e">
        <f aca="false" t="array" ref="N8:N8">INDEX($J$3:$AA$3, SMALL(IF(0.36=$J$2:$AA$2, COLUMN($J$3:$AA$3)-MIN(COLUMN($J$3:$AA$3))+1, ""), COLUMN(D$1)))</f>
        <v>#N/A</v>
      </c>
      <c r="O8" s="398" t="e">
        <f aca="false" t="array" ref="O8:O8">INDEX($J$3:$AA$3, SMALL(IF(0.36=$J$2:$AA$2, COLUMN($J$3:$AA$3)-MIN(COLUMN($J$3:$AA$3))+1, ""), COLUMN(E$1)))</f>
        <v>#N/A</v>
      </c>
      <c r="P8" s="398" t="e">
        <f aca="false" t="array" ref="P8:P8">INDEX($J$3:$AA$3, SMALL(IF(0.36=$J$2:$AA$2, COLUMN($J$3:$AA$3)-MIN(COLUMN($J$3:$AA$3))+1, ""), COLUMN(F$1)))</f>
        <v>#N/A</v>
      </c>
      <c r="Q8" s="398" t="e">
        <f aca="false" t="array" ref="Q8:Q8">INDEX($J$3:$AA$3, SMALL(IF(0.36=$J$2:$AA$2, COLUMN($J$3:$AA$3)-MIN(COLUMN($J$3:$AA$3))+1, ""), COLUMN(G$1)))</f>
        <v>#N/A</v>
      </c>
      <c r="R8" s="398" t="e">
        <f aca="false" t="array" ref="R8:R8">INDEX($J$3:$AA$3, SMALL(IF(0.36=$J$2:$AA$2, COLUMN($J$3:$AA$3)-MIN(COLUMN($J$3:$AA$3))+1, ""), COLUMN(H$1)))</f>
        <v>#N/A</v>
      </c>
      <c r="S8" s="398" t="e">
        <f aca="false" t="array" ref="S8:S8">INDEX($J$3:$AA$3, SMALL(IF(0.36=$J$2:$AA$2, COLUMN($J$3:$AA$3)-MIN(COLUMN($J$3:$AA$3))+1, ""), COLUMN(I$1)))</f>
        <v>#N/A</v>
      </c>
      <c r="T8" s="398" t="e">
        <f aca="false" t="array" ref="T8:T8">INDEX($J$3:$AA$3, SMALL(IF(0.36=$J$2:$AA$2, COLUMN($J$3:$AA$3)-MIN(COLUMN($J$3:$AA$3))+1, ""), COLUMN(J$1)))</f>
        <v>#N/A</v>
      </c>
      <c r="U8" s="399" t="e">
        <f aca="false" t="array" ref="U8:U8">INDEX($J$3:$AA$3, SMALL(IF(0.36=$J$2:$AA$2, COLUMN($J$3:$AA$3)-MIN(COLUMN($J$3:$AA$3))+1, ""), COLUMN(K$1)))</f>
        <v>#N/A</v>
      </c>
      <c r="V8" s="364"/>
      <c r="W8" s="364"/>
      <c r="X8" s="364"/>
      <c r="Y8" s="364"/>
      <c r="Z8" s="364"/>
      <c r="AA8" s="364"/>
    </row>
    <row r="9" customFormat="false" ht="15.75" hidden="false" customHeight="false" outlineLevel="0" collapsed="false">
      <c r="A9" s="261" t="str">
        <f aca="false">IFERROR(__xludf.dummyfunction("""COMPUTED_VALUE"""),"Wartortle")</f>
        <v>Wartortle</v>
      </c>
      <c r="B9" s="365"/>
      <c r="C9" s="365" t="s">
        <v>2807</v>
      </c>
      <c r="D9" s="400" t="e">
        <f aca="false" t="array" ref="D9:D9">IF(INDEX('0.0.1 Pokémon Dex Data'!I3:I1501,MATCH(D1,'0.0.1 Pokémon Dex Data'!C3:C1501,0))=3,D1,0)</f>
        <v>#N/A</v>
      </c>
      <c r="E9" s="400" t="e">
        <f aca="false" t="array" ref="E9:E9">IF(D9=0,0,INDEX('0.0.1 Pokémon Dex Data'!$B$3:$B1501,MATCH(D9,'0.0.1 Pokémon Dex Data'!$C$3:$C1501,0)))</f>
        <v>#N/A</v>
      </c>
      <c r="F9" s="391" t="e">
        <f aca="false" t="array" ref="F9:F9">IF(AND($D$2=1,F8&lt;MAX('0.0.1 Pokémon Dex Data'!$B$3:$B$1499),NOT(COUNTBLANK(F8))),IF(INDEX('0.0.1 Pokémon Dex Data'!$C$3:$C$1499,MATCH(F8+1,'0.0.1 Pokémon Dex Data'!$B$3:$B$1499,0))=$D$1,F8+1,""),"")</f>
        <v>#N/A</v>
      </c>
      <c r="G9" s="362" t="e">
        <f aca="false" t="array" ref="G9:G9">IF(COUNTBLANK(F9),"",INDEX('0.0.1 Pokémon Dex Data'!$D$3:$D$1499,MATCH(F9,'0.0.1 Pokémon Dex Data'!$B$3:$B$1499,0)))</f>
        <v>#N/A</v>
      </c>
      <c r="H9" s="364"/>
      <c r="I9" s="391" t="s">
        <v>2808</v>
      </c>
      <c r="J9" s="262" t="n">
        <f aca="false">COUNTIF($J$2:$AA$2,0.51)</f>
        <v>0</v>
      </c>
      <c r="K9" s="360" t="e">
        <f aca="false" t="array" ref="K9:K9">INDEX($J$3:$AA$3, SMALL(IF(0.51=$J$2:$AA$2, COLUMN($J$3:$AA$3)-MIN(COLUMN($J$3:$AA$3))+1, ""), COLUMN(A$1)))</f>
        <v>#N/A</v>
      </c>
      <c r="L9" s="360" t="e">
        <f aca="false" t="array" ref="L9:L9">INDEX($J$3:$AA$3, SMALL(IF(0.51=$J$2:$AA$2, COLUMN($J$3:$AA$3)-MIN(COLUMN($J$3:$AA$3))+1, ""), COLUMN(B$1)))</f>
        <v>#N/A</v>
      </c>
      <c r="M9" s="360" t="e">
        <f aca="false" t="array" ref="M9:M9">INDEX($J$3:$AA$3, SMALL(IF(0.51=$J$2:$AA$2, COLUMN($J$3:$AA$3)-MIN(COLUMN($J$3:$AA$3))+1, ""), COLUMN(C$1)))</f>
        <v>#N/A</v>
      </c>
      <c r="N9" s="360" t="e">
        <f aca="false" t="array" ref="N9:N9">INDEX($J$3:$AA$3, SMALL(IF(0.51=$J$2:$AA$2, COLUMN($J$3:$AA$3)-MIN(COLUMN($J$3:$AA$3))+1, ""), COLUMN(D$1)))</f>
        <v>#N/A</v>
      </c>
      <c r="O9" s="360" t="e">
        <f aca="false" t="array" ref="O9:O9">INDEX($J$3:$AA$3, SMALL(IF(0.51=$J$2:$AA$2, COLUMN($J$3:$AA$3)-MIN(COLUMN($J$3:$AA$3))+1, ""), COLUMN(E$1)))</f>
        <v>#N/A</v>
      </c>
      <c r="P9" s="360" t="e">
        <f aca="false" t="array" ref="P9:P9">INDEX($J$3:$AA$3, SMALL(IF(0.51=$J$2:$AA$2, COLUMN($J$3:$AA$3)-MIN(COLUMN($J$3:$AA$3))+1, ""), COLUMN(F$1)))</f>
        <v>#N/A</v>
      </c>
      <c r="Q9" s="360" t="e">
        <f aca="false" t="array" ref="Q9:Q9">INDEX($J$3:$AA$3, SMALL(IF(0.51=$J$2:$AA$2, COLUMN($J$3:$AA$3)-MIN(COLUMN($J$3:$AA$3))+1, ""), COLUMN(G$1)))</f>
        <v>#N/A</v>
      </c>
      <c r="R9" s="360" t="e">
        <f aca="false" t="array" ref="R9:R9">INDEX($J$3:$AA$3, SMALL(IF(0.51=$J$2:$AA$2, COLUMN($J$3:$AA$3)-MIN(COLUMN($J$3:$AA$3))+1, ""), COLUMN(H$1)))</f>
        <v>#N/A</v>
      </c>
      <c r="S9" s="360" t="e">
        <f aca="false" t="array" ref="S9:S9">INDEX($J$3:$AA$3, SMALL(IF(0.51=$J$2:$AA$2, COLUMN($J$3:$AA$3)-MIN(COLUMN($J$3:$AA$3))+1, ""), COLUMN(I$1)))</f>
        <v>#N/A</v>
      </c>
      <c r="T9" s="360" t="e">
        <f aca="false" t="array" ref="T9:T9">INDEX($J$3:$AA$3, SMALL(IF(0.51=$J$2:$AA$2, COLUMN($J$3:$AA$3)-MIN(COLUMN($J$3:$AA$3))+1, ""), COLUMN(J$1)))</f>
        <v>#N/A</v>
      </c>
      <c r="U9" s="401" t="e">
        <f aca="false" t="array" ref="U9:U9">INDEX($J$3:$AA$3, SMALL(IF(0.51=$J$2:$AA$2, COLUMN($J$3:$AA$3)-MIN(COLUMN($J$3:$AA$3))+1, ""), COLUMN(K$1)))</f>
        <v>#N/A</v>
      </c>
      <c r="V9" s="364"/>
      <c r="W9" s="364"/>
      <c r="X9" s="364"/>
      <c r="Y9" s="364"/>
      <c r="Z9" s="364"/>
      <c r="AA9" s="364"/>
    </row>
    <row r="10" customFormat="false" ht="15.75" hidden="false" customHeight="false" outlineLevel="0" collapsed="false">
      <c r="A10" s="261" t="str">
        <f aca="false">IFERROR(__xludf.dummyfunction("""COMPUTED_VALUE"""),"Blastoise")</f>
        <v>Blastoise</v>
      </c>
      <c r="B10" s="365"/>
      <c r="C10" s="365" t="s">
        <v>2809</v>
      </c>
      <c r="D10" s="400" t="e">
        <f aca="false" t="array" ref="D10:D10">IF(D9=0,IF(INDEX('0.0.1 Pokémon Dex Data'!I3:I1501,MATCH(D1,'0.0.1 Pokémon Dex Data'!C3:C1501,0))=2,INDEX('0.0.1 Pokémon Dex Data'!C3:C1501,MATCH(D3,'0.0.1 Pokémon Dex Data'!B3:B1501,0)),0),INDEX('0.0.1 Pokémon Dex Data'!X3:X1501,MATCH(E9,'0.0.1 Pokémon Dex Data'!B3:B1501,0)))</f>
        <v>#N/A</v>
      </c>
      <c r="E10" s="400" t="e">
        <f aca="false" t="array" ref="E10:E10">IF(D10=0,0,INDEX('0.0.1 Pokémon Dex Data'!$B$3:$B1501,MATCH(D10,'0.0.1 Pokémon Dex Data'!$C$3:$C1501,0)))</f>
        <v>#N/A</v>
      </c>
      <c r="F10" s="391" t="e">
        <f aca="false" t="array" ref="F10:F10">IF(AND($D$2=1,F9&lt;MAX('0.0.1 Pokémon Dex Data'!$B$3:$B$1499),NOT(COUNTBLANK(F9))),IF(INDEX('0.0.1 Pokémon Dex Data'!$C$3:$C$1499,MATCH(F9+1,'0.0.1 Pokémon Dex Data'!$B$3:$B$1499,0))=$D$1,F9+1,""),"")</f>
        <v>#N/A</v>
      </c>
      <c r="G10" s="362" t="e">
        <f aca="false" t="array" ref="G10:G10">IF(COUNTBLANK(F10),"",INDEX('0.0.1 Pokémon Dex Data'!$D$3:$D$1499,MATCH(F10,'0.0.1 Pokémon Dex Data'!$B$3:$B$1499,0)))</f>
        <v>#N/A</v>
      </c>
      <c r="H10" s="364"/>
      <c r="I10" s="391" t="s">
        <v>2810</v>
      </c>
      <c r="J10" s="262" t="n">
        <f aca="false">COUNTIF($J$2:$AA$2,0.71)</f>
        <v>0</v>
      </c>
      <c r="K10" s="360" t="e">
        <f aca="false" t="array" ref="K10:K10">INDEX($J$3:$AA$3, SMALL(IF(0.71=$J$2:$AA$2, COLUMN($J$3:$AA$3)-MIN(COLUMN($J$3:$AA$3))+1, ""), COLUMN(A$1)))</f>
        <v>#N/A</v>
      </c>
      <c r="L10" s="360" t="e">
        <f aca="false" t="array" ref="L10:L10">INDEX($J$3:$AA$3, SMALL(IF(0.71=$J$2:$AA$2, COLUMN($J$3:$AA$3)-MIN(COLUMN($J$3:$AA$3))+1, ""), COLUMN(B$1)))</f>
        <v>#N/A</v>
      </c>
      <c r="M10" s="360" t="e">
        <f aca="false" t="array" ref="M10:M10">INDEX($J$3:$AA$3, SMALL(IF(0.71=$J$2:$AA$2, COLUMN($J$3:$AA$3)-MIN(COLUMN($J$3:$AA$3))+1, ""), COLUMN(C$1)))</f>
        <v>#N/A</v>
      </c>
      <c r="N10" s="360" t="e">
        <f aca="false" t="array" ref="N10:N10">INDEX($J$3:$AA$3, SMALL(IF(0.71=$J$2:$AA$2, COLUMN($J$3:$AA$3)-MIN(COLUMN($J$3:$AA$3))+1, ""), COLUMN(D$1)))</f>
        <v>#N/A</v>
      </c>
      <c r="O10" s="360" t="e">
        <f aca="false" t="array" ref="O10:O10">INDEX($J$3:$AA$3, SMALL(IF(0.71=$J$2:$AA$2, COLUMN($J$3:$AA$3)-MIN(COLUMN($J$3:$AA$3))+1, ""), COLUMN(E$1)))</f>
        <v>#N/A</v>
      </c>
      <c r="P10" s="360" t="e">
        <f aca="false" t="array" ref="P10:P10">INDEX($J$3:$AA$3, SMALL(IF(0.71=$J$2:$AA$2, COLUMN($J$3:$AA$3)-MIN(COLUMN($J$3:$AA$3))+1, ""), COLUMN(F$1)))</f>
        <v>#N/A</v>
      </c>
      <c r="Q10" s="360" t="e">
        <f aca="false" t="array" ref="Q10:Q10">INDEX($J$3:$AA$3, SMALL(IF(0.71=$J$2:$AA$2, COLUMN($J$3:$AA$3)-MIN(COLUMN($J$3:$AA$3))+1, ""), COLUMN(G$1)))</f>
        <v>#N/A</v>
      </c>
      <c r="R10" s="360" t="e">
        <f aca="false" t="array" ref="R10:R10">INDEX($J$3:$AA$3, SMALL(IF(0.71=$J$2:$AA$2, COLUMN($J$3:$AA$3)-MIN(COLUMN($J$3:$AA$3))+1, ""), COLUMN(H$1)))</f>
        <v>#N/A</v>
      </c>
      <c r="S10" s="360" t="e">
        <f aca="false" t="array" ref="S10:S10">INDEX($J$3:$AA$3, SMALL(IF(0.71=$J$2:$AA$2, COLUMN($J$3:$AA$3)-MIN(COLUMN($J$3:$AA$3))+1, ""), COLUMN(I$1)))</f>
        <v>#N/A</v>
      </c>
      <c r="T10" s="360" t="e">
        <f aca="false" t="array" ref="T10:T10">INDEX($J$3:$AA$3, SMALL(IF(0.71=$J$2:$AA$2, COLUMN($J$3:$AA$3)-MIN(COLUMN($J$3:$AA$3))+1, ""), COLUMN(J$1)))</f>
        <v>#N/A</v>
      </c>
      <c r="U10" s="401" t="e">
        <f aca="false" t="array" ref="U10:U10">INDEX($J$3:$AA$3, SMALL(IF(0.71=$J$2:$AA$2, COLUMN($J$3:$AA$3)-MIN(COLUMN($J$3:$AA$3))+1, ""), COLUMN(K$1)))</f>
        <v>#N/A</v>
      </c>
      <c r="V10" s="364"/>
      <c r="W10" s="364"/>
      <c r="X10" s="364"/>
      <c r="Y10" s="364"/>
      <c r="Z10" s="364"/>
      <c r="AA10" s="364"/>
    </row>
    <row r="11" customFormat="false" ht="15.75" hidden="false" customHeight="false" outlineLevel="0" collapsed="false">
      <c r="A11" s="261" t="str">
        <f aca="false">IFERROR(__xludf.dummyfunction("""COMPUTED_VALUE"""),"Caterpie")</f>
        <v>Caterpie</v>
      </c>
      <c r="B11" s="365"/>
      <c r="C11" s="365" t="s">
        <v>2811</v>
      </c>
      <c r="D11" s="400" t="e">
        <f aca="false" t="array" ref="D11:D11">IF(D10=0,INDEX('0.0.1 Pokémon Dex Data'!C3:C1501,MATCH(D3,'0.0.1 Pokémon Dex Data'!B3:B1501,0)),INDEX('0.0.1 Pokémon Dex Data'!X3:X1501,MATCH(D10,'0.0.1 Pokémon Dex Data'!C3:C1501,0)))</f>
        <v>#N/A</v>
      </c>
      <c r="E11" s="400" t="e">
        <f aca="false" t="array" ref="E11:E11">IF(D11=0,0,INDEX('0.0.1 Pokémon Dex Data'!$B$3:$B1501,MATCH(D11,'0.0.1 Pokémon Dex Data'!$C$3:$C1501,0)))</f>
        <v>#N/A</v>
      </c>
      <c r="F11" s="391" t="e">
        <f aca="false" t="array" ref="F11:F11">IF(AND($D$2=1,F10&lt;MAX('0.0.1 Pokémon Dex Data'!$B$3:$B$1499),NOT(COUNTBLANK(F10))),IF(INDEX('0.0.1 Pokémon Dex Data'!$C$3:$C$1499,MATCH(F10+1,'0.0.1 Pokémon Dex Data'!$B$3:$B$1499,0))=$D$1,F10+1,""),"")</f>
        <v>#N/A</v>
      </c>
      <c r="G11" s="362" t="e">
        <f aca="false" t="array" ref="G11:G11">IF(COUNTBLANK(F11),"",INDEX('0.0.1 Pokémon Dex Data'!$D$3:$D$1499,MATCH(F11,'0.0.1 Pokémon Dex Data'!$B$3:$B$1499,0)))</f>
        <v>#N/A</v>
      </c>
      <c r="H11" s="364"/>
      <c r="I11" s="391" t="s">
        <v>2812</v>
      </c>
      <c r="J11" s="262" t="n">
        <f aca="false">COUNTIF($J$2:$AA$2,1.4)</f>
        <v>0</v>
      </c>
      <c r="K11" s="360" t="e">
        <f aca="false" t="array" ref="K11:K11">INDEX($J$3:$AA$3, SMALL(IF(1.4=$J$2:$AA$2, COLUMN($J$3:$AA$3)-MIN(COLUMN($J$3:$AA$3))+1, ""), COLUMN(A$1)))</f>
        <v>#N/A</v>
      </c>
      <c r="L11" s="360" t="e">
        <f aca="false" t="array" ref="L11:L11">INDEX($J$3:$AA$3, SMALL(IF(1.4=$J$2:$AA$2, COLUMN($J$3:$AA$3)-MIN(COLUMN($J$3:$AA$3))+1, ""), COLUMN(B$1)))</f>
        <v>#N/A</v>
      </c>
      <c r="M11" s="360" t="e">
        <f aca="false" t="array" ref="M11:M11">INDEX($J$3:$AA$3, SMALL(IF(1.4=$J$2:$AA$2, COLUMN($J$3:$AA$3)-MIN(COLUMN($J$3:$AA$3))+1, ""), COLUMN(C$1)))</f>
        <v>#N/A</v>
      </c>
      <c r="N11" s="360" t="e">
        <f aca="false" t="array" ref="N11:N11">INDEX($J$3:$AA$3, SMALL(IF(1.4=$J$2:$AA$2, COLUMN($J$3:$AA$3)-MIN(COLUMN($J$3:$AA$3))+1, ""), COLUMN(D$1)))</f>
        <v>#N/A</v>
      </c>
      <c r="O11" s="360" t="e">
        <f aca="false" t="array" ref="O11:O11">INDEX($J$3:$AA$3, SMALL(IF(1.4=$J$2:$AA$2, COLUMN($J$3:$AA$3)-MIN(COLUMN($J$3:$AA$3))+1, ""), COLUMN(E$1)))</f>
        <v>#N/A</v>
      </c>
      <c r="P11" s="360" t="e">
        <f aca="false" t="array" ref="P11:P11">INDEX($J$3:$AA$3, SMALL(IF(1.4=$J$2:$AA$2, COLUMN($J$3:$AA$3)-MIN(COLUMN($J$3:$AA$3))+1, ""), COLUMN(F$1)))</f>
        <v>#N/A</v>
      </c>
      <c r="Q11" s="360" t="e">
        <f aca="false" t="array" ref="Q11:Q11">INDEX($J$3:$AA$3, SMALL(IF(1.4=$J$2:$AA$2, COLUMN($J$3:$AA$3)-MIN(COLUMN($J$3:$AA$3))+1, ""), COLUMN(G$1)))</f>
        <v>#N/A</v>
      </c>
      <c r="R11" s="360" t="e">
        <f aca="false" t="array" ref="R11:R11">INDEX($J$3:$AA$3, SMALL(IF(1.4=$J$2:$AA$2, COLUMN($J$3:$AA$3)-MIN(COLUMN($J$3:$AA$3))+1, ""), COLUMN(H$1)))</f>
        <v>#N/A</v>
      </c>
      <c r="S11" s="360" t="e">
        <f aca="false" t="array" ref="S11:S11">INDEX($J$3:$AA$3, SMALL(IF(1.4=$J$2:$AA$2, COLUMN($J$3:$AA$3)-MIN(COLUMN($J$3:$AA$3))+1, ""), COLUMN(I$1)))</f>
        <v>#N/A</v>
      </c>
      <c r="T11" s="360" t="e">
        <f aca="false" t="array" ref="T11:T11">INDEX($J$3:$AA$3, SMALL(IF(1.4=$J$2:$AA$2, COLUMN($J$3:$AA$3)-MIN(COLUMN($J$3:$AA$3))+1, ""), COLUMN(J$1)))</f>
        <v>#N/A</v>
      </c>
      <c r="U11" s="401" t="e">
        <f aca="false" t="array" ref="U11:U11">INDEX($J$3:$AA$3, SMALL(IF(1.4=$J$2:$AA$2, COLUMN($J$3:$AA$3)-MIN(COLUMN($J$3:$AA$3))+1, ""), COLUMN(K$1)))</f>
        <v>#N/A</v>
      </c>
      <c r="V11" s="364"/>
      <c r="W11" s="364"/>
      <c r="X11" s="364"/>
      <c r="Y11" s="364"/>
      <c r="Z11" s="364"/>
      <c r="AA11" s="364"/>
    </row>
    <row r="12" customFormat="false" ht="15.75" hidden="false" customHeight="false" outlineLevel="0" collapsed="false">
      <c r="A12" s="261" t="str">
        <f aca="false">IFERROR(__xludf.dummyfunction("""COMPUTED_VALUE"""),"Metapod")</f>
        <v>Metapod</v>
      </c>
      <c r="B12" s="365"/>
      <c r="C12" s="262"/>
      <c r="D12" s="400"/>
      <c r="E12" s="261"/>
      <c r="F12" s="391" t="e">
        <f aca="false" t="array" ref="F12:F12">IF(AND($D$2=1,F11&lt;MAX('0.0.1 Pokémon Dex Data'!$B$3:$B$1499),NOT(COUNTBLANK(F11))),IF(INDEX('0.0.1 Pokémon Dex Data'!$C$3:$C$1499,MATCH(F11+1,'0.0.1 Pokémon Dex Data'!$B$3:$B$1499,0))=$D$1,F11+1,""),"")</f>
        <v>#N/A</v>
      </c>
      <c r="G12" s="362" t="e">
        <f aca="false" t="array" ref="G12:G12">IF(COUNTBLANK(F12),"",INDEX('0.0.1 Pokémon Dex Data'!$D$3:$D$1499,MATCH(F12,'0.0.1 Pokémon Dex Data'!$B$3:$B$1499,0)))</f>
        <v>#N/A</v>
      </c>
      <c r="H12" s="364"/>
      <c r="I12" s="394" t="s">
        <v>2813</v>
      </c>
      <c r="J12" s="402" t="n">
        <f aca="false">COUNTIF($J$2:$AA$2,1.96)</f>
        <v>0</v>
      </c>
      <c r="K12" s="403" t="e">
        <f aca="false" t="array" ref="K12:K12">INDEX($J$3:$AA$3, SMALL(IF((7/5)^2=$J$2:$AA$2, COLUMN($J$3:$AA$3)-MIN(COLUMN($J$3:$AA$3))+1, ""), COLUMN(A$1)))</f>
        <v>#N/A</v>
      </c>
      <c r="L12" s="403" t="e">
        <f aca="false" t="array" ref="L12:L12">INDEX($J$3:$AA$3, SMALL(IF((7/5)^2=$J$2:$AA$2, COLUMN($J$3:$AA$3)-MIN(COLUMN($J$3:$AA$3))+1, ""), COLUMN(B$1)))</f>
        <v>#N/A</v>
      </c>
      <c r="M12" s="403" t="e">
        <f aca="false" t="array" ref="M12:M12">INDEX($J$3:$AA$3, SMALL(IF((7/5)^2=$J$2:$AA$2, COLUMN($J$3:$AA$3)-MIN(COLUMN($J$3:$AA$3))+1, ""), COLUMN(C$1)))</f>
        <v>#N/A</v>
      </c>
      <c r="N12" s="403" t="e">
        <f aca="false" t="array" ref="N12:N12">INDEX($J$3:$AA$3, SMALL(IF((7/5)^2=$J$2:$AA$2, COLUMN($J$3:$AA$3)-MIN(COLUMN($J$3:$AA$3))+1, ""), COLUMN(D$1)))</f>
        <v>#N/A</v>
      </c>
      <c r="O12" s="403" t="e">
        <f aca="false" t="array" ref="O12:O12">INDEX($J$3:$AA$3, SMALL(IF((7/5)^2=$J$2:$AA$2, COLUMN($J$3:$AA$3)-MIN(COLUMN($J$3:$AA$3))+1, ""), COLUMN(E$1)))</f>
        <v>#N/A</v>
      </c>
      <c r="P12" s="403" t="e">
        <f aca="false" t="array" ref="P12:P12">INDEX($J$3:$AA$3, SMALL(IF((7/5)^2=$J$2:$AA$2, COLUMN($J$3:$AA$3)-MIN(COLUMN($J$3:$AA$3))+1, ""), COLUMN(F$1)))</f>
        <v>#N/A</v>
      </c>
      <c r="Q12" s="403" t="e">
        <f aca="false" t="array" ref="Q12:Q12">INDEX($J$3:$AA$3, SMALL(IF((7/5)^2=$J$2:$AA$2, COLUMN($J$3:$AA$3)-MIN(COLUMN($J$3:$AA$3))+1, ""), COLUMN(G$1)))</f>
        <v>#N/A</v>
      </c>
      <c r="R12" s="403" t="e">
        <f aca="false" t="array" ref="R12:R12">INDEX($J$3:$AA$3, SMALL(IF((7/5)^2=$J$2:$AA$2, COLUMN($J$3:$AA$3)-MIN(COLUMN($J$3:$AA$3))+1, ""), COLUMN(H$1)))</f>
        <v>#N/A</v>
      </c>
      <c r="S12" s="403" t="e">
        <f aca="false" t="array" ref="S12:S12">INDEX($J$3:$AA$3, SMALL(IF((7/5)^2=$J$2:$AA$2, COLUMN($J$3:$AA$3)-MIN(COLUMN($J$3:$AA$3))+1, ""), COLUMN(I$1)))</f>
        <v>#N/A</v>
      </c>
      <c r="T12" s="403" t="e">
        <f aca="false" t="array" ref="T12:T12">INDEX($J$3:$AA$3, SMALL(IF((7/5)^2=$J$2:$AA$2, COLUMN($J$3:$AA$3)-MIN(COLUMN($J$3:$AA$3))+1, ""), COLUMN(J$1)))</f>
        <v>#N/A</v>
      </c>
      <c r="U12" s="404" t="e">
        <f aca="false" t="array" ref="U12:U12">INDEX($J$3:$AA$3, SMALL(IF((7/5)^2=$J$2:$AA$2, COLUMN($J$3:$AA$3)-MIN(COLUMN($J$3:$AA$3))+1, ""), COLUMN(K$1)))</f>
        <v>#N/A</v>
      </c>
      <c r="V12" s="364"/>
      <c r="W12" s="364"/>
      <c r="X12" s="364"/>
      <c r="Y12" s="364"/>
      <c r="Z12" s="364"/>
      <c r="AA12" s="364"/>
    </row>
    <row r="13" customFormat="false" ht="15.75" hidden="false" customHeight="false" outlineLevel="0" collapsed="false">
      <c r="A13" s="261" t="str">
        <f aca="false">IFERROR(__xludf.dummyfunction("""COMPUTED_VALUE"""),"Butterfree")</f>
        <v>Butterfree</v>
      </c>
      <c r="B13" s="365"/>
      <c r="C13" s="262" t="s">
        <v>2814</v>
      </c>
      <c r="D13" s="400" t="e">
        <f aca="false" t="array" ref="D13:D13">IF(RIGHT(INDEX('0.0.1 Pokémon Dex Data'!D3:D1501,MATCH(D3,'0.0.1 Pokémon Dex Data'!B3:B1501,0)),4)="Size",1,0)</f>
        <v>#N/A</v>
      </c>
      <c r="E13" s="261"/>
      <c r="F13" s="391" t="e">
        <f aca="false" t="array" ref="F13:F13">IF(AND($D$2=1,F12&lt;MAX('0.0.1 Pokémon Dex Data'!$B$3:$B$1499),NOT(COUNTBLANK(F12))),IF(INDEX('0.0.1 Pokémon Dex Data'!$C$3:$C$1499,MATCH(F12+1,'0.0.1 Pokémon Dex Data'!$B$3:$B$1499,0))=$D$1,F12+1,""),"")</f>
        <v>#N/A</v>
      </c>
      <c r="G13" s="362" t="e">
        <f aca="false" t="array" ref="G13:G13">IF(COUNTBLANK(F13),"",INDEX('0.0.1 Pokémon Dex Data'!$D$3:$D$1499,MATCH(F13,'0.0.1 Pokémon Dex Data'!$B$3:$B$1499,0)))</f>
        <v>#N/A</v>
      </c>
      <c r="H13" s="364"/>
      <c r="I13" s="388" t="s">
        <v>2815</v>
      </c>
      <c r="J13" s="261"/>
      <c r="K13" s="405" t="e">
        <f aca="false">IF(ISERR(K8),"",K8 &amp; " (3x), ")</f>
        <v>#N/A</v>
      </c>
      <c r="L13" s="405" t="e">
        <f aca="false">IF(ISERR(L8),"",L8 &amp; " (3x), ")</f>
        <v>#N/A</v>
      </c>
      <c r="M13" s="405" t="e">
        <f aca="false">IF(ISERR(M8),"",M8 &amp; " (3x), ")</f>
        <v>#N/A</v>
      </c>
      <c r="N13" s="405" t="e">
        <f aca="false">IF(ISERR(N8),"",N8 &amp; " (3x), ")</f>
        <v>#N/A</v>
      </c>
      <c r="O13" s="405" t="e">
        <f aca="false">IF(ISERR(O8),"",O8 &amp; " (3x), ")</f>
        <v>#N/A</v>
      </c>
      <c r="P13" s="405" t="e">
        <f aca="false">IF(ISERR(P8),"",P8 &amp; " (3x), ")</f>
        <v>#N/A</v>
      </c>
      <c r="Q13" s="405" t="e">
        <f aca="false">IF(ISERR(Q8),"",Q8 &amp; " (3x), ")</f>
        <v>#N/A</v>
      </c>
      <c r="R13" s="405" t="e">
        <f aca="false">IF(ISERR(R8),"",R8 &amp; " (3x), ")</f>
        <v>#N/A</v>
      </c>
      <c r="S13" s="405" t="e">
        <f aca="false">IF(ISERR(S8),"",S8 &amp; " (3x), ")</f>
        <v>#N/A</v>
      </c>
      <c r="T13" s="405" t="e">
        <f aca="false">IF(ISERR(T8),"",T8 &amp; " (3x), ")</f>
        <v>#N/A</v>
      </c>
      <c r="U13" s="387" t="e">
        <f aca="false">IF(ISERR(U8),"",U8 &amp; " (3x), ")</f>
        <v>#N/A</v>
      </c>
      <c r="V13" s="364"/>
      <c r="W13" s="364"/>
      <c r="X13" s="364"/>
      <c r="Y13" s="364"/>
      <c r="Z13" s="364"/>
      <c r="AA13" s="364"/>
    </row>
    <row r="14" customFormat="false" ht="15.75" hidden="false" customHeight="false" outlineLevel="0" collapsed="false">
      <c r="A14" s="261" t="str">
        <f aca="false">IFERROR(__xludf.dummyfunction("""COMPUTED_VALUE"""),"Weedle")</f>
        <v>Weedle</v>
      </c>
      <c r="B14" s="365"/>
      <c r="C14" s="365" t="s">
        <v>2816</v>
      </c>
      <c r="D14" s="400" t="e">
        <f aca="false" t="array" ref="D14:D14">IF(LEFT(INDEX('0.0.1 Pokémon Dex Data'!D3:D1501,MATCH(D3,'0.0.1 Pokémon Dex Data'!B3:B1501,0)),6)="Alolan",1,0)</f>
        <v>#N/A</v>
      </c>
      <c r="E14" s="261"/>
      <c r="F14" s="391" t="e">
        <f aca="false" t="array" ref="F14:F14">IF(AND($D$2=1,F13&lt;MAX('0.0.1 Pokémon Dex Data'!$B$3:$B$1499),NOT(COUNTBLANK(F13))),IF(INDEX('0.0.1 Pokémon Dex Data'!$C$3:$C$1499,MATCH(F13+1,'0.0.1 Pokémon Dex Data'!$B$3:$B$1499,0))=$D$1,F13+1,""),"")</f>
        <v>#N/A</v>
      </c>
      <c r="G14" s="362" t="e">
        <f aca="false" t="array" ref="G14:G14">IF(COUNTBLANK(F14),"",INDEX('0.0.1 Pokémon Dex Data'!$D$3:$D$1499,MATCH(F14,'0.0.1 Pokémon Dex Data'!$B$3:$B$1499,0)))</f>
        <v>#N/A</v>
      </c>
      <c r="H14" s="364"/>
      <c r="I14" s="391" t="s">
        <v>2817</v>
      </c>
      <c r="J14" s="261"/>
      <c r="K14" s="261" t="e">
        <f aca="false">IF(ISERR(K9),"",K9 &amp; " (2x), ")</f>
        <v>#N/A</v>
      </c>
      <c r="L14" s="261" t="e">
        <f aca="false">IF(ISERR(L9),"",L9 &amp; " (2x), ")</f>
        <v>#N/A</v>
      </c>
      <c r="M14" s="261" t="e">
        <f aca="false">IF(ISERR(M9),"",M9 &amp; " (2x), ")</f>
        <v>#N/A</v>
      </c>
      <c r="N14" s="261" t="e">
        <f aca="false">IF(ISERR(N9),"",N9 &amp; " (2x), ")</f>
        <v>#N/A</v>
      </c>
      <c r="O14" s="261" t="e">
        <f aca="false">IF(ISERR(O9),"",O9 &amp; " (2x), ")</f>
        <v>#N/A</v>
      </c>
      <c r="P14" s="261" t="e">
        <f aca="false">IF(ISERR(P9),"",P9 &amp; " (2x), ")</f>
        <v>#N/A</v>
      </c>
      <c r="Q14" s="261" t="e">
        <f aca="false">IF(ISERR(Q9),"",Q9 &amp; " (2x), ")</f>
        <v>#N/A</v>
      </c>
      <c r="R14" s="261" t="e">
        <f aca="false">IF(ISERR(R9),"",R9 &amp; " (2x), ")</f>
        <v>#N/A</v>
      </c>
      <c r="S14" s="261" t="e">
        <f aca="false">IF(ISERR(S9),"",S9 &amp; " (2x), ")</f>
        <v>#N/A</v>
      </c>
      <c r="T14" s="261" t="e">
        <f aca="false">IF(ISERR(T9),"",T9 &amp; " (2x), ")</f>
        <v>#N/A</v>
      </c>
      <c r="U14" s="362" t="e">
        <f aca="false">IF(ISERR(U9),"",U9 &amp; " (2x), ")</f>
        <v>#N/A</v>
      </c>
      <c r="V14" s="364"/>
      <c r="W14" s="364"/>
      <c r="X14" s="364"/>
      <c r="Y14" s="364"/>
      <c r="Z14" s="364"/>
      <c r="AA14" s="364"/>
    </row>
    <row r="15" customFormat="false" ht="15.75" hidden="false" customHeight="false" outlineLevel="0" collapsed="false">
      <c r="A15" s="261" t="str">
        <f aca="false">IFERROR(__xludf.dummyfunction("""COMPUTED_VALUE"""),"Kakuna")</f>
        <v>Kakuna</v>
      </c>
      <c r="B15" s="365"/>
      <c r="C15" s="365" t="s">
        <v>2818</v>
      </c>
      <c r="D15" s="400" t="e">
        <f aca="false" t="array" ref="D15:D15">INDEX('0.0.1 Pokémon Dex Data'!$W$3:$W1501,MATCH(D3,'0.0.1 Pokémon Dex Data'!$B$3:$B1501,0))</f>
        <v>#N/A</v>
      </c>
      <c r="E15" s="261"/>
      <c r="F15" s="391" t="e">
        <f aca="false" t="array" ref="F15:F15">IF(AND($D$2=1,F14&lt;MAX('0.0.1 Pokémon Dex Data'!$B$3:$B$1499),NOT(COUNTBLANK(F14))),IF(INDEX('0.0.1 Pokémon Dex Data'!$C$3:$C$1499,MATCH(F14+1,'0.0.1 Pokémon Dex Data'!$B$3:$B$1499,0))=$D$1,F14+1,""),"")</f>
        <v>#N/A</v>
      </c>
      <c r="G15" s="362" t="e">
        <f aca="false" t="array" ref="G15:G15">IF(COUNTBLANK(F15),"",INDEX('0.0.1 Pokémon Dex Data'!$D$3:$D$1499,MATCH(F15,'0.0.1 Pokémon Dex Data'!$B$3:$B$1499,0)))</f>
        <v>#N/A</v>
      </c>
      <c r="H15" s="364"/>
      <c r="I15" s="391" t="s">
        <v>2819</v>
      </c>
      <c r="J15" s="261"/>
      <c r="K15" s="261" t="e">
        <f aca="false">IF(ISERR(K10),"",K10 &amp; ", ")</f>
        <v>#N/A</v>
      </c>
      <c r="L15" s="261" t="e">
        <f aca="false">IF(ISERR(L10),"",L10 &amp; ", ")</f>
        <v>#N/A</v>
      </c>
      <c r="M15" s="261" t="e">
        <f aca="false">IF(ISERR(M10),"",M10 &amp; ", ")</f>
        <v>#N/A</v>
      </c>
      <c r="N15" s="261" t="e">
        <f aca="false">IF(ISERR(N10),"",N10 &amp; ", ")</f>
        <v>#N/A</v>
      </c>
      <c r="O15" s="261" t="e">
        <f aca="false">IF(ISERR(O10),"",O10 &amp; ", ")</f>
        <v>#N/A</v>
      </c>
      <c r="P15" s="261" t="e">
        <f aca="false">IF(ISERR(P10),"",P10 &amp; ", ")</f>
        <v>#N/A</v>
      </c>
      <c r="Q15" s="261" t="e">
        <f aca="false">IF(ISERR(Q10),"",Q10 &amp; ", ")</f>
        <v>#N/A</v>
      </c>
      <c r="R15" s="261" t="e">
        <f aca="false">IF(ISERR(R10),"",R10 &amp; ", ")</f>
        <v>#N/A</v>
      </c>
      <c r="S15" s="261" t="e">
        <f aca="false">IF(ISERR(S10),"",S10 &amp; ", ")</f>
        <v>#N/A</v>
      </c>
      <c r="T15" s="261" t="e">
        <f aca="false">IF(ISERR(T10),"",T10 &amp; ", ")</f>
        <v>#N/A</v>
      </c>
      <c r="U15" s="362" t="e">
        <f aca="false">IF(ISERR(U10),"",U10 &amp; ", ")</f>
        <v>#N/A</v>
      </c>
      <c r="V15" s="364"/>
      <c r="W15" s="364"/>
      <c r="X15" s="364"/>
      <c r="Y15" s="364"/>
      <c r="Z15" s="364"/>
      <c r="AA15" s="364"/>
    </row>
    <row r="16" customFormat="false" ht="15.75" hidden="false" customHeight="false" outlineLevel="0" collapsed="false">
      <c r="A16" s="261" t="str">
        <f aca="false">IFERROR(__xludf.dummyfunction("""COMPUTED_VALUE"""),"Beedrill")</f>
        <v>Beedrill</v>
      </c>
      <c r="B16" s="365"/>
      <c r="F16" s="391" t="e">
        <f aca="false" t="array" ref="F16:F16">IF(AND($D$2=1,F15&lt;MAX('0.0.1 Pokémon Dex Data'!$B$3:$B$1499),NOT(COUNTBLANK(F15))),IF(INDEX('0.0.1 Pokémon Dex Data'!$C$3:$C$1499,MATCH(F15+1,'0.0.1 Pokémon Dex Data'!$B$3:$B$1499,0))=$D$1,F15+1,""),"")</f>
        <v>#N/A</v>
      </c>
      <c r="G16" s="362" t="e">
        <f aca="false" t="array" ref="G16:G16">IF(COUNTBLANK(F16),"",INDEX('0.0.1 Pokémon Dex Data'!$D$3:$D$1499,MATCH(F16,'0.0.1 Pokémon Dex Data'!$B$3:$B$1499,0)))</f>
        <v>#N/A</v>
      </c>
      <c r="H16" s="364"/>
      <c r="I16" s="391" t="s">
        <v>2820</v>
      </c>
      <c r="J16" s="261" t="str">
        <f aca="false">""</f>
        <v/>
      </c>
      <c r="K16" s="261" t="e">
        <f aca="false">IF(ISERR(K11),"",K11 &amp; ", ")</f>
        <v>#N/A</v>
      </c>
      <c r="L16" s="261" t="e">
        <f aca="false">IF(ISERR(L11),"",L11 &amp; ", ")</f>
        <v>#N/A</v>
      </c>
      <c r="M16" s="261" t="e">
        <f aca="false">IF(ISERR(M11),"",M11 &amp; ", ")</f>
        <v>#N/A</v>
      </c>
      <c r="N16" s="261" t="e">
        <f aca="false">IF(ISERR(N11),"",N11 &amp; ", ")</f>
        <v>#N/A</v>
      </c>
      <c r="O16" s="261" t="e">
        <f aca="false">IF(ISERR(O11),"",O11 &amp; ", ")</f>
        <v>#N/A</v>
      </c>
      <c r="P16" s="261" t="e">
        <f aca="false">IF(ISERR(P11),"",P11 &amp; ", ")</f>
        <v>#N/A</v>
      </c>
      <c r="Q16" s="261" t="e">
        <f aca="false">IF(ISERR(Q11),"",Q11 &amp; ", ")</f>
        <v>#N/A</v>
      </c>
      <c r="R16" s="261" t="e">
        <f aca="false">IF(ISERR(R11),"",R11 &amp; ", ")</f>
        <v>#N/A</v>
      </c>
      <c r="S16" s="261" t="e">
        <f aca="false">IF(ISERR(S11),"",S11 &amp; ", ")</f>
        <v>#N/A</v>
      </c>
      <c r="T16" s="261" t="e">
        <f aca="false">IF(ISERR(T11),"",T11 &amp; ", ")</f>
        <v>#N/A</v>
      </c>
      <c r="U16" s="362" t="e">
        <f aca="false">IF(ISERR(U11),"",U11 &amp; ", ")</f>
        <v>#N/A</v>
      </c>
      <c r="V16" s="364"/>
      <c r="W16" s="364"/>
      <c r="X16" s="364"/>
      <c r="Y16" s="364"/>
      <c r="Z16" s="364"/>
      <c r="AA16" s="364"/>
    </row>
    <row r="17" customFormat="false" ht="15.75" hidden="false" customHeight="false" outlineLevel="0" collapsed="false">
      <c r="A17" s="261" t="str">
        <f aca="false">IFERROR(__xludf.dummyfunction("""COMPUTED_VALUE"""),"Pidgey")</f>
        <v>Pidgey</v>
      </c>
      <c r="B17" s="365"/>
      <c r="C17" s="365"/>
      <c r="D17" s="364"/>
      <c r="E17" s="261"/>
      <c r="F17" s="391" t="e">
        <f aca="false" t="array" ref="F17:F17">IF(AND($D$2=1,F16&lt;MAX('0.0.1 Pokémon Dex Data'!$B$3:$B$1499),NOT(COUNTBLANK(F16))),IF(INDEX('0.0.1 Pokémon Dex Data'!$C$3:$C$1499,MATCH(F16+1,'0.0.1 Pokémon Dex Data'!$B$3:$B$1499,0))=$D$1,F16+1,""),"")</f>
        <v>#N/A</v>
      </c>
      <c r="G17" s="362" t="e">
        <f aca="false" t="array" ref="G17:G17">IF(COUNTBLANK(F17),"",INDEX('0.0.1 Pokémon Dex Data'!$D$3:$D$1499,MATCH(F17,'0.0.1 Pokémon Dex Data'!$B$3:$B$1499,0)))</f>
        <v>#N/A</v>
      </c>
      <c r="H17" s="364"/>
      <c r="I17" s="394" t="s">
        <v>2821</v>
      </c>
      <c r="J17" s="406" t="str">
        <f aca="false">""</f>
        <v/>
      </c>
      <c r="K17" s="406" t="e">
        <f aca="false">IF(ISERR(K12),"",K12 &amp; " (2x), ")</f>
        <v>#N/A</v>
      </c>
      <c r="L17" s="406" t="e">
        <f aca="false">IF(ISERR(L12),"",L12 &amp; " (2x), ")</f>
        <v>#N/A</v>
      </c>
      <c r="M17" s="406" t="e">
        <f aca="false">IF(ISERR(M12),"",M12 &amp; " (2x), ")</f>
        <v>#N/A</v>
      </c>
      <c r="N17" s="406" t="e">
        <f aca="false">IF(ISERR(N12),"",N12 &amp; " (2x), ")</f>
        <v>#N/A</v>
      </c>
      <c r="O17" s="406" t="e">
        <f aca="false">IF(ISERR(O12),"",O12 &amp; " (2x), ")</f>
        <v>#N/A</v>
      </c>
      <c r="P17" s="406" t="e">
        <f aca="false">IF(ISERR(P12),"",P12 &amp; " (2x), ")</f>
        <v>#N/A</v>
      </c>
      <c r="Q17" s="406" t="e">
        <f aca="false">IF(ISERR(Q12),"",Q12 &amp; " (2x), ")</f>
        <v>#N/A</v>
      </c>
      <c r="R17" s="406" t="e">
        <f aca="false">IF(ISERR(R12),"",R12 &amp; " (2x), ")</f>
        <v>#N/A</v>
      </c>
      <c r="S17" s="406" t="e">
        <f aca="false">IF(ISERR(S12),"",S12 &amp; " (2x), ")</f>
        <v>#N/A</v>
      </c>
      <c r="T17" s="406" t="e">
        <f aca="false">IF(ISERR(T12),"",T12 &amp; " (2x), ")</f>
        <v>#N/A</v>
      </c>
      <c r="U17" s="407" t="e">
        <f aca="false">IF(ISERR(U12),"",U12 &amp; " (2x), ")</f>
        <v>#N/A</v>
      </c>
      <c r="V17" s="364"/>
      <c r="W17" s="364"/>
      <c r="X17" s="364"/>
      <c r="Y17" s="364"/>
      <c r="Z17" s="364"/>
      <c r="AA17" s="364"/>
    </row>
    <row r="18" customFormat="false" ht="15.75" hidden="false" customHeight="false" outlineLevel="0" collapsed="false">
      <c r="A18" s="261" t="str">
        <f aca="false">IFERROR(__xludf.dummyfunction("""COMPUTED_VALUE"""),"Pidgeotto")</f>
        <v>Pidgeotto</v>
      </c>
      <c r="B18" s="365"/>
      <c r="C18" s="365"/>
      <c r="D18" s="364"/>
      <c r="E18" s="261"/>
      <c r="F18" s="391" t="e">
        <f aca="false" t="array" ref="F18:F18">IF(AND($D$2=1,F17&lt;MAX('0.0.1 Pokémon Dex Data'!$B$3:$B$1499),NOT(COUNTBLANK(F17))),IF(INDEX('0.0.1 Pokémon Dex Data'!$C$3:$C$1499,MATCH(F17+1,'0.0.1 Pokémon Dex Data'!$B$3:$B$1499,0))=$D$1,F17+1,""),"")</f>
        <v>#N/A</v>
      </c>
      <c r="G18" s="362" t="e">
        <f aca="false" t="array" ref="G18:G18">IF(COUNTBLANK(F18),"",INDEX('0.0.1 Pokémon Dex Data'!$D$3:$D$1499,MATCH(F18,'0.0.1 Pokémon Dex Data'!$B$3:$B$1499,0)))</f>
        <v>#N/A</v>
      </c>
      <c r="H18" s="364"/>
      <c r="I18" s="388" t="s">
        <v>2822</v>
      </c>
      <c r="J18" s="405" t="n">
        <f aca="false">SUM(J8:J10)</f>
        <v>0</v>
      </c>
      <c r="K18" s="405" t="e">
        <f aca="false">(CONCATENATE(K13:U13) &amp; CONCATENATE(K14:U14) &amp; CONCATENATE(K15:U15))</f>
        <v>#N/A</v>
      </c>
      <c r="L18" s="405"/>
      <c r="M18" s="405"/>
      <c r="N18" s="405"/>
      <c r="O18" s="405"/>
      <c r="P18" s="405"/>
      <c r="Q18" s="405"/>
      <c r="R18" s="405"/>
      <c r="S18" s="405"/>
      <c r="T18" s="405"/>
      <c r="U18" s="387"/>
      <c r="V18" s="364"/>
      <c r="W18" s="364"/>
      <c r="X18" s="364"/>
      <c r="Y18" s="364"/>
      <c r="Z18" s="364"/>
      <c r="AA18" s="364"/>
    </row>
    <row r="19" customFormat="false" ht="15.75" hidden="false" customHeight="false" outlineLevel="0" collapsed="false">
      <c r="A19" s="261" t="str">
        <f aca="false">IFERROR(__xludf.dummyfunction("""COMPUTED_VALUE"""),"Pidgeot")</f>
        <v>Pidgeot</v>
      </c>
      <c r="B19" s="365"/>
      <c r="C19" s="365"/>
      <c r="D19" s="364"/>
      <c r="E19" s="261"/>
      <c r="F19" s="394" t="e">
        <f aca="false" t="array" ref="F19:F19">IF(AND($D$2=1,F18&lt;MAX('0.0.1 Pokémon Dex Data'!$B$3:$B$1499),NOT(COUNTBLANK(F18))),IF(INDEX('0.0.1 Pokémon Dex Data'!$C$3:$C$1499,MATCH(F18+1,'0.0.1 Pokémon Dex Data'!$B$3:$B$1499,0))=$D$1,F18+1,""),"")</f>
        <v>#N/A</v>
      </c>
      <c r="G19" s="407" t="e">
        <f aca="false" t="array" ref="G19:G19">IF(COUNTBLANK(F19),"",INDEX('0.0.1 Pokémon Dex Data'!$D$3:$D$1499,MATCH(F19,'0.0.1 Pokémon Dex Data'!$B$3:$B$1499,0)))</f>
        <v>#N/A</v>
      </c>
      <c r="H19" s="364"/>
      <c r="I19" s="394" t="s">
        <v>2823</v>
      </c>
      <c r="J19" s="406" t="n">
        <f aca="false">SUM(J11:J12)</f>
        <v>0</v>
      </c>
      <c r="K19" s="406" t="e">
        <f aca="false">(CONCATENATE(K17:U17) &amp; CONCATENATE(K16:U16))</f>
        <v>#N/A</v>
      </c>
      <c r="L19" s="406"/>
      <c r="M19" s="406"/>
      <c r="N19" s="406"/>
      <c r="O19" s="406"/>
      <c r="P19" s="406"/>
      <c r="Q19" s="406"/>
      <c r="R19" s="406"/>
      <c r="S19" s="406"/>
      <c r="T19" s="406"/>
      <c r="U19" s="407"/>
      <c r="V19" s="364"/>
      <c r="W19" s="364"/>
      <c r="X19" s="364"/>
      <c r="Y19" s="364"/>
      <c r="Z19" s="364"/>
      <c r="AA19" s="364"/>
    </row>
    <row r="20" customFormat="false" ht="15.75" hidden="false" customHeight="false" outlineLevel="0" collapsed="false">
      <c r="A20" s="261" t="str">
        <f aca="false">IFERROR(__xludf.dummyfunction("""COMPUTED_VALUE"""),"Rattata")</f>
        <v>Rattata</v>
      </c>
      <c r="B20" s="365"/>
      <c r="C20" s="365"/>
      <c r="D20" s="364"/>
      <c r="E20" s="261"/>
      <c r="F20" s="261"/>
      <c r="G20" s="261"/>
      <c r="H20" s="364"/>
      <c r="I20" s="364"/>
      <c r="J20" s="364"/>
      <c r="K20" s="364"/>
      <c r="L20" s="364"/>
      <c r="M20" s="364"/>
      <c r="N20" s="364"/>
      <c r="O20" s="364"/>
      <c r="P20" s="364"/>
      <c r="Q20" s="364"/>
      <c r="R20" s="364"/>
      <c r="S20" s="364"/>
      <c r="T20" s="364"/>
      <c r="U20" s="364"/>
      <c r="V20" s="364"/>
      <c r="W20" s="364"/>
      <c r="X20" s="364"/>
      <c r="Y20" s="364"/>
      <c r="Z20" s="364"/>
      <c r="AA20" s="364"/>
    </row>
    <row r="21" customFormat="false" ht="15.75" hidden="false" customHeight="false" outlineLevel="0" collapsed="false">
      <c r="A21" s="261" t="str">
        <f aca="false">IFERROR(__xludf.dummyfunction("""COMPUTED_VALUE"""),"Raticate")</f>
        <v>Raticate</v>
      </c>
      <c r="B21" s="365"/>
      <c r="C21" s="365"/>
      <c r="D21" s="364"/>
      <c r="E21" s="364"/>
      <c r="F21" s="364"/>
      <c r="G21" s="364"/>
      <c r="H21" s="364"/>
      <c r="I21" s="408"/>
      <c r="J21" s="409"/>
      <c r="K21" s="409"/>
      <c r="L21" s="409"/>
      <c r="M21" s="409"/>
      <c r="N21" s="409"/>
      <c r="O21" s="410"/>
      <c r="P21" s="364"/>
      <c r="Q21" s="364"/>
      <c r="R21" s="364"/>
      <c r="S21" s="364"/>
      <c r="T21" s="364"/>
      <c r="U21" s="364"/>
      <c r="V21" s="364"/>
      <c r="W21" s="364"/>
      <c r="X21" s="364"/>
      <c r="Y21" s="364"/>
      <c r="Z21" s="364"/>
      <c r="AA21" s="364"/>
    </row>
    <row r="22" customFormat="false" ht="15.75" hidden="false" customHeight="false" outlineLevel="0" collapsed="false">
      <c r="A22" s="261" t="str">
        <f aca="false">IFERROR(__xludf.dummyfunction("""COMPUTED_VALUE"""),"Spearow")</f>
        <v>Spearow</v>
      </c>
      <c r="B22" s="365"/>
      <c r="C22" s="408" t="e">
        <f aca="false" t="array" ref="C22:C22">INDEX('0.3.1 Type Table'!B2:B19,MATCH(D5,'0.3.1 Type Table'!A2:A19,0))</f>
        <v>#N/A</v>
      </c>
      <c r="D22" s="409"/>
      <c r="E22" s="405" t="s">
        <v>2798</v>
      </c>
      <c r="F22" s="411" t="s">
        <v>2824</v>
      </c>
      <c r="G22" s="412" t="s">
        <v>2825</v>
      </c>
      <c r="H22" s="364"/>
      <c r="I22" s="391" t="s">
        <v>2826</v>
      </c>
      <c r="J22" s="364"/>
      <c r="K22" s="364"/>
      <c r="L22" s="261"/>
      <c r="M22" s="364"/>
      <c r="N22" s="364"/>
      <c r="O22" s="367"/>
      <c r="Q22" s="413"/>
      <c r="R22" s="405" t="s">
        <v>2827</v>
      </c>
      <c r="S22" s="409"/>
      <c r="T22" s="409"/>
      <c r="U22" s="410"/>
      <c r="V22" s="364"/>
      <c r="W22" s="364"/>
      <c r="X22" s="364"/>
      <c r="Y22" s="364"/>
      <c r="Z22" s="364"/>
      <c r="AA22" s="364"/>
    </row>
    <row r="23" customFormat="false" ht="15.75" hidden="false" customHeight="false" outlineLevel="0" collapsed="false">
      <c r="A23" s="261" t="str">
        <f aca="false">IFERROR(__xludf.dummyfunction("""COMPUTED_VALUE"""),"Fearow")</f>
        <v>Fearow</v>
      </c>
      <c r="B23" s="365"/>
      <c r="C23" s="414" t="e">
        <f aca="false" t="array" ref="C23:C23">IF(ISBLANK(D6),D6,INDEX('0.3.1 Type Table'!B2:B19,MATCH(D6,'0.3.1 Type Table'!A2:A19,0)))</f>
        <v>#N/A</v>
      </c>
      <c r="D23" s="364"/>
      <c r="E23" s="261" t="s">
        <v>2796</v>
      </c>
      <c r="F23" s="415" t="s">
        <v>2828</v>
      </c>
      <c r="G23" s="416" t="s">
        <v>2829</v>
      </c>
      <c r="H23" s="364"/>
      <c r="I23" s="414"/>
      <c r="J23" s="261" t="s">
        <v>2830</v>
      </c>
      <c r="K23" s="261" t="s">
        <v>2831</v>
      </c>
      <c r="L23" s="261" t="s">
        <v>5</v>
      </c>
      <c r="M23" s="261" t="s">
        <v>693</v>
      </c>
      <c r="N23" s="261" t="s">
        <v>2832</v>
      </c>
      <c r="O23" s="367"/>
      <c r="Q23" s="417"/>
      <c r="R23" s="261" t="str">
        <f aca="false" t="array" ref="R23:R23">INDEX('0.0.1 Pokémon Dex Data'!$C$3:$C1501,MATCH(S23,'0.0.1 Pokémon Dex Data'!$A$3:$A1501,0))</f>
        <v>Gloom</v>
      </c>
      <c r="S23" s="364" t="n">
        <v>44</v>
      </c>
      <c r="T23" s="360" t="s">
        <v>2760</v>
      </c>
      <c r="U23" s="367"/>
      <c r="V23" s="364"/>
      <c r="W23" s="364"/>
      <c r="X23" s="364"/>
      <c r="Y23" s="364"/>
      <c r="Z23" s="364"/>
      <c r="AA23" s="364"/>
    </row>
    <row r="24" customFormat="false" ht="15.75" hidden="false" customHeight="false" outlineLevel="0" collapsed="false">
      <c r="A24" s="261" t="str">
        <f aca="false">IFERROR(__xludf.dummyfunction("""COMPUTED_VALUE"""),"Ekans")</f>
        <v>Ekans</v>
      </c>
      <c r="B24" s="365"/>
      <c r="C24" s="414"/>
      <c r="D24" s="364"/>
      <c r="E24" s="261" t="s">
        <v>137</v>
      </c>
      <c r="F24" s="415" t="s">
        <v>2833</v>
      </c>
      <c r="G24" s="416" t="s">
        <v>2833</v>
      </c>
      <c r="H24" s="364"/>
      <c r="I24" s="391" t="s">
        <v>2834</v>
      </c>
      <c r="J24" s="261" t="s">
        <v>58</v>
      </c>
      <c r="K24" s="261" t="s">
        <v>58</v>
      </c>
      <c r="L24" s="364" t="e">
        <f aca="false">COUNTIF('0.0.1 Pokémon Dex Data'!$C$3:$C1501,K27)&gt;1</f>
        <v>#N/A</v>
      </c>
      <c r="M24" s="261" t="e">
        <f aca="false" t="array" ref="M24:M24">INDEX('0.0.1 Pokémon Dex Data'!G3:G1501,MATCH(L27,'0.0.1 Pokémon Dex Data'!B3:B1501,0))="Baby"</f>
        <v>#N/A</v>
      </c>
      <c r="N24" s="261" t="e">
        <f aca="false" t="array" ref="N24:N24">IF(L27=MAX('0.0.1 Pokémon Dex Data'!B3:B1501),0,AND(LEFT(INDEX('0.0.1 Pokémon Dex Data'!$D$3:$D1501,MATCH(L27+1,'0.0.1 Pokémon Dex Data'!$B$3:$B1501,0)),6)="Alolan",INDEX('0.0.1 Pokémon Dex Data'!$C$3:$C1501,MATCH(L27+1,'0.0.1 Pokémon Dex Data'!$B$3:$B1501,0))=K27))</f>
        <v>#N/A</v>
      </c>
      <c r="O24" s="367"/>
      <c r="Q24" s="417"/>
      <c r="R24" s="261" t="str">
        <f aca="false" t="array" ref="R24:R24">INDEX('0.0.1 Pokémon Dex Data'!$C$3:$C1501,MATCH(S24,'0.0.1 Pokémon Dex Data'!$A$3:$A1501,0))</f>
        <v>Poliwhirl</v>
      </c>
      <c r="S24" s="364" t="n">
        <v>61</v>
      </c>
      <c r="T24" s="364" t="str">
        <f aca="false">IFERROR(__xludf.dummyfunction("FILTER('0.0.1 Pokémon Dex Data'!$B$3:$B1501,'0.0.1 Pokémon Dex Data'!$X$3:$X1501=$Q$35)"),"#N/A")</f>
        <v>#N/A</v>
      </c>
      <c r="U24" s="366" t="e">
        <f aca="false" t="array" ref="U24:U24">IF(ISBLANK(T24),,INDEX('0.0.1 Pokémon Dex Data'!$E$3:$E1501,MATCH(T24,'0.0.1 Pokémon Dex Data'!$B$3:$B1501,0))&amp;", ")</f>
        <v>#N/A</v>
      </c>
      <c r="V24" s="364"/>
      <c r="W24" s="364"/>
      <c r="X24" s="364"/>
      <c r="Y24" s="364"/>
      <c r="Z24" s="364"/>
      <c r="AA24" s="364"/>
    </row>
    <row r="25" customFormat="false" ht="15.75" hidden="false" customHeight="false" outlineLevel="0" collapsed="false">
      <c r="A25" s="261" t="str">
        <f aca="false">IFERROR(__xludf.dummyfunction("""COMPUTED_VALUE"""),"Arbok")</f>
        <v>Arbok</v>
      </c>
      <c r="B25" s="365"/>
      <c r="C25" s="414" t="e">
        <f aca="false">C22</f>
        <v>#N/A</v>
      </c>
      <c r="D25" s="364"/>
      <c r="E25" s="261" t="s">
        <v>2799</v>
      </c>
      <c r="F25" s="415" t="s">
        <v>2835</v>
      </c>
      <c r="G25" s="416" t="s">
        <v>2835</v>
      </c>
      <c r="H25" s="364"/>
      <c r="I25" s="391" t="s">
        <v>2836</v>
      </c>
      <c r="J25" s="364" t="e">
        <f aca="false">COUNTIF('0.0.1 Pokémon Dex Data'!$X$3:$X1501,K27)&gt;0</f>
        <v>#N/A</v>
      </c>
      <c r="K25" s="364" t="e">
        <f aca="false">COUNTIF($R$23:$R$38,K27)&gt;0</f>
        <v>#N/A</v>
      </c>
      <c r="L25" s="364" t="e">
        <f aca="false">IF(J25,COUNTIF('0.0.1 Pokémon Dex Data'!$C$3:$C1501,J28)&gt;1,FALSE())</f>
        <v>#N/A</v>
      </c>
      <c r="M25" s="261"/>
      <c r="N25" s="261" t="e">
        <f aca="false" t="array" ref="N25:N25">AND(LEFT(INDEX('0.0.1 Pokémon Dex Data'!$D$3:$D1501,MATCH(L28+1,'0.0.1 Pokémon Dex Data'!$B$3:$B1501,0)),6)="Alolan",INDEX('0.0.1 Pokémon Dex Data'!$C$3:$C1501,MATCH(L28+1,'0.0.1 Pokémon Dex Data'!$B$3:$B1501,0))=K28)</f>
        <v>#N/A</v>
      </c>
      <c r="O25" s="367"/>
      <c r="Q25" s="417"/>
      <c r="R25" s="261" t="str">
        <f aca="false" t="array" ref="R25:R25">INDEX('0.0.1 Pokémon Dex Data'!$C$3:$C1501,MATCH(S25,'0.0.1 Pokémon Dex Data'!$A$3:$A1501,0))</f>
        <v>Slowpoke</v>
      </c>
      <c r="S25" s="364" t="n">
        <v>79</v>
      </c>
      <c r="T25" s="364"/>
      <c r="U25" s="366" t="n">
        <f aca="false">IF(ISBLANK(T25),,INDEX('0.0.1 Pokémon Dex Data'!$E$3:$E1501,MATCH(T25,'0.0.1 Pokémon Dex Data'!$B$3:$B1501,0))&amp;", ")</f>
        <v>0</v>
      </c>
      <c r="V25" s="364"/>
      <c r="W25" s="364"/>
      <c r="X25" s="364"/>
      <c r="Y25" s="364"/>
      <c r="Z25" s="364"/>
      <c r="AA25" s="364"/>
    </row>
    <row r="26" customFormat="false" ht="15.75" hidden="false" customHeight="false" outlineLevel="0" collapsed="false">
      <c r="A26" s="261" t="str">
        <f aca="false">IFERROR(__xludf.dummyfunction("""COMPUTED_VALUE"""),"Pikachu")</f>
        <v>Pikachu</v>
      </c>
      <c r="B26" s="365"/>
      <c r="C26" s="414" t="e">
        <f aca="false">IF(C22=C23,C24,C23)</f>
        <v>#N/A</v>
      </c>
      <c r="D26" s="364"/>
      <c r="E26" s="261" t="s">
        <v>2797</v>
      </c>
      <c r="F26" s="415" t="s">
        <v>2837</v>
      </c>
      <c r="G26" s="416" t="s">
        <v>2837</v>
      </c>
      <c r="H26" s="364"/>
      <c r="I26" s="391" t="s">
        <v>2838</v>
      </c>
      <c r="J26" s="364" t="e">
        <f aca="false">COUNTIF('0.0.1 Pokémon Dex Data'!$X$3:$X1501,K28)&gt;0</f>
        <v>#N/A</v>
      </c>
      <c r="K26" s="364" t="e">
        <f aca="false">COUNTIF($R$23:$R$38,K28)&gt;0</f>
        <v>#N/A</v>
      </c>
      <c r="L26" s="364" t="e">
        <f aca="false">IF(J26,COUNTIF('0.0.1 Pokémon Dex Data'!$C$3:$C1501,J29)&gt;1,FALSE())</f>
        <v>#N/A</v>
      </c>
      <c r="M26" s="364"/>
      <c r="N26" s="261" t="e">
        <f aca="false" t="array" ref="N26:N26">AND(LEFT(INDEX('0.0.1 Pokémon Dex Data'!$D$3:$D1501,MATCH(L29+1,'0.0.1 Pokémon Dex Data'!$B$3:$B1501,0)),6)="Alolan",INDEX('0.0.1 Pokémon Dex Data'!$C$3:$C1501,MATCH(L29+1,'0.0.1 Pokémon Dex Data'!$B$3:$B1501,0))=K29)</f>
        <v>#N/A</v>
      </c>
      <c r="O26" s="367"/>
      <c r="Q26" s="417"/>
      <c r="R26" s="261" t="str">
        <f aca="false" t="array" ref="R26:R26">INDEX('0.0.1 Pokémon Dex Data'!$C$3:$C1501,MATCH(S26,'0.0.1 Pokémon Dex Data'!$A$3:$A1501,0))</f>
        <v>Eevee</v>
      </c>
      <c r="S26" s="364" t="n">
        <v>133</v>
      </c>
      <c r="T26" s="364"/>
      <c r="U26" s="366" t="n">
        <f aca="false">IF(ISBLANK(T26),,INDEX('0.0.1 Pokémon Dex Data'!$E$3:$E1501,MATCH(T26,'0.0.1 Pokémon Dex Data'!$B$3:$B1501,0))&amp;", ")</f>
        <v>0</v>
      </c>
      <c r="V26" s="364"/>
      <c r="W26" s="364"/>
      <c r="X26" s="364"/>
      <c r="Y26" s="364"/>
      <c r="Z26" s="364"/>
      <c r="AA26" s="364"/>
    </row>
    <row r="27" customFormat="false" ht="15.75" hidden="false" customHeight="false" outlineLevel="0" collapsed="false">
      <c r="A27" s="261" t="str">
        <f aca="false">IFERROR(__xludf.dummyfunction("""COMPUTED_VALUE"""),"Raichu")</f>
        <v>Raichu</v>
      </c>
      <c r="B27" s="365"/>
      <c r="C27" s="414"/>
      <c r="D27" s="364"/>
      <c r="E27" s="261" t="s">
        <v>2801</v>
      </c>
      <c r="F27" s="415" t="s">
        <v>2839</v>
      </c>
      <c r="G27" s="416" t="s">
        <v>2839</v>
      </c>
      <c r="H27" s="364"/>
      <c r="I27" s="391" t="s">
        <v>2811</v>
      </c>
      <c r="J27" s="360" t="s">
        <v>58</v>
      </c>
      <c r="K27" s="360" t="e">
        <f aca="false">IF(D3=778,"Floette",D11)</f>
        <v>#N/A</v>
      </c>
      <c r="L27" s="262" t="e">
        <f aca="false">IF(D3=778,D3,E11)</f>
        <v>#N/A</v>
      </c>
      <c r="M27" s="364" t="e">
        <f aca="false">IF(NOT(L27=0),1,0)</f>
        <v>#N/A</v>
      </c>
      <c r="N27" s="364" t="e">
        <f aca="false">IF(L27=$D$3,1,0)</f>
        <v>#N/A</v>
      </c>
      <c r="O27" s="367"/>
      <c r="Q27" s="417"/>
      <c r="R27" s="261" t="str">
        <f aca="false" t="array" ref="R27:R27">INDEX('0.0.1 Pokémon Dex Data'!$C$3:$C1501,MATCH(S27,'0.0.1 Pokémon Dex Data'!$A$3:$A1501,0))</f>
        <v>Tyrogue</v>
      </c>
      <c r="S27" s="364" t="n">
        <v>236</v>
      </c>
      <c r="T27" s="364"/>
      <c r="U27" s="366" t="n">
        <f aca="false">IF(ISBLANK(T27),,INDEX('0.0.1 Pokémon Dex Data'!$E$3:$E1501,MATCH(T27,'0.0.1 Pokémon Dex Data'!$B$3:$B1501,0))&amp;", ")</f>
        <v>0</v>
      </c>
      <c r="V27" s="364"/>
      <c r="W27" s="364"/>
      <c r="X27" s="364"/>
      <c r="Y27" s="364"/>
      <c r="Z27" s="364"/>
      <c r="AA27" s="364"/>
    </row>
    <row r="28" customFormat="false" ht="15.75" hidden="false" customHeight="false" outlineLevel="0" collapsed="false">
      <c r="A28" s="261" t="str">
        <f aca="false">IFERROR(__xludf.dummyfunction("""COMPUTED_VALUE"""),"Sandshrew")</f>
        <v>Sandshrew</v>
      </c>
      <c r="B28" s="365"/>
      <c r="C28" s="418"/>
      <c r="D28" s="419"/>
      <c r="E28" s="406" t="s">
        <v>2800</v>
      </c>
      <c r="F28" s="420" t="s">
        <v>2840</v>
      </c>
      <c r="G28" s="421" t="s">
        <v>2840</v>
      </c>
      <c r="H28" s="364"/>
      <c r="I28" s="391" t="s">
        <v>2809</v>
      </c>
      <c r="J28" s="360" t="e">
        <f aca="false" t="array" ref="J28:J28">IF(J25,INDEX('0.0.1 Pokémon Dex Data'!$C$3:$C1501,MATCH(K27,'0.0.1 Pokémon Dex Data'!$X$3:$X1501,0)),0)</f>
        <v>#N/A</v>
      </c>
      <c r="K28" s="360" t="e">
        <f aca="false">IF(AND(D10=D1,NOT(D3=778)),D10,IF(OR(NOT(J25),K27=J28,D3=778),0,IF(K25,"Multiple",J28)))</f>
        <v>#N/A</v>
      </c>
      <c r="L28" s="262" t="e">
        <f aca="false" t="array" ref="L28:L28">IF(AND(K25,NOT(J30)),D3,IF(OR(K28=0,K28="Multiple"),0,INDEX('0.0.1 Pokémon Dex Data'!$B$3:$B1501,MATCH(K28,'0.0.1 Pokémon Dex Data'!$C$3:$C1501,0))))</f>
        <v>#N/A</v>
      </c>
      <c r="M28" s="364" t="e">
        <f aca="false">IF(OR(NOT(L28=0),K28="Multiple"),2,0)</f>
        <v>#N/A</v>
      </c>
      <c r="N28" s="364" t="e">
        <f aca="false">IF(L28=$D$3,1,0)</f>
        <v>#N/A</v>
      </c>
      <c r="O28" s="367"/>
      <c r="Q28" s="417"/>
      <c r="R28" s="261" t="str">
        <f aca="false" t="array" ref="R28:R28">INDEX('0.0.1 Pokémon Dex Data'!$C$3:$C1501,MATCH(S28,'0.0.1 Pokémon Dex Data'!$A$3:$A1501,0))</f>
        <v>Wurmple</v>
      </c>
      <c r="S28" s="364" t="n">
        <v>265</v>
      </c>
      <c r="T28" s="364"/>
      <c r="U28" s="366" t="n">
        <f aca="false">IF(ISBLANK(T28),,INDEX('0.0.1 Pokémon Dex Data'!$E$3:$E1501,MATCH(T28,'0.0.1 Pokémon Dex Data'!$B$3:$B1501,0))&amp;", ")</f>
        <v>0</v>
      </c>
      <c r="V28" s="364"/>
      <c r="W28" s="364"/>
      <c r="X28" s="364"/>
      <c r="Y28" s="364"/>
      <c r="Z28" s="364"/>
      <c r="AA28" s="364"/>
    </row>
    <row r="29" customFormat="false" ht="15.75" hidden="false" customHeight="false" outlineLevel="0" collapsed="false">
      <c r="A29" s="261" t="str">
        <f aca="false">IFERROR(__xludf.dummyfunction("""COMPUTED_VALUE"""),"Sandslash")</f>
        <v>Sandslash</v>
      </c>
      <c r="B29" s="365"/>
      <c r="C29" s="365"/>
      <c r="D29" s="364"/>
      <c r="E29" s="364"/>
      <c r="F29" s="364"/>
      <c r="G29" s="364"/>
      <c r="H29" s="364"/>
      <c r="I29" s="391" t="s">
        <v>2807</v>
      </c>
      <c r="J29" s="360" t="e">
        <f aca="false" t="array" ref="J29:J29">IF(J26,INDEX('0.0.1 Pokémon Dex Data'!$C$3:$C1501,MATCH(K28,'0.0.1 Pokémon Dex Data'!$X$3:$X1501,0)),0)</f>
        <v>#N/A</v>
      </c>
      <c r="K29" s="360" t="e">
        <f aca="false">IF(D9=D1,D9,IF(OR(NOT(J26),K28=J29,D4=778),0,IF(K26,"Multiple",J29)))</f>
        <v>#N/A</v>
      </c>
      <c r="L29" s="262" t="e">
        <f aca="false" t="array" ref="L29:L29">IF(AND(K26,NOT(J30)),D3,IF(OR(K29=0,K29="Multiple"),0,INDEX('0.0.1 Pokémon Dex Data'!$B$3:$B1501,MATCH(K29,'0.0.1 Pokémon Dex Data'!$C$3:$C1501,0))))</f>
        <v>#N/A</v>
      </c>
      <c r="M29" s="364" t="e">
        <f aca="false">IF(OR(NOT(L29=0),K29="Multiple"),3,0)</f>
        <v>#N/A</v>
      </c>
      <c r="N29" s="364" t="e">
        <f aca="false">IF(L29=$D$3,1,0)</f>
        <v>#N/A</v>
      </c>
      <c r="O29" s="367"/>
      <c r="Q29" s="417"/>
      <c r="R29" s="261" t="s">
        <v>947</v>
      </c>
      <c r="S29" s="364" t="n">
        <v>280</v>
      </c>
      <c r="T29" s="364"/>
      <c r="U29" s="366" t="n">
        <f aca="false">IF(ISBLANK(T29),,INDEX('0.0.1 Pokémon Dex Data'!$E$3:$E1501,MATCH(T29,'0.0.1 Pokémon Dex Data'!$B$3:$B1501,0))&amp;", ")</f>
        <v>0</v>
      </c>
      <c r="V29" s="364"/>
      <c r="W29" s="364"/>
      <c r="X29" s="364"/>
      <c r="Y29" s="364"/>
      <c r="Z29" s="364"/>
      <c r="AA29" s="364"/>
    </row>
    <row r="30" customFormat="false" ht="15.75" hidden="false" customHeight="false" outlineLevel="0" collapsed="false">
      <c r="A30" s="261" t="str">
        <f aca="false">IFERROR(__xludf.dummyfunction("""COMPUTED_VALUE"""),"Nidoran♀")</f>
        <v>Nidoran♀</v>
      </c>
      <c r="B30" s="365"/>
      <c r="C30" s="365"/>
      <c r="D30" s="364"/>
      <c r="E30" s="364"/>
      <c r="F30" s="364"/>
      <c r="G30" s="364"/>
      <c r="H30" s="364"/>
      <c r="I30" s="391" t="s">
        <v>2841</v>
      </c>
      <c r="J30" s="364" t="e">
        <f aca="false">OR(K27=J28,K28=J29,LEFT('Pokémon GO Dex'!E4,4)="Mega")</f>
        <v>#N/A</v>
      </c>
      <c r="M30" s="364" t="e">
        <f aca="false">MAX(M27:M29)</f>
        <v>#N/A</v>
      </c>
      <c r="N30" s="364" t="e">
        <f aca="false">SUM(N27:N29)</f>
        <v>#N/A</v>
      </c>
      <c r="O30" s="367"/>
      <c r="Q30" s="417"/>
      <c r="R30" s="261" t="str">
        <f aca="false" t="array" ref="R30:R30">INDEX('0.0.1 Pokémon Dex Data'!$C$3:$C1501,MATCH(S30,'0.0.1 Pokémon Dex Data'!$A$3:$A1501,0))</f>
        <v>Nincada</v>
      </c>
      <c r="S30" s="364" t="n">
        <v>290</v>
      </c>
      <c r="T30" s="364"/>
      <c r="U30" s="366" t="n">
        <f aca="false">IF(ISBLANK(T30),,INDEX('0.0.1 Pokémon Dex Data'!$E$3:$E1501,MATCH(T30,'0.0.1 Pokémon Dex Data'!$B$3:$B1501,0))&amp;", ")</f>
        <v>0</v>
      </c>
      <c r="V30" s="364"/>
      <c r="W30" s="364"/>
      <c r="X30" s="364"/>
      <c r="Y30" s="364"/>
      <c r="Z30" s="364"/>
      <c r="AA30" s="364"/>
    </row>
    <row r="31" customFormat="false" ht="15.75" hidden="false" customHeight="false" outlineLevel="0" collapsed="false">
      <c r="A31" s="261" t="str">
        <f aca="false">IFERROR(__xludf.dummyfunction("""COMPUTED_VALUE"""),"Nidorina")</f>
        <v>Nidorina</v>
      </c>
      <c r="B31" s="365"/>
      <c r="C31" s="422" t="s">
        <v>2842</v>
      </c>
      <c r="D31" s="423" t="n">
        <f aca="false" t="array" ref="D31:D31">IF(COUNTIF('0.3.0 GO Calculation Values'!$J$2:$J$99,D1),(INDEX('0.3.0 GO Calculation Values'!$K$2:$K$99,MATCH(D1,'0.3.0 GO Calculation Values'!$J$2:$J$99,0))),1)</f>
        <v>1</v>
      </c>
      <c r="E31" s="424" t="n">
        <f aca="false" t="array" ref="E31:E31">IF('Pokémon GO Dex'!F36="Keep",IF(COUNTIF('0.3.0 GO Calculation Values'!$J$2:$J$99,D1),(INDEX('0.3.0 GO Calculation Values'!$K$2:$K$99,MATCH(D1,'0.3.0 GO Calculation Values'!$J$2:$J$99,0))),1),1)</f>
        <v>1</v>
      </c>
      <c r="F31" s="364"/>
      <c r="G31" s="364"/>
      <c r="H31" s="364"/>
      <c r="I31" s="417"/>
      <c r="J31" s="360" t="e">
        <f aca="false">AND(NOT(N30),D2,NOT(D14),NOT(D13))</f>
        <v>#N/A</v>
      </c>
      <c r="K31" s="364"/>
      <c r="L31" s="364"/>
      <c r="M31" s="364"/>
      <c r="N31" s="364"/>
      <c r="O31" s="367"/>
      <c r="Q31" s="417"/>
      <c r="R31" s="261" t="str">
        <f aca="false" t="array" ref="R31:R31">INDEX('0.0.1 Pokémon Dex Data'!$C$3:$C1501,MATCH(S31,'0.0.1 Pokémon Dex Data'!$A$3:$A1501,0))</f>
        <v>Snorunt</v>
      </c>
      <c r="S31" s="364" t="n">
        <v>361</v>
      </c>
      <c r="T31" s="364"/>
      <c r="U31" s="366" t="n">
        <f aca="false">IF(ISBLANK(T31),,INDEX('0.0.1 Pokémon Dex Data'!$E$3:$E1501,MATCH(T31,'0.0.1 Pokémon Dex Data'!$B$3:$B1501,0))&amp;", ")</f>
        <v>0</v>
      </c>
      <c r="V31" s="364"/>
      <c r="W31" s="364"/>
      <c r="X31" s="364"/>
      <c r="Y31" s="364"/>
      <c r="Z31" s="364"/>
      <c r="AA31" s="364"/>
    </row>
    <row r="32" customFormat="false" ht="15.75" hidden="false" customHeight="false" outlineLevel="0" collapsed="false">
      <c r="A32" s="261" t="str">
        <f aca="false">IFERROR(__xludf.dummyfunction("""COMPUTED_VALUE"""),"Nidoqueen")</f>
        <v>Nidoqueen</v>
      </c>
      <c r="B32" s="365"/>
      <c r="C32" s="425" t="s">
        <v>208</v>
      </c>
      <c r="D32" s="409" t="e">
        <f aca="false" t="array" ref="D32:D32">ROUND(INDEX('0.0.1 Pokémon Dex Data'!$T$3:$T1501,MATCH(D3,'0.0.1 Pokémon Dex Data'!$B$3:$B1501,0))*E31,0)</f>
        <v>#N/A</v>
      </c>
      <c r="E32" s="410" t="n">
        <f aca="false">'Pokémon GO Dex'!F43</f>
        <v>15</v>
      </c>
      <c r="F32" s="426" t="e">
        <f aca="false">ROUNDDOWN((D32+E32)*$D$36,0)</f>
        <v>#N/A</v>
      </c>
      <c r="G32" s="410" t="e">
        <f aca="false">ROUNDDOWN((D32+15)*$D$36,0)</f>
        <v>#N/A</v>
      </c>
      <c r="H32" s="364"/>
      <c r="I32" s="427" t="s">
        <v>2843</v>
      </c>
      <c r="J32" s="0" t="e">
        <f aca="false">IF(J31,F2,0)</f>
        <v>#N/A</v>
      </c>
      <c r="K32" s="364" t="e">
        <f aca="false">IF(NOT(J32=0),D1,0)</f>
        <v>#N/A</v>
      </c>
      <c r="L32" s="262" t="e">
        <f aca="false" t="array" ref="L32:L32">IF(K32=0,0,INDEX('0.0.1 Pokémon Dex Data'!$A$3:$A1501,MATCH(K32,'0.0.1 Pokémon Dex Data'!$C$3:$C1501,0)))</f>
        <v>#N/A</v>
      </c>
      <c r="M32" s="364"/>
      <c r="N32" s="364"/>
      <c r="O32" s="367"/>
      <c r="Q32" s="417"/>
      <c r="R32" s="261" t="str">
        <f aca="false" t="array" ref="R32:R32">INDEX('0.0.1 Pokémon Dex Data'!$C$3:$C1501,MATCH(S32,'0.0.1 Pokémon Dex Data'!$A$3:$A1501,0))</f>
        <v>Clamperl</v>
      </c>
      <c r="S32" s="364" t="n">
        <v>366</v>
      </c>
      <c r="T32" s="364"/>
      <c r="U32" s="366" t="n">
        <f aca="false">IF(ISBLANK(T32),,INDEX('0.0.1 Pokémon Dex Data'!$E$3:$E1501,MATCH(T32,'0.0.1 Pokémon Dex Data'!$B$3:$B1501,0))&amp;", ")</f>
        <v>0</v>
      </c>
      <c r="V32" s="364"/>
      <c r="W32" s="364"/>
      <c r="X32" s="364"/>
      <c r="Y32" s="364"/>
      <c r="Z32" s="364"/>
      <c r="AA32" s="364"/>
    </row>
    <row r="33" customFormat="false" ht="15.75" hidden="false" customHeight="false" outlineLevel="0" collapsed="false">
      <c r="A33" s="261" t="str">
        <f aca="false">IFERROR(__xludf.dummyfunction("""COMPUTED_VALUE"""),"Nidoran♂")</f>
        <v>Nidoran♂</v>
      </c>
      <c r="B33" s="365"/>
      <c r="C33" s="428" t="s">
        <v>209</v>
      </c>
      <c r="D33" s="364" t="e">
        <f aca="false" t="array" ref="D33:D33">ROUND(INDEX('0.0.1 Pokémon Dex Data'!$U$3:$U1501,MATCH(D3,'0.0.1 Pokémon Dex Data'!$B$3:$B1501,0))*E31,0)</f>
        <v>#N/A</v>
      </c>
      <c r="E33" s="366" t="n">
        <f aca="false">'Pokémon GO Dex'!J43</f>
        <v>15</v>
      </c>
      <c r="F33" s="429" t="e">
        <f aca="false">ROUNDDOWN((D33+E33)*$D$36,0)</f>
        <v>#N/A</v>
      </c>
      <c r="G33" s="366" t="e">
        <f aca="false">ROUNDDOWN((D33+15)*$D$36,0)</f>
        <v>#N/A</v>
      </c>
      <c r="H33" s="364"/>
      <c r="I33" s="391" t="s">
        <v>2844</v>
      </c>
      <c r="J33" s="364" t="e">
        <f aca="false">IF(J31,D3,0)</f>
        <v>#N/A</v>
      </c>
      <c r="K33" s="364" t="e">
        <f aca="false" t="array" ref="K33:K33">IF(NOT(J32=0),INDEX(G2:G19,MATCH(J33,F2:F19,0)),0)</f>
        <v>#N/A</v>
      </c>
      <c r="L33" s="262" t="e">
        <f aca="false">IF(OR(L32=773,L32=493),K32&amp;"-"&amp;K33,K33)</f>
        <v>#N/A</v>
      </c>
      <c r="M33" s="364"/>
      <c r="N33" s="364"/>
      <c r="O33" s="367"/>
      <c r="Q33" s="427" t="s">
        <v>2845</v>
      </c>
      <c r="R33" s="261" t="str">
        <f aca="false" t="array" ref="R33:R33">INDEX('0.0.1 Pokémon Dex Data'!$C$3:$C1501,MATCH(S33,'0.0.1 Pokémon Dex Data'!$A$3:$A1501,0))</f>
        <v>Burmy</v>
      </c>
      <c r="S33" s="364" t="n">
        <v>412</v>
      </c>
      <c r="T33" s="364"/>
      <c r="U33" s="366" t="n">
        <f aca="false">IF(ISBLANK(T33),,INDEX('0.0.1 Pokémon Dex Data'!$E$3:$E1501,MATCH(T33,'0.0.1 Pokémon Dex Data'!$B$3:$B1501,0))&amp;", ")</f>
        <v>0</v>
      </c>
      <c r="V33" s="364"/>
      <c r="W33" s="364"/>
      <c r="X33" s="364"/>
      <c r="Y33" s="364"/>
      <c r="Z33" s="364"/>
      <c r="AA33" s="364"/>
    </row>
    <row r="34" customFormat="false" ht="15.75" hidden="false" customHeight="false" outlineLevel="0" collapsed="false">
      <c r="A34" s="261" t="str">
        <f aca="false">IFERROR(__xludf.dummyfunction("""COMPUTED_VALUE"""),"Nidorino")</f>
        <v>Nidorino</v>
      </c>
      <c r="B34" s="365"/>
      <c r="C34" s="430" t="s">
        <v>2846</v>
      </c>
      <c r="D34" s="419" t="e">
        <f aca="false" t="array" ref="D34:D34">ROUND(INDEX('0.0.1 Pokémon Dex Data'!$V$3:$V1501,MATCH(D3,'0.0.1 Pokémon Dex Data'!$B$3:$B1501,0))*E31,0)</f>
        <v>#N/A</v>
      </c>
      <c r="E34" s="431" t="n">
        <f aca="false">'Pokémon GO Dex'!N43</f>
        <v>15</v>
      </c>
      <c r="F34" s="432" t="e">
        <f aca="false">ROUNDDOWN((D34+E34)*$D$36,0)</f>
        <v>#N/A</v>
      </c>
      <c r="G34" s="431" t="e">
        <f aca="false">ROUNDDOWN((D34+15)*$D$36,0)</f>
        <v>#N/A</v>
      </c>
      <c r="H34" s="364"/>
      <c r="I34" s="414"/>
      <c r="J34" s="364"/>
      <c r="K34" s="364"/>
      <c r="L34" s="364"/>
      <c r="M34" s="364"/>
      <c r="N34" s="364"/>
      <c r="O34" s="367"/>
      <c r="Q34" s="417" t="e">
        <f aca="false">IF(K28="Multiple",1,IF(K29="Multiple",1,0))</f>
        <v>#N/A</v>
      </c>
      <c r="R34" s="261" t="str">
        <f aca="false" t="array" ref="R34:R34">INDEX('0.0.1 Pokémon Dex Data'!$C$3:$C1501,MATCH(S34,'0.0.1 Pokémon Dex Data'!$A$3:$A1501,0))</f>
        <v>Rockruff</v>
      </c>
      <c r="S34" s="364" t="n">
        <v>744</v>
      </c>
      <c r="T34" s="364"/>
      <c r="U34" s="366" t="n">
        <f aca="false">IF(ISBLANK(T34),,INDEX('0.0.1 Pokémon Dex Data'!$E$3:$E1501,MATCH(T34,'0.0.1 Pokémon Dex Data'!$B$3:$B1501,0))&amp;", ")</f>
        <v>0</v>
      </c>
      <c r="V34" s="364"/>
      <c r="W34" s="364"/>
      <c r="X34" s="364"/>
      <c r="Y34" s="364"/>
      <c r="Z34" s="364"/>
      <c r="AA34" s="364"/>
    </row>
    <row r="35" customFormat="false" ht="15.75" hidden="false" customHeight="false" outlineLevel="0" collapsed="false">
      <c r="A35" s="261" t="str">
        <f aca="false">IFERROR(__xludf.dummyfunction("""COMPUTED_VALUE"""),"Nidoking")</f>
        <v>Nidoking</v>
      </c>
      <c r="B35" s="365"/>
      <c r="C35" s="365"/>
      <c r="D35" s="433" t="s">
        <v>2789</v>
      </c>
      <c r="E35" s="434" t="s">
        <v>2847</v>
      </c>
      <c r="F35" s="435" t="s">
        <v>2848</v>
      </c>
      <c r="H35" s="364"/>
      <c r="I35" s="414"/>
      <c r="J35" s="364"/>
      <c r="K35" s="364"/>
      <c r="L35" s="364"/>
      <c r="M35" s="364"/>
      <c r="N35" s="364"/>
      <c r="O35" s="367"/>
      <c r="Q35" s="417" t="e">
        <f aca="false">IF(K28="Multiple",K27,IF(K29="Multiple",K28,""))</f>
        <v>#N/A</v>
      </c>
      <c r="R35" s="261" t="str">
        <f aca="false" t="array" ref="R35:R35">INDEX('0.0.1 Pokémon Dex Data'!$C$3:$C1501,MATCH(S35,'0.0.1 Pokémon Dex Data'!$A$3:$A1501,0))</f>
        <v>Cosmoem</v>
      </c>
      <c r="S35" s="364" t="n">
        <v>790</v>
      </c>
      <c r="T35" s="364"/>
      <c r="U35" s="366" t="n">
        <f aca="false">IF(ISBLANK(T35),,INDEX('0.0.1 Pokémon Dex Data'!$E$3:$E1501,MATCH(T35,'0.0.1 Pokémon Dex Data'!$B$3:$B1501,0))&amp;", ")</f>
        <v>0</v>
      </c>
      <c r="V35" s="364"/>
      <c r="W35" s="364"/>
      <c r="X35" s="364"/>
      <c r="Y35" s="364"/>
      <c r="Z35" s="364"/>
      <c r="AA35" s="364"/>
    </row>
    <row r="36" customFormat="false" ht="15.75" hidden="false" customHeight="false" outlineLevel="0" collapsed="false">
      <c r="A36" s="261" t="str">
        <f aca="false">IFERROR(__xludf.dummyfunction("""COMPUTED_VALUE"""),"Clefairy")</f>
        <v>Clefairy</v>
      </c>
      <c r="B36" s="365"/>
      <c r="C36" s="425" t="s">
        <v>2849</v>
      </c>
      <c r="D36" s="409" t="n">
        <f aca="false" t="array" ref="D36:D36">INDEX('0.3.0 GO Calculation Values'!$B$2:$B$80,MATCH('Pokémon GO Dex'!E41,'0.3.0 GO Calculation Values'!$A$2:$A$80,0))</f>
        <v>0.59740001</v>
      </c>
      <c r="E36" s="409" t="e">
        <f aca="false">ROUNDDOWN((D32+E32)*(D33+E33)^0.5*(D34+E34)^0.5*D36^2/10,0)</f>
        <v>#N/A</v>
      </c>
      <c r="F36" s="436" t="e">
        <f aca="false">ROUNDDOWN((D32+15)*(D33+15)^0.5*(D34+15)^0.5*D36^2/10,0)</f>
        <v>#N/A</v>
      </c>
      <c r="G36" s="426" t="n">
        <f aca="true">SUM(INDIRECT("'0.3.0 GO Calculation Values'!D2:D"&amp;MATCH('Pokémon GO Dex'!E42,'0.3.0 GO Calculation Values'!$A$1:$A$80,0)))-SUM(INDIRECT("'0.3.0 GO Calculation Values'!D2:D"&amp;MATCH('Pokémon GO Dex'!E41,'0.3.0 GO Calculation Values'!$A$1:$A$80,0)))</f>
        <v>248</v>
      </c>
      <c r="H36" s="364"/>
      <c r="I36" s="408" t="e">
        <f aca="false">IF(J31,"",IF(M30=3,M40,""))</f>
        <v>#N/A</v>
      </c>
      <c r="J36" s="409" t="e">
        <f aca="false">IF(J31,"",IF(M30=3,IF(M24,image("https://raw.githubusercontent.com/msikma/pokesprite/master/icons/pokemon/egg.png",3),""),IF(M30=2,M40,"")))</f>
        <v>#N/A</v>
      </c>
      <c r="K36" s="409" t="e">
        <f aca="false">IF(J31,"Form",IF(M30=3,M41,IF(M30=2,IF(M24,image("https://raw.githubusercontent.com/msikma/pokesprite/master/icons/pokemon/egg.png",3),""),IF(M30=1,M40,""))))</f>
        <v>#N/A</v>
      </c>
      <c r="L36" s="409" t="e">
        <f aca="false">IF(J31,"",IF(M30=3,"",IF(M30=2,IF(J41="Multiple","",M41),"")))</f>
        <v>#N/A</v>
      </c>
      <c r="M36" s="410" t="e">
        <f aca="false">IF(J31,"",IF(M30=3,IF(J42="Multiple","",M42),""))</f>
        <v>#N/A</v>
      </c>
      <c r="N36" s="364"/>
      <c r="O36" s="367"/>
      <c r="Q36" s="417"/>
      <c r="R36" s="261" t="str">
        <f aca="false" t="array" ref="R36:R36">INDEX('0.0.1 Pokémon Dex Data'!$C$3:$C1501,MATCH(S36,'0.0.1 Pokémon Dex Data'!$A$3:$A1501,0))</f>
        <v>Pikachu</v>
      </c>
      <c r="S36" s="364" t="n">
        <v>25</v>
      </c>
      <c r="T36" s="364"/>
      <c r="U36" s="366" t="n">
        <f aca="false">IF(ISBLANK(T36),,INDEX('0.0.1 Pokémon Dex Data'!$E$3:$E1501,MATCH(T36,'0.0.1 Pokémon Dex Data'!$B$3:$B1501,0))&amp;", ")</f>
        <v>0</v>
      </c>
      <c r="V36" s="364"/>
      <c r="W36" s="364"/>
      <c r="X36" s="364"/>
      <c r="Y36" s="364"/>
      <c r="Z36" s="364"/>
      <c r="AA36" s="364"/>
    </row>
    <row r="37" customFormat="false" ht="15.75" hidden="false" customHeight="false" outlineLevel="0" collapsed="false">
      <c r="A37" s="261" t="str">
        <f aca="false">IFERROR(__xludf.dummyfunction("""COMPUTED_VALUE"""),"Clefable")</f>
        <v>Clefable</v>
      </c>
      <c r="B37" s="365"/>
      <c r="C37" s="430" t="s">
        <v>59</v>
      </c>
      <c r="D37" s="419" t="n">
        <f aca="false" t="array" ref="D37:D37">INDEX('0.3.0 GO Calculation Values'!$B$2:$B$80,MATCH('Pokémon GO Dex'!E42,'0.3.0 GO Calculation Values'!$A$2:$A$80,0))</f>
        <v>0.79030001</v>
      </c>
      <c r="E37" s="26" t="e">
        <f aca="false">ROUNDDOWN((D32+E32)*(D33+E33)^0.5*(D34+E34)^0.5*D37^2/10,0)</f>
        <v>#N/A</v>
      </c>
      <c r="F37" s="431" t="e">
        <f aca="false">ROUNDDOWN(($D$32+15)*($D$33+15)^0.5*($D$34+15)^0.5*D37^2/10,0)</f>
        <v>#N/A</v>
      </c>
      <c r="G37" s="432" t="n">
        <f aca="true">SUM(INDIRECT("'0.3.0 GO Calculation Values'!C2:C"&amp;MATCH('Pokémon GO Dex'!E42,'0.3.0 GO Calculation Values'!$A$1:$A$80,0)))-SUM(INDIRECT("'0.3.0 GO Calculation Values'!C2:C"&amp;MATCH('Pokémon GO Dex'!E41,'0.3.0 GO Calculation Values'!$A$1:$A$80,0)))</f>
        <v>225000</v>
      </c>
      <c r="H37" s="364"/>
      <c r="I37" s="414" t="e">
        <f aca="false" t="array" ref="I37:I37">IF(J31,"",IF(M30=3,image("https://github.com/msikma/pokesprite/blob/master/icons/pokemon/regular/"&amp;INDEX('0.0.1 Pokémon Dex Data'!$AH$3:$AH1501,MATCH(I40,'0.0.1 Pokémon Dex Data'!$B$3:$B1501,0))&amp;".png?raw=true",3),""))</f>
        <v>#N/A</v>
      </c>
      <c r="J37" s="364" t="e">
        <f aca="false" t="array" ref="J37:J37">IF(J31,image("https://github.com/msikma/pokesprite/blob/master/icons/pokemon/regular/"&amp;INDEX('0.0.1 Pokémon Dex Data'!$AH$3:$AH1501,MATCH(J32,'0.0.1 Pokémon Dex Data'!$B$3:$B1501,0))&amp;".png?raw=true",3),IF(M30=3,IF(M24,"⇆","⟶"),IF(M30=2,image("https://github.com/msikma/pokesprite/blob/master/icons/pokemon/regular/"&amp;INDEX('0.0.1 Pokémon Dex Data'!$AH$3:$AH1501,MATCH(I40,'0.0.1 Pokémon Dex Data'!$B$3:$B1501,0))&amp;".png?raw=true",3),"")))</f>
        <v>#N/A</v>
      </c>
      <c r="K37" s="364" t="e">
        <f aca="false" t="array" ref="K37:K37">IF(J31,"⟷",IF(M30=3,image("https://github.com/msikma/pokesprite/blob/master/icons/pokemon/regular/"&amp;INDEX('0.0.1 Pokémon Dex Data'!$AH$3:$AH1501,MATCH(I41,'0.0.1 Pokémon Dex Data'!$B$3:$B1501,0))&amp;".png?raw=true",3),IF(M30=2,IF(M24,"⇆","⟶"),IF(M30=1,image("https://github.com/msikma/pokesprite/blob/master/icons/pokemon/regular/"&amp;INDEX('0.0.1 Pokémon Dex Data'!$AH$3:$AH1501,MATCH(I40,'0.0.1 Pokémon Dex Data'!$B$3:$B1501,0))&amp;".png?raw=true",3),""))))</f>
        <v>#N/A</v>
      </c>
      <c r="L37" s="364" t="e">
        <f aca="false" t="array" ref="L37:L37">IF(J31,image("https://github.com/msikma/pokesprite/blob/master/icons/pokemon/regular/"&amp;INDEX('0.0.1 Pokémon Dex Data'!$AH$3:$AH1501,MATCH(J33,'0.0.1 Pokémon Dex Data'!$B$3:$B1501,0))&amp;".png?raw=true",3),IF(M30=3,"⟶",IF(M30=2,IF(J41="Multiple","???",image("https://github.com/msikma/pokesprite/blob/master/icons/pokemon/regular/"&amp;INDEX('0.0.1 Pokémon Dex Data'!$AH$3:$AH1501,MATCH(I41,'0.0.1 Pokémon Dex Data'!$B$3:$B1501,0))&amp;".png?raw=true",3)),"")))</f>
        <v>#N/A</v>
      </c>
      <c r="M37" s="366" t="e">
        <f aca="false" t="array" ref="M37:M37">IF(J31,"",IF(M30=3,IF(J42="Multiple","???",image("https://github.com/msikma/pokesprite/blob/master/icons/pokemon/regular/"&amp;INDEX('0.0.1 Pokémon Dex Data'!$AH$3:$AH1501,MATCH(I42,'0.0.1 Pokémon Dex Data'!$B$3:$B1501,0))&amp;".png?raw=true",3)),""))</f>
        <v>#N/A</v>
      </c>
      <c r="N37" s="364"/>
      <c r="O37" s="367"/>
      <c r="Q37" s="417"/>
      <c r="R37" s="261" t="str">
        <f aca="false" t="array" ref="R37:R37">INDEX('0.0.1 Pokémon Dex Data'!$C$3:$C1501,MATCH(S37,'0.0.1 Pokémon Dex Data'!$A$3:$A1501,0))</f>
        <v>Exeggcute</v>
      </c>
      <c r="S37" s="364" t="n">
        <v>102</v>
      </c>
      <c r="T37" s="364"/>
      <c r="U37" s="366" t="n">
        <f aca="false">IF(ISBLANK(T37),,INDEX('0.0.1 Pokémon Dex Data'!$E$3:$E1501,MATCH(T37,'0.0.1 Pokémon Dex Data'!$B$3:$B1501,0))&amp;", ")</f>
        <v>0</v>
      </c>
      <c r="V37" s="364"/>
      <c r="W37" s="364"/>
      <c r="X37" s="364"/>
      <c r="Y37" s="364"/>
      <c r="Z37" s="364"/>
      <c r="AA37" s="364"/>
    </row>
    <row r="38" customFormat="false" ht="15.75" hidden="false" customHeight="false" outlineLevel="0" collapsed="false">
      <c r="A38" s="261" t="str">
        <f aca="false">IFERROR(__xludf.dummyfunction("""COMPUTED_VALUE"""),"Vulpix")</f>
        <v>Vulpix</v>
      </c>
      <c r="B38" s="365"/>
      <c r="C38" s="425" t="s">
        <v>2850</v>
      </c>
      <c r="D38" s="409" t="n">
        <v>0.59740001</v>
      </c>
      <c r="E38" s="409"/>
      <c r="F38" s="410" t="e">
        <f aca="false">ROUNDDOWN(($D$32+15)*($D$33+15)^0.5*($D$34+15)^0.5*D38^2/10,0)</f>
        <v>#N/A</v>
      </c>
      <c r="G38" s="364"/>
      <c r="H38" s="364"/>
      <c r="I38" s="418" t="e">
        <f aca="false">IF(J31,"",IF(M30=3,J40,""))</f>
        <v>#N/A</v>
      </c>
      <c r="J38" s="419" t="e">
        <f aca="false">IF(J31,K32,IF(M30=3,L41,IF(M30=2,J40,"")))</f>
        <v>#N/A</v>
      </c>
      <c r="K38" s="419" t="e">
        <f aca="false">IF(J31,"",IF(M30=3,J41,IF(M30=2,L41,IF(M30=1,J40,""))))</f>
        <v>#N/A</v>
      </c>
      <c r="L38" s="419" t="e">
        <f aca="false">IF(J31,L33,IF(M30=3,L42,IF(M30=2,J41,"")))</f>
        <v>#N/A</v>
      </c>
      <c r="M38" s="431" t="e">
        <f aca="false">IF(J31,"",IF(M30=3,J42,""))</f>
        <v>#N/A</v>
      </c>
      <c r="N38" s="364"/>
      <c r="O38" s="367"/>
      <c r="Q38" s="417"/>
      <c r="R38" s="261" t="str">
        <f aca="false" t="array" ref="R38:R38">INDEX('0.0.1 Pokémon Dex Data'!$C$3:$C1501,MATCH(S38,'0.0.1 Pokémon Dex Data'!$A$3:$A1501,0))</f>
        <v>Cubone</v>
      </c>
      <c r="S38" s="364" t="n">
        <v>104</v>
      </c>
      <c r="T38" s="364"/>
      <c r="U38" s="366" t="n">
        <f aca="false">IF(ISBLANK(T38),,INDEX('0.0.1 Pokémon Dex Data'!$E$3:$E1501,MATCH(T38,'0.0.1 Pokémon Dex Data'!$B$3:$B1501,0))&amp;", ")</f>
        <v>0</v>
      </c>
      <c r="V38" s="364"/>
      <c r="W38" s="364"/>
      <c r="X38" s="364"/>
      <c r="Y38" s="364"/>
      <c r="Z38" s="364"/>
      <c r="AA38" s="364"/>
    </row>
    <row r="39" customFormat="false" ht="15.75" hidden="false" customHeight="false" outlineLevel="0" collapsed="false">
      <c r="A39" s="261" t="str">
        <f aca="false">IFERROR(__xludf.dummyfunction("""COMPUTED_VALUE"""),"Ninetales")</f>
        <v>Ninetales</v>
      </c>
      <c r="B39" s="365"/>
      <c r="C39" s="428" t="s">
        <v>120</v>
      </c>
      <c r="D39" s="364" t="n">
        <v>0.667934</v>
      </c>
      <c r="E39" s="364"/>
      <c r="F39" s="366" t="e">
        <f aca="false">ROUNDDOWN(($D$32+15)*($D$33+15)^0.5*($D$34+15)^0.5*D39^2/10,0)</f>
        <v>#N/A</v>
      </c>
      <c r="G39" s="364"/>
      <c r="H39" s="364"/>
      <c r="I39" s="414"/>
      <c r="J39" s="364"/>
      <c r="K39" s="364"/>
      <c r="L39" s="364"/>
      <c r="M39" s="364"/>
      <c r="N39" s="364"/>
      <c r="O39" s="367"/>
      <c r="Q39" s="417"/>
      <c r="R39" s="364"/>
      <c r="S39" s="364"/>
      <c r="T39" s="364"/>
      <c r="U39" s="366"/>
      <c r="V39" s="364"/>
      <c r="W39" s="364"/>
      <c r="X39" s="364"/>
      <c r="Y39" s="364"/>
      <c r="Z39" s="364"/>
      <c r="AA39" s="364"/>
    </row>
    <row r="40" customFormat="false" ht="15.75" hidden="false" customHeight="false" outlineLevel="0" collapsed="false">
      <c r="A40" s="261" t="str">
        <f aca="false">IFERROR(__xludf.dummyfunction("""COMPUTED_VALUE"""),"Jigglypuff")</f>
        <v>Jigglypuff</v>
      </c>
      <c r="B40" s="365"/>
      <c r="C40" s="428" t="s">
        <v>2851</v>
      </c>
      <c r="D40" s="364" t="n">
        <v>0.7317</v>
      </c>
      <c r="E40" s="364"/>
      <c r="F40" s="366" t="e">
        <f aca="false">ROUNDDOWN(($D$32+15)*($D$33+15)^0.5*($D$34+15)^0.5*D40^2/10,0)</f>
        <v>#N/A</v>
      </c>
      <c r="G40" s="364"/>
      <c r="H40" s="364"/>
      <c r="I40" s="437" t="e">
        <f aca="false">IF(D13,IF(K27=$D$1,$D$3,I41-4),IF(AND(N24,$D$14),L27+1,L27))</f>
        <v>#N/A</v>
      </c>
      <c r="J40" s="262" t="e">
        <f aca="false" t="array" ref="J40:J40">IF(OR(NOT(L27=I40),AND($D$2,NOT(E11=L27))),UPPER(LEFT(INDEX('0.0.1 Pokémon Dex Data'!$AG$3:$AG1501,MATCH(I40,'0.0.1 Pokémon Dex Data'!$B$3:$B1501,0)),1))&amp;RIGHT(INDEX('0.0.1 Pokémon Dex Data'!$AG$3:$AG1501,MATCH(I40,'0.0.1 Pokémon Dex Data'!$B$3:$B1501,0)),LEN(INDEX('0.0.1 Pokémon Dex Data'!$AG$3:$AG1501,MATCH(I40,'0.0.1 Pokémon Dex Data'!$B$3:$B1501,0)))-1),K27)</f>
        <v>#N/A</v>
      </c>
      <c r="K40" s="262" t="e">
        <f aca="false" t="array" ref="K40:K40">IF(NOT(I40=0),INDEX('0.0.1 Pokémon Dex Data'!$AD$3:$AD1501,MATCH(I40,'0.0.1 Pokémon Dex Data'!$B$3:$B1501,0)),"")</f>
        <v>#N/A</v>
      </c>
      <c r="L40" s="370" t="e">
        <f aca="false">IF(K40=0,"",K40)</f>
        <v>#N/A</v>
      </c>
      <c r="M40" s="262" t="e">
        <f aca="false" t="array" ref="M40:M40">IF(NOT(I40=0),INDEX('0.0.1 Pokémon Dex Data'!$A$3:$A1501,MATCH(I40,'0.0.1 Pokémon Dex Data'!$B$3:$B1501,0)),"")</f>
        <v>#N/A</v>
      </c>
      <c r="N40" s="364"/>
      <c r="O40" s="366"/>
      <c r="Q40" s="418"/>
      <c r="R40" s="419" t="e">
        <f aca="false">CONCATENATE(U24:U38)</f>
        <v>#VALUE!</v>
      </c>
      <c r="S40" s="419"/>
      <c r="T40" s="419"/>
      <c r="U40" s="431"/>
      <c r="V40" s="364"/>
      <c r="W40" s="364"/>
      <c r="X40" s="364"/>
      <c r="Y40" s="364"/>
      <c r="Z40" s="364"/>
      <c r="AA40" s="364"/>
    </row>
    <row r="41" customFormat="false" ht="15.75" hidden="false" customHeight="false" outlineLevel="0" collapsed="false">
      <c r="A41" s="261" t="str">
        <f aca="false">IFERROR(__xludf.dummyfunction("""COMPUTED_VALUE"""),"Wigglytuff")</f>
        <v>Wigglytuff</v>
      </c>
      <c r="B41" s="365"/>
      <c r="C41" s="430" t="s">
        <v>2852</v>
      </c>
      <c r="D41" s="419" t="n">
        <v>0.79030001</v>
      </c>
      <c r="E41" s="419"/>
      <c r="F41" s="431" t="e">
        <f aca="false">ROUNDDOWN(($D$32+15)*($D$33+15)^0.5*($D$34+15)^0.5*D41^2/10,0)</f>
        <v>#N/A</v>
      </c>
      <c r="G41" s="364"/>
      <c r="H41" s="364"/>
      <c r="I41" s="437" t="e">
        <f aca="false">IF(D13,IF(K28=$D$1,$D$3,I40+4),IF(AND(N25,$D$14),L28+1,L28))</f>
        <v>#N/A</v>
      </c>
      <c r="J41" s="262" t="e">
        <f aca="false" t="array" ref="J41:J41">IF(OR(NOT(L28=I41),AND($D$2,NOT(E10=L28))),INDEX('0.0.1 Pokémon Dex Data'!$E$3:$E1501,MATCH(I41,'0.0.1 Pokémon Dex Data'!$B$3:$B1501,0)),K28)</f>
        <v>#N/A</v>
      </c>
      <c r="K41" s="262" t="e">
        <f aca="false" t="array" ref="K41:K41">IF(AND(NOT(J41="Multiple"),NOT(I41=0)),INDEX('0.0.1 Pokémon Dex Data'!$AD$3:$AD1501,MATCH(I41,'0.0.1 Pokémon Dex Data'!$B$3:$B1501,0)),"")</f>
        <v>#N/A</v>
      </c>
      <c r="L41" s="370" t="e">
        <f aca="false">IF(K41=0,"",K41)</f>
        <v>#N/A</v>
      </c>
      <c r="M41" s="262" t="e">
        <f aca="false" t="array" ref="M41:M41">IF(NOT(I41=0),INDEX('0.0.1 Pokémon Dex Data'!$A$3:$A1501,MATCH(I41,'0.0.1 Pokémon Dex Data'!$B$3:$B1501,0)),"")</f>
        <v>#N/A</v>
      </c>
      <c r="N41" s="260"/>
      <c r="O41" s="366"/>
      <c r="P41" s="364"/>
      <c r="Q41" s="364"/>
      <c r="R41" s="364"/>
      <c r="S41" s="364"/>
      <c r="T41" s="364"/>
      <c r="U41" s="364"/>
      <c r="V41" s="364"/>
      <c r="W41" s="364"/>
      <c r="X41" s="364"/>
      <c r="Y41" s="364"/>
      <c r="Z41" s="364"/>
      <c r="AA41" s="364"/>
    </row>
    <row r="42" customFormat="false" ht="15.75" hidden="false" customHeight="false" outlineLevel="0" collapsed="false">
      <c r="A42" s="261" t="str">
        <f aca="false">IFERROR(__xludf.dummyfunction("""COMPUTED_VALUE"""),"Zubat")</f>
        <v>Zubat</v>
      </c>
      <c r="B42" s="365"/>
      <c r="C42" s="425" t="s">
        <v>44</v>
      </c>
      <c r="D42" s="409"/>
      <c r="E42" s="409"/>
      <c r="F42" s="410"/>
      <c r="G42" s="364"/>
      <c r="H42" s="364"/>
      <c r="I42" s="438" t="e">
        <f aca="false">IF(AND(N26,$D$14),L29+1,L29)</f>
        <v>#N/A</v>
      </c>
      <c r="J42" s="402" t="e">
        <f aca="false" t="array" ref="J42:J42">IF(OR(NOT(L29=I42),AND($D$2,NOT(E9=L29))),UPPER(LEFT(INDEX('0.0.1 Pokémon Dex Data'!$AG$3:$AG1501,MATCH(I42,'0.0.1 Pokémon Dex Data'!$B$3:$B1501,0)),1))&amp;RIGHT(INDEX('0.0.1 Pokémon Dex Data'!$AG$3:$AG1501,MATCH(I42,'0.0.1 Pokémon Dex Data'!$B$3:$B1501,0)),LEN(INDEX('0.0.1 Pokémon Dex Data'!$AG$3:$AG1501,MATCH(I42,'0.0.1 Pokémon Dex Data'!$B$3:$B1501,0)))-1),K29)</f>
        <v>#N/A</v>
      </c>
      <c r="K42" s="402" t="e">
        <f aca="false" t="array" ref="K42:K42">IF(AND(NOT(J42="Multiple"),NOT(I42=0)),INDEX('0.0.1 Pokémon Dex Data'!$AD$3:$AD1501,MATCH(I42,'0.0.1 Pokémon Dex Data'!$B$3:$B1501,0)),"")</f>
        <v>#N/A</v>
      </c>
      <c r="L42" s="439" t="e">
        <f aca="false">IF(K42=0,"",K42)</f>
        <v>#N/A</v>
      </c>
      <c r="M42" s="402" t="e">
        <f aca="false" t="array" ref="M42:M42">IF(NOT(I42=0),INDEX('0.0.1 Pokémon Dex Data'!$A$3:$A1501,MATCH(I42,'0.0.1 Pokémon Dex Data'!$B$3:$B1501,0)),"")</f>
        <v>#N/A</v>
      </c>
      <c r="N42" s="406"/>
      <c r="O42" s="431"/>
      <c r="P42" s="364"/>
      <c r="Q42" s="364"/>
      <c r="R42" s="364"/>
      <c r="S42" s="364"/>
      <c r="T42" s="364"/>
      <c r="U42" s="364"/>
      <c r="V42" s="364"/>
      <c r="W42" s="364"/>
      <c r="X42" s="364"/>
      <c r="Y42" s="364"/>
      <c r="Z42" s="364"/>
      <c r="AA42" s="364"/>
    </row>
    <row r="43" customFormat="false" ht="15.75" hidden="false" customHeight="false" outlineLevel="0" collapsed="false">
      <c r="A43" s="261" t="str">
        <f aca="false">IFERROR(__xludf.dummyfunction("""COMPUTED_VALUE"""),"Golbat")</f>
        <v>Golbat</v>
      </c>
      <c r="B43" s="365"/>
      <c r="C43" s="430" t="e">
        <f aca="false" t="array" ref="C43:C43">ROUNDDOWN((D32+15)*INDEX('0.3.0 GO Calculation Values'!G2:G6,MATCH('Pokémon GO Dex'!L51,'0.3.0 GO Calculation Values'!F2:F6,0)),0)</f>
        <v>#N/A</v>
      </c>
      <c r="D43" s="419" t="e">
        <f aca="false" t="array" ref="D43:D43">ROUNDDOWN((D33+15)*INDEX('0.3.0 GO Calculation Values'!G2:G6,MATCH('Pokémon GO Dex'!L51,'0.3.0 GO Calculation Values'!F2:F6,0)),0)</f>
        <v>#N/A</v>
      </c>
      <c r="E43" s="419" t="n">
        <f aca="false" t="array" ref="E43:E43">INDEX('0.3.0 GO Calculation Values'!H2:H6,MATCH('Pokémon GO Dex'!L51,'0.3.0 GO Calculation Values'!F2:F6,0))</f>
        <v>12500</v>
      </c>
      <c r="F43" s="431" t="e">
        <f aca="false">ROUNDDOWN(((D32+15)*(D33+15)^0.5*E43^0.5)/10,0)</f>
        <v>#N/A</v>
      </c>
      <c r="G43" s="364"/>
      <c r="H43" s="364"/>
      <c r="I43" s="364"/>
      <c r="J43" s="364"/>
      <c r="K43" s="364"/>
      <c r="L43" s="364"/>
      <c r="M43" s="364"/>
      <c r="N43" s="364"/>
      <c r="W43" s="364"/>
      <c r="X43" s="364"/>
      <c r="Y43" s="364"/>
      <c r="Z43" s="364"/>
      <c r="AA43" s="364"/>
    </row>
    <row r="44" customFormat="false" ht="15.75" hidden="false" customHeight="false" outlineLevel="0" collapsed="false">
      <c r="A44" s="261" t="str">
        <f aca="false">IFERROR(__xludf.dummyfunction("""COMPUTED_VALUE"""),"Oddish")</f>
        <v>Oddish</v>
      </c>
      <c r="B44" s="365"/>
      <c r="C44" s="365"/>
      <c r="D44" s="364"/>
      <c r="E44" s="364"/>
      <c r="F44" s="364"/>
      <c r="G44" s="364"/>
      <c r="H44" s="364"/>
      <c r="I44" s="364"/>
      <c r="J44" s="364"/>
      <c r="K44" s="364"/>
      <c r="L44" s="364"/>
      <c r="M44" s="364"/>
      <c r="N44" s="364"/>
      <c r="O44" s="364"/>
      <c r="P44" s="364"/>
      <c r="Q44" s="364"/>
      <c r="R44" s="364"/>
      <c r="S44" s="364"/>
      <c r="T44" s="364"/>
      <c r="U44" s="364"/>
      <c r="V44" s="364"/>
      <c r="W44" s="364"/>
      <c r="X44" s="364"/>
      <c r="Y44" s="364"/>
      <c r="Z44" s="364"/>
      <c r="AA44" s="364"/>
    </row>
    <row r="45" customFormat="false" ht="15.75" hidden="false" customHeight="false" outlineLevel="0" collapsed="false">
      <c r="A45" s="261" t="str">
        <f aca="false">IFERROR(__xludf.dummyfunction("""COMPUTED_VALUE"""),"Gloom")</f>
        <v>Gloom</v>
      </c>
      <c r="B45" s="365"/>
      <c r="C45" s="365"/>
      <c r="D45" s="364"/>
      <c r="E45" s="364"/>
      <c r="F45" s="364"/>
      <c r="G45" s="364"/>
      <c r="H45" s="364"/>
      <c r="I45" s="364"/>
      <c r="J45" s="364"/>
      <c r="K45" s="364"/>
      <c r="L45" s="364"/>
      <c r="M45" s="364"/>
      <c r="N45" s="364"/>
      <c r="O45" s="364"/>
      <c r="P45" s="364"/>
      <c r="Q45" s="364"/>
      <c r="R45" s="364"/>
      <c r="S45" s="364"/>
      <c r="T45" s="364"/>
      <c r="U45" s="364"/>
      <c r="V45" s="364"/>
      <c r="W45" s="364"/>
      <c r="X45" s="364"/>
      <c r="Y45" s="364"/>
      <c r="Z45" s="364"/>
      <c r="AA45" s="364"/>
    </row>
    <row r="46" customFormat="false" ht="15.75" hidden="false" customHeight="false" outlineLevel="0" collapsed="false">
      <c r="A46" s="261" t="str">
        <f aca="false">IFERROR(__xludf.dummyfunction("""COMPUTED_VALUE"""),"Vileplume")</f>
        <v>Vileplume</v>
      </c>
      <c r="B46" s="365"/>
      <c r="C46" s="365"/>
      <c r="D46" s="364"/>
      <c r="E46" s="364"/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64"/>
      <c r="T46" s="364"/>
      <c r="U46" s="364"/>
      <c r="V46" s="364"/>
      <c r="W46" s="364"/>
      <c r="X46" s="364"/>
      <c r="Y46" s="364"/>
      <c r="Z46" s="364"/>
      <c r="AA46" s="364"/>
    </row>
    <row r="47" customFormat="false" ht="15.75" hidden="false" customHeight="false" outlineLevel="0" collapsed="false">
      <c r="A47" s="261" t="str">
        <f aca="false">IFERROR(__xludf.dummyfunction("""COMPUTED_VALUE"""),"Paras")</f>
        <v>Paras</v>
      </c>
      <c r="B47" s="365"/>
      <c r="C47" s="365"/>
      <c r="D47" s="364"/>
      <c r="E47" s="364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</row>
    <row r="48" customFormat="false" ht="15.75" hidden="false" customHeight="false" outlineLevel="0" collapsed="false">
      <c r="A48" s="261" t="str">
        <f aca="false">IFERROR(__xludf.dummyfunction("""COMPUTED_VALUE"""),"Parasect")</f>
        <v>Parasect</v>
      </c>
      <c r="B48" s="365"/>
      <c r="C48" s="365"/>
      <c r="D48" s="364"/>
      <c r="E48" s="364"/>
      <c r="F48" s="364"/>
      <c r="G48" s="364"/>
      <c r="H48" s="364"/>
      <c r="I48" s="364"/>
      <c r="J48" s="364"/>
      <c r="K48" s="364"/>
      <c r="L48" s="364"/>
      <c r="M48" s="364"/>
      <c r="N48" s="364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64"/>
      <c r="AA48" s="364"/>
    </row>
    <row r="49" customFormat="false" ht="15.75" hidden="false" customHeight="false" outlineLevel="0" collapsed="false">
      <c r="A49" s="261" t="str">
        <f aca="false">IFERROR(__xludf.dummyfunction("""COMPUTED_VALUE"""),"Venonat")</f>
        <v>Venonat</v>
      </c>
      <c r="B49" s="365"/>
      <c r="C49" s="365"/>
      <c r="D49" s="364"/>
      <c r="E49" s="364"/>
      <c r="F49" s="364"/>
      <c r="G49" s="364"/>
      <c r="H49" s="364"/>
      <c r="I49" s="364"/>
      <c r="J49" s="364"/>
      <c r="K49" s="364"/>
      <c r="L49" s="364"/>
      <c r="M49" s="364"/>
      <c r="N49" s="364"/>
      <c r="O49" s="364"/>
      <c r="P49" s="364"/>
      <c r="Q49" s="364"/>
      <c r="R49" s="364"/>
      <c r="S49" s="364"/>
      <c r="T49" s="364"/>
      <c r="U49" s="364"/>
      <c r="V49" s="364"/>
      <c r="W49" s="364"/>
      <c r="X49" s="364"/>
      <c r="Y49" s="364"/>
      <c r="Z49" s="364"/>
      <c r="AA49" s="364"/>
    </row>
    <row r="50" customFormat="false" ht="15.75" hidden="false" customHeight="false" outlineLevel="0" collapsed="false">
      <c r="A50" s="261" t="str">
        <f aca="false">IFERROR(__xludf.dummyfunction("""COMPUTED_VALUE"""),"Venomoth")</f>
        <v>Venomoth</v>
      </c>
      <c r="B50" s="365"/>
      <c r="C50" s="365"/>
      <c r="D50" s="364"/>
      <c r="E50" s="364"/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  <c r="S50" s="364"/>
      <c r="T50" s="364"/>
      <c r="U50" s="364"/>
      <c r="V50" s="364"/>
      <c r="W50" s="364"/>
      <c r="X50" s="364"/>
      <c r="Y50" s="364"/>
      <c r="Z50" s="364"/>
      <c r="AA50" s="364"/>
    </row>
    <row r="51" customFormat="false" ht="15.75" hidden="false" customHeight="false" outlineLevel="0" collapsed="false">
      <c r="A51" s="261" t="str">
        <f aca="false">IFERROR(__xludf.dummyfunction("""COMPUTED_VALUE"""),"Diglett")</f>
        <v>Diglett</v>
      </c>
      <c r="B51" s="365"/>
      <c r="C51" s="365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</row>
    <row r="52" customFormat="false" ht="15.75" hidden="false" customHeight="false" outlineLevel="0" collapsed="false">
      <c r="A52" s="261" t="str">
        <f aca="false">IFERROR(__xludf.dummyfunction("""COMPUTED_VALUE"""),"Dugtrio")</f>
        <v>Dugtrio</v>
      </c>
      <c r="B52" s="365"/>
      <c r="C52" s="365"/>
      <c r="D52" s="364"/>
      <c r="E52" s="364"/>
      <c r="F52" s="364"/>
      <c r="G52" s="364"/>
      <c r="H52" s="364"/>
      <c r="I52" s="364"/>
      <c r="J52" s="364"/>
      <c r="K52" s="364"/>
      <c r="L52" s="364"/>
      <c r="M52" s="364"/>
      <c r="N52" s="364"/>
      <c r="O52" s="364"/>
      <c r="P52" s="364"/>
      <c r="Q52" s="364"/>
      <c r="R52" s="364"/>
      <c r="S52" s="364"/>
      <c r="T52" s="364"/>
      <c r="U52" s="364"/>
      <c r="V52" s="364"/>
      <c r="W52" s="364"/>
      <c r="X52" s="364"/>
      <c r="Y52" s="364"/>
      <c r="Z52" s="364"/>
      <c r="AA52" s="364"/>
    </row>
    <row r="53" customFormat="false" ht="15.75" hidden="false" customHeight="false" outlineLevel="0" collapsed="false">
      <c r="A53" s="261" t="str">
        <f aca="false">IFERROR(__xludf.dummyfunction("""COMPUTED_VALUE"""),"Meowth")</f>
        <v>Meowth</v>
      </c>
      <c r="B53" s="365"/>
      <c r="C53" s="365"/>
      <c r="D53" s="364"/>
      <c r="E53" s="364"/>
      <c r="F53" s="364"/>
      <c r="G53" s="364"/>
      <c r="H53" s="364"/>
      <c r="I53" s="364"/>
      <c r="J53" s="364"/>
      <c r="K53" s="364"/>
      <c r="L53" s="364"/>
      <c r="M53" s="364"/>
      <c r="N53" s="364"/>
      <c r="O53" s="364"/>
      <c r="P53" s="364"/>
      <c r="Q53" s="364"/>
      <c r="R53" s="364"/>
      <c r="S53" s="364"/>
      <c r="T53" s="364"/>
      <c r="U53" s="364"/>
      <c r="V53" s="364"/>
      <c r="W53" s="364"/>
      <c r="X53" s="364"/>
      <c r="Y53" s="364"/>
      <c r="Z53" s="364"/>
      <c r="AA53" s="364"/>
    </row>
    <row r="54" customFormat="false" ht="15.75" hidden="false" customHeight="false" outlineLevel="0" collapsed="false">
      <c r="A54" s="261" t="str">
        <f aca="false">IFERROR(__xludf.dummyfunction("""COMPUTED_VALUE"""),"Persian")</f>
        <v>Persian</v>
      </c>
      <c r="B54" s="365"/>
      <c r="C54" s="365"/>
      <c r="D54" s="364"/>
      <c r="E54" s="364"/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  <c r="S54" s="364"/>
      <c r="T54" s="364"/>
      <c r="U54" s="364"/>
      <c r="V54" s="364"/>
      <c r="W54" s="364"/>
      <c r="X54" s="364"/>
      <c r="Y54" s="364"/>
      <c r="Z54" s="364"/>
      <c r="AA54" s="364"/>
    </row>
    <row r="55" customFormat="false" ht="15.75" hidden="false" customHeight="false" outlineLevel="0" collapsed="false">
      <c r="A55" s="261" t="str">
        <f aca="false">IFERROR(__xludf.dummyfunction("""COMPUTED_VALUE"""),"Psyduck")</f>
        <v>Psyduck</v>
      </c>
      <c r="B55" s="365"/>
      <c r="C55" s="365"/>
      <c r="D55" s="364"/>
      <c r="E55" s="364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64"/>
      <c r="T55" s="364"/>
      <c r="U55" s="364"/>
      <c r="V55" s="364"/>
      <c r="W55" s="364"/>
      <c r="X55" s="364"/>
      <c r="Y55" s="364"/>
      <c r="Z55" s="364"/>
      <c r="AA55" s="364"/>
    </row>
    <row r="56" customFormat="false" ht="15.75" hidden="false" customHeight="false" outlineLevel="0" collapsed="false">
      <c r="A56" s="261" t="str">
        <f aca="false">IFERROR(__xludf.dummyfunction("""COMPUTED_VALUE"""),"Golduck")</f>
        <v>Golduck</v>
      </c>
      <c r="B56" s="365"/>
      <c r="C56" s="365"/>
      <c r="D56" s="364"/>
      <c r="E56" s="364"/>
      <c r="F56" s="364"/>
      <c r="G56" s="364"/>
      <c r="H56" s="364"/>
      <c r="I56" s="364"/>
      <c r="J56" s="364"/>
      <c r="K56" s="364"/>
      <c r="L56" s="364"/>
      <c r="M56" s="364"/>
      <c r="N56" s="364"/>
      <c r="O56" s="364"/>
      <c r="P56" s="364"/>
      <c r="Q56" s="364"/>
      <c r="R56" s="364"/>
      <c r="S56" s="364"/>
      <c r="T56" s="364"/>
      <c r="U56" s="364"/>
      <c r="V56" s="364"/>
      <c r="W56" s="364"/>
      <c r="X56" s="364"/>
      <c r="Y56" s="364"/>
      <c r="Z56" s="364"/>
      <c r="AA56" s="364"/>
    </row>
    <row r="57" customFormat="false" ht="15.75" hidden="false" customHeight="false" outlineLevel="0" collapsed="false">
      <c r="A57" s="261" t="str">
        <f aca="false">IFERROR(__xludf.dummyfunction("""COMPUTED_VALUE"""),"Mankey")</f>
        <v>Mankey</v>
      </c>
      <c r="B57" s="365"/>
      <c r="C57" s="365"/>
      <c r="D57" s="364"/>
      <c r="E57" s="364"/>
      <c r="F57" s="364"/>
      <c r="G57" s="364"/>
      <c r="H57" s="364"/>
      <c r="I57" s="364"/>
      <c r="J57" s="364"/>
      <c r="K57" s="364"/>
      <c r="L57" s="364"/>
      <c r="M57" s="364"/>
      <c r="N57" s="364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64"/>
    </row>
    <row r="58" customFormat="false" ht="15.75" hidden="false" customHeight="false" outlineLevel="0" collapsed="false">
      <c r="A58" s="261" t="str">
        <f aca="false">IFERROR(__xludf.dummyfunction("""COMPUTED_VALUE"""),"Primeape")</f>
        <v>Primeape</v>
      </c>
      <c r="B58" s="365"/>
      <c r="C58" s="365"/>
      <c r="D58" s="364"/>
      <c r="E58" s="364"/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  <c r="S58" s="364"/>
      <c r="T58" s="364"/>
      <c r="U58" s="364"/>
      <c r="V58" s="364"/>
      <c r="W58" s="364"/>
      <c r="X58" s="364"/>
      <c r="Y58" s="364"/>
      <c r="Z58" s="364"/>
      <c r="AA58" s="364"/>
    </row>
    <row r="59" customFormat="false" ht="15.75" hidden="false" customHeight="false" outlineLevel="0" collapsed="false">
      <c r="A59" s="261" t="str">
        <f aca="false">IFERROR(__xludf.dummyfunction("""COMPUTED_VALUE"""),"Growlithe")</f>
        <v>Growlithe</v>
      </c>
      <c r="B59" s="365"/>
      <c r="C59" s="365"/>
      <c r="D59" s="364"/>
      <c r="E59" s="364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64"/>
      <c r="T59" s="364"/>
      <c r="U59" s="364"/>
      <c r="V59" s="364"/>
      <c r="W59" s="364"/>
      <c r="X59" s="364"/>
      <c r="Y59" s="364"/>
      <c r="Z59" s="364"/>
      <c r="AA59" s="364"/>
    </row>
    <row r="60" customFormat="false" ht="15.75" hidden="false" customHeight="false" outlineLevel="0" collapsed="false">
      <c r="A60" s="261" t="str">
        <f aca="false">IFERROR(__xludf.dummyfunction("""COMPUTED_VALUE"""),"Arcanine")</f>
        <v>Arcanine</v>
      </c>
      <c r="B60" s="365"/>
      <c r="C60" s="365"/>
      <c r="D60" s="364"/>
      <c r="E60" s="364"/>
      <c r="F60" s="364"/>
      <c r="G60" s="364"/>
      <c r="H60" s="364"/>
      <c r="I60" s="364"/>
      <c r="J60" s="364"/>
      <c r="K60" s="364"/>
      <c r="L60" s="364"/>
      <c r="M60" s="364"/>
      <c r="N60" s="364"/>
      <c r="O60" s="364"/>
      <c r="P60" s="364"/>
      <c r="Q60" s="364"/>
      <c r="R60" s="364"/>
      <c r="S60" s="364"/>
      <c r="T60" s="364"/>
      <c r="U60" s="364"/>
      <c r="V60" s="364"/>
      <c r="W60" s="364"/>
      <c r="X60" s="364"/>
      <c r="Y60" s="364"/>
      <c r="Z60" s="364"/>
      <c r="AA60" s="364"/>
    </row>
    <row r="61" customFormat="false" ht="15.75" hidden="false" customHeight="false" outlineLevel="0" collapsed="false">
      <c r="A61" s="261" t="str">
        <f aca="false">IFERROR(__xludf.dummyfunction("""COMPUTED_VALUE"""),"Poliwag")</f>
        <v>Poliwag</v>
      </c>
      <c r="B61" s="365"/>
      <c r="C61" s="365"/>
      <c r="D61" s="364"/>
      <c r="E61" s="364"/>
      <c r="F61" s="364"/>
      <c r="G61" s="364"/>
      <c r="H61" s="364"/>
      <c r="I61" s="364"/>
      <c r="J61" s="364"/>
      <c r="K61" s="364"/>
      <c r="L61" s="364"/>
      <c r="M61" s="364"/>
      <c r="N61" s="364"/>
      <c r="O61" s="364"/>
      <c r="P61" s="364"/>
      <c r="Q61" s="364"/>
      <c r="R61" s="364"/>
      <c r="S61" s="364"/>
      <c r="T61" s="364"/>
      <c r="U61" s="364"/>
      <c r="V61" s="364"/>
      <c r="W61" s="364"/>
      <c r="X61" s="364"/>
      <c r="Y61" s="364"/>
      <c r="Z61" s="364"/>
      <c r="AA61" s="364"/>
    </row>
    <row r="62" customFormat="false" ht="15.75" hidden="false" customHeight="false" outlineLevel="0" collapsed="false">
      <c r="A62" s="261" t="str">
        <f aca="false">IFERROR(__xludf.dummyfunction("""COMPUTED_VALUE"""),"Poliwhirl")</f>
        <v>Poliwhirl</v>
      </c>
      <c r="B62" s="365"/>
      <c r="C62" s="365"/>
      <c r="D62" s="364"/>
      <c r="E62" s="364"/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64"/>
      <c r="T62" s="364"/>
      <c r="U62" s="364"/>
      <c r="V62" s="364"/>
      <c r="W62" s="364"/>
      <c r="X62" s="364"/>
      <c r="Y62" s="364"/>
      <c r="Z62" s="364"/>
      <c r="AA62" s="364"/>
    </row>
    <row r="63" customFormat="false" ht="15.75" hidden="false" customHeight="false" outlineLevel="0" collapsed="false">
      <c r="A63" s="261" t="str">
        <f aca="false">IFERROR(__xludf.dummyfunction("""COMPUTED_VALUE"""),"Poliwrath")</f>
        <v>Poliwrath</v>
      </c>
      <c r="B63" s="365"/>
      <c r="C63" s="365"/>
      <c r="D63" s="364"/>
      <c r="E63" s="364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64"/>
      <c r="T63" s="364"/>
      <c r="U63" s="364"/>
      <c r="V63" s="364"/>
      <c r="W63" s="364"/>
      <c r="X63" s="364"/>
      <c r="Y63" s="364"/>
      <c r="Z63" s="364"/>
      <c r="AA63" s="364"/>
    </row>
    <row r="64" customFormat="false" ht="15.75" hidden="false" customHeight="false" outlineLevel="0" collapsed="false">
      <c r="A64" s="261" t="str">
        <f aca="false">IFERROR(__xludf.dummyfunction("""COMPUTED_VALUE"""),"Abra")</f>
        <v>Abra</v>
      </c>
      <c r="B64" s="365"/>
      <c r="C64" s="365"/>
      <c r="D64" s="364"/>
      <c r="E64" s="364"/>
      <c r="F64" s="364"/>
      <c r="G64" s="364"/>
      <c r="H64" s="364"/>
      <c r="I64" s="364"/>
      <c r="J64" s="364"/>
      <c r="K64" s="364"/>
      <c r="L64" s="364"/>
      <c r="M64" s="364"/>
      <c r="N64" s="364"/>
      <c r="O64" s="364"/>
      <c r="P64" s="364"/>
      <c r="Q64" s="364"/>
      <c r="R64" s="364"/>
      <c r="S64" s="364"/>
      <c r="T64" s="364"/>
      <c r="U64" s="364"/>
      <c r="V64" s="364"/>
      <c r="W64" s="364"/>
      <c r="X64" s="364"/>
      <c r="Y64" s="364"/>
      <c r="Z64" s="364"/>
      <c r="AA64" s="364"/>
    </row>
    <row r="65" customFormat="false" ht="15.75" hidden="false" customHeight="false" outlineLevel="0" collapsed="false">
      <c r="A65" s="261" t="str">
        <f aca="false">IFERROR(__xludf.dummyfunction("""COMPUTED_VALUE"""),"Kadabra")</f>
        <v>Kadabra</v>
      </c>
      <c r="B65" s="365"/>
      <c r="C65" s="365"/>
      <c r="D65" s="364"/>
      <c r="E65" s="364"/>
      <c r="F65" s="364"/>
      <c r="G65" s="364"/>
      <c r="H65" s="364"/>
      <c r="I65" s="364"/>
      <c r="J65" s="364"/>
      <c r="K65" s="364"/>
      <c r="L65" s="364"/>
      <c r="M65" s="364"/>
      <c r="N65" s="364"/>
      <c r="O65" s="364"/>
      <c r="P65" s="364"/>
      <c r="Q65" s="364"/>
      <c r="R65" s="364"/>
      <c r="S65" s="364"/>
      <c r="T65" s="364"/>
      <c r="U65" s="364"/>
      <c r="V65" s="364"/>
      <c r="W65" s="364"/>
      <c r="X65" s="364"/>
      <c r="Y65" s="364"/>
      <c r="Z65" s="364"/>
      <c r="AA65" s="364"/>
    </row>
    <row r="66" customFormat="false" ht="15.75" hidden="false" customHeight="false" outlineLevel="0" collapsed="false">
      <c r="A66" s="261" t="str">
        <f aca="false">IFERROR(__xludf.dummyfunction("""COMPUTED_VALUE"""),"Alakazam")</f>
        <v>Alakazam</v>
      </c>
      <c r="B66" s="365"/>
      <c r="C66" s="365"/>
      <c r="D66" s="364"/>
      <c r="E66" s="364"/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64"/>
      <c r="T66" s="364"/>
      <c r="U66" s="364"/>
      <c r="V66" s="364"/>
      <c r="W66" s="364"/>
      <c r="X66" s="364"/>
      <c r="Y66" s="364"/>
      <c r="Z66" s="364"/>
      <c r="AA66" s="364"/>
    </row>
    <row r="67" customFormat="false" ht="15.75" hidden="false" customHeight="false" outlineLevel="0" collapsed="false">
      <c r="A67" s="261" t="str">
        <f aca="false">IFERROR(__xludf.dummyfunction("""COMPUTED_VALUE"""),"Machop")</f>
        <v>Machop</v>
      </c>
      <c r="B67" s="365"/>
      <c r="C67" s="365"/>
      <c r="D67" s="364"/>
      <c r="E67" s="364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64"/>
      <c r="T67" s="364"/>
      <c r="U67" s="364"/>
      <c r="V67" s="364"/>
      <c r="W67" s="364"/>
      <c r="X67" s="364"/>
      <c r="Y67" s="364"/>
      <c r="Z67" s="364"/>
      <c r="AA67" s="364"/>
    </row>
    <row r="68" customFormat="false" ht="15.75" hidden="false" customHeight="false" outlineLevel="0" collapsed="false">
      <c r="A68" s="261" t="str">
        <f aca="false">IFERROR(__xludf.dummyfunction("""COMPUTED_VALUE"""),"Machoke")</f>
        <v>Machoke</v>
      </c>
      <c r="B68" s="365"/>
      <c r="C68" s="365"/>
      <c r="D68" s="364"/>
      <c r="E68" s="364"/>
      <c r="F68" s="364"/>
      <c r="G68" s="364"/>
      <c r="H68" s="364"/>
      <c r="I68" s="364"/>
      <c r="J68" s="364"/>
      <c r="K68" s="364"/>
      <c r="L68" s="364"/>
      <c r="M68" s="364"/>
      <c r="N68" s="364"/>
      <c r="O68" s="364"/>
      <c r="P68" s="364"/>
      <c r="Q68" s="364"/>
      <c r="R68" s="364"/>
      <c r="S68" s="364"/>
      <c r="T68" s="364"/>
      <c r="U68" s="364"/>
      <c r="V68" s="364"/>
      <c r="W68" s="364"/>
      <c r="X68" s="364"/>
      <c r="Y68" s="364"/>
      <c r="Z68" s="364"/>
      <c r="AA68" s="364"/>
    </row>
    <row r="69" customFormat="false" ht="15.75" hidden="false" customHeight="false" outlineLevel="0" collapsed="false">
      <c r="A69" s="261" t="str">
        <f aca="false">IFERROR(__xludf.dummyfunction("""COMPUTED_VALUE"""),"Machamp")</f>
        <v>Machamp</v>
      </c>
      <c r="B69" s="365"/>
      <c r="C69" s="365"/>
      <c r="D69" s="364"/>
      <c r="E69" s="364"/>
      <c r="F69" s="364"/>
      <c r="G69" s="364"/>
      <c r="H69" s="364"/>
      <c r="I69" s="364"/>
      <c r="J69" s="364"/>
      <c r="K69" s="364"/>
      <c r="L69" s="364"/>
      <c r="M69" s="364"/>
      <c r="N69" s="364"/>
      <c r="O69" s="364"/>
      <c r="P69" s="364"/>
      <c r="Q69" s="364"/>
      <c r="R69" s="364"/>
      <c r="S69" s="364"/>
      <c r="T69" s="364"/>
      <c r="U69" s="364"/>
      <c r="V69" s="364"/>
      <c r="W69" s="364"/>
      <c r="X69" s="364"/>
      <c r="Y69" s="364"/>
      <c r="Z69" s="364"/>
      <c r="AA69" s="364"/>
    </row>
    <row r="70" customFormat="false" ht="15.75" hidden="false" customHeight="false" outlineLevel="0" collapsed="false">
      <c r="A70" s="261" t="str">
        <f aca="false">IFERROR(__xludf.dummyfunction("""COMPUTED_VALUE"""),"Bellsprout")</f>
        <v>Bellsprout</v>
      </c>
      <c r="B70" s="365"/>
      <c r="C70" s="365"/>
      <c r="D70" s="364"/>
      <c r="E70" s="364"/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64"/>
      <c r="T70" s="364"/>
      <c r="U70" s="364"/>
      <c r="V70" s="364"/>
      <c r="W70" s="364"/>
      <c r="X70" s="364"/>
      <c r="Y70" s="364"/>
      <c r="Z70" s="364"/>
      <c r="AA70" s="364"/>
    </row>
    <row r="71" customFormat="false" ht="15.75" hidden="false" customHeight="false" outlineLevel="0" collapsed="false">
      <c r="A71" s="261" t="str">
        <f aca="false">IFERROR(__xludf.dummyfunction("""COMPUTED_VALUE"""),"Weepinbell")</f>
        <v>Weepinbell</v>
      </c>
      <c r="B71" s="365"/>
      <c r="C71" s="365"/>
      <c r="D71" s="364"/>
      <c r="E71" s="364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64"/>
      <c r="T71" s="364"/>
      <c r="U71" s="364"/>
      <c r="V71" s="364"/>
      <c r="W71" s="364"/>
      <c r="X71" s="364"/>
      <c r="Y71" s="364"/>
      <c r="Z71" s="364"/>
      <c r="AA71" s="364"/>
    </row>
    <row r="72" customFormat="false" ht="15.75" hidden="false" customHeight="false" outlineLevel="0" collapsed="false">
      <c r="A72" s="261" t="str">
        <f aca="false">IFERROR(__xludf.dummyfunction("""COMPUTED_VALUE"""),"Victreebel")</f>
        <v>Victreebel</v>
      </c>
      <c r="B72" s="365"/>
      <c r="C72" s="365"/>
      <c r="D72" s="364"/>
      <c r="E72" s="364"/>
      <c r="F72" s="364"/>
      <c r="G72" s="364"/>
      <c r="H72" s="364"/>
      <c r="I72" s="364"/>
      <c r="J72" s="364"/>
      <c r="K72" s="364"/>
      <c r="L72" s="364"/>
      <c r="M72" s="364"/>
      <c r="N72" s="364"/>
      <c r="O72" s="364"/>
      <c r="P72" s="364"/>
      <c r="Q72" s="364"/>
      <c r="R72" s="364"/>
      <c r="S72" s="364"/>
      <c r="T72" s="364"/>
      <c r="U72" s="364"/>
      <c r="V72" s="364"/>
      <c r="W72" s="364"/>
      <c r="X72" s="364"/>
      <c r="Y72" s="364"/>
      <c r="Z72" s="364"/>
      <c r="AA72" s="364"/>
    </row>
    <row r="73" customFormat="false" ht="15.75" hidden="false" customHeight="false" outlineLevel="0" collapsed="false">
      <c r="A73" s="261" t="str">
        <f aca="false">IFERROR(__xludf.dummyfunction("""COMPUTED_VALUE"""),"Tentacool")</f>
        <v>Tentacool</v>
      </c>
      <c r="B73" s="365"/>
      <c r="C73" s="365"/>
      <c r="D73" s="364"/>
      <c r="E73" s="364"/>
      <c r="F73" s="364"/>
      <c r="G73" s="364"/>
      <c r="H73" s="364"/>
      <c r="I73" s="364"/>
      <c r="J73" s="364"/>
      <c r="K73" s="364"/>
      <c r="L73" s="364"/>
      <c r="M73" s="364"/>
      <c r="N73" s="364"/>
      <c r="O73" s="364"/>
      <c r="P73" s="364"/>
      <c r="Q73" s="364"/>
      <c r="R73" s="364"/>
      <c r="S73" s="364"/>
      <c r="T73" s="364"/>
      <c r="U73" s="364"/>
      <c r="V73" s="364"/>
      <c r="W73" s="364"/>
      <c r="X73" s="364"/>
      <c r="Y73" s="364"/>
      <c r="Z73" s="364"/>
      <c r="AA73" s="364"/>
    </row>
    <row r="74" customFormat="false" ht="15.75" hidden="false" customHeight="false" outlineLevel="0" collapsed="false">
      <c r="A74" s="261" t="str">
        <f aca="false">IFERROR(__xludf.dummyfunction("""COMPUTED_VALUE"""),"Tentacruel")</f>
        <v>Tentacruel</v>
      </c>
      <c r="B74" s="365"/>
      <c r="C74" s="365"/>
      <c r="D74" s="364"/>
      <c r="E74" s="364"/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  <c r="S74" s="364"/>
      <c r="T74" s="364"/>
      <c r="U74" s="364"/>
      <c r="V74" s="364"/>
      <c r="W74" s="364"/>
      <c r="X74" s="364"/>
      <c r="Y74" s="364"/>
      <c r="Z74" s="364"/>
      <c r="AA74" s="364"/>
    </row>
    <row r="75" customFormat="false" ht="15.75" hidden="false" customHeight="false" outlineLevel="0" collapsed="false">
      <c r="A75" s="261" t="str">
        <f aca="false">IFERROR(__xludf.dummyfunction("""COMPUTED_VALUE"""),"Geodude")</f>
        <v>Geodude</v>
      </c>
      <c r="B75" s="365"/>
      <c r="C75" s="365"/>
      <c r="D75" s="364"/>
      <c r="E75" s="364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  <c r="S75" s="364"/>
      <c r="T75" s="364"/>
      <c r="U75" s="364"/>
      <c r="V75" s="364"/>
      <c r="W75" s="364"/>
      <c r="X75" s="364"/>
      <c r="Y75" s="364"/>
      <c r="Z75" s="364"/>
      <c r="AA75" s="364"/>
    </row>
    <row r="76" customFormat="false" ht="15.75" hidden="false" customHeight="false" outlineLevel="0" collapsed="false">
      <c r="A76" s="261" t="str">
        <f aca="false">IFERROR(__xludf.dummyfunction("""COMPUTED_VALUE"""),"Graveler")</f>
        <v>Graveler</v>
      </c>
      <c r="B76" s="365"/>
      <c r="C76" s="365"/>
      <c r="D76" s="364"/>
      <c r="E76" s="364"/>
      <c r="F76" s="364"/>
      <c r="G76" s="364"/>
      <c r="H76" s="364"/>
      <c r="I76" s="364"/>
      <c r="J76" s="364"/>
      <c r="K76" s="364"/>
      <c r="L76" s="364"/>
      <c r="M76" s="364"/>
      <c r="N76" s="364"/>
      <c r="O76" s="364"/>
      <c r="P76" s="364"/>
      <c r="Q76" s="364"/>
      <c r="R76" s="364"/>
      <c r="S76" s="364"/>
      <c r="T76" s="364"/>
      <c r="U76" s="364"/>
      <c r="V76" s="364"/>
      <c r="W76" s="364"/>
      <c r="X76" s="364"/>
      <c r="Y76" s="364"/>
      <c r="Z76" s="364"/>
      <c r="AA76" s="364"/>
    </row>
    <row r="77" customFormat="false" ht="15.75" hidden="false" customHeight="false" outlineLevel="0" collapsed="false">
      <c r="A77" s="261" t="str">
        <f aca="false">IFERROR(__xludf.dummyfunction("""COMPUTED_VALUE"""),"Golem")</f>
        <v>Golem</v>
      </c>
      <c r="B77" s="365"/>
      <c r="C77" s="365"/>
      <c r="D77" s="364"/>
      <c r="E77" s="364"/>
      <c r="F77" s="364"/>
      <c r="G77" s="364"/>
      <c r="H77" s="364"/>
      <c r="I77" s="364"/>
      <c r="J77" s="364"/>
      <c r="K77" s="364"/>
      <c r="L77" s="364"/>
      <c r="M77" s="364"/>
      <c r="N77" s="364"/>
      <c r="O77" s="364"/>
      <c r="P77" s="364"/>
      <c r="Q77" s="364"/>
      <c r="R77" s="364"/>
      <c r="S77" s="364"/>
      <c r="T77" s="364"/>
      <c r="U77" s="364"/>
      <c r="V77" s="364"/>
      <c r="W77" s="364"/>
      <c r="X77" s="364"/>
      <c r="Y77" s="364"/>
      <c r="Z77" s="364"/>
      <c r="AA77" s="364"/>
    </row>
    <row r="78" customFormat="false" ht="15.75" hidden="false" customHeight="false" outlineLevel="0" collapsed="false">
      <c r="A78" s="261" t="str">
        <f aca="false">IFERROR(__xludf.dummyfunction("""COMPUTED_VALUE"""),"Ponyta")</f>
        <v>Ponyta</v>
      </c>
      <c r="B78" s="365"/>
      <c r="C78" s="365"/>
      <c r="D78" s="364"/>
      <c r="E78" s="364"/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64"/>
      <c r="T78" s="364"/>
      <c r="U78" s="364"/>
      <c r="V78" s="364"/>
      <c r="W78" s="364"/>
      <c r="X78" s="364"/>
      <c r="Y78" s="364"/>
      <c r="Z78" s="364"/>
      <c r="AA78" s="364"/>
    </row>
    <row r="79" customFormat="false" ht="15.75" hidden="false" customHeight="false" outlineLevel="0" collapsed="false">
      <c r="A79" s="261" t="str">
        <f aca="false">IFERROR(__xludf.dummyfunction("""COMPUTED_VALUE"""),"Rapidash")</f>
        <v>Rapidash</v>
      </c>
      <c r="B79" s="365"/>
      <c r="C79" s="365"/>
      <c r="D79" s="364"/>
      <c r="E79" s="364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64"/>
      <c r="T79" s="364"/>
      <c r="U79" s="364"/>
      <c r="V79" s="364"/>
      <c r="W79" s="364"/>
      <c r="X79" s="364"/>
      <c r="Y79" s="364"/>
      <c r="Z79" s="364"/>
      <c r="AA79" s="364"/>
    </row>
    <row r="80" customFormat="false" ht="15.75" hidden="false" customHeight="false" outlineLevel="0" collapsed="false">
      <c r="A80" s="261" t="str">
        <f aca="false">IFERROR(__xludf.dummyfunction("""COMPUTED_VALUE"""),"Slowpoke")</f>
        <v>Slowpoke</v>
      </c>
      <c r="B80" s="365"/>
      <c r="C80" s="365"/>
      <c r="D80" s="364"/>
      <c r="E80" s="364"/>
      <c r="F80" s="364"/>
      <c r="G80" s="364"/>
      <c r="H80" s="364"/>
      <c r="I80" s="364"/>
      <c r="J80" s="364"/>
      <c r="K80" s="364"/>
      <c r="L80" s="364"/>
      <c r="M80" s="364"/>
      <c r="N80" s="364"/>
      <c r="O80" s="364"/>
      <c r="P80" s="364"/>
      <c r="Q80" s="364"/>
      <c r="R80" s="364"/>
      <c r="S80" s="364"/>
      <c r="T80" s="364"/>
      <c r="U80" s="364"/>
      <c r="V80" s="364"/>
      <c r="W80" s="364"/>
      <c r="X80" s="364"/>
      <c r="Y80" s="364"/>
      <c r="Z80" s="364"/>
      <c r="AA80" s="364"/>
    </row>
    <row r="81" customFormat="false" ht="15.75" hidden="false" customHeight="false" outlineLevel="0" collapsed="false">
      <c r="A81" s="261" t="str">
        <f aca="false">IFERROR(__xludf.dummyfunction("""COMPUTED_VALUE"""),"Slowbro")</f>
        <v>Slowbro</v>
      </c>
      <c r="B81" s="365"/>
      <c r="C81" s="365"/>
      <c r="D81" s="364"/>
      <c r="E81" s="364"/>
      <c r="F81" s="364"/>
      <c r="G81" s="364"/>
      <c r="H81" s="364"/>
      <c r="I81" s="364"/>
      <c r="J81" s="364"/>
      <c r="K81" s="364"/>
      <c r="L81" s="364"/>
      <c r="M81" s="364"/>
      <c r="N81" s="364"/>
      <c r="O81" s="364"/>
      <c r="P81" s="364"/>
      <c r="Q81" s="364"/>
      <c r="R81" s="364"/>
      <c r="S81" s="364"/>
      <c r="T81" s="364"/>
      <c r="U81" s="364"/>
      <c r="V81" s="364"/>
      <c r="W81" s="364"/>
      <c r="X81" s="364"/>
      <c r="Y81" s="364"/>
      <c r="Z81" s="364"/>
      <c r="AA81" s="364"/>
    </row>
    <row r="82" customFormat="false" ht="15.75" hidden="false" customHeight="false" outlineLevel="0" collapsed="false">
      <c r="A82" s="261" t="str">
        <f aca="false">IFERROR(__xludf.dummyfunction("""COMPUTED_VALUE"""),"Magnemite")</f>
        <v>Magnemite</v>
      </c>
      <c r="B82" s="365"/>
      <c r="C82" s="365"/>
      <c r="D82" s="364"/>
      <c r="E82" s="364"/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  <c r="S82" s="364"/>
      <c r="T82" s="364"/>
      <c r="U82" s="364"/>
      <c r="V82" s="364"/>
      <c r="W82" s="364"/>
      <c r="X82" s="364"/>
      <c r="Y82" s="364"/>
      <c r="Z82" s="364"/>
      <c r="AA82" s="364"/>
    </row>
    <row r="83" customFormat="false" ht="15.75" hidden="false" customHeight="false" outlineLevel="0" collapsed="false">
      <c r="A83" s="261" t="str">
        <f aca="false">IFERROR(__xludf.dummyfunction("""COMPUTED_VALUE"""),"Magneton")</f>
        <v>Magneton</v>
      </c>
      <c r="B83" s="365"/>
      <c r="C83" s="365"/>
      <c r="D83" s="364"/>
      <c r="E83" s="364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  <c r="S83" s="364"/>
      <c r="T83" s="364"/>
      <c r="U83" s="364"/>
      <c r="V83" s="364"/>
      <c r="W83" s="364"/>
      <c r="X83" s="364"/>
      <c r="Y83" s="364"/>
      <c r="Z83" s="364"/>
      <c r="AA83" s="364"/>
    </row>
    <row r="84" customFormat="false" ht="15.75" hidden="false" customHeight="false" outlineLevel="0" collapsed="false">
      <c r="A84" s="261" t="str">
        <f aca="false">IFERROR(__xludf.dummyfunction("""COMPUTED_VALUE"""),"Farfetch'd")</f>
        <v>Farfetch'd</v>
      </c>
      <c r="B84" s="365"/>
      <c r="C84" s="365"/>
      <c r="D84" s="364"/>
      <c r="E84" s="364"/>
      <c r="F84" s="364"/>
      <c r="G84" s="364"/>
      <c r="H84" s="364"/>
      <c r="I84" s="364"/>
      <c r="J84" s="364"/>
      <c r="K84" s="364"/>
      <c r="L84" s="364"/>
      <c r="M84" s="364"/>
      <c r="N84" s="364"/>
      <c r="O84" s="364"/>
      <c r="P84" s="364"/>
      <c r="Q84" s="364"/>
      <c r="R84" s="364"/>
      <c r="S84" s="364"/>
      <c r="T84" s="364"/>
      <c r="U84" s="364"/>
      <c r="V84" s="364"/>
      <c r="W84" s="364"/>
      <c r="X84" s="364"/>
      <c r="Y84" s="364"/>
      <c r="Z84" s="364"/>
      <c r="AA84" s="364"/>
    </row>
    <row r="85" customFormat="false" ht="15.75" hidden="false" customHeight="false" outlineLevel="0" collapsed="false">
      <c r="A85" s="261" t="str">
        <f aca="false">IFERROR(__xludf.dummyfunction("""COMPUTED_VALUE"""),"Doduo")</f>
        <v>Doduo</v>
      </c>
      <c r="B85" s="365"/>
      <c r="C85" s="365"/>
      <c r="D85" s="364"/>
      <c r="E85" s="364"/>
      <c r="F85" s="364"/>
      <c r="G85" s="364"/>
      <c r="H85" s="364"/>
      <c r="I85" s="364"/>
      <c r="J85" s="364"/>
      <c r="K85" s="364"/>
      <c r="L85" s="364"/>
      <c r="M85" s="364"/>
      <c r="N85" s="364"/>
      <c r="O85" s="364"/>
      <c r="P85" s="364"/>
      <c r="Q85" s="364"/>
      <c r="R85" s="364"/>
      <c r="S85" s="364"/>
      <c r="T85" s="364"/>
      <c r="U85" s="364"/>
      <c r="V85" s="364"/>
      <c r="W85" s="364"/>
      <c r="X85" s="364"/>
      <c r="Y85" s="364"/>
      <c r="Z85" s="364"/>
      <c r="AA85" s="364"/>
    </row>
    <row r="86" customFormat="false" ht="15.75" hidden="false" customHeight="false" outlineLevel="0" collapsed="false">
      <c r="A86" s="261" t="str">
        <f aca="false">IFERROR(__xludf.dummyfunction("""COMPUTED_VALUE"""),"Dodrio")</f>
        <v>Dodrio</v>
      </c>
      <c r="B86" s="365"/>
      <c r="C86" s="365"/>
      <c r="D86" s="364"/>
      <c r="E86" s="364"/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  <c r="S86" s="364"/>
      <c r="T86" s="364"/>
      <c r="U86" s="364"/>
      <c r="V86" s="364"/>
      <c r="W86" s="364"/>
      <c r="X86" s="364"/>
      <c r="Y86" s="364"/>
      <c r="Z86" s="364"/>
      <c r="AA86" s="364"/>
    </row>
    <row r="87" customFormat="false" ht="15.75" hidden="false" customHeight="false" outlineLevel="0" collapsed="false">
      <c r="A87" s="261" t="str">
        <f aca="false">IFERROR(__xludf.dummyfunction("""COMPUTED_VALUE"""),"Seel")</f>
        <v>Seel</v>
      </c>
      <c r="B87" s="365"/>
      <c r="C87" s="365"/>
      <c r="D87" s="364"/>
      <c r="E87" s="364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  <c r="S87" s="364"/>
      <c r="T87" s="364"/>
      <c r="U87" s="364"/>
      <c r="V87" s="364"/>
      <c r="W87" s="364"/>
      <c r="X87" s="364"/>
      <c r="Y87" s="364"/>
      <c r="Z87" s="364"/>
      <c r="AA87" s="364"/>
    </row>
    <row r="88" customFormat="false" ht="15.75" hidden="false" customHeight="false" outlineLevel="0" collapsed="false">
      <c r="A88" s="261" t="str">
        <f aca="false">IFERROR(__xludf.dummyfunction("""COMPUTED_VALUE"""),"Dewgong")</f>
        <v>Dewgong</v>
      </c>
      <c r="B88" s="365"/>
      <c r="C88" s="365"/>
      <c r="D88" s="364"/>
      <c r="E88" s="364"/>
      <c r="F88" s="364"/>
      <c r="G88" s="364"/>
      <c r="H88" s="364"/>
      <c r="I88" s="364"/>
      <c r="J88" s="364"/>
      <c r="K88" s="364"/>
      <c r="L88" s="364"/>
      <c r="M88" s="364"/>
      <c r="N88" s="364"/>
      <c r="O88" s="364"/>
      <c r="P88" s="364"/>
      <c r="Q88" s="364"/>
      <c r="R88" s="364"/>
      <c r="S88" s="364"/>
      <c r="T88" s="364"/>
      <c r="U88" s="364"/>
      <c r="V88" s="364"/>
      <c r="W88" s="364"/>
      <c r="X88" s="364"/>
      <c r="Y88" s="364"/>
      <c r="Z88" s="364"/>
      <c r="AA88" s="364"/>
    </row>
    <row r="89" customFormat="false" ht="15.75" hidden="false" customHeight="false" outlineLevel="0" collapsed="false">
      <c r="A89" s="261" t="str">
        <f aca="false">IFERROR(__xludf.dummyfunction("""COMPUTED_VALUE"""),"Grimer")</f>
        <v>Grimer</v>
      </c>
      <c r="B89" s="365"/>
      <c r="C89" s="365"/>
      <c r="D89" s="364"/>
      <c r="E89" s="364"/>
      <c r="F89" s="364"/>
      <c r="G89" s="364"/>
      <c r="H89" s="364"/>
      <c r="I89" s="364"/>
      <c r="J89" s="364"/>
      <c r="K89" s="364"/>
      <c r="L89" s="364"/>
      <c r="M89" s="364"/>
      <c r="N89" s="364"/>
      <c r="O89" s="364"/>
      <c r="P89" s="364"/>
      <c r="Q89" s="364"/>
      <c r="R89" s="364"/>
      <c r="S89" s="364"/>
      <c r="T89" s="364"/>
      <c r="U89" s="364"/>
      <c r="V89" s="364"/>
      <c r="W89" s="364"/>
      <c r="X89" s="364"/>
      <c r="Y89" s="364"/>
      <c r="Z89" s="364"/>
      <c r="AA89" s="364"/>
    </row>
    <row r="90" customFormat="false" ht="15.75" hidden="false" customHeight="false" outlineLevel="0" collapsed="false">
      <c r="A90" s="261" t="str">
        <f aca="false">IFERROR(__xludf.dummyfunction("""COMPUTED_VALUE"""),"Muk")</f>
        <v>Muk</v>
      </c>
      <c r="B90" s="365"/>
      <c r="C90" s="365"/>
      <c r="D90" s="364"/>
      <c r="E90" s="364"/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  <c r="S90" s="364"/>
      <c r="T90" s="364"/>
      <c r="U90" s="364"/>
      <c r="V90" s="364"/>
      <c r="W90" s="364"/>
      <c r="X90" s="364"/>
      <c r="Y90" s="364"/>
      <c r="Z90" s="364"/>
      <c r="AA90" s="364"/>
    </row>
    <row r="91" customFormat="false" ht="15.75" hidden="false" customHeight="false" outlineLevel="0" collapsed="false">
      <c r="A91" s="261" t="str">
        <f aca="false">IFERROR(__xludf.dummyfunction("""COMPUTED_VALUE"""),"Shellder")</f>
        <v>Shellder</v>
      </c>
      <c r="B91" s="365"/>
      <c r="C91" s="365"/>
      <c r="D91" s="364"/>
      <c r="E91" s="364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  <c r="S91" s="364"/>
      <c r="T91" s="364"/>
      <c r="U91" s="364"/>
      <c r="V91" s="364"/>
      <c r="W91" s="364"/>
      <c r="X91" s="364"/>
      <c r="Y91" s="364"/>
      <c r="Z91" s="364"/>
      <c r="AA91" s="364"/>
    </row>
    <row r="92" customFormat="false" ht="15.75" hidden="false" customHeight="false" outlineLevel="0" collapsed="false">
      <c r="A92" s="261" t="str">
        <f aca="false">IFERROR(__xludf.dummyfunction("""COMPUTED_VALUE"""),"Cloyster")</f>
        <v>Cloyster</v>
      </c>
      <c r="B92" s="365"/>
      <c r="C92" s="365"/>
      <c r="D92" s="364"/>
      <c r="E92" s="364"/>
      <c r="F92" s="364"/>
      <c r="G92" s="364"/>
      <c r="H92" s="364"/>
      <c r="I92" s="364"/>
      <c r="J92" s="364"/>
      <c r="K92" s="364"/>
      <c r="L92" s="364"/>
      <c r="M92" s="364"/>
      <c r="N92" s="364"/>
      <c r="O92" s="364"/>
      <c r="P92" s="364"/>
      <c r="Q92" s="364"/>
      <c r="R92" s="364"/>
      <c r="S92" s="364"/>
      <c r="T92" s="364"/>
      <c r="U92" s="364"/>
      <c r="V92" s="364"/>
      <c r="W92" s="364"/>
      <c r="X92" s="364"/>
      <c r="Y92" s="364"/>
      <c r="Z92" s="364"/>
      <c r="AA92" s="364"/>
    </row>
    <row r="93" customFormat="false" ht="15.75" hidden="false" customHeight="false" outlineLevel="0" collapsed="false">
      <c r="A93" s="261" t="str">
        <f aca="false">IFERROR(__xludf.dummyfunction("""COMPUTED_VALUE"""),"Gastly")</f>
        <v>Gastly</v>
      </c>
      <c r="B93" s="365"/>
      <c r="C93" s="365"/>
      <c r="D93" s="364"/>
      <c r="E93" s="364"/>
      <c r="F93" s="364"/>
      <c r="G93" s="364"/>
      <c r="H93" s="364"/>
      <c r="I93" s="364"/>
      <c r="J93" s="364"/>
      <c r="K93" s="364"/>
      <c r="L93" s="364"/>
      <c r="M93" s="364"/>
      <c r="N93" s="364"/>
      <c r="O93" s="364"/>
      <c r="P93" s="364"/>
      <c r="Q93" s="364"/>
      <c r="R93" s="364"/>
      <c r="S93" s="364"/>
      <c r="T93" s="364"/>
      <c r="U93" s="364"/>
      <c r="V93" s="364"/>
      <c r="W93" s="364"/>
      <c r="X93" s="364"/>
      <c r="Y93" s="364"/>
      <c r="Z93" s="364"/>
      <c r="AA93" s="364"/>
    </row>
    <row r="94" customFormat="false" ht="15.75" hidden="false" customHeight="false" outlineLevel="0" collapsed="false">
      <c r="A94" s="261" t="str">
        <f aca="false">IFERROR(__xludf.dummyfunction("""COMPUTED_VALUE"""),"Haunter")</f>
        <v>Haunter</v>
      </c>
      <c r="B94" s="365"/>
      <c r="C94" s="365"/>
      <c r="D94" s="364"/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4"/>
      <c r="T94" s="364"/>
      <c r="U94" s="364"/>
      <c r="V94" s="364"/>
      <c r="W94" s="364"/>
      <c r="X94" s="364"/>
      <c r="Y94" s="364"/>
      <c r="Z94" s="364"/>
      <c r="AA94" s="364"/>
    </row>
    <row r="95" customFormat="false" ht="15.75" hidden="false" customHeight="false" outlineLevel="0" collapsed="false">
      <c r="A95" s="261" t="str">
        <f aca="false">IFERROR(__xludf.dummyfunction("""COMPUTED_VALUE"""),"Gengar")</f>
        <v>Gengar</v>
      </c>
      <c r="B95" s="365"/>
      <c r="C95" s="365"/>
      <c r="D95" s="364"/>
      <c r="E95" s="364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64"/>
      <c r="T95" s="364"/>
      <c r="U95" s="364"/>
      <c r="V95" s="364"/>
      <c r="W95" s="364"/>
      <c r="X95" s="364"/>
      <c r="Y95" s="364"/>
      <c r="Z95" s="364"/>
      <c r="AA95" s="364"/>
    </row>
    <row r="96" customFormat="false" ht="15.75" hidden="false" customHeight="false" outlineLevel="0" collapsed="false">
      <c r="A96" s="261" t="str">
        <f aca="false">IFERROR(__xludf.dummyfunction("""COMPUTED_VALUE"""),"Onix")</f>
        <v>Onix</v>
      </c>
      <c r="B96" s="365"/>
      <c r="C96" s="365"/>
      <c r="D96" s="364"/>
      <c r="E96" s="364"/>
      <c r="F96" s="364"/>
      <c r="G96" s="364"/>
      <c r="H96" s="364"/>
      <c r="I96" s="364"/>
      <c r="J96" s="364"/>
      <c r="K96" s="364"/>
      <c r="L96" s="364"/>
      <c r="M96" s="364"/>
      <c r="N96" s="364"/>
      <c r="O96" s="364"/>
      <c r="P96" s="364"/>
      <c r="Q96" s="364"/>
      <c r="R96" s="364"/>
      <c r="S96" s="364"/>
      <c r="T96" s="364"/>
      <c r="U96" s="364"/>
      <c r="V96" s="364"/>
      <c r="W96" s="364"/>
      <c r="X96" s="364"/>
      <c r="Y96" s="364"/>
      <c r="Z96" s="364"/>
      <c r="AA96" s="364"/>
    </row>
    <row r="97" customFormat="false" ht="15.75" hidden="false" customHeight="false" outlineLevel="0" collapsed="false">
      <c r="A97" s="261" t="str">
        <f aca="false">IFERROR(__xludf.dummyfunction("""COMPUTED_VALUE"""),"Drowzee")</f>
        <v>Drowzee</v>
      </c>
      <c r="B97" s="365"/>
      <c r="C97" s="365"/>
      <c r="D97" s="364"/>
      <c r="E97" s="364"/>
      <c r="F97" s="364"/>
      <c r="G97" s="364"/>
      <c r="H97" s="364"/>
      <c r="I97" s="364"/>
      <c r="J97" s="364"/>
      <c r="K97" s="364"/>
      <c r="L97" s="364"/>
      <c r="M97" s="364"/>
      <c r="N97" s="364"/>
      <c r="O97" s="364"/>
      <c r="P97" s="364"/>
      <c r="Q97" s="364"/>
      <c r="R97" s="364"/>
      <c r="S97" s="364"/>
      <c r="T97" s="364"/>
      <c r="U97" s="364"/>
      <c r="V97" s="364"/>
      <c r="W97" s="364"/>
      <c r="X97" s="364"/>
      <c r="Y97" s="364"/>
      <c r="Z97" s="364"/>
      <c r="AA97" s="364"/>
    </row>
    <row r="98" customFormat="false" ht="15.75" hidden="false" customHeight="false" outlineLevel="0" collapsed="false">
      <c r="A98" s="261" t="str">
        <f aca="false">IFERROR(__xludf.dummyfunction("""COMPUTED_VALUE"""),"Hypno")</f>
        <v>Hypno</v>
      </c>
      <c r="B98" s="365"/>
      <c r="C98" s="365"/>
      <c r="D98" s="364"/>
      <c r="E98" s="364"/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/>
    </row>
    <row r="99" customFormat="false" ht="15.75" hidden="false" customHeight="false" outlineLevel="0" collapsed="false">
      <c r="A99" s="261" t="str">
        <f aca="false">IFERROR(__xludf.dummyfunction("""COMPUTED_VALUE"""),"Krabby")</f>
        <v>Krabby</v>
      </c>
      <c r="B99" s="365"/>
      <c r="C99" s="365"/>
      <c r="D99" s="364"/>
      <c r="E99" s="364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/>
    </row>
    <row r="100" customFormat="false" ht="15.75" hidden="false" customHeight="false" outlineLevel="0" collapsed="false">
      <c r="A100" s="261" t="str">
        <f aca="false">IFERROR(__xludf.dummyfunction("""COMPUTED_VALUE"""),"Kingler")</f>
        <v>Kingler</v>
      </c>
      <c r="B100" s="365"/>
      <c r="C100" s="365"/>
      <c r="D100" s="364"/>
      <c r="E100" s="364"/>
      <c r="F100" s="364"/>
      <c r="G100" s="364"/>
      <c r="H100" s="364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/>
    </row>
    <row r="101" customFormat="false" ht="15.75" hidden="false" customHeight="false" outlineLevel="0" collapsed="false">
      <c r="A101" s="261" t="str">
        <f aca="false">IFERROR(__xludf.dummyfunction("""COMPUTED_VALUE"""),"Voltorb")</f>
        <v>Voltorb</v>
      </c>
      <c r="B101" s="365"/>
      <c r="C101" s="365"/>
      <c r="D101" s="364"/>
      <c r="E101" s="364"/>
      <c r="F101" s="364"/>
      <c r="G101" s="364"/>
      <c r="H101" s="364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/>
    </row>
    <row r="102" customFormat="false" ht="15.75" hidden="false" customHeight="false" outlineLevel="0" collapsed="false">
      <c r="A102" s="261" t="str">
        <f aca="false">IFERROR(__xludf.dummyfunction("""COMPUTED_VALUE"""),"Electrode")</f>
        <v>Electrode</v>
      </c>
      <c r="B102" s="365"/>
      <c r="C102" s="365"/>
      <c r="D102" s="364"/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/>
    </row>
    <row r="103" customFormat="false" ht="15.75" hidden="false" customHeight="false" outlineLevel="0" collapsed="false">
      <c r="A103" s="261" t="str">
        <f aca="false">IFERROR(__xludf.dummyfunction("""COMPUTED_VALUE"""),"Exeggcute")</f>
        <v>Exeggcute</v>
      </c>
      <c r="B103" s="365"/>
      <c r="C103" s="365"/>
      <c r="D103" s="364"/>
      <c r="E103" s="364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/>
    </row>
    <row r="104" customFormat="false" ht="15.75" hidden="false" customHeight="false" outlineLevel="0" collapsed="false">
      <c r="A104" s="261" t="str">
        <f aca="false">IFERROR(__xludf.dummyfunction("""COMPUTED_VALUE"""),"Exeggutor")</f>
        <v>Exeggutor</v>
      </c>
      <c r="B104" s="365"/>
      <c r="C104" s="365"/>
      <c r="D104" s="364"/>
      <c r="E104" s="364"/>
      <c r="F104" s="364"/>
      <c r="G104" s="364"/>
      <c r="H104" s="364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/>
    </row>
    <row r="105" customFormat="false" ht="15.75" hidden="false" customHeight="false" outlineLevel="0" collapsed="false">
      <c r="A105" s="261" t="str">
        <f aca="false">IFERROR(__xludf.dummyfunction("""COMPUTED_VALUE"""),"Cubone")</f>
        <v>Cubone</v>
      </c>
      <c r="B105" s="365"/>
      <c r="C105" s="365"/>
      <c r="D105" s="364"/>
      <c r="E105" s="364"/>
      <c r="F105" s="364"/>
      <c r="G105" s="364"/>
      <c r="H105" s="364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64"/>
      <c r="AA105" s="364"/>
    </row>
    <row r="106" customFormat="false" ht="15.75" hidden="false" customHeight="false" outlineLevel="0" collapsed="false">
      <c r="A106" s="261" t="str">
        <f aca="false">IFERROR(__xludf.dummyfunction("""COMPUTED_VALUE"""),"Marowak")</f>
        <v>Marowak</v>
      </c>
      <c r="B106" s="365"/>
      <c r="C106" s="365"/>
      <c r="D106" s="364"/>
      <c r="E106" s="364"/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/>
    </row>
    <row r="107" customFormat="false" ht="15.75" hidden="false" customHeight="false" outlineLevel="0" collapsed="false">
      <c r="A107" s="261" t="str">
        <f aca="false">IFERROR(__xludf.dummyfunction("""COMPUTED_VALUE"""),"Hitmonlee")</f>
        <v>Hitmonlee</v>
      </c>
      <c r="B107" s="365"/>
      <c r="C107" s="365"/>
      <c r="D107" s="364"/>
      <c r="E107" s="364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/>
    </row>
    <row r="108" customFormat="false" ht="15.75" hidden="false" customHeight="false" outlineLevel="0" collapsed="false">
      <c r="A108" s="261" t="str">
        <f aca="false">IFERROR(__xludf.dummyfunction("""COMPUTED_VALUE"""),"Hitmonchan")</f>
        <v>Hitmonchan</v>
      </c>
      <c r="B108" s="365"/>
      <c r="C108" s="365"/>
      <c r="D108" s="364"/>
      <c r="E108" s="364"/>
      <c r="F108" s="364"/>
      <c r="G108" s="364"/>
      <c r="H108" s="364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/>
    </row>
    <row r="109" customFormat="false" ht="15.75" hidden="false" customHeight="false" outlineLevel="0" collapsed="false">
      <c r="A109" s="261" t="str">
        <f aca="false">IFERROR(__xludf.dummyfunction("""COMPUTED_VALUE"""),"Lickitung")</f>
        <v>Lickitung</v>
      </c>
      <c r="B109" s="365"/>
      <c r="C109" s="365"/>
      <c r="D109" s="364"/>
      <c r="E109" s="364"/>
      <c r="F109" s="364"/>
      <c r="G109" s="364"/>
      <c r="H109" s="364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/>
    </row>
    <row r="110" customFormat="false" ht="15.75" hidden="false" customHeight="false" outlineLevel="0" collapsed="false">
      <c r="A110" s="261" t="str">
        <f aca="false">IFERROR(__xludf.dummyfunction("""COMPUTED_VALUE"""),"Koffing")</f>
        <v>Koffing</v>
      </c>
      <c r="B110" s="365"/>
      <c r="C110" s="365"/>
      <c r="D110" s="364"/>
      <c r="E110" s="364"/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/>
    </row>
    <row r="111" customFormat="false" ht="15.75" hidden="false" customHeight="false" outlineLevel="0" collapsed="false">
      <c r="A111" s="261" t="str">
        <f aca="false">IFERROR(__xludf.dummyfunction("""COMPUTED_VALUE"""),"Weezing")</f>
        <v>Weezing</v>
      </c>
      <c r="B111" s="365"/>
      <c r="C111" s="365"/>
      <c r="D111" s="364"/>
      <c r="E111" s="364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/>
    </row>
    <row r="112" customFormat="false" ht="15.75" hidden="false" customHeight="false" outlineLevel="0" collapsed="false">
      <c r="A112" s="261" t="str">
        <f aca="false">IFERROR(__xludf.dummyfunction("""COMPUTED_VALUE"""),"Rhyhorn")</f>
        <v>Rhyhorn</v>
      </c>
      <c r="B112" s="365"/>
      <c r="C112" s="365"/>
      <c r="D112" s="364"/>
      <c r="E112" s="364"/>
      <c r="F112" s="364"/>
      <c r="G112" s="364"/>
      <c r="H112" s="364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/>
    </row>
    <row r="113" customFormat="false" ht="15.75" hidden="false" customHeight="false" outlineLevel="0" collapsed="false">
      <c r="A113" s="261" t="str">
        <f aca="false">IFERROR(__xludf.dummyfunction("""COMPUTED_VALUE"""),"Rhydon")</f>
        <v>Rhydon</v>
      </c>
      <c r="B113" s="365"/>
      <c r="C113" s="365"/>
      <c r="D113" s="364"/>
      <c r="E113" s="364"/>
      <c r="F113" s="364"/>
      <c r="G113" s="364"/>
      <c r="H113" s="364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/>
    </row>
    <row r="114" customFormat="false" ht="15.75" hidden="false" customHeight="false" outlineLevel="0" collapsed="false">
      <c r="A114" s="261" t="str">
        <f aca="false">IFERROR(__xludf.dummyfunction("""COMPUTED_VALUE"""),"Chansey")</f>
        <v>Chansey</v>
      </c>
      <c r="B114" s="365"/>
      <c r="C114" s="365"/>
      <c r="D114" s="364"/>
      <c r="E114" s="364"/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/>
    </row>
    <row r="115" customFormat="false" ht="15.75" hidden="false" customHeight="false" outlineLevel="0" collapsed="false">
      <c r="A115" s="261" t="str">
        <f aca="false">IFERROR(__xludf.dummyfunction("""COMPUTED_VALUE"""),"Tangela")</f>
        <v>Tangela</v>
      </c>
      <c r="B115" s="365"/>
      <c r="C115" s="365"/>
      <c r="D115" s="364"/>
      <c r="E115" s="364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/>
    </row>
    <row r="116" customFormat="false" ht="15.75" hidden="false" customHeight="false" outlineLevel="0" collapsed="false">
      <c r="A116" s="261" t="str">
        <f aca="false">IFERROR(__xludf.dummyfunction("""COMPUTED_VALUE"""),"Kangaskhan")</f>
        <v>Kangaskhan</v>
      </c>
      <c r="B116" s="365"/>
      <c r="C116" s="365"/>
      <c r="D116" s="364"/>
      <c r="E116" s="364"/>
      <c r="F116" s="364"/>
      <c r="G116" s="364"/>
      <c r="H116" s="364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/>
    </row>
    <row r="117" customFormat="false" ht="15.75" hidden="false" customHeight="false" outlineLevel="0" collapsed="false">
      <c r="A117" s="261" t="str">
        <f aca="false">IFERROR(__xludf.dummyfunction("""COMPUTED_VALUE"""),"Horsea")</f>
        <v>Horsea</v>
      </c>
      <c r="B117" s="365"/>
      <c r="C117" s="365"/>
      <c r="D117" s="364"/>
      <c r="E117" s="364"/>
      <c r="F117" s="364"/>
      <c r="G117" s="364"/>
      <c r="H117" s="364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/>
    </row>
    <row r="118" customFormat="false" ht="15.75" hidden="false" customHeight="false" outlineLevel="0" collapsed="false">
      <c r="A118" s="261" t="str">
        <f aca="false">IFERROR(__xludf.dummyfunction("""COMPUTED_VALUE"""),"Seadra")</f>
        <v>Seadra</v>
      </c>
      <c r="B118" s="365"/>
      <c r="C118" s="365"/>
      <c r="D118" s="364"/>
      <c r="E118" s="364"/>
      <c r="F118" s="364"/>
      <c r="G118" s="364"/>
      <c r="H118" s="364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/>
    </row>
    <row r="119" customFormat="false" ht="15.75" hidden="false" customHeight="false" outlineLevel="0" collapsed="false">
      <c r="A119" s="261" t="str">
        <f aca="false">IFERROR(__xludf.dummyfunction("""COMPUTED_VALUE"""),"Goldeen")</f>
        <v>Goldeen</v>
      </c>
      <c r="B119" s="365"/>
      <c r="C119" s="365"/>
      <c r="D119" s="364"/>
      <c r="E119" s="364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/>
    </row>
    <row r="120" customFormat="false" ht="15.75" hidden="false" customHeight="false" outlineLevel="0" collapsed="false">
      <c r="A120" s="261" t="str">
        <f aca="false">IFERROR(__xludf.dummyfunction("""COMPUTED_VALUE"""),"Seaking")</f>
        <v>Seaking</v>
      </c>
      <c r="B120" s="365"/>
      <c r="C120" s="365"/>
      <c r="D120" s="364"/>
      <c r="E120" s="364"/>
      <c r="F120" s="364"/>
      <c r="G120" s="364"/>
      <c r="H120" s="364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/>
    </row>
    <row r="121" customFormat="false" ht="15.75" hidden="false" customHeight="false" outlineLevel="0" collapsed="false">
      <c r="A121" s="261" t="str">
        <f aca="false">IFERROR(__xludf.dummyfunction("""COMPUTED_VALUE"""),"Staryu")</f>
        <v>Staryu</v>
      </c>
      <c r="B121" s="365"/>
      <c r="C121" s="365"/>
      <c r="D121" s="364"/>
      <c r="E121" s="364"/>
      <c r="F121" s="364"/>
      <c r="G121" s="364"/>
      <c r="H121" s="364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/>
    </row>
    <row r="122" customFormat="false" ht="15.75" hidden="false" customHeight="false" outlineLevel="0" collapsed="false">
      <c r="A122" s="261" t="str">
        <f aca="false">IFERROR(__xludf.dummyfunction("""COMPUTED_VALUE"""),"Starmie")</f>
        <v>Starmie</v>
      </c>
      <c r="B122" s="365"/>
      <c r="C122" s="365"/>
      <c r="D122" s="364"/>
      <c r="E122" s="364"/>
      <c r="F122" s="364"/>
      <c r="G122" s="364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/>
    </row>
    <row r="123" customFormat="false" ht="15.75" hidden="false" customHeight="false" outlineLevel="0" collapsed="false">
      <c r="A123" s="261" t="str">
        <f aca="false">IFERROR(__xludf.dummyfunction("""COMPUTED_VALUE"""),"Mr. Mime")</f>
        <v>Mr. Mime</v>
      </c>
      <c r="B123" s="365"/>
      <c r="C123" s="365"/>
      <c r="D123" s="364"/>
      <c r="E123" s="364"/>
      <c r="F123" s="364"/>
      <c r="G123" s="364"/>
      <c r="H123" s="364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/>
    </row>
    <row r="124" customFormat="false" ht="15.75" hidden="false" customHeight="false" outlineLevel="0" collapsed="false">
      <c r="A124" s="261" t="str">
        <f aca="false">IFERROR(__xludf.dummyfunction("""COMPUTED_VALUE"""),"Scyther")</f>
        <v>Scyther</v>
      </c>
      <c r="B124" s="365"/>
      <c r="C124" s="365"/>
      <c r="D124" s="364"/>
      <c r="E124" s="364"/>
      <c r="F124" s="364"/>
      <c r="G124" s="364"/>
      <c r="H124" s="364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/>
    </row>
    <row r="125" customFormat="false" ht="15.75" hidden="false" customHeight="false" outlineLevel="0" collapsed="false">
      <c r="A125" s="261" t="str">
        <f aca="false">IFERROR(__xludf.dummyfunction("""COMPUTED_VALUE"""),"Jynx")</f>
        <v>Jynx</v>
      </c>
      <c r="B125" s="365"/>
      <c r="C125" s="365"/>
      <c r="D125" s="364"/>
      <c r="E125" s="364"/>
      <c r="F125" s="364"/>
      <c r="G125" s="364"/>
      <c r="H125" s="364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/>
    </row>
    <row r="126" customFormat="false" ht="15.75" hidden="false" customHeight="false" outlineLevel="0" collapsed="false">
      <c r="A126" s="261" t="str">
        <f aca="false">IFERROR(__xludf.dummyfunction("""COMPUTED_VALUE"""),"Electabuzz")</f>
        <v>Electabuzz</v>
      </c>
      <c r="B126" s="365"/>
      <c r="C126" s="365"/>
      <c r="D126" s="364"/>
      <c r="E126" s="364"/>
      <c r="F126" s="364"/>
      <c r="G126" s="364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/>
    </row>
    <row r="127" customFormat="false" ht="15.75" hidden="false" customHeight="false" outlineLevel="0" collapsed="false">
      <c r="A127" s="261" t="str">
        <f aca="false">IFERROR(__xludf.dummyfunction("""COMPUTED_VALUE"""),"Magmar")</f>
        <v>Magmar</v>
      </c>
      <c r="B127" s="365"/>
      <c r="C127" s="365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/>
    </row>
    <row r="128" customFormat="false" ht="15.75" hidden="false" customHeight="false" outlineLevel="0" collapsed="false">
      <c r="A128" s="261" t="str">
        <f aca="false">IFERROR(__xludf.dummyfunction("""COMPUTED_VALUE"""),"Pinsir")</f>
        <v>Pinsir</v>
      </c>
      <c r="B128" s="365"/>
      <c r="C128" s="365"/>
      <c r="D128" s="364"/>
      <c r="E128" s="364"/>
      <c r="F128" s="364"/>
      <c r="G128" s="364"/>
      <c r="H128" s="364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/>
    </row>
    <row r="129" customFormat="false" ht="15.75" hidden="false" customHeight="false" outlineLevel="0" collapsed="false">
      <c r="A129" s="261" t="str">
        <f aca="false">IFERROR(__xludf.dummyfunction("""COMPUTED_VALUE"""),"Tauros")</f>
        <v>Tauros</v>
      </c>
      <c r="B129" s="365"/>
      <c r="C129" s="365"/>
      <c r="D129" s="364"/>
      <c r="E129" s="364"/>
      <c r="F129" s="364"/>
      <c r="G129" s="364"/>
      <c r="H129" s="364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/>
    </row>
    <row r="130" customFormat="false" ht="15.75" hidden="false" customHeight="false" outlineLevel="0" collapsed="false">
      <c r="A130" s="261" t="str">
        <f aca="false">IFERROR(__xludf.dummyfunction("""COMPUTED_VALUE"""),"Magikarp")</f>
        <v>Magikarp</v>
      </c>
      <c r="B130" s="365"/>
      <c r="C130" s="365"/>
      <c r="D130" s="364"/>
      <c r="E130" s="364"/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/>
    </row>
    <row r="131" customFormat="false" ht="15.75" hidden="false" customHeight="false" outlineLevel="0" collapsed="false">
      <c r="A131" s="261" t="str">
        <f aca="false">IFERROR(__xludf.dummyfunction("""COMPUTED_VALUE"""),"Gyarados")</f>
        <v>Gyarados</v>
      </c>
      <c r="B131" s="365"/>
      <c r="C131" s="365"/>
      <c r="D131" s="364"/>
      <c r="E131" s="364"/>
      <c r="F131" s="364"/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/>
    </row>
    <row r="132" customFormat="false" ht="15.75" hidden="false" customHeight="false" outlineLevel="0" collapsed="false">
      <c r="A132" s="261" t="str">
        <f aca="false">IFERROR(__xludf.dummyfunction("""COMPUTED_VALUE"""),"Lapras")</f>
        <v>Lapras</v>
      </c>
      <c r="B132" s="365"/>
      <c r="C132" s="365"/>
      <c r="D132" s="364"/>
      <c r="E132" s="364"/>
      <c r="F132" s="364"/>
      <c r="G132" s="364"/>
      <c r="H132" s="364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/>
    </row>
    <row r="133" customFormat="false" ht="15.75" hidden="false" customHeight="false" outlineLevel="0" collapsed="false">
      <c r="A133" s="261" t="str">
        <f aca="false">IFERROR(__xludf.dummyfunction("""COMPUTED_VALUE"""),"Ditto")</f>
        <v>Ditto</v>
      </c>
      <c r="B133" s="365"/>
      <c r="C133" s="365"/>
      <c r="D133" s="364"/>
      <c r="E133" s="364"/>
      <c r="F133" s="364"/>
      <c r="G133" s="364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/>
    </row>
    <row r="134" customFormat="false" ht="15.75" hidden="false" customHeight="false" outlineLevel="0" collapsed="false">
      <c r="A134" s="261" t="str">
        <f aca="false">IFERROR(__xludf.dummyfunction("""COMPUTED_VALUE"""),"Eevee")</f>
        <v>Eevee</v>
      </c>
      <c r="B134" s="365"/>
      <c r="C134" s="365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/>
    </row>
    <row r="135" customFormat="false" ht="15.75" hidden="false" customHeight="false" outlineLevel="0" collapsed="false">
      <c r="A135" s="261" t="str">
        <f aca="false">IFERROR(__xludf.dummyfunction("""COMPUTED_VALUE"""),"Vaporeon")</f>
        <v>Vaporeon</v>
      </c>
      <c r="B135" s="365"/>
      <c r="C135" s="365"/>
      <c r="D135" s="364"/>
      <c r="E135" s="364"/>
      <c r="F135" s="364"/>
      <c r="G135" s="364"/>
      <c r="H135" s="364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/>
    </row>
    <row r="136" customFormat="false" ht="15.75" hidden="false" customHeight="false" outlineLevel="0" collapsed="false">
      <c r="A136" s="261" t="str">
        <f aca="false">IFERROR(__xludf.dummyfunction("""COMPUTED_VALUE"""),"Jolteon")</f>
        <v>Jolteon</v>
      </c>
      <c r="B136" s="365"/>
      <c r="C136" s="365"/>
      <c r="D136" s="364"/>
      <c r="E136" s="364"/>
      <c r="F136" s="364"/>
      <c r="G136" s="364"/>
      <c r="H136" s="364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/>
    </row>
    <row r="137" customFormat="false" ht="15.75" hidden="false" customHeight="false" outlineLevel="0" collapsed="false">
      <c r="A137" s="261" t="str">
        <f aca="false">IFERROR(__xludf.dummyfunction("""COMPUTED_VALUE"""),"Flareon")</f>
        <v>Flareon</v>
      </c>
      <c r="B137" s="365"/>
      <c r="C137" s="365"/>
      <c r="D137" s="364"/>
      <c r="E137" s="364"/>
      <c r="F137" s="364"/>
      <c r="G137" s="364"/>
      <c r="H137" s="364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/>
    </row>
    <row r="138" customFormat="false" ht="15.75" hidden="false" customHeight="false" outlineLevel="0" collapsed="false">
      <c r="A138" s="261" t="str">
        <f aca="false">IFERROR(__xludf.dummyfunction("""COMPUTED_VALUE"""),"Porygon")</f>
        <v>Porygon</v>
      </c>
      <c r="B138" s="365"/>
      <c r="C138" s="365"/>
      <c r="D138" s="364"/>
      <c r="E138" s="364"/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/>
    </row>
    <row r="139" customFormat="false" ht="15.75" hidden="false" customHeight="false" outlineLevel="0" collapsed="false">
      <c r="A139" s="261" t="str">
        <f aca="false">IFERROR(__xludf.dummyfunction("""COMPUTED_VALUE"""),"Omanyte")</f>
        <v>Omanyte</v>
      </c>
      <c r="B139" s="365"/>
      <c r="C139" s="365"/>
      <c r="D139" s="364"/>
      <c r="E139" s="364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/>
    </row>
    <row r="140" customFormat="false" ht="15.75" hidden="false" customHeight="false" outlineLevel="0" collapsed="false">
      <c r="A140" s="261" t="str">
        <f aca="false">IFERROR(__xludf.dummyfunction("""COMPUTED_VALUE"""),"Omastar")</f>
        <v>Omastar</v>
      </c>
      <c r="B140" s="365"/>
      <c r="C140" s="365"/>
      <c r="D140" s="364"/>
      <c r="E140" s="364"/>
      <c r="F140" s="364"/>
      <c r="G140" s="364"/>
      <c r="H140" s="364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/>
    </row>
    <row r="141" customFormat="false" ht="15.75" hidden="false" customHeight="false" outlineLevel="0" collapsed="false">
      <c r="A141" s="261" t="str">
        <f aca="false">IFERROR(__xludf.dummyfunction("""COMPUTED_VALUE"""),"Kabuto")</f>
        <v>Kabuto</v>
      </c>
      <c r="B141" s="365"/>
      <c r="C141" s="365"/>
      <c r="D141" s="364"/>
      <c r="E141" s="364"/>
      <c r="F141" s="364"/>
      <c r="G141" s="364"/>
      <c r="H141" s="364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/>
    </row>
    <row r="142" customFormat="false" ht="15.75" hidden="false" customHeight="false" outlineLevel="0" collapsed="false">
      <c r="A142" s="261" t="str">
        <f aca="false">IFERROR(__xludf.dummyfunction("""COMPUTED_VALUE"""),"Kabutops")</f>
        <v>Kabutops</v>
      </c>
      <c r="B142" s="365"/>
      <c r="C142" s="365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/>
    </row>
    <row r="143" customFormat="false" ht="15.75" hidden="false" customHeight="false" outlineLevel="0" collapsed="false">
      <c r="A143" s="261" t="str">
        <f aca="false">IFERROR(__xludf.dummyfunction("""COMPUTED_VALUE"""),"Aerodactyl")</f>
        <v>Aerodactyl</v>
      </c>
      <c r="B143" s="365"/>
      <c r="C143" s="365"/>
      <c r="D143" s="364"/>
      <c r="E143" s="364"/>
      <c r="F143" s="364"/>
      <c r="G143" s="364"/>
      <c r="H143" s="364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/>
    </row>
    <row r="144" customFormat="false" ht="15.75" hidden="false" customHeight="false" outlineLevel="0" collapsed="false">
      <c r="A144" s="261" t="str">
        <f aca="false">IFERROR(__xludf.dummyfunction("""COMPUTED_VALUE"""),"Snorlax")</f>
        <v>Snorlax</v>
      </c>
      <c r="B144" s="365"/>
      <c r="C144" s="365"/>
      <c r="D144" s="364"/>
      <c r="E144" s="364"/>
      <c r="F144" s="364"/>
      <c r="G144" s="364"/>
      <c r="H144" s="364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/>
    </row>
    <row r="145" customFormat="false" ht="15.75" hidden="false" customHeight="false" outlineLevel="0" collapsed="false">
      <c r="A145" s="261" t="str">
        <f aca="false">IFERROR(__xludf.dummyfunction("""COMPUTED_VALUE"""),"Articuno")</f>
        <v>Articuno</v>
      </c>
      <c r="B145" s="365"/>
      <c r="C145" s="365"/>
      <c r="D145" s="364"/>
      <c r="E145" s="364"/>
      <c r="F145" s="364"/>
      <c r="G145" s="364"/>
      <c r="H145" s="364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/>
    </row>
    <row r="146" customFormat="false" ht="15.75" hidden="false" customHeight="false" outlineLevel="0" collapsed="false">
      <c r="A146" s="261" t="str">
        <f aca="false">IFERROR(__xludf.dummyfunction("""COMPUTED_VALUE"""),"Zapdos")</f>
        <v>Zapdos</v>
      </c>
      <c r="B146" s="365"/>
      <c r="C146" s="365"/>
      <c r="D146" s="364"/>
      <c r="E146" s="364"/>
      <c r="F146" s="364"/>
      <c r="G146" s="364"/>
      <c r="H146" s="364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/>
    </row>
    <row r="147" customFormat="false" ht="15.75" hidden="false" customHeight="false" outlineLevel="0" collapsed="false">
      <c r="A147" s="261" t="str">
        <f aca="false">IFERROR(__xludf.dummyfunction("""COMPUTED_VALUE"""),"Moltres")</f>
        <v>Moltres</v>
      </c>
      <c r="B147" s="365"/>
      <c r="C147" s="365"/>
      <c r="D147" s="364"/>
      <c r="E147" s="364"/>
      <c r="F147" s="364"/>
      <c r="G147" s="364"/>
      <c r="H147" s="364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/>
    </row>
    <row r="148" customFormat="false" ht="15.75" hidden="false" customHeight="false" outlineLevel="0" collapsed="false">
      <c r="A148" s="261" t="str">
        <f aca="false">IFERROR(__xludf.dummyfunction("""COMPUTED_VALUE"""),"Dratini")</f>
        <v>Dratini</v>
      </c>
      <c r="B148" s="365"/>
      <c r="C148" s="365"/>
      <c r="D148" s="364"/>
      <c r="E148" s="364"/>
      <c r="F148" s="364"/>
      <c r="G148" s="364"/>
      <c r="H148" s="364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/>
    </row>
    <row r="149" customFormat="false" ht="15.75" hidden="false" customHeight="false" outlineLevel="0" collapsed="false">
      <c r="A149" s="261" t="str">
        <f aca="false">IFERROR(__xludf.dummyfunction("""COMPUTED_VALUE"""),"Dragonair")</f>
        <v>Dragonair</v>
      </c>
      <c r="B149" s="365"/>
      <c r="C149" s="365"/>
      <c r="D149" s="364"/>
      <c r="E149" s="364"/>
      <c r="F149" s="364"/>
      <c r="G149" s="364"/>
      <c r="H149" s="364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/>
    </row>
    <row r="150" customFormat="false" ht="15.75" hidden="false" customHeight="false" outlineLevel="0" collapsed="false">
      <c r="A150" s="261" t="str">
        <f aca="false">IFERROR(__xludf.dummyfunction("""COMPUTED_VALUE"""),"Dragonite")</f>
        <v>Dragonite</v>
      </c>
      <c r="B150" s="365"/>
      <c r="C150" s="365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/>
    </row>
    <row r="151" customFormat="false" ht="15.75" hidden="false" customHeight="false" outlineLevel="0" collapsed="false">
      <c r="A151" s="261" t="str">
        <f aca="false">IFERROR(__xludf.dummyfunction("""COMPUTED_VALUE"""),"Mewtwo")</f>
        <v>Mewtwo</v>
      </c>
      <c r="B151" s="365"/>
      <c r="C151" s="365"/>
      <c r="D151" s="364"/>
      <c r="E151" s="364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/>
    </row>
    <row r="152" customFormat="false" ht="15.75" hidden="false" customHeight="false" outlineLevel="0" collapsed="false">
      <c r="A152" s="261" t="str">
        <f aca="false">IFERROR(__xludf.dummyfunction("""COMPUTED_VALUE"""),"Mew")</f>
        <v>Mew</v>
      </c>
      <c r="B152" s="365"/>
      <c r="C152" s="365"/>
      <c r="D152" s="364"/>
      <c r="E152" s="364"/>
      <c r="F152" s="364"/>
      <c r="G152" s="364"/>
      <c r="H152" s="364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/>
    </row>
    <row r="153" customFormat="false" ht="15.75" hidden="false" customHeight="false" outlineLevel="0" collapsed="false">
      <c r="A153" s="261" t="str">
        <f aca="false">IFERROR(__xludf.dummyfunction("""COMPUTED_VALUE"""),"Chikorita")</f>
        <v>Chikorita</v>
      </c>
      <c r="B153" s="365"/>
      <c r="C153" s="365"/>
      <c r="D153" s="364"/>
      <c r="E153" s="364"/>
      <c r="F153" s="364"/>
      <c r="G153" s="364"/>
      <c r="H153" s="364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/>
    </row>
    <row r="154" customFormat="false" ht="15.75" hidden="false" customHeight="false" outlineLevel="0" collapsed="false">
      <c r="A154" s="261" t="str">
        <f aca="false">IFERROR(__xludf.dummyfunction("""COMPUTED_VALUE"""),"Bayleef")</f>
        <v>Bayleef</v>
      </c>
      <c r="B154" s="365"/>
      <c r="C154" s="365"/>
      <c r="D154" s="364"/>
      <c r="E154" s="364"/>
      <c r="F154" s="364"/>
      <c r="G154" s="364"/>
      <c r="H154" s="364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/>
    </row>
    <row r="155" customFormat="false" ht="15.75" hidden="false" customHeight="false" outlineLevel="0" collapsed="false">
      <c r="A155" s="261" t="str">
        <f aca="false">IFERROR(__xludf.dummyfunction("""COMPUTED_VALUE"""),"Meganium")</f>
        <v>Meganium</v>
      </c>
      <c r="B155" s="365"/>
      <c r="C155" s="365"/>
      <c r="D155" s="364"/>
      <c r="E155" s="364"/>
      <c r="F155" s="364"/>
      <c r="G155" s="364"/>
      <c r="H155" s="364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/>
    </row>
    <row r="156" customFormat="false" ht="15.75" hidden="false" customHeight="false" outlineLevel="0" collapsed="false">
      <c r="A156" s="261" t="str">
        <f aca="false">IFERROR(__xludf.dummyfunction("""COMPUTED_VALUE"""),"Cyndaquil")</f>
        <v>Cyndaquil</v>
      </c>
      <c r="B156" s="365"/>
      <c r="C156" s="365"/>
      <c r="D156" s="364"/>
      <c r="E156" s="364"/>
      <c r="F156" s="364"/>
      <c r="G156" s="364"/>
      <c r="H156" s="364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/>
    </row>
    <row r="157" customFormat="false" ht="15.75" hidden="false" customHeight="false" outlineLevel="0" collapsed="false">
      <c r="A157" s="261" t="str">
        <f aca="false">IFERROR(__xludf.dummyfunction("""COMPUTED_VALUE"""),"Quilava")</f>
        <v>Quilava</v>
      </c>
      <c r="B157" s="365"/>
      <c r="C157" s="365"/>
      <c r="D157" s="364"/>
      <c r="E157" s="364"/>
      <c r="F157" s="364"/>
      <c r="G157" s="364"/>
      <c r="H157" s="364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/>
    </row>
    <row r="158" customFormat="false" ht="15.75" hidden="false" customHeight="false" outlineLevel="0" collapsed="false">
      <c r="A158" s="261" t="str">
        <f aca="false">IFERROR(__xludf.dummyfunction("""COMPUTED_VALUE"""),"Typhlosion")</f>
        <v>Typhlosion</v>
      </c>
      <c r="B158" s="365"/>
      <c r="C158" s="365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/>
    </row>
    <row r="159" customFormat="false" ht="15.75" hidden="false" customHeight="false" outlineLevel="0" collapsed="false">
      <c r="A159" s="261" t="str">
        <f aca="false">IFERROR(__xludf.dummyfunction("""COMPUTED_VALUE"""),"Totodile")</f>
        <v>Totodile</v>
      </c>
      <c r="B159" s="365"/>
      <c r="C159" s="365"/>
      <c r="D159" s="364"/>
      <c r="E159" s="364"/>
      <c r="F159" s="364"/>
      <c r="G159" s="364"/>
      <c r="H159" s="364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/>
    </row>
    <row r="160" customFormat="false" ht="15.75" hidden="false" customHeight="false" outlineLevel="0" collapsed="false">
      <c r="A160" s="261" t="str">
        <f aca="false">IFERROR(__xludf.dummyfunction("""COMPUTED_VALUE"""),"Croconaw")</f>
        <v>Croconaw</v>
      </c>
      <c r="B160" s="365"/>
      <c r="C160" s="365"/>
      <c r="D160" s="364"/>
      <c r="E160" s="364"/>
      <c r="F160" s="364"/>
      <c r="G160" s="364"/>
      <c r="H160" s="364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/>
    </row>
    <row r="161" customFormat="false" ht="15.75" hidden="false" customHeight="false" outlineLevel="0" collapsed="false">
      <c r="A161" s="261" t="str">
        <f aca="false">IFERROR(__xludf.dummyfunction("""COMPUTED_VALUE"""),"Feraligatr")</f>
        <v>Feraligatr</v>
      </c>
      <c r="B161" s="365"/>
      <c r="C161" s="365"/>
      <c r="D161" s="364"/>
      <c r="E161" s="364"/>
      <c r="F161" s="364"/>
      <c r="G161" s="364"/>
      <c r="H161" s="364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/>
    </row>
    <row r="162" customFormat="false" ht="15.75" hidden="false" customHeight="false" outlineLevel="0" collapsed="false">
      <c r="A162" s="261" t="str">
        <f aca="false">IFERROR(__xludf.dummyfunction("""COMPUTED_VALUE"""),"Sentret")</f>
        <v>Sentret</v>
      </c>
      <c r="B162" s="365"/>
      <c r="C162" s="365"/>
      <c r="D162" s="364"/>
      <c r="E162" s="364"/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/>
    </row>
    <row r="163" customFormat="false" ht="15.75" hidden="false" customHeight="false" outlineLevel="0" collapsed="false">
      <c r="A163" s="261" t="str">
        <f aca="false">IFERROR(__xludf.dummyfunction("""COMPUTED_VALUE"""),"Furret")</f>
        <v>Furret</v>
      </c>
      <c r="B163" s="365"/>
      <c r="C163" s="365"/>
      <c r="D163" s="364"/>
      <c r="E163" s="364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/>
    </row>
    <row r="164" customFormat="false" ht="15.75" hidden="false" customHeight="false" outlineLevel="0" collapsed="false">
      <c r="A164" s="261" t="str">
        <f aca="false">IFERROR(__xludf.dummyfunction("""COMPUTED_VALUE"""),"Hoothoot")</f>
        <v>Hoothoot</v>
      </c>
      <c r="B164" s="365"/>
      <c r="C164" s="365"/>
      <c r="D164" s="364"/>
      <c r="E164" s="364"/>
      <c r="F164" s="364"/>
      <c r="G164" s="364"/>
      <c r="H164" s="364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/>
    </row>
    <row r="165" customFormat="false" ht="15.75" hidden="false" customHeight="false" outlineLevel="0" collapsed="false">
      <c r="A165" s="261" t="str">
        <f aca="false">IFERROR(__xludf.dummyfunction("""COMPUTED_VALUE"""),"Noctowl")</f>
        <v>Noctowl</v>
      </c>
      <c r="B165" s="365"/>
      <c r="C165" s="365"/>
      <c r="D165" s="364"/>
      <c r="E165" s="364"/>
      <c r="F165" s="364"/>
      <c r="G165" s="364"/>
      <c r="H165" s="364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/>
    </row>
    <row r="166" customFormat="false" ht="15.75" hidden="false" customHeight="false" outlineLevel="0" collapsed="false">
      <c r="A166" s="261" t="str">
        <f aca="false">IFERROR(__xludf.dummyfunction("""COMPUTED_VALUE"""),"Ledyba")</f>
        <v>Ledyba</v>
      </c>
      <c r="B166" s="365"/>
      <c r="C166" s="365"/>
      <c r="D166" s="364"/>
      <c r="E166" s="364"/>
      <c r="F166" s="364"/>
      <c r="G166" s="364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/>
    </row>
    <row r="167" customFormat="false" ht="15.75" hidden="false" customHeight="false" outlineLevel="0" collapsed="false">
      <c r="A167" s="261" t="str">
        <f aca="false">IFERROR(__xludf.dummyfunction("""COMPUTED_VALUE"""),"Ledian")</f>
        <v>Ledian</v>
      </c>
      <c r="B167" s="365"/>
      <c r="C167" s="365"/>
      <c r="D167" s="364"/>
      <c r="E167" s="364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/>
    </row>
    <row r="168" customFormat="false" ht="15.75" hidden="false" customHeight="false" outlineLevel="0" collapsed="false">
      <c r="A168" s="261" t="str">
        <f aca="false">IFERROR(__xludf.dummyfunction("""COMPUTED_VALUE"""),"Spinarak")</f>
        <v>Spinarak</v>
      </c>
      <c r="B168" s="365"/>
      <c r="C168" s="365"/>
      <c r="D168" s="364"/>
      <c r="E168" s="364"/>
      <c r="F168" s="364"/>
      <c r="G168" s="364"/>
      <c r="H168" s="364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/>
    </row>
    <row r="169" customFormat="false" ht="15.75" hidden="false" customHeight="false" outlineLevel="0" collapsed="false">
      <c r="A169" s="261" t="str">
        <f aca="false">IFERROR(__xludf.dummyfunction("""COMPUTED_VALUE"""),"Ariados")</f>
        <v>Ariados</v>
      </c>
      <c r="B169" s="365"/>
      <c r="C169" s="365"/>
      <c r="D169" s="364"/>
      <c r="E169" s="364"/>
      <c r="F169" s="364"/>
      <c r="G169" s="364"/>
      <c r="H169" s="364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/>
    </row>
    <row r="170" customFormat="false" ht="15.75" hidden="false" customHeight="false" outlineLevel="0" collapsed="false">
      <c r="A170" s="261" t="str">
        <f aca="false">IFERROR(__xludf.dummyfunction("""COMPUTED_VALUE"""),"Crobat")</f>
        <v>Crobat</v>
      </c>
      <c r="B170" s="365"/>
      <c r="C170" s="365"/>
      <c r="D170" s="364"/>
      <c r="E170" s="364"/>
      <c r="F170" s="364"/>
      <c r="G170" s="364"/>
      <c r="H170" s="364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/>
    </row>
    <row r="171" customFormat="false" ht="15.75" hidden="false" customHeight="false" outlineLevel="0" collapsed="false">
      <c r="A171" s="261" t="str">
        <f aca="false">IFERROR(__xludf.dummyfunction("""COMPUTED_VALUE"""),"Chinchou")</f>
        <v>Chinchou</v>
      </c>
      <c r="B171" s="365"/>
      <c r="C171" s="365"/>
      <c r="D171" s="364"/>
      <c r="E171" s="364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/>
    </row>
    <row r="172" customFormat="false" ht="15.75" hidden="false" customHeight="false" outlineLevel="0" collapsed="false">
      <c r="A172" s="261" t="str">
        <f aca="false">IFERROR(__xludf.dummyfunction("""COMPUTED_VALUE"""),"Lanturn")</f>
        <v>Lanturn</v>
      </c>
      <c r="B172" s="365"/>
      <c r="C172" s="365"/>
      <c r="D172" s="364"/>
      <c r="E172" s="364"/>
      <c r="F172" s="364"/>
      <c r="G172" s="364"/>
      <c r="H172" s="364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/>
    </row>
    <row r="173" customFormat="false" ht="15.75" hidden="false" customHeight="false" outlineLevel="0" collapsed="false">
      <c r="A173" s="261" t="str">
        <f aca="false">IFERROR(__xludf.dummyfunction("""COMPUTED_VALUE"""),"Pichu")</f>
        <v>Pichu</v>
      </c>
      <c r="B173" s="365"/>
      <c r="C173" s="365"/>
      <c r="D173" s="364"/>
      <c r="E173" s="364"/>
      <c r="F173" s="364"/>
      <c r="G173" s="364"/>
      <c r="H173" s="364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/>
    </row>
    <row r="174" customFormat="false" ht="15.75" hidden="false" customHeight="false" outlineLevel="0" collapsed="false">
      <c r="A174" s="261" t="str">
        <f aca="false">IFERROR(__xludf.dummyfunction("""COMPUTED_VALUE"""),"Cleffa")</f>
        <v>Cleffa</v>
      </c>
      <c r="B174" s="365"/>
      <c r="C174" s="365"/>
      <c r="D174" s="364"/>
      <c r="E174" s="364"/>
      <c r="F174" s="364"/>
      <c r="G174" s="364"/>
      <c r="H174" s="364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/>
    </row>
    <row r="175" customFormat="false" ht="15.75" hidden="false" customHeight="false" outlineLevel="0" collapsed="false">
      <c r="A175" s="261" t="str">
        <f aca="false">IFERROR(__xludf.dummyfunction("""COMPUTED_VALUE"""),"Igglybuff")</f>
        <v>Igglybuff</v>
      </c>
      <c r="B175" s="365"/>
      <c r="C175" s="365"/>
      <c r="D175" s="364"/>
      <c r="E175" s="364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/>
    </row>
    <row r="176" customFormat="false" ht="15.75" hidden="false" customHeight="false" outlineLevel="0" collapsed="false">
      <c r="A176" s="261" t="str">
        <f aca="false">IFERROR(__xludf.dummyfunction("""COMPUTED_VALUE"""),"Togepi")</f>
        <v>Togepi</v>
      </c>
      <c r="B176" s="365"/>
      <c r="C176" s="365"/>
      <c r="D176" s="364"/>
      <c r="E176" s="364"/>
      <c r="F176" s="364"/>
      <c r="G176" s="364"/>
      <c r="H176" s="364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/>
    </row>
    <row r="177" customFormat="false" ht="15.75" hidden="false" customHeight="false" outlineLevel="0" collapsed="false">
      <c r="A177" s="261" t="str">
        <f aca="false">IFERROR(__xludf.dummyfunction("""COMPUTED_VALUE"""),"Togetic")</f>
        <v>Togetic</v>
      </c>
      <c r="B177" s="365"/>
      <c r="C177" s="365"/>
      <c r="D177" s="364"/>
      <c r="E177" s="364"/>
      <c r="F177" s="364"/>
      <c r="G177" s="364"/>
      <c r="H177" s="364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/>
    </row>
    <row r="178" customFormat="false" ht="15.75" hidden="false" customHeight="false" outlineLevel="0" collapsed="false">
      <c r="A178" s="261" t="str">
        <f aca="false">IFERROR(__xludf.dummyfunction("""COMPUTED_VALUE"""),"Natu")</f>
        <v>Natu</v>
      </c>
      <c r="B178" s="365"/>
      <c r="C178" s="365"/>
      <c r="D178" s="364"/>
      <c r="E178" s="364"/>
      <c r="F178" s="364"/>
      <c r="G178" s="364"/>
      <c r="H178" s="364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/>
    </row>
    <row r="179" customFormat="false" ht="15.75" hidden="false" customHeight="false" outlineLevel="0" collapsed="false">
      <c r="A179" s="261" t="str">
        <f aca="false">IFERROR(__xludf.dummyfunction("""COMPUTED_VALUE"""),"Xatu")</f>
        <v>Xatu</v>
      </c>
      <c r="B179" s="365"/>
      <c r="C179" s="365"/>
      <c r="D179" s="364"/>
      <c r="E179" s="364"/>
      <c r="F179" s="364"/>
      <c r="G179" s="364"/>
      <c r="H179" s="364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/>
    </row>
    <row r="180" customFormat="false" ht="15.75" hidden="false" customHeight="false" outlineLevel="0" collapsed="false">
      <c r="A180" s="261" t="str">
        <f aca="false">IFERROR(__xludf.dummyfunction("""COMPUTED_VALUE"""),"Mareep")</f>
        <v>Mareep</v>
      </c>
      <c r="B180" s="365"/>
      <c r="C180" s="365"/>
      <c r="D180" s="364"/>
      <c r="E180" s="364"/>
      <c r="F180" s="364"/>
      <c r="G180" s="364"/>
      <c r="H180" s="364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/>
    </row>
    <row r="181" customFormat="false" ht="15.75" hidden="false" customHeight="false" outlineLevel="0" collapsed="false">
      <c r="A181" s="261" t="str">
        <f aca="false">IFERROR(__xludf.dummyfunction("""COMPUTED_VALUE"""),"Flaaffy")</f>
        <v>Flaaffy</v>
      </c>
      <c r="B181" s="365"/>
      <c r="C181" s="365"/>
      <c r="D181" s="364"/>
      <c r="E181" s="364"/>
      <c r="F181" s="364"/>
      <c r="G181" s="364"/>
      <c r="H181" s="364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/>
    </row>
    <row r="182" customFormat="false" ht="15.75" hidden="false" customHeight="false" outlineLevel="0" collapsed="false">
      <c r="A182" s="261" t="str">
        <f aca="false">IFERROR(__xludf.dummyfunction("""COMPUTED_VALUE"""),"Ampharos")</f>
        <v>Ampharos</v>
      </c>
      <c r="B182" s="365"/>
      <c r="C182" s="365"/>
      <c r="D182" s="364"/>
      <c r="E182" s="364"/>
      <c r="F182" s="364"/>
      <c r="G182" s="364"/>
      <c r="H182" s="364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/>
    </row>
    <row r="183" customFormat="false" ht="15.75" hidden="false" customHeight="false" outlineLevel="0" collapsed="false">
      <c r="A183" s="261" t="str">
        <f aca="false">IFERROR(__xludf.dummyfunction("""COMPUTED_VALUE"""),"Bellossom")</f>
        <v>Bellossom</v>
      </c>
      <c r="B183" s="365"/>
      <c r="C183" s="365"/>
      <c r="D183" s="364"/>
      <c r="E183" s="364"/>
      <c r="F183" s="364"/>
      <c r="G183" s="364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/>
    </row>
    <row r="184" customFormat="false" ht="15.75" hidden="false" customHeight="false" outlineLevel="0" collapsed="false">
      <c r="A184" s="261" t="str">
        <f aca="false">IFERROR(__xludf.dummyfunction("""COMPUTED_VALUE"""),"Marill")</f>
        <v>Marill</v>
      </c>
      <c r="B184" s="365"/>
      <c r="C184" s="365"/>
      <c r="D184" s="364"/>
      <c r="E184" s="364"/>
      <c r="F184" s="364"/>
      <c r="G184" s="364"/>
      <c r="H184" s="364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/>
    </row>
    <row r="185" customFormat="false" ht="15.75" hidden="false" customHeight="false" outlineLevel="0" collapsed="false">
      <c r="A185" s="261" t="str">
        <f aca="false">IFERROR(__xludf.dummyfunction("""COMPUTED_VALUE"""),"Azumarill")</f>
        <v>Azumarill</v>
      </c>
      <c r="B185" s="365"/>
      <c r="C185" s="365"/>
      <c r="D185" s="364"/>
      <c r="E185" s="364"/>
      <c r="F185" s="364"/>
      <c r="G185" s="364"/>
      <c r="H185" s="364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/>
    </row>
    <row r="186" customFormat="false" ht="15.75" hidden="false" customHeight="false" outlineLevel="0" collapsed="false">
      <c r="A186" s="261" t="str">
        <f aca="false">IFERROR(__xludf.dummyfunction("""COMPUTED_VALUE"""),"Sudowoodo")</f>
        <v>Sudowoodo</v>
      </c>
      <c r="B186" s="365"/>
      <c r="C186" s="365"/>
      <c r="D186" s="364"/>
      <c r="E186" s="364"/>
      <c r="F186" s="364"/>
      <c r="G186" s="364"/>
      <c r="H186" s="364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/>
    </row>
    <row r="187" customFormat="false" ht="15.75" hidden="false" customHeight="false" outlineLevel="0" collapsed="false">
      <c r="A187" s="261" t="str">
        <f aca="false">IFERROR(__xludf.dummyfunction("""COMPUTED_VALUE"""),"Politoed")</f>
        <v>Politoed</v>
      </c>
      <c r="B187" s="365"/>
      <c r="C187" s="365"/>
      <c r="D187" s="364"/>
      <c r="E187" s="364"/>
      <c r="F187" s="364"/>
      <c r="G187" s="364"/>
      <c r="H187" s="364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/>
    </row>
    <row r="188" customFormat="false" ht="15.75" hidden="false" customHeight="false" outlineLevel="0" collapsed="false">
      <c r="A188" s="261" t="str">
        <f aca="false">IFERROR(__xludf.dummyfunction("""COMPUTED_VALUE"""),"Hoppip")</f>
        <v>Hoppip</v>
      </c>
      <c r="B188" s="365"/>
      <c r="C188" s="365"/>
      <c r="D188" s="364"/>
      <c r="E188" s="364"/>
      <c r="F188" s="364"/>
      <c r="G188" s="364"/>
      <c r="H188" s="364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/>
    </row>
    <row r="189" customFormat="false" ht="15.75" hidden="false" customHeight="false" outlineLevel="0" collapsed="false">
      <c r="A189" s="261" t="str">
        <f aca="false">IFERROR(__xludf.dummyfunction("""COMPUTED_VALUE"""),"Skiploom")</f>
        <v>Skiploom</v>
      </c>
      <c r="B189" s="365"/>
      <c r="C189" s="365"/>
      <c r="D189" s="364"/>
      <c r="E189" s="364"/>
      <c r="F189" s="364"/>
      <c r="G189" s="364"/>
      <c r="H189" s="364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/>
    </row>
    <row r="190" customFormat="false" ht="15.75" hidden="false" customHeight="false" outlineLevel="0" collapsed="false">
      <c r="A190" s="261" t="str">
        <f aca="false">IFERROR(__xludf.dummyfunction("""COMPUTED_VALUE"""),"Jumpluff")</f>
        <v>Jumpluff</v>
      </c>
      <c r="B190" s="365"/>
      <c r="C190" s="365"/>
      <c r="D190" s="364"/>
      <c r="E190" s="364"/>
      <c r="F190" s="364"/>
      <c r="G190" s="364"/>
      <c r="H190" s="364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/>
    </row>
    <row r="191" customFormat="false" ht="15.75" hidden="false" customHeight="false" outlineLevel="0" collapsed="false">
      <c r="A191" s="261" t="str">
        <f aca="false">IFERROR(__xludf.dummyfunction("""COMPUTED_VALUE"""),"Aipom")</f>
        <v>Aipom</v>
      </c>
      <c r="B191" s="365"/>
      <c r="C191" s="365"/>
      <c r="D191" s="364"/>
      <c r="E191" s="364"/>
      <c r="F191" s="364"/>
      <c r="G191" s="364"/>
      <c r="H191" s="364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/>
    </row>
    <row r="192" customFormat="false" ht="15.75" hidden="false" customHeight="false" outlineLevel="0" collapsed="false">
      <c r="A192" s="261" t="str">
        <f aca="false">IFERROR(__xludf.dummyfunction("""COMPUTED_VALUE"""),"Sunkern")</f>
        <v>Sunkern</v>
      </c>
      <c r="B192" s="365"/>
      <c r="C192" s="365"/>
      <c r="D192" s="364"/>
      <c r="E192" s="364"/>
      <c r="F192" s="364"/>
      <c r="G192" s="364"/>
      <c r="H192" s="364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/>
    </row>
    <row r="193" customFormat="false" ht="15.75" hidden="false" customHeight="false" outlineLevel="0" collapsed="false">
      <c r="A193" s="261" t="str">
        <f aca="false">IFERROR(__xludf.dummyfunction("""COMPUTED_VALUE"""),"Sunflora")</f>
        <v>Sunflora</v>
      </c>
      <c r="B193" s="365"/>
      <c r="C193" s="365"/>
      <c r="D193" s="364"/>
      <c r="E193" s="364"/>
      <c r="F193" s="364"/>
      <c r="G193" s="364"/>
      <c r="H193" s="364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/>
    </row>
    <row r="194" customFormat="false" ht="15.75" hidden="false" customHeight="false" outlineLevel="0" collapsed="false">
      <c r="A194" s="261" t="str">
        <f aca="false">IFERROR(__xludf.dummyfunction("""COMPUTED_VALUE"""),"Yanma")</f>
        <v>Yanma</v>
      </c>
      <c r="B194" s="365"/>
      <c r="C194" s="365"/>
      <c r="D194" s="364"/>
      <c r="E194" s="364"/>
      <c r="F194" s="364"/>
      <c r="G194" s="364"/>
      <c r="H194" s="364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/>
    </row>
    <row r="195" customFormat="false" ht="15.75" hidden="false" customHeight="false" outlineLevel="0" collapsed="false">
      <c r="A195" s="261" t="str">
        <f aca="false">IFERROR(__xludf.dummyfunction("""COMPUTED_VALUE"""),"Wooper")</f>
        <v>Wooper</v>
      </c>
      <c r="B195" s="365"/>
      <c r="C195" s="365"/>
      <c r="D195" s="364"/>
      <c r="E195" s="364"/>
      <c r="F195" s="364"/>
      <c r="G195" s="364"/>
      <c r="H195" s="364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/>
    </row>
    <row r="196" customFormat="false" ht="15.75" hidden="false" customHeight="false" outlineLevel="0" collapsed="false">
      <c r="A196" s="261" t="str">
        <f aca="false">IFERROR(__xludf.dummyfunction("""COMPUTED_VALUE"""),"Quagsire")</f>
        <v>Quagsire</v>
      </c>
      <c r="B196" s="365"/>
      <c r="C196" s="365"/>
      <c r="D196" s="364"/>
      <c r="E196" s="364"/>
      <c r="F196" s="364"/>
      <c r="G196" s="364"/>
      <c r="H196" s="364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/>
    </row>
    <row r="197" customFormat="false" ht="15.75" hidden="false" customHeight="false" outlineLevel="0" collapsed="false">
      <c r="A197" s="261" t="str">
        <f aca="false">IFERROR(__xludf.dummyfunction("""COMPUTED_VALUE"""),"Espeon")</f>
        <v>Espeon</v>
      </c>
      <c r="B197" s="365"/>
      <c r="C197" s="365"/>
      <c r="D197" s="364"/>
      <c r="E197" s="364"/>
      <c r="F197" s="364"/>
      <c r="G197" s="364"/>
      <c r="H197" s="364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/>
    </row>
    <row r="198" customFormat="false" ht="15.75" hidden="false" customHeight="false" outlineLevel="0" collapsed="false">
      <c r="A198" s="261" t="str">
        <f aca="false">IFERROR(__xludf.dummyfunction("""COMPUTED_VALUE"""),"Umbreon")</f>
        <v>Umbreon</v>
      </c>
      <c r="B198" s="365"/>
      <c r="C198" s="365"/>
      <c r="D198" s="364"/>
      <c r="E198" s="364"/>
      <c r="F198" s="364"/>
      <c r="G198" s="364"/>
      <c r="H198" s="364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/>
    </row>
    <row r="199" customFormat="false" ht="15.75" hidden="false" customHeight="false" outlineLevel="0" collapsed="false">
      <c r="A199" s="261" t="str">
        <f aca="false">IFERROR(__xludf.dummyfunction("""COMPUTED_VALUE"""),"Murkrow")</f>
        <v>Murkrow</v>
      </c>
      <c r="B199" s="365"/>
      <c r="C199" s="365"/>
      <c r="D199" s="364"/>
      <c r="E199" s="364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/>
    </row>
    <row r="200" customFormat="false" ht="15.75" hidden="false" customHeight="false" outlineLevel="0" collapsed="false">
      <c r="A200" s="261" t="str">
        <f aca="false">IFERROR(__xludf.dummyfunction("""COMPUTED_VALUE"""),"Slowking")</f>
        <v>Slowking</v>
      </c>
      <c r="B200" s="365"/>
      <c r="C200" s="365"/>
      <c r="D200" s="364"/>
      <c r="E200" s="364"/>
      <c r="F200" s="364"/>
      <c r="G200" s="364"/>
      <c r="H200" s="364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/>
    </row>
    <row r="201" customFormat="false" ht="15.75" hidden="false" customHeight="false" outlineLevel="0" collapsed="false">
      <c r="A201" s="261" t="str">
        <f aca="false">IFERROR(__xludf.dummyfunction("""COMPUTED_VALUE"""),"Misdreavus")</f>
        <v>Misdreavus</v>
      </c>
      <c r="B201" s="365"/>
      <c r="C201" s="365"/>
      <c r="D201" s="364"/>
      <c r="E201" s="364"/>
      <c r="F201" s="364"/>
      <c r="G201" s="364"/>
      <c r="H201" s="364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/>
    </row>
    <row r="202" customFormat="false" ht="15.75" hidden="false" customHeight="false" outlineLevel="0" collapsed="false">
      <c r="A202" s="261" t="str">
        <f aca="false">IFERROR(__xludf.dummyfunction("""COMPUTED_VALUE"""),"Unown")</f>
        <v>Unown</v>
      </c>
      <c r="B202" s="365"/>
      <c r="C202" s="365"/>
      <c r="D202" s="364"/>
      <c r="E202" s="364"/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/>
    </row>
    <row r="203" customFormat="false" ht="15.75" hidden="false" customHeight="false" outlineLevel="0" collapsed="false">
      <c r="A203" s="261" t="str">
        <f aca="false">IFERROR(__xludf.dummyfunction("""COMPUTED_VALUE"""),"Wobbuffet")</f>
        <v>Wobbuffet</v>
      </c>
      <c r="B203" s="365"/>
      <c r="C203" s="365"/>
      <c r="D203" s="364"/>
      <c r="E203" s="364"/>
      <c r="F203" s="364"/>
      <c r="G203" s="364"/>
      <c r="H203" s="364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/>
    </row>
    <row r="204" customFormat="false" ht="15.75" hidden="false" customHeight="false" outlineLevel="0" collapsed="false">
      <c r="A204" s="261" t="str">
        <f aca="false">IFERROR(__xludf.dummyfunction("""COMPUTED_VALUE"""),"Girafarig")</f>
        <v>Girafarig</v>
      </c>
      <c r="B204" s="365"/>
      <c r="C204" s="365"/>
      <c r="D204" s="364"/>
      <c r="E204" s="364"/>
      <c r="F204" s="364"/>
      <c r="G204" s="364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/>
    </row>
    <row r="205" customFormat="false" ht="15.75" hidden="false" customHeight="false" outlineLevel="0" collapsed="false">
      <c r="A205" s="261" t="str">
        <f aca="false">IFERROR(__xludf.dummyfunction("""COMPUTED_VALUE"""),"Pineco")</f>
        <v>Pineco</v>
      </c>
      <c r="B205" s="365"/>
      <c r="C205" s="365"/>
      <c r="D205" s="364"/>
      <c r="E205" s="364"/>
      <c r="F205" s="364"/>
      <c r="G205" s="364"/>
      <c r="H205" s="364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/>
    </row>
    <row r="206" customFormat="false" ht="15.75" hidden="false" customHeight="false" outlineLevel="0" collapsed="false">
      <c r="A206" s="261" t="str">
        <f aca="false">IFERROR(__xludf.dummyfunction("""COMPUTED_VALUE"""),"Forretress")</f>
        <v>Forretress</v>
      </c>
      <c r="B206" s="365"/>
      <c r="C206" s="365"/>
      <c r="D206" s="364"/>
      <c r="E206" s="364"/>
      <c r="F206" s="364"/>
      <c r="G206" s="364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/>
    </row>
    <row r="207" customFormat="false" ht="15.75" hidden="false" customHeight="false" outlineLevel="0" collapsed="false">
      <c r="A207" s="261" t="str">
        <f aca="false">IFERROR(__xludf.dummyfunction("""COMPUTED_VALUE"""),"Dunsparce")</f>
        <v>Dunsparce</v>
      </c>
      <c r="B207" s="365"/>
      <c r="C207" s="365"/>
      <c r="D207" s="364"/>
      <c r="E207" s="364"/>
      <c r="F207" s="364"/>
      <c r="G207" s="364"/>
      <c r="H207" s="364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/>
    </row>
    <row r="208" customFormat="false" ht="15.75" hidden="false" customHeight="false" outlineLevel="0" collapsed="false">
      <c r="A208" s="261" t="str">
        <f aca="false">IFERROR(__xludf.dummyfunction("""COMPUTED_VALUE"""),"Gligar")</f>
        <v>Gligar</v>
      </c>
      <c r="B208" s="365"/>
      <c r="C208" s="365"/>
      <c r="D208" s="364"/>
      <c r="E208" s="364"/>
      <c r="F208" s="364"/>
      <c r="G208" s="364"/>
      <c r="H208" s="364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/>
    </row>
    <row r="209" customFormat="false" ht="15.75" hidden="false" customHeight="false" outlineLevel="0" collapsed="false">
      <c r="A209" s="261" t="str">
        <f aca="false">IFERROR(__xludf.dummyfunction("""COMPUTED_VALUE"""),"Steelix")</f>
        <v>Steelix</v>
      </c>
      <c r="B209" s="365"/>
      <c r="C209" s="365"/>
      <c r="D209" s="364"/>
      <c r="E209" s="364"/>
      <c r="F209" s="364"/>
      <c r="G209" s="364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/>
    </row>
    <row r="210" customFormat="false" ht="15.75" hidden="false" customHeight="false" outlineLevel="0" collapsed="false">
      <c r="A210" s="261" t="str">
        <f aca="false">IFERROR(__xludf.dummyfunction("""COMPUTED_VALUE"""),"Snubbull")</f>
        <v>Snubbull</v>
      </c>
      <c r="B210" s="365"/>
      <c r="C210" s="365"/>
      <c r="D210" s="364"/>
      <c r="E210" s="364"/>
      <c r="F210" s="364"/>
      <c r="G210" s="364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/>
    </row>
    <row r="211" customFormat="false" ht="15.75" hidden="false" customHeight="false" outlineLevel="0" collapsed="false">
      <c r="A211" s="261" t="str">
        <f aca="false">IFERROR(__xludf.dummyfunction("""COMPUTED_VALUE"""),"Granbull")</f>
        <v>Granbull</v>
      </c>
      <c r="B211" s="365"/>
      <c r="C211" s="365"/>
      <c r="D211" s="364"/>
      <c r="E211" s="364"/>
      <c r="F211" s="364"/>
      <c r="G211" s="364"/>
      <c r="H211" s="364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/>
    </row>
    <row r="212" customFormat="false" ht="15.75" hidden="false" customHeight="false" outlineLevel="0" collapsed="false">
      <c r="A212" s="261" t="str">
        <f aca="false">IFERROR(__xludf.dummyfunction("""COMPUTED_VALUE"""),"Qwilfish")</f>
        <v>Qwilfish</v>
      </c>
      <c r="B212" s="365"/>
      <c r="C212" s="365"/>
      <c r="D212" s="364"/>
      <c r="E212" s="364"/>
      <c r="F212" s="364"/>
      <c r="G212" s="364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/>
    </row>
    <row r="213" customFormat="false" ht="15.75" hidden="false" customHeight="false" outlineLevel="0" collapsed="false">
      <c r="A213" s="261" t="str">
        <f aca="false">IFERROR(__xludf.dummyfunction("""COMPUTED_VALUE"""),"Scizor")</f>
        <v>Scizor</v>
      </c>
      <c r="B213" s="365"/>
      <c r="C213" s="365"/>
      <c r="D213" s="364"/>
      <c r="E213" s="364"/>
      <c r="F213" s="364"/>
      <c r="G213" s="364"/>
      <c r="H213" s="364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/>
    </row>
    <row r="214" customFormat="false" ht="15.75" hidden="false" customHeight="false" outlineLevel="0" collapsed="false">
      <c r="A214" s="261" t="str">
        <f aca="false">IFERROR(__xludf.dummyfunction("""COMPUTED_VALUE"""),"Shuckle")</f>
        <v>Shuckle</v>
      </c>
      <c r="B214" s="365"/>
      <c r="C214" s="365"/>
      <c r="D214" s="364"/>
      <c r="E214" s="364"/>
      <c r="F214" s="364"/>
      <c r="G214" s="364"/>
      <c r="H214" s="364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/>
    </row>
    <row r="215" customFormat="false" ht="15.75" hidden="false" customHeight="false" outlineLevel="0" collapsed="false">
      <c r="A215" s="261" t="str">
        <f aca="false">IFERROR(__xludf.dummyfunction("""COMPUTED_VALUE"""),"Heracross")</f>
        <v>Heracross</v>
      </c>
      <c r="B215" s="365"/>
      <c r="C215" s="365"/>
      <c r="D215" s="364"/>
      <c r="E215" s="364"/>
      <c r="F215" s="364"/>
      <c r="G215" s="364"/>
      <c r="H215" s="364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/>
    </row>
    <row r="216" customFormat="false" ht="15.75" hidden="false" customHeight="false" outlineLevel="0" collapsed="false">
      <c r="A216" s="261" t="str">
        <f aca="false">IFERROR(__xludf.dummyfunction("""COMPUTED_VALUE"""),"Sneasel")</f>
        <v>Sneasel</v>
      </c>
      <c r="B216" s="365"/>
      <c r="C216" s="365"/>
      <c r="D216" s="364"/>
      <c r="E216" s="364"/>
      <c r="F216" s="364"/>
      <c r="G216" s="364"/>
      <c r="H216" s="364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/>
    </row>
    <row r="217" customFormat="false" ht="15.75" hidden="false" customHeight="false" outlineLevel="0" collapsed="false">
      <c r="A217" s="261" t="str">
        <f aca="false">IFERROR(__xludf.dummyfunction("""COMPUTED_VALUE"""),"Teddiursa")</f>
        <v>Teddiursa</v>
      </c>
      <c r="B217" s="365"/>
      <c r="C217" s="365"/>
      <c r="D217" s="364"/>
      <c r="E217" s="364"/>
      <c r="F217" s="364"/>
      <c r="G217" s="364"/>
      <c r="H217" s="364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/>
    </row>
    <row r="218" customFormat="false" ht="15.75" hidden="false" customHeight="false" outlineLevel="0" collapsed="false">
      <c r="A218" s="261" t="str">
        <f aca="false">IFERROR(__xludf.dummyfunction("""COMPUTED_VALUE"""),"Ursaring")</f>
        <v>Ursaring</v>
      </c>
      <c r="B218" s="365"/>
      <c r="C218" s="365"/>
      <c r="D218" s="364"/>
      <c r="E218" s="364"/>
      <c r="F218" s="364"/>
      <c r="G218" s="364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/>
    </row>
    <row r="219" customFormat="false" ht="15.75" hidden="false" customHeight="false" outlineLevel="0" collapsed="false">
      <c r="A219" s="261" t="str">
        <f aca="false">IFERROR(__xludf.dummyfunction("""COMPUTED_VALUE"""),"Slugma")</f>
        <v>Slugma</v>
      </c>
      <c r="B219" s="365"/>
      <c r="C219" s="365"/>
      <c r="D219" s="364"/>
      <c r="E219" s="364"/>
      <c r="F219" s="364"/>
      <c r="G219" s="364"/>
      <c r="H219" s="364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/>
    </row>
    <row r="220" customFormat="false" ht="15.75" hidden="false" customHeight="false" outlineLevel="0" collapsed="false">
      <c r="A220" s="261" t="str">
        <f aca="false">IFERROR(__xludf.dummyfunction("""COMPUTED_VALUE"""),"Magcargo")</f>
        <v>Magcargo</v>
      </c>
      <c r="B220" s="365"/>
      <c r="C220" s="365"/>
      <c r="D220" s="364"/>
      <c r="E220" s="364"/>
      <c r="F220" s="364"/>
      <c r="G220" s="364"/>
      <c r="H220" s="364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/>
    </row>
    <row r="221" customFormat="false" ht="15.75" hidden="false" customHeight="false" outlineLevel="0" collapsed="false">
      <c r="A221" s="261" t="str">
        <f aca="false">IFERROR(__xludf.dummyfunction("""COMPUTED_VALUE"""),"Swinub")</f>
        <v>Swinub</v>
      </c>
      <c r="B221" s="365"/>
      <c r="C221" s="365"/>
      <c r="D221" s="364"/>
      <c r="E221" s="364"/>
      <c r="F221" s="364"/>
      <c r="G221" s="364"/>
      <c r="H221" s="364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/>
    </row>
    <row r="222" customFormat="false" ht="15.75" hidden="false" customHeight="false" outlineLevel="0" collapsed="false">
      <c r="A222" s="261" t="str">
        <f aca="false">IFERROR(__xludf.dummyfunction("""COMPUTED_VALUE"""),"Piloswine")</f>
        <v>Piloswine</v>
      </c>
      <c r="B222" s="365"/>
      <c r="C222" s="365"/>
      <c r="D222" s="364"/>
      <c r="E222" s="364"/>
      <c r="F222" s="364"/>
      <c r="G222" s="364"/>
      <c r="H222" s="364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/>
    </row>
    <row r="223" customFormat="false" ht="15.75" hidden="false" customHeight="false" outlineLevel="0" collapsed="false">
      <c r="A223" s="261" t="str">
        <f aca="false">IFERROR(__xludf.dummyfunction("""COMPUTED_VALUE"""),"Corsola")</f>
        <v>Corsola</v>
      </c>
      <c r="B223" s="365"/>
      <c r="C223" s="365"/>
      <c r="D223" s="364"/>
      <c r="E223" s="364"/>
      <c r="F223" s="364"/>
      <c r="G223" s="364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/>
    </row>
    <row r="224" customFormat="false" ht="15.75" hidden="false" customHeight="false" outlineLevel="0" collapsed="false">
      <c r="A224" s="261" t="str">
        <f aca="false">IFERROR(__xludf.dummyfunction("""COMPUTED_VALUE"""),"Remoraid")</f>
        <v>Remoraid</v>
      </c>
      <c r="B224" s="365"/>
      <c r="C224" s="365"/>
      <c r="D224" s="364"/>
      <c r="E224" s="364"/>
      <c r="F224" s="364"/>
      <c r="G224" s="364"/>
      <c r="H224" s="364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/>
    </row>
    <row r="225" customFormat="false" ht="15.75" hidden="false" customHeight="false" outlineLevel="0" collapsed="false">
      <c r="A225" s="261" t="str">
        <f aca="false">IFERROR(__xludf.dummyfunction("""COMPUTED_VALUE"""),"Octillery")</f>
        <v>Octillery</v>
      </c>
      <c r="B225" s="365"/>
      <c r="C225" s="365"/>
      <c r="D225" s="364"/>
      <c r="E225" s="364"/>
      <c r="F225" s="364"/>
      <c r="G225" s="364"/>
      <c r="H225" s="364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/>
    </row>
    <row r="226" customFormat="false" ht="15.75" hidden="false" customHeight="false" outlineLevel="0" collapsed="false">
      <c r="A226" s="261" t="str">
        <f aca="false">IFERROR(__xludf.dummyfunction("""COMPUTED_VALUE"""),"Delibird")</f>
        <v>Delibird</v>
      </c>
      <c r="B226" s="365"/>
      <c r="C226" s="365"/>
      <c r="D226" s="364"/>
      <c r="E226" s="364"/>
      <c r="F226" s="364"/>
      <c r="G226" s="364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/>
    </row>
    <row r="227" customFormat="false" ht="15.75" hidden="false" customHeight="false" outlineLevel="0" collapsed="false">
      <c r="A227" s="261" t="str">
        <f aca="false">IFERROR(__xludf.dummyfunction("""COMPUTED_VALUE"""),"Mantine")</f>
        <v>Mantine</v>
      </c>
      <c r="B227" s="365"/>
      <c r="C227" s="365"/>
      <c r="D227" s="364"/>
      <c r="E227" s="364"/>
      <c r="F227" s="364"/>
      <c r="G227" s="364"/>
      <c r="H227" s="364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/>
    </row>
    <row r="228" customFormat="false" ht="15.75" hidden="false" customHeight="false" outlineLevel="0" collapsed="false">
      <c r="A228" s="261" t="str">
        <f aca="false">IFERROR(__xludf.dummyfunction("""COMPUTED_VALUE"""),"Skarmory")</f>
        <v>Skarmory</v>
      </c>
      <c r="B228" s="365"/>
      <c r="C228" s="365"/>
      <c r="D228" s="364"/>
      <c r="E228" s="364"/>
      <c r="F228" s="364"/>
      <c r="G228" s="364"/>
      <c r="H228" s="364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/>
    </row>
    <row r="229" customFormat="false" ht="15.75" hidden="false" customHeight="false" outlineLevel="0" collapsed="false">
      <c r="A229" s="261" t="str">
        <f aca="false">IFERROR(__xludf.dummyfunction("""COMPUTED_VALUE"""),"Houndour")</f>
        <v>Houndour</v>
      </c>
      <c r="B229" s="365"/>
      <c r="C229" s="365"/>
      <c r="D229" s="364"/>
      <c r="E229" s="364"/>
      <c r="F229" s="364"/>
      <c r="G229" s="364"/>
      <c r="H229" s="364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/>
    </row>
    <row r="230" customFormat="false" ht="15.75" hidden="false" customHeight="false" outlineLevel="0" collapsed="false">
      <c r="A230" s="261" t="str">
        <f aca="false">IFERROR(__xludf.dummyfunction("""COMPUTED_VALUE"""),"Houndoom")</f>
        <v>Houndoom</v>
      </c>
      <c r="B230" s="365"/>
      <c r="C230" s="365"/>
      <c r="D230" s="364"/>
      <c r="E230" s="364"/>
      <c r="F230" s="364"/>
      <c r="G230" s="364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/>
    </row>
    <row r="231" customFormat="false" ht="15.75" hidden="false" customHeight="false" outlineLevel="0" collapsed="false">
      <c r="A231" s="261" t="str">
        <f aca="false">IFERROR(__xludf.dummyfunction("""COMPUTED_VALUE"""),"Kingdra")</f>
        <v>Kingdra</v>
      </c>
      <c r="B231" s="365"/>
      <c r="C231" s="365"/>
      <c r="D231" s="364"/>
      <c r="E231" s="364"/>
      <c r="F231" s="364"/>
      <c r="G231" s="364"/>
      <c r="H231" s="364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/>
    </row>
    <row r="232" customFormat="false" ht="15.75" hidden="false" customHeight="false" outlineLevel="0" collapsed="false">
      <c r="A232" s="261" t="str">
        <f aca="false">IFERROR(__xludf.dummyfunction("""COMPUTED_VALUE"""),"Phanpy")</f>
        <v>Phanpy</v>
      </c>
      <c r="B232" s="365"/>
      <c r="C232" s="365"/>
      <c r="D232" s="364"/>
      <c r="E232" s="364"/>
      <c r="F232" s="364"/>
      <c r="G232" s="364"/>
      <c r="H232" s="364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/>
    </row>
    <row r="233" customFormat="false" ht="15.75" hidden="false" customHeight="false" outlineLevel="0" collapsed="false">
      <c r="A233" s="261" t="str">
        <f aca="false">IFERROR(__xludf.dummyfunction("""COMPUTED_VALUE"""),"Donphan")</f>
        <v>Donphan</v>
      </c>
      <c r="B233" s="365"/>
      <c r="C233" s="365"/>
      <c r="D233" s="364"/>
      <c r="E233" s="364"/>
      <c r="F233" s="364"/>
      <c r="G233" s="364"/>
      <c r="H233" s="364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/>
    </row>
    <row r="234" customFormat="false" ht="15.75" hidden="false" customHeight="false" outlineLevel="0" collapsed="false">
      <c r="A234" s="261" t="str">
        <f aca="false">IFERROR(__xludf.dummyfunction("""COMPUTED_VALUE"""),"Porygon2")</f>
        <v>Porygon2</v>
      </c>
      <c r="B234" s="365"/>
      <c r="C234" s="365"/>
      <c r="D234" s="364"/>
      <c r="E234" s="364"/>
      <c r="F234" s="364"/>
      <c r="G234" s="364"/>
      <c r="H234" s="364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/>
    </row>
    <row r="235" customFormat="false" ht="15.75" hidden="false" customHeight="false" outlineLevel="0" collapsed="false">
      <c r="A235" s="261" t="str">
        <f aca="false">IFERROR(__xludf.dummyfunction("""COMPUTED_VALUE"""),"Stantler")</f>
        <v>Stantler</v>
      </c>
      <c r="B235" s="365"/>
      <c r="C235" s="365"/>
      <c r="D235" s="364"/>
      <c r="E235" s="364"/>
      <c r="F235" s="364"/>
      <c r="G235" s="364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/>
    </row>
    <row r="236" customFormat="false" ht="15.75" hidden="false" customHeight="false" outlineLevel="0" collapsed="false">
      <c r="A236" s="261" t="str">
        <f aca="false">IFERROR(__xludf.dummyfunction("""COMPUTED_VALUE"""),"Smeargle")</f>
        <v>Smeargle</v>
      </c>
      <c r="B236" s="365"/>
      <c r="C236" s="365"/>
      <c r="D236" s="364"/>
      <c r="E236" s="364"/>
      <c r="F236" s="364"/>
      <c r="G236" s="364"/>
      <c r="H236" s="364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/>
    </row>
    <row r="237" customFormat="false" ht="15.75" hidden="false" customHeight="false" outlineLevel="0" collapsed="false">
      <c r="A237" s="261" t="str">
        <f aca="false">IFERROR(__xludf.dummyfunction("""COMPUTED_VALUE"""),"Tyrogue")</f>
        <v>Tyrogue</v>
      </c>
      <c r="B237" s="365"/>
      <c r="C237" s="365"/>
      <c r="D237" s="364"/>
      <c r="E237" s="364"/>
      <c r="F237" s="364"/>
      <c r="G237" s="364"/>
      <c r="H237" s="364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/>
    </row>
    <row r="238" customFormat="false" ht="15.75" hidden="false" customHeight="false" outlineLevel="0" collapsed="false">
      <c r="A238" s="261" t="str">
        <f aca="false">IFERROR(__xludf.dummyfunction("""COMPUTED_VALUE"""),"Hitmontop")</f>
        <v>Hitmontop</v>
      </c>
      <c r="B238" s="365"/>
      <c r="C238" s="365"/>
      <c r="D238" s="364"/>
      <c r="E238" s="364"/>
      <c r="F238" s="364"/>
      <c r="G238" s="364"/>
      <c r="H238" s="364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/>
    </row>
    <row r="239" customFormat="false" ht="15.75" hidden="false" customHeight="false" outlineLevel="0" collapsed="false">
      <c r="A239" s="261" t="str">
        <f aca="false">IFERROR(__xludf.dummyfunction("""COMPUTED_VALUE"""),"Smoochum")</f>
        <v>Smoochum</v>
      </c>
      <c r="B239" s="365"/>
      <c r="C239" s="365"/>
      <c r="D239" s="364"/>
      <c r="E239" s="364"/>
      <c r="F239" s="364"/>
      <c r="G239" s="364"/>
      <c r="H239" s="364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/>
    </row>
    <row r="240" customFormat="false" ht="15.75" hidden="false" customHeight="false" outlineLevel="0" collapsed="false">
      <c r="A240" s="261" t="str">
        <f aca="false">IFERROR(__xludf.dummyfunction("""COMPUTED_VALUE"""),"Elekid")</f>
        <v>Elekid</v>
      </c>
      <c r="B240" s="365"/>
      <c r="C240" s="365"/>
      <c r="D240" s="364"/>
      <c r="E240" s="364"/>
      <c r="F240" s="364"/>
      <c r="G240" s="364"/>
      <c r="H240" s="364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/>
    </row>
    <row r="241" customFormat="false" ht="15.75" hidden="false" customHeight="false" outlineLevel="0" collapsed="false">
      <c r="A241" s="261" t="str">
        <f aca="false">IFERROR(__xludf.dummyfunction("""COMPUTED_VALUE"""),"Magby")</f>
        <v>Magby</v>
      </c>
      <c r="B241" s="365"/>
      <c r="C241" s="365"/>
      <c r="D241" s="364"/>
      <c r="E241" s="364"/>
      <c r="F241" s="364"/>
      <c r="G241" s="364"/>
      <c r="H241" s="364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/>
    </row>
    <row r="242" customFormat="false" ht="15.75" hidden="false" customHeight="false" outlineLevel="0" collapsed="false">
      <c r="A242" s="261" t="str">
        <f aca="false">IFERROR(__xludf.dummyfunction("""COMPUTED_VALUE"""),"Miltank")</f>
        <v>Miltank</v>
      </c>
      <c r="B242" s="365"/>
      <c r="C242" s="365"/>
      <c r="D242" s="364"/>
      <c r="E242" s="364"/>
      <c r="F242" s="364"/>
      <c r="G242" s="364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/>
    </row>
    <row r="243" customFormat="false" ht="15.75" hidden="false" customHeight="false" outlineLevel="0" collapsed="false">
      <c r="A243" s="261" t="str">
        <f aca="false">IFERROR(__xludf.dummyfunction("""COMPUTED_VALUE"""),"Blissey")</f>
        <v>Blissey</v>
      </c>
      <c r="B243" s="365"/>
      <c r="C243" s="365"/>
      <c r="D243" s="364"/>
      <c r="E243" s="364"/>
      <c r="F243" s="364"/>
      <c r="G243" s="364"/>
      <c r="H243" s="364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/>
    </row>
    <row r="244" customFormat="false" ht="15.75" hidden="false" customHeight="false" outlineLevel="0" collapsed="false">
      <c r="A244" s="261" t="str">
        <f aca="false">IFERROR(__xludf.dummyfunction("""COMPUTED_VALUE"""),"Raikou")</f>
        <v>Raikou</v>
      </c>
      <c r="B244" s="365"/>
      <c r="C244" s="365"/>
      <c r="D244" s="364"/>
      <c r="E244" s="364"/>
      <c r="F244" s="364"/>
      <c r="G244" s="364"/>
      <c r="H244" s="364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/>
    </row>
    <row r="245" customFormat="false" ht="15.75" hidden="false" customHeight="false" outlineLevel="0" collapsed="false">
      <c r="A245" s="261" t="str">
        <f aca="false">IFERROR(__xludf.dummyfunction("""COMPUTED_VALUE"""),"Entei")</f>
        <v>Entei</v>
      </c>
      <c r="B245" s="365"/>
      <c r="C245" s="365"/>
      <c r="D245" s="364"/>
      <c r="E245" s="364"/>
      <c r="F245" s="364"/>
      <c r="G245" s="364"/>
      <c r="H245" s="364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/>
    </row>
    <row r="246" customFormat="false" ht="15.75" hidden="false" customHeight="false" outlineLevel="0" collapsed="false">
      <c r="A246" s="261" t="str">
        <f aca="false">IFERROR(__xludf.dummyfunction("""COMPUTED_VALUE"""),"Suicune")</f>
        <v>Suicune</v>
      </c>
      <c r="B246" s="365"/>
      <c r="C246" s="365"/>
      <c r="D246" s="364"/>
      <c r="E246" s="364"/>
      <c r="F246" s="364"/>
      <c r="G246" s="364"/>
      <c r="H246" s="364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/>
    </row>
    <row r="247" customFormat="false" ht="15.75" hidden="false" customHeight="false" outlineLevel="0" collapsed="false">
      <c r="A247" s="261" t="str">
        <f aca="false">IFERROR(__xludf.dummyfunction("""COMPUTED_VALUE"""),"Larvitar")</f>
        <v>Larvitar</v>
      </c>
      <c r="B247" s="365"/>
      <c r="C247" s="365"/>
      <c r="D247" s="364"/>
      <c r="E247" s="364"/>
      <c r="F247" s="364"/>
      <c r="G247" s="364"/>
      <c r="H247" s="364"/>
      <c r="I247" s="364"/>
      <c r="J247" s="364"/>
      <c r="K247" s="364"/>
      <c r="L247" s="364"/>
      <c r="M247" s="364"/>
      <c r="N247" s="364"/>
      <c r="O247" s="364"/>
      <c r="P247" s="364"/>
      <c r="Q247" s="364"/>
      <c r="R247" s="364"/>
      <c r="S247" s="364"/>
      <c r="T247" s="364"/>
      <c r="U247" s="364"/>
      <c r="V247" s="364"/>
      <c r="W247" s="364"/>
      <c r="X247" s="364"/>
      <c r="Y247" s="364"/>
      <c r="Z247" s="364"/>
      <c r="AA247" s="364"/>
    </row>
    <row r="248" customFormat="false" ht="15.75" hidden="false" customHeight="false" outlineLevel="0" collapsed="false">
      <c r="A248" s="261" t="str">
        <f aca="false">IFERROR(__xludf.dummyfunction("""COMPUTED_VALUE"""),"Pupitar")</f>
        <v>Pupitar</v>
      </c>
      <c r="B248" s="365"/>
      <c r="C248" s="365"/>
      <c r="D248" s="364"/>
      <c r="E248" s="364"/>
      <c r="F248" s="364"/>
      <c r="G248" s="364"/>
      <c r="H248" s="364"/>
      <c r="I248" s="364"/>
      <c r="J248" s="364"/>
      <c r="K248" s="364"/>
      <c r="L248" s="364"/>
      <c r="M248" s="364"/>
      <c r="N248" s="364"/>
      <c r="O248" s="364"/>
      <c r="P248" s="364"/>
      <c r="Q248" s="364"/>
      <c r="R248" s="364"/>
      <c r="S248" s="364"/>
      <c r="T248" s="364"/>
      <c r="U248" s="364"/>
      <c r="V248" s="364"/>
      <c r="W248" s="364"/>
      <c r="X248" s="364"/>
      <c r="Y248" s="364"/>
      <c r="Z248" s="364"/>
      <c r="AA248" s="364"/>
    </row>
    <row r="249" customFormat="false" ht="15.75" hidden="false" customHeight="false" outlineLevel="0" collapsed="false">
      <c r="A249" s="261" t="str">
        <f aca="false">IFERROR(__xludf.dummyfunction("""COMPUTED_VALUE"""),"Tyranitar")</f>
        <v>Tyranitar</v>
      </c>
      <c r="B249" s="365"/>
      <c r="C249" s="365"/>
      <c r="D249" s="364"/>
      <c r="E249" s="364"/>
      <c r="F249" s="364"/>
      <c r="G249" s="364"/>
      <c r="H249" s="364"/>
      <c r="I249" s="364"/>
      <c r="J249" s="364"/>
      <c r="K249" s="364"/>
      <c r="L249" s="364"/>
      <c r="M249" s="364"/>
      <c r="N249" s="364"/>
      <c r="O249" s="364"/>
      <c r="P249" s="364"/>
      <c r="Q249" s="364"/>
      <c r="R249" s="364"/>
      <c r="S249" s="364"/>
      <c r="T249" s="364"/>
      <c r="U249" s="364"/>
      <c r="V249" s="364"/>
      <c r="W249" s="364"/>
      <c r="X249" s="364"/>
      <c r="Y249" s="364"/>
      <c r="Z249" s="364"/>
      <c r="AA249" s="364"/>
    </row>
    <row r="250" customFormat="false" ht="15.75" hidden="false" customHeight="false" outlineLevel="0" collapsed="false">
      <c r="A250" s="261" t="str">
        <f aca="false">IFERROR(__xludf.dummyfunction("""COMPUTED_VALUE"""),"Lugia")</f>
        <v>Lugia</v>
      </c>
      <c r="B250" s="365"/>
      <c r="C250" s="365"/>
      <c r="D250" s="364"/>
      <c r="E250" s="364"/>
      <c r="F250" s="364"/>
      <c r="G250" s="364"/>
      <c r="H250" s="364"/>
      <c r="I250" s="364"/>
      <c r="J250" s="364"/>
      <c r="K250" s="364"/>
      <c r="L250" s="364"/>
      <c r="M250" s="364"/>
      <c r="N250" s="364"/>
      <c r="O250" s="364"/>
      <c r="P250" s="364"/>
      <c r="Q250" s="364"/>
      <c r="R250" s="364"/>
      <c r="S250" s="364"/>
      <c r="T250" s="364"/>
      <c r="U250" s="364"/>
      <c r="V250" s="364"/>
      <c r="W250" s="364"/>
      <c r="X250" s="364"/>
      <c r="Y250" s="364"/>
      <c r="Z250" s="364"/>
      <c r="AA250" s="364"/>
    </row>
    <row r="251" customFormat="false" ht="15.75" hidden="false" customHeight="false" outlineLevel="0" collapsed="false">
      <c r="A251" s="261" t="str">
        <f aca="false">IFERROR(__xludf.dummyfunction("""COMPUTED_VALUE"""),"Ho-Oh")</f>
        <v>Ho-Oh</v>
      </c>
      <c r="B251" s="365"/>
      <c r="C251" s="365"/>
      <c r="D251" s="364"/>
      <c r="E251" s="364"/>
      <c r="F251" s="364"/>
      <c r="G251" s="364"/>
      <c r="H251" s="364"/>
      <c r="I251" s="364"/>
      <c r="J251" s="364"/>
      <c r="K251" s="364"/>
      <c r="L251" s="364"/>
      <c r="M251" s="364"/>
      <c r="N251" s="364"/>
      <c r="O251" s="364"/>
      <c r="P251" s="364"/>
      <c r="Q251" s="364"/>
      <c r="R251" s="364"/>
      <c r="S251" s="364"/>
      <c r="T251" s="364"/>
      <c r="U251" s="364"/>
      <c r="V251" s="364"/>
      <c r="W251" s="364"/>
      <c r="X251" s="364"/>
      <c r="Y251" s="364"/>
      <c r="Z251" s="364"/>
      <c r="AA251" s="364"/>
    </row>
    <row r="252" customFormat="false" ht="15.75" hidden="false" customHeight="false" outlineLevel="0" collapsed="false">
      <c r="A252" s="261" t="str">
        <f aca="false">IFERROR(__xludf.dummyfunction("""COMPUTED_VALUE"""),"Celebi")</f>
        <v>Celebi</v>
      </c>
      <c r="B252" s="365"/>
      <c r="C252" s="365"/>
      <c r="D252" s="364"/>
      <c r="E252" s="364"/>
      <c r="F252" s="364"/>
      <c r="G252" s="364"/>
      <c r="H252" s="364"/>
      <c r="I252" s="364"/>
      <c r="J252" s="364"/>
      <c r="K252" s="364"/>
      <c r="L252" s="364"/>
      <c r="M252" s="364"/>
      <c r="N252" s="364"/>
      <c r="O252" s="364"/>
      <c r="P252" s="364"/>
      <c r="Q252" s="364"/>
      <c r="R252" s="364"/>
      <c r="S252" s="364"/>
      <c r="T252" s="364"/>
      <c r="U252" s="364"/>
      <c r="V252" s="364"/>
      <c r="W252" s="364"/>
      <c r="X252" s="364"/>
      <c r="Y252" s="364"/>
      <c r="Z252" s="364"/>
      <c r="AA252" s="364"/>
    </row>
    <row r="253" customFormat="false" ht="15.75" hidden="false" customHeight="false" outlineLevel="0" collapsed="false">
      <c r="A253" s="261" t="str">
        <f aca="false">IFERROR(__xludf.dummyfunction("""COMPUTED_VALUE"""),"Treecko")</f>
        <v>Treecko</v>
      </c>
      <c r="B253" s="365"/>
      <c r="C253" s="365"/>
      <c r="D253" s="364"/>
      <c r="E253" s="364"/>
      <c r="F253" s="364"/>
      <c r="G253" s="364"/>
      <c r="H253" s="364"/>
      <c r="I253" s="364"/>
      <c r="J253" s="364"/>
      <c r="K253" s="364"/>
      <c r="L253" s="364"/>
      <c r="M253" s="364"/>
      <c r="N253" s="364"/>
      <c r="O253" s="364"/>
      <c r="P253" s="364"/>
      <c r="Q253" s="364"/>
      <c r="R253" s="364"/>
      <c r="S253" s="364"/>
      <c r="T253" s="364"/>
      <c r="U253" s="364"/>
      <c r="V253" s="364"/>
      <c r="W253" s="364"/>
      <c r="X253" s="364"/>
      <c r="Y253" s="364"/>
      <c r="Z253" s="364"/>
      <c r="AA253" s="364"/>
    </row>
    <row r="254" customFormat="false" ht="15.75" hidden="false" customHeight="false" outlineLevel="0" collapsed="false">
      <c r="A254" s="261" t="str">
        <f aca="false">IFERROR(__xludf.dummyfunction("""COMPUTED_VALUE"""),"Grovyle")</f>
        <v>Grovyle</v>
      </c>
      <c r="B254" s="365"/>
      <c r="C254" s="365"/>
      <c r="D254" s="364"/>
      <c r="E254" s="364"/>
      <c r="F254" s="364"/>
      <c r="G254" s="364"/>
      <c r="H254" s="364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4"/>
      <c r="U254" s="364"/>
      <c r="V254" s="364"/>
      <c r="W254" s="364"/>
      <c r="X254" s="364"/>
      <c r="Y254" s="364"/>
      <c r="Z254" s="364"/>
      <c r="AA254" s="364"/>
    </row>
    <row r="255" customFormat="false" ht="15.75" hidden="false" customHeight="false" outlineLevel="0" collapsed="false">
      <c r="A255" s="261" t="str">
        <f aca="false">IFERROR(__xludf.dummyfunction("""COMPUTED_VALUE"""),"Sceptile")</f>
        <v>Sceptile</v>
      </c>
      <c r="B255" s="365"/>
      <c r="C255" s="365"/>
      <c r="D255" s="364"/>
      <c r="E255" s="364"/>
      <c r="F255" s="364"/>
      <c r="G255" s="364"/>
      <c r="H255" s="364"/>
      <c r="I255" s="364"/>
      <c r="J255" s="364"/>
      <c r="K255" s="364"/>
      <c r="L255" s="364"/>
      <c r="M255" s="364"/>
      <c r="N255" s="364"/>
      <c r="O255" s="364"/>
      <c r="P255" s="364"/>
      <c r="Q255" s="364"/>
      <c r="R255" s="364"/>
      <c r="S255" s="364"/>
      <c r="T255" s="364"/>
      <c r="U255" s="364"/>
      <c r="V255" s="364"/>
      <c r="W255" s="364"/>
      <c r="X255" s="364"/>
      <c r="Y255" s="364"/>
      <c r="Z255" s="364"/>
      <c r="AA255" s="364"/>
    </row>
    <row r="256" customFormat="false" ht="15.75" hidden="false" customHeight="false" outlineLevel="0" collapsed="false">
      <c r="A256" s="261" t="str">
        <f aca="false">IFERROR(__xludf.dummyfunction("""COMPUTED_VALUE"""),"Torchic")</f>
        <v>Torchic</v>
      </c>
      <c r="B256" s="365"/>
      <c r="C256" s="365"/>
      <c r="D256" s="364"/>
      <c r="E256" s="364"/>
      <c r="F256" s="364"/>
      <c r="G256" s="364"/>
      <c r="H256" s="364"/>
      <c r="I256" s="364"/>
      <c r="J256" s="364"/>
      <c r="K256" s="364"/>
      <c r="L256" s="364"/>
      <c r="M256" s="364"/>
      <c r="N256" s="364"/>
      <c r="O256" s="364"/>
      <c r="P256" s="364"/>
      <c r="Q256" s="364"/>
      <c r="R256" s="364"/>
      <c r="S256" s="364"/>
      <c r="T256" s="364"/>
      <c r="U256" s="364"/>
      <c r="V256" s="364"/>
      <c r="W256" s="364"/>
      <c r="X256" s="364"/>
      <c r="Y256" s="364"/>
      <c r="Z256" s="364"/>
      <c r="AA256" s="364"/>
    </row>
    <row r="257" customFormat="false" ht="15.75" hidden="false" customHeight="false" outlineLevel="0" collapsed="false">
      <c r="A257" s="261" t="str">
        <f aca="false">IFERROR(__xludf.dummyfunction("""COMPUTED_VALUE"""),"Combusken")</f>
        <v>Combusken</v>
      </c>
      <c r="B257" s="365"/>
      <c r="C257" s="365"/>
      <c r="D257" s="364"/>
      <c r="E257" s="364"/>
      <c r="F257" s="364"/>
      <c r="G257" s="364"/>
      <c r="H257" s="364"/>
      <c r="I257" s="364"/>
      <c r="J257" s="364"/>
      <c r="K257" s="364"/>
      <c r="L257" s="364"/>
      <c r="M257" s="364"/>
      <c r="N257" s="364"/>
      <c r="O257" s="364"/>
      <c r="P257" s="364"/>
      <c r="Q257" s="364"/>
      <c r="R257" s="364"/>
      <c r="S257" s="364"/>
      <c r="T257" s="364"/>
      <c r="U257" s="364"/>
      <c r="V257" s="364"/>
      <c r="W257" s="364"/>
      <c r="X257" s="364"/>
      <c r="Y257" s="364"/>
      <c r="Z257" s="364"/>
      <c r="AA257" s="364"/>
    </row>
    <row r="258" customFormat="false" ht="15.75" hidden="false" customHeight="false" outlineLevel="0" collapsed="false">
      <c r="A258" s="261" t="str">
        <f aca="false">IFERROR(__xludf.dummyfunction("""COMPUTED_VALUE"""),"Blaziken")</f>
        <v>Blaziken</v>
      </c>
      <c r="B258" s="365"/>
      <c r="C258" s="365"/>
      <c r="D258" s="364"/>
      <c r="E258" s="364"/>
      <c r="F258" s="364"/>
      <c r="G258" s="364"/>
      <c r="H258" s="364"/>
      <c r="I258" s="364"/>
      <c r="J258" s="364"/>
      <c r="K258" s="364"/>
      <c r="L258" s="364"/>
      <c r="M258" s="364"/>
      <c r="N258" s="364"/>
      <c r="O258" s="364"/>
      <c r="P258" s="364"/>
      <c r="Q258" s="364"/>
      <c r="R258" s="364"/>
      <c r="S258" s="364"/>
      <c r="T258" s="364"/>
      <c r="U258" s="364"/>
      <c r="V258" s="364"/>
      <c r="W258" s="364"/>
      <c r="X258" s="364"/>
      <c r="Y258" s="364"/>
      <c r="Z258" s="364"/>
      <c r="AA258" s="364"/>
    </row>
    <row r="259" customFormat="false" ht="15.75" hidden="false" customHeight="false" outlineLevel="0" collapsed="false">
      <c r="A259" s="261" t="str">
        <f aca="false">IFERROR(__xludf.dummyfunction("""COMPUTED_VALUE"""),"Mudkip")</f>
        <v>Mudkip</v>
      </c>
      <c r="B259" s="365"/>
      <c r="C259" s="365"/>
      <c r="D259" s="364"/>
      <c r="E259" s="364"/>
      <c r="F259" s="364"/>
      <c r="G259" s="364"/>
      <c r="H259" s="364"/>
      <c r="I259" s="364"/>
      <c r="J259" s="364"/>
      <c r="K259" s="364"/>
      <c r="L259" s="364"/>
      <c r="M259" s="364"/>
      <c r="N259" s="364"/>
      <c r="O259" s="364"/>
      <c r="P259" s="364"/>
      <c r="Q259" s="364"/>
      <c r="R259" s="364"/>
      <c r="S259" s="364"/>
      <c r="T259" s="364"/>
      <c r="U259" s="364"/>
      <c r="V259" s="364"/>
      <c r="W259" s="364"/>
      <c r="X259" s="364"/>
      <c r="Y259" s="364"/>
      <c r="Z259" s="364"/>
      <c r="AA259" s="364"/>
    </row>
    <row r="260" customFormat="false" ht="15.75" hidden="false" customHeight="false" outlineLevel="0" collapsed="false">
      <c r="A260" s="261" t="str">
        <f aca="false">IFERROR(__xludf.dummyfunction("""COMPUTED_VALUE"""),"Marshtomp")</f>
        <v>Marshtomp</v>
      </c>
      <c r="B260" s="365"/>
      <c r="C260" s="365"/>
      <c r="D260" s="364"/>
      <c r="E260" s="364"/>
      <c r="F260" s="364"/>
      <c r="G260" s="364"/>
      <c r="H260" s="364"/>
      <c r="I260" s="364"/>
      <c r="J260" s="364"/>
      <c r="K260" s="364"/>
      <c r="L260" s="364"/>
      <c r="M260" s="364"/>
      <c r="N260" s="364"/>
      <c r="O260" s="364"/>
      <c r="P260" s="364"/>
      <c r="Q260" s="364"/>
      <c r="R260" s="364"/>
      <c r="S260" s="364"/>
      <c r="T260" s="364"/>
      <c r="U260" s="364"/>
      <c r="V260" s="364"/>
      <c r="W260" s="364"/>
      <c r="X260" s="364"/>
      <c r="Y260" s="364"/>
      <c r="Z260" s="364"/>
      <c r="AA260" s="364"/>
    </row>
    <row r="261" customFormat="false" ht="15.75" hidden="false" customHeight="false" outlineLevel="0" collapsed="false">
      <c r="A261" s="261" t="str">
        <f aca="false">IFERROR(__xludf.dummyfunction("""COMPUTED_VALUE"""),"Swampert")</f>
        <v>Swampert</v>
      </c>
      <c r="B261" s="365"/>
      <c r="C261" s="365"/>
      <c r="D261" s="364"/>
      <c r="E261" s="364"/>
      <c r="F261" s="364"/>
      <c r="G261" s="364"/>
      <c r="H261" s="364"/>
      <c r="I261" s="364"/>
      <c r="J261" s="364"/>
      <c r="K261" s="364"/>
      <c r="L261" s="364"/>
      <c r="M261" s="364"/>
      <c r="N261" s="364"/>
      <c r="O261" s="364"/>
      <c r="P261" s="364"/>
      <c r="Q261" s="364"/>
      <c r="R261" s="364"/>
      <c r="S261" s="364"/>
      <c r="T261" s="364"/>
      <c r="U261" s="364"/>
      <c r="V261" s="364"/>
      <c r="W261" s="364"/>
      <c r="X261" s="364"/>
      <c r="Y261" s="364"/>
      <c r="Z261" s="364"/>
      <c r="AA261" s="364"/>
    </row>
    <row r="262" customFormat="false" ht="15.75" hidden="false" customHeight="false" outlineLevel="0" collapsed="false">
      <c r="A262" s="261" t="str">
        <f aca="false">IFERROR(__xludf.dummyfunction("""COMPUTED_VALUE"""),"Poochyena")</f>
        <v>Poochyena</v>
      </c>
      <c r="B262" s="365"/>
      <c r="C262" s="365"/>
      <c r="D262" s="364"/>
      <c r="E262" s="364"/>
      <c r="F262" s="364"/>
      <c r="G262" s="364"/>
      <c r="H262" s="364"/>
      <c r="I262" s="364"/>
      <c r="J262" s="364"/>
      <c r="K262" s="364"/>
      <c r="L262" s="364"/>
      <c r="M262" s="364"/>
      <c r="N262" s="364"/>
      <c r="O262" s="364"/>
      <c r="P262" s="364"/>
      <c r="Q262" s="364"/>
      <c r="R262" s="364"/>
      <c r="S262" s="364"/>
      <c r="T262" s="364"/>
      <c r="U262" s="364"/>
      <c r="V262" s="364"/>
      <c r="W262" s="364"/>
      <c r="X262" s="364"/>
      <c r="Y262" s="364"/>
      <c r="Z262" s="364"/>
      <c r="AA262" s="364"/>
    </row>
    <row r="263" customFormat="false" ht="15.75" hidden="false" customHeight="false" outlineLevel="0" collapsed="false">
      <c r="A263" s="261" t="str">
        <f aca="false">IFERROR(__xludf.dummyfunction("""COMPUTED_VALUE"""),"Mightyena")</f>
        <v>Mightyena</v>
      </c>
      <c r="B263" s="365"/>
      <c r="C263" s="365"/>
      <c r="D263" s="364"/>
      <c r="E263" s="364"/>
      <c r="F263" s="364"/>
      <c r="G263" s="364"/>
      <c r="H263" s="364"/>
      <c r="I263" s="364"/>
      <c r="J263" s="364"/>
      <c r="K263" s="364"/>
      <c r="L263" s="364"/>
      <c r="M263" s="364"/>
      <c r="N263" s="364"/>
      <c r="O263" s="364"/>
      <c r="P263" s="364"/>
      <c r="Q263" s="364"/>
      <c r="R263" s="364"/>
      <c r="S263" s="364"/>
      <c r="T263" s="364"/>
      <c r="U263" s="364"/>
      <c r="V263" s="364"/>
      <c r="W263" s="364"/>
      <c r="X263" s="364"/>
      <c r="Y263" s="364"/>
      <c r="Z263" s="364"/>
      <c r="AA263" s="364"/>
    </row>
    <row r="264" customFormat="false" ht="15.75" hidden="false" customHeight="false" outlineLevel="0" collapsed="false">
      <c r="A264" s="261" t="str">
        <f aca="false">IFERROR(__xludf.dummyfunction("""COMPUTED_VALUE"""),"Zigzagoon")</f>
        <v>Zigzagoon</v>
      </c>
      <c r="B264" s="365"/>
      <c r="C264" s="365"/>
      <c r="D264" s="364"/>
      <c r="E264" s="364"/>
      <c r="F264" s="364"/>
      <c r="G264" s="364"/>
      <c r="H264" s="364"/>
      <c r="I264" s="364"/>
      <c r="J264" s="364"/>
      <c r="K264" s="364"/>
      <c r="L264" s="364"/>
      <c r="M264" s="364"/>
      <c r="N264" s="364"/>
      <c r="O264" s="364"/>
      <c r="P264" s="364"/>
      <c r="Q264" s="364"/>
      <c r="R264" s="364"/>
      <c r="S264" s="364"/>
      <c r="T264" s="364"/>
      <c r="U264" s="364"/>
      <c r="V264" s="364"/>
      <c r="W264" s="364"/>
      <c r="X264" s="364"/>
      <c r="Y264" s="364"/>
      <c r="Z264" s="364"/>
      <c r="AA264" s="364"/>
    </row>
    <row r="265" customFormat="false" ht="15.75" hidden="false" customHeight="false" outlineLevel="0" collapsed="false">
      <c r="A265" s="261" t="str">
        <f aca="false">IFERROR(__xludf.dummyfunction("""COMPUTED_VALUE"""),"Linoone")</f>
        <v>Linoone</v>
      </c>
      <c r="B265" s="365"/>
      <c r="C265" s="365"/>
      <c r="D265" s="364"/>
      <c r="E265" s="364"/>
      <c r="F265" s="364"/>
      <c r="G265" s="364"/>
      <c r="H265" s="364"/>
      <c r="I265" s="364"/>
      <c r="J265" s="364"/>
      <c r="K265" s="364"/>
      <c r="L265" s="364"/>
      <c r="M265" s="364"/>
      <c r="N265" s="364"/>
      <c r="O265" s="364"/>
      <c r="P265" s="364"/>
      <c r="Q265" s="364"/>
      <c r="R265" s="364"/>
      <c r="S265" s="364"/>
      <c r="T265" s="364"/>
      <c r="U265" s="364"/>
      <c r="V265" s="364"/>
      <c r="W265" s="364"/>
      <c r="X265" s="364"/>
      <c r="Y265" s="364"/>
      <c r="Z265" s="364"/>
      <c r="AA265" s="364"/>
    </row>
    <row r="266" customFormat="false" ht="15.75" hidden="false" customHeight="false" outlineLevel="0" collapsed="false">
      <c r="A266" s="261" t="str">
        <f aca="false">IFERROR(__xludf.dummyfunction("""COMPUTED_VALUE"""),"Wurmple")</f>
        <v>Wurmple</v>
      </c>
      <c r="B266" s="365"/>
      <c r="C266" s="365"/>
      <c r="D266" s="364"/>
      <c r="E266" s="364"/>
      <c r="F266" s="364"/>
      <c r="G266" s="364"/>
      <c r="H266" s="364"/>
      <c r="I266" s="364"/>
      <c r="J266" s="364"/>
      <c r="K266" s="364"/>
      <c r="L266" s="364"/>
      <c r="M266" s="364"/>
      <c r="N266" s="364"/>
      <c r="O266" s="364"/>
      <c r="P266" s="364"/>
      <c r="Q266" s="364"/>
      <c r="R266" s="364"/>
      <c r="S266" s="364"/>
      <c r="T266" s="364"/>
      <c r="U266" s="364"/>
      <c r="V266" s="364"/>
      <c r="W266" s="364"/>
      <c r="X266" s="364"/>
      <c r="Y266" s="364"/>
      <c r="Z266" s="364"/>
      <c r="AA266" s="364"/>
    </row>
    <row r="267" customFormat="false" ht="15.75" hidden="false" customHeight="false" outlineLevel="0" collapsed="false">
      <c r="A267" s="261" t="str">
        <f aca="false">IFERROR(__xludf.dummyfunction("""COMPUTED_VALUE"""),"Silcoon")</f>
        <v>Silcoon</v>
      </c>
      <c r="B267" s="365"/>
      <c r="C267" s="365"/>
      <c r="D267" s="364"/>
      <c r="E267" s="364"/>
      <c r="F267" s="364"/>
      <c r="G267" s="364"/>
      <c r="H267" s="364"/>
      <c r="I267" s="364"/>
      <c r="J267" s="364"/>
      <c r="K267" s="364"/>
      <c r="L267" s="364"/>
      <c r="M267" s="364"/>
      <c r="N267" s="364"/>
      <c r="O267" s="364"/>
      <c r="P267" s="364"/>
      <c r="Q267" s="364"/>
      <c r="R267" s="364"/>
      <c r="S267" s="364"/>
      <c r="T267" s="364"/>
      <c r="U267" s="364"/>
      <c r="V267" s="364"/>
      <c r="W267" s="364"/>
      <c r="X267" s="364"/>
      <c r="Y267" s="364"/>
      <c r="Z267" s="364"/>
      <c r="AA267" s="364"/>
    </row>
    <row r="268" customFormat="false" ht="15.75" hidden="false" customHeight="false" outlineLevel="0" collapsed="false">
      <c r="A268" s="261" t="str">
        <f aca="false">IFERROR(__xludf.dummyfunction("""COMPUTED_VALUE"""),"Beautifly")</f>
        <v>Beautifly</v>
      </c>
      <c r="B268" s="365"/>
      <c r="C268" s="365"/>
      <c r="D268" s="364"/>
      <c r="E268" s="364"/>
      <c r="F268" s="364"/>
      <c r="G268" s="364"/>
      <c r="H268" s="364"/>
      <c r="I268" s="364"/>
      <c r="J268" s="364"/>
      <c r="K268" s="364"/>
      <c r="L268" s="364"/>
      <c r="M268" s="364"/>
      <c r="N268" s="364"/>
      <c r="O268" s="364"/>
      <c r="P268" s="364"/>
      <c r="Q268" s="364"/>
      <c r="R268" s="364"/>
      <c r="S268" s="364"/>
      <c r="T268" s="364"/>
      <c r="U268" s="364"/>
      <c r="V268" s="364"/>
      <c r="W268" s="364"/>
      <c r="X268" s="364"/>
      <c r="Y268" s="364"/>
      <c r="Z268" s="364"/>
      <c r="AA268" s="364"/>
    </row>
    <row r="269" customFormat="false" ht="15.75" hidden="false" customHeight="false" outlineLevel="0" collapsed="false">
      <c r="A269" s="261" t="str">
        <f aca="false">IFERROR(__xludf.dummyfunction("""COMPUTED_VALUE"""),"Cascoon")</f>
        <v>Cascoon</v>
      </c>
      <c r="B269" s="365"/>
      <c r="C269" s="365"/>
      <c r="D269" s="364"/>
      <c r="E269" s="364"/>
      <c r="F269" s="364"/>
      <c r="G269" s="364"/>
      <c r="H269" s="364"/>
      <c r="I269" s="364"/>
      <c r="J269" s="364"/>
      <c r="K269" s="364"/>
      <c r="L269" s="364"/>
      <c r="M269" s="364"/>
      <c r="N269" s="364"/>
      <c r="O269" s="364"/>
      <c r="P269" s="364"/>
      <c r="Q269" s="364"/>
      <c r="R269" s="364"/>
      <c r="S269" s="364"/>
      <c r="T269" s="364"/>
      <c r="U269" s="364"/>
      <c r="V269" s="364"/>
      <c r="W269" s="364"/>
      <c r="X269" s="364"/>
      <c r="Y269" s="364"/>
      <c r="Z269" s="364"/>
      <c r="AA269" s="364"/>
    </row>
    <row r="270" customFormat="false" ht="15.75" hidden="false" customHeight="false" outlineLevel="0" collapsed="false">
      <c r="A270" s="261" t="str">
        <f aca="false">IFERROR(__xludf.dummyfunction("""COMPUTED_VALUE"""),"Dustox")</f>
        <v>Dustox</v>
      </c>
      <c r="B270" s="365"/>
      <c r="C270" s="365"/>
      <c r="D270" s="364"/>
      <c r="E270" s="364"/>
      <c r="F270" s="364"/>
      <c r="G270" s="364"/>
      <c r="H270" s="364"/>
      <c r="I270" s="364"/>
      <c r="J270" s="364"/>
      <c r="K270" s="364"/>
      <c r="L270" s="364"/>
      <c r="M270" s="364"/>
      <c r="N270" s="364"/>
      <c r="O270" s="364"/>
      <c r="P270" s="364"/>
      <c r="Q270" s="364"/>
      <c r="R270" s="364"/>
      <c r="S270" s="364"/>
      <c r="T270" s="364"/>
      <c r="U270" s="364"/>
      <c r="V270" s="364"/>
      <c r="W270" s="364"/>
      <c r="X270" s="364"/>
      <c r="Y270" s="364"/>
      <c r="Z270" s="364"/>
      <c r="AA270" s="364"/>
    </row>
    <row r="271" customFormat="false" ht="15.75" hidden="false" customHeight="false" outlineLevel="0" collapsed="false">
      <c r="A271" s="261" t="str">
        <f aca="false">IFERROR(__xludf.dummyfunction("""COMPUTED_VALUE"""),"Lotad")</f>
        <v>Lotad</v>
      </c>
      <c r="B271" s="365"/>
      <c r="C271" s="365"/>
      <c r="D271" s="364"/>
      <c r="E271" s="364"/>
      <c r="F271" s="364"/>
      <c r="G271" s="364"/>
      <c r="H271" s="364"/>
      <c r="I271" s="364"/>
      <c r="J271" s="364"/>
      <c r="K271" s="364"/>
      <c r="L271" s="364"/>
      <c r="M271" s="364"/>
      <c r="N271" s="364"/>
      <c r="O271" s="364"/>
      <c r="P271" s="364"/>
      <c r="Q271" s="364"/>
      <c r="R271" s="364"/>
      <c r="S271" s="364"/>
      <c r="T271" s="364"/>
      <c r="U271" s="364"/>
      <c r="V271" s="364"/>
      <c r="W271" s="364"/>
      <c r="X271" s="364"/>
      <c r="Y271" s="364"/>
      <c r="Z271" s="364"/>
      <c r="AA271" s="364"/>
    </row>
    <row r="272" customFormat="false" ht="15.75" hidden="false" customHeight="false" outlineLevel="0" collapsed="false">
      <c r="A272" s="261" t="str">
        <f aca="false">IFERROR(__xludf.dummyfunction("""COMPUTED_VALUE"""),"Lombre")</f>
        <v>Lombre</v>
      </c>
      <c r="B272" s="365"/>
      <c r="C272" s="365"/>
      <c r="D272" s="364"/>
      <c r="E272" s="364"/>
      <c r="F272" s="364"/>
      <c r="G272" s="364"/>
      <c r="H272" s="364"/>
      <c r="I272" s="364"/>
      <c r="J272" s="364"/>
      <c r="K272" s="364"/>
      <c r="L272" s="364"/>
      <c r="M272" s="364"/>
      <c r="N272" s="364"/>
      <c r="O272" s="364"/>
      <c r="P272" s="364"/>
      <c r="Q272" s="364"/>
      <c r="R272" s="364"/>
      <c r="S272" s="364"/>
      <c r="T272" s="364"/>
      <c r="U272" s="364"/>
      <c r="V272" s="364"/>
      <c r="W272" s="364"/>
      <c r="X272" s="364"/>
      <c r="Y272" s="364"/>
      <c r="Z272" s="364"/>
      <c r="AA272" s="364"/>
    </row>
    <row r="273" customFormat="false" ht="15.75" hidden="false" customHeight="false" outlineLevel="0" collapsed="false">
      <c r="A273" s="261" t="str">
        <f aca="false">IFERROR(__xludf.dummyfunction("""COMPUTED_VALUE"""),"Ludicolo")</f>
        <v>Ludicolo</v>
      </c>
      <c r="B273" s="365"/>
      <c r="C273" s="365"/>
      <c r="D273" s="364"/>
      <c r="E273" s="364"/>
      <c r="F273" s="364"/>
      <c r="G273" s="364"/>
      <c r="H273" s="364"/>
      <c r="I273" s="364"/>
      <c r="J273" s="364"/>
      <c r="K273" s="364"/>
      <c r="L273" s="364"/>
      <c r="M273" s="364"/>
      <c r="N273" s="364"/>
      <c r="O273" s="364"/>
      <c r="P273" s="364"/>
      <c r="Q273" s="364"/>
      <c r="R273" s="364"/>
      <c r="S273" s="364"/>
      <c r="T273" s="364"/>
      <c r="U273" s="364"/>
      <c r="V273" s="364"/>
      <c r="W273" s="364"/>
      <c r="X273" s="364"/>
      <c r="Y273" s="364"/>
      <c r="Z273" s="364"/>
      <c r="AA273" s="364"/>
    </row>
    <row r="274" customFormat="false" ht="15.75" hidden="false" customHeight="false" outlineLevel="0" collapsed="false">
      <c r="A274" s="261" t="str">
        <f aca="false">IFERROR(__xludf.dummyfunction("""COMPUTED_VALUE"""),"Seedot")</f>
        <v>Seedot</v>
      </c>
      <c r="B274" s="365"/>
      <c r="C274" s="365"/>
      <c r="D274" s="364"/>
      <c r="E274" s="364"/>
      <c r="F274" s="364"/>
      <c r="G274" s="364"/>
      <c r="H274" s="364"/>
      <c r="I274" s="364"/>
      <c r="J274" s="364"/>
      <c r="K274" s="364"/>
      <c r="L274" s="364"/>
      <c r="M274" s="364"/>
      <c r="N274" s="364"/>
      <c r="O274" s="364"/>
      <c r="P274" s="364"/>
      <c r="Q274" s="364"/>
      <c r="R274" s="364"/>
      <c r="S274" s="364"/>
      <c r="T274" s="364"/>
      <c r="U274" s="364"/>
      <c r="V274" s="364"/>
      <c r="W274" s="364"/>
      <c r="X274" s="364"/>
      <c r="Y274" s="364"/>
      <c r="Z274" s="364"/>
      <c r="AA274" s="364"/>
    </row>
    <row r="275" customFormat="false" ht="15.75" hidden="false" customHeight="false" outlineLevel="0" collapsed="false">
      <c r="A275" s="261" t="str">
        <f aca="false">IFERROR(__xludf.dummyfunction("""COMPUTED_VALUE"""),"Nuzleaf")</f>
        <v>Nuzleaf</v>
      </c>
      <c r="B275" s="365"/>
      <c r="C275" s="365"/>
      <c r="D275" s="364"/>
      <c r="E275" s="364"/>
      <c r="F275" s="364"/>
      <c r="G275" s="364"/>
      <c r="H275" s="364"/>
      <c r="I275" s="364"/>
      <c r="J275" s="364"/>
      <c r="K275" s="364"/>
      <c r="L275" s="364"/>
      <c r="M275" s="364"/>
      <c r="N275" s="364"/>
      <c r="O275" s="364"/>
      <c r="P275" s="364"/>
      <c r="Q275" s="364"/>
      <c r="R275" s="364"/>
      <c r="S275" s="364"/>
      <c r="T275" s="364"/>
      <c r="U275" s="364"/>
      <c r="V275" s="364"/>
      <c r="W275" s="364"/>
      <c r="X275" s="364"/>
      <c r="Y275" s="364"/>
      <c r="Z275" s="364"/>
      <c r="AA275" s="364"/>
    </row>
    <row r="276" customFormat="false" ht="15.75" hidden="false" customHeight="false" outlineLevel="0" collapsed="false">
      <c r="A276" s="261" t="str">
        <f aca="false">IFERROR(__xludf.dummyfunction("""COMPUTED_VALUE"""),"Shiftry")</f>
        <v>Shiftry</v>
      </c>
      <c r="B276" s="365"/>
      <c r="C276" s="365"/>
      <c r="D276" s="364"/>
      <c r="E276" s="364"/>
      <c r="F276" s="364"/>
      <c r="G276" s="364"/>
      <c r="H276" s="364"/>
      <c r="I276" s="364"/>
      <c r="J276" s="364"/>
      <c r="K276" s="364"/>
      <c r="L276" s="364"/>
      <c r="M276" s="364"/>
      <c r="N276" s="364"/>
      <c r="O276" s="364"/>
      <c r="P276" s="364"/>
      <c r="Q276" s="364"/>
      <c r="R276" s="364"/>
      <c r="S276" s="364"/>
      <c r="T276" s="364"/>
      <c r="U276" s="364"/>
      <c r="V276" s="364"/>
      <c r="W276" s="364"/>
      <c r="X276" s="364"/>
      <c r="Y276" s="364"/>
      <c r="Z276" s="364"/>
      <c r="AA276" s="364"/>
    </row>
    <row r="277" customFormat="false" ht="15.75" hidden="false" customHeight="false" outlineLevel="0" collapsed="false">
      <c r="A277" s="261" t="str">
        <f aca="false">IFERROR(__xludf.dummyfunction("""COMPUTED_VALUE"""),"Taillow")</f>
        <v>Taillow</v>
      </c>
      <c r="B277" s="365"/>
      <c r="C277" s="365"/>
      <c r="D277" s="364"/>
      <c r="E277" s="364"/>
      <c r="F277" s="364"/>
      <c r="G277" s="364"/>
      <c r="H277" s="364"/>
      <c r="I277" s="364"/>
      <c r="J277" s="364"/>
      <c r="K277" s="364"/>
      <c r="L277" s="364"/>
      <c r="M277" s="364"/>
      <c r="N277" s="364"/>
      <c r="O277" s="364"/>
      <c r="P277" s="364"/>
      <c r="Q277" s="364"/>
      <c r="R277" s="364"/>
      <c r="S277" s="364"/>
      <c r="T277" s="364"/>
      <c r="U277" s="364"/>
      <c r="V277" s="364"/>
      <c r="W277" s="364"/>
      <c r="X277" s="364"/>
      <c r="Y277" s="364"/>
      <c r="Z277" s="364"/>
      <c r="AA277" s="364"/>
    </row>
    <row r="278" customFormat="false" ht="15.75" hidden="false" customHeight="false" outlineLevel="0" collapsed="false">
      <c r="A278" s="261" t="str">
        <f aca="false">IFERROR(__xludf.dummyfunction("""COMPUTED_VALUE"""),"Swellow")</f>
        <v>Swellow</v>
      </c>
      <c r="B278" s="365"/>
      <c r="C278" s="365"/>
      <c r="D278" s="364"/>
      <c r="E278" s="364"/>
      <c r="F278" s="364"/>
      <c r="G278" s="364"/>
      <c r="H278" s="364"/>
      <c r="I278" s="364"/>
      <c r="J278" s="364"/>
      <c r="K278" s="364"/>
      <c r="L278" s="364"/>
      <c r="M278" s="364"/>
      <c r="N278" s="364"/>
      <c r="O278" s="364"/>
      <c r="P278" s="364"/>
      <c r="Q278" s="364"/>
      <c r="R278" s="364"/>
      <c r="S278" s="364"/>
      <c r="T278" s="364"/>
      <c r="U278" s="364"/>
      <c r="V278" s="364"/>
      <c r="W278" s="364"/>
      <c r="X278" s="364"/>
      <c r="Y278" s="364"/>
      <c r="Z278" s="364"/>
      <c r="AA278" s="364"/>
    </row>
    <row r="279" customFormat="false" ht="15.75" hidden="false" customHeight="false" outlineLevel="0" collapsed="false">
      <c r="A279" s="261" t="str">
        <f aca="false">IFERROR(__xludf.dummyfunction("""COMPUTED_VALUE"""),"Wingull")</f>
        <v>Wingull</v>
      </c>
      <c r="B279" s="365"/>
      <c r="C279" s="365"/>
      <c r="D279" s="364"/>
      <c r="E279" s="364"/>
      <c r="F279" s="364"/>
      <c r="G279" s="364"/>
      <c r="H279" s="364"/>
      <c r="I279" s="364"/>
      <c r="J279" s="364"/>
      <c r="K279" s="364"/>
      <c r="L279" s="364"/>
      <c r="M279" s="364"/>
      <c r="N279" s="364"/>
      <c r="O279" s="364"/>
      <c r="P279" s="364"/>
      <c r="Q279" s="364"/>
      <c r="R279" s="364"/>
      <c r="S279" s="364"/>
      <c r="T279" s="364"/>
      <c r="U279" s="364"/>
      <c r="V279" s="364"/>
      <c r="W279" s="364"/>
      <c r="X279" s="364"/>
      <c r="Y279" s="364"/>
      <c r="Z279" s="364"/>
      <c r="AA279" s="364"/>
    </row>
    <row r="280" customFormat="false" ht="15.75" hidden="false" customHeight="false" outlineLevel="0" collapsed="false">
      <c r="A280" s="261" t="str">
        <f aca="false">IFERROR(__xludf.dummyfunction("""COMPUTED_VALUE"""),"Pelipper")</f>
        <v>Pelipper</v>
      </c>
      <c r="B280" s="365"/>
      <c r="C280" s="365"/>
      <c r="D280" s="364"/>
      <c r="E280" s="364"/>
      <c r="F280" s="364"/>
      <c r="G280" s="364"/>
      <c r="H280" s="364"/>
      <c r="I280" s="364"/>
      <c r="J280" s="364"/>
      <c r="K280" s="364"/>
      <c r="L280" s="364"/>
      <c r="M280" s="364"/>
      <c r="N280" s="364"/>
      <c r="O280" s="364"/>
      <c r="P280" s="364"/>
      <c r="Q280" s="364"/>
      <c r="R280" s="364"/>
      <c r="S280" s="364"/>
      <c r="T280" s="364"/>
      <c r="U280" s="364"/>
      <c r="V280" s="364"/>
      <c r="W280" s="364"/>
      <c r="X280" s="364"/>
      <c r="Y280" s="364"/>
      <c r="Z280" s="364"/>
      <c r="AA280" s="364"/>
    </row>
    <row r="281" customFormat="false" ht="15.75" hidden="false" customHeight="false" outlineLevel="0" collapsed="false">
      <c r="A281" s="261" t="str">
        <f aca="false">IFERROR(__xludf.dummyfunction("""COMPUTED_VALUE"""),"Ralts")</f>
        <v>Ralts</v>
      </c>
      <c r="B281" s="365"/>
      <c r="C281" s="365"/>
      <c r="D281" s="364"/>
      <c r="E281" s="364"/>
      <c r="F281" s="364"/>
      <c r="G281" s="364"/>
      <c r="H281" s="364"/>
      <c r="I281" s="364"/>
      <c r="J281" s="364"/>
      <c r="K281" s="364"/>
      <c r="L281" s="364"/>
      <c r="M281" s="364"/>
      <c r="N281" s="364"/>
      <c r="O281" s="364"/>
      <c r="P281" s="364"/>
      <c r="Q281" s="364"/>
      <c r="R281" s="364"/>
      <c r="S281" s="364"/>
      <c r="T281" s="364"/>
      <c r="U281" s="364"/>
      <c r="V281" s="364"/>
      <c r="W281" s="364"/>
      <c r="X281" s="364"/>
      <c r="Y281" s="364"/>
      <c r="Z281" s="364"/>
      <c r="AA281" s="364"/>
    </row>
    <row r="282" customFormat="false" ht="15.75" hidden="false" customHeight="false" outlineLevel="0" collapsed="false">
      <c r="A282" s="261" t="str">
        <f aca="false">IFERROR(__xludf.dummyfunction("""COMPUTED_VALUE"""),"Kirlia")</f>
        <v>Kirlia</v>
      </c>
      <c r="B282" s="365"/>
      <c r="C282" s="365"/>
      <c r="D282" s="364"/>
      <c r="E282" s="364"/>
      <c r="F282" s="364"/>
      <c r="G282" s="364"/>
      <c r="H282" s="364"/>
      <c r="I282" s="364"/>
      <c r="J282" s="364"/>
      <c r="K282" s="364"/>
      <c r="L282" s="364"/>
      <c r="M282" s="364"/>
      <c r="N282" s="364"/>
      <c r="O282" s="364"/>
      <c r="P282" s="364"/>
      <c r="Q282" s="364"/>
      <c r="R282" s="364"/>
      <c r="S282" s="364"/>
      <c r="T282" s="364"/>
      <c r="U282" s="364"/>
      <c r="V282" s="364"/>
      <c r="W282" s="364"/>
      <c r="X282" s="364"/>
      <c r="Y282" s="364"/>
      <c r="Z282" s="364"/>
      <c r="AA282" s="364"/>
    </row>
    <row r="283" customFormat="false" ht="15.75" hidden="false" customHeight="false" outlineLevel="0" collapsed="false">
      <c r="A283" s="261" t="str">
        <f aca="false">IFERROR(__xludf.dummyfunction("""COMPUTED_VALUE"""),"Gardevoir")</f>
        <v>Gardevoir</v>
      </c>
      <c r="B283" s="365"/>
      <c r="C283" s="365"/>
      <c r="D283" s="364"/>
      <c r="E283" s="364"/>
      <c r="F283" s="364"/>
      <c r="G283" s="364"/>
      <c r="H283" s="364"/>
      <c r="I283" s="364"/>
      <c r="J283" s="364"/>
      <c r="K283" s="364"/>
      <c r="L283" s="364"/>
      <c r="M283" s="364"/>
      <c r="N283" s="364"/>
      <c r="O283" s="364"/>
      <c r="P283" s="364"/>
      <c r="Q283" s="364"/>
      <c r="R283" s="364"/>
      <c r="S283" s="364"/>
      <c r="T283" s="364"/>
      <c r="U283" s="364"/>
      <c r="V283" s="364"/>
      <c r="W283" s="364"/>
      <c r="X283" s="364"/>
      <c r="Y283" s="364"/>
      <c r="Z283" s="364"/>
      <c r="AA283" s="364"/>
    </row>
    <row r="284" customFormat="false" ht="15.75" hidden="false" customHeight="false" outlineLevel="0" collapsed="false">
      <c r="A284" s="261" t="str">
        <f aca="false">IFERROR(__xludf.dummyfunction("""COMPUTED_VALUE"""),"Surskit")</f>
        <v>Surskit</v>
      </c>
      <c r="B284" s="365"/>
      <c r="C284" s="365"/>
      <c r="D284" s="364"/>
      <c r="E284" s="364"/>
      <c r="F284" s="364"/>
      <c r="G284" s="364"/>
      <c r="H284" s="364"/>
      <c r="I284" s="364"/>
      <c r="J284" s="364"/>
      <c r="K284" s="364"/>
      <c r="L284" s="364"/>
      <c r="M284" s="364"/>
      <c r="N284" s="364"/>
      <c r="O284" s="364"/>
      <c r="P284" s="364"/>
      <c r="Q284" s="364"/>
      <c r="R284" s="364"/>
      <c r="S284" s="364"/>
      <c r="T284" s="364"/>
      <c r="U284" s="364"/>
      <c r="V284" s="364"/>
      <c r="W284" s="364"/>
      <c r="X284" s="364"/>
      <c r="Y284" s="364"/>
      <c r="Z284" s="364"/>
      <c r="AA284" s="364"/>
    </row>
    <row r="285" customFormat="false" ht="15.75" hidden="false" customHeight="false" outlineLevel="0" collapsed="false">
      <c r="A285" s="261" t="str">
        <f aca="false">IFERROR(__xludf.dummyfunction("""COMPUTED_VALUE"""),"Masquerain")</f>
        <v>Masquerain</v>
      </c>
      <c r="B285" s="365"/>
      <c r="C285" s="365"/>
      <c r="D285" s="364"/>
      <c r="E285" s="364"/>
      <c r="F285" s="364"/>
      <c r="G285" s="364"/>
      <c r="H285" s="364"/>
      <c r="I285" s="364"/>
      <c r="J285" s="364"/>
      <c r="K285" s="364"/>
      <c r="L285" s="364"/>
      <c r="M285" s="364"/>
      <c r="N285" s="364"/>
      <c r="O285" s="364"/>
      <c r="P285" s="364"/>
      <c r="Q285" s="364"/>
      <c r="R285" s="364"/>
      <c r="S285" s="364"/>
      <c r="T285" s="364"/>
      <c r="U285" s="364"/>
      <c r="V285" s="364"/>
      <c r="W285" s="364"/>
      <c r="X285" s="364"/>
      <c r="Y285" s="364"/>
      <c r="Z285" s="364"/>
      <c r="AA285" s="364"/>
    </row>
    <row r="286" customFormat="false" ht="15.75" hidden="false" customHeight="false" outlineLevel="0" collapsed="false">
      <c r="A286" s="261" t="str">
        <f aca="false">IFERROR(__xludf.dummyfunction("""COMPUTED_VALUE"""),"Shroomish")</f>
        <v>Shroomish</v>
      </c>
      <c r="B286" s="365"/>
      <c r="C286" s="365"/>
      <c r="D286" s="364"/>
      <c r="E286" s="364"/>
      <c r="F286" s="364"/>
      <c r="G286" s="364"/>
      <c r="H286" s="364"/>
      <c r="I286" s="364"/>
      <c r="J286" s="364"/>
      <c r="K286" s="364"/>
      <c r="L286" s="364"/>
      <c r="M286" s="364"/>
      <c r="N286" s="364"/>
      <c r="O286" s="364"/>
      <c r="P286" s="364"/>
      <c r="Q286" s="364"/>
      <c r="R286" s="364"/>
      <c r="S286" s="364"/>
      <c r="T286" s="364"/>
      <c r="U286" s="364"/>
      <c r="V286" s="364"/>
      <c r="W286" s="364"/>
      <c r="X286" s="364"/>
      <c r="Y286" s="364"/>
      <c r="Z286" s="364"/>
      <c r="AA286" s="364"/>
    </row>
    <row r="287" customFormat="false" ht="15.75" hidden="false" customHeight="false" outlineLevel="0" collapsed="false">
      <c r="A287" s="261" t="str">
        <f aca="false">IFERROR(__xludf.dummyfunction("""COMPUTED_VALUE"""),"Breloom")</f>
        <v>Breloom</v>
      </c>
      <c r="B287" s="365"/>
      <c r="C287" s="365"/>
      <c r="D287" s="364"/>
      <c r="E287" s="364"/>
      <c r="F287" s="364"/>
      <c r="G287" s="364"/>
      <c r="H287" s="364"/>
      <c r="I287" s="364"/>
      <c r="J287" s="364"/>
      <c r="K287" s="364"/>
      <c r="L287" s="364"/>
      <c r="M287" s="364"/>
      <c r="N287" s="364"/>
      <c r="O287" s="364"/>
      <c r="P287" s="364"/>
      <c r="Q287" s="364"/>
      <c r="R287" s="364"/>
      <c r="S287" s="364"/>
      <c r="T287" s="364"/>
      <c r="U287" s="364"/>
      <c r="V287" s="364"/>
      <c r="W287" s="364"/>
      <c r="X287" s="364"/>
      <c r="Y287" s="364"/>
      <c r="Z287" s="364"/>
      <c r="AA287" s="364"/>
    </row>
    <row r="288" customFormat="false" ht="15.75" hidden="false" customHeight="false" outlineLevel="0" collapsed="false">
      <c r="A288" s="261" t="str">
        <f aca="false">IFERROR(__xludf.dummyfunction("""COMPUTED_VALUE"""),"Slakoth")</f>
        <v>Slakoth</v>
      </c>
      <c r="B288" s="365"/>
      <c r="C288" s="365"/>
      <c r="D288" s="364"/>
      <c r="E288" s="364"/>
      <c r="F288" s="364"/>
      <c r="G288" s="364"/>
      <c r="H288" s="364"/>
      <c r="I288" s="364"/>
      <c r="J288" s="364"/>
      <c r="K288" s="364"/>
      <c r="L288" s="364"/>
      <c r="M288" s="364"/>
      <c r="N288" s="364"/>
      <c r="O288" s="364"/>
      <c r="P288" s="364"/>
      <c r="Q288" s="364"/>
      <c r="R288" s="364"/>
      <c r="S288" s="364"/>
      <c r="T288" s="364"/>
      <c r="U288" s="364"/>
      <c r="V288" s="364"/>
      <c r="W288" s="364"/>
      <c r="X288" s="364"/>
      <c r="Y288" s="364"/>
      <c r="Z288" s="364"/>
      <c r="AA288" s="364"/>
    </row>
    <row r="289" customFormat="false" ht="15.75" hidden="false" customHeight="false" outlineLevel="0" collapsed="false">
      <c r="A289" s="261" t="str">
        <f aca="false">IFERROR(__xludf.dummyfunction("""COMPUTED_VALUE"""),"Vigoroth")</f>
        <v>Vigoroth</v>
      </c>
      <c r="B289" s="365"/>
      <c r="C289" s="365"/>
      <c r="D289" s="364"/>
      <c r="E289" s="364"/>
      <c r="F289" s="364"/>
      <c r="G289" s="364"/>
      <c r="H289" s="364"/>
      <c r="I289" s="364"/>
      <c r="J289" s="364"/>
      <c r="K289" s="364"/>
      <c r="L289" s="364"/>
      <c r="M289" s="364"/>
      <c r="N289" s="364"/>
      <c r="O289" s="364"/>
      <c r="P289" s="364"/>
      <c r="Q289" s="364"/>
      <c r="R289" s="364"/>
      <c r="S289" s="364"/>
      <c r="T289" s="364"/>
      <c r="U289" s="364"/>
      <c r="V289" s="364"/>
      <c r="W289" s="364"/>
      <c r="X289" s="364"/>
      <c r="Y289" s="364"/>
      <c r="Z289" s="364"/>
      <c r="AA289" s="364"/>
    </row>
    <row r="290" customFormat="false" ht="15.75" hidden="false" customHeight="false" outlineLevel="0" collapsed="false">
      <c r="A290" s="261" t="str">
        <f aca="false">IFERROR(__xludf.dummyfunction("""COMPUTED_VALUE"""),"Slaking")</f>
        <v>Slaking</v>
      </c>
      <c r="B290" s="365"/>
      <c r="C290" s="365"/>
      <c r="D290" s="364"/>
      <c r="E290" s="364"/>
      <c r="F290" s="364"/>
      <c r="G290" s="364"/>
      <c r="H290" s="364"/>
      <c r="I290" s="364"/>
      <c r="J290" s="364"/>
      <c r="K290" s="364"/>
      <c r="L290" s="364"/>
      <c r="M290" s="364"/>
      <c r="N290" s="364"/>
      <c r="O290" s="364"/>
      <c r="P290" s="364"/>
      <c r="Q290" s="364"/>
      <c r="R290" s="364"/>
      <c r="S290" s="364"/>
      <c r="T290" s="364"/>
      <c r="U290" s="364"/>
      <c r="V290" s="364"/>
      <c r="W290" s="364"/>
      <c r="X290" s="364"/>
      <c r="Y290" s="364"/>
      <c r="Z290" s="364"/>
      <c r="AA290" s="364"/>
    </row>
    <row r="291" customFormat="false" ht="15.75" hidden="false" customHeight="false" outlineLevel="0" collapsed="false">
      <c r="A291" s="261" t="str">
        <f aca="false">IFERROR(__xludf.dummyfunction("""COMPUTED_VALUE"""),"Nincada")</f>
        <v>Nincada</v>
      </c>
      <c r="B291" s="365"/>
      <c r="C291" s="365"/>
      <c r="D291" s="364"/>
      <c r="E291" s="364"/>
      <c r="F291" s="364"/>
      <c r="G291" s="364"/>
      <c r="H291" s="364"/>
      <c r="I291" s="364"/>
      <c r="J291" s="364"/>
      <c r="K291" s="364"/>
      <c r="L291" s="364"/>
      <c r="M291" s="364"/>
      <c r="N291" s="364"/>
      <c r="O291" s="364"/>
      <c r="P291" s="364"/>
      <c r="Q291" s="364"/>
      <c r="R291" s="364"/>
      <c r="S291" s="364"/>
      <c r="T291" s="364"/>
      <c r="U291" s="364"/>
      <c r="V291" s="364"/>
      <c r="W291" s="364"/>
      <c r="X291" s="364"/>
      <c r="Y291" s="364"/>
      <c r="Z291" s="364"/>
      <c r="AA291" s="364"/>
    </row>
    <row r="292" customFormat="false" ht="15.75" hidden="false" customHeight="false" outlineLevel="0" collapsed="false">
      <c r="A292" s="261" t="str">
        <f aca="false">IFERROR(__xludf.dummyfunction("""COMPUTED_VALUE"""),"Ninjask")</f>
        <v>Ninjask</v>
      </c>
      <c r="B292" s="365"/>
      <c r="C292" s="365"/>
      <c r="D292" s="364"/>
      <c r="E292" s="364"/>
      <c r="F292" s="364"/>
      <c r="G292" s="364"/>
      <c r="H292" s="364"/>
      <c r="I292" s="364"/>
      <c r="J292" s="364"/>
      <c r="K292" s="364"/>
      <c r="L292" s="364"/>
      <c r="M292" s="364"/>
      <c r="N292" s="364"/>
      <c r="O292" s="364"/>
      <c r="P292" s="364"/>
      <c r="Q292" s="364"/>
      <c r="R292" s="364"/>
      <c r="S292" s="364"/>
      <c r="T292" s="364"/>
      <c r="U292" s="364"/>
      <c r="V292" s="364"/>
      <c r="W292" s="364"/>
      <c r="X292" s="364"/>
      <c r="Y292" s="364"/>
      <c r="Z292" s="364"/>
      <c r="AA292" s="364"/>
    </row>
    <row r="293" customFormat="false" ht="15.75" hidden="false" customHeight="false" outlineLevel="0" collapsed="false">
      <c r="A293" s="261" t="str">
        <f aca="false">IFERROR(__xludf.dummyfunction("""COMPUTED_VALUE"""),"Shedinja")</f>
        <v>Shedinja</v>
      </c>
      <c r="B293" s="365"/>
      <c r="C293" s="365"/>
      <c r="D293" s="364"/>
      <c r="E293" s="364"/>
      <c r="F293" s="364"/>
      <c r="G293" s="364"/>
      <c r="H293" s="364"/>
      <c r="I293" s="364"/>
      <c r="J293" s="364"/>
      <c r="K293" s="364"/>
      <c r="L293" s="364"/>
      <c r="M293" s="364"/>
      <c r="N293" s="364"/>
      <c r="O293" s="364"/>
      <c r="P293" s="364"/>
      <c r="Q293" s="364"/>
      <c r="R293" s="364"/>
      <c r="S293" s="364"/>
      <c r="T293" s="364"/>
      <c r="U293" s="364"/>
      <c r="V293" s="364"/>
      <c r="W293" s="364"/>
      <c r="X293" s="364"/>
      <c r="Y293" s="364"/>
      <c r="Z293" s="364"/>
      <c r="AA293" s="364"/>
    </row>
    <row r="294" customFormat="false" ht="15.75" hidden="false" customHeight="false" outlineLevel="0" collapsed="false">
      <c r="A294" s="261" t="str">
        <f aca="false">IFERROR(__xludf.dummyfunction("""COMPUTED_VALUE"""),"Whismur")</f>
        <v>Whismur</v>
      </c>
      <c r="B294" s="365"/>
      <c r="C294" s="365"/>
      <c r="D294" s="364"/>
      <c r="E294" s="364"/>
      <c r="F294" s="364"/>
      <c r="G294" s="364"/>
      <c r="H294" s="364"/>
      <c r="I294" s="364"/>
      <c r="J294" s="364"/>
      <c r="K294" s="364"/>
      <c r="L294" s="364"/>
      <c r="M294" s="364"/>
      <c r="N294" s="364"/>
      <c r="O294" s="364"/>
      <c r="P294" s="364"/>
      <c r="Q294" s="364"/>
      <c r="R294" s="364"/>
      <c r="S294" s="364"/>
      <c r="T294" s="364"/>
      <c r="U294" s="364"/>
      <c r="V294" s="364"/>
      <c r="W294" s="364"/>
      <c r="X294" s="364"/>
      <c r="Y294" s="364"/>
      <c r="Z294" s="364"/>
      <c r="AA294" s="364"/>
    </row>
    <row r="295" customFormat="false" ht="15.75" hidden="false" customHeight="false" outlineLevel="0" collapsed="false">
      <c r="A295" s="261" t="str">
        <f aca="false">IFERROR(__xludf.dummyfunction("""COMPUTED_VALUE"""),"Loudred")</f>
        <v>Loudred</v>
      </c>
      <c r="B295" s="365"/>
      <c r="C295" s="365"/>
      <c r="D295" s="364"/>
      <c r="E295" s="364"/>
      <c r="F295" s="364"/>
      <c r="G295" s="364"/>
      <c r="H295" s="364"/>
      <c r="I295" s="364"/>
      <c r="J295" s="364"/>
      <c r="K295" s="364"/>
      <c r="L295" s="364"/>
      <c r="M295" s="364"/>
      <c r="N295" s="364"/>
      <c r="O295" s="364"/>
      <c r="P295" s="364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/>
    </row>
    <row r="296" customFormat="false" ht="15.75" hidden="false" customHeight="false" outlineLevel="0" collapsed="false">
      <c r="A296" s="261" t="str">
        <f aca="false">IFERROR(__xludf.dummyfunction("""COMPUTED_VALUE"""),"Exploud")</f>
        <v>Exploud</v>
      </c>
      <c r="B296" s="365"/>
      <c r="C296" s="365"/>
      <c r="D296" s="364"/>
      <c r="E296" s="364"/>
      <c r="F296" s="364"/>
      <c r="G296" s="364"/>
      <c r="H296" s="364"/>
      <c r="I296" s="364"/>
      <c r="J296" s="364"/>
      <c r="K296" s="364"/>
      <c r="L296" s="364"/>
      <c r="M296" s="364"/>
      <c r="N296" s="364"/>
      <c r="O296" s="364"/>
      <c r="P296" s="364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/>
    </row>
    <row r="297" customFormat="false" ht="15.75" hidden="false" customHeight="false" outlineLevel="0" collapsed="false">
      <c r="A297" s="261" t="str">
        <f aca="false">IFERROR(__xludf.dummyfunction("""COMPUTED_VALUE"""),"Makuhita")</f>
        <v>Makuhita</v>
      </c>
      <c r="B297" s="365"/>
      <c r="C297" s="365"/>
      <c r="D297" s="364"/>
      <c r="E297" s="364"/>
      <c r="F297" s="364"/>
      <c r="G297" s="364"/>
      <c r="H297" s="364"/>
      <c r="I297" s="364"/>
      <c r="J297" s="364"/>
      <c r="K297" s="364"/>
      <c r="L297" s="364"/>
      <c r="M297" s="364"/>
      <c r="N297" s="364"/>
      <c r="O297" s="364"/>
      <c r="P297" s="364"/>
      <c r="Q297" s="364"/>
      <c r="R297" s="364"/>
      <c r="S297" s="364"/>
      <c r="T297" s="364"/>
      <c r="U297" s="364"/>
      <c r="V297" s="364"/>
      <c r="W297" s="364"/>
      <c r="X297" s="364"/>
      <c r="Y297" s="364"/>
      <c r="Z297" s="364"/>
      <c r="AA297" s="364"/>
    </row>
    <row r="298" customFormat="false" ht="15.75" hidden="false" customHeight="false" outlineLevel="0" collapsed="false">
      <c r="A298" s="261" t="str">
        <f aca="false">IFERROR(__xludf.dummyfunction("""COMPUTED_VALUE"""),"Hariyama")</f>
        <v>Hariyama</v>
      </c>
      <c r="B298" s="365"/>
      <c r="C298" s="365"/>
      <c r="D298" s="364"/>
      <c r="E298" s="364"/>
      <c r="F298" s="364"/>
      <c r="G298" s="364"/>
      <c r="H298" s="364"/>
      <c r="I298" s="364"/>
      <c r="J298" s="364"/>
      <c r="K298" s="364"/>
      <c r="L298" s="364"/>
      <c r="M298" s="364"/>
      <c r="N298" s="364"/>
      <c r="O298" s="364"/>
      <c r="P298" s="364"/>
      <c r="Q298" s="364"/>
      <c r="R298" s="364"/>
      <c r="S298" s="364"/>
      <c r="T298" s="364"/>
      <c r="U298" s="364"/>
      <c r="V298" s="364"/>
      <c r="W298" s="364"/>
      <c r="X298" s="364"/>
      <c r="Y298" s="364"/>
      <c r="Z298" s="364"/>
      <c r="AA298" s="364"/>
    </row>
    <row r="299" customFormat="false" ht="15.75" hidden="false" customHeight="false" outlineLevel="0" collapsed="false">
      <c r="A299" s="261" t="str">
        <f aca="false">IFERROR(__xludf.dummyfunction("""COMPUTED_VALUE"""),"Azurill")</f>
        <v>Azurill</v>
      </c>
      <c r="B299" s="365"/>
      <c r="C299" s="365"/>
      <c r="D299" s="364"/>
      <c r="E299" s="364"/>
      <c r="F299" s="364"/>
      <c r="G299" s="364"/>
      <c r="H299" s="364"/>
      <c r="I299" s="364"/>
      <c r="J299" s="364"/>
      <c r="K299" s="364"/>
      <c r="L299" s="364"/>
      <c r="M299" s="364"/>
      <c r="N299" s="364"/>
      <c r="O299" s="364"/>
      <c r="P299" s="364"/>
      <c r="Q299" s="364"/>
      <c r="R299" s="364"/>
      <c r="S299" s="364"/>
      <c r="T299" s="364"/>
      <c r="U299" s="364"/>
      <c r="V299" s="364"/>
      <c r="W299" s="364"/>
      <c r="X299" s="364"/>
      <c r="Y299" s="364"/>
      <c r="Z299" s="364"/>
      <c r="AA299" s="364"/>
    </row>
    <row r="300" customFormat="false" ht="15.75" hidden="false" customHeight="false" outlineLevel="0" collapsed="false">
      <c r="A300" s="261" t="str">
        <f aca="false">IFERROR(__xludf.dummyfunction("""COMPUTED_VALUE"""),"Nosepass")</f>
        <v>Nosepass</v>
      </c>
      <c r="B300" s="365"/>
      <c r="C300" s="365"/>
      <c r="D300" s="364"/>
      <c r="E300" s="364"/>
      <c r="F300" s="364"/>
      <c r="G300" s="364"/>
      <c r="H300" s="364"/>
      <c r="I300" s="364"/>
      <c r="J300" s="364"/>
      <c r="K300" s="364"/>
      <c r="L300" s="364"/>
      <c r="M300" s="364"/>
      <c r="N300" s="364"/>
      <c r="O300" s="364"/>
      <c r="P300" s="364"/>
      <c r="Q300" s="364"/>
      <c r="R300" s="364"/>
      <c r="S300" s="364"/>
      <c r="T300" s="364"/>
      <c r="U300" s="364"/>
      <c r="V300" s="364"/>
      <c r="W300" s="364"/>
      <c r="X300" s="364"/>
      <c r="Y300" s="364"/>
      <c r="Z300" s="364"/>
      <c r="AA300" s="364"/>
    </row>
    <row r="301" customFormat="false" ht="15.75" hidden="false" customHeight="false" outlineLevel="0" collapsed="false">
      <c r="A301" s="261" t="str">
        <f aca="false">IFERROR(__xludf.dummyfunction("""COMPUTED_VALUE"""),"Skitty")</f>
        <v>Skitty</v>
      </c>
      <c r="B301" s="365"/>
      <c r="C301" s="365"/>
      <c r="D301" s="364"/>
      <c r="E301" s="364"/>
      <c r="F301" s="364"/>
      <c r="G301" s="364"/>
      <c r="H301" s="364"/>
      <c r="I301" s="364"/>
      <c r="J301" s="364"/>
      <c r="K301" s="364"/>
      <c r="L301" s="364"/>
      <c r="M301" s="364"/>
      <c r="N301" s="364"/>
      <c r="O301" s="364"/>
      <c r="P301" s="364"/>
      <c r="Q301" s="364"/>
      <c r="R301" s="364"/>
      <c r="S301" s="364"/>
      <c r="T301" s="364"/>
      <c r="U301" s="364"/>
      <c r="V301" s="364"/>
      <c r="W301" s="364"/>
      <c r="X301" s="364"/>
      <c r="Y301" s="364"/>
      <c r="Z301" s="364"/>
      <c r="AA301" s="364"/>
    </row>
    <row r="302" customFormat="false" ht="15.75" hidden="false" customHeight="false" outlineLevel="0" collapsed="false">
      <c r="A302" s="261" t="str">
        <f aca="false">IFERROR(__xludf.dummyfunction("""COMPUTED_VALUE"""),"Delcatty")</f>
        <v>Delcatty</v>
      </c>
      <c r="B302" s="365"/>
      <c r="C302" s="365"/>
      <c r="D302" s="364"/>
      <c r="E302" s="364"/>
      <c r="F302" s="364"/>
      <c r="G302" s="364"/>
      <c r="H302" s="364"/>
      <c r="I302" s="364"/>
      <c r="J302" s="364"/>
      <c r="K302" s="364"/>
      <c r="L302" s="364"/>
      <c r="M302" s="364"/>
      <c r="N302" s="364"/>
      <c r="O302" s="364"/>
      <c r="P302" s="364"/>
      <c r="Q302" s="364"/>
      <c r="R302" s="364"/>
      <c r="S302" s="364"/>
      <c r="T302" s="364"/>
      <c r="U302" s="364"/>
      <c r="V302" s="364"/>
      <c r="W302" s="364"/>
      <c r="X302" s="364"/>
      <c r="Y302" s="364"/>
      <c r="Z302" s="364"/>
      <c r="AA302" s="364"/>
    </row>
    <row r="303" customFormat="false" ht="15.75" hidden="false" customHeight="false" outlineLevel="0" collapsed="false">
      <c r="A303" s="261" t="str">
        <f aca="false">IFERROR(__xludf.dummyfunction("""COMPUTED_VALUE"""),"Sableye")</f>
        <v>Sableye</v>
      </c>
      <c r="B303" s="365"/>
      <c r="C303" s="365"/>
      <c r="D303" s="364"/>
      <c r="E303" s="364"/>
      <c r="F303" s="364"/>
      <c r="G303" s="364"/>
      <c r="H303" s="364"/>
      <c r="I303" s="364"/>
      <c r="J303" s="364"/>
      <c r="K303" s="364"/>
      <c r="L303" s="364"/>
      <c r="M303" s="364"/>
      <c r="N303" s="364"/>
      <c r="O303" s="364"/>
      <c r="P303" s="364"/>
      <c r="Q303" s="364"/>
      <c r="R303" s="364"/>
      <c r="S303" s="364"/>
      <c r="T303" s="364"/>
      <c r="U303" s="364"/>
      <c r="V303" s="364"/>
      <c r="W303" s="364"/>
      <c r="X303" s="364"/>
      <c r="Y303" s="364"/>
      <c r="Z303" s="364"/>
      <c r="AA303" s="364"/>
    </row>
    <row r="304" customFormat="false" ht="15.75" hidden="false" customHeight="false" outlineLevel="0" collapsed="false">
      <c r="A304" s="261" t="str">
        <f aca="false">IFERROR(__xludf.dummyfunction("""COMPUTED_VALUE"""),"Mawile")</f>
        <v>Mawile</v>
      </c>
      <c r="B304" s="365"/>
      <c r="C304" s="365"/>
      <c r="D304" s="364"/>
      <c r="E304" s="364"/>
      <c r="F304" s="364"/>
      <c r="G304" s="364"/>
      <c r="H304" s="364"/>
      <c r="I304" s="364"/>
      <c r="J304" s="364"/>
      <c r="K304" s="364"/>
      <c r="L304" s="364"/>
      <c r="M304" s="364"/>
      <c r="N304" s="364"/>
      <c r="O304" s="364"/>
      <c r="P304" s="364"/>
      <c r="Q304" s="364"/>
      <c r="R304" s="364"/>
      <c r="S304" s="364"/>
      <c r="T304" s="364"/>
      <c r="U304" s="364"/>
      <c r="V304" s="364"/>
      <c r="W304" s="364"/>
      <c r="X304" s="364"/>
      <c r="Y304" s="364"/>
      <c r="Z304" s="364"/>
      <c r="AA304" s="364"/>
    </row>
    <row r="305" customFormat="false" ht="15.75" hidden="false" customHeight="false" outlineLevel="0" collapsed="false">
      <c r="A305" s="261" t="str">
        <f aca="false">IFERROR(__xludf.dummyfunction("""COMPUTED_VALUE"""),"Aron")</f>
        <v>Aron</v>
      </c>
      <c r="B305" s="365"/>
      <c r="C305" s="365"/>
      <c r="D305" s="364"/>
      <c r="E305" s="364"/>
      <c r="F305" s="364"/>
      <c r="G305" s="364"/>
      <c r="H305" s="364"/>
      <c r="I305" s="364"/>
      <c r="J305" s="364"/>
      <c r="K305" s="364"/>
      <c r="L305" s="364"/>
      <c r="M305" s="364"/>
      <c r="N305" s="364"/>
      <c r="O305" s="364"/>
      <c r="P305" s="364"/>
      <c r="Q305" s="364"/>
      <c r="R305" s="364"/>
      <c r="S305" s="364"/>
      <c r="T305" s="364"/>
      <c r="U305" s="364"/>
      <c r="V305" s="364"/>
      <c r="W305" s="364"/>
      <c r="X305" s="364"/>
      <c r="Y305" s="364"/>
      <c r="Z305" s="364"/>
      <c r="AA305" s="364"/>
    </row>
    <row r="306" customFormat="false" ht="15.75" hidden="false" customHeight="false" outlineLevel="0" collapsed="false">
      <c r="A306" s="261" t="str">
        <f aca="false">IFERROR(__xludf.dummyfunction("""COMPUTED_VALUE"""),"Lairon")</f>
        <v>Lairon</v>
      </c>
      <c r="B306" s="365"/>
      <c r="C306" s="365"/>
      <c r="D306" s="364"/>
      <c r="E306" s="364"/>
      <c r="F306" s="364"/>
      <c r="G306" s="364"/>
      <c r="H306" s="364"/>
      <c r="I306" s="364"/>
      <c r="J306" s="364"/>
      <c r="K306" s="364"/>
      <c r="L306" s="364"/>
      <c r="M306" s="364"/>
      <c r="N306" s="364"/>
      <c r="O306" s="364"/>
      <c r="P306" s="364"/>
      <c r="Q306" s="364"/>
      <c r="R306" s="364"/>
      <c r="S306" s="364"/>
      <c r="T306" s="364"/>
      <c r="U306" s="364"/>
      <c r="V306" s="364"/>
      <c r="W306" s="364"/>
      <c r="X306" s="364"/>
      <c r="Y306" s="364"/>
      <c r="Z306" s="364"/>
      <c r="AA306" s="364"/>
    </row>
    <row r="307" customFormat="false" ht="15.75" hidden="false" customHeight="false" outlineLevel="0" collapsed="false">
      <c r="A307" s="261" t="str">
        <f aca="false">IFERROR(__xludf.dummyfunction("""COMPUTED_VALUE"""),"Aggron")</f>
        <v>Aggron</v>
      </c>
      <c r="B307" s="365"/>
      <c r="C307" s="365"/>
      <c r="D307" s="364"/>
      <c r="E307" s="364"/>
      <c r="F307" s="364"/>
      <c r="G307" s="364"/>
      <c r="H307" s="364"/>
      <c r="I307" s="364"/>
      <c r="J307" s="364"/>
      <c r="K307" s="364"/>
      <c r="L307" s="364"/>
      <c r="M307" s="364"/>
      <c r="N307" s="364"/>
      <c r="O307" s="364"/>
      <c r="P307" s="364"/>
      <c r="Q307" s="364"/>
      <c r="R307" s="364"/>
      <c r="S307" s="364"/>
      <c r="T307" s="364"/>
      <c r="U307" s="364"/>
      <c r="V307" s="364"/>
      <c r="W307" s="364"/>
      <c r="X307" s="364"/>
      <c r="Y307" s="364"/>
      <c r="Z307" s="364"/>
      <c r="AA307" s="364"/>
    </row>
    <row r="308" customFormat="false" ht="15.75" hidden="false" customHeight="false" outlineLevel="0" collapsed="false">
      <c r="A308" s="261" t="str">
        <f aca="false">IFERROR(__xludf.dummyfunction("""COMPUTED_VALUE"""),"Meditite")</f>
        <v>Meditite</v>
      </c>
      <c r="B308" s="365"/>
      <c r="C308" s="365"/>
      <c r="D308" s="364"/>
      <c r="E308" s="364"/>
      <c r="F308" s="364"/>
      <c r="G308" s="364"/>
      <c r="H308" s="364"/>
      <c r="I308" s="364"/>
      <c r="J308" s="364"/>
      <c r="K308" s="364"/>
      <c r="L308" s="364"/>
      <c r="M308" s="364"/>
      <c r="N308" s="364"/>
      <c r="O308" s="364"/>
      <c r="P308" s="364"/>
      <c r="Q308" s="364"/>
      <c r="R308" s="364"/>
      <c r="S308" s="364"/>
      <c r="T308" s="364"/>
      <c r="U308" s="364"/>
      <c r="V308" s="364"/>
      <c r="W308" s="364"/>
      <c r="X308" s="364"/>
      <c r="Y308" s="364"/>
      <c r="Z308" s="364"/>
      <c r="AA308" s="364"/>
    </row>
    <row r="309" customFormat="false" ht="15.75" hidden="false" customHeight="false" outlineLevel="0" collapsed="false">
      <c r="A309" s="261" t="str">
        <f aca="false">IFERROR(__xludf.dummyfunction("""COMPUTED_VALUE"""),"Medicham")</f>
        <v>Medicham</v>
      </c>
      <c r="B309" s="365"/>
      <c r="C309" s="365"/>
      <c r="D309" s="364"/>
      <c r="E309" s="364"/>
      <c r="F309" s="364"/>
      <c r="G309" s="364"/>
      <c r="H309" s="364"/>
      <c r="I309" s="364"/>
      <c r="J309" s="364"/>
      <c r="K309" s="364"/>
      <c r="L309" s="364"/>
      <c r="M309" s="364"/>
      <c r="N309" s="364"/>
      <c r="O309" s="364"/>
      <c r="P309" s="364"/>
      <c r="Q309" s="364"/>
      <c r="R309" s="364"/>
      <c r="S309" s="364"/>
      <c r="T309" s="364"/>
      <c r="U309" s="364"/>
      <c r="V309" s="364"/>
      <c r="W309" s="364"/>
      <c r="X309" s="364"/>
      <c r="Y309" s="364"/>
      <c r="Z309" s="364"/>
      <c r="AA309" s="364"/>
    </row>
    <row r="310" customFormat="false" ht="15.75" hidden="false" customHeight="false" outlineLevel="0" collapsed="false">
      <c r="A310" s="261" t="str">
        <f aca="false">IFERROR(__xludf.dummyfunction("""COMPUTED_VALUE"""),"Electrike")</f>
        <v>Electrike</v>
      </c>
      <c r="B310" s="365"/>
      <c r="C310" s="365"/>
      <c r="D310" s="364"/>
      <c r="E310" s="364"/>
      <c r="F310" s="364"/>
      <c r="G310" s="364"/>
      <c r="H310" s="364"/>
      <c r="I310" s="364"/>
      <c r="J310" s="364"/>
      <c r="K310" s="364"/>
      <c r="L310" s="364"/>
      <c r="M310" s="364"/>
      <c r="N310" s="364"/>
      <c r="O310" s="364"/>
      <c r="P310" s="364"/>
      <c r="Q310" s="364"/>
      <c r="R310" s="364"/>
      <c r="S310" s="364"/>
      <c r="T310" s="364"/>
      <c r="U310" s="364"/>
      <c r="V310" s="364"/>
      <c r="W310" s="364"/>
      <c r="X310" s="364"/>
      <c r="Y310" s="364"/>
      <c r="Z310" s="364"/>
      <c r="AA310" s="364"/>
    </row>
    <row r="311" customFormat="false" ht="15.75" hidden="false" customHeight="false" outlineLevel="0" collapsed="false">
      <c r="A311" s="261" t="str">
        <f aca="false">IFERROR(__xludf.dummyfunction("""COMPUTED_VALUE"""),"Manectric")</f>
        <v>Manectric</v>
      </c>
      <c r="B311" s="365"/>
      <c r="C311" s="365"/>
      <c r="D311" s="364"/>
      <c r="E311" s="364"/>
      <c r="F311" s="364"/>
      <c r="G311" s="364"/>
      <c r="H311" s="364"/>
      <c r="I311" s="364"/>
      <c r="J311" s="364"/>
      <c r="K311" s="364"/>
      <c r="L311" s="364"/>
      <c r="M311" s="364"/>
      <c r="N311" s="364"/>
      <c r="O311" s="364"/>
      <c r="P311" s="364"/>
      <c r="Q311" s="364"/>
      <c r="R311" s="364"/>
      <c r="S311" s="364"/>
      <c r="T311" s="364"/>
      <c r="U311" s="364"/>
      <c r="V311" s="364"/>
      <c r="W311" s="364"/>
      <c r="X311" s="364"/>
      <c r="Y311" s="364"/>
      <c r="Z311" s="364"/>
      <c r="AA311" s="364"/>
    </row>
    <row r="312" customFormat="false" ht="15.75" hidden="false" customHeight="false" outlineLevel="0" collapsed="false">
      <c r="A312" s="261" t="str">
        <f aca="false">IFERROR(__xludf.dummyfunction("""COMPUTED_VALUE"""),"Plusle")</f>
        <v>Plusle</v>
      </c>
      <c r="B312" s="365"/>
      <c r="C312" s="365"/>
      <c r="D312" s="364"/>
      <c r="E312" s="364"/>
      <c r="F312" s="364"/>
      <c r="G312" s="364"/>
      <c r="H312" s="364"/>
      <c r="I312" s="364"/>
      <c r="J312" s="364"/>
      <c r="K312" s="364"/>
      <c r="L312" s="364"/>
      <c r="M312" s="364"/>
      <c r="N312" s="364"/>
      <c r="O312" s="364"/>
      <c r="P312" s="364"/>
      <c r="Q312" s="364"/>
      <c r="R312" s="364"/>
      <c r="S312" s="364"/>
      <c r="T312" s="364"/>
      <c r="U312" s="364"/>
      <c r="V312" s="364"/>
      <c r="W312" s="364"/>
      <c r="X312" s="364"/>
      <c r="Y312" s="364"/>
      <c r="Z312" s="364"/>
      <c r="AA312" s="364"/>
    </row>
    <row r="313" customFormat="false" ht="15.75" hidden="false" customHeight="false" outlineLevel="0" collapsed="false">
      <c r="A313" s="261" t="str">
        <f aca="false">IFERROR(__xludf.dummyfunction("""COMPUTED_VALUE"""),"Minun")</f>
        <v>Minun</v>
      </c>
      <c r="B313" s="365"/>
      <c r="C313" s="365"/>
      <c r="D313" s="364"/>
      <c r="E313" s="364"/>
      <c r="F313" s="364"/>
      <c r="G313" s="364"/>
      <c r="H313" s="364"/>
      <c r="I313" s="364"/>
      <c r="J313" s="364"/>
      <c r="K313" s="364"/>
      <c r="L313" s="364"/>
      <c r="M313" s="364"/>
      <c r="N313" s="364"/>
      <c r="O313" s="364"/>
      <c r="P313" s="364"/>
      <c r="Q313" s="364"/>
      <c r="R313" s="364"/>
      <c r="S313" s="364"/>
      <c r="T313" s="364"/>
      <c r="U313" s="364"/>
      <c r="V313" s="364"/>
      <c r="W313" s="364"/>
      <c r="X313" s="364"/>
      <c r="Y313" s="364"/>
      <c r="Z313" s="364"/>
      <c r="AA313" s="364"/>
    </row>
    <row r="314" customFormat="false" ht="15.75" hidden="false" customHeight="false" outlineLevel="0" collapsed="false">
      <c r="A314" s="261" t="str">
        <f aca="false">IFERROR(__xludf.dummyfunction("""COMPUTED_VALUE"""),"Volbeat")</f>
        <v>Volbeat</v>
      </c>
      <c r="B314" s="365"/>
      <c r="C314" s="365"/>
      <c r="D314" s="364"/>
      <c r="E314" s="364"/>
      <c r="F314" s="364"/>
      <c r="G314" s="364"/>
      <c r="H314" s="364"/>
      <c r="I314" s="364"/>
      <c r="J314" s="364"/>
      <c r="K314" s="364"/>
      <c r="L314" s="364"/>
      <c r="M314" s="364"/>
      <c r="N314" s="364"/>
      <c r="O314" s="364"/>
      <c r="P314" s="364"/>
      <c r="Q314" s="364"/>
      <c r="R314" s="364"/>
      <c r="S314" s="364"/>
      <c r="T314" s="364"/>
      <c r="U314" s="364"/>
      <c r="V314" s="364"/>
      <c r="W314" s="364"/>
      <c r="X314" s="364"/>
      <c r="Y314" s="364"/>
      <c r="Z314" s="364"/>
      <c r="AA314" s="364"/>
    </row>
    <row r="315" customFormat="false" ht="15.75" hidden="false" customHeight="false" outlineLevel="0" collapsed="false">
      <c r="A315" s="261" t="str">
        <f aca="false">IFERROR(__xludf.dummyfunction("""COMPUTED_VALUE"""),"Illumise")</f>
        <v>Illumise</v>
      </c>
      <c r="B315" s="365"/>
      <c r="C315" s="365"/>
      <c r="D315" s="364"/>
      <c r="E315" s="364"/>
      <c r="F315" s="364"/>
      <c r="G315" s="364"/>
      <c r="H315" s="364"/>
      <c r="I315" s="364"/>
      <c r="J315" s="364"/>
      <c r="K315" s="364"/>
      <c r="L315" s="364"/>
      <c r="M315" s="364"/>
      <c r="N315" s="364"/>
      <c r="O315" s="364"/>
      <c r="P315" s="364"/>
      <c r="Q315" s="364"/>
      <c r="R315" s="364"/>
      <c r="S315" s="364"/>
      <c r="T315" s="364"/>
      <c r="U315" s="364"/>
      <c r="V315" s="364"/>
      <c r="W315" s="364"/>
      <c r="X315" s="364"/>
      <c r="Y315" s="364"/>
      <c r="Z315" s="364"/>
      <c r="AA315" s="364"/>
    </row>
    <row r="316" customFormat="false" ht="15.75" hidden="false" customHeight="false" outlineLevel="0" collapsed="false">
      <c r="A316" s="261" t="str">
        <f aca="false">IFERROR(__xludf.dummyfunction("""COMPUTED_VALUE"""),"Roselia")</f>
        <v>Roselia</v>
      </c>
      <c r="B316" s="365"/>
      <c r="C316" s="365"/>
      <c r="D316" s="364"/>
      <c r="E316" s="364"/>
      <c r="F316" s="364"/>
      <c r="G316" s="364"/>
      <c r="H316" s="364"/>
      <c r="I316" s="364"/>
      <c r="J316" s="364"/>
      <c r="K316" s="364"/>
      <c r="L316" s="364"/>
      <c r="M316" s="364"/>
      <c r="N316" s="364"/>
      <c r="O316" s="364"/>
      <c r="P316" s="364"/>
      <c r="Q316" s="364"/>
      <c r="R316" s="364"/>
      <c r="S316" s="364"/>
      <c r="T316" s="364"/>
      <c r="U316" s="364"/>
      <c r="V316" s="364"/>
      <c r="W316" s="364"/>
      <c r="X316" s="364"/>
      <c r="Y316" s="364"/>
      <c r="Z316" s="364"/>
      <c r="AA316" s="364"/>
    </row>
    <row r="317" customFormat="false" ht="15.75" hidden="false" customHeight="false" outlineLevel="0" collapsed="false">
      <c r="A317" s="261" t="str">
        <f aca="false">IFERROR(__xludf.dummyfunction("""COMPUTED_VALUE"""),"Gulpin")</f>
        <v>Gulpin</v>
      </c>
      <c r="B317" s="365"/>
      <c r="C317" s="365"/>
      <c r="D317" s="364"/>
      <c r="E317" s="364"/>
      <c r="F317" s="364"/>
      <c r="G317" s="364"/>
      <c r="H317" s="364"/>
      <c r="I317" s="364"/>
      <c r="J317" s="364"/>
      <c r="K317" s="364"/>
      <c r="L317" s="364"/>
      <c r="M317" s="364"/>
      <c r="N317" s="364"/>
      <c r="O317" s="364"/>
      <c r="P317" s="364"/>
      <c r="Q317" s="364"/>
      <c r="R317" s="364"/>
      <c r="S317" s="364"/>
      <c r="T317" s="364"/>
      <c r="U317" s="364"/>
      <c r="V317" s="364"/>
      <c r="W317" s="364"/>
      <c r="X317" s="364"/>
      <c r="Y317" s="364"/>
      <c r="Z317" s="364"/>
      <c r="AA317" s="364"/>
    </row>
    <row r="318" customFormat="false" ht="15.75" hidden="false" customHeight="false" outlineLevel="0" collapsed="false">
      <c r="A318" s="261" t="str">
        <f aca="false">IFERROR(__xludf.dummyfunction("""COMPUTED_VALUE"""),"Swalot")</f>
        <v>Swalot</v>
      </c>
      <c r="B318" s="365"/>
      <c r="C318" s="365"/>
      <c r="D318" s="364"/>
      <c r="E318" s="364"/>
      <c r="F318" s="364"/>
      <c r="G318" s="364"/>
      <c r="H318" s="364"/>
      <c r="I318" s="364"/>
      <c r="J318" s="364"/>
      <c r="K318" s="364"/>
      <c r="L318" s="364"/>
      <c r="M318" s="364"/>
      <c r="N318" s="364"/>
      <c r="O318" s="364"/>
      <c r="P318" s="364"/>
      <c r="Q318" s="364"/>
      <c r="R318" s="364"/>
      <c r="S318" s="364"/>
      <c r="T318" s="364"/>
      <c r="U318" s="364"/>
      <c r="V318" s="364"/>
      <c r="W318" s="364"/>
      <c r="X318" s="364"/>
      <c r="Y318" s="364"/>
      <c r="Z318" s="364"/>
      <c r="AA318" s="364"/>
    </row>
    <row r="319" customFormat="false" ht="15.75" hidden="false" customHeight="false" outlineLevel="0" collapsed="false">
      <c r="A319" s="261" t="str">
        <f aca="false">IFERROR(__xludf.dummyfunction("""COMPUTED_VALUE"""),"Carvanha")</f>
        <v>Carvanha</v>
      </c>
      <c r="B319" s="365"/>
      <c r="C319" s="365"/>
      <c r="D319" s="364"/>
      <c r="E319" s="364"/>
      <c r="F319" s="364"/>
      <c r="G319" s="364"/>
      <c r="H319" s="364"/>
      <c r="I319" s="364"/>
      <c r="J319" s="364"/>
      <c r="K319" s="364"/>
      <c r="L319" s="364"/>
      <c r="M319" s="364"/>
      <c r="N319" s="364"/>
      <c r="O319" s="364"/>
      <c r="P319" s="364"/>
      <c r="Q319" s="364"/>
      <c r="R319" s="364"/>
      <c r="S319" s="364"/>
      <c r="T319" s="364"/>
      <c r="U319" s="364"/>
      <c r="V319" s="364"/>
      <c r="W319" s="364"/>
      <c r="X319" s="364"/>
      <c r="Y319" s="364"/>
      <c r="Z319" s="364"/>
      <c r="AA319" s="364"/>
    </row>
    <row r="320" customFormat="false" ht="15.75" hidden="false" customHeight="false" outlineLevel="0" collapsed="false">
      <c r="A320" s="261" t="str">
        <f aca="false">IFERROR(__xludf.dummyfunction("""COMPUTED_VALUE"""),"Sharpedo")</f>
        <v>Sharpedo</v>
      </c>
      <c r="B320" s="365"/>
      <c r="C320" s="365"/>
      <c r="D320" s="364"/>
      <c r="E320" s="364"/>
      <c r="F320" s="364"/>
      <c r="G320" s="364"/>
      <c r="H320" s="364"/>
      <c r="I320" s="364"/>
      <c r="J320" s="364"/>
      <c r="K320" s="364"/>
      <c r="L320" s="364"/>
      <c r="M320" s="364"/>
      <c r="N320" s="364"/>
      <c r="O320" s="364"/>
      <c r="P320" s="364"/>
      <c r="Q320" s="364"/>
      <c r="R320" s="364"/>
      <c r="S320" s="364"/>
      <c r="T320" s="364"/>
      <c r="U320" s="364"/>
      <c r="V320" s="364"/>
      <c r="W320" s="364"/>
      <c r="X320" s="364"/>
      <c r="Y320" s="364"/>
      <c r="Z320" s="364"/>
      <c r="AA320" s="364"/>
    </row>
    <row r="321" customFormat="false" ht="15.75" hidden="false" customHeight="false" outlineLevel="0" collapsed="false">
      <c r="A321" s="261" t="str">
        <f aca="false">IFERROR(__xludf.dummyfunction("""COMPUTED_VALUE"""),"Wailmer")</f>
        <v>Wailmer</v>
      </c>
      <c r="B321" s="365"/>
      <c r="C321" s="365"/>
      <c r="D321" s="364"/>
      <c r="E321" s="364"/>
      <c r="F321" s="364"/>
      <c r="G321" s="364"/>
      <c r="H321" s="364"/>
      <c r="I321" s="364"/>
      <c r="J321" s="364"/>
      <c r="K321" s="364"/>
      <c r="L321" s="364"/>
      <c r="M321" s="364"/>
      <c r="N321" s="364"/>
      <c r="O321" s="364"/>
      <c r="P321" s="364"/>
      <c r="Q321" s="364"/>
      <c r="R321" s="364"/>
      <c r="S321" s="364"/>
      <c r="T321" s="364"/>
      <c r="U321" s="364"/>
      <c r="V321" s="364"/>
      <c r="W321" s="364"/>
      <c r="X321" s="364"/>
      <c r="Y321" s="364"/>
      <c r="Z321" s="364"/>
      <c r="AA321" s="364"/>
    </row>
    <row r="322" customFormat="false" ht="15.75" hidden="false" customHeight="false" outlineLevel="0" collapsed="false">
      <c r="A322" s="261" t="str">
        <f aca="false">IFERROR(__xludf.dummyfunction("""COMPUTED_VALUE"""),"Wailord")</f>
        <v>Wailord</v>
      </c>
      <c r="B322" s="365"/>
      <c r="C322" s="365"/>
      <c r="D322" s="364"/>
      <c r="E322" s="364"/>
      <c r="F322" s="364"/>
      <c r="G322" s="364"/>
      <c r="H322" s="364"/>
      <c r="I322" s="364"/>
      <c r="J322" s="364"/>
      <c r="K322" s="364"/>
      <c r="L322" s="364"/>
      <c r="M322" s="364"/>
      <c r="N322" s="364"/>
      <c r="O322" s="364"/>
      <c r="P322" s="364"/>
      <c r="Q322" s="364"/>
      <c r="R322" s="364"/>
      <c r="S322" s="364"/>
      <c r="T322" s="364"/>
      <c r="U322" s="364"/>
      <c r="V322" s="364"/>
      <c r="W322" s="364"/>
      <c r="X322" s="364"/>
      <c r="Y322" s="364"/>
      <c r="Z322" s="364"/>
      <c r="AA322" s="364"/>
    </row>
    <row r="323" customFormat="false" ht="15.75" hidden="false" customHeight="false" outlineLevel="0" collapsed="false">
      <c r="A323" s="261" t="str">
        <f aca="false">IFERROR(__xludf.dummyfunction("""COMPUTED_VALUE"""),"Numel")</f>
        <v>Numel</v>
      </c>
      <c r="B323" s="365"/>
      <c r="C323" s="365"/>
      <c r="D323" s="364"/>
      <c r="E323" s="364"/>
      <c r="F323" s="364"/>
      <c r="G323" s="364"/>
      <c r="H323" s="364"/>
      <c r="I323" s="364"/>
      <c r="J323" s="364"/>
      <c r="K323" s="364"/>
      <c r="L323" s="364"/>
      <c r="M323" s="364"/>
      <c r="N323" s="364"/>
      <c r="O323" s="364"/>
      <c r="P323" s="364"/>
      <c r="Q323" s="364"/>
      <c r="R323" s="364"/>
      <c r="S323" s="364"/>
      <c r="T323" s="364"/>
      <c r="U323" s="364"/>
      <c r="V323" s="364"/>
      <c r="W323" s="364"/>
      <c r="X323" s="364"/>
      <c r="Y323" s="364"/>
      <c r="Z323" s="364"/>
      <c r="AA323" s="364"/>
    </row>
    <row r="324" customFormat="false" ht="15.75" hidden="false" customHeight="false" outlineLevel="0" collapsed="false">
      <c r="A324" s="261" t="str">
        <f aca="false">IFERROR(__xludf.dummyfunction("""COMPUTED_VALUE"""),"Camerupt")</f>
        <v>Camerupt</v>
      </c>
      <c r="B324" s="365"/>
      <c r="C324" s="365"/>
      <c r="D324" s="364"/>
      <c r="E324" s="364"/>
      <c r="F324" s="364"/>
      <c r="G324" s="364"/>
      <c r="H324" s="364"/>
      <c r="I324" s="364"/>
      <c r="J324" s="364"/>
      <c r="K324" s="364"/>
      <c r="L324" s="364"/>
      <c r="M324" s="364"/>
      <c r="N324" s="364"/>
      <c r="O324" s="364"/>
      <c r="P324" s="364"/>
      <c r="Q324" s="364"/>
      <c r="R324" s="364"/>
      <c r="S324" s="364"/>
      <c r="T324" s="364"/>
      <c r="U324" s="364"/>
      <c r="V324" s="364"/>
      <c r="W324" s="364"/>
      <c r="X324" s="364"/>
      <c r="Y324" s="364"/>
      <c r="Z324" s="364"/>
      <c r="AA324" s="364"/>
    </row>
    <row r="325" customFormat="false" ht="15.75" hidden="false" customHeight="false" outlineLevel="0" collapsed="false">
      <c r="A325" s="261" t="str">
        <f aca="false">IFERROR(__xludf.dummyfunction("""COMPUTED_VALUE"""),"Torkoal")</f>
        <v>Torkoal</v>
      </c>
      <c r="B325" s="365"/>
      <c r="C325" s="365"/>
      <c r="D325" s="364"/>
      <c r="E325" s="364"/>
      <c r="F325" s="364"/>
      <c r="G325" s="364"/>
      <c r="H325" s="364"/>
      <c r="I325" s="364"/>
      <c r="J325" s="364"/>
      <c r="K325" s="364"/>
      <c r="L325" s="364"/>
      <c r="M325" s="364"/>
      <c r="N325" s="364"/>
      <c r="O325" s="364"/>
      <c r="P325" s="364"/>
      <c r="Q325" s="364"/>
      <c r="R325" s="364"/>
      <c r="S325" s="364"/>
      <c r="T325" s="364"/>
      <c r="U325" s="364"/>
      <c r="V325" s="364"/>
      <c r="W325" s="364"/>
      <c r="X325" s="364"/>
      <c r="Y325" s="364"/>
      <c r="Z325" s="364"/>
      <c r="AA325" s="364"/>
    </row>
    <row r="326" customFormat="false" ht="15.75" hidden="false" customHeight="false" outlineLevel="0" collapsed="false">
      <c r="A326" s="261" t="str">
        <f aca="false">IFERROR(__xludf.dummyfunction("""COMPUTED_VALUE"""),"Spoink")</f>
        <v>Spoink</v>
      </c>
      <c r="B326" s="365"/>
      <c r="C326" s="365"/>
      <c r="D326" s="364"/>
      <c r="E326" s="364"/>
      <c r="F326" s="364"/>
      <c r="G326" s="364"/>
      <c r="H326" s="364"/>
      <c r="I326" s="364"/>
      <c r="J326" s="364"/>
      <c r="K326" s="364"/>
      <c r="L326" s="364"/>
      <c r="M326" s="364"/>
      <c r="N326" s="364"/>
      <c r="O326" s="364"/>
      <c r="P326" s="364"/>
      <c r="Q326" s="364"/>
      <c r="R326" s="364"/>
      <c r="S326" s="364"/>
      <c r="T326" s="364"/>
      <c r="U326" s="364"/>
      <c r="V326" s="364"/>
      <c r="W326" s="364"/>
      <c r="X326" s="364"/>
      <c r="Y326" s="364"/>
      <c r="Z326" s="364"/>
      <c r="AA326" s="364"/>
    </row>
    <row r="327" customFormat="false" ht="15.75" hidden="false" customHeight="false" outlineLevel="0" collapsed="false">
      <c r="A327" s="261" t="str">
        <f aca="false">IFERROR(__xludf.dummyfunction("""COMPUTED_VALUE"""),"Grumpig")</f>
        <v>Grumpig</v>
      </c>
      <c r="B327" s="365"/>
      <c r="C327" s="365"/>
      <c r="D327" s="364"/>
      <c r="E327" s="364"/>
      <c r="F327" s="364"/>
      <c r="G327" s="364"/>
      <c r="H327" s="364"/>
      <c r="I327" s="364"/>
      <c r="J327" s="364"/>
      <c r="K327" s="364"/>
      <c r="L327" s="364"/>
      <c r="M327" s="364"/>
      <c r="N327" s="364"/>
      <c r="O327" s="364"/>
      <c r="P327" s="364"/>
      <c r="Q327" s="364"/>
      <c r="R327" s="364"/>
      <c r="S327" s="364"/>
      <c r="T327" s="364"/>
      <c r="U327" s="364"/>
      <c r="V327" s="364"/>
      <c r="W327" s="364"/>
      <c r="X327" s="364"/>
      <c r="Y327" s="364"/>
      <c r="Z327" s="364"/>
      <c r="AA327" s="364"/>
    </row>
    <row r="328" customFormat="false" ht="15.75" hidden="false" customHeight="false" outlineLevel="0" collapsed="false">
      <c r="A328" s="261" t="str">
        <f aca="false">IFERROR(__xludf.dummyfunction("""COMPUTED_VALUE"""),"Spinda")</f>
        <v>Spinda</v>
      </c>
      <c r="B328" s="365"/>
      <c r="C328" s="365"/>
      <c r="D328" s="364"/>
      <c r="E328" s="364"/>
      <c r="F328" s="364"/>
      <c r="G328" s="364"/>
      <c r="H328" s="364"/>
      <c r="I328" s="364"/>
      <c r="J328" s="364"/>
      <c r="K328" s="364"/>
      <c r="L328" s="364"/>
      <c r="M328" s="364"/>
      <c r="N328" s="364"/>
      <c r="O328" s="364"/>
      <c r="P328" s="364"/>
      <c r="Q328" s="364"/>
      <c r="R328" s="364"/>
      <c r="S328" s="364"/>
      <c r="T328" s="364"/>
      <c r="U328" s="364"/>
      <c r="V328" s="364"/>
      <c r="W328" s="364"/>
      <c r="X328" s="364"/>
      <c r="Y328" s="364"/>
      <c r="Z328" s="364"/>
      <c r="AA328" s="364"/>
    </row>
    <row r="329" customFormat="false" ht="15.75" hidden="false" customHeight="false" outlineLevel="0" collapsed="false">
      <c r="A329" s="261" t="str">
        <f aca="false">IFERROR(__xludf.dummyfunction("""COMPUTED_VALUE"""),"Trapinch")</f>
        <v>Trapinch</v>
      </c>
      <c r="B329" s="365"/>
      <c r="C329" s="365"/>
      <c r="D329" s="364"/>
      <c r="E329" s="364"/>
      <c r="F329" s="364"/>
      <c r="G329" s="364"/>
      <c r="H329" s="364"/>
      <c r="I329" s="364"/>
      <c r="J329" s="364"/>
      <c r="K329" s="364"/>
      <c r="L329" s="364"/>
      <c r="M329" s="364"/>
      <c r="N329" s="364"/>
      <c r="O329" s="364"/>
      <c r="P329" s="364"/>
      <c r="Q329" s="364"/>
      <c r="R329" s="364"/>
      <c r="S329" s="364"/>
      <c r="T329" s="364"/>
      <c r="U329" s="364"/>
      <c r="V329" s="364"/>
      <c r="W329" s="364"/>
      <c r="X329" s="364"/>
      <c r="Y329" s="364"/>
      <c r="Z329" s="364"/>
      <c r="AA329" s="364"/>
    </row>
    <row r="330" customFormat="false" ht="15.75" hidden="false" customHeight="false" outlineLevel="0" collapsed="false">
      <c r="A330" s="261" t="str">
        <f aca="false">IFERROR(__xludf.dummyfunction("""COMPUTED_VALUE"""),"Vibrava")</f>
        <v>Vibrava</v>
      </c>
      <c r="B330" s="365"/>
      <c r="C330" s="365"/>
      <c r="D330" s="364"/>
      <c r="E330" s="364"/>
      <c r="F330" s="364"/>
      <c r="G330" s="364"/>
      <c r="H330" s="364"/>
      <c r="I330" s="364"/>
      <c r="J330" s="364"/>
      <c r="K330" s="364"/>
      <c r="L330" s="364"/>
      <c r="M330" s="364"/>
      <c r="N330" s="364"/>
      <c r="O330" s="364"/>
      <c r="P330" s="364"/>
      <c r="Q330" s="364"/>
      <c r="R330" s="364"/>
      <c r="S330" s="364"/>
      <c r="T330" s="364"/>
      <c r="U330" s="364"/>
      <c r="V330" s="364"/>
      <c r="W330" s="364"/>
      <c r="X330" s="364"/>
      <c r="Y330" s="364"/>
      <c r="Z330" s="364"/>
      <c r="AA330" s="364"/>
    </row>
    <row r="331" customFormat="false" ht="15.75" hidden="false" customHeight="false" outlineLevel="0" collapsed="false">
      <c r="A331" s="261" t="str">
        <f aca="false">IFERROR(__xludf.dummyfunction("""COMPUTED_VALUE"""),"Flygon")</f>
        <v>Flygon</v>
      </c>
      <c r="B331" s="365"/>
      <c r="C331" s="365"/>
      <c r="D331" s="364"/>
      <c r="E331" s="364"/>
      <c r="F331" s="364"/>
      <c r="G331" s="364"/>
      <c r="H331" s="364"/>
      <c r="I331" s="364"/>
      <c r="J331" s="364"/>
      <c r="K331" s="364"/>
      <c r="L331" s="364"/>
      <c r="M331" s="364"/>
      <c r="N331" s="364"/>
      <c r="O331" s="364"/>
      <c r="P331" s="364"/>
      <c r="Q331" s="364"/>
      <c r="R331" s="364"/>
      <c r="S331" s="364"/>
      <c r="T331" s="364"/>
      <c r="U331" s="364"/>
      <c r="V331" s="364"/>
      <c r="W331" s="364"/>
      <c r="X331" s="364"/>
      <c r="Y331" s="364"/>
      <c r="Z331" s="364"/>
      <c r="AA331" s="364"/>
    </row>
    <row r="332" customFormat="false" ht="15.75" hidden="false" customHeight="false" outlineLevel="0" collapsed="false">
      <c r="A332" s="261" t="str">
        <f aca="false">IFERROR(__xludf.dummyfunction("""COMPUTED_VALUE"""),"Cacnea")</f>
        <v>Cacnea</v>
      </c>
      <c r="B332" s="365"/>
      <c r="C332" s="365"/>
      <c r="D332" s="364"/>
      <c r="E332" s="364"/>
      <c r="F332" s="364"/>
      <c r="G332" s="364"/>
      <c r="H332" s="364"/>
      <c r="I332" s="364"/>
      <c r="J332" s="364"/>
      <c r="K332" s="364"/>
      <c r="L332" s="364"/>
      <c r="M332" s="364"/>
      <c r="N332" s="364"/>
      <c r="O332" s="364"/>
      <c r="P332" s="364"/>
      <c r="Q332" s="364"/>
      <c r="R332" s="364"/>
      <c r="S332" s="364"/>
      <c r="T332" s="364"/>
      <c r="U332" s="364"/>
      <c r="V332" s="364"/>
      <c r="W332" s="364"/>
      <c r="X332" s="364"/>
      <c r="Y332" s="364"/>
      <c r="Z332" s="364"/>
      <c r="AA332" s="364"/>
    </row>
    <row r="333" customFormat="false" ht="15.75" hidden="false" customHeight="false" outlineLevel="0" collapsed="false">
      <c r="A333" s="261" t="str">
        <f aca="false">IFERROR(__xludf.dummyfunction("""COMPUTED_VALUE"""),"Cacturne")</f>
        <v>Cacturne</v>
      </c>
      <c r="B333" s="365"/>
      <c r="C333" s="365"/>
      <c r="D333" s="364"/>
      <c r="E333" s="364"/>
      <c r="F333" s="364"/>
      <c r="G333" s="364"/>
      <c r="H333" s="364"/>
      <c r="I333" s="364"/>
      <c r="J333" s="364"/>
      <c r="K333" s="364"/>
      <c r="L333" s="364"/>
      <c r="M333" s="364"/>
      <c r="N333" s="364"/>
      <c r="O333" s="364"/>
      <c r="P333" s="364"/>
      <c r="Q333" s="364"/>
      <c r="R333" s="364"/>
      <c r="S333" s="364"/>
      <c r="T333" s="364"/>
      <c r="U333" s="364"/>
      <c r="V333" s="364"/>
      <c r="W333" s="364"/>
      <c r="X333" s="364"/>
      <c r="Y333" s="364"/>
      <c r="Z333" s="364"/>
      <c r="AA333" s="364"/>
    </row>
    <row r="334" customFormat="false" ht="15.75" hidden="false" customHeight="false" outlineLevel="0" collapsed="false">
      <c r="A334" s="261" t="str">
        <f aca="false">IFERROR(__xludf.dummyfunction("""COMPUTED_VALUE"""),"Swablu")</f>
        <v>Swablu</v>
      </c>
      <c r="B334" s="365"/>
      <c r="C334" s="365"/>
      <c r="D334" s="364"/>
      <c r="E334" s="364"/>
      <c r="F334" s="364"/>
      <c r="G334" s="364"/>
      <c r="H334" s="364"/>
      <c r="I334" s="364"/>
      <c r="J334" s="364"/>
      <c r="K334" s="364"/>
      <c r="L334" s="364"/>
      <c r="M334" s="364"/>
      <c r="N334" s="364"/>
      <c r="O334" s="364"/>
      <c r="P334" s="364"/>
      <c r="Q334" s="364"/>
      <c r="R334" s="364"/>
      <c r="S334" s="364"/>
      <c r="T334" s="364"/>
      <c r="U334" s="364"/>
      <c r="V334" s="364"/>
      <c r="W334" s="364"/>
      <c r="X334" s="364"/>
      <c r="Y334" s="364"/>
      <c r="Z334" s="364"/>
      <c r="AA334" s="364"/>
    </row>
    <row r="335" customFormat="false" ht="15.75" hidden="false" customHeight="false" outlineLevel="0" collapsed="false">
      <c r="A335" s="261" t="str">
        <f aca="false">IFERROR(__xludf.dummyfunction("""COMPUTED_VALUE"""),"Altaria")</f>
        <v>Altaria</v>
      </c>
      <c r="B335" s="365"/>
      <c r="C335" s="365"/>
      <c r="D335" s="364"/>
      <c r="E335" s="364"/>
      <c r="F335" s="364"/>
      <c r="G335" s="364"/>
      <c r="H335" s="364"/>
      <c r="I335" s="364"/>
      <c r="J335" s="364"/>
      <c r="K335" s="364"/>
      <c r="L335" s="364"/>
      <c r="M335" s="364"/>
      <c r="N335" s="364"/>
      <c r="O335" s="364"/>
      <c r="P335" s="364"/>
      <c r="Q335" s="364"/>
      <c r="R335" s="364"/>
      <c r="S335" s="364"/>
      <c r="T335" s="364"/>
      <c r="U335" s="364"/>
      <c r="V335" s="364"/>
      <c r="W335" s="364"/>
      <c r="X335" s="364"/>
      <c r="Y335" s="364"/>
      <c r="Z335" s="364"/>
      <c r="AA335" s="364"/>
    </row>
    <row r="336" customFormat="false" ht="15.75" hidden="false" customHeight="false" outlineLevel="0" collapsed="false">
      <c r="A336" s="261" t="str">
        <f aca="false">IFERROR(__xludf.dummyfunction("""COMPUTED_VALUE"""),"Zangoose")</f>
        <v>Zangoose</v>
      </c>
      <c r="B336" s="365"/>
      <c r="C336" s="365"/>
      <c r="D336" s="364"/>
      <c r="E336" s="364"/>
      <c r="F336" s="364"/>
      <c r="G336" s="364"/>
      <c r="H336" s="364"/>
      <c r="I336" s="364"/>
      <c r="J336" s="364"/>
      <c r="K336" s="364"/>
      <c r="L336" s="364"/>
      <c r="M336" s="364"/>
      <c r="N336" s="364"/>
      <c r="O336" s="364"/>
      <c r="P336" s="364"/>
      <c r="Q336" s="364"/>
      <c r="R336" s="364"/>
      <c r="S336" s="364"/>
      <c r="T336" s="364"/>
      <c r="U336" s="364"/>
      <c r="V336" s="364"/>
      <c r="W336" s="364"/>
      <c r="X336" s="364"/>
      <c r="Y336" s="364"/>
      <c r="Z336" s="364"/>
      <c r="AA336" s="364"/>
    </row>
    <row r="337" customFormat="false" ht="15.75" hidden="false" customHeight="false" outlineLevel="0" collapsed="false">
      <c r="A337" s="261" t="str">
        <f aca="false">IFERROR(__xludf.dummyfunction("""COMPUTED_VALUE"""),"Seviper")</f>
        <v>Seviper</v>
      </c>
      <c r="B337" s="365"/>
      <c r="C337" s="365"/>
      <c r="D337" s="364"/>
      <c r="E337" s="364"/>
      <c r="F337" s="364"/>
      <c r="G337" s="364"/>
      <c r="H337" s="364"/>
      <c r="I337" s="364"/>
      <c r="J337" s="364"/>
      <c r="K337" s="364"/>
      <c r="L337" s="364"/>
      <c r="M337" s="364"/>
      <c r="N337" s="364"/>
      <c r="O337" s="364"/>
      <c r="P337" s="364"/>
      <c r="Q337" s="364"/>
      <c r="R337" s="364"/>
      <c r="S337" s="364"/>
      <c r="T337" s="364"/>
      <c r="U337" s="364"/>
      <c r="V337" s="364"/>
      <c r="W337" s="364"/>
      <c r="X337" s="364"/>
      <c r="Y337" s="364"/>
      <c r="Z337" s="364"/>
      <c r="AA337" s="364"/>
    </row>
    <row r="338" customFormat="false" ht="15.75" hidden="false" customHeight="false" outlineLevel="0" collapsed="false">
      <c r="A338" s="261" t="str">
        <f aca="false">IFERROR(__xludf.dummyfunction("""COMPUTED_VALUE"""),"Lunatone")</f>
        <v>Lunatone</v>
      </c>
      <c r="B338" s="365"/>
      <c r="C338" s="365"/>
      <c r="D338" s="364"/>
      <c r="E338" s="364"/>
      <c r="F338" s="364"/>
      <c r="G338" s="364"/>
      <c r="H338" s="364"/>
      <c r="I338" s="364"/>
      <c r="J338" s="364"/>
      <c r="K338" s="364"/>
      <c r="L338" s="364"/>
      <c r="M338" s="364"/>
      <c r="N338" s="364"/>
      <c r="O338" s="364"/>
      <c r="P338" s="364"/>
      <c r="Q338" s="364"/>
      <c r="R338" s="364"/>
      <c r="S338" s="364"/>
      <c r="T338" s="364"/>
      <c r="U338" s="364"/>
      <c r="V338" s="364"/>
      <c r="W338" s="364"/>
      <c r="X338" s="364"/>
      <c r="Y338" s="364"/>
      <c r="Z338" s="364"/>
      <c r="AA338" s="364"/>
    </row>
    <row r="339" customFormat="false" ht="15.75" hidden="false" customHeight="false" outlineLevel="0" collapsed="false">
      <c r="A339" s="261" t="str">
        <f aca="false">IFERROR(__xludf.dummyfunction("""COMPUTED_VALUE"""),"Solrock")</f>
        <v>Solrock</v>
      </c>
      <c r="B339" s="365"/>
      <c r="C339" s="365"/>
      <c r="D339" s="364"/>
      <c r="E339" s="364"/>
      <c r="F339" s="364"/>
      <c r="G339" s="364"/>
      <c r="H339" s="364"/>
      <c r="I339" s="364"/>
      <c r="J339" s="364"/>
      <c r="K339" s="364"/>
      <c r="L339" s="364"/>
      <c r="M339" s="364"/>
      <c r="N339" s="364"/>
      <c r="O339" s="364"/>
      <c r="P339" s="364"/>
      <c r="Q339" s="364"/>
      <c r="R339" s="364"/>
      <c r="S339" s="364"/>
      <c r="T339" s="364"/>
      <c r="U339" s="364"/>
      <c r="V339" s="364"/>
      <c r="W339" s="364"/>
      <c r="X339" s="364"/>
      <c r="Y339" s="364"/>
      <c r="Z339" s="364"/>
      <c r="AA339" s="364"/>
    </row>
    <row r="340" customFormat="false" ht="15.75" hidden="false" customHeight="false" outlineLevel="0" collapsed="false">
      <c r="A340" s="261" t="str">
        <f aca="false">IFERROR(__xludf.dummyfunction("""COMPUTED_VALUE"""),"Barboach")</f>
        <v>Barboach</v>
      </c>
      <c r="B340" s="365"/>
      <c r="C340" s="365"/>
      <c r="D340" s="364"/>
      <c r="E340" s="364"/>
      <c r="F340" s="364"/>
      <c r="G340" s="364"/>
      <c r="H340" s="364"/>
      <c r="I340" s="364"/>
      <c r="J340" s="364"/>
      <c r="K340" s="364"/>
      <c r="L340" s="364"/>
      <c r="M340" s="364"/>
      <c r="N340" s="364"/>
      <c r="O340" s="364"/>
      <c r="P340" s="364"/>
      <c r="Q340" s="364"/>
      <c r="R340" s="364"/>
      <c r="S340" s="364"/>
      <c r="T340" s="364"/>
      <c r="U340" s="364"/>
      <c r="V340" s="364"/>
      <c r="W340" s="364"/>
      <c r="X340" s="364"/>
      <c r="Y340" s="364"/>
      <c r="Z340" s="364"/>
      <c r="AA340" s="364"/>
    </row>
    <row r="341" customFormat="false" ht="15.75" hidden="false" customHeight="false" outlineLevel="0" collapsed="false">
      <c r="A341" s="261" t="str">
        <f aca="false">IFERROR(__xludf.dummyfunction("""COMPUTED_VALUE"""),"Whiscash")</f>
        <v>Whiscash</v>
      </c>
      <c r="B341" s="365"/>
      <c r="C341" s="365"/>
      <c r="D341" s="364"/>
      <c r="E341" s="364"/>
      <c r="F341" s="364"/>
      <c r="G341" s="364"/>
      <c r="H341" s="364"/>
      <c r="I341" s="364"/>
      <c r="J341" s="364"/>
      <c r="K341" s="364"/>
      <c r="L341" s="364"/>
      <c r="M341" s="364"/>
      <c r="N341" s="364"/>
      <c r="O341" s="364"/>
      <c r="P341" s="364"/>
      <c r="Q341" s="364"/>
      <c r="R341" s="364"/>
      <c r="S341" s="364"/>
      <c r="T341" s="364"/>
      <c r="U341" s="364"/>
      <c r="V341" s="364"/>
      <c r="W341" s="364"/>
      <c r="X341" s="364"/>
      <c r="Y341" s="364"/>
      <c r="Z341" s="364"/>
      <c r="AA341" s="364"/>
    </row>
    <row r="342" customFormat="false" ht="15.75" hidden="false" customHeight="false" outlineLevel="0" collapsed="false">
      <c r="A342" s="261" t="str">
        <f aca="false">IFERROR(__xludf.dummyfunction("""COMPUTED_VALUE"""),"Corphish")</f>
        <v>Corphish</v>
      </c>
      <c r="B342" s="365"/>
      <c r="C342" s="365"/>
      <c r="D342" s="364"/>
      <c r="E342" s="364"/>
      <c r="F342" s="364"/>
      <c r="G342" s="364"/>
      <c r="H342" s="364"/>
      <c r="I342" s="364"/>
      <c r="J342" s="364"/>
      <c r="K342" s="364"/>
      <c r="L342" s="364"/>
      <c r="M342" s="364"/>
      <c r="N342" s="364"/>
      <c r="O342" s="364"/>
      <c r="P342" s="364"/>
      <c r="Q342" s="364"/>
      <c r="R342" s="364"/>
      <c r="S342" s="364"/>
      <c r="T342" s="364"/>
      <c r="U342" s="364"/>
      <c r="V342" s="364"/>
      <c r="W342" s="364"/>
      <c r="X342" s="364"/>
      <c r="Y342" s="364"/>
      <c r="Z342" s="364"/>
      <c r="AA342" s="364"/>
    </row>
    <row r="343" customFormat="false" ht="15.75" hidden="false" customHeight="false" outlineLevel="0" collapsed="false">
      <c r="A343" s="261" t="str">
        <f aca="false">IFERROR(__xludf.dummyfunction("""COMPUTED_VALUE"""),"Crawdaunt")</f>
        <v>Crawdaunt</v>
      </c>
      <c r="B343" s="365"/>
      <c r="C343" s="365"/>
      <c r="D343" s="364"/>
      <c r="E343" s="364"/>
      <c r="F343" s="364"/>
      <c r="G343" s="364"/>
      <c r="H343" s="364"/>
      <c r="I343" s="364"/>
      <c r="J343" s="364"/>
      <c r="K343" s="364"/>
      <c r="L343" s="364"/>
      <c r="M343" s="364"/>
      <c r="N343" s="364"/>
      <c r="O343" s="364"/>
      <c r="P343" s="364"/>
      <c r="Q343" s="364"/>
      <c r="R343" s="364"/>
      <c r="S343" s="364"/>
      <c r="T343" s="364"/>
      <c r="U343" s="364"/>
      <c r="V343" s="364"/>
      <c r="W343" s="364"/>
      <c r="X343" s="364"/>
      <c r="Y343" s="364"/>
      <c r="Z343" s="364"/>
      <c r="AA343" s="364"/>
    </row>
    <row r="344" customFormat="false" ht="15.75" hidden="false" customHeight="false" outlineLevel="0" collapsed="false">
      <c r="A344" s="261" t="str">
        <f aca="false">IFERROR(__xludf.dummyfunction("""COMPUTED_VALUE"""),"Baltoy")</f>
        <v>Baltoy</v>
      </c>
      <c r="B344" s="365"/>
      <c r="C344" s="365"/>
      <c r="D344" s="364"/>
      <c r="E344" s="364"/>
      <c r="F344" s="364"/>
      <c r="G344" s="364"/>
      <c r="H344" s="364"/>
      <c r="I344" s="364"/>
      <c r="J344" s="364"/>
      <c r="K344" s="364"/>
      <c r="L344" s="364"/>
      <c r="M344" s="364"/>
      <c r="N344" s="364"/>
      <c r="O344" s="364"/>
      <c r="P344" s="364"/>
      <c r="Q344" s="364"/>
      <c r="R344" s="364"/>
      <c r="S344" s="364"/>
      <c r="T344" s="364"/>
      <c r="U344" s="364"/>
      <c r="V344" s="364"/>
      <c r="W344" s="364"/>
      <c r="X344" s="364"/>
      <c r="Y344" s="364"/>
      <c r="Z344" s="364"/>
      <c r="AA344" s="364"/>
    </row>
    <row r="345" customFormat="false" ht="15.75" hidden="false" customHeight="false" outlineLevel="0" collapsed="false">
      <c r="A345" s="261" t="str">
        <f aca="false">IFERROR(__xludf.dummyfunction("""COMPUTED_VALUE"""),"Claydol")</f>
        <v>Claydol</v>
      </c>
      <c r="B345" s="365"/>
      <c r="C345" s="365"/>
      <c r="D345" s="364"/>
      <c r="E345" s="364"/>
      <c r="F345" s="364"/>
      <c r="G345" s="364"/>
      <c r="H345" s="364"/>
      <c r="I345" s="364"/>
      <c r="J345" s="364"/>
      <c r="K345" s="364"/>
      <c r="L345" s="364"/>
      <c r="M345" s="364"/>
      <c r="N345" s="364"/>
      <c r="O345" s="364"/>
      <c r="P345" s="364"/>
      <c r="Q345" s="364"/>
      <c r="R345" s="364"/>
      <c r="S345" s="364"/>
      <c r="T345" s="364"/>
      <c r="U345" s="364"/>
      <c r="V345" s="364"/>
      <c r="W345" s="364"/>
      <c r="X345" s="364"/>
      <c r="Y345" s="364"/>
      <c r="Z345" s="364"/>
      <c r="AA345" s="364"/>
    </row>
    <row r="346" customFormat="false" ht="15.75" hidden="false" customHeight="false" outlineLevel="0" collapsed="false">
      <c r="A346" s="261" t="str">
        <f aca="false">IFERROR(__xludf.dummyfunction("""COMPUTED_VALUE"""),"Lileep")</f>
        <v>Lileep</v>
      </c>
      <c r="B346" s="365"/>
      <c r="C346" s="365"/>
      <c r="D346" s="364"/>
      <c r="E346" s="364"/>
      <c r="F346" s="364"/>
      <c r="G346" s="364"/>
      <c r="H346" s="364"/>
      <c r="I346" s="364"/>
      <c r="J346" s="364"/>
      <c r="K346" s="364"/>
      <c r="L346" s="364"/>
      <c r="M346" s="364"/>
      <c r="N346" s="364"/>
      <c r="O346" s="364"/>
      <c r="P346" s="364"/>
      <c r="Q346" s="364"/>
      <c r="R346" s="364"/>
      <c r="S346" s="364"/>
      <c r="T346" s="364"/>
      <c r="U346" s="364"/>
      <c r="V346" s="364"/>
      <c r="W346" s="364"/>
      <c r="X346" s="364"/>
      <c r="Y346" s="364"/>
      <c r="Z346" s="364"/>
      <c r="AA346" s="364"/>
    </row>
    <row r="347" customFormat="false" ht="15.75" hidden="false" customHeight="false" outlineLevel="0" collapsed="false">
      <c r="A347" s="261" t="str">
        <f aca="false">IFERROR(__xludf.dummyfunction("""COMPUTED_VALUE"""),"Cradily")</f>
        <v>Cradily</v>
      </c>
      <c r="B347" s="365"/>
      <c r="C347" s="365"/>
      <c r="D347" s="364"/>
      <c r="E347" s="364"/>
      <c r="F347" s="364"/>
      <c r="G347" s="364"/>
      <c r="H347" s="364"/>
      <c r="I347" s="364"/>
      <c r="J347" s="364"/>
      <c r="K347" s="364"/>
      <c r="L347" s="364"/>
      <c r="M347" s="364"/>
      <c r="N347" s="364"/>
      <c r="O347" s="364"/>
      <c r="P347" s="364"/>
      <c r="Q347" s="364"/>
      <c r="R347" s="364"/>
      <c r="S347" s="364"/>
      <c r="T347" s="364"/>
      <c r="U347" s="364"/>
      <c r="V347" s="364"/>
      <c r="W347" s="364"/>
      <c r="X347" s="364"/>
      <c r="Y347" s="364"/>
      <c r="Z347" s="364"/>
      <c r="AA347" s="364"/>
    </row>
    <row r="348" customFormat="false" ht="15.75" hidden="false" customHeight="false" outlineLevel="0" collapsed="false">
      <c r="A348" s="261" t="str">
        <f aca="false">IFERROR(__xludf.dummyfunction("""COMPUTED_VALUE"""),"Anorith")</f>
        <v>Anorith</v>
      </c>
      <c r="B348" s="365"/>
      <c r="C348" s="365"/>
      <c r="D348" s="364"/>
      <c r="E348" s="364"/>
      <c r="F348" s="364"/>
      <c r="G348" s="364"/>
      <c r="H348" s="364"/>
      <c r="I348" s="364"/>
      <c r="J348" s="364"/>
      <c r="K348" s="364"/>
      <c r="L348" s="364"/>
      <c r="M348" s="364"/>
      <c r="N348" s="364"/>
      <c r="O348" s="364"/>
      <c r="P348" s="364"/>
      <c r="Q348" s="364"/>
      <c r="R348" s="364"/>
      <c r="S348" s="364"/>
      <c r="T348" s="364"/>
      <c r="U348" s="364"/>
      <c r="V348" s="364"/>
      <c r="W348" s="364"/>
      <c r="X348" s="364"/>
      <c r="Y348" s="364"/>
      <c r="Z348" s="364"/>
      <c r="AA348" s="364"/>
    </row>
    <row r="349" customFormat="false" ht="15.75" hidden="false" customHeight="false" outlineLevel="0" collapsed="false">
      <c r="A349" s="261" t="str">
        <f aca="false">IFERROR(__xludf.dummyfunction("""COMPUTED_VALUE"""),"Armaldo")</f>
        <v>Armaldo</v>
      </c>
      <c r="B349" s="365"/>
      <c r="C349" s="365"/>
      <c r="D349" s="364"/>
      <c r="E349" s="364"/>
      <c r="F349" s="364"/>
      <c r="G349" s="364"/>
      <c r="H349" s="364"/>
      <c r="I349" s="364"/>
      <c r="J349" s="364"/>
      <c r="K349" s="364"/>
      <c r="L349" s="364"/>
      <c r="M349" s="364"/>
      <c r="N349" s="364"/>
      <c r="O349" s="364"/>
      <c r="P349" s="364"/>
      <c r="Q349" s="364"/>
      <c r="R349" s="364"/>
      <c r="S349" s="364"/>
      <c r="T349" s="364"/>
      <c r="U349" s="364"/>
      <c r="V349" s="364"/>
      <c r="W349" s="364"/>
      <c r="X349" s="364"/>
      <c r="Y349" s="364"/>
      <c r="Z349" s="364"/>
      <c r="AA349" s="364"/>
    </row>
    <row r="350" customFormat="false" ht="15.75" hidden="false" customHeight="false" outlineLevel="0" collapsed="false">
      <c r="A350" s="261" t="str">
        <f aca="false">IFERROR(__xludf.dummyfunction("""COMPUTED_VALUE"""),"Feebas")</f>
        <v>Feebas</v>
      </c>
      <c r="B350" s="365"/>
      <c r="C350" s="365"/>
      <c r="D350" s="364"/>
      <c r="E350" s="364"/>
      <c r="F350" s="364"/>
      <c r="G350" s="364"/>
      <c r="H350" s="364"/>
      <c r="I350" s="364"/>
      <c r="J350" s="364"/>
      <c r="K350" s="364"/>
      <c r="L350" s="364"/>
      <c r="M350" s="364"/>
      <c r="N350" s="364"/>
      <c r="O350" s="364"/>
      <c r="P350" s="364"/>
      <c r="Q350" s="364"/>
      <c r="R350" s="364"/>
      <c r="S350" s="364"/>
      <c r="T350" s="364"/>
      <c r="U350" s="364"/>
      <c r="V350" s="364"/>
      <c r="W350" s="364"/>
      <c r="X350" s="364"/>
      <c r="Y350" s="364"/>
      <c r="Z350" s="364"/>
      <c r="AA350" s="364"/>
    </row>
    <row r="351" customFormat="false" ht="15.75" hidden="false" customHeight="false" outlineLevel="0" collapsed="false">
      <c r="A351" s="261" t="str">
        <f aca="false">IFERROR(__xludf.dummyfunction("""COMPUTED_VALUE"""),"Milotic")</f>
        <v>Milotic</v>
      </c>
      <c r="B351" s="365"/>
      <c r="C351" s="365"/>
      <c r="D351" s="364"/>
      <c r="E351" s="364"/>
      <c r="F351" s="364"/>
      <c r="G351" s="364"/>
      <c r="H351" s="364"/>
      <c r="I351" s="364"/>
      <c r="J351" s="364"/>
      <c r="K351" s="364"/>
      <c r="L351" s="364"/>
      <c r="M351" s="364"/>
      <c r="N351" s="364"/>
      <c r="O351" s="364"/>
      <c r="P351" s="364"/>
      <c r="Q351" s="364"/>
      <c r="R351" s="364"/>
      <c r="S351" s="364"/>
      <c r="T351" s="364"/>
      <c r="U351" s="364"/>
      <c r="V351" s="364"/>
      <c r="W351" s="364"/>
      <c r="X351" s="364"/>
      <c r="Y351" s="364"/>
      <c r="Z351" s="364"/>
      <c r="AA351" s="364"/>
    </row>
    <row r="352" customFormat="false" ht="15.75" hidden="false" customHeight="false" outlineLevel="0" collapsed="false">
      <c r="A352" s="261" t="str">
        <f aca="false">IFERROR(__xludf.dummyfunction("""COMPUTED_VALUE"""),"Castform")</f>
        <v>Castform</v>
      </c>
      <c r="B352" s="365"/>
      <c r="C352" s="365"/>
      <c r="D352" s="364"/>
      <c r="E352" s="364"/>
      <c r="F352" s="364"/>
      <c r="G352" s="364"/>
      <c r="H352" s="364"/>
      <c r="I352" s="364"/>
      <c r="J352" s="364"/>
      <c r="K352" s="364"/>
      <c r="L352" s="364"/>
      <c r="M352" s="364"/>
      <c r="N352" s="364"/>
      <c r="O352" s="364"/>
      <c r="P352" s="364"/>
      <c r="Q352" s="364"/>
      <c r="R352" s="364"/>
      <c r="S352" s="364"/>
      <c r="T352" s="364"/>
      <c r="U352" s="364"/>
      <c r="V352" s="364"/>
      <c r="W352" s="364"/>
      <c r="X352" s="364"/>
      <c r="Y352" s="364"/>
      <c r="Z352" s="364"/>
      <c r="AA352" s="364"/>
    </row>
    <row r="353" customFormat="false" ht="15.75" hidden="false" customHeight="false" outlineLevel="0" collapsed="false">
      <c r="A353" s="261" t="str">
        <f aca="false">IFERROR(__xludf.dummyfunction("""COMPUTED_VALUE"""),"Kecleon")</f>
        <v>Kecleon</v>
      </c>
      <c r="B353" s="365"/>
      <c r="C353" s="365"/>
      <c r="D353" s="364"/>
      <c r="E353" s="364"/>
      <c r="F353" s="364"/>
      <c r="G353" s="364"/>
      <c r="H353" s="364"/>
      <c r="I353" s="364"/>
      <c r="J353" s="364"/>
      <c r="K353" s="364"/>
      <c r="L353" s="364"/>
      <c r="M353" s="364"/>
      <c r="N353" s="364"/>
      <c r="O353" s="364"/>
      <c r="P353" s="364"/>
      <c r="Q353" s="364"/>
      <c r="R353" s="364"/>
      <c r="S353" s="364"/>
      <c r="T353" s="364"/>
      <c r="U353" s="364"/>
      <c r="V353" s="364"/>
      <c r="W353" s="364"/>
      <c r="X353" s="364"/>
      <c r="Y353" s="364"/>
      <c r="Z353" s="364"/>
      <c r="AA353" s="364"/>
    </row>
    <row r="354" customFormat="false" ht="15.75" hidden="false" customHeight="false" outlineLevel="0" collapsed="false">
      <c r="A354" s="261" t="str">
        <f aca="false">IFERROR(__xludf.dummyfunction("""COMPUTED_VALUE"""),"Shuppet")</f>
        <v>Shuppet</v>
      </c>
      <c r="B354" s="365"/>
      <c r="C354" s="365"/>
      <c r="D354" s="364"/>
      <c r="E354" s="364"/>
      <c r="F354" s="364"/>
      <c r="G354" s="364"/>
      <c r="H354" s="364"/>
      <c r="I354" s="364"/>
      <c r="J354" s="364"/>
      <c r="K354" s="364"/>
      <c r="L354" s="364"/>
      <c r="M354" s="364"/>
      <c r="N354" s="364"/>
      <c r="O354" s="364"/>
      <c r="P354" s="364"/>
      <c r="Q354" s="364"/>
      <c r="R354" s="364"/>
      <c r="S354" s="364"/>
      <c r="T354" s="364"/>
      <c r="U354" s="364"/>
      <c r="V354" s="364"/>
      <c r="W354" s="364"/>
      <c r="X354" s="364"/>
      <c r="Y354" s="364"/>
      <c r="Z354" s="364"/>
      <c r="AA354" s="364"/>
    </row>
    <row r="355" customFormat="false" ht="15.75" hidden="false" customHeight="false" outlineLevel="0" collapsed="false">
      <c r="A355" s="261" t="str">
        <f aca="false">IFERROR(__xludf.dummyfunction("""COMPUTED_VALUE"""),"Banette")</f>
        <v>Banette</v>
      </c>
      <c r="B355" s="365"/>
      <c r="C355" s="365"/>
      <c r="D355" s="364"/>
      <c r="E355" s="364"/>
      <c r="F355" s="364"/>
      <c r="G355" s="364"/>
      <c r="H355" s="364"/>
      <c r="I355" s="364"/>
      <c r="J355" s="364"/>
      <c r="K355" s="364"/>
      <c r="L355" s="364"/>
      <c r="M355" s="364"/>
      <c r="N355" s="364"/>
      <c r="O355" s="364"/>
      <c r="P355" s="364"/>
      <c r="Q355" s="364"/>
      <c r="R355" s="364"/>
      <c r="S355" s="364"/>
      <c r="T355" s="364"/>
      <c r="U355" s="364"/>
      <c r="V355" s="364"/>
      <c r="W355" s="364"/>
      <c r="X355" s="364"/>
      <c r="Y355" s="364"/>
      <c r="Z355" s="364"/>
      <c r="AA355" s="364"/>
    </row>
    <row r="356" customFormat="false" ht="15.75" hidden="false" customHeight="false" outlineLevel="0" collapsed="false">
      <c r="A356" s="261" t="str">
        <f aca="false">IFERROR(__xludf.dummyfunction("""COMPUTED_VALUE"""),"Duskull")</f>
        <v>Duskull</v>
      </c>
      <c r="B356" s="365"/>
      <c r="C356" s="365"/>
      <c r="D356" s="364"/>
      <c r="E356" s="364"/>
      <c r="F356" s="364"/>
      <c r="G356" s="364"/>
      <c r="H356" s="364"/>
      <c r="I356" s="364"/>
      <c r="J356" s="364"/>
      <c r="K356" s="364"/>
      <c r="L356" s="364"/>
      <c r="M356" s="364"/>
      <c r="N356" s="364"/>
      <c r="O356" s="364"/>
      <c r="P356" s="364"/>
      <c r="Q356" s="364"/>
      <c r="R356" s="364"/>
      <c r="S356" s="364"/>
      <c r="T356" s="364"/>
      <c r="U356" s="364"/>
      <c r="V356" s="364"/>
      <c r="W356" s="364"/>
      <c r="X356" s="364"/>
      <c r="Y356" s="364"/>
      <c r="Z356" s="364"/>
      <c r="AA356" s="364"/>
    </row>
    <row r="357" customFormat="false" ht="15.75" hidden="false" customHeight="false" outlineLevel="0" collapsed="false">
      <c r="A357" s="261" t="str">
        <f aca="false">IFERROR(__xludf.dummyfunction("""COMPUTED_VALUE"""),"Dusclops")</f>
        <v>Dusclops</v>
      </c>
      <c r="B357" s="365"/>
      <c r="C357" s="365"/>
      <c r="D357" s="364"/>
      <c r="E357" s="364"/>
      <c r="F357" s="364"/>
      <c r="G357" s="364"/>
      <c r="H357" s="364"/>
      <c r="I357" s="364"/>
      <c r="J357" s="364"/>
      <c r="K357" s="364"/>
      <c r="L357" s="364"/>
      <c r="M357" s="364"/>
      <c r="N357" s="364"/>
      <c r="O357" s="364"/>
      <c r="P357" s="364"/>
      <c r="Q357" s="364"/>
      <c r="R357" s="364"/>
      <c r="S357" s="364"/>
      <c r="T357" s="364"/>
      <c r="U357" s="364"/>
      <c r="V357" s="364"/>
      <c r="W357" s="364"/>
      <c r="X357" s="364"/>
      <c r="Y357" s="364"/>
      <c r="Z357" s="364"/>
      <c r="AA357" s="364"/>
    </row>
    <row r="358" customFormat="false" ht="15.75" hidden="false" customHeight="false" outlineLevel="0" collapsed="false">
      <c r="A358" s="261" t="str">
        <f aca="false">IFERROR(__xludf.dummyfunction("""COMPUTED_VALUE"""),"Tropius")</f>
        <v>Tropius</v>
      </c>
      <c r="B358" s="365"/>
      <c r="C358" s="365"/>
      <c r="D358" s="364"/>
      <c r="E358" s="364"/>
      <c r="F358" s="364"/>
      <c r="G358" s="364"/>
      <c r="H358" s="364"/>
      <c r="I358" s="364"/>
      <c r="J358" s="364"/>
      <c r="K358" s="364"/>
      <c r="L358" s="364"/>
      <c r="M358" s="364"/>
      <c r="N358" s="364"/>
      <c r="O358" s="364"/>
      <c r="P358" s="364"/>
      <c r="Q358" s="364"/>
      <c r="R358" s="364"/>
      <c r="S358" s="364"/>
      <c r="T358" s="364"/>
      <c r="U358" s="364"/>
      <c r="V358" s="364"/>
      <c r="W358" s="364"/>
      <c r="X358" s="364"/>
      <c r="Y358" s="364"/>
      <c r="Z358" s="364"/>
      <c r="AA358" s="364"/>
    </row>
    <row r="359" customFormat="false" ht="15.75" hidden="false" customHeight="false" outlineLevel="0" collapsed="false">
      <c r="A359" s="261" t="str">
        <f aca="false">IFERROR(__xludf.dummyfunction("""COMPUTED_VALUE"""),"Chimecho")</f>
        <v>Chimecho</v>
      </c>
      <c r="B359" s="365"/>
      <c r="C359" s="365"/>
      <c r="D359" s="364"/>
      <c r="E359" s="364"/>
      <c r="F359" s="364"/>
      <c r="G359" s="364"/>
      <c r="H359" s="364"/>
      <c r="I359" s="364"/>
      <c r="J359" s="364"/>
      <c r="K359" s="364"/>
      <c r="L359" s="364"/>
      <c r="M359" s="364"/>
      <c r="N359" s="364"/>
      <c r="O359" s="364"/>
      <c r="P359" s="364"/>
      <c r="Q359" s="364"/>
      <c r="R359" s="364"/>
      <c r="S359" s="364"/>
      <c r="T359" s="364"/>
      <c r="U359" s="364"/>
      <c r="V359" s="364"/>
      <c r="W359" s="364"/>
      <c r="X359" s="364"/>
      <c r="Y359" s="364"/>
      <c r="Z359" s="364"/>
      <c r="AA359" s="364"/>
    </row>
    <row r="360" customFormat="false" ht="15.75" hidden="false" customHeight="false" outlineLevel="0" collapsed="false">
      <c r="A360" s="261" t="str">
        <f aca="false">IFERROR(__xludf.dummyfunction("""COMPUTED_VALUE"""),"Absol")</f>
        <v>Absol</v>
      </c>
      <c r="B360" s="365"/>
      <c r="C360" s="365"/>
      <c r="D360" s="364"/>
      <c r="E360" s="364"/>
      <c r="F360" s="364"/>
      <c r="G360" s="364"/>
      <c r="H360" s="364"/>
      <c r="I360" s="364"/>
      <c r="J360" s="364"/>
      <c r="K360" s="364"/>
      <c r="L360" s="364"/>
      <c r="M360" s="364"/>
      <c r="N360" s="364"/>
      <c r="O360" s="364"/>
      <c r="P360" s="364"/>
      <c r="Q360" s="364"/>
      <c r="R360" s="364"/>
      <c r="S360" s="364"/>
      <c r="T360" s="364"/>
      <c r="U360" s="364"/>
      <c r="V360" s="364"/>
      <c r="W360" s="364"/>
      <c r="X360" s="364"/>
      <c r="Y360" s="364"/>
      <c r="Z360" s="364"/>
      <c r="AA360" s="364"/>
    </row>
    <row r="361" customFormat="false" ht="15.75" hidden="false" customHeight="false" outlineLevel="0" collapsed="false">
      <c r="A361" s="261" t="str">
        <f aca="false">IFERROR(__xludf.dummyfunction("""COMPUTED_VALUE"""),"Wynaut")</f>
        <v>Wynaut</v>
      </c>
      <c r="B361" s="365"/>
      <c r="C361" s="365"/>
      <c r="D361" s="364"/>
      <c r="E361" s="364"/>
      <c r="F361" s="364"/>
      <c r="G361" s="364"/>
      <c r="H361" s="364"/>
      <c r="I361" s="364"/>
      <c r="J361" s="364"/>
      <c r="K361" s="364"/>
      <c r="L361" s="364"/>
      <c r="M361" s="364"/>
      <c r="N361" s="364"/>
      <c r="O361" s="364"/>
      <c r="P361" s="364"/>
      <c r="Q361" s="364"/>
      <c r="R361" s="364"/>
      <c r="S361" s="364"/>
      <c r="T361" s="364"/>
      <c r="U361" s="364"/>
      <c r="V361" s="364"/>
      <c r="W361" s="364"/>
      <c r="X361" s="364"/>
      <c r="Y361" s="364"/>
      <c r="Z361" s="364"/>
      <c r="AA361" s="364"/>
    </row>
    <row r="362" customFormat="false" ht="15.75" hidden="false" customHeight="false" outlineLevel="0" collapsed="false">
      <c r="A362" s="261" t="str">
        <f aca="false">IFERROR(__xludf.dummyfunction("""COMPUTED_VALUE"""),"Snorunt")</f>
        <v>Snorunt</v>
      </c>
      <c r="B362" s="365"/>
      <c r="C362" s="365"/>
      <c r="D362" s="364"/>
      <c r="E362" s="364"/>
      <c r="F362" s="364"/>
      <c r="G362" s="364"/>
      <c r="H362" s="364"/>
      <c r="I362" s="364"/>
      <c r="J362" s="364"/>
      <c r="K362" s="364"/>
      <c r="L362" s="364"/>
      <c r="M362" s="364"/>
      <c r="N362" s="364"/>
      <c r="O362" s="364"/>
      <c r="P362" s="364"/>
      <c r="Q362" s="364"/>
      <c r="R362" s="364"/>
      <c r="S362" s="364"/>
      <c r="T362" s="364"/>
      <c r="U362" s="364"/>
      <c r="V362" s="364"/>
      <c r="W362" s="364"/>
      <c r="X362" s="364"/>
      <c r="Y362" s="364"/>
      <c r="Z362" s="364"/>
      <c r="AA362" s="364"/>
    </row>
    <row r="363" customFormat="false" ht="15.75" hidden="false" customHeight="false" outlineLevel="0" collapsed="false">
      <c r="A363" s="261" t="str">
        <f aca="false">IFERROR(__xludf.dummyfunction("""COMPUTED_VALUE"""),"Glalie")</f>
        <v>Glalie</v>
      </c>
      <c r="B363" s="365"/>
      <c r="C363" s="365"/>
      <c r="D363" s="364"/>
      <c r="E363" s="364"/>
      <c r="F363" s="364"/>
      <c r="G363" s="364"/>
      <c r="H363" s="364"/>
      <c r="I363" s="364"/>
      <c r="J363" s="364"/>
      <c r="K363" s="364"/>
      <c r="L363" s="364"/>
      <c r="M363" s="364"/>
      <c r="N363" s="364"/>
      <c r="O363" s="364"/>
      <c r="P363" s="364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/>
    </row>
    <row r="364" customFormat="false" ht="15.75" hidden="false" customHeight="false" outlineLevel="0" collapsed="false">
      <c r="A364" s="261" t="str">
        <f aca="false">IFERROR(__xludf.dummyfunction("""COMPUTED_VALUE"""),"Spheal")</f>
        <v>Spheal</v>
      </c>
      <c r="B364" s="365"/>
      <c r="C364" s="365"/>
      <c r="D364" s="364"/>
      <c r="E364" s="364"/>
      <c r="F364" s="364"/>
      <c r="G364" s="364"/>
      <c r="H364" s="364"/>
      <c r="I364" s="364"/>
      <c r="J364" s="364"/>
      <c r="K364" s="364"/>
      <c r="L364" s="364"/>
      <c r="M364" s="364"/>
      <c r="N364" s="364"/>
      <c r="O364" s="364"/>
      <c r="P364" s="364"/>
      <c r="Q364" s="364"/>
      <c r="R364" s="364"/>
      <c r="S364" s="364"/>
      <c r="T364" s="364"/>
      <c r="U364" s="364"/>
      <c r="V364" s="364"/>
      <c r="W364" s="364"/>
      <c r="X364" s="364"/>
      <c r="Y364" s="364"/>
      <c r="Z364" s="364"/>
      <c r="AA364" s="364"/>
    </row>
    <row r="365" customFormat="false" ht="15.75" hidden="false" customHeight="false" outlineLevel="0" collapsed="false">
      <c r="A365" s="261" t="str">
        <f aca="false">IFERROR(__xludf.dummyfunction("""COMPUTED_VALUE"""),"Sealeo")</f>
        <v>Sealeo</v>
      </c>
      <c r="B365" s="365"/>
      <c r="C365" s="365"/>
      <c r="D365" s="364"/>
      <c r="E365" s="364"/>
      <c r="F365" s="364"/>
      <c r="G365" s="364"/>
      <c r="H365" s="364"/>
      <c r="I365" s="364"/>
      <c r="J365" s="364"/>
      <c r="K365" s="364"/>
      <c r="L365" s="364"/>
      <c r="M365" s="364"/>
      <c r="N365" s="364"/>
      <c r="O365" s="364"/>
      <c r="P365" s="364"/>
      <c r="Q365" s="364"/>
      <c r="R365" s="364"/>
      <c r="S365" s="364"/>
      <c r="T365" s="364"/>
      <c r="U365" s="364"/>
      <c r="V365" s="364"/>
      <c r="W365" s="364"/>
      <c r="X365" s="364"/>
      <c r="Y365" s="364"/>
      <c r="Z365" s="364"/>
      <c r="AA365" s="364"/>
    </row>
    <row r="366" customFormat="false" ht="15.75" hidden="false" customHeight="false" outlineLevel="0" collapsed="false">
      <c r="A366" s="261" t="str">
        <f aca="false">IFERROR(__xludf.dummyfunction("""COMPUTED_VALUE"""),"Walrein")</f>
        <v>Walrein</v>
      </c>
      <c r="B366" s="365"/>
      <c r="C366" s="365"/>
      <c r="D366" s="364"/>
      <c r="E366" s="364"/>
      <c r="F366" s="364"/>
      <c r="G366" s="364"/>
      <c r="H366" s="364"/>
      <c r="I366" s="364"/>
      <c r="J366" s="364"/>
      <c r="K366" s="364"/>
      <c r="L366" s="364"/>
      <c r="M366" s="364"/>
      <c r="N366" s="364"/>
      <c r="O366" s="364"/>
      <c r="P366" s="364"/>
      <c r="Q366" s="364"/>
      <c r="R366" s="364"/>
      <c r="S366" s="364"/>
      <c r="T366" s="364"/>
      <c r="U366" s="364"/>
      <c r="V366" s="364"/>
      <c r="W366" s="364"/>
      <c r="X366" s="364"/>
      <c r="Y366" s="364"/>
      <c r="Z366" s="364"/>
      <c r="AA366" s="364"/>
    </row>
    <row r="367" customFormat="false" ht="15.75" hidden="false" customHeight="false" outlineLevel="0" collapsed="false">
      <c r="A367" s="261" t="str">
        <f aca="false">IFERROR(__xludf.dummyfunction("""COMPUTED_VALUE"""),"Clamperl")</f>
        <v>Clamperl</v>
      </c>
      <c r="B367" s="365"/>
      <c r="C367" s="365"/>
      <c r="D367" s="364"/>
      <c r="E367" s="364"/>
      <c r="F367" s="364"/>
      <c r="G367" s="364"/>
      <c r="H367" s="364"/>
      <c r="I367" s="364"/>
      <c r="J367" s="364"/>
      <c r="K367" s="364"/>
      <c r="L367" s="364"/>
      <c r="M367" s="364"/>
      <c r="N367" s="364"/>
      <c r="O367" s="364"/>
      <c r="P367" s="364"/>
      <c r="Q367" s="364"/>
      <c r="R367" s="364"/>
      <c r="S367" s="364"/>
      <c r="T367" s="364"/>
      <c r="U367" s="364"/>
      <c r="V367" s="364"/>
      <c r="W367" s="364"/>
      <c r="X367" s="364"/>
      <c r="Y367" s="364"/>
      <c r="Z367" s="364"/>
      <c r="AA367" s="364"/>
    </row>
    <row r="368" customFormat="false" ht="15.75" hidden="false" customHeight="false" outlineLevel="0" collapsed="false">
      <c r="A368" s="261" t="str">
        <f aca="false">IFERROR(__xludf.dummyfunction("""COMPUTED_VALUE"""),"Huntail")</f>
        <v>Huntail</v>
      </c>
      <c r="B368" s="365"/>
      <c r="C368" s="365"/>
      <c r="D368" s="364"/>
      <c r="E368" s="364"/>
      <c r="F368" s="364"/>
      <c r="G368" s="364"/>
      <c r="H368" s="364"/>
      <c r="I368" s="364"/>
      <c r="J368" s="364"/>
      <c r="K368" s="364"/>
      <c r="L368" s="364"/>
      <c r="M368" s="364"/>
      <c r="N368" s="364"/>
      <c r="O368" s="364"/>
      <c r="P368" s="364"/>
      <c r="Q368" s="364"/>
      <c r="R368" s="364"/>
      <c r="S368" s="364"/>
      <c r="T368" s="364"/>
      <c r="U368" s="364"/>
      <c r="V368" s="364"/>
      <c r="W368" s="364"/>
      <c r="X368" s="364"/>
      <c r="Y368" s="364"/>
      <c r="Z368" s="364"/>
      <c r="AA368" s="364"/>
    </row>
    <row r="369" customFormat="false" ht="15.75" hidden="false" customHeight="false" outlineLevel="0" collapsed="false">
      <c r="A369" s="261" t="str">
        <f aca="false">IFERROR(__xludf.dummyfunction("""COMPUTED_VALUE"""),"Gorebyss")</f>
        <v>Gorebyss</v>
      </c>
      <c r="B369" s="365"/>
      <c r="C369" s="365"/>
      <c r="D369" s="364"/>
      <c r="E369" s="364"/>
      <c r="F369" s="364"/>
      <c r="G369" s="364"/>
      <c r="H369" s="364"/>
      <c r="I369" s="364"/>
      <c r="J369" s="364"/>
      <c r="K369" s="364"/>
      <c r="L369" s="364"/>
      <c r="M369" s="364"/>
      <c r="N369" s="364"/>
      <c r="O369" s="364"/>
      <c r="P369" s="364"/>
      <c r="Q369" s="364"/>
      <c r="R369" s="364"/>
      <c r="S369" s="364"/>
      <c r="T369" s="364"/>
      <c r="U369" s="364"/>
      <c r="V369" s="364"/>
      <c r="W369" s="364"/>
      <c r="X369" s="364"/>
      <c r="Y369" s="364"/>
      <c r="Z369" s="364"/>
      <c r="AA369" s="364"/>
    </row>
    <row r="370" customFormat="false" ht="15.75" hidden="false" customHeight="false" outlineLevel="0" collapsed="false">
      <c r="A370" s="261" t="str">
        <f aca="false">IFERROR(__xludf.dummyfunction("""COMPUTED_VALUE"""),"Relicanth")</f>
        <v>Relicanth</v>
      </c>
      <c r="B370" s="365"/>
      <c r="C370" s="365"/>
      <c r="D370" s="364"/>
      <c r="E370" s="364"/>
      <c r="F370" s="364"/>
      <c r="G370" s="364"/>
      <c r="H370" s="364"/>
      <c r="I370" s="364"/>
      <c r="J370" s="364"/>
      <c r="K370" s="364"/>
      <c r="L370" s="364"/>
      <c r="M370" s="364"/>
      <c r="N370" s="364"/>
      <c r="O370" s="364"/>
      <c r="P370" s="364"/>
      <c r="Q370" s="364"/>
      <c r="R370" s="364"/>
      <c r="S370" s="364"/>
      <c r="T370" s="364"/>
      <c r="U370" s="364"/>
      <c r="V370" s="364"/>
      <c r="W370" s="364"/>
      <c r="X370" s="364"/>
      <c r="Y370" s="364"/>
      <c r="Z370" s="364"/>
      <c r="AA370" s="364"/>
    </row>
    <row r="371" customFormat="false" ht="15.75" hidden="false" customHeight="false" outlineLevel="0" collapsed="false">
      <c r="A371" s="261" t="str">
        <f aca="false">IFERROR(__xludf.dummyfunction("""COMPUTED_VALUE"""),"Luvdisc")</f>
        <v>Luvdisc</v>
      </c>
      <c r="B371" s="365"/>
      <c r="C371" s="365"/>
      <c r="D371" s="364"/>
      <c r="E371" s="364"/>
      <c r="F371" s="364"/>
      <c r="G371" s="364"/>
      <c r="H371" s="364"/>
      <c r="I371" s="364"/>
      <c r="J371" s="364"/>
      <c r="K371" s="364"/>
      <c r="L371" s="364"/>
      <c r="M371" s="364"/>
      <c r="N371" s="364"/>
      <c r="O371" s="364"/>
      <c r="P371" s="364"/>
      <c r="Q371" s="364"/>
      <c r="R371" s="364"/>
      <c r="S371" s="364"/>
      <c r="T371" s="364"/>
      <c r="U371" s="364"/>
      <c r="V371" s="364"/>
      <c r="W371" s="364"/>
      <c r="X371" s="364"/>
      <c r="Y371" s="364"/>
      <c r="Z371" s="364"/>
      <c r="AA371" s="364"/>
    </row>
    <row r="372" customFormat="false" ht="15.75" hidden="false" customHeight="false" outlineLevel="0" collapsed="false">
      <c r="A372" s="261" t="str">
        <f aca="false">IFERROR(__xludf.dummyfunction("""COMPUTED_VALUE"""),"Bagon")</f>
        <v>Bagon</v>
      </c>
      <c r="B372" s="365"/>
      <c r="C372" s="365"/>
      <c r="D372" s="364"/>
      <c r="E372" s="364"/>
      <c r="F372" s="364"/>
      <c r="G372" s="364"/>
      <c r="H372" s="364"/>
      <c r="I372" s="364"/>
      <c r="J372" s="364"/>
      <c r="K372" s="364"/>
      <c r="L372" s="364"/>
      <c r="M372" s="364"/>
      <c r="N372" s="364"/>
      <c r="O372" s="364"/>
      <c r="P372" s="364"/>
      <c r="Q372" s="364"/>
      <c r="R372" s="364"/>
      <c r="S372" s="364"/>
      <c r="T372" s="364"/>
      <c r="U372" s="364"/>
      <c r="V372" s="364"/>
      <c r="W372" s="364"/>
      <c r="X372" s="364"/>
      <c r="Y372" s="364"/>
      <c r="Z372" s="364"/>
      <c r="AA372" s="364"/>
    </row>
    <row r="373" customFormat="false" ht="15.75" hidden="false" customHeight="false" outlineLevel="0" collapsed="false">
      <c r="A373" s="261" t="str">
        <f aca="false">IFERROR(__xludf.dummyfunction("""COMPUTED_VALUE"""),"Shelgon")</f>
        <v>Shelgon</v>
      </c>
      <c r="B373" s="365"/>
      <c r="C373" s="365"/>
      <c r="D373" s="364"/>
      <c r="E373" s="364"/>
      <c r="F373" s="364"/>
      <c r="G373" s="364"/>
      <c r="H373" s="364"/>
      <c r="I373" s="364"/>
      <c r="J373" s="364"/>
      <c r="K373" s="364"/>
      <c r="L373" s="364"/>
      <c r="M373" s="364"/>
      <c r="N373" s="364"/>
      <c r="O373" s="364"/>
      <c r="P373" s="364"/>
      <c r="Q373" s="364"/>
      <c r="R373" s="364"/>
      <c r="S373" s="364"/>
      <c r="T373" s="364"/>
      <c r="U373" s="364"/>
      <c r="V373" s="364"/>
      <c r="W373" s="364"/>
      <c r="X373" s="364"/>
      <c r="Y373" s="364"/>
      <c r="Z373" s="364"/>
      <c r="AA373" s="364"/>
    </row>
    <row r="374" customFormat="false" ht="15.75" hidden="false" customHeight="false" outlineLevel="0" collapsed="false">
      <c r="A374" s="261" t="str">
        <f aca="false">IFERROR(__xludf.dummyfunction("""COMPUTED_VALUE"""),"Salamence")</f>
        <v>Salamence</v>
      </c>
      <c r="B374" s="365"/>
      <c r="C374" s="365"/>
      <c r="D374" s="364"/>
      <c r="E374" s="364"/>
      <c r="F374" s="364"/>
      <c r="G374" s="364"/>
      <c r="H374" s="364"/>
      <c r="I374" s="364"/>
      <c r="J374" s="364"/>
      <c r="K374" s="364"/>
      <c r="L374" s="364"/>
      <c r="M374" s="364"/>
      <c r="N374" s="364"/>
      <c r="O374" s="364"/>
      <c r="P374" s="364"/>
      <c r="Q374" s="364"/>
      <c r="R374" s="364"/>
      <c r="S374" s="364"/>
      <c r="T374" s="364"/>
      <c r="U374" s="364"/>
      <c r="V374" s="364"/>
      <c r="W374" s="364"/>
      <c r="X374" s="364"/>
      <c r="Y374" s="364"/>
      <c r="Z374" s="364"/>
      <c r="AA374" s="364"/>
    </row>
    <row r="375" customFormat="false" ht="15.75" hidden="false" customHeight="false" outlineLevel="0" collapsed="false">
      <c r="A375" s="261" t="str">
        <f aca="false">IFERROR(__xludf.dummyfunction("""COMPUTED_VALUE"""),"Beldum")</f>
        <v>Beldum</v>
      </c>
      <c r="B375" s="365"/>
      <c r="C375" s="365"/>
      <c r="D375" s="364"/>
      <c r="E375" s="364"/>
      <c r="F375" s="364"/>
      <c r="G375" s="364"/>
      <c r="H375" s="364"/>
      <c r="I375" s="364"/>
      <c r="J375" s="364"/>
      <c r="K375" s="364"/>
      <c r="L375" s="364"/>
      <c r="M375" s="364"/>
      <c r="N375" s="364"/>
      <c r="O375" s="364"/>
      <c r="P375" s="364"/>
      <c r="Q375" s="364"/>
      <c r="R375" s="364"/>
      <c r="S375" s="364"/>
      <c r="T375" s="364"/>
      <c r="U375" s="364"/>
      <c r="V375" s="364"/>
      <c r="W375" s="364"/>
      <c r="X375" s="364"/>
      <c r="Y375" s="364"/>
      <c r="Z375" s="364"/>
      <c r="AA375" s="364"/>
    </row>
    <row r="376" customFormat="false" ht="15.75" hidden="false" customHeight="false" outlineLevel="0" collapsed="false">
      <c r="A376" s="261" t="str">
        <f aca="false">IFERROR(__xludf.dummyfunction("""COMPUTED_VALUE"""),"Metang")</f>
        <v>Metang</v>
      </c>
      <c r="B376" s="365"/>
      <c r="C376" s="365"/>
      <c r="D376" s="364"/>
      <c r="E376" s="364"/>
      <c r="F376" s="364"/>
      <c r="G376" s="364"/>
      <c r="H376" s="364"/>
      <c r="I376" s="364"/>
      <c r="J376" s="364"/>
      <c r="K376" s="364"/>
      <c r="L376" s="364"/>
      <c r="M376" s="364"/>
      <c r="N376" s="364"/>
      <c r="O376" s="364"/>
      <c r="P376" s="364"/>
      <c r="Q376" s="364"/>
      <c r="R376" s="364"/>
      <c r="S376" s="364"/>
      <c r="T376" s="364"/>
      <c r="U376" s="364"/>
      <c r="V376" s="364"/>
      <c r="W376" s="364"/>
      <c r="X376" s="364"/>
      <c r="Y376" s="364"/>
      <c r="Z376" s="364"/>
      <c r="AA376" s="364"/>
    </row>
    <row r="377" customFormat="false" ht="15.75" hidden="false" customHeight="false" outlineLevel="0" collapsed="false">
      <c r="A377" s="261" t="str">
        <f aca="false">IFERROR(__xludf.dummyfunction("""COMPUTED_VALUE"""),"Metagross")</f>
        <v>Metagross</v>
      </c>
      <c r="B377" s="365"/>
      <c r="C377" s="365"/>
      <c r="D377" s="364"/>
      <c r="E377" s="364"/>
      <c r="F377" s="364"/>
      <c r="G377" s="364"/>
      <c r="H377" s="364"/>
      <c r="I377" s="364"/>
      <c r="J377" s="364"/>
      <c r="K377" s="364"/>
      <c r="L377" s="364"/>
      <c r="M377" s="364"/>
      <c r="N377" s="364"/>
      <c r="O377" s="364"/>
      <c r="P377" s="364"/>
      <c r="Q377" s="364"/>
      <c r="R377" s="364"/>
      <c r="S377" s="364"/>
      <c r="T377" s="364"/>
      <c r="U377" s="364"/>
      <c r="V377" s="364"/>
      <c r="W377" s="364"/>
      <c r="X377" s="364"/>
      <c r="Y377" s="364"/>
      <c r="Z377" s="364"/>
      <c r="AA377" s="364"/>
    </row>
    <row r="378" customFormat="false" ht="15.75" hidden="false" customHeight="false" outlineLevel="0" collapsed="false">
      <c r="A378" s="261" t="str">
        <f aca="false">IFERROR(__xludf.dummyfunction("""COMPUTED_VALUE"""),"Regirock")</f>
        <v>Regirock</v>
      </c>
      <c r="B378" s="365"/>
      <c r="C378" s="365"/>
      <c r="D378" s="364"/>
      <c r="E378" s="364"/>
      <c r="F378" s="364"/>
      <c r="G378" s="364"/>
      <c r="H378" s="364"/>
      <c r="I378" s="364"/>
      <c r="J378" s="364"/>
      <c r="K378" s="364"/>
      <c r="L378" s="364"/>
      <c r="M378" s="364"/>
      <c r="N378" s="364"/>
      <c r="O378" s="364"/>
      <c r="P378" s="364"/>
      <c r="Q378" s="364"/>
      <c r="R378" s="364"/>
      <c r="S378" s="364"/>
      <c r="T378" s="364"/>
      <c r="U378" s="364"/>
      <c r="V378" s="364"/>
      <c r="W378" s="364"/>
      <c r="X378" s="364"/>
      <c r="Y378" s="364"/>
      <c r="Z378" s="364"/>
      <c r="AA378" s="364"/>
    </row>
    <row r="379" customFormat="false" ht="15.75" hidden="false" customHeight="false" outlineLevel="0" collapsed="false">
      <c r="A379" s="261" t="str">
        <f aca="false">IFERROR(__xludf.dummyfunction("""COMPUTED_VALUE"""),"Regice")</f>
        <v>Regice</v>
      </c>
      <c r="B379" s="365"/>
      <c r="C379" s="365"/>
      <c r="D379" s="364"/>
      <c r="E379" s="364"/>
      <c r="F379" s="364"/>
      <c r="G379" s="364"/>
      <c r="H379" s="364"/>
      <c r="I379" s="364"/>
      <c r="J379" s="364"/>
      <c r="K379" s="364"/>
      <c r="L379" s="364"/>
      <c r="M379" s="364"/>
      <c r="N379" s="364"/>
      <c r="O379" s="364"/>
      <c r="P379" s="364"/>
      <c r="Q379" s="364"/>
      <c r="R379" s="364"/>
      <c r="S379" s="364"/>
      <c r="T379" s="364"/>
      <c r="U379" s="364"/>
      <c r="V379" s="364"/>
      <c r="W379" s="364"/>
      <c r="X379" s="364"/>
      <c r="Y379" s="364"/>
      <c r="Z379" s="364"/>
      <c r="AA379" s="364"/>
    </row>
    <row r="380" customFormat="false" ht="15.75" hidden="false" customHeight="false" outlineLevel="0" collapsed="false">
      <c r="A380" s="261" t="str">
        <f aca="false">IFERROR(__xludf.dummyfunction("""COMPUTED_VALUE"""),"Registeel")</f>
        <v>Registeel</v>
      </c>
      <c r="B380" s="365"/>
      <c r="C380" s="365"/>
      <c r="D380" s="364"/>
      <c r="E380" s="364"/>
      <c r="F380" s="364"/>
      <c r="G380" s="364"/>
      <c r="H380" s="364"/>
      <c r="I380" s="364"/>
      <c r="J380" s="364"/>
      <c r="K380" s="364"/>
      <c r="L380" s="364"/>
      <c r="M380" s="364"/>
      <c r="N380" s="364"/>
      <c r="O380" s="364"/>
      <c r="P380" s="364"/>
      <c r="Q380" s="364"/>
      <c r="R380" s="364"/>
      <c r="S380" s="364"/>
      <c r="T380" s="364"/>
      <c r="U380" s="364"/>
      <c r="V380" s="364"/>
      <c r="W380" s="364"/>
      <c r="X380" s="364"/>
      <c r="Y380" s="364"/>
      <c r="Z380" s="364"/>
      <c r="AA380" s="364"/>
    </row>
    <row r="381" customFormat="false" ht="15.75" hidden="false" customHeight="false" outlineLevel="0" collapsed="false">
      <c r="A381" s="261" t="str">
        <f aca="false">IFERROR(__xludf.dummyfunction("""COMPUTED_VALUE"""),"Latias")</f>
        <v>Latias</v>
      </c>
      <c r="B381" s="365"/>
      <c r="C381" s="365"/>
      <c r="D381" s="364"/>
      <c r="E381" s="364"/>
      <c r="F381" s="364"/>
      <c r="G381" s="364"/>
      <c r="H381" s="364"/>
      <c r="I381" s="364"/>
      <c r="J381" s="364"/>
      <c r="K381" s="364"/>
      <c r="L381" s="364"/>
      <c r="M381" s="364"/>
      <c r="N381" s="364"/>
      <c r="O381" s="364"/>
      <c r="P381" s="364"/>
      <c r="Q381" s="364"/>
      <c r="R381" s="364"/>
      <c r="S381" s="364"/>
      <c r="T381" s="364"/>
      <c r="U381" s="364"/>
      <c r="V381" s="364"/>
      <c r="W381" s="364"/>
      <c r="X381" s="364"/>
      <c r="Y381" s="364"/>
      <c r="Z381" s="364"/>
      <c r="AA381" s="364"/>
    </row>
    <row r="382" customFormat="false" ht="15.75" hidden="false" customHeight="false" outlineLevel="0" collapsed="false">
      <c r="A382" s="261" t="str">
        <f aca="false">IFERROR(__xludf.dummyfunction("""COMPUTED_VALUE"""),"Latios")</f>
        <v>Latios</v>
      </c>
      <c r="B382" s="365"/>
      <c r="C382" s="365"/>
      <c r="D382" s="364"/>
      <c r="E382" s="364"/>
      <c r="F382" s="364"/>
      <c r="G382" s="364"/>
      <c r="H382" s="364"/>
      <c r="I382" s="364"/>
      <c r="J382" s="364"/>
      <c r="K382" s="364"/>
      <c r="L382" s="364"/>
      <c r="M382" s="364"/>
      <c r="N382" s="364"/>
      <c r="O382" s="364"/>
      <c r="P382" s="364"/>
      <c r="Q382" s="364"/>
      <c r="R382" s="364"/>
      <c r="S382" s="364"/>
      <c r="T382" s="364"/>
      <c r="U382" s="364"/>
      <c r="V382" s="364"/>
      <c r="W382" s="364"/>
      <c r="X382" s="364"/>
      <c r="Y382" s="364"/>
      <c r="Z382" s="364"/>
      <c r="AA382" s="364"/>
    </row>
    <row r="383" customFormat="false" ht="15.75" hidden="false" customHeight="false" outlineLevel="0" collapsed="false">
      <c r="A383" s="261" t="str">
        <f aca="false">IFERROR(__xludf.dummyfunction("""COMPUTED_VALUE"""),"Kyogre")</f>
        <v>Kyogre</v>
      </c>
      <c r="B383" s="365"/>
      <c r="C383" s="365"/>
      <c r="D383" s="364"/>
      <c r="E383" s="364"/>
      <c r="F383" s="364"/>
      <c r="G383" s="364"/>
      <c r="H383" s="364"/>
      <c r="I383" s="364"/>
      <c r="J383" s="364"/>
      <c r="K383" s="364"/>
      <c r="L383" s="364"/>
      <c r="M383" s="364"/>
      <c r="N383" s="364"/>
      <c r="O383" s="364"/>
      <c r="P383" s="364"/>
      <c r="Q383" s="364"/>
      <c r="R383" s="364"/>
      <c r="S383" s="364"/>
      <c r="T383" s="364"/>
      <c r="U383" s="364"/>
      <c r="V383" s="364"/>
      <c r="W383" s="364"/>
      <c r="X383" s="364"/>
      <c r="Y383" s="364"/>
      <c r="Z383" s="364"/>
      <c r="AA383" s="364"/>
    </row>
    <row r="384" customFormat="false" ht="15.75" hidden="false" customHeight="false" outlineLevel="0" collapsed="false">
      <c r="A384" s="261" t="str">
        <f aca="false">IFERROR(__xludf.dummyfunction("""COMPUTED_VALUE"""),"Groudon")</f>
        <v>Groudon</v>
      </c>
      <c r="B384" s="365"/>
      <c r="C384" s="365"/>
      <c r="D384" s="364"/>
      <c r="E384" s="364"/>
      <c r="F384" s="364"/>
      <c r="G384" s="364"/>
      <c r="H384" s="364"/>
      <c r="I384" s="364"/>
      <c r="J384" s="364"/>
      <c r="K384" s="364"/>
      <c r="L384" s="364"/>
      <c r="M384" s="364"/>
      <c r="N384" s="364"/>
      <c r="O384" s="364"/>
      <c r="P384" s="364"/>
      <c r="Q384" s="364"/>
      <c r="R384" s="364"/>
      <c r="S384" s="364"/>
      <c r="T384" s="364"/>
      <c r="U384" s="364"/>
      <c r="V384" s="364"/>
      <c r="W384" s="364"/>
      <c r="X384" s="364"/>
      <c r="Y384" s="364"/>
      <c r="Z384" s="364"/>
      <c r="AA384" s="364"/>
    </row>
    <row r="385" customFormat="false" ht="15.75" hidden="false" customHeight="false" outlineLevel="0" collapsed="false">
      <c r="A385" s="261" t="str">
        <f aca="false">IFERROR(__xludf.dummyfunction("""COMPUTED_VALUE"""),"Rayquaza")</f>
        <v>Rayquaza</v>
      </c>
      <c r="B385" s="365"/>
      <c r="C385" s="365"/>
      <c r="D385" s="364"/>
      <c r="E385" s="364"/>
      <c r="F385" s="364"/>
      <c r="G385" s="364"/>
      <c r="H385" s="364"/>
      <c r="I385" s="364"/>
      <c r="J385" s="364"/>
      <c r="K385" s="364"/>
      <c r="L385" s="364"/>
      <c r="M385" s="364"/>
      <c r="N385" s="364"/>
      <c r="O385" s="364"/>
      <c r="P385" s="364"/>
      <c r="Q385" s="364"/>
      <c r="R385" s="364"/>
      <c r="S385" s="364"/>
      <c r="T385" s="364"/>
      <c r="U385" s="364"/>
      <c r="V385" s="364"/>
      <c r="W385" s="364"/>
      <c r="X385" s="364"/>
      <c r="Y385" s="364"/>
      <c r="Z385" s="364"/>
      <c r="AA385" s="364"/>
    </row>
    <row r="386" customFormat="false" ht="15.75" hidden="false" customHeight="false" outlineLevel="0" collapsed="false">
      <c r="A386" s="261" t="str">
        <f aca="false">IFERROR(__xludf.dummyfunction("""COMPUTED_VALUE"""),"Jirachi")</f>
        <v>Jirachi</v>
      </c>
      <c r="B386" s="365"/>
      <c r="C386" s="365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364"/>
      <c r="O386" s="364"/>
      <c r="P386" s="364"/>
      <c r="Q386" s="364"/>
      <c r="R386" s="364"/>
      <c r="S386" s="364"/>
      <c r="T386" s="364"/>
      <c r="U386" s="364"/>
      <c r="V386" s="364"/>
      <c r="W386" s="364"/>
      <c r="X386" s="364"/>
      <c r="Y386" s="364"/>
      <c r="Z386" s="364"/>
      <c r="AA386" s="364"/>
    </row>
    <row r="387" customFormat="false" ht="15.75" hidden="false" customHeight="false" outlineLevel="0" collapsed="false">
      <c r="A387" s="261" t="str">
        <f aca="false">IFERROR(__xludf.dummyfunction("""COMPUTED_VALUE"""),"Deoxys")</f>
        <v>Deoxys</v>
      </c>
      <c r="B387" s="365"/>
      <c r="C387" s="365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364"/>
      <c r="O387" s="364"/>
      <c r="P387" s="364"/>
      <c r="Q387" s="364"/>
      <c r="R387" s="364"/>
      <c r="S387" s="364"/>
      <c r="T387" s="364"/>
      <c r="U387" s="364"/>
      <c r="V387" s="364"/>
      <c r="W387" s="364"/>
      <c r="X387" s="364"/>
      <c r="Y387" s="364"/>
      <c r="Z387" s="364"/>
      <c r="AA387" s="364"/>
    </row>
    <row r="388" customFormat="false" ht="15.75" hidden="false" customHeight="false" outlineLevel="0" collapsed="false">
      <c r="A388" s="261" t="str">
        <f aca="false">IFERROR(__xludf.dummyfunction("""COMPUTED_VALUE"""),"Turtwig")</f>
        <v>Turtwig</v>
      </c>
      <c r="B388" s="365"/>
      <c r="C388" s="365"/>
      <c r="D388" s="364"/>
      <c r="E388" s="364"/>
      <c r="F388" s="364"/>
      <c r="G388" s="364"/>
      <c r="H388" s="364"/>
      <c r="I388" s="364"/>
      <c r="J388" s="364"/>
      <c r="K388" s="364"/>
      <c r="L388" s="364"/>
      <c r="M388" s="364"/>
      <c r="N388" s="364"/>
      <c r="O388" s="364"/>
      <c r="P388" s="364"/>
      <c r="Q388" s="364"/>
      <c r="R388" s="364"/>
      <c r="S388" s="364"/>
      <c r="T388" s="364"/>
      <c r="U388" s="364"/>
      <c r="V388" s="364"/>
      <c r="W388" s="364"/>
      <c r="X388" s="364"/>
      <c r="Y388" s="364"/>
      <c r="Z388" s="364"/>
      <c r="AA388" s="364"/>
    </row>
    <row r="389" customFormat="false" ht="15.75" hidden="false" customHeight="false" outlineLevel="0" collapsed="false">
      <c r="A389" s="261" t="str">
        <f aca="false">IFERROR(__xludf.dummyfunction("""COMPUTED_VALUE"""),"Grotle")</f>
        <v>Grotle</v>
      </c>
      <c r="B389" s="365"/>
      <c r="C389" s="365"/>
      <c r="D389" s="364"/>
      <c r="E389" s="364"/>
      <c r="F389" s="364"/>
      <c r="G389" s="364"/>
      <c r="H389" s="364"/>
      <c r="I389" s="364"/>
      <c r="J389" s="364"/>
      <c r="K389" s="364"/>
      <c r="L389" s="364"/>
      <c r="M389" s="364"/>
      <c r="N389" s="364"/>
      <c r="O389" s="364"/>
      <c r="P389" s="364"/>
      <c r="Q389" s="364"/>
      <c r="R389" s="364"/>
      <c r="S389" s="364"/>
      <c r="T389" s="364"/>
      <c r="U389" s="364"/>
      <c r="V389" s="364"/>
      <c r="W389" s="364"/>
      <c r="X389" s="364"/>
      <c r="Y389" s="364"/>
      <c r="Z389" s="364"/>
      <c r="AA389" s="364"/>
    </row>
    <row r="390" customFormat="false" ht="15.75" hidden="false" customHeight="false" outlineLevel="0" collapsed="false">
      <c r="A390" s="261" t="str">
        <f aca="false">IFERROR(__xludf.dummyfunction("""COMPUTED_VALUE"""),"Torterra")</f>
        <v>Torterra</v>
      </c>
      <c r="B390" s="365"/>
      <c r="C390" s="365"/>
      <c r="D390" s="364"/>
      <c r="E390" s="364"/>
      <c r="F390" s="364"/>
      <c r="G390" s="364"/>
      <c r="H390" s="364"/>
      <c r="I390" s="364"/>
      <c r="J390" s="364"/>
      <c r="K390" s="364"/>
      <c r="L390" s="364"/>
      <c r="M390" s="364"/>
      <c r="N390" s="364"/>
      <c r="O390" s="364"/>
      <c r="P390" s="364"/>
      <c r="Q390" s="364"/>
      <c r="R390" s="364"/>
      <c r="S390" s="364"/>
      <c r="T390" s="364"/>
      <c r="U390" s="364"/>
      <c r="V390" s="364"/>
      <c r="W390" s="364"/>
      <c r="X390" s="364"/>
      <c r="Y390" s="364"/>
      <c r="Z390" s="364"/>
      <c r="AA390" s="364"/>
    </row>
    <row r="391" customFormat="false" ht="15.75" hidden="false" customHeight="false" outlineLevel="0" collapsed="false">
      <c r="A391" s="261" t="str">
        <f aca="false">IFERROR(__xludf.dummyfunction("""COMPUTED_VALUE"""),"Chimchar")</f>
        <v>Chimchar</v>
      </c>
      <c r="B391" s="365"/>
      <c r="C391" s="365"/>
      <c r="D391" s="364"/>
      <c r="E391" s="364"/>
      <c r="F391" s="364"/>
      <c r="G391" s="364"/>
      <c r="H391" s="364"/>
      <c r="I391" s="364"/>
      <c r="J391" s="364"/>
      <c r="K391" s="364"/>
      <c r="L391" s="364"/>
      <c r="M391" s="364"/>
      <c r="N391" s="364"/>
      <c r="O391" s="364"/>
      <c r="P391" s="364"/>
      <c r="Q391" s="364"/>
      <c r="R391" s="364"/>
      <c r="S391" s="364"/>
      <c r="T391" s="364"/>
      <c r="U391" s="364"/>
      <c r="V391" s="364"/>
      <c r="W391" s="364"/>
      <c r="X391" s="364"/>
      <c r="Y391" s="364"/>
      <c r="Z391" s="364"/>
      <c r="AA391" s="364"/>
    </row>
    <row r="392" customFormat="false" ht="15.75" hidden="false" customHeight="false" outlineLevel="0" collapsed="false">
      <c r="A392" s="261" t="str">
        <f aca="false">IFERROR(__xludf.dummyfunction("""COMPUTED_VALUE"""),"Monferno")</f>
        <v>Monferno</v>
      </c>
      <c r="B392" s="365"/>
      <c r="C392" s="365"/>
      <c r="D392" s="364"/>
      <c r="E392" s="364"/>
      <c r="F392" s="364"/>
      <c r="G392" s="364"/>
      <c r="H392" s="364"/>
      <c r="I392" s="364"/>
      <c r="J392" s="364"/>
      <c r="K392" s="364"/>
      <c r="L392" s="364"/>
      <c r="M392" s="364"/>
      <c r="N392" s="364"/>
      <c r="O392" s="364"/>
      <c r="P392" s="364"/>
      <c r="Q392" s="364"/>
      <c r="R392" s="364"/>
      <c r="S392" s="364"/>
      <c r="T392" s="364"/>
      <c r="U392" s="364"/>
      <c r="V392" s="364"/>
      <c r="W392" s="364"/>
      <c r="X392" s="364"/>
      <c r="Y392" s="364"/>
      <c r="Z392" s="364"/>
      <c r="AA392" s="364"/>
    </row>
    <row r="393" customFormat="false" ht="15.75" hidden="false" customHeight="false" outlineLevel="0" collapsed="false">
      <c r="A393" s="261" t="str">
        <f aca="false">IFERROR(__xludf.dummyfunction("""COMPUTED_VALUE"""),"Infernape")</f>
        <v>Infernape</v>
      </c>
      <c r="B393" s="365"/>
      <c r="C393" s="365"/>
      <c r="D393" s="364"/>
      <c r="E393" s="364"/>
      <c r="F393" s="364"/>
      <c r="G393" s="364"/>
      <c r="H393" s="364"/>
      <c r="I393" s="364"/>
      <c r="J393" s="364"/>
      <c r="K393" s="364"/>
      <c r="L393" s="364"/>
      <c r="M393" s="364"/>
      <c r="N393" s="364"/>
      <c r="O393" s="364"/>
      <c r="P393" s="364"/>
      <c r="Q393" s="364"/>
      <c r="R393" s="364"/>
      <c r="S393" s="364"/>
      <c r="T393" s="364"/>
      <c r="U393" s="364"/>
      <c r="V393" s="364"/>
      <c r="W393" s="364"/>
      <c r="X393" s="364"/>
      <c r="Y393" s="364"/>
      <c r="Z393" s="364"/>
      <c r="AA393" s="364"/>
    </row>
    <row r="394" customFormat="false" ht="15.75" hidden="false" customHeight="false" outlineLevel="0" collapsed="false">
      <c r="A394" s="261" t="str">
        <f aca="false">IFERROR(__xludf.dummyfunction("""COMPUTED_VALUE"""),"Piplup")</f>
        <v>Piplup</v>
      </c>
      <c r="B394" s="365"/>
      <c r="C394" s="365"/>
      <c r="D394" s="364"/>
      <c r="E394" s="364"/>
      <c r="F394" s="364"/>
      <c r="G394" s="364"/>
      <c r="H394" s="364"/>
      <c r="I394" s="364"/>
      <c r="J394" s="364"/>
      <c r="K394" s="364"/>
      <c r="L394" s="364"/>
      <c r="M394" s="364"/>
      <c r="N394" s="364"/>
      <c r="O394" s="364"/>
      <c r="P394" s="364"/>
      <c r="Q394" s="364"/>
      <c r="R394" s="364"/>
      <c r="S394" s="364"/>
      <c r="T394" s="364"/>
      <c r="U394" s="364"/>
      <c r="V394" s="364"/>
      <c r="W394" s="364"/>
      <c r="X394" s="364"/>
      <c r="Y394" s="364"/>
      <c r="Z394" s="364"/>
      <c r="AA394" s="364"/>
    </row>
    <row r="395" customFormat="false" ht="15.75" hidden="false" customHeight="false" outlineLevel="0" collapsed="false">
      <c r="A395" s="261" t="str">
        <f aca="false">IFERROR(__xludf.dummyfunction("""COMPUTED_VALUE"""),"Prinplup")</f>
        <v>Prinplup</v>
      </c>
      <c r="B395" s="365"/>
      <c r="C395" s="365"/>
      <c r="D395" s="364"/>
      <c r="E395" s="364"/>
      <c r="F395" s="364"/>
      <c r="G395" s="364"/>
      <c r="H395" s="364"/>
      <c r="I395" s="364"/>
      <c r="J395" s="364"/>
      <c r="K395" s="364"/>
      <c r="L395" s="364"/>
      <c r="M395" s="364"/>
      <c r="N395" s="364"/>
      <c r="O395" s="364"/>
      <c r="P395" s="364"/>
      <c r="Q395" s="364"/>
      <c r="R395" s="364"/>
      <c r="S395" s="364"/>
      <c r="T395" s="364"/>
      <c r="U395" s="364"/>
      <c r="V395" s="364"/>
      <c r="W395" s="364"/>
      <c r="X395" s="364"/>
      <c r="Y395" s="364"/>
      <c r="Z395" s="364"/>
      <c r="AA395" s="364"/>
    </row>
    <row r="396" customFormat="false" ht="15.75" hidden="false" customHeight="false" outlineLevel="0" collapsed="false">
      <c r="A396" s="261" t="str">
        <f aca="false">IFERROR(__xludf.dummyfunction("""COMPUTED_VALUE"""),"Empoleon")</f>
        <v>Empoleon</v>
      </c>
      <c r="B396" s="365"/>
      <c r="C396" s="365"/>
      <c r="D396" s="364"/>
      <c r="E396" s="364"/>
      <c r="F396" s="364"/>
      <c r="G396" s="364"/>
      <c r="H396" s="364"/>
      <c r="I396" s="364"/>
      <c r="J396" s="364"/>
      <c r="K396" s="364"/>
      <c r="L396" s="364"/>
      <c r="M396" s="364"/>
      <c r="N396" s="364"/>
      <c r="O396" s="364"/>
      <c r="P396" s="364"/>
      <c r="Q396" s="364"/>
      <c r="R396" s="364"/>
      <c r="S396" s="364"/>
      <c r="T396" s="364"/>
      <c r="U396" s="364"/>
      <c r="V396" s="364"/>
      <c r="W396" s="364"/>
      <c r="X396" s="364"/>
      <c r="Y396" s="364"/>
      <c r="Z396" s="364"/>
      <c r="AA396" s="364"/>
    </row>
    <row r="397" customFormat="false" ht="15.75" hidden="false" customHeight="false" outlineLevel="0" collapsed="false">
      <c r="A397" s="261" t="str">
        <f aca="false">IFERROR(__xludf.dummyfunction("""COMPUTED_VALUE"""),"Starly")</f>
        <v>Starly</v>
      </c>
      <c r="B397" s="365"/>
      <c r="C397" s="365"/>
      <c r="D397" s="364"/>
      <c r="E397" s="364"/>
      <c r="F397" s="364"/>
      <c r="G397" s="364"/>
      <c r="H397" s="364"/>
      <c r="I397" s="364"/>
      <c r="J397" s="364"/>
      <c r="K397" s="364"/>
      <c r="L397" s="364"/>
      <c r="M397" s="364"/>
      <c r="N397" s="364"/>
      <c r="O397" s="364"/>
      <c r="P397" s="364"/>
      <c r="Q397" s="364"/>
      <c r="R397" s="364"/>
      <c r="S397" s="364"/>
      <c r="T397" s="364"/>
      <c r="U397" s="364"/>
      <c r="V397" s="364"/>
      <c r="W397" s="364"/>
      <c r="X397" s="364"/>
      <c r="Y397" s="364"/>
      <c r="Z397" s="364"/>
      <c r="AA397" s="364"/>
    </row>
    <row r="398" customFormat="false" ht="15.75" hidden="false" customHeight="false" outlineLevel="0" collapsed="false">
      <c r="A398" s="261" t="str">
        <f aca="false">IFERROR(__xludf.dummyfunction("""COMPUTED_VALUE"""),"Staravia")</f>
        <v>Staravia</v>
      </c>
      <c r="B398" s="365"/>
      <c r="C398" s="365"/>
      <c r="D398" s="364"/>
      <c r="E398" s="364"/>
      <c r="F398" s="364"/>
      <c r="G398" s="364"/>
      <c r="H398" s="364"/>
      <c r="I398" s="364"/>
      <c r="J398" s="364"/>
      <c r="K398" s="364"/>
      <c r="L398" s="364"/>
      <c r="M398" s="364"/>
      <c r="N398" s="364"/>
      <c r="O398" s="364"/>
      <c r="P398" s="364"/>
      <c r="Q398" s="364"/>
      <c r="R398" s="364"/>
      <c r="S398" s="364"/>
      <c r="T398" s="364"/>
      <c r="U398" s="364"/>
      <c r="V398" s="364"/>
      <c r="W398" s="364"/>
      <c r="X398" s="364"/>
      <c r="Y398" s="364"/>
      <c r="Z398" s="364"/>
      <c r="AA398" s="364"/>
    </row>
    <row r="399" customFormat="false" ht="15.75" hidden="false" customHeight="false" outlineLevel="0" collapsed="false">
      <c r="A399" s="261" t="str">
        <f aca="false">IFERROR(__xludf.dummyfunction("""COMPUTED_VALUE"""),"Staraptor")</f>
        <v>Staraptor</v>
      </c>
      <c r="B399" s="365"/>
      <c r="C399" s="365"/>
      <c r="D399" s="364"/>
      <c r="E399" s="364"/>
      <c r="F399" s="364"/>
      <c r="G399" s="364"/>
      <c r="H399" s="364"/>
      <c r="I399" s="364"/>
      <c r="J399" s="364"/>
      <c r="K399" s="364"/>
      <c r="L399" s="364"/>
      <c r="M399" s="364"/>
      <c r="N399" s="364"/>
      <c r="O399" s="364"/>
      <c r="P399" s="364"/>
      <c r="Q399" s="364"/>
      <c r="R399" s="364"/>
      <c r="S399" s="364"/>
      <c r="T399" s="364"/>
      <c r="U399" s="364"/>
      <c r="V399" s="364"/>
      <c r="W399" s="364"/>
      <c r="X399" s="364"/>
      <c r="Y399" s="364"/>
      <c r="Z399" s="364"/>
      <c r="AA399" s="364"/>
    </row>
    <row r="400" customFormat="false" ht="15.75" hidden="false" customHeight="false" outlineLevel="0" collapsed="false">
      <c r="A400" s="261" t="str">
        <f aca="false">IFERROR(__xludf.dummyfunction("""COMPUTED_VALUE"""),"Bidoof")</f>
        <v>Bidoof</v>
      </c>
      <c r="B400" s="365"/>
      <c r="C400" s="365"/>
      <c r="D400" s="364"/>
      <c r="E400" s="364"/>
      <c r="F400" s="364"/>
      <c r="G400" s="364"/>
      <c r="H400" s="364"/>
      <c r="I400" s="364"/>
      <c r="J400" s="364"/>
      <c r="K400" s="364"/>
      <c r="L400" s="364"/>
      <c r="M400" s="364"/>
      <c r="N400" s="364"/>
      <c r="O400" s="364"/>
      <c r="P400" s="364"/>
      <c r="Q400" s="364"/>
      <c r="R400" s="364"/>
      <c r="S400" s="364"/>
      <c r="T400" s="364"/>
      <c r="U400" s="364"/>
      <c r="V400" s="364"/>
      <c r="W400" s="364"/>
      <c r="X400" s="364"/>
      <c r="Y400" s="364"/>
      <c r="Z400" s="364"/>
      <c r="AA400" s="364"/>
    </row>
    <row r="401" customFormat="false" ht="15.75" hidden="false" customHeight="false" outlineLevel="0" collapsed="false">
      <c r="A401" s="261" t="str">
        <f aca="false">IFERROR(__xludf.dummyfunction("""COMPUTED_VALUE"""),"Bibarel")</f>
        <v>Bibarel</v>
      </c>
      <c r="B401" s="365"/>
      <c r="C401" s="365"/>
      <c r="D401" s="364"/>
      <c r="E401" s="364"/>
      <c r="F401" s="364"/>
      <c r="G401" s="364"/>
      <c r="H401" s="364"/>
      <c r="I401" s="364"/>
      <c r="J401" s="364"/>
      <c r="K401" s="364"/>
      <c r="L401" s="364"/>
      <c r="M401" s="364"/>
      <c r="N401" s="364"/>
      <c r="O401" s="364"/>
      <c r="P401" s="364"/>
      <c r="Q401" s="364"/>
      <c r="R401" s="364"/>
      <c r="S401" s="364"/>
      <c r="T401" s="364"/>
      <c r="U401" s="364"/>
      <c r="V401" s="364"/>
      <c r="W401" s="364"/>
      <c r="X401" s="364"/>
      <c r="Y401" s="364"/>
      <c r="Z401" s="364"/>
      <c r="AA401" s="364"/>
    </row>
    <row r="402" customFormat="false" ht="15.75" hidden="false" customHeight="false" outlineLevel="0" collapsed="false">
      <c r="A402" s="261" t="str">
        <f aca="false">IFERROR(__xludf.dummyfunction("""COMPUTED_VALUE"""),"Kricketot")</f>
        <v>Kricketot</v>
      </c>
      <c r="B402" s="365"/>
      <c r="C402" s="365"/>
      <c r="D402" s="364"/>
      <c r="E402" s="364"/>
      <c r="F402" s="364"/>
      <c r="G402" s="364"/>
      <c r="H402" s="364"/>
      <c r="I402" s="364"/>
      <c r="J402" s="364"/>
      <c r="K402" s="364"/>
      <c r="L402" s="364"/>
      <c r="M402" s="364"/>
      <c r="N402" s="364"/>
      <c r="O402" s="364"/>
      <c r="P402" s="364"/>
      <c r="Q402" s="364"/>
      <c r="R402" s="364"/>
      <c r="S402" s="364"/>
      <c r="T402" s="364"/>
      <c r="U402" s="364"/>
      <c r="V402" s="364"/>
      <c r="W402" s="364"/>
      <c r="X402" s="364"/>
      <c r="Y402" s="364"/>
      <c r="Z402" s="364"/>
      <c r="AA402" s="364"/>
    </row>
    <row r="403" customFormat="false" ht="15.75" hidden="false" customHeight="false" outlineLevel="0" collapsed="false">
      <c r="A403" s="261" t="str">
        <f aca="false">IFERROR(__xludf.dummyfunction("""COMPUTED_VALUE"""),"Kricketune")</f>
        <v>Kricketune</v>
      </c>
      <c r="B403" s="365"/>
      <c r="C403" s="365"/>
      <c r="D403" s="364"/>
      <c r="E403" s="364"/>
      <c r="F403" s="364"/>
      <c r="G403" s="364"/>
      <c r="H403" s="364"/>
      <c r="I403" s="364"/>
      <c r="J403" s="364"/>
      <c r="K403" s="364"/>
      <c r="L403" s="364"/>
      <c r="M403" s="364"/>
      <c r="N403" s="364"/>
      <c r="O403" s="364"/>
      <c r="P403" s="364"/>
      <c r="Q403" s="364"/>
      <c r="R403" s="364"/>
      <c r="S403" s="364"/>
      <c r="T403" s="364"/>
      <c r="U403" s="364"/>
      <c r="V403" s="364"/>
      <c r="W403" s="364"/>
      <c r="X403" s="364"/>
      <c r="Y403" s="364"/>
      <c r="Z403" s="364"/>
      <c r="AA403" s="364"/>
    </row>
    <row r="404" customFormat="false" ht="15.75" hidden="false" customHeight="false" outlineLevel="0" collapsed="false">
      <c r="A404" s="261" t="str">
        <f aca="false">IFERROR(__xludf.dummyfunction("""COMPUTED_VALUE"""),"Shinx")</f>
        <v>Shinx</v>
      </c>
      <c r="B404" s="365"/>
      <c r="C404" s="365"/>
      <c r="D404" s="364"/>
      <c r="E404" s="364"/>
      <c r="F404" s="364"/>
      <c r="G404" s="364"/>
      <c r="H404" s="364"/>
      <c r="I404" s="364"/>
      <c r="J404" s="364"/>
      <c r="K404" s="364"/>
      <c r="L404" s="364"/>
      <c r="M404" s="364"/>
      <c r="N404" s="364"/>
      <c r="O404" s="364"/>
      <c r="P404" s="364"/>
      <c r="Q404" s="364"/>
      <c r="R404" s="364"/>
      <c r="S404" s="364"/>
      <c r="T404" s="364"/>
      <c r="U404" s="364"/>
      <c r="V404" s="364"/>
      <c r="W404" s="364"/>
      <c r="X404" s="364"/>
      <c r="Y404" s="364"/>
      <c r="Z404" s="364"/>
      <c r="AA404" s="364"/>
    </row>
    <row r="405" customFormat="false" ht="15.75" hidden="false" customHeight="false" outlineLevel="0" collapsed="false">
      <c r="A405" s="261" t="str">
        <f aca="false">IFERROR(__xludf.dummyfunction("""COMPUTED_VALUE"""),"Luxio")</f>
        <v>Luxio</v>
      </c>
      <c r="B405" s="365"/>
      <c r="C405" s="365"/>
      <c r="D405" s="364"/>
      <c r="E405" s="364"/>
      <c r="F405" s="364"/>
      <c r="G405" s="364"/>
      <c r="H405" s="364"/>
      <c r="I405" s="364"/>
      <c r="J405" s="364"/>
      <c r="K405" s="364"/>
      <c r="L405" s="364"/>
      <c r="M405" s="364"/>
      <c r="N405" s="364"/>
      <c r="O405" s="364"/>
      <c r="P405" s="364"/>
      <c r="Q405" s="364"/>
      <c r="R405" s="364"/>
      <c r="S405" s="364"/>
      <c r="T405" s="364"/>
      <c r="U405" s="364"/>
      <c r="V405" s="364"/>
      <c r="W405" s="364"/>
      <c r="X405" s="364"/>
      <c r="Y405" s="364"/>
      <c r="Z405" s="364"/>
      <c r="AA405" s="364"/>
    </row>
    <row r="406" customFormat="false" ht="15.75" hidden="false" customHeight="false" outlineLevel="0" collapsed="false">
      <c r="A406" s="261" t="str">
        <f aca="false">IFERROR(__xludf.dummyfunction("""COMPUTED_VALUE"""),"Luxray")</f>
        <v>Luxray</v>
      </c>
      <c r="B406" s="365"/>
      <c r="C406" s="365"/>
      <c r="D406" s="364"/>
      <c r="E406" s="364"/>
      <c r="F406" s="364"/>
      <c r="G406" s="364"/>
      <c r="H406" s="364"/>
      <c r="I406" s="364"/>
      <c r="J406" s="364"/>
      <c r="K406" s="364"/>
      <c r="L406" s="364"/>
      <c r="M406" s="364"/>
      <c r="N406" s="364"/>
      <c r="O406" s="364"/>
      <c r="P406" s="364"/>
      <c r="Q406" s="364"/>
      <c r="R406" s="364"/>
      <c r="S406" s="364"/>
      <c r="T406" s="364"/>
      <c r="U406" s="364"/>
      <c r="V406" s="364"/>
      <c r="W406" s="364"/>
      <c r="X406" s="364"/>
      <c r="Y406" s="364"/>
      <c r="Z406" s="364"/>
      <c r="AA406" s="364"/>
    </row>
    <row r="407" customFormat="false" ht="15.75" hidden="false" customHeight="false" outlineLevel="0" collapsed="false">
      <c r="A407" s="261" t="str">
        <f aca="false">IFERROR(__xludf.dummyfunction("""COMPUTED_VALUE"""),"Budew")</f>
        <v>Budew</v>
      </c>
      <c r="B407" s="365"/>
      <c r="C407" s="365"/>
      <c r="D407" s="364"/>
      <c r="E407" s="364"/>
      <c r="F407" s="364"/>
      <c r="G407" s="364"/>
      <c r="H407" s="364"/>
      <c r="I407" s="364"/>
      <c r="J407" s="364"/>
      <c r="K407" s="364"/>
      <c r="L407" s="364"/>
      <c r="M407" s="364"/>
      <c r="N407" s="364"/>
      <c r="O407" s="364"/>
      <c r="P407" s="364"/>
      <c r="Q407" s="364"/>
      <c r="R407" s="364"/>
      <c r="S407" s="364"/>
      <c r="T407" s="364"/>
      <c r="U407" s="364"/>
      <c r="V407" s="364"/>
      <c r="W407" s="364"/>
      <c r="X407" s="364"/>
      <c r="Y407" s="364"/>
      <c r="Z407" s="364"/>
      <c r="AA407" s="364"/>
    </row>
    <row r="408" customFormat="false" ht="15.75" hidden="false" customHeight="false" outlineLevel="0" collapsed="false">
      <c r="A408" s="261" t="str">
        <f aca="false">IFERROR(__xludf.dummyfunction("""COMPUTED_VALUE"""),"Roserade")</f>
        <v>Roserade</v>
      </c>
      <c r="B408" s="365"/>
      <c r="C408" s="365"/>
      <c r="D408" s="364"/>
      <c r="E408" s="364"/>
      <c r="F408" s="364"/>
      <c r="G408" s="364"/>
      <c r="H408" s="364"/>
      <c r="I408" s="364"/>
      <c r="J408" s="364"/>
      <c r="K408" s="364"/>
      <c r="L408" s="364"/>
      <c r="M408" s="364"/>
      <c r="N408" s="364"/>
      <c r="O408" s="364"/>
      <c r="P408" s="364"/>
      <c r="Q408" s="364"/>
      <c r="R408" s="364"/>
      <c r="S408" s="364"/>
      <c r="T408" s="364"/>
      <c r="U408" s="364"/>
      <c r="V408" s="364"/>
      <c r="W408" s="364"/>
      <c r="X408" s="364"/>
      <c r="Y408" s="364"/>
      <c r="Z408" s="364"/>
      <c r="AA408" s="364"/>
    </row>
    <row r="409" customFormat="false" ht="15.75" hidden="false" customHeight="false" outlineLevel="0" collapsed="false">
      <c r="A409" s="261" t="str">
        <f aca="false">IFERROR(__xludf.dummyfunction("""COMPUTED_VALUE"""),"Cranidos")</f>
        <v>Cranidos</v>
      </c>
      <c r="B409" s="365"/>
      <c r="C409" s="365"/>
      <c r="D409" s="364"/>
      <c r="E409" s="364"/>
      <c r="F409" s="364"/>
      <c r="G409" s="364"/>
      <c r="H409" s="364"/>
      <c r="I409" s="364"/>
      <c r="J409" s="364"/>
      <c r="K409" s="364"/>
      <c r="L409" s="364"/>
      <c r="M409" s="364"/>
      <c r="N409" s="364"/>
      <c r="O409" s="364"/>
      <c r="P409" s="364"/>
      <c r="Q409" s="364"/>
      <c r="R409" s="364"/>
      <c r="S409" s="364"/>
      <c r="T409" s="364"/>
      <c r="U409" s="364"/>
      <c r="V409" s="364"/>
      <c r="W409" s="364"/>
      <c r="X409" s="364"/>
      <c r="Y409" s="364"/>
      <c r="Z409" s="364"/>
      <c r="AA409" s="364"/>
    </row>
    <row r="410" customFormat="false" ht="15.75" hidden="false" customHeight="false" outlineLevel="0" collapsed="false">
      <c r="A410" s="261" t="str">
        <f aca="false">IFERROR(__xludf.dummyfunction("""COMPUTED_VALUE"""),"Rampardos")</f>
        <v>Rampardos</v>
      </c>
      <c r="B410" s="365"/>
      <c r="C410" s="365"/>
      <c r="D410" s="364"/>
      <c r="E410" s="364"/>
      <c r="F410" s="364"/>
      <c r="G410" s="364"/>
      <c r="H410" s="364"/>
      <c r="I410" s="364"/>
      <c r="J410" s="364"/>
      <c r="K410" s="364"/>
      <c r="L410" s="364"/>
      <c r="M410" s="364"/>
      <c r="N410" s="364"/>
      <c r="O410" s="364"/>
      <c r="P410" s="364"/>
      <c r="Q410" s="364"/>
      <c r="R410" s="364"/>
      <c r="S410" s="364"/>
      <c r="T410" s="364"/>
      <c r="U410" s="364"/>
      <c r="V410" s="364"/>
      <c r="W410" s="364"/>
      <c r="X410" s="364"/>
      <c r="Y410" s="364"/>
      <c r="Z410" s="364"/>
      <c r="AA410" s="364"/>
    </row>
    <row r="411" customFormat="false" ht="15.75" hidden="false" customHeight="false" outlineLevel="0" collapsed="false">
      <c r="A411" s="261" t="str">
        <f aca="false">IFERROR(__xludf.dummyfunction("""COMPUTED_VALUE"""),"Shieldon")</f>
        <v>Shieldon</v>
      </c>
      <c r="B411" s="365"/>
      <c r="C411" s="365"/>
      <c r="D411" s="364"/>
      <c r="E411" s="364"/>
      <c r="F411" s="364"/>
      <c r="G411" s="364"/>
      <c r="H411" s="364"/>
      <c r="I411" s="364"/>
      <c r="J411" s="364"/>
      <c r="K411" s="364"/>
      <c r="L411" s="364"/>
      <c r="M411" s="364"/>
      <c r="N411" s="364"/>
      <c r="O411" s="364"/>
      <c r="P411" s="364"/>
      <c r="Q411" s="364"/>
      <c r="R411" s="364"/>
      <c r="S411" s="364"/>
      <c r="T411" s="364"/>
      <c r="U411" s="364"/>
      <c r="V411" s="364"/>
      <c r="W411" s="364"/>
      <c r="X411" s="364"/>
      <c r="Y411" s="364"/>
      <c r="Z411" s="364"/>
      <c r="AA411" s="364"/>
    </row>
    <row r="412" customFormat="false" ht="15.75" hidden="false" customHeight="false" outlineLevel="0" collapsed="false">
      <c r="A412" s="261" t="str">
        <f aca="false">IFERROR(__xludf.dummyfunction("""COMPUTED_VALUE"""),"Bastiodon")</f>
        <v>Bastiodon</v>
      </c>
      <c r="B412" s="365"/>
      <c r="C412" s="365"/>
      <c r="D412" s="364"/>
      <c r="E412" s="364"/>
      <c r="F412" s="364"/>
      <c r="G412" s="364"/>
      <c r="H412" s="364"/>
      <c r="I412" s="364"/>
      <c r="J412" s="364"/>
      <c r="K412" s="364"/>
      <c r="L412" s="364"/>
      <c r="M412" s="364"/>
      <c r="N412" s="364"/>
      <c r="O412" s="364"/>
      <c r="P412" s="364"/>
      <c r="Q412" s="364"/>
      <c r="R412" s="364"/>
      <c r="S412" s="364"/>
      <c r="T412" s="364"/>
      <c r="U412" s="364"/>
      <c r="V412" s="364"/>
      <c r="W412" s="364"/>
      <c r="X412" s="364"/>
      <c r="Y412" s="364"/>
      <c r="Z412" s="364"/>
      <c r="AA412" s="364"/>
    </row>
    <row r="413" customFormat="false" ht="15.75" hidden="false" customHeight="false" outlineLevel="0" collapsed="false">
      <c r="A413" s="261" t="str">
        <f aca="false">IFERROR(__xludf.dummyfunction("""COMPUTED_VALUE"""),"Burmy")</f>
        <v>Burmy</v>
      </c>
      <c r="B413" s="365"/>
      <c r="C413" s="365"/>
      <c r="D413" s="364"/>
      <c r="E413" s="364"/>
      <c r="F413" s="364"/>
      <c r="G413" s="364"/>
      <c r="H413" s="364"/>
      <c r="I413" s="364"/>
      <c r="J413" s="364"/>
      <c r="K413" s="364"/>
      <c r="L413" s="364"/>
      <c r="M413" s="364"/>
      <c r="N413" s="364"/>
      <c r="O413" s="364"/>
      <c r="P413" s="364"/>
      <c r="Q413" s="364"/>
      <c r="R413" s="364"/>
      <c r="S413" s="364"/>
      <c r="T413" s="364"/>
      <c r="U413" s="364"/>
      <c r="V413" s="364"/>
      <c r="W413" s="364"/>
      <c r="X413" s="364"/>
      <c r="Y413" s="364"/>
      <c r="Z413" s="364"/>
      <c r="AA413" s="364"/>
    </row>
    <row r="414" customFormat="false" ht="15.75" hidden="false" customHeight="false" outlineLevel="0" collapsed="false">
      <c r="A414" s="261" t="str">
        <f aca="false">IFERROR(__xludf.dummyfunction("""COMPUTED_VALUE"""),"Wormadam")</f>
        <v>Wormadam</v>
      </c>
      <c r="B414" s="365"/>
      <c r="C414" s="365"/>
      <c r="D414" s="364"/>
      <c r="E414" s="364"/>
      <c r="F414" s="364"/>
      <c r="G414" s="364"/>
      <c r="H414" s="364"/>
      <c r="I414" s="364"/>
      <c r="J414" s="364"/>
      <c r="K414" s="364"/>
      <c r="L414" s="364"/>
      <c r="M414" s="364"/>
      <c r="N414" s="364"/>
      <c r="O414" s="364"/>
      <c r="P414" s="364"/>
      <c r="Q414" s="364"/>
      <c r="R414" s="364"/>
      <c r="S414" s="364"/>
      <c r="T414" s="364"/>
      <c r="U414" s="364"/>
      <c r="V414" s="364"/>
      <c r="W414" s="364"/>
      <c r="X414" s="364"/>
      <c r="Y414" s="364"/>
      <c r="Z414" s="364"/>
      <c r="AA414" s="364"/>
    </row>
    <row r="415" customFormat="false" ht="15.75" hidden="false" customHeight="false" outlineLevel="0" collapsed="false">
      <c r="A415" s="261" t="str">
        <f aca="false">IFERROR(__xludf.dummyfunction("""COMPUTED_VALUE"""),"Mothim")</f>
        <v>Mothim</v>
      </c>
      <c r="B415" s="365"/>
      <c r="C415" s="365"/>
      <c r="D415" s="364"/>
      <c r="E415" s="364"/>
      <c r="F415" s="364"/>
      <c r="G415" s="364"/>
      <c r="H415" s="364"/>
      <c r="I415" s="364"/>
      <c r="J415" s="364"/>
      <c r="K415" s="364"/>
      <c r="L415" s="364"/>
      <c r="M415" s="364"/>
      <c r="N415" s="364"/>
      <c r="O415" s="364"/>
      <c r="P415" s="364"/>
      <c r="Q415" s="364"/>
      <c r="R415" s="364"/>
      <c r="S415" s="364"/>
      <c r="T415" s="364"/>
      <c r="U415" s="364"/>
      <c r="V415" s="364"/>
      <c r="W415" s="364"/>
      <c r="X415" s="364"/>
      <c r="Y415" s="364"/>
      <c r="Z415" s="364"/>
      <c r="AA415" s="364"/>
    </row>
    <row r="416" customFormat="false" ht="15.75" hidden="false" customHeight="false" outlineLevel="0" collapsed="false">
      <c r="A416" s="261" t="str">
        <f aca="false">IFERROR(__xludf.dummyfunction("""COMPUTED_VALUE"""),"Combee")</f>
        <v>Combee</v>
      </c>
      <c r="B416" s="365"/>
      <c r="C416" s="365"/>
      <c r="D416" s="364"/>
      <c r="E416" s="364"/>
      <c r="F416" s="364"/>
      <c r="G416" s="364"/>
      <c r="H416" s="364"/>
      <c r="I416" s="364"/>
      <c r="J416" s="364"/>
      <c r="K416" s="364"/>
      <c r="L416" s="364"/>
      <c r="M416" s="364"/>
      <c r="N416" s="364"/>
      <c r="O416" s="364"/>
      <c r="P416" s="364"/>
      <c r="Q416" s="364"/>
      <c r="R416" s="364"/>
      <c r="S416" s="364"/>
      <c r="T416" s="364"/>
      <c r="U416" s="364"/>
      <c r="V416" s="364"/>
      <c r="W416" s="364"/>
      <c r="X416" s="364"/>
      <c r="Y416" s="364"/>
      <c r="Z416" s="364"/>
      <c r="AA416" s="364"/>
    </row>
    <row r="417" customFormat="false" ht="15.75" hidden="false" customHeight="false" outlineLevel="0" collapsed="false">
      <c r="A417" s="261" t="str">
        <f aca="false">IFERROR(__xludf.dummyfunction("""COMPUTED_VALUE"""),"Vespiquen")</f>
        <v>Vespiquen</v>
      </c>
      <c r="B417" s="365"/>
      <c r="C417" s="365"/>
      <c r="D417" s="364"/>
      <c r="E417" s="364"/>
      <c r="F417" s="364"/>
      <c r="G417" s="364"/>
      <c r="H417" s="364"/>
      <c r="I417" s="364"/>
      <c r="J417" s="364"/>
      <c r="K417" s="364"/>
      <c r="L417" s="364"/>
      <c r="M417" s="364"/>
      <c r="N417" s="364"/>
      <c r="O417" s="364"/>
      <c r="P417" s="364"/>
      <c r="Q417" s="364"/>
      <c r="R417" s="364"/>
      <c r="S417" s="364"/>
      <c r="T417" s="364"/>
      <c r="U417" s="364"/>
      <c r="V417" s="364"/>
      <c r="W417" s="364"/>
      <c r="X417" s="364"/>
      <c r="Y417" s="364"/>
      <c r="Z417" s="364"/>
      <c r="AA417" s="364"/>
    </row>
    <row r="418" customFormat="false" ht="15.75" hidden="false" customHeight="false" outlineLevel="0" collapsed="false">
      <c r="A418" s="261" t="str">
        <f aca="false">IFERROR(__xludf.dummyfunction("""COMPUTED_VALUE"""),"Pachirisu")</f>
        <v>Pachirisu</v>
      </c>
      <c r="B418" s="365"/>
      <c r="C418" s="365"/>
      <c r="D418" s="364"/>
      <c r="E418" s="364"/>
      <c r="F418" s="364"/>
      <c r="G418" s="364"/>
      <c r="H418" s="364"/>
      <c r="I418" s="364"/>
      <c r="J418" s="364"/>
      <c r="K418" s="364"/>
      <c r="L418" s="364"/>
      <c r="M418" s="364"/>
      <c r="N418" s="364"/>
      <c r="O418" s="364"/>
      <c r="P418" s="364"/>
      <c r="Q418" s="364"/>
      <c r="R418" s="364"/>
      <c r="S418" s="364"/>
      <c r="T418" s="364"/>
      <c r="U418" s="364"/>
      <c r="V418" s="364"/>
      <c r="W418" s="364"/>
      <c r="X418" s="364"/>
      <c r="Y418" s="364"/>
      <c r="Z418" s="364"/>
      <c r="AA418" s="364"/>
    </row>
    <row r="419" customFormat="false" ht="15.75" hidden="false" customHeight="false" outlineLevel="0" collapsed="false">
      <c r="A419" s="261" t="str">
        <f aca="false">IFERROR(__xludf.dummyfunction("""COMPUTED_VALUE"""),"Buizel")</f>
        <v>Buizel</v>
      </c>
      <c r="B419" s="365"/>
      <c r="C419" s="365"/>
      <c r="D419" s="364"/>
      <c r="E419" s="364"/>
      <c r="F419" s="364"/>
      <c r="G419" s="364"/>
      <c r="H419" s="364"/>
      <c r="I419" s="364"/>
      <c r="J419" s="364"/>
      <c r="K419" s="364"/>
      <c r="L419" s="364"/>
      <c r="M419" s="364"/>
      <c r="N419" s="364"/>
      <c r="O419" s="364"/>
      <c r="P419" s="364"/>
      <c r="Q419" s="364"/>
      <c r="R419" s="364"/>
      <c r="S419" s="364"/>
      <c r="T419" s="364"/>
      <c r="U419" s="364"/>
      <c r="V419" s="364"/>
      <c r="W419" s="364"/>
      <c r="X419" s="364"/>
      <c r="Y419" s="364"/>
      <c r="Z419" s="364"/>
      <c r="AA419" s="364"/>
    </row>
    <row r="420" customFormat="false" ht="15.75" hidden="false" customHeight="false" outlineLevel="0" collapsed="false">
      <c r="A420" s="261" t="str">
        <f aca="false">IFERROR(__xludf.dummyfunction("""COMPUTED_VALUE"""),"Floatzel")</f>
        <v>Floatzel</v>
      </c>
      <c r="B420" s="365"/>
      <c r="C420" s="365"/>
      <c r="D420" s="364"/>
      <c r="E420" s="364"/>
      <c r="F420" s="364"/>
      <c r="G420" s="364"/>
      <c r="H420" s="364"/>
      <c r="I420" s="364"/>
      <c r="J420" s="364"/>
      <c r="K420" s="364"/>
      <c r="L420" s="364"/>
      <c r="M420" s="364"/>
      <c r="N420" s="364"/>
      <c r="O420" s="364"/>
      <c r="P420" s="364"/>
      <c r="Q420" s="364"/>
      <c r="R420" s="364"/>
      <c r="S420" s="364"/>
      <c r="T420" s="364"/>
      <c r="U420" s="364"/>
      <c r="V420" s="364"/>
      <c r="W420" s="364"/>
      <c r="X420" s="364"/>
      <c r="Y420" s="364"/>
      <c r="Z420" s="364"/>
      <c r="AA420" s="364"/>
    </row>
    <row r="421" customFormat="false" ht="15.75" hidden="false" customHeight="false" outlineLevel="0" collapsed="false">
      <c r="A421" s="261" t="str">
        <f aca="false">IFERROR(__xludf.dummyfunction("""COMPUTED_VALUE"""),"Cherubi")</f>
        <v>Cherubi</v>
      </c>
      <c r="B421" s="365"/>
      <c r="C421" s="365"/>
      <c r="D421" s="364"/>
      <c r="E421" s="364"/>
      <c r="F421" s="364"/>
      <c r="G421" s="364"/>
      <c r="H421" s="364"/>
      <c r="I421" s="364"/>
      <c r="J421" s="364"/>
      <c r="K421" s="364"/>
      <c r="L421" s="364"/>
      <c r="M421" s="364"/>
      <c r="N421" s="364"/>
      <c r="O421" s="364"/>
      <c r="P421" s="364"/>
      <c r="Q421" s="364"/>
      <c r="R421" s="364"/>
      <c r="S421" s="364"/>
      <c r="T421" s="364"/>
      <c r="U421" s="364"/>
      <c r="V421" s="364"/>
      <c r="W421" s="364"/>
      <c r="X421" s="364"/>
      <c r="Y421" s="364"/>
      <c r="Z421" s="364"/>
      <c r="AA421" s="364"/>
    </row>
    <row r="422" customFormat="false" ht="15.75" hidden="false" customHeight="false" outlineLevel="0" collapsed="false">
      <c r="A422" s="261" t="str">
        <f aca="false">IFERROR(__xludf.dummyfunction("""COMPUTED_VALUE"""),"Cherrim")</f>
        <v>Cherrim</v>
      </c>
      <c r="B422" s="365"/>
      <c r="C422" s="365"/>
      <c r="D422" s="364"/>
      <c r="E422" s="364"/>
      <c r="F422" s="364"/>
      <c r="G422" s="364"/>
      <c r="H422" s="364"/>
      <c r="I422" s="364"/>
      <c r="J422" s="364"/>
      <c r="K422" s="364"/>
      <c r="L422" s="364"/>
      <c r="M422" s="364"/>
      <c r="N422" s="364"/>
      <c r="O422" s="364"/>
      <c r="P422" s="364"/>
      <c r="Q422" s="364"/>
      <c r="R422" s="364"/>
      <c r="S422" s="364"/>
      <c r="T422" s="364"/>
      <c r="U422" s="364"/>
      <c r="V422" s="364"/>
      <c r="W422" s="364"/>
      <c r="X422" s="364"/>
      <c r="Y422" s="364"/>
      <c r="Z422" s="364"/>
      <c r="AA422" s="364"/>
    </row>
    <row r="423" customFormat="false" ht="15.75" hidden="false" customHeight="false" outlineLevel="0" collapsed="false">
      <c r="A423" s="261" t="str">
        <f aca="false">IFERROR(__xludf.dummyfunction("""COMPUTED_VALUE"""),"Shellos")</f>
        <v>Shellos</v>
      </c>
      <c r="B423" s="365"/>
      <c r="C423" s="365"/>
      <c r="D423" s="364"/>
      <c r="E423" s="364"/>
      <c r="F423" s="364"/>
      <c r="G423" s="364"/>
      <c r="H423" s="364"/>
      <c r="I423" s="364"/>
      <c r="J423" s="364"/>
      <c r="K423" s="364"/>
      <c r="L423" s="364"/>
      <c r="M423" s="364"/>
      <c r="N423" s="364"/>
      <c r="O423" s="364"/>
      <c r="P423" s="364"/>
      <c r="Q423" s="364"/>
      <c r="R423" s="364"/>
      <c r="S423" s="364"/>
      <c r="T423" s="364"/>
      <c r="U423" s="364"/>
      <c r="V423" s="364"/>
      <c r="W423" s="364"/>
      <c r="X423" s="364"/>
      <c r="Y423" s="364"/>
      <c r="Z423" s="364"/>
      <c r="AA423" s="364"/>
    </row>
    <row r="424" customFormat="false" ht="15.75" hidden="false" customHeight="false" outlineLevel="0" collapsed="false">
      <c r="A424" s="261" t="str">
        <f aca="false">IFERROR(__xludf.dummyfunction("""COMPUTED_VALUE"""),"Gastrodon")</f>
        <v>Gastrodon</v>
      </c>
      <c r="B424" s="365"/>
      <c r="C424" s="365"/>
      <c r="D424" s="364"/>
      <c r="E424" s="364"/>
      <c r="F424" s="364"/>
      <c r="G424" s="364"/>
      <c r="H424" s="364"/>
      <c r="I424" s="364"/>
      <c r="J424" s="364"/>
      <c r="K424" s="364"/>
      <c r="L424" s="364"/>
      <c r="M424" s="364"/>
      <c r="N424" s="364"/>
      <c r="O424" s="364"/>
      <c r="P424" s="364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/>
    </row>
    <row r="425" customFormat="false" ht="15.75" hidden="false" customHeight="false" outlineLevel="0" collapsed="false">
      <c r="A425" s="261" t="str">
        <f aca="false">IFERROR(__xludf.dummyfunction("""COMPUTED_VALUE"""),"Ambipom")</f>
        <v>Ambipom</v>
      </c>
      <c r="B425" s="365"/>
      <c r="C425" s="365"/>
      <c r="D425" s="364"/>
      <c r="E425" s="364"/>
      <c r="F425" s="364"/>
      <c r="G425" s="364"/>
      <c r="H425" s="364"/>
      <c r="I425" s="364"/>
      <c r="J425" s="364"/>
      <c r="K425" s="364"/>
      <c r="L425" s="364"/>
      <c r="M425" s="364"/>
      <c r="N425" s="364"/>
      <c r="O425" s="364"/>
      <c r="P425" s="364"/>
      <c r="Q425" s="364"/>
      <c r="R425" s="364"/>
      <c r="S425" s="364"/>
      <c r="T425" s="364"/>
      <c r="U425" s="364"/>
      <c r="V425" s="364"/>
      <c r="W425" s="364"/>
      <c r="X425" s="364"/>
      <c r="Y425" s="364"/>
      <c r="Z425" s="364"/>
      <c r="AA425" s="364"/>
    </row>
    <row r="426" customFormat="false" ht="15.75" hidden="false" customHeight="false" outlineLevel="0" collapsed="false">
      <c r="A426" s="261" t="str">
        <f aca="false">IFERROR(__xludf.dummyfunction("""COMPUTED_VALUE"""),"Drifloon")</f>
        <v>Drifloon</v>
      </c>
      <c r="B426" s="365"/>
      <c r="C426" s="365"/>
      <c r="D426" s="364"/>
      <c r="E426" s="364"/>
      <c r="F426" s="364"/>
      <c r="G426" s="364"/>
      <c r="H426" s="364"/>
      <c r="I426" s="364"/>
      <c r="J426" s="364"/>
      <c r="K426" s="364"/>
      <c r="L426" s="364"/>
      <c r="M426" s="364"/>
      <c r="N426" s="364"/>
      <c r="O426" s="364"/>
      <c r="P426" s="364"/>
      <c r="Q426" s="364"/>
      <c r="R426" s="364"/>
      <c r="S426" s="364"/>
      <c r="T426" s="364"/>
      <c r="U426" s="364"/>
      <c r="V426" s="364"/>
      <c r="W426" s="364"/>
      <c r="X426" s="364"/>
      <c r="Y426" s="364"/>
      <c r="Z426" s="364"/>
      <c r="AA426" s="364"/>
    </row>
    <row r="427" customFormat="false" ht="15.75" hidden="false" customHeight="false" outlineLevel="0" collapsed="false">
      <c r="A427" s="261" t="str">
        <f aca="false">IFERROR(__xludf.dummyfunction("""COMPUTED_VALUE"""),"Drifblim")</f>
        <v>Drifblim</v>
      </c>
      <c r="B427" s="365"/>
      <c r="C427" s="365"/>
      <c r="D427" s="364"/>
      <c r="E427" s="364"/>
      <c r="F427" s="364"/>
      <c r="G427" s="364"/>
      <c r="H427" s="364"/>
      <c r="I427" s="364"/>
      <c r="J427" s="364"/>
      <c r="K427" s="364"/>
      <c r="L427" s="364"/>
      <c r="M427" s="364"/>
      <c r="N427" s="364"/>
      <c r="O427" s="364"/>
      <c r="P427" s="364"/>
      <c r="Q427" s="364"/>
      <c r="R427" s="364"/>
      <c r="S427" s="364"/>
      <c r="T427" s="364"/>
      <c r="U427" s="364"/>
      <c r="V427" s="364"/>
      <c r="W427" s="364"/>
      <c r="X427" s="364"/>
      <c r="Y427" s="364"/>
      <c r="Z427" s="364"/>
      <c r="AA427" s="364"/>
    </row>
    <row r="428" customFormat="false" ht="15.75" hidden="false" customHeight="false" outlineLevel="0" collapsed="false">
      <c r="A428" s="261" t="str">
        <f aca="false">IFERROR(__xludf.dummyfunction("""COMPUTED_VALUE"""),"Buneary")</f>
        <v>Buneary</v>
      </c>
      <c r="B428" s="365"/>
      <c r="C428" s="365"/>
      <c r="D428" s="364"/>
      <c r="E428" s="364"/>
      <c r="F428" s="364"/>
      <c r="G428" s="364"/>
      <c r="H428" s="364"/>
      <c r="I428" s="364"/>
      <c r="J428" s="364"/>
      <c r="K428" s="364"/>
      <c r="L428" s="364"/>
      <c r="M428" s="364"/>
      <c r="N428" s="364"/>
      <c r="O428" s="364"/>
      <c r="P428" s="364"/>
      <c r="Q428" s="364"/>
      <c r="R428" s="364"/>
      <c r="S428" s="364"/>
      <c r="T428" s="364"/>
      <c r="U428" s="364"/>
      <c r="V428" s="364"/>
      <c r="W428" s="364"/>
      <c r="X428" s="364"/>
      <c r="Y428" s="364"/>
      <c r="Z428" s="364"/>
      <c r="AA428" s="364"/>
    </row>
    <row r="429" customFormat="false" ht="15.75" hidden="false" customHeight="false" outlineLevel="0" collapsed="false">
      <c r="A429" s="261" t="str">
        <f aca="false">IFERROR(__xludf.dummyfunction("""COMPUTED_VALUE"""),"Lopunny")</f>
        <v>Lopunny</v>
      </c>
      <c r="B429" s="365"/>
      <c r="C429" s="365"/>
      <c r="D429" s="364"/>
      <c r="E429" s="364"/>
      <c r="F429" s="364"/>
      <c r="G429" s="364"/>
      <c r="H429" s="364"/>
      <c r="I429" s="364"/>
      <c r="J429" s="364"/>
      <c r="K429" s="364"/>
      <c r="L429" s="364"/>
      <c r="M429" s="364"/>
      <c r="N429" s="364"/>
      <c r="O429" s="364"/>
      <c r="P429" s="364"/>
      <c r="Q429" s="364"/>
      <c r="R429" s="364"/>
      <c r="S429" s="364"/>
      <c r="T429" s="364"/>
      <c r="U429" s="364"/>
      <c r="V429" s="364"/>
      <c r="W429" s="364"/>
      <c r="X429" s="364"/>
      <c r="Y429" s="364"/>
      <c r="Z429" s="364"/>
      <c r="AA429" s="364"/>
    </row>
    <row r="430" customFormat="false" ht="15.75" hidden="false" customHeight="false" outlineLevel="0" collapsed="false">
      <c r="A430" s="261" t="str">
        <f aca="false">IFERROR(__xludf.dummyfunction("""COMPUTED_VALUE"""),"Mismagius")</f>
        <v>Mismagius</v>
      </c>
      <c r="B430" s="365"/>
      <c r="C430" s="365"/>
      <c r="D430" s="364"/>
      <c r="E430" s="364"/>
      <c r="F430" s="364"/>
      <c r="G430" s="364"/>
      <c r="H430" s="364"/>
      <c r="I430" s="364"/>
      <c r="J430" s="364"/>
      <c r="K430" s="364"/>
      <c r="L430" s="364"/>
      <c r="M430" s="364"/>
      <c r="N430" s="364"/>
      <c r="O430" s="364"/>
      <c r="P430" s="364"/>
      <c r="Q430" s="364"/>
      <c r="R430" s="364"/>
      <c r="S430" s="364"/>
      <c r="T430" s="364"/>
      <c r="U430" s="364"/>
      <c r="V430" s="364"/>
      <c r="W430" s="364"/>
      <c r="X430" s="364"/>
      <c r="Y430" s="364"/>
      <c r="Z430" s="364"/>
      <c r="AA430" s="364"/>
    </row>
    <row r="431" customFormat="false" ht="15.75" hidden="false" customHeight="false" outlineLevel="0" collapsed="false">
      <c r="A431" s="261" t="str">
        <f aca="false">IFERROR(__xludf.dummyfunction("""COMPUTED_VALUE"""),"Honchkrow")</f>
        <v>Honchkrow</v>
      </c>
      <c r="B431" s="365"/>
      <c r="C431" s="365"/>
      <c r="D431" s="364"/>
      <c r="E431" s="364"/>
      <c r="F431" s="364"/>
      <c r="G431" s="364"/>
      <c r="H431" s="364"/>
      <c r="I431" s="364"/>
      <c r="J431" s="364"/>
      <c r="K431" s="364"/>
      <c r="L431" s="364"/>
      <c r="M431" s="364"/>
      <c r="N431" s="364"/>
      <c r="O431" s="364"/>
      <c r="P431" s="364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/>
    </row>
    <row r="432" customFormat="false" ht="15.75" hidden="false" customHeight="false" outlineLevel="0" collapsed="false">
      <c r="A432" s="261" t="str">
        <f aca="false">IFERROR(__xludf.dummyfunction("""COMPUTED_VALUE"""),"Glameow")</f>
        <v>Glameow</v>
      </c>
      <c r="B432" s="365"/>
      <c r="C432" s="365"/>
      <c r="D432" s="364"/>
      <c r="E432" s="364"/>
      <c r="F432" s="364"/>
      <c r="G432" s="364"/>
      <c r="H432" s="364"/>
      <c r="I432" s="364"/>
      <c r="J432" s="364"/>
      <c r="K432" s="364"/>
      <c r="L432" s="364"/>
      <c r="M432" s="364"/>
      <c r="N432" s="364"/>
      <c r="O432" s="364"/>
      <c r="P432" s="364"/>
      <c r="Q432" s="364"/>
      <c r="R432" s="364"/>
      <c r="S432" s="364"/>
      <c r="T432" s="364"/>
      <c r="U432" s="364"/>
      <c r="V432" s="364"/>
      <c r="W432" s="364"/>
      <c r="X432" s="364"/>
      <c r="Y432" s="364"/>
      <c r="Z432" s="364"/>
      <c r="AA432" s="364"/>
    </row>
    <row r="433" customFormat="false" ht="15.75" hidden="false" customHeight="false" outlineLevel="0" collapsed="false">
      <c r="A433" s="261" t="str">
        <f aca="false">IFERROR(__xludf.dummyfunction("""COMPUTED_VALUE"""),"Purugly")</f>
        <v>Purugly</v>
      </c>
      <c r="B433" s="365"/>
      <c r="C433" s="365"/>
      <c r="D433" s="364"/>
      <c r="E433" s="364"/>
      <c r="F433" s="364"/>
      <c r="G433" s="364"/>
      <c r="H433" s="364"/>
      <c r="I433" s="364"/>
      <c r="J433" s="364"/>
      <c r="K433" s="364"/>
      <c r="L433" s="364"/>
      <c r="M433" s="364"/>
      <c r="N433" s="364"/>
      <c r="O433" s="364"/>
      <c r="P433" s="364"/>
      <c r="Q433" s="364"/>
      <c r="R433" s="364"/>
      <c r="S433" s="364"/>
      <c r="T433" s="364"/>
      <c r="U433" s="364"/>
      <c r="V433" s="364"/>
      <c r="W433" s="364"/>
      <c r="X433" s="364"/>
      <c r="Y433" s="364"/>
      <c r="Z433" s="364"/>
      <c r="AA433" s="364"/>
    </row>
    <row r="434" customFormat="false" ht="15.75" hidden="false" customHeight="false" outlineLevel="0" collapsed="false">
      <c r="A434" s="261" t="str">
        <f aca="false">IFERROR(__xludf.dummyfunction("""COMPUTED_VALUE"""),"Chingling")</f>
        <v>Chingling</v>
      </c>
      <c r="B434" s="365"/>
      <c r="C434" s="365"/>
      <c r="D434" s="364"/>
      <c r="E434" s="364"/>
      <c r="F434" s="364"/>
      <c r="G434" s="364"/>
      <c r="H434" s="364"/>
      <c r="I434" s="364"/>
      <c r="J434" s="364"/>
      <c r="K434" s="364"/>
      <c r="L434" s="364"/>
      <c r="M434" s="364"/>
      <c r="N434" s="364"/>
      <c r="O434" s="364"/>
      <c r="P434" s="364"/>
      <c r="Q434" s="364"/>
      <c r="R434" s="364"/>
      <c r="S434" s="364"/>
      <c r="T434" s="364"/>
      <c r="U434" s="364"/>
      <c r="V434" s="364"/>
      <c r="W434" s="364"/>
      <c r="X434" s="364"/>
      <c r="Y434" s="364"/>
      <c r="Z434" s="364"/>
      <c r="AA434" s="364"/>
    </row>
    <row r="435" customFormat="false" ht="15.75" hidden="false" customHeight="false" outlineLevel="0" collapsed="false">
      <c r="A435" s="261" t="str">
        <f aca="false">IFERROR(__xludf.dummyfunction("""COMPUTED_VALUE"""),"Stunky")</f>
        <v>Stunky</v>
      </c>
      <c r="B435" s="365"/>
      <c r="C435" s="365"/>
      <c r="D435" s="364"/>
      <c r="E435" s="364"/>
      <c r="F435" s="364"/>
      <c r="G435" s="364"/>
      <c r="H435" s="364"/>
      <c r="I435" s="364"/>
      <c r="J435" s="364"/>
      <c r="K435" s="364"/>
      <c r="L435" s="364"/>
      <c r="M435" s="364"/>
      <c r="N435" s="364"/>
      <c r="O435" s="364"/>
      <c r="P435" s="364"/>
      <c r="Q435" s="364"/>
      <c r="R435" s="364"/>
      <c r="S435" s="364"/>
      <c r="T435" s="364"/>
      <c r="U435" s="364"/>
      <c r="V435" s="364"/>
      <c r="W435" s="364"/>
      <c r="X435" s="364"/>
      <c r="Y435" s="364"/>
      <c r="Z435" s="364"/>
      <c r="AA435" s="364"/>
    </row>
    <row r="436" customFormat="false" ht="15.75" hidden="false" customHeight="false" outlineLevel="0" collapsed="false">
      <c r="A436" s="261" t="str">
        <f aca="false">IFERROR(__xludf.dummyfunction("""COMPUTED_VALUE"""),"Skuntank")</f>
        <v>Skuntank</v>
      </c>
      <c r="B436" s="365"/>
      <c r="C436" s="365"/>
      <c r="D436" s="364"/>
      <c r="E436" s="364"/>
      <c r="F436" s="364"/>
      <c r="G436" s="364"/>
      <c r="H436" s="364"/>
      <c r="I436" s="364"/>
      <c r="J436" s="364"/>
      <c r="K436" s="364"/>
      <c r="L436" s="364"/>
      <c r="M436" s="364"/>
      <c r="N436" s="364"/>
      <c r="O436" s="364"/>
      <c r="P436" s="364"/>
      <c r="Q436" s="364"/>
      <c r="R436" s="364"/>
      <c r="S436" s="364"/>
      <c r="T436" s="364"/>
      <c r="U436" s="364"/>
      <c r="V436" s="364"/>
      <c r="W436" s="364"/>
      <c r="X436" s="364"/>
      <c r="Y436" s="364"/>
      <c r="Z436" s="364"/>
      <c r="AA436" s="364"/>
    </row>
    <row r="437" customFormat="false" ht="15.75" hidden="false" customHeight="false" outlineLevel="0" collapsed="false">
      <c r="A437" s="261" t="str">
        <f aca="false">IFERROR(__xludf.dummyfunction("""COMPUTED_VALUE"""),"Bronzor")</f>
        <v>Bronzor</v>
      </c>
      <c r="B437" s="365"/>
      <c r="C437" s="365"/>
      <c r="D437" s="364"/>
      <c r="E437" s="364"/>
      <c r="F437" s="364"/>
      <c r="G437" s="364"/>
      <c r="H437" s="364"/>
      <c r="I437" s="364"/>
      <c r="J437" s="364"/>
      <c r="K437" s="364"/>
      <c r="L437" s="364"/>
      <c r="M437" s="364"/>
      <c r="N437" s="364"/>
      <c r="O437" s="364"/>
      <c r="P437" s="364"/>
      <c r="Q437" s="364"/>
      <c r="R437" s="364"/>
      <c r="S437" s="364"/>
      <c r="T437" s="364"/>
      <c r="U437" s="364"/>
      <c r="V437" s="364"/>
      <c r="W437" s="364"/>
      <c r="X437" s="364"/>
      <c r="Y437" s="364"/>
      <c r="Z437" s="364"/>
      <c r="AA437" s="364"/>
    </row>
    <row r="438" customFormat="false" ht="15.75" hidden="false" customHeight="false" outlineLevel="0" collapsed="false">
      <c r="A438" s="261" t="str">
        <f aca="false">IFERROR(__xludf.dummyfunction("""COMPUTED_VALUE"""),"Bronzong")</f>
        <v>Bronzong</v>
      </c>
      <c r="B438" s="365"/>
      <c r="C438" s="365"/>
      <c r="D438" s="364"/>
      <c r="E438" s="364"/>
      <c r="F438" s="364"/>
      <c r="G438" s="364"/>
      <c r="H438" s="364"/>
      <c r="I438" s="364"/>
      <c r="J438" s="364"/>
      <c r="K438" s="364"/>
      <c r="L438" s="364"/>
      <c r="M438" s="364"/>
      <c r="N438" s="364"/>
      <c r="O438" s="364"/>
      <c r="P438" s="364"/>
      <c r="Q438" s="364"/>
      <c r="R438" s="364"/>
      <c r="S438" s="364"/>
      <c r="T438" s="364"/>
      <c r="U438" s="364"/>
      <c r="V438" s="364"/>
      <c r="W438" s="364"/>
      <c r="X438" s="364"/>
      <c r="Y438" s="364"/>
      <c r="Z438" s="364"/>
      <c r="AA438" s="364"/>
    </row>
    <row r="439" customFormat="false" ht="15.75" hidden="false" customHeight="false" outlineLevel="0" collapsed="false">
      <c r="A439" s="261" t="str">
        <f aca="false">IFERROR(__xludf.dummyfunction("""COMPUTED_VALUE"""),"Bonsly")</f>
        <v>Bonsly</v>
      </c>
      <c r="B439" s="365"/>
      <c r="C439" s="365"/>
      <c r="D439" s="364"/>
      <c r="E439" s="364"/>
      <c r="F439" s="364"/>
      <c r="G439" s="364"/>
      <c r="H439" s="364"/>
      <c r="I439" s="364"/>
      <c r="J439" s="364"/>
      <c r="K439" s="364"/>
      <c r="L439" s="364"/>
      <c r="M439" s="364"/>
      <c r="N439" s="364"/>
      <c r="O439" s="364"/>
      <c r="P439" s="364"/>
      <c r="Q439" s="364"/>
      <c r="R439" s="364"/>
      <c r="S439" s="364"/>
      <c r="T439" s="364"/>
      <c r="U439" s="364"/>
      <c r="V439" s="364"/>
      <c r="W439" s="364"/>
      <c r="X439" s="364"/>
      <c r="Y439" s="364"/>
      <c r="Z439" s="364"/>
      <c r="AA439" s="364"/>
    </row>
    <row r="440" customFormat="false" ht="15.75" hidden="false" customHeight="false" outlineLevel="0" collapsed="false">
      <c r="A440" s="261" t="str">
        <f aca="false">IFERROR(__xludf.dummyfunction("""COMPUTED_VALUE"""),"Mime Jr.")</f>
        <v>Mime Jr.</v>
      </c>
      <c r="B440" s="365"/>
      <c r="C440" s="365"/>
      <c r="D440" s="364"/>
      <c r="E440" s="364"/>
      <c r="F440" s="364"/>
      <c r="G440" s="364"/>
      <c r="H440" s="364"/>
      <c r="I440" s="364"/>
      <c r="J440" s="364"/>
      <c r="K440" s="364"/>
      <c r="L440" s="364"/>
      <c r="M440" s="364"/>
      <c r="N440" s="364"/>
      <c r="O440" s="364"/>
      <c r="P440" s="364"/>
      <c r="Q440" s="364"/>
      <c r="R440" s="364"/>
      <c r="S440" s="364"/>
      <c r="T440" s="364"/>
      <c r="U440" s="364"/>
      <c r="V440" s="364"/>
      <c r="W440" s="364"/>
      <c r="X440" s="364"/>
      <c r="Y440" s="364"/>
      <c r="Z440" s="364"/>
      <c r="AA440" s="364"/>
    </row>
    <row r="441" customFormat="false" ht="15.75" hidden="false" customHeight="false" outlineLevel="0" collapsed="false">
      <c r="A441" s="261" t="str">
        <f aca="false">IFERROR(__xludf.dummyfunction("""COMPUTED_VALUE"""),"Happiny")</f>
        <v>Happiny</v>
      </c>
      <c r="B441" s="365"/>
      <c r="C441" s="365"/>
      <c r="D441" s="364"/>
      <c r="E441" s="364"/>
      <c r="F441" s="364"/>
      <c r="G441" s="364"/>
      <c r="H441" s="364"/>
      <c r="I441" s="364"/>
      <c r="J441" s="364"/>
      <c r="K441" s="364"/>
      <c r="L441" s="364"/>
      <c r="M441" s="364"/>
      <c r="N441" s="364"/>
      <c r="O441" s="364"/>
      <c r="P441" s="364"/>
      <c r="Q441" s="364"/>
      <c r="R441" s="364"/>
      <c r="S441" s="364"/>
      <c r="T441" s="364"/>
      <c r="U441" s="364"/>
      <c r="V441" s="364"/>
      <c r="W441" s="364"/>
      <c r="X441" s="364"/>
      <c r="Y441" s="364"/>
      <c r="Z441" s="364"/>
      <c r="AA441" s="364"/>
    </row>
    <row r="442" customFormat="false" ht="15.75" hidden="false" customHeight="false" outlineLevel="0" collapsed="false">
      <c r="A442" s="261" t="str">
        <f aca="false">IFERROR(__xludf.dummyfunction("""COMPUTED_VALUE"""),"Chatot")</f>
        <v>Chatot</v>
      </c>
      <c r="B442" s="365"/>
      <c r="C442" s="365"/>
      <c r="D442" s="364"/>
      <c r="E442" s="364"/>
      <c r="F442" s="364"/>
      <c r="G442" s="364"/>
      <c r="H442" s="364"/>
      <c r="I442" s="364"/>
      <c r="J442" s="364"/>
      <c r="K442" s="364"/>
      <c r="L442" s="364"/>
      <c r="M442" s="364"/>
      <c r="N442" s="364"/>
      <c r="O442" s="364"/>
      <c r="P442" s="364"/>
      <c r="Q442" s="364"/>
      <c r="R442" s="364"/>
      <c r="S442" s="364"/>
      <c r="T442" s="364"/>
      <c r="U442" s="364"/>
      <c r="V442" s="364"/>
      <c r="W442" s="364"/>
      <c r="X442" s="364"/>
      <c r="Y442" s="364"/>
      <c r="Z442" s="364"/>
      <c r="AA442" s="364"/>
    </row>
    <row r="443" customFormat="false" ht="15.75" hidden="false" customHeight="false" outlineLevel="0" collapsed="false">
      <c r="A443" s="261" t="str">
        <f aca="false">IFERROR(__xludf.dummyfunction("""COMPUTED_VALUE"""),"Spiritomb")</f>
        <v>Spiritomb</v>
      </c>
      <c r="B443" s="365"/>
      <c r="C443" s="365"/>
      <c r="D443" s="364"/>
      <c r="E443" s="364"/>
      <c r="F443" s="364"/>
      <c r="G443" s="364"/>
      <c r="H443" s="364"/>
      <c r="I443" s="364"/>
      <c r="J443" s="364"/>
      <c r="K443" s="364"/>
      <c r="L443" s="364"/>
      <c r="M443" s="364"/>
      <c r="N443" s="364"/>
      <c r="O443" s="364"/>
      <c r="P443" s="364"/>
      <c r="Q443" s="364"/>
      <c r="R443" s="364"/>
      <c r="S443" s="364"/>
      <c r="T443" s="364"/>
      <c r="U443" s="364"/>
      <c r="V443" s="364"/>
      <c r="W443" s="364"/>
      <c r="X443" s="364"/>
      <c r="Y443" s="364"/>
      <c r="Z443" s="364"/>
      <c r="AA443" s="364"/>
    </row>
    <row r="444" customFormat="false" ht="15.75" hidden="false" customHeight="false" outlineLevel="0" collapsed="false">
      <c r="A444" s="261" t="str">
        <f aca="false">IFERROR(__xludf.dummyfunction("""COMPUTED_VALUE"""),"Gible")</f>
        <v>Gible</v>
      </c>
      <c r="B444" s="365"/>
      <c r="C444" s="365"/>
      <c r="D444" s="364"/>
      <c r="E444" s="364"/>
      <c r="F444" s="364"/>
      <c r="G444" s="364"/>
      <c r="H444" s="364"/>
      <c r="I444" s="364"/>
      <c r="J444" s="364"/>
      <c r="K444" s="364"/>
      <c r="L444" s="364"/>
      <c r="M444" s="364"/>
      <c r="N444" s="364"/>
      <c r="O444" s="364"/>
      <c r="P444" s="364"/>
      <c r="Q444" s="364"/>
      <c r="R444" s="364"/>
      <c r="S444" s="364"/>
      <c r="T444" s="364"/>
      <c r="U444" s="364"/>
      <c r="V444" s="364"/>
      <c r="W444" s="364"/>
      <c r="X444" s="364"/>
      <c r="Y444" s="364"/>
      <c r="Z444" s="364"/>
      <c r="AA444" s="364"/>
    </row>
    <row r="445" customFormat="false" ht="15.75" hidden="false" customHeight="false" outlineLevel="0" collapsed="false">
      <c r="A445" s="261" t="str">
        <f aca="false">IFERROR(__xludf.dummyfunction("""COMPUTED_VALUE"""),"Gabite")</f>
        <v>Gabite</v>
      </c>
      <c r="B445" s="365"/>
      <c r="C445" s="365"/>
      <c r="D445" s="364"/>
      <c r="E445" s="364"/>
      <c r="F445" s="364"/>
      <c r="G445" s="364"/>
      <c r="H445" s="364"/>
      <c r="I445" s="364"/>
      <c r="J445" s="364"/>
      <c r="K445" s="364"/>
      <c r="L445" s="364"/>
      <c r="M445" s="364"/>
      <c r="N445" s="364"/>
      <c r="O445" s="364"/>
      <c r="P445" s="364"/>
      <c r="Q445" s="364"/>
      <c r="R445" s="364"/>
      <c r="S445" s="364"/>
      <c r="T445" s="364"/>
      <c r="U445" s="364"/>
      <c r="V445" s="364"/>
      <c r="W445" s="364"/>
      <c r="X445" s="364"/>
      <c r="Y445" s="364"/>
      <c r="Z445" s="364"/>
      <c r="AA445" s="364"/>
    </row>
    <row r="446" customFormat="false" ht="15.75" hidden="false" customHeight="false" outlineLevel="0" collapsed="false">
      <c r="A446" s="261" t="str">
        <f aca="false">IFERROR(__xludf.dummyfunction("""COMPUTED_VALUE"""),"Garchomp")</f>
        <v>Garchomp</v>
      </c>
      <c r="B446" s="365"/>
      <c r="C446" s="365"/>
      <c r="D446" s="364"/>
      <c r="E446" s="364"/>
      <c r="F446" s="364"/>
      <c r="G446" s="364"/>
      <c r="H446" s="364"/>
      <c r="I446" s="364"/>
      <c r="J446" s="364"/>
      <c r="K446" s="364"/>
      <c r="L446" s="364"/>
      <c r="M446" s="364"/>
      <c r="N446" s="364"/>
      <c r="O446" s="364"/>
      <c r="P446" s="364"/>
      <c r="Q446" s="364"/>
      <c r="R446" s="364"/>
      <c r="S446" s="364"/>
      <c r="T446" s="364"/>
      <c r="U446" s="364"/>
      <c r="V446" s="364"/>
      <c r="W446" s="364"/>
      <c r="X446" s="364"/>
      <c r="Y446" s="364"/>
      <c r="Z446" s="364"/>
      <c r="AA446" s="364"/>
    </row>
    <row r="447" customFormat="false" ht="15.75" hidden="false" customHeight="false" outlineLevel="0" collapsed="false">
      <c r="A447" s="261" t="str">
        <f aca="false">IFERROR(__xludf.dummyfunction("""COMPUTED_VALUE"""),"Munchlax")</f>
        <v>Munchlax</v>
      </c>
      <c r="B447" s="365"/>
      <c r="C447" s="365"/>
      <c r="D447" s="364"/>
      <c r="E447" s="364"/>
      <c r="F447" s="364"/>
      <c r="G447" s="364"/>
      <c r="H447" s="364"/>
      <c r="I447" s="364"/>
      <c r="J447" s="364"/>
      <c r="K447" s="364"/>
      <c r="L447" s="364"/>
      <c r="M447" s="364"/>
      <c r="N447" s="364"/>
      <c r="O447" s="364"/>
      <c r="P447" s="364"/>
      <c r="Q447" s="364"/>
      <c r="R447" s="364"/>
      <c r="S447" s="364"/>
      <c r="T447" s="364"/>
      <c r="U447" s="364"/>
      <c r="V447" s="364"/>
      <c r="W447" s="364"/>
      <c r="X447" s="364"/>
      <c r="Y447" s="364"/>
      <c r="Z447" s="364"/>
      <c r="AA447" s="364"/>
    </row>
    <row r="448" customFormat="false" ht="15.75" hidden="false" customHeight="false" outlineLevel="0" collapsed="false">
      <c r="A448" s="261" t="str">
        <f aca="false">IFERROR(__xludf.dummyfunction("""COMPUTED_VALUE"""),"Riolu")</f>
        <v>Riolu</v>
      </c>
      <c r="B448" s="365"/>
      <c r="C448" s="365"/>
      <c r="D448" s="364"/>
      <c r="E448" s="364"/>
      <c r="F448" s="364"/>
      <c r="G448" s="364"/>
      <c r="H448" s="364"/>
      <c r="I448" s="364"/>
      <c r="J448" s="364"/>
      <c r="K448" s="364"/>
      <c r="L448" s="364"/>
      <c r="M448" s="364"/>
      <c r="N448" s="364"/>
      <c r="O448" s="364"/>
      <c r="P448" s="364"/>
      <c r="Q448" s="364"/>
      <c r="R448" s="364"/>
      <c r="S448" s="364"/>
      <c r="T448" s="364"/>
      <c r="U448" s="364"/>
      <c r="V448" s="364"/>
      <c r="W448" s="364"/>
      <c r="X448" s="364"/>
      <c r="Y448" s="364"/>
      <c r="Z448" s="364"/>
      <c r="AA448" s="364"/>
    </row>
    <row r="449" customFormat="false" ht="15.75" hidden="false" customHeight="false" outlineLevel="0" collapsed="false">
      <c r="A449" s="261" t="str">
        <f aca="false">IFERROR(__xludf.dummyfunction("""COMPUTED_VALUE"""),"Lucario")</f>
        <v>Lucario</v>
      </c>
      <c r="B449" s="365"/>
      <c r="C449" s="365"/>
      <c r="D449" s="364"/>
      <c r="E449" s="364"/>
      <c r="F449" s="364"/>
      <c r="G449" s="364"/>
      <c r="H449" s="364"/>
      <c r="I449" s="364"/>
      <c r="J449" s="364"/>
      <c r="K449" s="364"/>
      <c r="L449" s="364"/>
      <c r="M449" s="364"/>
      <c r="N449" s="364"/>
      <c r="O449" s="364"/>
      <c r="P449" s="364"/>
      <c r="Q449" s="364"/>
      <c r="R449" s="364"/>
      <c r="S449" s="364"/>
      <c r="T449" s="364"/>
      <c r="U449" s="364"/>
      <c r="V449" s="364"/>
      <c r="W449" s="364"/>
      <c r="X449" s="364"/>
      <c r="Y449" s="364"/>
      <c r="Z449" s="364"/>
      <c r="AA449" s="364"/>
    </row>
    <row r="450" customFormat="false" ht="15.75" hidden="false" customHeight="false" outlineLevel="0" collapsed="false">
      <c r="A450" s="261" t="str">
        <f aca="false">IFERROR(__xludf.dummyfunction("""COMPUTED_VALUE"""),"Hippopotas")</f>
        <v>Hippopotas</v>
      </c>
      <c r="B450" s="365"/>
      <c r="C450" s="365"/>
      <c r="D450" s="364"/>
      <c r="E450" s="364"/>
      <c r="F450" s="364"/>
      <c r="G450" s="364"/>
      <c r="H450" s="364"/>
      <c r="I450" s="364"/>
      <c r="J450" s="364"/>
      <c r="K450" s="364"/>
      <c r="L450" s="364"/>
      <c r="M450" s="364"/>
      <c r="N450" s="364"/>
      <c r="O450" s="364"/>
      <c r="P450" s="364"/>
      <c r="Q450" s="364"/>
      <c r="R450" s="364"/>
      <c r="S450" s="364"/>
      <c r="T450" s="364"/>
      <c r="U450" s="364"/>
      <c r="V450" s="364"/>
      <c r="W450" s="364"/>
      <c r="X450" s="364"/>
      <c r="Y450" s="364"/>
      <c r="Z450" s="364"/>
      <c r="AA450" s="364"/>
    </row>
    <row r="451" customFormat="false" ht="15.75" hidden="false" customHeight="false" outlineLevel="0" collapsed="false">
      <c r="A451" s="261" t="str">
        <f aca="false">IFERROR(__xludf.dummyfunction("""COMPUTED_VALUE"""),"Hippowdon")</f>
        <v>Hippowdon</v>
      </c>
      <c r="B451" s="365"/>
      <c r="C451" s="365"/>
      <c r="D451" s="364"/>
      <c r="E451" s="364"/>
      <c r="F451" s="364"/>
      <c r="G451" s="364"/>
      <c r="H451" s="364"/>
      <c r="I451" s="364"/>
      <c r="J451" s="364"/>
      <c r="K451" s="364"/>
      <c r="L451" s="364"/>
      <c r="M451" s="364"/>
      <c r="N451" s="364"/>
      <c r="O451" s="364"/>
      <c r="P451" s="364"/>
      <c r="Q451" s="364"/>
      <c r="R451" s="364"/>
      <c r="S451" s="364"/>
      <c r="T451" s="364"/>
      <c r="U451" s="364"/>
      <c r="V451" s="364"/>
      <c r="W451" s="364"/>
      <c r="X451" s="364"/>
      <c r="Y451" s="364"/>
      <c r="Z451" s="364"/>
      <c r="AA451" s="364"/>
    </row>
    <row r="452" customFormat="false" ht="15.75" hidden="false" customHeight="false" outlineLevel="0" collapsed="false">
      <c r="A452" s="261" t="str">
        <f aca="false">IFERROR(__xludf.dummyfunction("""COMPUTED_VALUE"""),"Skorupi")</f>
        <v>Skorupi</v>
      </c>
      <c r="B452" s="365"/>
      <c r="C452" s="365"/>
      <c r="D452" s="364"/>
      <c r="E452" s="364"/>
      <c r="F452" s="364"/>
      <c r="G452" s="364"/>
      <c r="H452" s="364"/>
      <c r="I452" s="364"/>
      <c r="J452" s="364"/>
      <c r="K452" s="364"/>
      <c r="L452" s="364"/>
      <c r="M452" s="364"/>
      <c r="N452" s="364"/>
      <c r="O452" s="364"/>
      <c r="P452" s="364"/>
      <c r="Q452" s="364"/>
      <c r="R452" s="364"/>
      <c r="S452" s="364"/>
      <c r="T452" s="364"/>
      <c r="U452" s="364"/>
      <c r="V452" s="364"/>
      <c r="W452" s="364"/>
      <c r="X452" s="364"/>
      <c r="Y452" s="364"/>
      <c r="Z452" s="364"/>
      <c r="AA452" s="364"/>
    </row>
    <row r="453" customFormat="false" ht="15.75" hidden="false" customHeight="false" outlineLevel="0" collapsed="false">
      <c r="A453" s="261" t="str">
        <f aca="false">IFERROR(__xludf.dummyfunction("""COMPUTED_VALUE"""),"Drapion")</f>
        <v>Drapion</v>
      </c>
      <c r="B453" s="365"/>
      <c r="C453" s="365"/>
      <c r="D453" s="364"/>
      <c r="E453" s="364"/>
      <c r="F453" s="364"/>
      <c r="G453" s="364"/>
      <c r="H453" s="364"/>
      <c r="I453" s="364"/>
      <c r="J453" s="364"/>
      <c r="K453" s="364"/>
      <c r="L453" s="364"/>
      <c r="M453" s="364"/>
      <c r="N453" s="364"/>
      <c r="O453" s="364"/>
      <c r="P453" s="364"/>
      <c r="Q453" s="364"/>
      <c r="R453" s="364"/>
      <c r="S453" s="364"/>
      <c r="T453" s="364"/>
      <c r="U453" s="364"/>
      <c r="V453" s="364"/>
      <c r="W453" s="364"/>
      <c r="X453" s="364"/>
      <c r="Y453" s="364"/>
      <c r="Z453" s="364"/>
      <c r="AA453" s="364"/>
    </row>
    <row r="454" customFormat="false" ht="15.75" hidden="false" customHeight="false" outlineLevel="0" collapsed="false">
      <c r="A454" s="261" t="str">
        <f aca="false">IFERROR(__xludf.dummyfunction("""COMPUTED_VALUE"""),"Croagunk")</f>
        <v>Croagunk</v>
      </c>
      <c r="B454" s="365"/>
      <c r="C454" s="365"/>
      <c r="D454" s="364"/>
      <c r="E454" s="364"/>
      <c r="F454" s="364"/>
      <c r="G454" s="364"/>
      <c r="H454" s="364"/>
      <c r="I454" s="364"/>
      <c r="J454" s="364"/>
      <c r="K454" s="364"/>
      <c r="L454" s="364"/>
      <c r="M454" s="364"/>
      <c r="N454" s="364"/>
      <c r="O454" s="364"/>
      <c r="P454" s="364"/>
      <c r="Q454" s="364"/>
      <c r="R454" s="364"/>
      <c r="S454" s="364"/>
      <c r="T454" s="364"/>
      <c r="U454" s="364"/>
      <c r="V454" s="364"/>
      <c r="W454" s="364"/>
      <c r="X454" s="364"/>
      <c r="Y454" s="364"/>
      <c r="Z454" s="364"/>
      <c r="AA454" s="364"/>
    </row>
    <row r="455" customFormat="false" ht="15.75" hidden="false" customHeight="false" outlineLevel="0" collapsed="false">
      <c r="A455" s="261" t="str">
        <f aca="false">IFERROR(__xludf.dummyfunction("""COMPUTED_VALUE"""),"Toxicroak")</f>
        <v>Toxicroak</v>
      </c>
      <c r="B455" s="365"/>
      <c r="C455" s="365"/>
      <c r="D455" s="364"/>
      <c r="E455" s="364"/>
      <c r="F455" s="364"/>
      <c r="G455" s="364"/>
      <c r="H455" s="364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/>
    </row>
    <row r="456" customFormat="false" ht="15.75" hidden="false" customHeight="false" outlineLevel="0" collapsed="false">
      <c r="A456" s="261" t="str">
        <f aca="false">IFERROR(__xludf.dummyfunction("""COMPUTED_VALUE"""),"Carnivine")</f>
        <v>Carnivine</v>
      </c>
      <c r="B456" s="365"/>
      <c r="C456" s="365"/>
      <c r="D456" s="364"/>
      <c r="E456" s="364"/>
      <c r="F456" s="364"/>
      <c r="G456" s="364"/>
      <c r="H456" s="364"/>
      <c r="I456" s="364"/>
      <c r="J456" s="364"/>
      <c r="K456" s="364"/>
      <c r="L456" s="364"/>
      <c r="M456" s="364"/>
      <c r="N456" s="364"/>
      <c r="O456" s="364"/>
      <c r="P456" s="364"/>
      <c r="Q456" s="364"/>
      <c r="R456" s="364"/>
      <c r="S456" s="364"/>
      <c r="T456" s="364"/>
      <c r="U456" s="364"/>
      <c r="V456" s="364"/>
      <c r="W456" s="364"/>
      <c r="X456" s="364"/>
      <c r="Y456" s="364"/>
      <c r="Z456" s="364"/>
      <c r="AA456" s="364"/>
    </row>
    <row r="457" customFormat="false" ht="15.75" hidden="false" customHeight="false" outlineLevel="0" collapsed="false">
      <c r="A457" s="261" t="str">
        <f aca="false">IFERROR(__xludf.dummyfunction("""COMPUTED_VALUE"""),"Finneon")</f>
        <v>Finneon</v>
      </c>
      <c r="B457" s="365"/>
      <c r="C457" s="365"/>
      <c r="D457" s="364"/>
      <c r="E457" s="364"/>
      <c r="F457" s="364"/>
      <c r="G457" s="364"/>
      <c r="H457" s="364"/>
      <c r="I457" s="364"/>
      <c r="J457" s="364"/>
      <c r="K457" s="364"/>
      <c r="L457" s="364"/>
      <c r="M457" s="364"/>
      <c r="N457" s="364"/>
      <c r="O457" s="364"/>
      <c r="P457" s="364"/>
      <c r="Q457" s="364"/>
      <c r="R457" s="364"/>
      <c r="S457" s="364"/>
      <c r="T457" s="364"/>
      <c r="U457" s="364"/>
      <c r="V457" s="364"/>
      <c r="W457" s="364"/>
      <c r="X457" s="364"/>
      <c r="Y457" s="364"/>
      <c r="Z457" s="364"/>
      <c r="AA457" s="364"/>
    </row>
    <row r="458" customFormat="false" ht="15.75" hidden="false" customHeight="false" outlineLevel="0" collapsed="false">
      <c r="A458" s="261" t="str">
        <f aca="false">IFERROR(__xludf.dummyfunction("""COMPUTED_VALUE"""),"Lumineon")</f>
        <v>Lumineon</v>
      </c>
      <c r="B458" s="365"/>
      <c r="C458" s="365"/>
      <c r="D458" s="364"/>
      <c r="E458" s="364"/>
      <c r="F458" s="364"/>
      <c r="G458" s="364"/>
      <c r="H458" s="364"/>
      <c r="I458" s="364"/>
      <c r="J458" s="364"/>
      <c r="K458" s="364"/>
      <c r="L458" s="364"/>
      <c r="M458" s="364"/>
      <c r="N458" s="364"/>
      <c r="O458" s="364"/>
      <c r="P458" s="364"/>
      <c r="Q458" s="364"/>
      <c r="R458" s="364"/>
      <c r="S458" s="364"/>
      <c r="T458" s="364"/>
      <c r="U458" s="364"/>
      <c r="V458" s="364"/>
      <c r="W458" s="364"/>
      <c r="X458" s="364"/>
      <c r="Y458" s="364"/>
      <c r="Z458" s="364"/>
      <c r="AA458" s="364"/>
    </row>
    <row r="459" customFormat="false" ht="15.75" hidden="false" customHeight="false" outlineLevel="0" collapsed="false">
      <c r="A459" s="261" t="str">
        <f aca="false">IFERROR(__xludf.dummyfunction("""COMPUTED_VALUE"""),"Mantyke")</f>
        <v>Mantyke</v>
      </c>
      <c r="B459" s="365"/>
      <c r="C459" s="365"/>
      <c r="D459" s="364"/>
      <c r="E459" s="364"/>
      <c r="F459" s="364"/>
      <c r="G459" s="364"/>
      <c r="H459" s="364"/>
      <c r="I459" s="364"/>
      <c r="J459" s="364"/>
      <c r="K459" s="364"/>
      <c r="L459" s="364"/>
      <c r="M459" s="364"/>
      <c r="N459" s="364"/>
      <c r="O459" s="364"/>
      <c r="P459" s="364"/>
      <c r="Q459" s="364"/>
      <c r="R459" s="364"/>
      <c r="S459" s="364"/>
      <c r="T459" s="364"/>
      <c r="U459" s="364"/>
      <c r="V459" s="364"/>
      <c r="W459" s="364"/>
      <c r="X459" s="364"/>
      <c r="Y459" s="364"/>
      <c r="Z459" s="364"/>
      <c r="AA459" s="364"/>
    </row>
    <row r="460" customFormat="false" ht="15.75" hidden="false" customHeight="false" outlineLevel="0" collapsed="false">
      <c r="A460" s="261" t="str">
        <f aca="false">IFERROR(__xludf.dummyfunction("""COMPUTED_VALUE"""),"Snover")</f>
        <v>Snover</v>
      </c>
      <c r="B460" s="365"/>
      <c r="C460" s="365"/>
      <c r="D460" s="364"/>
      <c r="E460" s="364"/>
      <c r="F460" s="364"/>
      <c r="G460" s="364"/>
      <c r="H460" s="364"/>
      <c r="I460" s="364"/>
      <c r="J460" s="364"/>
      <c r="K460" s="364"/>
      <c r="L460" s="364"/>
      <c r="M460" s="364"/>
      <c r="N460" s="364"/>
      <c r="O460" s="364"/>
      <c r="P460" s="364"/>
      <c r="Q460" s="364"/>
      <c r="R460" s="364"/>
      <c r="S460" s="364"/>
      <c r="T460" s="364"/>
      <c r="U460" s="364"/>
      <c r="V460" s="364"/>
      <c r="W460" s="364"/>
      <c r="X460" s="364"/>
      <c r="Y460" s="364"/>
      <c r="Z460" s="364"/>
      <c r="AA460" s="364"/>
    </row>
    <row r="461" customFormat="false" ht="15.75" hidden="false" customHeight="false" outlineLevel="0" collapsed="false">
      <c r="A461" s="261" t="str">
        <f aca="false">IFERROR(__xludf.dummyfunction("""COMPUTED_VALUE"""),"Abomasnow")</f>
        <v>Abomasnow</v>
      </c>
      <c r="B461" s="365"/>
      <c r="C461" s="365"/>
      <c r="D461" s="364"/>
      <c r="E461" s="364"/>
      <c r="F461" s="364"/>
      <c r="G461" s="364"/>
      <c r="H461" s="364"/>
      <c r="I461" s="364"/>
      <c r="J461" s="364"/>
      <c r="K461" s="364"/>
      <c r="L461" s="364"/>
      <c r="M461" s="364"/>
      <c r="N461" s="364"/>
      <c r="O461" s="364"/>
      <c r="P461" s="364"/>
      <c r="Q461" s="364"/>
      <c r="R461" s="364"/>
      <c r="S461" s="364"/>
      <c r="T461" s="364"/>
      <c r="U461" s="364"/>
      <c r="V461" s="364"/>
      <c r="W461" s="364"/>
      <c r="X461" s="364"/>
      <c r="Y461" s="364"/>
      <c r="Z461" s="364"/>
      <c r="AA461" s="364"/>
    </row>
    <row r="462" customFormat="false" ht="15.75" hidden="false" customHeight="false" outlineLevel="0" collapsed="false">
      <c r="A462" s="261" t="str">
        <f aca="false">IFERROR(__xludf.dummyfunction("""COMPUTED_VALUE"""),"Weavile")</f>
        <v>Weavile</v>
      </c>
      <c r="B462" s="365"/>
      <c r="C462" s="365"/>
      <c r="D462" s="364"/>
      <c r="E462" s="364"/>
      <c r="F462" s="364"/>
      <c r="G462" s="364"/>
      <c r="H462" s="364"/>
      <c r="I462" s="364"/>
      <c r="J462" s="364"/>
      <c r="K462" s="364"/>
      <c r="L462" s="364"/>
      <c r="M462" s="364"/>
      <c r="N462" s="364"/>
      <c r="O462" s="364"/>
      <c r="P462" s="364"/>
      <c r="Q462" s="364"/>
      <c r="R462" s="364"/>
      <c r="S462" s="364"/>
      <c r="T462" s="364"/>
      <c r="U462" s="364"/>
      <c r="V462" s="364"/>
      <c r="W462" s="364"/>
      <c r="X462" s="364"/>
      <c r="Y462" s="364"/>
      <c r="Z462" s="364"/>
      <c r="AA462" s="364"/>
    </row>
    <row r="463" customFormat="false" ht="15.75" hidden="false" customHeight="false" outlineLevel="0" collapsed="false">
      <c r="A463" s="261" t="str">
        <f aca="false">IFERROR(__xludf.dummyfunction("""COMPUTED_VALUE"""),"Magnezone")</f>
        <v>Magnezone</v>
      </c>
      <c r="B463" s="365"/>
      <c r="C463" s="365"/>
      <c r="D463" s="364"/>
      <c r="E463" s="364"/>
      <c r="F463" s="364"/>
      <c r="G463" s="364"/>
      <c r="H463" s="364"/>
      <c r="I463" s="364"/>
      <c r="J463" s="364"/>
      <c r="K463" s="364"/>
      <c r="L463" s="364"/>
      <c r="M463" s="364"/>
      <c r="N463" s="364"/>
      <c r="O463" s="364"/>
      <c r="P463" s="364"/>
      <c r="Q463" s="364"/>
      <c r="R463" s="364"/>
      <c r="S463" s="364"/>
      <c r="T463" s="364"/>
      <c r="U463" s="364"/>
      <c r="V463" s="364"/>
      <c r="W463" s="364"/>
      <c r="X463" s="364"/>
      <c r="Y463" s="364"/>
      <c r="Z463" s="364"/>
      <c r="AA463" s="364"/>
    </row>
    <row r="464" customFormat="false" ht="15.75" hidden="false" customHeight="false" outlineLevel="0" collapsed="false">
      <c r="A464" s="261" t="str">
        <f aca="false">IFERROR(__xludf.dummyfunction("""COMPUTED_VALUE"""),"Lickilicky")</f>
        <v>Lickilicky</v>
      </c>
      <c r="B464" s="365"/>
      <c r="C464" s="365"/>
      <c r="D464" s="364"/>
      <c r="E464" s="364"/>
      <c r="F464" s="364"/>
      <c r="G464" s="364"/>
      <c r="H464" s="364"/>
      <c r="I464" s="364"/>
      <c r="J464" s="364"/>
      <c r="K464" s="364"/>
      <c r="L464" s="364"/>
      <c r="M464" s="364"/>
      <c r="N464" s="364"/>
      <c r="O464" s="364"/>
      <c r="P464" s="364"/>
      <c r="Q464" s="364"/>
      <c r="R464" s="364"/>
      <c r="S464" s="364"/>
      <c r="T464" s="364"/>
      <c r="U464" s="364"/>
      <c r="V464" s="364"/>
      <c r="W464" s="364"/>
      <c r="X464" s="364"/>
      <c r="Y464" s="364"/>
      <c r="Z464" s="364"/>
      <c r="AA464" s="364"/>
    </row>
    <row r="465" customFormat="false" ht="15.75" hidden="false" customHeight="false" outlineLevel="0" collapsed="false">
      <c r="A465" s="261" t="str">
        <f aca="false">IFERROR(__xludf.dummyfunction("""COMPUTED_VALUE"""),"Rhyperior")</f>
        <v>Rhyperior</v>
      </c>
      <c r="B465" s="365"/>
      <c r="C465" s="365"/>
      <c r="D465" s="364"/>
      <c r="E465" s="364"/>
      <c r="F465" s="364"/>
      <c r="G465" s="364"/>
      <c r="H465" s="364"/>
      <c r="I465" s="364"/>
      <c r="J465" s="364"/>
      <c r="K465" s="364"/>
      <c r="L465" s="364"/>
      <c r="M465" s="364"/>
      <c r="N465" s="364"/>
      <c r="O465" s="364"/>
      <c r="P465" s="364"/>
      <c r="Q465" s="364"/>
      <c r="R465" s="364"/>
      <c r="S465" s="364"/>
      <c r="T465" s="364"/>
      <c r="U465" s="364"/>
      <c r="V465" s="364"/>
      <c r="W465" s="364"/>
      <c r="X465" s="364"/>
      <c r="Y465" s="364"/>
      <c r="Z465" s="364"/>
      <c r="AA465" s="364"/>
    </row>
    <row r="466" customFormat="false" ht="15.75" hidden="false" customHeight="false" outlineLevel="0" collapsed="false">
      <c r="A466" s="261" t="str">
        <f aca="false">IFERROR(__xludf.dummyfunction("""COMPUTED_VALUE"""),"Tangrowth")</f>
        <v>Tangrowth</v>
      </c>
      <c r="B466" s="365"/>
      <c r="C466" s="365"/>
      <c r="D466" s="364"/>
      <c r="E466" s="364"/>
      <c r="F466" s="364"/>
      <c r="G466" s="364"/>
      <c r="H466" s="364"/>
      <c r="I466" s="364"/>
      <c r="J466" s="364"/>
      <c r="K466" s="364"/>
      <c r="L466" s="364"/>
      <c r="M466" s="364"/>
      <c r="N466" s="364"/>
      <c r="O466" s="364"/>
      <c r="P466" s="364"/>
      <c r="Q466" s="364"/>
      <c r="R466" s="364"/>
      <c r="S466" s="364"/>
      <c r="T466" s="364"/>
      <c r="U466" s="364"/>
      <c r="V466" s="364"/>
      <c r="W466" s="364"/>
      <c r="X466" s="364"/>
      <c r="Y466" s="364"/>
      <c r="Z466" s="364"/>
      <c r="AA466" s="364"/>
    </row>
    <row r="467" customFormat="false" ht="15.75" hidden="false" customHeight="false" outlineLevel="0" collapsed="false">
      <c r="A467" s="261" t="str">
        <f aca="false">IFERROR(__xludf.dummyfunction("""COMPUTED_VALUE"""),"Electivire")</f>
        <v>Electivire</v>
      </c>
      <c r="B467" s="365"/>
      <c r="C467" s="365"/>
      <c r="D467" s="364"/>
      <c r="E467" s="364"/>
      <c r="F467" s="364"/>
      <c r="G467" s="364"/>
      <c r="H467" s="364"/>
      <c r="I467" s="364"/>
      <c r="J467" s="364"/>
      <c r="K467" s="364"/>
      <c r="L467" s="364"/>
      <c r="M467" s="364"/>
      <c r="N467" s="364"/>
      <c r="O467" s="364"/>
      <c r="P467" s="364"/>
      <c r="Q467" s="364"/>
      <c r="R467" s="364"/>
      <c r="S467" s="364"/>
      <c r="T467" s="364"/>
      <c r="U467" s="364"/>
      <c r="V467" s="364"/>
      <c r="W467" s="364"/>
      <c r="X467" s="364"/>
      <c r="Y467" s="364"/>
      <c r="Z467" s="364"/>
      <c r="AA467" s="364"/>
    </row>
    <row r="468" customFormat="false" ht="15.75" hidden="false" customHeight="false" outlineLevel="0" collapsed="false">
      <c r="A468" s="261" t="str">
        <f aca="false">IFERROR(__xludf.dummyfunction("""COMPUTED_VALUE"""),"Magmortar")</f>
        <v>Magmortar</v>
      </c>
      <c r="B468" s="365"/>
      <c r="C468" s="365"/>
      <c r="D468" s="364"/>
      <c r="E468" s="364"/>
      <c r="F468" s="364"/>
      <c r="G468" s="364"/>
      <c r="H468" s="364"/>
      <c r="I468" s="364"/>
      <c r="J468" s="364"/>
      <c r="K468" s="364"/>
      <c r="L468" s="364"/>
      <c r="M468" s="364"/>
      <c r="N468" s="364"/>
      <c r="O468" s="364"/>
      <c r="P468" s="364"/>
      <c r="Q468" s="364"/>
      <c r="R468" s="364"/>
      <c r="S468" s="364"/>
      <c r="T468" s="364"/>
      <c r="U468" s="364"/>
      <c r="V468" s="364"/>
      <c r="W468" s="364"/>
      <c r="X468" s="364"/>
      <c r="Y468" s="364"/>
      <c r="Z468" s="364"/>
      <c r="AA468" s="364"/>
    </row>
    <row r="469" customFormat="false" ht="15.75" hidden="false" customHeight="false" outlineLevel="0" collapsed="false">
      <c r="A469" s="261" t="str">
        <f aca="false">IFERROR(__xludf.dummyfunction("""COMPUTED_VALUE"""),"Togekiss")</f>
        <v>Togekiss</v>
      </c>
      <c r="B469" s="365"/>
      <c r="C469" s="365"/>
      <c r="D469" s="364"/>
      <c r="E469" s="364"/>
      <c r="F469" s="364"/>
      <c r="G469" s="364"/>
      <c r="H469" s="364"/>
      <c r="I469" s="364"/>
      <c r="J469" s="364"/>
      <c r="K469" s="364"/>
      <c r="L469" s="364"/>
      <c r="M469" s="364"/>
      <c r="N469" s="364"/>
      <c r="O469" s="364"/>
      <c r="P469" s="364"/>
      <c r="Q469" s="364"/>
      <c r="R469" s="364"/>
      <c r="S469" s="364"/>
      <c r="T469" s="364"/>
      <c r="U469" s="364"/>
      <c r="V469" s="364"/>
      <c r="W469" s="364"/>
      <c r="X469" s="364"/>
      <c r="Y469" s="364"/>
      <c r="Z469" s="364"/>
      <c r="AA469" s="364"/>
    </row>
    <row r="470" customFormat="false" ht="15.75" hidden="false" customHeight="false" outlineLevel="0" collapsed="false">
      <c r="A470" s="261" t="str">
        <f aca="false">IFERROR(__xludf.dummyfunction("""COMPUTED_VALUE"""),"Yanmega")</f>
        <v>Yanmega</v>
      </c>
      <c r="B470" s="365"/>
      <c r="C470" s="365"/>
      <c r="D470" s="364"/>
      <c r="E470" s="364"/>
      <c r="F470" s="364"/>
      <c r="G470" s="364"/>
      <c r="H470" s="364"/>
      <c r="I470" s="364"/>
      <c r="J470" s="364"/>
      <c r="K470" s="364"/>
      <c r="L470" s="364"/>
      <c r="M470" s="364"/>
      <c r="N470" s="364"/>
      <c r="O470" s="364"/>
      <c r="P470" s="364"/>
      <c r="Q470" s="364"/>
      <c r="R470" s="364"/>
      <c r="S470" s="364"/>
      <c r="T470" s="364"/>
      <c r="U470" s="364"/>
      <c r="V470" s="364"/>
      <c r="W470" s="364"/>
      <c r="X470" s="364"/>
      <c r="Y470" s="364"/>
      <c r="Z470" s="364"/>
      <c r="AA470" s="364"/>
    </row>
    <row r="471" customFormat="false" ht="15.75" hidden="false" customHeight="false" outlineLevel="0" collapsed="false">
      <c r="A471" s="261" t="str">
        <f aca="false">IFERROR(__xludf.dummyfunction("""COMPUTED_VALUE"""),"Leafeon")</f>
        <v>Leafeon</v>
      </c>
      <c r="B471" s="365"/>
      <c r="C471" s="365"/>
      <c r="D471" s="364"/>
      <c r="E471" s="364"/>
      <c r="F471" s="364"/>
      <c r="G471" s="364"/>
      <c r="H471" s="364"/>
      <c r="I471" s="364"/>
      <c r="J471" s="364"/>
      <c r="K471" s="364"/>
      <c r="L471" s="364"/>
      <c r="M471" s="364"/>
      <c r="N471" s="364"/>
      <c r="O471" s="364"/>
      <c r="P471" s="364"/>
      <c r="Q471" s="364"/>
      <c r="R471" s="364"/>
      <c r="S471" s="364"/>
      <c r="T471" s="364"/>
      <c r="U471" s="364"/>
      <c r="V471" s="364"/>
      <c r="W471" s="364"/>
      <c r="X471" s="364"/>
      <c r="Y471" s="364"/>
      <c r="Z471" s="364"/>
      <c r="AA471" s="364"/>
    </row>
    <row r="472" customFormat="false" ht="15.75" hidden="false" customHeight="false" outlineLevel="0" collapsed="false">
      <c r="A472" s="261" t="str">
        <f aca="false">IFERROR(__xludf.dummyfunction("""COMPUTED_VALUE"""),"Glaceon")</f>
        <v>Glaceon</v>
      </c>
      <c r="B472" s="365"/>
      <c r="C472" s="365"/>
      <c r="D472" s="364"/>
      <c r="E472" s="364"/>
      <c r="F472" s="364"/>
      <c r="G472" s="364"/>
      <c r="H472" s="364"/>
      <c r="I472" s="364"/>
      <c r="J472" s="364"/>
      <c r="K472" s="364"/>
      <c r="L472" s="364"/>
      <c r="M472" s="364"/>
      <c r="N472" s="364"/>
      <c r="O472" s="364"/>
      <c r="P472" s="364"/>
      <c r="Q472" s="364"/>
      <c r="R472" s="364"/>
      <c r="S472" s="364"/>
      <c r="T472" s="364"/>
      <c r="U472" s="364"/>
      <c r="V472" s="364"/>
      <c r="W472" s="364"/>
      <c r="X472" s="364"/>
      <c r="Y472" s="364"/>
      <c r="Z472" s="364"/>
      <c r="AA472" s="364"/>
    </row>
    <row r="473" customFormat="false" ht="15.75" hidden="false" customHeight="false" outlineLevel="0" collapsed="false">
      <c r="A473" s="261" t="str">
        <f aca="false">IFERROR(__xludf.dummyfunction("""COMPUTED_VALUE"""),"Gliscor")</f>
        <v>Gliscor</v>
      </c>
      <c r="B473" s="365"/>
      <c r="C473" s="365"/>
      <c r="D473" s="364"/>
      <c r="E473" s="364"/>
      <c r="F473" s="364"/>
      <c r="G473" s="364"/>
      <c r="H473" s="364"/>
      <c r="I473" s="364"/>
      <c r="J473" s="364"/>
      <c r="K473" s="364"/>
      <c r="L473" s="364"/>
      <c r="M473" s="364"/>
      <c r="N473" s="364"/>
      <c r="O473" s="364"/>
      <c r="P473" s="364"/>
      <c r="Q473" s="364"/>
      <c r="R473" s="364"/>
      <c r="S473" s="364"/>
      <c r="T473" s="364"/>
      <c r="U473" s="364"/>
      <c r="V473" s="364"/>
      <c r="W473" s="364"/>
      <c r="X473" s="364"/>
      <c r="Y473" s="364"/>
      <c r="Z473" s="364"/>
      <c r="AA473" s="364"/>
    </row>
    <row r="474" customFormat="false" ht="15.75" hidden="false" customHeight="false" outlineLevel="0" collapsed="false">
      <c r="A474" s="261" t="str">
        <f aca="false">IFERROR(__xludf.dummyfunction("""COMPUTED_VALUE"""),"Mamoswine")</f>
        <v>Mamoswine</v>
      </c>
      <c r="B474" s="365"/>
      <c r="C474" s="365"/>
      <c r="D474" s="364"/>
      <c r="E474" s="364"/>
      <c r="F474" s="364"/>
      <c r="G474" s="364"/>
      <c r="H474" s="364"/>
      <c r="I474" s="364"/>
      <c r="J474" s="364"/>
      <c r="K474" s="364"/>
      <c r="L474" s="364"/>
      <c r="M474" s="364"/>
      <c r="N474" s="364"/>
      <c r="O474" s="364"/>
      <c r="P474" s="364"/>
      <c r="Q474" s="364"/>
      <c r="R474" s="364"/>
      <c r="S474" s="364"/>
      <c r="T474" s="364"/>
      <c r="U474" s="364"/>
      <c r="V474" s="364"/>
      <c r="W474" s="364"/>
      <c r="X474" s="364"/>
      <c r="Y474" s="364"/>
      <c r="Z474" s="364"/>
      <c r="AA474" s="364"/>
    </row>
    <row r="475" customFormat="false" ht="15.75" hidden="false" customHeight="false" outlineLevel="0" collapsed="false">
      <c r="A475" s="261" t="str">
        <f aca="false">IFERROR(__xludf.dummyfunction("""COMPUTED_VALUE"""),"Porygon-Z")</f>
        <v>Porygon-Z</v>
      </c>
      <c r="B475" s="365"/>
      <c r="C475" s="365"/>
      <c r="D475" s="364"/>
      <c r="E475" s="364"/>
      <c r="F475" s="364"/>
      <c r="G475" s="364"/>
      <c r="H475" s="364"/>
      <c r="I475" s="364"/>
      <c r="J475" s="364"/>
      <c r="K475" s="364"/>
      <c r="L475" s="364"/>
      <c r="M475" s="364"/>
      <c r="N475" s="364"/>
      <c r="O475" s="364"/>
      <c r="P475" s="364"/>
      <c r="Q475" s="364"/>
      <c r="R475" s="364"/>
      <c r="S475" s="364"/>
      <c r="T475" s="364"/>
      <c r="U475" s="364"/>
      <c r="V475" s="364"/>
      <c r="W475" s="364"/>
      <c r="X475" s="364"/>
      <c r="Y475" s="364"/>
      <c r="Z475" s="364"/>
      <c r="AA475" s="364"/>
    </row>
    <row r="476" customFormat="false" ht="15.75" hidden="false" customHeight="false" outlineLevel="0" collapsed="false">
      <c r="A476" s="261" t="str">
        <f aca="false">IFERROR(__xludf.dummyfunction("""COMPUTED_VALUE"""),"Gallade")</f>
        <v>Gallade</v>
      </c>
      <c r="B476" s="365"/>
      <c r="C476" s="365"/>
      <c r="D476" s="364"/>
      <c r="E476" s="364"/>
      <c r="F476" s="364"/>
      <c r="G476" s="364"/>
      <c r="H476" s="364"/>
      <c r="I476" s="364"/>
      <c r="J476" s="364"/>
      <c r="K476" s="364"/>
      <c r="L476" s="364"/>
      <c r="M476" s="364"/>
      <c r="N476" s="364"/>
      <c r="O476" s="364"/>
      <c r="P476" s="364"/>
      <c r="Q476" s="364"/>
      <c r="R476" s="364"/>
      <c r="S476" s="364"/>
      <c r="T476" s="364"/>
      <c r="U476" s="364"/>
      <c r="V476" s="364"/>
      <c r="W476" s="364"/>
      <c r="X476" s="364"/>
      <c r="Y476" s="364"/>
      <c r="Z476" s="364"/>
      <c r="AA476" s="364"/>
    </row>
    <row r="477" customFormat="false" ht="15.75" hidden="false" customHeight="false" outlineLevel="0" collapsed="false">
      <c r="A477" s="261" t="str">
        <f aca="false">IFERROR(__xludf.dummyfunction("""COMPUTED_VALUE"""),"Probopass")</f>
        <v>Probopass</v>
      </c>
      <c r="B477" s="365"/>
      <c r="C477" s="365"/>
      <c r="D477" s="364"/>
      <c r="E477" s="364"/>
      <c r="F477" s="364"/>
      <c r="G477" s="364"/>
      <c r="H477" s="364"/>
      <c r="I477" s="364"/>
      <c r="J477" s="364"/>
      <c r="K477" s="364"/>
      <c r="L477" s="364"/>
      <c r="M477" s="364"/>
      <c r="N477" s="364"/>
      <c r="O477" s="364"/>
      <c r="P477" s="364"/>
      <c r="Q477" s="364"/>
      <c r="R477" s="364"/>
      <c r="S477" s="364"/>
      <c r="T477" s="364"/>
      <c r="U477" s="364"/>
      <c r="V477" s="364"/>
      <c r="W477" s="364"/>
      <c r="X477" s="364"/>
      <c r="Y477" s="364"/>
      <c r="Z477" s="364"/>
      <c r="AA477" s="364"/>
    </row>
    <row r="478" customFormat="false" ht="15.75" hidden="false" customHeight="false" outlineLevel="0" collapsed="false">
      <c r="A478" s="261" t="str">
        <f aca="false">IFERROR(__xludf.dummyfunction("""COMPUTED_VALUE"""),"Dusknoir")</f>
        <v>Dusknoir</v>
      </c>
      <c r="B478" s="365"/>
      <c r="C478" s="365"/>
      <c r="D478" s="364"/>
      <c r="E478" s="364"/>
      <c r="F478" s="364"/>
      <c r="G478" s="364"/>
      <c r="H478" s="364"/>
      <c r="I478" s="364"/>
      <c r="J478" s="364"/>
      <c r="K478" s="364"/>
      <c r="L478" s="364"/>
      <c r="M478" s="364"/>
      <c r="N478" s="364"/>
      <c r="O478" s="364"/>
      <c r="P478" s="364"/>
      <c r="Q478" s="364"/>
      <c r="R478" s="364"/>
      <c r="S478" s="364"/>
      <c r="T478" s="364"/>
      <c r="U478" s="364"/>
      <c r="V478" s="364"/>
      <c r="W478" s="364"/>
      <c r="X478" s="364"/>
      <c r="Y478" s="364"/>
      <c r="Z478" s="364"/>
      <c r="AA478" s="364"/>
    </row>
    <row r="479" customFormat="false" ht="15.75" hidden="false" customHeight="false" outlineLevel="0" collapsed="false">
      <c r="A479" s="261" t="str">
        <f aca="false">IFERROR(__xludf.dummyfunction("""COMPUTED_VALUE"""),"Froslass")</f>
        <v>Froslass</v>
      </c>
      <c r="B479" s="365"/>
      <c r="C479" s="365"/>
      <c r="D479" s="364"/>
      <c r="E479" s="364"/>
      <c r="F479" s="364"/>
      <c r="G479" s="364"/>
      <c r="H479" s="364"/>
      <c r="I479" s="364"/>
      <c r="J479" s="364"/>
      <c r="K479" s="364"/>
      <c r="L479" s="364"/>
      <c r="M479" s="364"/>
      <c r="N479" s="364"/>
      <c r="O479" s="364"/>
      <c r="P479" s="364"/>
      <c r="Q479" s="364"/>
      <c r="R479" s="364"/>
      <c r="S479" s="364"/>
      <c r="T479" s="364"/>
      <c r="U479" s="364"/>
      <c r="V479" s="364"/>
      <c r="W479" s="364"/>
      <c r="X479" s="364"/>
      <c r="Y479" s="364"/>
      <c r="Z479" s="364"/>
      <c r="AA479" s="364"/>
    </row>
    <row r="480" customFormat="false" ht="15.75" hidden="false" customHeight="false" outlineLevel="0" collapsed="false">
      <c r="A480" s="261" t="str">
        <f aca="false">IFERROR(__xludf.dummyfunction("""COMPUTED_VALUE"""),"Rotom")</f>
        <v>Rotom</v>
      </c>
      <c r="B480" s="365"/>
      <c r="C480" s="365"/>
      <c r="D480" s="364"/>
      <c r="E480" s="364"/>
      <c r="F480" s="364"/>
      <c r="G480" s="364"/>
      <c r="H480" s="364"/>
      <c r="I480" s="364"/>
      <c r="J480" s="364"/>
      <c r="K480" s="364"/>
      <c r="L480" s="364"/>
      <c r="M480" s="364"/>
      <c r="N480" s="364"/>
      <c r="O480" s="364"/>
      <c r="P480" s="364"/>
      <c r="Q480" s="364"/>
      <c r="R480" s="364"/>
      <c r="S480" s="364"/>
      <c r="T480" s="364"/>
      <c r="U480" s="364"/>
      <c r="V480" s="364"/>
      <c r="W480" s="364"/>
      <c r="X480" s="364"/>
      <c r="Y480" s="364"/>
      <c r="Z480" s="364"/>
      <c r="AA480" s="364"/>
    </row>
    <row r="481" customFormat="false" ht="15.75" hidden="false" customHeight="false" outlineLevel="0" collapsed="false">
      <c r="A481" s="261" t="str">
        <f aca="false">IFERROR(__xludf.dummyfunction("""COMPUTED_VALUE"""),"Uxie")</f>
        <v>Uxie</v>
      </c>
      <c r="B481" s="365"/>
      <c r="C481" s="365"/>
      <c r="D481" s="364"/>
      <c r="E481" s="364"/>
      <c r="F481" s="364"/>
      <c r="G481" s="364"/>
      <c r="H481" s="364"/>
      <c r="I481" s="364"/>
      <c r="J481" s="364"/>
      <c r="K481" s="364"/>
      <c r="L481" s="364"/>
      <c r="M481" s="364"/>
      <c r="N481" s="364"/>
      <c r="O481" s="364"/>
      <c r="P481" s="364"/>
      <c r="Q481" s="364"/>
      <c r="R481" s="364"/>
      <c r="S481" s="364"/>
      <c r="T481" s="364"/>
      <c r="U481" s="364"/>
      <c r="V481" s="364"/>
      <c r="W481" s="364"/>
      <c r="X481" s="364"/>
      <c r="Y481" s="364"/>
      <c r="Z481" s="364"/>
      <c r="AA481" s="364"/>
    </row>
    <row r="482" customFormat="false" ht="15.75" hidden="false" customHeight="false" outlineLevel="0" collapsed="false">
      <c r="A482" s="261" t="str">
        <f aca="false">IFERROR(__xludf.dummyfunction("""COMPUTED_VALUE"""),"Mesprit")</f>
        <v>Mesprit</v>
      </c>
      <c r="B482" s="365"/>
      <c r="C482" s="365"/>
      <c r="D482" s="364"/>
      <c r="E482" s="364"/>
      <c r="F482" s="364"/>
      <c r="G482" s="364"/>
      <c r="H482" s="364"/>
      <c r="I482" s="364"/>
      <c r="J482" s="364"/>
      <c r="K482" s="364"/>
      <c r="L482" s="364"/>
      <c r="M482" s="364"/>
      <c r="N482" s="364"/>
      <c r="O482" s="364"/>
      <c r="P482" s="364"/>
      <c r="Q482" s="364"/>
      <c r="R482" s="364"/>
      <c r="S482" s="364"/>
      <c r="T482" s="364"/>
      <c r="U482" s="364"/>
      <c r="V482" s="364"/>
      <c r="W482" s="364"/>
      <c r="X482" s="364"/>
      <c r="Y482" s="364"/>
      <c r="Z482" s="364"/>
      <c r="AA482" s="364"/>
    </row>
    <row r="483" customFormat="false" ht="15.75" hidden="false" customHeight="false" outlineLevel="0" collapsed="false">
      <c r="A483" s="261" t="str">
        <f aca="false">IFERROR(__xludf.dummyfunction("""COMPUTED_VALUE"""),"Azelf")</f>
        <v>Azelf</v>
      </c>
      <c r="B483" s="365"/>
      <c r="C483" s="365"/>
      <c r="D483" s="364"/>
      <c r="E483" s="364"/>
      <c r="F483" s="364"/>
      <c r="G483" s="364"/>
      <c r="H483" s="364"/>
      <c r="I483" s="364"/>
      <c r="J483" s="364"/>
      <c r="K483" s="364"/>
      <c r="L483" s="364"/>
      <c r="M483" s="364"/>
      <c r="N483" s="364"/>
      <c r="O483" s="364"/>
      <c r="P483" s="364"/>
      <c r="Q483" s="364"/>
      <c r="R483" s="364"/>
      <c r="S483" s="364"/>
      <c r="T483" s="364"/>
      <c r="U483" s="364"/>
      <c r="V483" s="364"/>
      <c r="W483" s="364"/>
      <c r="X483" s="364"/>
      <c r="Y483" s="364"/>
      <c r="Z483" s="364"/>
      <c r="AA483" s="364"/>
    </row>
    <row r="484" customFormat="false" ht="15.75" hidden="false" customHeight="false" outlineLevel="0" collapsed="false">
      <c r="A484" s="261" t="str">
        <f aca="false">IFERROR(__xludf.dummyfunction("""COMPUTED_VALUE"""),"Dialga")</f>
        <v>Dialga</v>
      </c>
      <c r="B484" s="365"/>
      <c r="C484" s="365"/>
      <c r="D484" s="364"/>
      <c r="E484" s="364"/>
      <c r="F484" s="364"/>
      <c r="G484" s="364"/>
      <c r="H484" s="364"/>
      <c r="I484" s="364"/>
      <c r="J484" s="364"/>
      <c r="K484" s="364"/>
      <c r="L484" s="364"/>
      <c r="M484" s="364"/>
      <c r="N484" s="364"/>
      <c r="O484" s="364"/>
      <c r="P484" s="364"/>
      <c r="Q484" s="364"/>
      <c r="R484" s="364"/>
      <c r="S484" s="364"/>
      <c r="T484" s="364"/>
      <c r="U484" s="364"/>
      <c r="V484" s="364"/>
      <c r="W484" s="364"/>
      <c r="X484" s="364"/>
      <c r="Y484" s="364"/>
      <c r="Z484" s="364"/>
      <c r="AA484" s="364"/>
    </row>
    <row r="485" customFormat="false" ht="15.75" hidden="false" customHeight="false" outlineLevel="0" collapsed="false">
      <c r="A485" s="261" t="str">
        <f aca="false">IFERROR(__xludf.dummyfunction("""COMPUTED_VALUE"""),"Palkia")</f>
        <v>Palkia</v>
      </c>
      <c r="B485" s="365"/>
      <c r="C485" s="365"/>
      <c r="D485" s="364"/>
      <c r="E485" s="364"/>
      <c r="F485" s="364"/>
      <c r="G485" s="364"/>
      <c r="H485" s="364"/>
      <c r="I485" s="364"/>
      <c r="J485" s="364"/>
      <c r="K485" s="364"/>
      <c r="L485" s="364"/>
      <c r="M485" s="364"/>
      <c r="N485" s="364"/>
      <c r="O485" s="364"/>
      <c r="P485" s="364"/>
      <c r="Q485" s="364"/>
      <c r="R485" s="364"/>
      <c r="S485" s="364"/>
      <c r="T485" s="364"/>
      <c r="U485" s="364"/>
      <c r="V485" s="364"/>
      <c r="W485" s="364"/>
      <c r="X485" s="364"/>
      <c r="Y485" s="364"/>
      <c r="Z485" s="364"/>
      <c r="AA485" s="364"/>
    </row>
    <row r="486" customFormat="false" ht="15.75" hidden="false" customHeight="false" outlineLevel="0" collapsed="false">
      <c r="A486" s="261" t="str">
        <f aca="false">IFERROR(__xludf.dummyfunction("""COMPUTED_VALUE"""),"Heatran")</f>
        <v>Heatran</v>
      </c>
      <c r="B486" s="365"/>
      <c r="C486" s="365"/>
      <c r="D486" s="364"/>
      <c r="E486" s="364"/>
      <c r="F486" s="364"/>
      <c r="G486" s="364"/>
      <c r="H486" s="364"/>
      <c r="I486" s="364"/>
      <c r="J486" s="364"/>
      <c r="K486" s="364"/>
      <c r="L486" s="364"/>
      <c r="M486" s="364"/>
      <c r="N486" s="364"/>
      <c r="O486" s="364"/>
      <c r="P486" s="364"/>
      <c r="Q486" s="364"/>
      <c r="R486" s="364"/>
      <c r="S486" s="364"/>
      <c r="T486" s="364"/>
      <c r="U486" s="364"/>
      <c r="V486" s="364"/>
      <c r="W486" s="364"/>
      <c r="X486" s="364"/>
      <c r="Y486" s="364"/>
      <c r="Z486" s="364"/>
      <c r="AA486" s="364"/>
    </row>
    <row r="487" customFormat="false" ht="15.75" hidden="false" customHeight="false" outlineLevel="0" collapsed="false">
      <c r="A487" s="261" t="str">
        <f aca="false">IFERROR(__xludf.dummyfunction("""COMPUTED_VALUE"""),"Regigigas")</f>
        <v>Regigigas</v>
      </c>
      <c r="B487" s="365"/>
      <c r="C487" s="365"/>
      <c r="D487" s="364"/>
      <c r="E487" s="364"/>
      <c r="F487" s="364"/>
      <c r="G487" s="364"/>
      <c r="H487" s="364"/>
      <c r="I487" s="364"/>
      <c r="J487" s="364"/>
      <c r="K487" s="364"/>
      <c r="L487" s="364"/>
      <c r="M487" s="364"/>
      <c r="N487" s="364"/>
      <c r="O487" s="364"/>
      <c r="P487" s="364"/>
      <c r="Q487" s="364"/>
      <c r="R487" s="364"/>
      <c r="S487" s="364"/>
      <c r="T487" s="364"/>
      <c r="U487" s="364"/>
      <c r="V487" s="364"/>
      <c r="W487" s="364"/>
      <c r="X487" s="364"/>
      <c r="Y487" s="364"/>
      <c r="Z487" s="364"/>
      <c r="AA487" s="364"/>
    </row>
    <row r="488" customFormat="false" ht="15.75" hidden="false" customHeight="false" outlineLevel="0" collapsed="false">
      <c r="A488" s="261" t="str">
        <f aca="false">IFERROR(__xludf.dummyfunction("""COMPUTED_VALUE"""),"Giratina")</f>
        <v>Giratina</v>
      </c>
      <c r="B488" s="365"/>
      <c r="C488" s="365"/>
      <c r="D488" s="364"/>
      <c r="E488" s="364"/>
      <c r="F488" s="364"/>
      <c r="G488" s="364"/>
      <c r="H488" s="364"/>
      <c r="I488" s="364"/>
      <c r="J488" s="364"/>
      <c r="K488" s="364"/>
      <c r="L488" s="364"/>
      <c r="M488" s="364"/>
      <c r="N488" s="364"/>
      <c r="O488" s="364"/>
      <c r="P488" s="364"/>
      <c r="Q488" s="364"/>
      <c r="R488" s="364"/>
      <c r="S488" s="364"/>
      <c r="T488" s="364"/>
      <c r="U488" s="364"/>
      <c r="V488" s="364"/>
      <c r="W488" s="364"/>
      <c r="X488" s="364"/>
      <c r="Y488" s="364"/>
      <c r="Z488" s="364"/>
      <c r="AA488" s="364"/>
    </row>
    <row r="489" customFormat="false" ht="15.75" hidden="false" customHeight="false" outlineLevel="0" collapsed="false">
      <c r="A489" s="261" t="str">
        <f aca="false">IFERROR(__xludf.dummyfunction("""COMPUTED_VALUE"""),"Cresselia")</f>
        <v>Cresselia</v>
      </c>
      <c r="B489" s="365"/>
      <c r="C489" s="365"/>
      <c r="D489" s="364"/>
      <c r="E489" s="364"/>
      <c r="F489" s="364"/>
      <c r="G489" s="364"/>
      <c r="H489" s="364"/>
      <c r="I489" s="364"/>
      <c r="J489" s="364"/>
      <c r="K489" s="364"/>
      <c r="L489" s="364"/>
      <c r="M489" s="364"/>
      <c r="N489" s="364"/>
      <c r="O489" s="364"/>
      <c r="P489" s="364"/>
      <c r="Q489" s="364"/>
      <c r="R489" s="364"/>
      <c r="S489" s="364"/>
      <c r="T489" s="364"/>
      <c r="U489" s="364"/>
      <c r="V489" s="364"/>
      <c r="W489" s="364"/>
      <c r="X489" s="364"/>
      <c r="Y489" s="364"/>
      <c r="Z489" s="364"/>
      <c r="AA489" s="364"/>
    </row>
    <row r="490" customFormat="false" ht="15.75" hidden="false" customHeight="false" outlineLevel="0" collapsed="false">
      <c r="A490" s="261" t="str">
        <f aca="false">IFERROR(__xludf.dummyfunction("""COMPUTED_VALUE"""),"Phione")</f>
        <v>Phione</v>
      </c>
      <c r="B490" s="365"/>
      <c r="C490" s="365"/>
      <c r="D490" s="364"/>
      <c r="E490" s="364"/>
      <c r="F490" s="364"/>
      <c r="G490" s="364"/>
      <c r="H490" s="364"/>
      <c r="I490" s="364"/>
      <c r="J490" s="364"/>
      <c r="K490" s="364"/>
      <c r="L490" s="364"/>
      <c r="M490" s="364"/>
      <c r="N490" s="364"/>
      <c r="O490" s="364"/>
      <c r="P490" s="364"/>
      <c r="Q490" s="364"/>
      <c r="R490" s="364"/>
      <c r="S490" s="364"/>
      <c r="T490" s="364"/>
      <c r="U490" s="364"/>
      <c r="V490" s="364"/>
      <c r="W490" s="364"/>
      <c r="X490" s="364"/>
      <c r="Y490" s="364"/>
      <c r="Z490" s="364"/>
      <c r="AA490" s="364"/>
    </row>
    <row r="491" customFormat="false" ht="15.75" hidden="false" customHeight="false" outlineLevel="0" collapsed="false">
      <c r="A491" s="261" t="str">
        <f aca="false">IFERROR(__xludf.dummyfunction("""COMPUTED_VALUE"""),"Manaphy")</f>
        <v>Manaphy</v>
      </c>
      <c r="B491" s="365"/>
      <c r="C491" s="365"/>
      <c r="D491" s="364"/>
      <c r="E491" s="364"/>
      <c r="F491" s="364"/>
      <c r="G491" s="364"/>
      <c r="H491" s="364"/>
      <c r="I491" s="364"/>
      <c r="J491" s="364"/>
      <c r="K491" s="364"/>
      <c r="L491" s="364"/>
      <c r="M491" s="364"/>
      <c r="N491" s="364"/>
      <c r="O491" s="364"/>
      <c r="P491" s="364"/>
      <c r="Q491" s="364"/>
      <c r="R491" s="364"/>
      <c r="S491" s="364"/>
      <c r="T491" s="364"/>
      <c r="U491" s="364"/>
      <c r="V491" s="364"/>
      <c r="W491" s="364"/>
      <c r="X491" s="364"/>
      <c r="Y491" s="364"/>
      <c r="Z491" s="364"/>
      <c r="AA491" s="364"/>
    </row>
    <row r="492" customFormat="false" ht="15.75" hidden="false" customHeight="false" outlineLevel="0" collapsed="false">
      <c r="A492" s="261" t="str">
        <f aca="false">IFERROR(__xludf.dummyfunction("""COMPUTED_VALUE"""),"Darkrai")</f>
        <v>Darkrai</v>
      </c>
      <c r="B492" s="365"/>
      <c r="C492" s="365"/>
      <c r="D492" s="364"/>
      <c r="E492" s="364"/>
      <c r="F492" s="364"/>
      <c r="G492" s="364"/>
      <c r="H492" s="364"/>
      <c r="I492" s="364"/>
      <c r="J492" s="364"/>
      <c r="K492" s="364"/>
      <c r="L492" s="364"/>
      <c r="M492" s="364"/>
      <c r="N492" s="364"/>
      <c r="O492" s="364"/>
      <c r="P492" s="364"/>
      <c r="Q492" s="364"/>
      <c r="R492" s="364"/>
      <c r="S492" s="364"/>
      <c r="T492" s="364"/>
      <c r="U492" s="364"/>
      <c r="V492" s="364"/>
      <c r="W492" s="364"/>
      <c r="X492" s="364"/>
      <c r="Y492" s="364"/>
      <c r="Z492" s="364"/>
      <c r="AA492" s="364"/>
    </row>
    <row r="493" customFormat="false" ht="15.75" hidden="false" customHeight="false" outlineLevel="0" collapsed="false">
      <c r="A493" s="261" t="str">
        <f aca="false">IFERROR(__xludf.dummyfunction("""COMPUTED_VALUE"""),"Shaymin")</f>
        <v>Shaymin</v>
      </c>
      <c r="B493" s="365"/>
      <c r="C493" s="365"/>
      <c r="D493" s="364"/>
      <c r="E493" s="364"/>
      <c r="F493" s="364"/>
      <c r="G493" s="364"/>
      <c r="H493" s="364"/>
      <c r="I493" s="364"/>
      <c r="J493" s="364"/>
      <c r="K493" s="364"/>
      <c r="L493" s="364"/>
      <c r="M493" s="364"/>
      <c r="N493" s="364"/>
      <c r="O493" s="364"/>
      <c r="P493" s="364"/>
      <c r="Q493" s="364"/>
      <c r="R493" s="364"/>
      <c r="S493" s="364"/>
      <c r="T493" s="364"/>
      <c r="U493" s="364"/>
      <c r="V493" s="364"/>
      <c r="W493" s="364"/>
      <c r="X493" s="364"/>
      <c r="Y493" s="364"/>
      <c r="Z493" s="364"/>
      <c r="AA493" s="364"/>
    </row>
    <row r="494" customFormat="false" ht="15.75" hidden="false" customHeight="false" outlineLevel="0" collapsed="false">
      <c r="A494" s="261" t="str">
        <f aca="false">IFERROR(__xludf.dummyfunction("""COMPUTED_VALUE"""),"Arceus")</f>
        <v>Arceus</v>
      </c>
      <c r="B494" s="365"/>
      <c r="C494" s="365"/>
      <c r="D494" s="364"/>
      <c r="E494" s="364"/>
      <c r="F494" s="364"/>
      <c r="G494" s="364"/>
      <c r="H494" s="364"/>
      <c r="I494" s="364"/>
      <c r="J494" s="364"/>
      <c r="K494" s="364"/>
      <c r="L494" s="364"/>
      <c r="M494" s="364"/>
      <c r="N494" s="364"/>
      <c r="O494" s="364"/>
      <c r="P494" s="364"/>
      <c r="Q494" s="364"/>
      <c r="R494" s="364"/>
      <c r="S494" s="364"/>
      <c r="T494" s="364"/>
      <c r="U494" s="364"/>
      <c r="V494" s="364"/>
      <c r="W494" s="364"/>
      <c r="X494" s="364"/>
      <c r="Y494" s="364"/>
      <c r="Z494" s="364"/>
      <c r="AA494" s="364"/>
    </row>
    <row r="495" customFormat="false" ht="15.75" hidden="false" customHeight="false" outlineLevel="0" collapsed="false">
      <c r="A495" s="261" t="str">
        <f aca="false">IFERROR(__xludf.dummyfunction("""COMPUTED_VALUE"""),"Victini")</f>
        <v>Victini</v>
      </c>
      <c r="B495" s="365"/>
      <c r="C495" s="365"/>
      <c r="D495" s="364"/>
      <c r="E495" s="364"/>
      <c r="F495" s="364"/>
      <c r="G495" s="364"/>
      <c r="H495" s="364"/>
      <c r="I495" s="364"/>
      <c r="J495" s="364"/>
      <c r="K495" s="364"/>
      <c r="L495" s="364"/>
      <c r="M495" s="364"/>
      <c r="N495" s="364"/>
      <c r="O495" s="364"/>
      <c r="P495" s="364"/>
      <c r="Q495" s="364"/>
      <c r="R495" s="364"/>
      <c r="S495" s="364"/>
      <c r="T495" s="364"/>
      <c r="U495" s="364"/>
      <c r="V495" s="364"/>
      <c r="W495" s="364"/>
      <c r="X495" s="364"/>
      <c r="Y495" s="364"/>
      <c r="Z495" s="364"/>
      <c r="AA495" s="364"/>
    </row>
    <row r="496" customFormat="false" ht="15.75" hidden="false" customHeight="false" outlineLevel="0" collapsed="false">
      <c r="A496" s="261" t="str">
        <f aca="false">IFERROR(__xludf.dummyfunction("""COMPUTED_VALUE"""),"Snivy")</f>
        <v>Snivy</v>
      </c>
      <c r="B496" s="365"/>
      <c r="C496" s="365"/>
      <c r="D496" s="364"/>
      <c r="E496" s="364"/>
      <c r="F496" s="364"/>
      <c r="G496" s="364"/>
      <c r="H496" s="364"/>
      <c r="I496" s="364"/>
      <c r="J496" s="364"/>
      <c r="K496" s="364"/>
      <c r="L496" s="364"/>
      <c r="M496" s="364"/>
      <c r="N496" s="364"/>
      <c r="O496" s="364"/>
      <c r="P496" s="364"/>
      <c r="Q496" s="364"/>
      <c r="R496" s="364"/>
      <c r="S496" s="364"/>
      <c r="T496" s="364"/>
      <c r="U496" s="364"/>
      <c r="V496" s="364"/>
      <c r="W496" s="364"/>
      <c r="X496" s="364"/>
      <c r="Y496" s="364"/>
      <c r="Z496" s="364"/>
      <c r="AA496" s="364"/>
    </row>
    <row r="497" customFormat="false" ht="15.75" hidden="false" customHeight="false" outlineLevel="0" collapsed="false">
      <c r="A497" s="261" t="str">
        <f aca="false">IFERROR(__xludf.dummyfunction("""COMPUTED_VALUE"""),"Servine")</f>
        <v>Servine</v>
      </c>
      <c r="B497" s="365"/>
      <c r="C497" s="365"/>
      <c r="D497" s="364"/>
      <c r="E497" s="364"/>
      <c r="F497" s="364"/>
      <c r="G497" s="364"/>
      <c r="H497" s="364"/>
      <c r="I497" s="364"/>
      <c r="J497" s="364"/>
      <c r="K497" s="364"/>
      <c r="L497" s="364"/>
      <c r="M497" s="364"/>
      <c r="N497" s="364"/>
      <c r="O497" s="364"/>
      <c r="P497" s="364"/>
      <c r="Q497" s="364"/>
      <c r="R497" s="364"/>
      <c r="S497" s="364"/>
      <c r="T497" s="364"/>
      <c r="U497" s="364"/>
      <c r="V497" s="364"/>
      <c r="W497" s="364"/>
      <c r="X497" s="364"/>
      <c r="Y497" s="364"/>
      <c r="Z497" s="364"/>
      <c r="AA497" s="364"/>
    </row>
    <row r="498" customFormat="false" ht="15.75" hidden="false" customHeight="false" outlineLevel="0" collapsed="false">
      <c r="A498" s="261" t="str">
        <f aca="false">IFERROR(__xludf.dummyfunction("""COMPUTED_VALUE"""),"Serperior")</f>
        <v>Serperior</v>
      </c>
      <c r="B498" s="365"/>
      <c r="C498" s="365"/>
      <c r="D498" s="364"/>
      <c r="E498" s="364"/>
      <c r="F498" s="364"/>
      <c r="G498" s="364"/>
      <c r="H498" s="364"/>
      <c r="I498" s="364"/>
      <c r="J498" s="364"/>
      <c r="K498" s="364"/>
      <c r="L498" s="364"/>
      <c r="M498" s="364"/>
      <c r="N498" s="364"/>
      <c r="O498" s="364"/>
      <c r="P498" s="364"/>
      <c r="Q498" s="364"/>
      <c r="R498" s="364"/>
      <c r="S498" s="364"/>
      <c r="T498" s="364"/>
      <c r="U498" s="364"/>
      <c r="V498" s="364"/>
      <c r="W498" s="364"/>
      <c r="X498" s="364"/>
      <c r="Y498" s="364"/>
      <c r="Z498" s="364"/>
      <c r="AA498" s="364"/>
    </row>
    <row r="499" customFormat="false" ht="15.75" hidden="false" customHeight="false" outlineLevel="0" collapsed="false">
      <c r="A499" s="261" t="str">
        <f aca="false">IFERROR(__xludf.dummyfunction("""COMPUTED_VALUE"""),"Tepig")</f>
        <v>Tepig</v>
      </c>
      <c r="B499" s="365"/>
      <c r="C499" s="365"/>
      <c r="D499" s="364"/>
      <c r="E499" s="364"/>
      <c r="F499" s="364"/>
      <c r="G499" s="364"/>
      <c r="H499" s="364"/>
      <c r="I499" s="364"/>
      <c r="J499" s="364"/>
      <c r="K499" s="364"/>
      <c r="L499" s="364"/>
      <c r="M499" s="364"/>
      <c r="N499" s="364"/>
      <c r="O499" s="364"/>
      <c r="P499" s="364"/>
      <c r="Q499" s="364"/>
      <c r="R499" s="364"/>
      <c r="S499" s="364"/>
      <c r="T499" s="364"/>
      <c r="U499" s="364"/>
      <c r="V499" s="364"/>
      <c r="W499" s="364"/>
      <c r="X499" s="364"/>
      <c r="Y499" s="364"/>
      <c r="Z499" s="364"/>
      <c r="AA499" s="364"/>
    </row>
    <row r="500" customFormat="false" ht="15.75" hidden="false" customHeight="false" outlineLevel="0" collapsed="false">
      <c r="A500" s="261" t="str">
        <f aca="false">IFERROR(__xludf.dummyfunction("""COMPUTED_VALUE"""),"Pignite")</f>
        <v>Pignite</v>
      </c>
      <c r="B500" s="365"/>
      <c r="C500" s="365"/>
      <c r="D500" s="364"/>
      <c r="E500" s="364"/>
      <c r="F500" s="364"/>
      <c r="G500" s="364"/>
      <c r="H500" s="364"/>
      <c r="I500" s="364"/>
      <c r="J500" s="364"/>
      <c r="K500" s="364"/>
      <c r="L500" s="364"/>
      <c r="M500" s="364"/>
      <c r="N500" s="364"/>
      <c r="O500" s="364"/>
      <c r="P500" s="364"/>
      <c r="Q500" s="364"/>
      <c r="R500" s="364"/>
      <c r="S500" s="364"/>
      <c r="T500" s="364"/>
      <c r="U500" s="364"/>
      <c r="V500" s="364"/>
      <c r="W500" s="364"/>
      <c r="X500" s="364"/>
      <c r="Y500" s="364"/>
      <c r="Z500" s="364"/>
      <c r="AA500" s="364"/>
    </row>
    <row r="501" customFormat="false" ht="15.75" hidden="false" customHeight="false" outlineLevel="0" collapsed="false">
      <c r="A501" s="261" t="str">
        <f aca="false">IFERROR(__xludf.dummyfunction("""COMPUTED_VALUE"""),"Emboar")</f>
        <v>Emboar</v>
      </c>
      <c r="B501" s="365"/>
      <c r="C501" s="365"/>
      <c r="D501" s="364"/>
      <c r="E501" s="364"/>
      <c r="F501" s="364"/>
      <c r="G501" s="364"/>
      <c r="H501" s="364"/>
      <c r="I501" s="364"/>
      <c r="J501" s="364"/>
      <c r="K501" s="364"/>
      <c r="L501" s="364"/>
      <c r="M501" s="364"/>
      <c r="N501" s="364"/>
      <c r="O501" s="364"/>
      <c r="P501" s="364"/>
      <c r="Q501" s="364"/>
      <c r="R501" s="364"/>
      <c r="S501" s="364"/>
      <c r="T501" s="364"/>
      <c r="U501" s="364"/>
      <c r="V501" s="364"/>
      <c r="W501" s="364"/>
      <c r="X501" s="364"/>
      <c r="Y501" s="364"/>
      <c r="Z501" s="364"/>
      <c r="AA501" s="364"/>
    </row>
    <row r="502" customFormat="false" ht="15.75" hidden="false" customHeight="false" outlineLevel="0" collapsed="false">
      <c r="A502" s="261" t="str">
        <f aca="false">IFERROR(__xludf.dummyfunction("""COMPUTED_VALUE"""),"Oshawott")</f>
        <v>Oshawott</v>
      </c>
      <c r="B502" s="365"/>
      <c r="C502" s="365"/>
      <c r="D502" s="364"/>
      <c r="E502" s="364"/>
      <c r="F502" s="364"/>
      <c r="G502" s="364"/>
      <c r="H502" s="364"/>
      <c r="I502" s="364"/>
      <c r="J502" s="364"/>
      <c r="K502" s="364"/>
      <c r="L502" s="364"/>
      <c r="M502" s="364"/>
      <c r="N502" s="364"/>
      <c r="O502" s="364"/>
      <c r="P502" s="364"/>
      <c r="Q502" s="364"/>
      <c r="R502" s="364"/>
      <c r="S502" s="364"/>
      <c r="T502" s="364"/>
      <c r="U502" s="364"/>
      <c r="V502" s="364"/>
      <c r="W502" s="364"/>
      <c r="X502" s="364"/>
      <c r="Y502" s="364"/>
      <c r="Z502" s="364"/>
      <c r="AA502" s="364"/>
    </row>
    <row r="503" customFormat="false" ht="15.75" hidden="false" customHeight="false" outlineLevel="0" collapsed="false">
      <c r="A503" s="261" t="str">
        <f aca="false">IFERROR(__xludf.dummyfunction("""COMPUTED_VALUE"""),"Dewott")</f>
        <v>Dewott</v>
      </c>
      <c r="B503" s="365"/>
      <c r="C503" s="365"/>
      <c r="D503" s="364"/>
      <c r="E503" s="364"/>
      <c r="F503" s="364"/>
      <c r="G503" s="364"/>
      <c r="H503" s="364"/>
      <c r="I503" s="364"/>
      <c r="J503" s="364"/>
      <c r="K503" s="364"/>
      <c r="L503" s="364"/>
      <c r="M503" s="364"/>
      <c r="N503" s="364"/>
      <c r="O503" s="364"/>
      <c r="P503" s="364"/>
      <c r="Q503" s="364"/>
      <c r="R503" s="364"/>
      <c r="S503" s="364"/>
      <c r="T503" s="364"/>
      <c r="U503" s="364"/>
      <c r="V503" s="364"/>
      <c r="W503" s="364"/>
      <c r="X503" s="364"/>
      <c r="Y503" s="364"/>
      <c r="Z503" s="364"/>
      <c r="AA503" s="364"/>
    </row>
    <row r="504" customFormat="false" ht="15.75" hidden="false" customHeight="false" outlineLevel="0" collapsed="false">
      <c r="A504" s="261" t="str">
        <f aca="false">IFERROR(__xludf.dummyfunction("""COMPUTED_VALUE"""),"Samurott")</f>
        <v>Samurott</v>
      </c>
      <c r="B504" s="365"/>
      <c r="C504" s="365"/>
      <c r="D504" s="364"/>
      <c r="E504" s="364"/>
      <c r="F504" s="364"/>
      <c r="G504" s="364"/>
      <c r="H504" s="364"/>
      <c r="I504" s="364"/>
      <c r="J504" s="364"/>
      <c r="K504" s="364"/>
      <c r="L504" s="364"/>
      <c r="M504" s="364"/>
      <c r="N504" s="364"/>
      <c r="O504" s="364"/>
      <c r="P504" s="364"/>
      <c r="Q504" s="364"/>
      <c r="R504" s="364"/>
      <c r="S504" s="364"/>
      <c r="T504" s="364"/>
      <c r="U504" s="364"/>
      <c r="V504" s="364"/>
      <c r="W504" s="364"/>
      <c r="X504" s="364"/>
      <c r="Y504" s="364"/>
      <c r="Z504" s="364"/>
      <c r="AA504" s="364"/>
    </row>
    <row r="505" customFormat="false" ht="15.75" hidden="false" customHeight="false" outlineLevel="0" collapsed="false">
      <c r="A505" s="261" t="str">
        <f aca="false">IFERROR(__xludf.dummyfunction("""COMPUTED_VALUE"""),"Patrat")</f>
        <v>Patrat</v>
      </c>
      <c r="B505" s="365"/>
      <c r="C505" s="365"/>
      <c r="D505" s="364"/>
      <c r="E505" s="364"/>
      <c r="F505" s="364"/>
      <c r="G505" s="364"/>
      <c r="H505" s="364"/>
      <c r="I505" s="364"/>
      <c r="J505" s="364"/>
      <c r="K505" s="364"/>
      <c r="L505" s="364"/>
      <c r="M505" s="364"/>
      <c r="N505" s="364"/>
      <c r="O505" s="364"/>
      <c r="P505" s="364"/>
      <c r="Q505" s="364"/>
      <c r="R505" s="364"/>
      <c r="S505" s="364"/>
      <c r="T505" s="364"/>
      <c r="U505" s="364"/>
      <c r="V505" s="364"/>
      <c r="W505" s="364"/>
      <c r="X505" s="364"/>
      <c r="Y505" s="364"/>
      <c r="Z505" s="364"/>
      <c r="AA505" s="364"/>
    </row>
    <row r="506" customFormat="false" ht="15.75" hidden="false" customHeight="false" outlineLevel="0" collapsed="false">
      <c r="A506" s="261" t="str">
        <f aca="false">IFERROR(__xludf.dummyfunction("""COMPUTED_VALUE"""),"Watchog")</f>
        <v>Watchog</v>
      </c>
      <c r="B506" s="365"/>
      <c r="C506" s="365"/>
      <c r="D506" s="364"/>
      <c r="E506" s="364"/>
      <c r="F506" s="364"/>
      <c r="G506" s="364"/>
      <c r="H506" s="364"/>
      <c r="I506" s="364"/>
      <c r="J506" s="364"/>
      <c r="K506" s="364"/>
      <c r="L506" s="364"/>
      <c r="M506" s="364"/>
      <c r="N506" s="364"/>
      <c r="O506" s="364"/>
      <c r="P506" s="364"/>
      <c r="Q506" s="364"/>
      <c r="R506" s="364"/>
      <c r="S506" s="364"/>
      <c r="T506" s="364"/>
      <c r="U506" s="364"/>
      <c r="V506" s="364"/>
      <c r="W506" s="364"/>
      <c r="X506" s="364"/>
      <c r="Y506" s="364"/>
      <c r="Z506" s="364"/>
      <c r="AA506" s="364"/>
    </row>
    <row r="507" customFormat="false" ht="15.75" hidden="false" customHeight="false" outlineLevel="0" collapsed="false">
      <c r="A507" s="261" t="str">
        <f aca="false">IFERROR(__xludf.dummyfunction("""COMPUTED_VALUE"""),"Lillipup")</f>
        <v>Lillipup</v>
      </c>
      <c r="B507" s="365"/>
      <c r="C507" s="365"/>
      <c r="D507" s="364"/>
      <c r="E507" s="364"/>
      <c r="F507" s="364"/>
      <c r="G507" s="364"/>
      <c r="H507" s="364"/>
      <c r="I507" s="364"/>
      <c r="J507" s="364"/>
      <c r="K507" s="364"/>
      <c r="L507" s="364"/>
      <c r="M507" s="364"/>
      <c r="N507" s="364"/>
      <c r="O507" s="364"/>
      <c r="P507" s="364"/>
      <c r="Q507" s="364"/>
      <c r="R507" s="364"/>
      <c r="S507" s="364"/>
      <c r="T507" s="364"/>
      <c r="U507" s="364"/>
      <c r="V507" s="364"/>
      <c r="W507" s="364"/>
      <c r="X507" s="364"/>
      <c r="Y507" s="364"/>
      <c r="Z507" s="364"/>
      <c r="AA507" s="364"/>
    </row>
    <row r="508" customFormat="false" ht="15.75" hidden="false" customHeight="false" outlineLevel="0" collapsed="false">
      <c r="A508" s="261" t="str">
        <f aca="false">IFERROR(__xludf.dummyfunction("""COMPUTED_VALUE"""),"Herdier")</f>
        <v>Herdier</v>
      </c>
      <c r="B508" s="365"/>
      <c r="C508" s="365"/>
      <c r="D508" s="364"/>
      <c r="E508" s="364"/>
      <c r="F508" s="364"/>
      <c r="G508" s="364"/>
      <c r="H508" s="364"/>
      <c r="I508" s="364"/>
      <c r="J508" s="364"/>
      <c r="K508" s="364"/>
      <c r="L508" s="364"/>
      <c r="M508" s="364"/>
      <c r="N508" s="364"/>
      <c r="O508" s="364"/>
      <c r="P508" s="364"/>
      <c r="Q508" s="364"/>
      <c r="R508" s="364"/>
      <c r="S508" s="364"/>
      <c r="T508" s="364"/>
      <c r="U508" s="364"/>
      <c r="V508" s="364"/>
      <c r="W508" s="364"/>
      <c r="X508" s="364"/>
      <c r="Y508" s="364"/>
      <c r="Z508" s="364"/>
      <c r="AA508" s="364"/>
    </row>
    <row r="509" customFormat="false" ht="15.75" hidden="false" customHeight="false" outlineLevel="0" collapsed="false">
      <c r="A509" s="261" t="str">
        <f aca="false">IFERROR(__xludf.dummyfunction("""COMPUTED_VALUE"""),"Stoutland")</f>
        <v>Stoutland</v>
      </c>
      <c r="B509" s="365"/>
      <c r="C509" s="365"/>
      <c r="D509" s="364"/>
      <c r="E509" s="364"/>
      <c r="F509" s="364"/>
      <c r="G509" s="364"/>
      <c r="H509" s="364"/>
      <c r="I509" s="364"/>
      <c r="J509" s="364"/>
      <c r="K509" s="364"/>
      <c r="L509" s="364"/>
      <c r="M509" s="364"/>
      <c r="N509" s="364"/>
      <c r="O509" s="364"/>
      <c r="P509" s="364"/>
      <c r="Q509" s="364"/>
      <c r="R509" s="364"/>
      <c r="S509" s="364"/>
      <c r="T509" s="364"/>
      <c r="U509" s="364"/>
      <c r="V509" s="364"/>
      <c r="W509" s="364"/>
      <c r="X509" s="364"/>
      <c r="Y509" s="364"/>
      <c r="Z509" s="364"/>
      <c r="AA509" s="364"/>
    </row>
    <row r="510" customFormat="false" ht="15.75" hidden="false" customHeight="false" outlineLevel="0" collapsed="false">
      <c r="A510" s="261" t="str">
        <f aca="false">IFERROR(__xludf.dummyfunction("""COMPUTED_VALUE"""),"Purrloin")</f>
        <v>Purrloin</v>
      </c>
      <c r="B510" s="365"/>
      <c r="C510" s="365"/>
      <c r="D510" s="364"/>
      <c r="E510" s="364"/>
      <c r="F510" s="364"/>
      <c r="G510" s="364"/>
      <c r="H510" s="364"/>
      <c r="I510" s="364"/>
      <c r="J510" s="364"/>
      <c r="K510" s="364"/>
      <c r="L510" s="364"/>
      <c r="M510" s="364"/>
      <c r="N510" s="364"/>
      <c r="O510" s="364"/>
      <c r="P510" s="364"/>
      <c r="Q510" s="364"/>
      <c r="R510" s="364"/>
      <c r="S510" s="364"/>
      <c r="T510" s="364"/>
      <c r="U510" s="364"/>
      <c r="V510" s="364"/>
      <c r="W510" s="364"/>
      <c r="X510" s="364"/>
      <c r="Y510" s="364"/>
      <c r="Z510" s="364"/>
      <c r="AA510" s="364"/>
    </row>
    <row r="511" customFormat="false" ht="15.75" hidden="false" customHeight="false" outlineLevel="0" collapsed="false">
      <c r="A511" s="261" t="str">
        <f aca="false">IFERROR(__xludf.dummyfunction("""COMPUTED_VALUE"""),"Liepard")</f>
        <v>Liepard</v>
      </c>
      <c r="B511" s="365"/>
      <c r="C511" s="365"/>
      <c r="D511" s="364"/>
      <c r="E511" s="364"/>
      <c r="F511" s="364"/>
      <c r="G511" s="364"/>
      <c r="H511" s="364"/>
      <c r="I511" s="364"/>
      <c r="J511" s="364"/>
      <c r="K511" s="364"/>
      <c r="L511" s="364"/>
      <c r="M511" s="364"/>
      <c r="N511" s="364"/>
      <c r="O511" s="364"/>
      <c r="P511" s="364"/>
      <c r="Q511" s="364"/>
      <c r="R511" s="364"/>
      <c r="S511" s="364"/>
      <c r="T511" s="364"/>
      <c r="U511" s="364"/>
      <c r="V511" s="364"/>
      <c r="W511" s="364"/>
      <c r="X511" s="364"/>
      <c r="Y511" s="364"/>
      <c r="Z511" s="364"/>
      <c r="AA511" s="364"/>
    </row>
    <row r="512" customFormat="false" ht="15.75" hidden="false" customHeight="false" outlineLevel="0" collapsed="false">
      <c r="A512" s="261" t="str">
        <f aca="false">IFERROR(__xludf.dummyfunction("""COMPUTED_VALUE"""),"Pansage")</f>
        <v>Pansage</v>
      </c>
      <c r="B512" s="365"/>
      <c r="C512" s="365"/>
      <c r="D512" s="364"/>
      <c r="E512" s="364"/>
      <c r="F512" s="364"/>
      <c r="G512" s="364"/>
      <c r="H512" s="364"/>
      <c r="I512" s="364"/>
      <c r="J512" s="364"/>
      <c r="K512" s="364"/>
      <c r="L512" s="364"/>
      <c r="M512" s="364"/>
      <c r="N512" s="364"/>
      <c r="O512" s="364"/>
      <c r="P512" s="364"/>
      <c r="Q512" s="364"/>
      <c r="R512" s="364"/>
      <c r="S512" s="364"/>
      <c r="T512" s="364"/>
      <c r="U512" s="364"/>
      <c r="V512" s="364"/>
      <c r="W512" s="364"/>
      <c r="X512" s="364"/>
      <c r="Y512" s="364"/>
      <c r="Z512" s="364"/>
      <c r="AA512" s="364"/>
    </row>
    <row r="513" customFormat="false" ht="15.75" hidden="false" customHeight="false" outlineLevel="0" collapsed="false">
      <c r="A513" s="261" t="str">
        <f aca="false">IFERROR(__xludf.dummyfunction("""COMPUTED_VALUE"""),"Simisage")</f>
        <v>Simisage</v>
      </c>
      <c r="B513" s="365"/>
      <c r="C513" s="365"/>
      <c r="D513" s="364"/>
      <c r="E513" s="364"/>
      <c r="F513" s="364"/>
      <c r="G513" s="364"/>
      <c r="H513" s="364"/>
      <c r="I513" s="364"/>
      <c r="J513" s="364"/>
      <c r="K513" s="364"/>
      <c r="L513" s="364"/>
      <c r="M513" s="364"/>
      <c r="N513" s="364"/>
      <c r="O513" s="364"/>
      <c r="P513" s="364"/>
      <c r="Q513" s="364"/>
      <c r="R513" s="364"/>
      <c r="S513" s="364"/>
      <c r="T513" s="364"/>
      <c r="U513" s="364"/>
      <c r="V513" s="364"/>
      <c r="W513" s="364"/>
      <c r="X513" s="364"/>
      <c r="Y513" s="364"/>
      <c r="Z513" s="364"/>
      <c r="AA513" s="364"/>
    </row>
    <row r="514" customFormat="false" ht="15.75" hidden="false" customHeight="false" outlineLevel="0" collapsed="false">
      <c r="A514" s="261" t="str">
        <f aca="false">IFERROR(__xludf.dummyfunction("""COMPUTED_VALUE"""),"Pansear")</f>
        <v>Pansear</v>
      </c>
      <c r="B514" s="365"/>
      <c r="C514" s="365"/>
      <c r="D514" s="364"/>
      <c r="E514" s="364"/>
      <c r="F514" s="364"/>
      <c r="G514" s="364"/>
      <c r="H514" s="364"/>
      <c r="I514" s="364"/>
      <c r="J514" s="364"/>
      <c r="K514" s="364"/>
      <c r="L514" s="364"/>
      <c r="M514" s="364"/>
      <c r="N514" s="364"/>
      <c r="O514" s="364"/>
      <c r="P514" s="364"/>
      <c r="Q514" s="364"/>
      <c r="R514" s="364"/>
      <c r="S514" s="364"/>
      <c r="T514" s="364"/>
      <c r="U514" s="364"/>
      <c r="V514" s="364"/>
      <c r="W514" s="364"/>
      <c r="X514" s="364"/>
      <c r="Y514" s="364"/>
      <c r="Z514" s="364"/>
      <c r="AA514" s="364"/>
    </row>
    <row r="515" customFormat="false" ht="15.75" hidden="false" customHeight="false" outlineLevel="0" collapsed="false">
      <c r="A515" s="261" t="str">
        <f aca="false">IFERROR(__xludf.dummyfunction("""COMPUTED_VALUE"""),"Simisear")</f>
        <v>Simisear</v>
      </c>
      <c r="B515" s="365"/>
      <c r="C515" s="365"/>
      <c r="D515" s="364"/>
      <c r="E515" s="364"/>
      <c r="F515" s="364"/>
      <c r="G515" s="364"/>
      <c r="H515" s="364"/>
      <c r="I515" s="364"/>
      <c r="J515" s="364"/>
      <c r="K515" s="364"/>
      <c r="L515" s="364"/>
      <c r="M515" s="364"/>
      <c r="N515" s="364"/>
      <c r="O515" s="364"/>
      <c r="P515" s="364"/>
      <c r="Q515" s="364"/>
      <c r="R515" s="364"/>
      <c r="S515" s="364"/>
      <c r="T515" s="364"/>
      <c r="U515" s="364"/>
      <c r="V515" s="364"/>
      <c r="W515" s="364"/>
      <c r="X515" s="364"/>
      <c r="Y515" s="364"/>
      <c r="Z515" s="364"/>
      <c r="AA515" s="364"/>
    </row>
    <row r="516" customFormat="false" ht="15.75" hidden="false" customHeight="false" outlineLevel="0" collapsed="false">
      <c r="A516" s="261" t="str">
        <f aca="false">IFERROR(__xludf.dummyfunction("""COMPUTED_VALUE"""),"Panpour")</f>
        <v>Panpour</v>
      </c>
      <c r="B516" s="365"/>
      <c r="C516" s="365"/>
      <c r="D516" s="364"/>
      <c r="E516" s="364"/>
      <c r="F516" s="364"/>
      <c r="G516" s="364"/>
      <c r="H516" s="364"/>
      <c r="I516" s="364"/>
      <c r="J516" s="364"/>
      <c r="K516" s="364"/>
      <c r="L516" s="364"/>
      <c r="M516" s="364"/>
      <c r="N516" s="364"/>
      <c r="O516" s="364"/>
      <c r="P516" s="364"/>
      <c r="Q516" s="364"/>
      <c r="R516" s="364"/>
      <c r="S516" s="364"/>
      <c r="T516" s="364"/>
      <c r="U516" s="364"/>
      <c r="V516" s="364"/>
      <c r="W516" s="364"/>
      <c r="X516" s="364"/>
      <c r="Y516" s="364"/>
      <c r="Z516" s="364"/>
      <c r="AA516" s="364"/>
    </row>
    <row r="517" customFormat="false" ht="15.75" hidden="false" customHeight="false" outlineLevel="0" collapsed="false">
      <c r="A517" s="261" t="str">
        <f aca="false">IFERROR(__xludf.dummyfunction("""COMPUTED_VALUE"""),"Simipour")</f>
        <v>Simipour</v>
      </c>
      <c r="B517" s="365"/>
      <c r="C517" s="365"/>
      <c r="D517" s="364"/>
      <c r="E517" s="364"/>
      <c r="F517" s="364"/>
      <c r="G517" s="364"/>
      <c r="H517" s="364"/>
      <c r="I517" s="364"/>
      <c r="J517" s="364"/>
      <c r="K517" s="364"/>
      <c r="L517" s="364"/>
      <c r="M517" s="364"/>
      <c r="N517" s="364"/>
      <c r="O517" s="364"/>
      <c r="P517" s="364"/>
      <c r="Q517" s="364"/>
      <c r="R517" s="364"/>
      <c r="S517" s="364"/>
      <c r="T517" s="364"/>
      <c r="U517" s="364"/>
      <c r="V517" s="364"/>
      <c r="W517" s="364"/>
      <c r="X517" s="364"/>
      <c r="Y517" s="364"/>
      <c r="Z517" s="364"/>
      <c r="AA517" s="364"/>
    </row>
    <row r="518" customFormat="false" ht="15.75" hidden="false" customHeight="false" outlineLevel="0" collapsed="false">
      <c r="A518" s="261" t="str">
        <f aca="false">IFERROR(__xludf.dummyfunction("""COMPUTED_VALUE"""),"Munna")</f>
        <v>Munna</v>
      </c>
      <c r="B518" s="365"/>
      <c r="C518" s="365"/>
      <c r="D518" s="364"/>
      <c r="E518" s="364"/>
      <c r="F518" s="364"/>
      <c r="G518" s="364"/>
      <c r="H518" s="364"/>
      <c r="I518" s="364"/>
      <c r="J518" s="364"/>
      <c r="K518" s="364"/>
      <c r="L518" s="364"/>
      <c r="M518" s="364"/>
      <c r="N518" s="364"/>
      <c r="O518" s="364"/>
      <c r="P518" s="364"/>
      <c r="Q518" s="364"/>
      <c r="R518" s="364"/>
      <c r="S518" s="364"/>
      <c r="T518" s="364"/>
      <c r="U518" s="364"/>
      <c r="V518" s="364"/>
      <c r="W518" s="364"/>
      <c r="X518" s="364"/>
      <c r="Y518" s="364"/>
      <c r="Z518" s="364"/>
      <c r="AA518" s="364"/>
    </row>
    <row r="519" customFormat="false" ht="15.75" hidden="false" customHeight="false" outlineLevel="0" collapsed="false">
      <c r="A519" s="261" t="str">
        <f aca="false">IFERROR(__xludf.dummyfunction("""COMPUTED_VALUE"""),"Musharna")</f>
        <v>Musharna</v>
      </c>
      <c r="B519" s="365"/>
      <c r="C519" s="365"/>
      <c r="D519" s="364"/>
      <c r="E519" s="364"/>
      <c r="F519" s="364"/>
      <c r="G519" s="364"/>
      <c r="H519" s="364"/>
      <c r="I519" s="364"/>
      <c r="J519" s="364"/>
      <c r="K519" s="364"/>
      <c r="L519" s="364"/>
      <c r="M519" s="364"/>
      <c r="N519" s="364"/>
      <c r="O519" s="364"/>
      <c r="P519" s="364"/>
      <c r="Q519" s="364"/>
      <c r="R519" s="364"/>
      <c r="S519" s="364"/>
      <c r="T519" s="364"/>
      <c r="U519" s="364"/>
      <c r="V519" s="364"/>
      <c r="W519" s="364"/>
      <c r="X519" s="364"/>
      <c r="Y519" s="364"/>
      <c r="Z519" s="364"/>
      <c r="AA519" s="364"/>
    </row>
    <row r="520" customFormat="false" ht="15.75" hidden="false" customHeight="false" outlineLevel="0" collapsed="false">
      <c r="A520" s="261" t="str">
        <f aca="false">IFERROR(__xludf.dummyfunction("""COMPUTED_VALUE"""),"Pidove")</f>
        <v>Pidove</v>
      </c>
      <c r="B520" s="365"/>
      <c r="C520" s="365"/>
      <c r="D520" s="364"/>
      <c r="E520" s="364"/>
      <c r="F520" s="364"/>
      <c r="G520" s="364"/>
      <c r="H520" s="364"/>
      <c r="I520" s="364"/>
      <c r="J520" s="364"/>
      <c r="K520" s="364"/>
      <c r="L520" s="364"/>
      <c r="M520" s="364"/>
      <c r="N520" s="364"/>
      <c r="O520" s="364"/>
      <c r="P520" s="364"/>
      <c r="Q520" s="364"/>
      <c r="R520" s="364"/>
      <c r="S520" s="364"/>
      <c r="T520" s="364"/>
      <c r="U520" s="364"/>
      <c r="V520" s="364"/>
      <c r="W520" s="364"/>
      <c r="X520" s="364"/>
      <c r="Y520" s="364"/>
      <c r="Z520" s="364"/>
      <c r="AA520" s="364"/>
    </row>
    <row r="521" customFormat="false" ht="15.75" hidden="false" customHeight="false" outlineLevel="0" collapsed="false">
      <c r="A521" s="261" t="str">
        <f aca="false">IFERROR(__xludf.dummyfunction("""COMPUTED_VALUE"""),"Tranquill")</f>
        <v>Tranquill</v>
      </c>
      <c r="B521" s="365"/>
      <c r="C521" s="365"/>
      <c r="D521" s="364"/>
      <c r="E521" s="364"/>
      <c r="F521" s="364"/>
      <c r="G521" s="364"/>
      <c r="H521" s="364"/>
      <c r="I521" s="364"/>
      <c r="J521" s="364"/>
      <c r="K521" s="364"/>
      <c r="L521" s="364"/>
      <c r="M521" s="364"/>
      <c r="N521" s="364"/>
      <c r="O521" s="364"/>
      <c r="P521" s="364"/>
      <c r="Q521" s="364"/>
      <c r="R521" s="364"/>
      <c r="S521" s="364"/>
      <c r="T521" s="364"/>
      <c r="U521" s="364"/>
      <c r="V521" s="364"/>
      <c r="W521" s="364"/>
      <c r="X521" s="364"/>
      <c r="Y521" s="364"/>
      <c r="Z521" s="364"/>
      <c r="AA521" s="364"/>
    </row>
    <row r="522" customFormat="false" ht="15.75" hidden="false" customHeight="false" outlineLevel="0" collapsed="false">
      <c r="A522" s="261" t="str">
        <f aca="false">IFERROR(__xludf.dummyfunction("""COMPUTED_VALUE"""),"Unfezant")</f>
        <v>Unfezant</v>
      </c>
      <c r="B522" s="365"/>
      <c r="C522" s="365"/>
      <c r="D522" s="364"/>
      <c r="E522" s="364"/>
      <c r="F522" s="364"/>
      <c r="G522" s="364"/>
      <c r="H522" s="364"/>
      <c r="I522" s="364"/>
      <c r="J522" s="364"/>
      <c r="K522" s="364"/>
      <c r="L522" s="364"/>
      <c r="M522" s="364"/>
      <c r="N522" s="364"/>
      <c r="O522" s="364"/>
      <c r="P522" s="364"/>
      <c r="Q522" s="364"/>
      <c r="R522" s="364"/>
      <c r="S522" s="364"/>
      <c r="T522" s="364"/>
      <c r="U522" s="364"/>
      <c r="V522" s="364"/>
      <c r="W522" s="364"/>
      <c r="X522" s="364"/>
      <c r="Y522" s="364"/>
      <c r="Z522" s="364"/>
      <c r="AA522" s="364"/>
    </row>
    <row r="523" customFormat="false" ht="15.75" hidden="false" customHeight="false" outlineLevel="0" collapsed="false">
      <c r="A523" s="261" t="str">
        <f aca="false">IFERROR(__xludf.dummyfunction("""COMPUTED_VALUE"""),"Blitzle")</f>
        <v>Blitzle</v>
      </c>
      <c r="B523" s="365"/>
      <c r="C523" s="365"/>
      <c r="D523" s="364"/>
      <c r="E523" s="364"/>
      <c r="F523" s="364"/>
      <c r="G523" s="364"/>
      <c r="H523" s="364"/>
      <c r="I523" s="364"/>
      <c r="J523" s="364"/>
      <c r="K523" s="364"/>
      <c r="L523" s="364"/>
      <c r="M523" s="364"/>
      <c r="N523" s="364"/>
      <c r="O523" s="364"/>
      <c r="P523" s="364"/>
      <c r="Q523" s="364"/>
      <c r="R523" s="364"/>
      <c r="S523" s="364"/>
      <c r="T523" s="364"/>
      <c r="U523" s="364"/>
      <c r="V523" s="364"/>
      <c r="W523" s="364"/>
      <c r="X523" s="364"/>
      <c r="Y523" s="364"/>
      <c r="Z523" s="364"/>
      <c r="AA523" s="364"/>
    </row>
    <row r="524" customFormat="false" ht="15.75" hidden="false" customHeight="false" outlineLevel="0" collapsed="false">
      <c r="A524" s="261" t="str">
        <f aca="false">IFERROR(__xludf.dummyfunction("""COMPUTED_VALUE"""),"Zebstrika")</f>
        <v>Zebstrika</v>
      </c>
      <c r="B524" s="365"/>
      <c r="C524" s="365"/>
      <c r="D524" s="364"/>
      <c r="E524" s="364"/>
      <c r="F524" s="364"/>
      <c r="G524" s="364"/>
      <c r="H524" s="364"/>
      <c r="I524" s="364"/>
      <c r="J524" s="364"/>
      <c r="K524" s="364"/>
      <c r="L524" s="364"/>
      <c r="M524" s="364"/>
      <c r="N524" s="364"/>
      <c r="O524" s="364"/>
      <c r="P524" s="364"/>
      <c r="Q524" s="364"/>
      <c r="R524" s="364"/>
      <c r="S524" s="364"/>
      <c r="T524" s="364"/>
      <c r="U524" s="364"/>
      <c r="V524" s="364"/>
      <c r="W524" s="364"/>
      <c r="X524" s="364"/>
      <c r="Y524" s="364"/>
      <c r="Z524" s="364"/>
      <c r="AA524" s="364"/>
    </row>
    <row r="525" customFormat="false" ht="15.75" hidden="false" customHeight="false" outlineLevel="0" collapsed="false">
      <c r="A525" s="261" t="str">
        <f aca="false">IFERROR(__xludf.dummyfunction("""COMPUTED_VALUE"""),"Roggenrola")</f>
        <v>Roggenrola</v>
      </c>
      <c r="B525" s="365"/>
      <c r="C525" s="365"/>
      <c r="D525" s="364"/>
      <c r="E525" s="364"/>
      <c r="F525" s="364"/>
      <c r="G525" s="364"/>
      <c r="H525" s="364"/>
      <c r="I525" s="364"/>
      <c r="J525" s="364"/>
      <c r="K525" s="364"/>
      <c r="L525" s="364"/>
      <c r="M525" s="364"/>
      <c r="N525" s="364"/>
      <c r="O525" s="364"/>
      <c r="P525" s="364"/>
      <c r="Q525" s="364"/>
      <c r="R525" s="364"/>
      <c r="S525" s="364"/>
      <c r="T525" s="364"/>
      <c r="U525" s="364"/>
      <c r="V525" s="364"/>
      <c r="W525" s="364"/>
      <c r="X525" s="364"/>
      <c r="Y525" s="364"/>
      <c r="Z525" s="364"/>
      <c r="AA525" s="364"/>
    </row>
    <row r="526" customFormat="false" ht="15.75" hidden="false" customHeight="false" outlineLevel="0" collapsed="false">
      <c r="A526" s="261" t="str">
        <f aca="false">IFERROR(__xludf.dummyfunction("""COMPUTED_VALUE"""),"Boldore")</f>
        <v>Boldore</v>
      </c>
      <c r="B526" s="365"/>
      <c r="C526" s="365"/>
      <c r="D526" s="364"/>
      <c r="E526" s="364"/>
      <c r="F526" s="364"/>
      <c r="G526" s="364"/>
      <c r="H526" s="364"/>
      <c r="I526" s="364"/>
      <c r="J526" s="364"/>
      <c r="K526" s="364"/>
      <c r="L526" s="364"/>
      <c r="M526" s="364"/>
      <c r="N526" s="364"/>
      <c r="O526" s="364"/>
      <c r="P526" s="364"/>
      <c r="Q526" s="364"/>
      <c r="R526" s="364"/>
      <c r="S526" s="364"/>
      <c r="T526" s="364"/>
      <c r="U526" s="364"/>
      <c r="V526" s="364"/>
      <c r="W526" s="364"/>
      <c r="X526" s="364"/>
      <c r="Y526" s="364"/>
      <c r="Z526" s="364"/>
      <c r="AA526" s="364"/>
    </row>
    <row r="527" customFormat="false" ht="15.75" hidden="false" customHeight="false" outlineLevel="0" collapsed="false">
      <c r="A527" s="261" t="str">
        <f aca="false">IFERROR(__xludf.dummyfunction("""COMPUTED_VALUE"""),"Gigalith")</f>
        <v>Gigalith</v>
      </c>
      <c r="B527" s="365"/>
      <c r="C527" s="365"/>
      <c r="D527" s="364"/>
      <c r="E527" s="364"/>
      <c r="F527" s="364"/>
      <c r="G527" s="364"/>
      <c r="H527" s="364"/>
      <c r="I527" s="364"/>
      <c r="J527" s="364"/>
      <c r="K527" s="364"/>
      <c r="L527" s="364"/>
      <c r="M527" s="364"/>
      <c r="N527" s="364"/>
      <c r="O527" s="364"/>
      <c r="P527" s="364"/>
      <c r="Q527" s="364"/>
      <c r="R527" s="364"/>
      <c r="S527" s="364"/>
      <c r="T527" s="364"/>
      <c r="U527" s="364"/>
      <c r="V527" s="364"/>
      <c r="W527" s="364"/>
      <c r="X527" s="364"/>
      <c r="Y527" s="364"/>
      <c r="Z527" s="364"/>
      <c r="AA527" s="364"/>
    </row>
    <row r="528" customFormat="false" ht="15.75" hidden="false" customHeight="false" outlineLevel="0" collapsed="false">
      <c r="A528" s="261" t="str">
        <f aca="false">IFERROR(__xludf.dummyfunction("""COMPUTED_VALUE"""),"Woobat")</f>
        <v>Woobat</v>
      </c>
      <c r="B528" s="365"/>
      <c r="C528" s="365"/>
      <c r="D528" s="364"/>
      <c r="E528" s="364"/>
      <c r="F528" s="364"/>
      <c r="G528" s="364"/>
      <c r="H528" s="364"/>
      <c r="I528" s="364"/>
      <c r="J528" s="364"/>
      <c r="K528" s="364"/>
      <c r="L528" s="364"/>
      <c r="M528" s="364"/>
      <c r="N528" s="364"/>
      <c r="O528" s="364"/>
      <c r="P528" s="364"/>
      <c r="Q528" s="364"/>
      <c r="R528" s="364"/>
      <c r="S528" s="364"/>
      <c r="T528" s="364"/>
      <c r="U528" s="364"/>
      <c r="V528" s="364"/>
      <c r="W528" s="364"/>
      <c r="X528" s="364"/>
      <c r="Y528" s="364"/>
      <c r="Z528" s="364"/>
      <c r="AA528" s="364"/>
    </row>
    <row r="529" customFormat="false" ht="15.75" hidden="false" customHeight="false" outlineLevel="0" collapsed="false">
      <c r="A529" s="261" t="str">
        <f aca="false">IFERROR(__xludf.dummyfunction("""COMPUTED_VALUE"""),"Swoobat")</f>
        <v>Swoobat</v>
      </c>
      <c r="B529" s="365"/>
      <c r="C529" s="365"/>
      <c r="D529" s="364"/>
      <c r="E529" s="364"/>
      <c r="F529" s="364"/>
      <c r="G529" s="364"/>
      <c r="H529" s="364"/>
      <c r="I529" s="364"/>
      <c r="J529" s="364"/>
      <c r="K529" s="364"/>
      <c r="L529" s="364"/>
      <c r="M529" s="364"/>
      <c r="N529" s="364"/>
      <c r="O529" s="364"/>
      <c r="P529" s="364"/>
      <c r="Q529" s="364"/>
      <c r="R529" s="364"/>
      <c r="S529" s="364"/>
      <c r="T529" s="364"/>
      <c r="U529" s="364"/>
      <c r="V529" s="364"/>
      <c r="W529" s="364"/>
      <c r="X529" s="364"/>
      <c r="Y529" s="364"/>
      <c r="Z529" s="364"/>
      <c r="AA529" s="364"/>
    </row>
    <row r="530" customFormat="false" ht="15.75" hidden="false" customHeight="false" outlineLevel="0" collapsed="false">
      <c r="A530" s="261" t="str">
        <f aca="false">IFERROR(__xludf.dummyfunction("""COMPUTED_VALUE"""),"Drilbur")</f>
        <v>Drilbur</v>
      </c>
      <c r="B530" s="365"/>
      <c r="C530" s="365"/>
      <c r="D530" s="364"/>
      <c r="E530" s="364"/>
      <c r="F530" s="364"/>
      <c r="G530" s="364"/>
      <c r="H530" s="364"/>
      <c r="I530" s="364"/>
      <c r="J530" s="364"/>
      <c r="K530" s="364"/>
      <c r="L530" s="364"/>
      <c r="M530" s="364"/>
      <c r="N530" s="364"/>
      <c r="O530" s="364"/>
      <c r="P530" s="364"/>
      <c r="Q530" s="364"/>
      <c r="R530" s="364"/>
      <c r="S530" s="364"/>
      <c r="T530" s="364"/>
      <c r="U530" s="364"/>
      <c r="V530" s="364"/>
      <c r="W530" s="364"/>
      <c r="X530" s="364"/>
      <c r="Y530" s="364"/>
      <c r="Z530" s="364"/>
      <c r="AA530" s="364"/>
    </row>
    <row r="531" customFormat="false" ht="15.75" hidden="false" customHeight="false" outlineLevel="0" collapsed="false">
      <c r="A531" s="261" t="str">
        <f aca="false">IFERROR(__xludf.dummyfunction("""COMPUTED_VALUE"""),"Excadrill")</f>
        <v>Excadrill</v>
      </c>
      <c r="B531" s="365"/>
      <c r="C531" s="365"/>
      <c r="D531" s="364"/>
      <c r="E531" s="364"/>
      <c r="F531" s="364"/>
      <c r="G531" s="364"/>
      <c r="H531" s="364"/>
      <c r="I531" s="364"/>
      <c r="J531" s="364"/>
      <c r="K531" s="364"/>
      <c r="L531" s="364"/>
      <c r="M531" s="364"/>
      <c r="N531" s="364"/>
      <c r="O531" s="364"/>
      <c r="P531" s="364"/>
      <c r="Q531" s="364"/>
      <c r="R531" s="364"/>
      <c r="S531" s="364"/>
      <c r="T531" s="364"/>
      <c r="U531" s="364"/>
      <c r="V531" s="364"/>
      <c r="W531" s="364"/>
      <c r="X531" s="364"/>
      <c r="Y531" s="364"/>
      <c r="Z531" s="364"/>
      <c r="AA531" s="364"/>
    </row>
    <row r="532" customFormat="false" ht="15.75" hidden="false" customHeight="false" outlineLevel="0" collapsed="false">
      <c r="A532" s="261" t="str">
        <f aca="false">IFERROR(__xludf.dummyfunction("""COMPUTED_VALUE"""),"Audino")</f>
        <v>Audino</v>
      </c>
      <c r="B532" s="365"/>
      <c r="C532" s="365"/>
      <c r="D532" s="364"/>
      <c r="E532" s="364"/>
      <c r="F532" s="364"/>
      <c r="G532" s="364"/>
      <c r="H532" s="364"/>
      <c r="I532" s="364"/>
      <c r="J532" s="364"/>
      <c r="K532" s="364"/>
      <c r="L532" s="364"/>
      <c r="M532" s="364"/>
      <c r="N532" s="364"/>
      <c r="O532" s="364"/>
      <c r="P532" s="364"/>
      <c r="Q532" s="364"/>
      <c r="R532" s="364"/>
      <c r="S532" s="364"/>
      <c r="T532" s="364"/>
      <c r="U532" s="364"/>
      <c r="V532" s="364"/>
      <c r="W532" s="364"/>
      <c r="X532" s="364"/>
      <c r="Y532" s="364"/>
      <c r="Z532" s="364"/>
      <c r="AA532" s="364"/>
    </row>
    <row r="533" customFormat="false" ht="15.75" hidden="false" customHeight="false" outlineLevel="0" collapsed="false">
      <c r="A533" s="261" t="str">
        <f aca="false">IFERROR(__xludf.dummyfunction("""COMPUTED_VALUE"""),"Timburr")</f>
        <v>Timburr</v>
      </c>
      <c r="B533" s="365"/>
      <c r="C533" s="365"/>
      <c r="D533" s="364"/>
      <c r="E533" s="364"/>
      <c r="F533" s="364"/>
      <c r="G533" s="364"/>
      <c r="H533" s="364"/>
      <c r="I533" s="364"/>
      <c r="J533" s="364"/>
      <c r="K533" s="364"/>
      <c r="L533" s="364"/>
      <c r="M533" s="364"/>
      <c r="N533" s="364"/>
      <c r="O533" s="364"/>
      <c r="P533" s="364"/>
      <c r="Q533" s="364"/>
      <c r="R533" s="364"/>
      <c r="S533" s="364"/>
      <c r="T533" s="364"/>
      <c r="U533" s="364"/>
      <c r="V533" s="364"/>
      <c r="W533" s="364"/>
      <c r="X533" s="364"/>
      <c r="Y533" s="364"/>
      <c r="Z533" s="364"/>
      <c r="AA533" s="364"/>
    </row>
    <row r="534" customFormat="false" ht="15.75" hidden="false" customHeight="false" outlineLevel="0" collapsed="false">
      <c r="A534" s="261" t="str">
        <f aca="false">IFERROR(__xludf.dummyfunction("""COMPUTED_VALUE"""),"Gurdurr")</f>
        <v>Gurdurr</v>
      </c>
      <c r="B534" s="364"/>
      <c r="C534" s="262"/>
      <c r="D534" s="364"/>
      <c r="E534" s="364"/>
      <c r="F534" s="364"/>
      <c r="G534" s="364"/>
      <c r="H534" s="364"/>
      <c r="I534" s="364"/>
      <c r="J534" s="364"/>
      <c r="K534" s="364"/>
      <c r="L534" s="364"/>
      <c r="M534" s="364"/>
      <c r="N534" s="364"/>
      <c r="O534" s="364"/>
      <c r="P534" s="364"/>
      <c r="Q534" s="364"/>
      <c r="R534" s="364"/>
      <c r="S534" s="364"/>
      <c r="T534" s="364"/>
      <c r="U534" s="364"/>
      <c r="V534" s="364"/>
      <c r="W534" s="364"/>
      <c r="X534" s="364"/>
      <c r="Y534" s="364"/>
      <c r="Z534" s="364"/>
      <c r="AA534" s="364"/>
    </row>
    <row r="535" customFormat="false" ht="15.75" hidden="false" customHeight="false" outlineLevel="0" collapsed="false">
      <c r="A535" s="261" t="str">
        <f aca="false">IFERROR(__xludf.dummyfunction("""COMPUTED_VALUE"""),"Conkeldurr")</f>
        <v>Conkeldurr</v>
      </c>
      <c r="B535" s="364"/>
      <c r="C535" s="262"/>
      <c r="D535" s="364"/>
      <c r="E535" s="364"/>
      <c r="F535" s="364"/>
      <c r="G535" s="364"/>
      <c r="H535" s="364"/>
      <c r="I535" s="364"/>
      <c r="J535" s="364"/>
      <c r="K535" s="364"/>
      <c r="L535" s="364"/>
      <c r="M535" s="364"/>
      <c r="N535" s="364"/>
      <c r="O535" s="364"/>
      <c r="P535" s="364"/>
      <c r="Q535" s="364"/>
      <c r="R535" s="364"/>
      <c r="S535" s="364"/>
      <c r="T535" s="364"/>
      <c r="U535" s="364"/>
      <c r="V535" s="364"/>
      <c r="W535" s="364"/>
      <c r="X535" s="364"/>
      <c r="Y535" s="364"/>
      <c r="Z535" s="364"/>
      <c r="AA535" s="364"/>
    </row>
    <row r="536" customFormat="false" ht="15.75" hidden="false" customHeight="false" outlineLevel="0" collapsed="false">
      <c r="A536" s="261" t="str">
        <f aca="false">IFERROR(__xludf.dummyfunction("""COMPUTED_VALUE"""),"Tympole")</f>
        <v>Tympole</v>
      </c>
      <c r="B536" s="364"/>
      <c r="C536" s="262"/>
      <c r="D536" s="364"/>
      <c r="E536" s="364"/>
      <c r="F536" s="364"/>
      <c r="G536" s="364"/>
      <c r="H536" s="364"/>
      <c r="I536" s="364"/>
      <c r="J536" s="364"/>
      <c r="K536" s="364"/>
      <c r="L536" s="364"/>
      <c r="M536" s="364"/>
      <c r="N536" s="364"/>
      <c r="O536" s="364"/>
      <c r="P536" s="364"/>
      <c r="Q536" s="364"/>
      <c r="R536" s="364"/>
      <c r="S536" s="364"/>
      <c r="T536" s="364"/>
      <c r="U536" s="364"/>
      <c r="V536" s="364"/>
      <c r="W536" s="364"/>
      <c r="X536" s="364"/>
      <c r="Y536" s="364"/>
      <c r="Z536" s="364"/>
      <c r="AA536" s="364"/>
    </row>
    <row r="537" customFormat="false" ht="15.75" hidden="false" customHeight="false" outlineLevel="0" collapsed="false">
      <c r="A537" s="261" t="str">
        <f aca="false">IFERROR(__xludf.dummyfunction("""COMPUTED_VALUE"""),"Palpitoad")</f>
        <v>Palpitoad</v>
      </c>
      <c r="B537" s="364"/>
      <c r="C537" s="262"/>
      <c r="D537" s="364"/>
      <c r="E537" s="364"/>
      <c r="F537" s="364"/>
      <c r="G537" s="364"/>
      <c r="H537" s="364"/>
      <c r="I537" s="364"/>
      <c r="J537" s="364"/>
      <c r="K537" s="364"/>
      <c r="L537" s="364"/>
      <c r="M537" s="364"/>
      <c r="N537" s="364"/>
      <c r="O537" s="364"/>
      <c r="P537" s="364"/>
      <c r="Q537" s="364"/>
      <c r="R537" s="364"/>
      <c r="S537" s="364"/>
      <c r="T537" s="364"/>
      <c r="U537" s="364"/>
      <c r="V537" s="364"/>
      <c r="W537" s="364"/>
      <c r="X537" s="364"/>
      <c r="Y537" s="364"/>
      <c r="Z537" s="364"/>
      <c r="AA537" s="364"/>
    </row>
    <row r="538" customFormat="false" ht="15.75" hidden="false" customHeight="false" outlineLevel="0" collapsed="false">
      <c r="A538" s="261" t="str">
        <f aca="false">IFERROR(__xludf.dummyfunction("""COMPUTED_VALUE"""),"Seismitoad")</f>
        <v>Seismitoad</v>
      </c>
      <c r="B538" s="364"/>
      <c r="C538" s="262"/>
      <c r="D538" s="364"/>
      <c r="E538" s="364"/>
      <c r="F538" s="364"/>
      <c r="G538" s="364"/>
      <c r="H538" s="364"/>
      <c r="I538" s="364"/>
      <c r="J538" s="364"/>
      <c r="K538" s="364"/>
      <c r="L538" s="364"/>
      <c r="M538" s="364"/>
      <c r="N538" s="364"/>
      <c r="O538" s="364"/>
      <c r="P538" s="364"/>
      <c r="Q538" s="364"/>
      <c r="R538" s="364"/>
      <c r="S538" s="364"/>
      <c r="T538" s="364"/>
      <c r="U538" s="364"/>
      <c r="V538" s="364"/>
      <c r="W538" s="364"/>
      <c r="X538" s="364"/>
      <c r="Y538" s="364"/>
      <c r="Z538" s="364"/>
      <c r="AA538" s="364"/>
    </row>
    <row r="539" customFormat="false" ht="15.75" hidden="false" customHeight="false" outlineLevel="0" collapsed="false">
      <c r="A539" s="261" t="str">
        <f aca="false">IFERROR(__xludf.dummyfunction("""COMPUTED_VALUE"""),"Throh")</f>
        <v>Throh</v>
      </c>
      <c r="B539" s="364"/>
      <c r="C539" s="262"/>
      <c r="D539" s="364"/>
      <c r="E539" s="364"/>
      <c r="F539" s="364"/>
      <c r="G539" s="364"/>
      <c r="H539" s="364"/>
      <c r="I539" s="364"/>
      <c r="J539" s="364"/>
      <c r="K539" s="364"/>
      <c r="L539" s="364"/>
      <c r="M539" s="364"/>
      <c r="N539" s="364"/>
      <c r="O539" s="364"/>
      <c r="P539" s="364"/>
      <c r="Q539" s="364"/>
      <c r="R539" s="364"/>
      <c r="S539" s="364"/>
      <c r="T539" s="364"/>
      <c r="U539" s="364"/>
      <c r="V539" s="364"/>
      <c r="W539" s="364"/>
      <c r="X539" s="364"/>
      <c r="Y539" s="364"/>
      <c r="Z539" s="364"/>
      <c r="AA539" s="364"/>
    </row>
    <row r="540" customFormat="false" ht="15.75" hidden="false" customHeight="false" outlineLevel="0" collapsed="false">
      <c r="A540" s="261" t="str">
        <f aca="false">IFERROR(__xludf.dummyfunction("""COMPUTED_VALUE"""),"Sawk")</f>
        <v>Sawk</v>
      </c>
      <c r="B540" s="364"/>
      <c r="C540" s="262"/>
      <c r="D540" s="364"/>
      <c r="E540" s="364"/>
      <c r="F540" s="364"/>
      <c r="G540" s="364"/>
      <c r="H540" s="364"/>
      <c r="I540" s="364"/>
      <c r="J540" s="364"/>
      <c r="K540" s="364"/>
      <c r="L540" s="364"/>
      <c r="M540" s="364"/>
      <c r="N540" s="364"/>
      <c r="O540" s="364"/>
      <c r="P540" s="364"/>
      <c r="Q540" s="364"/>
      <c r="R540" s="364"/>
      <c r="S540" s="364"/>
      <c r="T540" s="364"/>
      <c r="U540" s="364"/>
      <c r="V540" s="364"/>
      <c r="W540" s="364"/>
      <c r="X540" s="364"/>
      <c r="Y540" s="364"/>
      <c r="Z540" s="364"/>
      <c r="AA540" s="364"/>
    </row>
    <row r="541" customFormat="false" ht="15.75" hidden="false" customHeight="false" outlineLevel="0" collapsed="false">
      <c r="A541" s="261" t="str">
        <f aca="false">IFERROR(__xludf.dummyfunction("""COMPUTED_VALUE"""),"Sewaddle")</f>
        <v>Sewaddle</v>
      </c>
      <c r="B541" s="364"/>
      <c r="C541" s="262"/>
      <c r="D541" s="364"/>
      <c r="E541" s="364"/>
      <c r="F541" s="364"/>
      <c r="G541" s="364"/>
      <c r="H541" s="364"/>
      <c r="I541" s="364"/>
      <c r="J541" s="364"/>
      <c r="K541" s="364"/>
      <c r="L541" s="364"/>
      <c r="M541" s="364"/>
      <c r="N541" s="364"/>
      <c r="O541" s="364"/>
      <c r="P541" s="364"/>
      <c r="Q541" s="364"/>
      <c r="R541" s="364"/>
      <c r="S541" s="364"/>
      <c r="T541" s="364"/>
      <c r="U541" s="364"/>
      <c r="V541" s="364"/>
      <c r="W541" s="364"/>
      <c r="X541" s="364"/>
      <c r="Y541" s="364"/>
      <c r="Z541" s="364"/>
      <c r="AA541" s="364"/>
    </row>
    <row r="542" customFormat="false" ht="15.75" hidden="false" customHeight="false" outlineLevel="0" collapsed="false">
      <c r="A542" s="261" t="str">
        <f aca="false">IFERROR(__xludf.dummyfunction("""COMPUTED_VALUE"""),"Swadloon")</f>
        <v>Swadloon</v>
      </c>
      <c r="B542" s="364"/>
      <c r="C542" s="262"/>
      <c r="D542" s="364"/>
      <c r="E542" s="364"/>
      <c r="F542" s="364"/>
      <c r="G542" s="364"/>
      <c r="H542" s="364"/>
      <c r="I542" s="364"/>
      <c r="J542" s="364"/>
      <c r="K542" s="364"/>
      <c r="L542" s="364"/>
      <c r="M542" s="364"/>
      <c r="N542" s="364"/>
      <c r="O542" s="364"/>
      <c r="P542" s="364"/>
      <c r="Q542" s="364"/>
      <c r="R542" s="364"/>
      <c r="S542" s="364"/>
      <c r="T542" s="364"/>
      <c r="U542" s="364"/>
      <c r="V542" s="364"/>
      <c r="W542" s="364"/>
      <c r="X542" s="364"/>
      <c r="Y542" s="364"/>
      <c r="Z542" s="364"/>
      <c r="AA542" s="364"/>
    </row>
    <row r="543" customFormat="false" ht="15.75" hidden="false" customHeight="false" outlineLevel="0" collapsed="false">
      <c r="A543" s="261" t="str">
        <f aca="false">IFERROR(__xludf.dummyfunction("""COMPUTED_VALUE"""),"Leavanny")</f>
        <v>Leavanny</v>
      </c>
      <c r="B543" s="364"/>
      <c r="C543" s="262"/>
      <c r="D543" s="364"/>
      <c r="E543" s="364"/>
      <c r="F543" s="364"/>
      <c r="G543" s="364"/>
      <c r="H543" s="364"/>
      <c r="I543" s="364"/>
      <c r="J543" s="364"/>
      <c r="K543" s="364"/>
      <c r="L543" s="364"/>
      <c r="M543" s="364"/>
      <c r="N543" s="364"/>
      <c r="O543" s="364"/>
      <c r="P543" s="364"/>
      <c r="Q543" s="364"/>
      <c r="R543" s="364"/>
      <c r="S543" s="364"/>
      <c r="T543" s="364"/>
      <c r="U543" s="364"/>
      <c r="V543" s="364"/>
      <c r="W543" s="364"/>
      <c r="X543" s="364"/>
      <c r="Y543" s="364"/>
      <c r="Z543" s="364"/>
      <c r="AA543" s="364"/>
    </row>
    <row r="544" customFormat="false" ht="15.75" hidden="false" customHeight="false" outlineLevel="0" collapsed="false">
      <c r="A544" s="261" t="str">
        <f aca="false">IFERROR(__xludf.dummyfunction("""COMPUTED_VALUE"""),"Venipede")</f>
        <v>Venipede</v>
      </c>
      <c r="B544" s="364"/>
      <c r="C544" s="262"/>
      <c r="D544" s="364"/>
      <c r="E544" s="364"/>
      <c r="F544" s="364"/>
      <c r="G544" s="364"/>
      <c r="H544" s="364"/>
      <c r="I544" s="364"/>
      <c r="J544" s="364"/>
      <c r="K544" s="364"/>
      <c r="L544" s="364"/>
      <c r="M544" s="364"/>
      <c r="N544" s="364"/>
      <c r="O544" s="364"/>
      <c r="P544" s="364"/>
      <c r="Q544" s="364"/>
      <c r="R544" s="364"/>
      <c r="S544" s="364"/>
      <c r="T544" s="364"/>
      <c r="U544" s="364"/>
      <c r="V544" s="364"/>
      <c r="W544" s="364"/>
      <c r="X544" s="364"/>
      <c r="Y544" s="364"/>
      <c r="Z544" s="364"/>
      <c r="AA544" s="364"/>
    </row>
    <row r="545" customFormat="false" ht="15.75" hidden="false" customHeight="false" outlineLevel="0" collapsed="false">
      <c r="A545" s="261" t="str">
        <f aca="false">IFERROR(__xludf.dummyfunction("""COMPUTED_VALUE"""),"Whirlipede")</f>
        <v>Whirlipede</v>
      </c>
      <c r="B545" s="364"/>
      <c r="C545" s="262"/>
      <c r="D545" s="364"/>
      <c r="E545" s="364"/>
      <c r="F545" s="364"/>
      <c r="G545" s="364"/>
      <c r="H545" s="364"/>
      <c r="I545" s="364"/>
      <c r="J545" s="364"/>
      <c r="K545" s="364"/>
      <c r="L545" s="364"/>
      <c r="M545" s="364"/>
      <c r="N545" s="364"/>
      <c r="O545" s="364"/>
      <c r="P545" s="364"/>
      <c r="Q545" s="364"/>
      <c r="R545" s="364"/>
      <c r="S545" s="364"/>
      <c r="T545" s="364"/>
      <c r="U545" s="364"/>
      <c r="V545" s="364"/>
      <c r="W545" s="364"/>
      <c r="X545" s="364"/>
      <c r="Y545" s="364"/>
      <c r="Z545" s="364"/>
      <c r="AA545" s="364"/>
    </row>
    <row r="546" customFormat="false" ht="15.75" hidden="false" customHeight="false" outlineLevel="0" collapsed="false">
      <c r="A546" s="261" t="str">
        <f aca="false">IFERROR(__xludf.dummyfunction("""COMPUTED_VALUE"""),"Scolipede")</f>
        <v>Scolipede</v>
      </c>
      <c r="B546" s="364"/>
      <c r="C546" s="262"/>
      <c r="D546" s="364"/>
      <c r="E546" s="364"/>
      <c r="F546" s="364"/>
      <c r="G546" s="364"/>
      <c r="H546" s="364"/>
      <c r="I546" s="364"/>
      <c r="J546" s="364"/>
      <c r="K546" s="364"/>
      <c r="L546" s="364"/>
      <c r="M546" s="364"/>
      <c r="N546" s="364"/>
      <c r="O546" s="364"/>
      <c r="P546" s="364"/>
      <c r="Q546" s="364"/>
      <c r="R546" s="364"/>
      <c r="S546" s="364"/>
      <c r="T546" s="364"/>
      <c r="U546" s="364"/>
      <c r="V546" s="364"/>
      <c r="W546" s="364"/>
      <c r="X546" s="364"/>
      <c r="Y546" s="364"/>
      <c r="Z546" s="364"/>
      <c r="AA546" s="364"/>
    </row>
    <row r="547" customFormat="false" ht="15.75" hidden="false" customHeight="false" outlineLevel="0" collapsed="false">
      <c r="A547" s="261" t="str">
        <f aca="false">IFERROR(__xludf.dummyfunction("""COMPUTED_VALUE"""),"Cottonee")</f>
        <v>Cottonee</v>
      </c>
      <c r="B547" s="364"/>
      <c r="C547" s="262"/>
      <c r="D547" s="364"/>
      <c r="E547" s="364"/>
      <c r="F547" s="364"/>
      <c r="G547" s="364"/>
      <c r="H547" s="364"/>
      <c r="I547" s="364"/>
      <c r="J547" s="364"/>
      <c r="K547" s="364"/>
      <c r="L547" s="364"/>
      <c r="M547" s="364"/>
      <c r="N547" s="364"/>
      <c r="O547" s="364"/>
      <c r="P547" s="364"/>
      <c r="Q547" s="364"/>
      <c r="R547" s="364"/>
      <c r="S547" s="364"/>
      <c r="T547" s="364"/>
      <c r="U547" s="364"/>
      <c r="V547" s="364"/>
      <c r="W547" s="364"/>
      <c r="X547" s="364"/>
      <c r="Y547" s="364"/>
      <c r="Z547" s="364"/>
      <c r="AA547" s="364"/>
    </row>
    <row r="548" customFormat="false" ht="15.75" hidden="false" customHeight="false" outlineLevel="0" collapsed="false">
      <c r="A548" s="261" t="str">
        <f aca="false">IFERROR(__xludf.dummyfunction("""COMPUTED_VALUE"""),"Whimsicott")</f>
        <v>Whimsicott</v>
      </c>
      <c r="B548" s="364"/>
      <c r="C548" s="262"/>
      <c r="D548" s="364"/>
      <c r="E548" s="364"/>
      <c r="F548" s="364"/>
      <c r="G548" s="364"/>
      <c r="H548" s="364"/>
      <c r="I548" s="364"/>
      <c r="J548" s="364"/>
      <c r="K548" s="364"/>
      <c r="L548" s="364"/>
      <c r="M548" s="364"/>
      <c r="N548" s="364"/>
      <c r="O548" s="364"/>
      <c r="P548" s="364"/>
      <c r="Q548" s="364"/>
      <c r="R548" s="364"/>
      <c r="S548" s="364"/>
      <c r="T548" s="364"/>
      <c r="U548" s="364"/>
      <c r="V548" s="364"/>
      <c r="W548" s="364"/>
      <c r="X548" s="364"/>
      <c r="Y548" s="364"/>
      <c r="Z548" s="364"/>
      <c r="AA548" s="364"/>
    </row>
    <row r="549" customFormat="false" ht="15.75" hidden="false" customHeight="false" outlineLevel="0" collapsed="false">
      <c r="A549" s="261" t="str">
        <f aca="false">IFERROR(__xludf.dummyfunction("""COMPUTED_VALUE"""),"Petilil")</f>
        <v>Petilil</v>
      </c>
      <c r="B549" s="364"/>
      <c r="C549" s="262"/>
      <c r="D549" s="364"/>
      <c r="E549" s="364"/>
      <c r="F549" s="364"/>
      <c r="G549" s="364"/>
      <c r="H549" s="364"/>
      <c r="I549" s="364"/>
      <c r="J549" s="364"/>
      <c r="K549" s="364"/>
      <c r="L549" s="364"/>
      <c r="M549" s="364"/>
      <c r="N549" s="364"/>
      <c r="O549" s="364"/>
      <c r="P549" s="364"/>
      <c r="Q549" s="364"/>
      <c r="R549" s="364"/>
      <c r="S549" s="364"/>
      <c r="T549" s="364"/>
      <c r="U549" s="364"/>
      <c r="V549" s="364"/>
      <c r="W549" s="364"/>
      <c r="X549" s="364"/>
      <c r="Y549" s="364"/>
      <c r="Z549" s="364"/>
      <c r="AA549" s="364"/>
    </row>
    <row r="550" customFormat="false" ht="15.75" hidden="false" customHeight="false" outlineLevel="0" collapsed="false">
      <c r="A550" s="261" t="str">
        <f aca="false">IFERROR(__xludf.dummyfunction("""COMPUTED_VALUE"""),"Lilligant")</f>
        <v>Lilligant</v>
      </c>
      <c r="B550" s="364"/>
      <c r="C550" s="262"/>
      <c r="D550" s="364"/>
      <c r="E550" s="364"/>
      <c r="F550" s="364"/>
      <c r="G550" s="364"/>
      <c r="H550" s="364"/>
      <c r="I550" s="364"/>
      <c r="J550" s="364"/>
      <c r="K550" s="364"/>
      <c r="L550" s="364"/>
      <c r="M550" s="364"/>
      <c r="N550" s="364"/>
      <c r="O550" s="364"/>
      <c r="P550" s="364"/>
      <c r="Q550" s="364"/>
      <c r="R550" s="364"/>
      <c r="S550" s="364"/>
      <c r="T550" s="364"/>
      <c r="U550" s="364"/>
      <c r="V550" s="364"/>
      <c r="W550" s="364"/>
      <c r="X550" s="364"/>
      <c r="Y550" s="364"/>
      <c r="Z550" s="364"/>
      <c r="AA550" s="364"/>
    </row>
    <row r="551" customFormat="false" ht="15.75" hidden="false" customHeight="false" outlineLevel="0" collapsed="false">
      <c r="A551" s="261" t="str">
        <f aca="false">IFERROR(__xludf.dummyfunction("""COMPUTED_VALUE"""),"Basculin")</f>
        <v>Basculin</v>
      </c>
      <c r="B551" s="364"/>
      <c r="C551" s="262"/>
      <c r="D551" s="364"/>
      <c r="E551" s="364"/>
      <c r="F551" s="364"/>
      <c r="G551" s="364"/>
      <c r="H551" s="364"/>
      <c r="I551" s="364"/>
      <c r="J551" s="364"/>
      <c r="K551" s="364"/>
      <c r="L551" s="364"/>
      <c r="M551" s="364"/>
      <c r="N551" s="364"/>
      <c r="O551" s="364"/>
      <c r="P551" s="364"/>
      <c r="Q551" s="364"/>
      <c r="R551" s="364"/>
      <c r="S551" s="364"/>
      <c r="T551" s="364"/>
      <c r="U551" s="364"/>
      <c r="V551" s="364"/>
      <c r="W551" s="364"/>
      <c r="X551" s="364"/>
      <c r="Y551" s="364"/>
      <c r="Z551" s="364"/>
      <c r="AA551" s="364"/>
    </row>
    <row r="552" customFormat="false" ht="15.75" hidden="false" customHeight="false" outlineLevel="0" collapsed="false">
      <c r="A552" s="261" t="str">
        <f aca="false">IFERROR(__xludf.dummyfunction("""COMPUTED_VALUE"""),"Sandile")</f>
        <v>Sandile</v>
      </c>
      <c r="B552" s="364"/>
      <c r="C552" s="262"/>
      <c r="D552" s="364"/>
      <c r="E552" s="364"/>
      <c r="F552" s="364"/>
      <c r="G552" s="364"/>
      <c r="H552" s="364"/>
      <c r="I552" s="364"/>
      <c r="J552" s="364"/>
      <c r="K552" s="364"/>
      <c r="L552" s="364"/>
      <c r="M552" s="364"/>
      <c r="N552" s="364"/>
      <c r="O552" s="364"/>
      <c r="P552" s="364"/>
      <c r="Q552" s="364"/>
      <c r="R552" s="364"/>
      <c r="S552" s="364"/>
      <c r="T552" s="364"/>
      <c r="U552" s="364"/>
      <c r="V552" s="364"/>
      <c r="W552" s="364"/>
      <c r="X552" s="364"/>
      <c r="Y552" s="364"/>
      <c r="Z552" s="364"/>
      <c r="AA552" s="364"/>
    </row>
    <row r="553" customFormat="false" ht="15.75" hidden="false" customHeight="false" outlineLevel="0" collapsed="false">
      <c r="A553" s="261" t="str">
        <f aca="false">IFERROR(__xludf.dummyfunction("""COMPUTED_VALUE"""),"Krokorok")</f>
        <v>Krokorok</v>
      </c>
      <c r="B553" s="364"/>
      <c r="C553" s="262"/>
      <c r="D553" s="364"/>
      <c r="E553" s="364"/>
      <c r="F553" s="364"/>
      <c r="G553" s="364"/>
      <c r="H553" s="364"/>
      <c r="I553" s="364"/>
      <c r="J553" s="364"/>
      <c r="K553" s="364"/>
      <c r="L553" s="364"/>
      <c r="M553" s="364"/>
      <c r="N553" s="364"/>
      <c r="O553" s="364"/>
      <c r="P553" s="364"/>
      <c r="Q553" s="364"/>
      <c r="R553" s="364"/>
      <c r="S553" s="364"/>
      <c r="T553" s="364"/>
      <c r="U553" s="364"/>
      <c r="V553" s="364"/>
      <c r="W553" s="364"/>
      <c r="X553" s="364"/>
      <c r="Y553" s="364"/>
      <c r="Z553" s="364"/>
      <c r="AA553" s="364"/>
    </row>
    <row r="554" customFormat="false" ht="15.75" hidden="false" customHeight="false" outlineLevel="0" collapsed="false">
      <c r="A554" s="261" t="str">
        <f aca="false">IFERROR(__xludf.dummyfunction("""COMPUTED_VALUE"""),"Krookodile")</f>
        <v>Krookodile</v>
      </c>
      <c r="B554" s="364"/>
      <c r="C554" s="262"/>
      <c r="D554" s="364"/>
      <c r="E554" s="364"/>
      <c r="F554" s="364"/>
      <c r="G554" s="364"/>
      <c r="H554" s="364"/>
      <c r="I554" s="364"/>
      <c r="J554" s="364"/>
      <c r="K554" s="364"/>
      <c r="L554" s="364"/>
      <c r="M554" s="364"/>
      <c r="N554" s="364"/>
      <c r="O554" s="364"/>
      <c r="P554" s="364"/>
      <c r="Q554" s="364"/>
      <c r="R554" s="364"/>
      <c r="S554" s="364"/>
      <c r="T554" s="364"/>
      <c r="U554" s="364"/>
      <c r="V554" s="364"/>
      <c r="W554" s="364"/>
      <c r="X554" s="364"/>
      <c r="Y554" s="364"/>
      <c r="Z554" s="364"/>
      <c r="AA554" s="364"/>
    </row>
    <row r="555" customFormat="false" ht="15.75" hidden="false" customHeight="false" outlineLevel="0" collapsed="false">
      <c r="A555" s="261" t="str">
        <f aca="false">IFERROR(__xludf.dummyfunction("""COMPUTED_VALUE"""),"Darumaka")</f>
        <v>Darumaka</v>
      </c>
      <c r="B555" s="364"/>
      <c r="C555" s="262"/>
      <c r="D555" s="364"/>
      <c r="E555" s="364"/>
      <c r="F555" s="364"/>
      <c r="G555" s="364"/>
      <c r="H555" s="364"/>
      <c r="I555" s="364"/>
      <c r="J555" s="364"/>
      <c r="K555" s="364"/>
      <c r="L555" s="364"/>
      <c r="M555" s="364"/>
      <c r="N555" s="364"/>
      <c r="O555" s="364"/>
      <c r="P555" s="364"/>
      <c r="Q555" s="364"/>
      <c r="R555" s="364"/>
      <c r="S555" s="364"/>
      <c r="T555" s="364"/>
      <c r="U555" s="364"/>
      <c r="V555" s="364"/>
      <c r="W555" s="364"/>
      <c r="X555" s="364"/>
      <c r="Y555" s="364"/>
      <c r="Z555" s="364"/>
      <c r="AA555" s="364"/>
    </row>
    <row r="556" customFormat="false" ht="15.75" hidden="false" customHeight="false" outlineLevel="0" collapsed="false">
      <c r="A556" s="261" t="str">
        <f aca="false">IFERROR(__xludf.dummyfunction("""COMPUTED_VALUE"""),"Darmanitan")</f>
        <v>Darmanitan</v>
      </c>
      <c r="B556" s="364"/>
      <c r="C556" s="262"/>
      <c r="D556" s="364"/>
      <c r="E556" s="364"/>
      <c r="F556" s="364"/>
      <c r="G556" s="364"/>
      <c r="H556" s="364"/>
      <c r="I556" s="364"/>
      <c r="J556" s="364"/>
      <c r="K556" s="364"/>
      <c r="L556" s="364"/>
      <c r="M556" s="364"/>
      <c r="N556" s="364"/>
      <c r="O556" s="364"/>
      <c r="P556" s="364"/>
      <c r="Q556" s="364"/>
      <c r="R556" s="364"/>
      <c r="S556" s="364"/>
      <c r="T556" s="364"/>
      <c r="U556" s="364"/>
      <c r="V556" s="364"/>
      <c r="W556" s="364"/>
      <c r="X556" s="364"/>
      <c r="Y556" s="364"/>
      <c r="Z556" s="364"/>
      <c r="AA556" s="364"/>
    </row>
    <row r="557" customFormat="false" ht="15.75" hidden="false" customHeight="false" outlineLevel="0" collapsed="false">
      <c r="A557" s="261" t="str">
        <f aca="false">IFERROR(__xludf.dummyfunction("""COMPUTED_VALUE"""),"Maractus")</f>
        <v>Maractus</v>
      </c>
      <c r="B557" s="364"/>
      <c r="C557" s="262"/>
      <c r="D557" s="364"/>
      <c r="E557" s="364"/>
      <c r="F557" s="364"/>
      <c r="G557" s="364"/>
      <c r="H557" s="364"/>
      <c r="I557" s="364"/>
      <c r="J557" s="364"/>
      <c r="K557" s="364"/>
      <c r="L557" s="364"/>
      <c r="M557" s="364"/>
      <c r="N557" s="364"/>
      <c r="O557" s="364"/>
      <c r="P557" s="364"/>
      <c r="Q557" s="364"/>
      <c r="R557" s="364"/>
      <c r="S557" s="364"/>
      <c r="T557" s="364"/>
      <c r="U557" s="364"/>
      <c r="V557" s="364"/>
      <c r="W557" s="364"/>
      <c r="X557" s="364"/>
      <c r="Y557" s="364"/>
      <c r="Z557" s="364"/>
      <c r="AA557" s="364"/>
    </row>
    <row r="558" customFormat="false" ht="15.75" hidden="false" customHeight="false" outlineLevel="0" collapsed="false">
      <c r="A558" s="261" t="str">
        <f aca="false">IFERROR(__xludf.dummyfunction("""COMPUTED_VALUE"""),"Dwebble")</f>
        <v>Dwebble</v>
      </c>
      <c r="B558" s="364"/>
      <c r="C558" s="262"/>
      <c r="D558" s="364"/>
      <c r="E558" s="364"/>
      <c r="F558" s="364"/>
      <c r="G558" s="364"/>
      <c r="H558" s="364"/>
      <c r="I558" s="364"/>
      <c r="J558" s="364"/>
      <c r="K558" s="364"/>
      <c r="L558" s="364"/>
      <c r="M558" s="364"/>
      <c r="N558" s="364"/>
      <c r="O558" s="364"/>
      <c r="P558" s="364"/>
      <c r="Q558" s="364"/>
      <c r="R558" s="364"/>
      <c r="S558" s="364"/>
      <c r="T558" s="364"/>
      <c r="U558" s="364"/>
      <c r="V558" s="364"/>
      <c r="W558" s="364"/>
      <c r="X558" s="364"/>
      <c r="Y558" s="364"/>
      <c r="Z558" s="364"/>
      <c r="AA558" s="364"/>
    </row>
    <row r="559" customFormat="false" ht="15.75" hidden="false" customHeight="false" outlineLevel="0" collapsed="false">
      <c r="A559" s="261" t="str">
        <f aca="false">IFERROR(__xludf.dummyfunction("""COMPUTED_VALUE"""),"Crustle")</f>
        <v>Crustle</v>
      </c>
      <c r="B559" s="364"/>
      <c r="C559" s="262"/>
      <c r="D559" s="364"/>
      <c r="E559" s="364"/>
      <c r="F559" s="364"/>
      <c r="G559" s="364"/>
      <c r="H559" s="364"/>
      <c r="I559" s="364"/>
      <c r="J559" s="364"/>
      <c r="K559" s="364"/>
      <c r="L559" s="364"/>
      <c r="M559" s="364"/>
      <c r="N559" s="364"/>
      <c r="O559" s="364"/>
      <c r="P559" s="364"/>
      <c r="Q559" s="364"/>
      <c r="R559" s="364"/>
      <c r="S559" s="364"/>
      <c r="T559" s="364"/>
      <c r="U559" s="364"/>
      <c r="V559" s="364"/>
      <c r="W559" s="364"/>
      <c r="X559" s="364"/>
      <c r="Y559" s="364"/>
      <c r="Z559" s="364"/>
      <c r="AA559" s="364"/>
    </row>
    <row r="560" customFormat="false" ht="15.75" hidden="false" customHeight="false" outlineLevel="0" collapsed="false">
      <c r="A560" s="261" t="str">
        <f aca="false">IFERROR(__xludf.dummyfunction("""COMPUTED_VALUE"""),"Scraggy")</f>
        <v>Scraggy</v>
      </c>
      <c r="B560" s="364"/>
      <c r="C560" s="262"/>
      <c r="D560" s="364"/>
      <c r="E560" s="364"/>
      <c r="F560" s="364"/>
      <c r="G560" s="364"/>
      <c r="H560" s="364"/>
      <c r="I560" s="364"/>
      <c r="J560" s="364"/>
      <c r="K560" s="364"/>
      <c r="L560" s="364"/>
      <c r="M560" s="364"/>
      <c r="N560" s="364"/>
      <c r="O560" s="364"/>
      <c r="P560" s="364"/>
      <c r="Q560" s="364"/>
      <c r="R560" s="364"/>
      <c r="S560" s="364"/>
      <c r="T560" s="364"/>
      <c r="U560" s="364"/>
      <c r="V560" s="364"/>
      <c r="W560" s="364"/>
      <c r="X560" s="364"/>
      <c r="Y560" s="364"/>
      <c r="Z560" s="364"/>
      <c r="AA560" s="364"/>
    </row>
    <row r="561" customFormat="false" ht="15.75" hidden="false" customHeight="false" outlineLevel="0" collapsed="false">
      <c r="A561" s="261" t="str">
        <f aca="false">IFERROR(__xludf.dummyfunction("""COMPUTED_VALUE"""),"Scrafty")</f>
        <v>Scrafty</v>
      </c>
      <c r="B561" s="364"/>
      <c r="C561" s="262"/>
      <c r="D561" s="364"/>
      <c r="E561" s="364"/>
      <c r="F561" s="364"/>
      <c r="G561" s="364"/>
      <c r="H561" s="364"/>
      <c r="I561" s="364"/>
      <c r="J561" s="364"/>
      <c r="K561" s="364"/>
      <c r="L561" s="364"/>
      <c r="M561" s="364"/>
      <c r="N561" s="364"/>
      <c r="O561" s="364"/>
      <c r="P561" s="364"/>
      <c r="Q561" s="364"/>
      <c r="R561" s="364"/>
      <c r="S561" s="364"/>
      <c r="T561" s="364"/>
      <c r="U561" s="364"/>
      <c r="V561" s="364"/>
      <c r="W561" s="364"/>
      <c r="X561" s="364"/>
      <c r="Y561" s="364"/>
      <c r="Z561" s="364"/>
      <c r="AA561" s="364"/>
    </row>
    <row r="562" customFormat="false" ht="15.75" hidden="false" customHeight="false" outlineLevel="0" collapsed="false">
      <c r="A562" s="261" t="str">
        <f aca="false">IFERROR(__xludf.dummyfunction("""COMPUTED_VALUE"""),"Sigilyph")</f>
        <v>Sigilyph</v>
      </c>
      <c r="B562" s="364"/>
      <c r="C562" s="262"/>
      <c r="D562" s="364"/>
      <c r="E562" s="364"/>
      <c r="F562" s="364"/>
      <c r="G562" s="364"/>
      <c r="H562" s="364"/>
      <c r="I562" s="364"/>
      <c r="J562" s="364"/>
      <c r="K562" s="364"/>
      <c r="L562" s="364"/>
      <c r="M562" s="364"/>
      <c r="N562" s="364"/>
      <c r="O562" s="364"/>
      <c r="P562" s="364"/>
      <c r="Q562" s="364"/>
      <c r="R562" s="364"/>
      <c r="S562" s="364"/>
      <c r="T562" s="364"/>
      <c r="U562" s="364"/>
      <c r="V562" s="364"/>
      <c r="W562" s="364"/>
      <c r="X562" s="364"/>
      <c r="Y562" s="364"/>
      <c r="Z562" s="364"/>
      <c r="AA562" s="364"/>
    </row>
    <row r="563" customFormat="false" ht="15.75" hidden="false" customHeight="false" outlineLevel="0" collapsed="false">
      <c r="A563" s="261" t="str">
        <f aca="false">IFERROR(__xludf.dummyfunction("""COMPUTED_VALUE"""),"Yamask")</f>
        <v>Yamask</v>
      </c>
      <c r="B563" s="364"/>
      <c r="C563" s="262"/>
      <c r="D563" s="364"/>
      <c r="E563" s="364"/>
      <c r="F563" s="364"/>
      <c r="G563" s="364"/>
      <c r="H563" s="364"/>
      <c r="I563" s="364"/>
      <c r="J563" s="364"/>
      <c r="K563" s="364"/>
      <c r="L563" s="364"/>
      <c r="M563" s="364"/>
      <c r="N563" s="364"/>
      <c r="O563" s="364"/>
      <c r="P563" s="364"/>
      <c r="Q563" s="364"/>
      <c r="R563" s="364"/>
      <c r="S563" s="364"/>
      <c r="T563" s="364"/>
      <c r="U563" s="364"/>
      <c r="V563" s="364"/>
      <c r="W563" s="364"/>
      <c r="X563" s="364"/>
      <c r="Y563" s="364"/>
      <c r="Z563" s="364"/>
      <c r="AA563" s="364"/>
    </row>
    <row r="564" customFormat="false" ht="15.75" hidden="false" customHeight="false" outlineLevel="0" collapsed="false">
      <c r="A564" s="261" t="str">
        <f aca="false">IFERROR(__xludf.dummyfunction("""COMPUTED_VALUE"""),"Cofagrigus")</f>
        <v>Cofagrigus</v>
      </c>
      <c r="B564" s="364"/>
      <c r="C564" s="262"/>
      <c r="D564" s="364"/>
      <c r="E564" s="364"/>
      <c r="F564" s="364"/>
      <c r="G564" s="364"/>
      <c r="H564" s="364"/>
      <c r="I564" s="364"/>
      <c r="J564" s="364"/>
      <c r="K564" s="364"/>
      <c r="L564" s="364"/>
      <c r="M564" s="364"/>
      <c r="N564" s="364"/>
      <c r="O564" s="364"/>
      <c r="P564" s="364"/>
      <c r="Q564" s="364"/>
      <c r="R564" s="364"/>
      <c r="S564" s="364"/>
      <c r="T564" s="364"/>
      <c r="U564" s="364"/>
      <c r="V564" s="364"/>
      <c r="W564" s="364"/>
      <c r="X564" s="364"/>
      <c r="Y564" s="364"/>
      <c r="Z564" s="364"/>
      <c r="AA564" s="364"/>
    </row>
    <row r="565" customFormat="false" ht="15.75" hidden="false" customHeight="false" outlineLevel="0" collapsed="false">
      <c r="A565" s="261" t="str">
        <f aca="false">IFERROR(__xludf.dummyfunction("""COMPUTED_VALUE"""),"Tirtouga")</f>
        <v>Tirtouga</v>
      </c>
      <c r="B565" s="364"/>
      <c r="C565" s="262"/>
      <c r="D565" s="364"/>
      <c r="E565" s="364"/>
      <c r="F565" s="364"/>
      <c r="G565" s="364"/>
      <c r="H565" s="364"/>
      <c r="I565" s="364"/>
      <c r="J565" s="364"/>
      <c r="K565" s="364"/>
      <c r="L565" s="364"/>
      <c r="M565" s="364"/>
      <c r="N565" s="364"/>
      <c r="O565" s="364"/>
      <c r="P565" s="364"/>
      <c r="Q565" s="364"/>
      <c r="R565" s="364"/>
      <c r="S565" s="364"/>
      <c r="T565" s="364"/>
      <c r="U565" s="364"/>
      <c r="V565" s="364"/>
      <c r="W565" s="364"/>
      <c r="X565" s="364"/>
      <c r="Y565" s="364"/>
      <c r="Z565" s="364"/>
      <c r="AA565" s="364"/>
    </row>
    <row r="566" customFormat="false" ht="15.75" hidden="false" customHeight="false" outlineLevel="0" collapsed="false">
      <c r="A566" s="261" t="str">
        <f aca="false">IFERROR(__xludf.dummyfunction("""COMPUTED_VALUE"""),"Carracosta")</f>
        <v>Carracosta</v>
      </c>
      <c r="B566" s="364"/>
      <c r="C566" s="262"/>
      <c r="D566" s="364"/>
      <c r="E566" s="364"/>
      <c r="F566" s="364"/>
      <c r="G566" s="364"/>
      <c r="H566" s="364"/>
      <c r="I566" s="364"/>
      <c r="J566" s="364"/>
      <c r="K566" s="364"/>
      <c r="L566" s="364"/>
      <c r="M566" s="364"/>
      <c r="N566" s="364"/>
      <c r="O566" s="364"/>
      <c r="P566" s="364"/>
      <c r="Q566" s="364"/>
      <c r="R566" s="364"/>
      <c r="S566" s="364"/>
      <c r="T566" s="364"/>
      <c r="U566" s="364"/>
      <c r="V566" s="364"/>
      <c r="W566" s="364"/>
      <c r="X566" s="364"/>
      <c r="Y566" s="364"/>
      <c r="Z566" s="364"/>
      <c r="AA566" s="364"/>
    </row>
    <row r="567" customFormat="false" ht="15.75" hidden="false" customHeight="false" outlineLevel="0" collapsed="false">
      <c r="A567" s="261" t="str">
        <f aca="false">IFERROR(__xludf.dummyfunction("""COMPUTED_VALUE"""),"Archen")</f>
        <v>Archen</v>
      </c>
      <c r="B567" s="364"/>
      <c r="C567" s="262"/>
      <c r="D567" s="364"/>
      <c r="E567" s="364"/>
      <c r="F567" s="364"/>
      <c r="G567" s="364"/>
      <c r="H567" s="364"/>
      <c r="I567" s="364"/>
      <c r="J567" s="364"/>
      <c r="K567" s="364"/>
      <c r="L567" s="364"/>
      <c r="M567" s="364"/>
      <c r="N567" s="364"/>
      <c r="O567" s="364"/>
      <c r="P567" s="364"/>
      <c r="Q567" s="364"/>
      <c r="R567" s="364"/>
      <c r="S567" s="364"/>
      <c r="T567" s="364"/>
      <c r="U567" s="364"/>
      <c r="V567" s="364"/>
      <c r="W567" s="364"/>
      <c r="X567" s="364"/>
      <c r="Y567" s="364"/>
      <c r="Z567" s="364"/>
      <c r="AA567" s="364"/>
    </row>
    <row r="568" customFormat="false" ht="15.75" hidden="false" customHeight="false" outlineLevel="0" collapsed="false">
      <c r="A568" s="261" t="str">
        <f aca="false">IFERROR(__xludf.dummyfunction("""COMPUTED_VALUE"""),"Archeops")</f>
        <v>Archeops</v>
      </c>
      <c r="B568" s="364"/>
      <c r="C568" s="262"/>
      <c r="D568" s="364"/>
      <c r="E568" s="364"/>
      <c r="F568" s="364"/>
      <c r="G568" s="364"/>
      <c r="H568" s="364"/>
      <c r="I568" s="364"/>
      <c r="J568" s="364"/>
      <c r="K568" s="364"/>
      <c r="L568" s="364"/>
      <c r="M568" s="364"/>
      <c r="N568" s="364"/>
      <c r="O568" s="364"/>
      <c r="P568" s="364"/>
      <c r="Q568" s="364"/>
      <c r="R568" s="364"/>
      <c r="S568" s="364"/>
      <c r="T568" s="364"/>
      <c r="U568" s="364"/>
      <c r="V568" s="364"/>
      <c r="W568" s="364"/>
      <c r="X568" s="364"/>
      <c r="Y568" s="364"/>
      <c r="Z568" s="364"/>
      <c r="AA568" s="364"/>
    </row>
    <row r="569" customFormat="false" ht="15.75" hidden="false" customHeight="false" outlineLevel="0" collapsed="false">
      <c r="A569" s="261" t="str">
        <f aca="false">IFERROR(__xludf.dummyfunction("""COMPUTED_VALUE"""),"Trubbish")</f>
        <v>Trubbish</v>
      </c>
      <c r="B569" s="364"/>
      <c r="C569" s="262"/>
      <c r="D569" s="364"/>
      <c r="E569" s="364"/>
      <c r="F569" s="364"/>
      <c r="G569" s="364"/>
      <c r="H569" s="364"/>
      <c r="I569" s="364"/>
      <c r="J569" s="364"/>
      <c r="K569" s="364"/>
      <c r="L569" s="364"/>
      <c r="M569" s="364"/>
      <c r="N569" s="364"/>
      <c r="O569" s="364"/>
      <c r="P569" s="364"/>
      <c r="Q569" s="364"/>
      <c r="R569" s="364"/>
      <c r="S569" s="364"/>
      <c r="T569" s="364"/>
      <c r="U569" s="364"/>
      <c r="V569" s="364"/>
      <c r="W569" s="364"/>
      <c r="X569" s="364"/>
      <c r="Y569" s="364"/>
      <c r="Z569" s="364"/>
      <c r="AA569" s="364"/>
    </row>
    <row r="570" customFormat="false" ht="15.75" hidden="false" customHeight="false" outlineLevel="0" collapsed="false">
      <c r="A570" s="261" t="str">
        <f aca="false">IFERROR(__xludf.dummyfunction("""COMPUTED_VALUE"""),"Garbodor")</f>
        <v>Garbodor</v>
      </c>
      <c r="B570" s="364"/>
      <c r="C570" s="262"/>
      <c r="D570" s="364"/>
      <c r="E570" s="364"/>
      <c r="F570" s="364"/>
      <c r="G570" s="364"/>
      <c r="H570" s="364"/>
      <c r="I570" s="364"/>
      <c r="J570" s="364"/>
      <c r="K570" s="364"/>
      <c r="L570" s="364"/>
      <c r="M570" s="364"/>
      <c r="N570" s="364"/>
      <c r="O570" s="364"/>
      <c r="P570" s="364"/>
      <c r="Q570" s="364"/>
      <c r="R570" s="364"/>
      <c r="S570" s="364"/>
      <c r="T570" s="364"/>
      <c r="U570" s="364"/>
      <c r="V570" s="364"/>
      <c r="W570" s="364"/>
      <c r="X570" s="364"/>
      <c r="Y570" s="364"/>
      <c r="Z570" s="364"/>
      <c r="AA570" s="364"/>
    </row>
    <row r="571" customFormat="false" ht="15.75" hidden="false" customHeight="false" outlineLevel="0" collapsed="false">
      <c r="A571" s="261" t="str">
        <f aca="false">IFERROR(__xludf.dummyfunction("""COMPUTED_VALUE"""),"Zorua")</f>
        <v>Zorua</v>
      </c>
      <c r="B571" s="364"/>
      <c r="C571" s="262"/>
      <c r="D571" s="364"/>
      <c r="E571" s="364"/>
      <c r="F571" s="364"/>
      <c r="G571" s="364"/>
      <c r="H571" s="364"/>
      <c r="I571" s="364"/>
      <c r="J571" s="364"/>
      <c r="K571" s="364"/>
      <c r="L571" s="364"/>
      <c r="M571" s="364"/>
      <c r="N571" s="364"/>
      <c r="O571" s="364"/>
      <c r="P571" s="364"/>
      <c r="Q571" s="364"/>
      <c r="R571" s="364"/>
      <c r="S571" s="364"/>
      <c r="T571" s="364"/>
      <c r="U571" s="364"/>
      <c r="V571" s="364"/>
      <c r="W571" s="364"/>
      <c r="X571" s="364"/>
      <c r="Y571" s="364"/>
      <c r="Z571" s="364"/>
      <c r="AA571" s="364"/>
    </row>
    <row r="572" customFormat="false" ht="15.75" hidden="false" customHeight="false" outlineLevel="0" collapsed="false">
      <c r="A572" s="261" t="str">
        <f aca="false">IFERROR(__xludf.dummyfunction("""COMPUTED_VALUE"""),"Zoroark")</f>
        <v>Zoroark</v>
      </c>
      <c r="B572" s="364"/>
      <c r="C572" s="262"/>
      <c r="D572" s="364"/>
      <c r="E572" s="364"/>
      <c r="F572" s="364"/>
      <c r="G572" s="364"/>
      <c r="H572" s="364"/>
      <c r="I572" s="364"/>
      <c r="J572" s="364"/>
      <c r="K572" s="364"/>
      <c r="L572" s="364"/>
      <c r="M572" s="364"/>
      <c r="N572" s="364"/>
      <c r="O572" s="364"/>
      <c r="P572" s="364"/>
      <c r="Q572" s="364"/>
      <c r="R572" s="364"/>
      <c r="S572" s="364"/>
      <c r="T572" s="364"/>
      <c r="U572" s="364"/>
      <c r="V572" s="364"/>
      <c r="W572" s="364"/>
      <c r="X572" s="364"/>
      <c r="Y572" s="364"/>
      <c r="Z572" s="364"/>
      <c r="AA572" s="364"/>
    </row>
    <row r="573" customFormat="false" ht="15.75" hidden="false" customHeight="false" outlineLevel="0" collapsed="false">
      <c r="A573" s="261" t="str">
        <f aca="false">IFERROR(__xludf.dummyfunction("""COMPUTED_VALUE"""),"Minccino")</f>
        <v>Minccino</v>
      </c>
      <c r="B573" s="364"/>
      <c r="C573" s="262"/>
      <c r="D573" s="364"/>
      <c r="E573" s="364"/>
      <c r="F573" s="364"/>
      <c r="G573" s="364"/>
      <c r="H573" s="364"/>
      <c r="I573" s="364"/>
      <c r="J573" s="364"/>
      <c r="K573" s="364"/>
      <c r="L573" s="364"/>
      <c r="M573" s="364"/>
      <c r="N573" s="364"/>
      <c r="O573" s="364"/>
      <c r="P573" s="364"/>
      <c r="Q573" s="364"/>
      <c r="R573" s="364"/>
      <c r="S573" s="364"/>
      <c r="T573" s="364"/>
      <c r="U573" s="364"/>
      <c r="V573" s="364"/>
      <c r="W573" s="364"/>
      <c r="X573" s="364"/>
      <c r="Y573" s="364"/>
      <c r="Z573" s="364"/>
      <c r="AA573" s="364"/>
    </row>
    <row r="574" customFormat="false" ht="15.75" hidden="false" customHeight="false" outlineLevel="0" collapsed="false">
      <c r="A574" s="261" t="str">
        <f aca="false">IFERROR(__xludf.dummyfunction("""COMPUTED_VALUE"""),"Cinccino")</f>
        <v>Cinccino</v>
      </c>
      <c r="B574" s="364"/>
      <c r="C574" s="262"/>
      <c r="D574" s="364"/>
      <c r="E574" s="364"/>
      <c r="F574" s="364"/>
      <c r="G574" s="364"/>
      <c r="H574" s="364"/>
      <c r="I574" s="364"/>
      <c r="J574" s="364"/>
      <c r="K574" s="364"/>
      <c r="L574" s="364"/>
      <c r="M574" s="364"/>
      <c r="N574" s="364"/>
      <c r="O574" s="364"/>
      <c r="P574" s="364"/>
      <c r="Q574" s="364"/>
      <c r="R574" s="364"/>
      <c r="S574" s="364"/>
      <c r="T574" s="364"/>
      <c r="U574" s="364"/>
      <c r="V574" s="364"/>
      <c r="W574" s="364"/>
      <c r="X574" s="364"/>
      <c r="Y574" s="364"/>
      <c r="Z574" s="364"/>
      <c r="AA574" s="364"/>
    </row>
    <row r="575" customFormat="false" ht="15.75" hidden="false" customHeight="false" outlineLevel="0" collapsed="false">
      <c r="A575" s="261" t="str">
        <f aca="false">IFERROR(__xludf.dummyfunction("""COMPUTED_VALUE"""),"Gothita")</f>
        <v>Gothita</v>
      </c>
      <c r="B575" s="364"/>
      <c r="C575" s="262"/>
      <c r="D575" s="364"/>
      <c r="E575" s="364"/>
      <c r="F575" s="364"/>
      <c r="G575" s="364"/>
      <c r="H575" s="364"/>
      <c r="I575" s="364"/>
      <c r="J575" s="364"/>
      <c r="K575" s="364"/>
      <c r="L575" s="364"/>
      <c r="M575" s="364"/>
      <c r="N575" s="364"/>
      <c r="O575" s="364"/>
      <c r="P575" s="364"/>
      <c r="Q575" s="364"/>
      <c r="R575" s="364"/>
      <c r="S575" s="364"/>
      <c r="T575" s="364"/>
      <c r="U575" s="364"/>
      <c r="V575" s="364"/>
      <c r="W575" s="364"/>
      <c r="X575" s="364"/>
      <c r="Y575" s="364"/>
      <c r="Z575" s="364"/>
      <c r="AA575" s="364"/>
    </row>
    <row r="576" customFormat="false" ht="15.75" hidden="false" customHeight="false" outlineLevel="0" collapsed="false">
      <c r="A576" s="261" t="str">
        <f aca="false">IFERROR(__xludf.dummyfunction("""COMPUTED_VALUE"""),"Gothorita")</f>
        <v>Gothorita</v>
      </c>
      <c r="B576" s="364"/>
      <c r="C576" s="262"/>
      <c r="D576" s="364"/>
      <c r="E576" s="364"/>
      <c r="F576" s="364"/>
      <c r="G576" s="364"/>
      <c r="H576" s="364"/>
      <c r="I576" s="364"/>
      <c r="J576" s="364"/>
      <c r="K576" s="364"/>
      <c r="L576" s="364"/>
      <c r="M576" s="364"/>
      <c r="N576" s="364"/>
      <c r="O576" s="364"/>
      <c r="P576" s="364"/>
      <c r="Q576" s="364"/>
      <c r="R576" s="364"/>
      <c r="S576" s="364"/>
      <c r="T576" s="364"/>
      <c r="U576" s="364"/>
      <c r="V576" s="364"/>
      <c r="W576" s="364"/>
      <c r="X576" s="364"/>
      <c r="Y576" s="364"/>
      <c r="Z576" s="364"/>
      <c r="AA576" s="364"/>
    </row>
    <row r="577" customFormat="false" ht="15.75" hidden="false" customHeight="false" outlineLevel="0" collapsed="false">
      <c r="A577" s="261" t="str">
        <f aca="false">IFERROR(__xludf.dummyfunction("""COMPUTED_VALUE"""),"Gothitelle")</f>
        <v>Gothitelle</v>
      </c>
      <c r="B577" s="364"/>
      <c r="C577" s="262"/>
      <c r="D577" s="364"/>
      <c r="E577" s="364"/>
      <c r="F577" s="364"/>
      <c r="G577" s="364"/>
      <c r="H577" s="364"/>
      <c r="I577" s="364"/>
      <c r="J577" s="364"/>
      <c r="K577" s="364"/>
      <c r="L577" s="364"/>
      <c r="M577" s="364"/>
      <c r="N577" s="364"/>
      <c r="O577" s="364"/>
      <c r="P577" s="364"/>
      <c r="Q577" s="364"/>
      <c r="R577" s="364"/>
      <c r="S577" s="364"/>
      <c r="T577" s="364"/>
      <c r="U577" s="364"/>
      <c r="V577" s="364"/>
      <c r="W577" s="364"/>
      <c r="X577" s="364"/>
      <c r="Y577" s="364"/>
      <c r="Z577" s="364"/>
      <c r="AA577" s="364"/>
    </row>
    <row r="578" customFormat="false" ht="15.75" hidden="false" customHeight="false" outlineLevel="0" collapsed="false">
      <c r="A578" s="261" t="str">
        <f aca="false">IFERROR(__xludf.dummyfunction("""COMPUTED_VALUE"""),"Solosis")</f>
        <v>Solosis</v>
      </c>
      <c r="B578" s="364"/>
      <c r="C578" s="262"/>
      <c r="D578" s="364"/>
      <c r="E578" s="364"/>
      <c r="F578" s="364"/>
      <c r="G578" s="364"/>
      <c r="H578" s="364"/>
      <c r="I578" s="364"/>
      <c r="J578" s="364"/>
      <c r="K578" s="364"/>
      <c r="L578" s="364"/>
      <c r="M578" s="364"/>
      <c r="N578" s="364"/>
      <c r="O578" s="364"/>
      <c r="P578" s="364"/>
      <c r="Q578" s="364"/>
      <c r="R578" s="364"/>
      <c r="S578" s="364"/>
      <c r="T578" s="364"/>
      <c r="U578" s="364"/>
      <c r="V578" s="364"/>
      <c r="W578" s="364"/>
      <c r="X578" s="364"/>
      <c r="Y578" s="364"/>
      <c r="Z578" s="364"/>
      <c r="AA578" s="364"/>
    </row>
    <row r="579" customFormat="false" ht="15.75" hidden="false" customHeight="false" outlineLevel="0" collapsed="false">
      <c r="A579" s="261" t="str">
        <f aca="false">IFERROR(__xludf.dummyfunction("""COMPUTED_VALUE"""),"Duosion")</f>
        <v>Duosion</v>
      </c>
      <c r="B579" s="364"/>
      <c r="C579" s="262"/>
      <c r="D579" s="364"/>
      <c r="E579" s="364"/>
      <c r="F579" s="364"/>
      <c r="G579" s="364"/>
      <c r="H579" s="364"/>
      <c r="I579" s="364"/>
      <c r="J579" s="364"/>
      <c r="K579" s="364"/>
      <c r="L579" s="364"/>
      <c r="M579" s="364"/>
      <c r="N579" s="364"/>
      <c r="O579" s="364"/>
      <c r="P579" s="364"/>
      <c r="Q579" s="364"/>
      <c r="R579" s="364"/>
      <c r="S579" s="364"/>
      <c r="T579" s="364"/>
      <c r="U579" s="364"/>
      <c r="V579" s="364"/>
      <c r="W579" s="364"/>
      <c r="X579" s="364"/>
      <c r="Y579" s="364"/>
      <c r="Z579" s="364"/>
      <c r="AA579" s="364"/>
    </row>
    <row r="580" customFormat="false" ht="15.75" hidden="false" customHeight="false" outlineLevel="0" collapsed="false">
      <c r="A580" s="261" t="str">
        <f aca="false">IFERROR(__xludf.dummyfunction("""COMPUTED_VALUE"""),"Reuniclus")</f>
        <v>Reuniclus</v>
      </c>
      <c r="B580" s="364"/>
      <c r="C580" s="262"/>
      <c r="D580" s="364"/>
      <c r="E580" s="364"/>
      <c r="F580" s="364"/>
      <c r="G580" s="364"/>
      <c r="H580" s="364"/>
      <c r="I580" s="364"/>
      <c r="J580" s="364"/>
      <c r="K580" s="364"/>
      <c r="L580" s="364"/>
      <c r="M580" s="364"/>
      <c r="N580" s="364"/>
      <c r="O580" s="364"/>
      <c r="P580" s="364"/>
      <c r="Q580" s="364"/>
      <c r="R580" s="364"/>
      <c r="S580" s="364"/>
      <c r="T580" s="364"/>
      <c r="U580" s="364"/>
      <c r="V580" s="364"/>
      <c r="W580" s="364"/>
      <c r="X580" s="364"/>
      <c r="Y580" s="364"/>
      <c r="Z580" s="364"/>
      <c r="AA580" s="364"/>
    </row>
    <row r="581" customFormat="false" ht="15.75" hidden="false" customHeight="false" outlineLevel="0" collapsed="false">
      <c r="A581" s="261" t="str">
        <f aca="false">IFERROR(__xludf.dummyfunction("""COMPUTED_VALUE"""),"Ducklett")</f>
        <v>Ducklett</v>
      </c>
      <c r="B581" s="364"/>
      <c r="C581" s="262"/>
      <c r="D581" s="364"/>
      <c r="E581" s="364"/>
      <c r="F581" s="364"/>
      <c r="G581" s="364"/>
      <c r="H581" s="364"/>
      <c r="I581" s="364"/>
      <c r="J581" s="364"/>
      <c r="K581" s="364"/>
      <c r="L581" s="364"/>
      <c r="M581" s="364"/>
      <c r="N581" s="364"/>
      <c r="O581" s="364"/>
      <c r="P581" s="364"/>
      <c r="Q581" s="364"/>
      <c r="R581" s="364"/>
      <c r="S581" s="364"/>
      <c r="T581" s="364"/>
      <c r="U581" s="364"/>
      <c r="V581" s="364"/>
      <c r="W581" s="364"/>
      <c r="X581" s="364"/>
      <c r="Y581" s="364"/>
      <c r="Z581" s="364"/>
      <c r="AA581" s="364"/>
    </row>
    <row r="582" customFormat="false" ht="15.75" hidden="false" customHeight="false" outlineLevel="0" collapsed="false">
      <c r="A582" s="261" t="str">
        <f aca="false">IFERROR(__xludf.dummyfunction("""COMPUTED_VALUE"""),"Swanna")</f>
        <v>Swanna</v>
      </c>
      <c r="B582" s="364"/>
      <c r="C582" s="262"/>
      <c r="D582" s="364"/>
      <c r="E582" s="364"/>
      <c r="F582" s="364"/>
      <c r="G582" s="364"/>
      <c r="H582" s="364"/>
      <c r="I582" s="364"/>
      <c r="J582" s="364"/>
      <c r="K582" s="364"/>
      <c r="L582" s="364"/>
      <c r="M582" s="364"/>
      <c r="N582" s="364"/>
      <c r="O582" s="364"/>
      <c r="P582" s="364"/>
      <c r="Q582" s="364"/>
      <c r="R582" s="364"/>
      <c r="S582" s="364"/>
      <c r="T582" s="364"/>
      <c r="U582" s="364"/>
      <c r="V582" s="364"/>
      <c r="W582" s="364"/>
      <c r="X582" s="364"/>
      <c r="Y582" s="364"/>
      <c r="Z582" s="364"/>
      <c r="AA582" s="364"/>
    </row>
    <row r="583" customFormat="false" ht="15.75" hidden="false" customHeight="false" outlineLevel="0" collapsed="false">
      <c r="A583" s="261" t="str">
        <f aca="false">IFERROR(__xludf.dummyfunction("""COMPUTED_VALUE"""),"Vanillite")</f>
        <v>Vanillite</v>
      </c>
      <c r="B583" s="364"/>
      <c r="C583" s="262"/>
      <c r="D583" s="364"/>
      <c r="E583" s="364"/>
      <c r="F583" s="364"/>
      <c r="G583" s="364"/>
      <c r="H583" s="364"/>
      <c r="I583" s="364"/>
      <c r="J583" s="364"/>
      <c r="K583" s="364"/>
      <c r="L583" s="364"/>
      <c r="M583" s="364"/>
      <c r="N583" s="364"/>
      <c r="O583" s="364"/>
      <c r="P583" s="364"/>
      <c r="Q583" s="364"/>
      <c r="R583" s="364"/>
      <c r="S583" s="364"/>
      <c r="T583" s="364"/>
      <c r="U583" s="364"/>
      <c r="V583" s="364"/>
      <c r="W583" s="364"/>
      <c r="X583" s="364"/>
      <c r="Y583" s="364"/>
      <c r="Z583" s="364"/>
      <c r="AA583" s="364"/>
    </row>
    <row r="584" customFormat="false" ht="15.75" hidden="false" customHeight="false" outlineLevel="0" collapsed="false">
      <c r="A584" s="261" t="str">
        <f aca="false">IFERROR(__xludf.dummyfunction("""COMPUTED_VALUE"""),"Vanillish")</f>
        <v>Vanillish</v>
      </c>
      <c r="B584" s="364"/>
      <c r="C584" s="262"/>
      <c r="D584" s="364"/>
      <c r="E584" s="364"/>
      <c r="F584" s="364"/>
      <c r="G584" s="364"/>
      <c r="H584" s="364"/>
      <c r="I584" s="364"/>
      <c r="J584" s="364"/>
      <c r="K584" s="364"/>
      <c r="L584" s="364"/>
      <c r="M584" s="364"/>
      <c r="N584" s="364"/>
      <c r="O584" s="364"/>
      <c r="P584" s="364"/>
      <c r="Q584" s="364"/>
      <c r="R584" s="364"/>
      <c r="S584" s="364"/>
      <c r="T584" s="364"/>
      <c r="U584" s="364"/>
      <c r="V584" s="364"/>
      <c r="W584" s="364"/>
      <c r="X584" s="364"/>
      <c r="Y584" s="364"/>
      <c r="Z584" s="364"/>
      <c r="AA584" s="364"/>
    </row>
    <row r="585" customFormat="false" ht="15.75" hidden="false" customHeight="false" outlineLevel="0" collapsed="false">
      <c r="A585" s="261" t="str">
        <f aca="false">IFERROR(__xludf.dummyfunction("""COMPUTED_VALUE"""),"Vanilluxe")</f>
        <v>Vanilluxe</v>
      </c>
      <c r="B585" s="364"/>
      <c r="C585" s="262"/>
      <c r="D585" s="364"/>
      <c r="E585" s="364"/>
      <c r="F585" s="364"/>
      <c r="G585" s="364"/>
      <c r="H585" s="364"/>
      <c r="I585" s="364"/>
      <c r="J585" s="364"/>
      <c r="K585" s="364"/>
      <c r="L585" s="364"/>
      <c r="M585" s="364"/>
      <c r="N585" s="364"/>
      <c r="O585" s="364"/>
      <c r="P585" s="364"/>
      <c r="Q585" s="364"/>
      <c r="R585" s="364"/>
      <c r="S585" s="364"/>
      <c r="T585" s="364"/>
      <c r="U585" s="364"/>
      <c r="V585" s="364"/>
      <c r="W585" s="364"/>
      <c r="X585" s="364"/>
      <c r="Y585" s="364"/>
      <c r="Z585" s="364"/>
      <c r="AA585" s="364"/>
    </row>
    <row r="586" customFormat="false" ht="15.75" hidden="false" customHeight="false" outlineLevel="0" collapsed="false">
      <c r="A586" s="261" t="str">
        <f aca="false">IFERROR(__xludf.dummyfunction("""COMPUTED_VALUE"""),"Deerling")</f>
        <v>Deerling</v>
      </c>
      <c r="B586" s="364"/>
      <c r="C586" s="262"/>
      <c r="D586" s="364"/>
      <c r="E586" s="364"/>
      <c r="F586" s="364"/>
      <c r="G586" s="364"/>
      <c r="H586" s="364"/>
      <c r="I586" s="364"/>
      <c r="J586" s="364"/>
      <c r="K586" s="364"/>
      <c r="L586" s="364"/>
      <c r="M586" s="364"/>
      <c r="N586" s="364"/>
      <c r="O586" s="364"/>
      <c r="P586" s="364"/>
      <c r="Q586" s="364"/>
      <c r="R586" s="364"/>
      <c r="S586" s="364"/>
      <c r="T586" s="364"/>
      <c r="U586" s="364"/>
      <c r="V586" s="364"/>
      <c r="W586" s="364"/>
      <c r="X586" s="364"/>
      <c r="Y586" s="364"/>
      <c r="Z586" s="364"/>
      <c r="AA586" s="364"/>
    </row>
    <row r="587" customFormat="false" ht="15.75" hidden="false" customHeight="false" outlineLevel="0" collapsed="false">
      <c r="A587" s="261" t="str">
        <f aca="false">IFERROR(__xludf.dummyfunction("""COMPUTED_VALUE"""),"Sawsbuck")</f>
        <v>Sawsbuck</v>
      </c>
      <c r="B587" s="364"/>
      <c r="C587" s="262"/>
      <c r="D587" s="364"/>
      <c r="E587" s="364"/>
      <c r="F587" s="364"/>
      <c r="G587" s="364"/>
      <c r="H587" s="364"/>
      <c r="I587" s="364"/>
      <c r="J587" s="364"/>
      <c r="K587" s="364"/>
      <c r="L587" s="364"/>
      <c r="M587" s="364"/>
      <c r="N587" s="364"/>
      <c r="O587" s="364"/>
      <c r="P587" s="364"/>
      <c r="Q587" s="364"/>
      <c r="R587" s="364"/>
      <c r="S587" s="364"/>
      <c r="T587" s="364"/>
      <c r="U587" s="364"/>
      <c r="V587" s="364"/>
      <c r="W587" s="364"/>
      <c r="X587" s="364"/>
      <c r="Y587" s="364"/>
      <c r="Z587" s="364"/>
      <c r="AA587" s="364"/>
    </row>
    <row r="588" customFormat="false" ht="15.75" hidden="false" customHeight="false" outlineLevel="0" collapsed="false">
      <c r="A588" s="261" t="str">
        <f aca="false">IFERROR(__xludf.dummyfunction("""COMPUTED_VALUE"""),"Emolga")</f>
        <v>Emolga</v>
      </c>
      <c r="B588" s="364"/>
      <c r="C588" s="262"/>
      <c r="D588" s="364"/>
      <c r="E588" s="364"/>
      <c r="F588" s="364"/>
      <c r="G588" s="364"/>
      <c r="H588" s="364"/>
      <c r="I588" s="364"/>
      <c r="J588" s="364"/>
      <c r="K588" s="364"/>
      <c r="L588" s="364"/>
      <c r="M588" s="364"/>
      <c r="N588" s="364"/>
      <c r="O588" s="364"/>
      <c r="P588" s="364"/>
      <c r="Q588" s="364"/>
      <c r="R588" s="364"/>
      <c r="S588" s="364"/>
      <c r="T588" s="364"/>
      <c r="U588" s="364"/>
      <c r="V588" s="364"/>
      <c r="W588" s="364"/>
      <c r="X588" s="364"/>
      <c r="Y588" s="364"/>
      <c r="Z588" s="364"/>
      <c r="AA588" s="364"/>
    </row>
    <row r="589" customFormat="false" ht="15.75" hidden="false" customHeight="false" outlineLevel="0" collapsed="false">
      <c r="A589" s="261" t="str">
        <f aca="false">IFERROR(__xludf.dummyfunction("""COMPUTED_VALUE"""),"Karrablast")</f>
        <v>Karrablast</v>
      </c>
      <c r="B589" s="364"/>
      <c r="C589" s="262"/>
      <c r="D589" s="364"/>
      <c r="E589" s="364"/>
      <c r="F589" s="364"/>
      <c r="G589" s="364"/>
      <c r="H589" s="364"/>
      <c r="I589" s="364"/>
      <c r="J589" s="364"/>
      <c r="K589" s="364"/>
      <c r="L589" s="364"/>
      <c r="M589" s="364"/>
      <c r="N589" s="364"/>
      <c r="O589" s="364"/>
      <c r="P589" s="364"/>
      <c r="Q589" s="364"/>
      <c r="R589" s="364"/>
      <c r="S589" s="364"/>
      <c r="T589" s="364"/>
      <c r="U589" s="364"/>
      <c r="V589" s="364"/>
      <c r="W589" s="364"/>
      <c r="X589" s="364"/>
      <c r="Y589" s="364"/>
      <c r="Z589" s="364"/>
      <c r="AA589" s="364"/>
    </row>
    <row r="590" customFormat="false" ht="15.75" hidden="false" customHeight="false" outlineLevel="0" collapsed="false">
      <c r="A590" s="261" t="str">
        <f aca="false">IFERROR(__xludf.dummyfunction("""COMPUTED_VALUE"""),"Escavalier")</f>
        <v>Escavalier</v>
      </c>
      <c r="B590" s="364"/>
      <c r="C590" s="262"/>
      <c r="D590" s="364"/>
      <c r="E590" s="364"/>
      <c r="F590" s="364"/>
      <c r="G590" s="364"/>
      <c r="H590" s="364"/>
      <c r="I590" s="364"/>
      <c r="J590" s="364"/>
      <c r="K590" s="364"/>
      <c r="L590" s="364"/>
      <c r="M590" s="364"/>
      <c r="N590" s="364"/>
      <c r="O590" s="364"/>
      <c r="P590" s="364"/>
      <c r="Q590" s="364"/>
      <c r="R590" s="364"/>
      <c r="S590" s="364"/>
      <c r="T590" s="364"/>
      <c r="U590" s="364"/>
      <c r="V590" s="364"/>
      <c r="W590" s="364"/>
      <c r="X590" s="364"/>
      <c r="Y590" s="364"/>
      <c r="Z590" s="364"/>
      <c r="AA590" s="364"/>
    </row>
    <row r="591" customFormat="false" ht="15.75" hidden="false" customHeight="false" outlineLevel="0" collapsed="false">
      <c r="A591" s="261" t="str">
        <f aca="false">IFERROR(__xludf.dummyfunction("""COMPUTED_VALUE"""),"Foongus")</f>
        <v>Foongus</v>
      </c>
      <c r="B591" s="364"/>
      <c r="C591" s="262"/>
      <c r="D591" s="364"/>
      <c r="E591" s="364"/>
      <c r="F591" s="364"/>
      <c r="G591" s="364"/>
      <c r="H591" s="364"/>
      <c r="I591" s="364"/>
      <c r="J591" s="364"/>
      <c r="K591" s="364"/>
      <c r="L591" s="364"/>
      <c r="M591" s="364"/>
      <c r="N591" s="364"/>
      <c r="O591" s="364"/>
      <c r="P591" s="364"/>
      <c r="Q591" s="364"/>
      <c r="R591" s="364"/>
      <c r="S591" s="364"/>
      <c r="T591" s="364"/>
      <c r="U591" s="364"/>
      <c r="V591" s="364"/>
      <c r="W591" s="364"/>
      <c r="X591" s="364"/>
      <c r="Y591" s="364"/>
      <c r="Z591" s="364"/>
      <c r="AA591" s="364"/>
    </row>
    <row r="592" customFormat="false" ht="15.75" hidden="false" customHeight="false" outlineLevel="0" collapsed="false">
      <c r="A592" s="261" t="str">
        <f aca="false">IFERROR(__xludf.dummyfunction("""COMPUTED_VALUE"""),"Amoonguss")</f>
        <v>Amoonguss</v>
      </c>
      <c r="B592" s="364"/>
      <c r="C592" s="262"/>
      <c r="D592" s="364"/>
      <c r="E592" s="364"/>
      <c r="F592" s="364"/>
      <c r="G592" s="364"/>
      <c r="H592" s="364"/>
      <c r="I592" s="364"/>
      <c r="J592" s="364"/>
      <c r="K592" s="364"/>
      <c r="L592" s="364"/>
      <c r="M592" s="364"/>
      <c r="N592" s="364"/>
      <c r="O592" s="364"/>
      <c r="P592" s="364"/>
      <c r="Q592" s="364"/>
      <c r="R592" s="364"/>
      <c r="S592" s="364"/>
      <c r="T592" s="364"/>
      <c r="U592" s="364"/>
      <c r="V592" s="364"/>
      <c r="W592" s="364"/>
      <c r="X592" s="364"/>
      <c r="Y592" s="364"/>
      <c r="Z592" s="364"/>
      <c r="AA592" s="364"/>
    </row>
    <row r="593" customFormat="false" ht="15.75" hidden="false" customHeight="false" outlineLevel="0" collapsed="false">
      <c r="A593" s="261" t="str">
        <f aca="false">IFERROR(__xludf.dummyfunction("""COMPUTED_VALUE"""),"Frillish")</f>
        <v>Frillish</v>
      </c>
      <c r="B593" s="364"/>
      <c r="C593" s="262"/>
      <c r="D593" s="364"/>
      <c r="E593" s="364"/>
      <c r="F593" s="364"/>
      <c r="G593" s="364"/>
      <c r="H593" s="364"/>
      <c r="I593" s="364"/>
      <c r="J593" s="364"/>
      <c r="K593" s="364"/>
      <c r="L593" s="364"/>
      <c r="M593" s="364"/>
      <c r="N593" s="364"/>
      <c r="O593" s="364"/>
      <c r="P593" s="364"/>
      <c r="Q593" s="364"/>
      <c r="R593" s="364"/>
      <c r="S593" s="364"/>
      <c r="T593" s="364"/>
      <c r="U593" s="364"/>
      <c r="V593" s="364"/>
      <c r="W593" s="364"/>
      <c r="X593" s="364"/>
      <c r="Y593" s="364"/>
      <c r="Z593" s="364"/>
      <c r="AA593" s="364"/>
    </row>
    <row r="594" customFormat="false" ht="15.75" hidden="false" customHeight="false" outlineLevel="0" collapsed="false">
      <c r="A594" s="261" t="str">
        <f aca="false">IFERROR(__xludf.dummyfunction("""COMPUTED_VALUE"""),"Jellicent")</f>
        <v>Jellicent</v>
      </c>
      <c r="B594" s="364"/>
      <c r="C594" s="262"/>
      <c r="D594" s="364"/>
      <c r="E594" s="364"/>
      <c r="F594" s="364"/>
      <c r="G594" s="364"/>
      <c r="H594" s="364"/>
      <c r="I594" s="364"/>
      <c r="J594" s="364"/>
      <c r="K594" s="364"/>
      <c r="L594" s="364"/>
      <c r="M594" s="364"/>
      <c r="N594" s="364"/>
      <c r="O594" s="364"/>
      <c r="P594" s="364"/>
      <c r="Q594" s="364"/>
      <c r="R594" s="364"/>
      <c r="S594" s="364"/>
      <c r="T594" s="364"/>
      <c r="U594" s="364"/>
      <c r="V594" s="364"/>
      <c r="W594" s="364"/>
      <c r="X594" s="364"/>
      <c r="Y594" s="364"/>
      <c r="Z594" s="364"/>
      <c r="AA594" s="364"/>
    </row>
    <row r="595" customFormat="false" ht="15.75" hidden="false" customHeight="false" outlineLevel="0" collapsed="false">
      <c r="A595" s="261" t="str">
        <f aca="false">IFERROR(__xludf.dummyfunction("""COMPUTED_VALUE"""),"Alomomola")</f>
        <v>Alomomola</v>
      </c>
      <c r="B595" s="364"/>
      <c r="C595" s="262"/>
      <c r="D595" s="364"/>
      <c r="E595" s="364"/>
      <c r="F595" s="364"/>
      <c r="G595" s="364"/>
      <c r="H595" s="364"/>
      <c r="I595" s="364"/>
      <c r="J595" s="364"/>
      <c r="K595" s="364"/>
      <c r="L595" s="364"/>
      <c r="M595" s="364"/>
      <c r="N595" s="364"/>
      <c r="O595" s="364"/>
      <c r="P595" s="364"/>
      <c r="Q595" s="364"/>
      <c r="R595" s="364"/>
      <c r="S595" s="364"/>
      <c r="T595" s="364"/>
      <c r="U595" s="364"/>
      <c r="V595" s="364"/>
      <c r="W595" s="364"/>
      <c r="X595" s="364"/>
      <c r="Y595" s="364"/>
      <c r="Z595" s="364"/>
      <c r="AA595" s="364"/>
    </row>
    <row r="596" customFormat="false" ht="15.75" hidden="false" customHeight="false" outlineLevel="0" collapsed="false">
      <c r="A596" s="261" t="str">
        <f aca="false">IFERROR(__xludf.dummyfunction("""COMPUTED_VALUE"""),"Joltik")</f>
        <v>Joltik</v>
      </c>
      <c r="B596" s="364"/>
      <c r="C596" s="262"/>
      <c r="D596" s="364"/>
      <c r="E596" s="364"/>
      <c r="F596" s="364"/>
      <c r="G596" s="364"/>
      <c r="H596" s="364"/>
      <c r="I596" s="364"/>
      <c r="J596" s="364"/>
      <c r="K596" s="364"/>
      <c r="L596" s="364"/>
      <c r="M596" s="364"/>
      <c r="N596" s="364"/>
      <c r="O596" s="364"/>
      <c r="P596" s="364"/>
      <c r="Q596" s="364"/>
      <c r="R596" s="364"/>
      <c r="S596" s="364"/>
      <c r="T596" s="364"/>
      <c r="U596" s="364"/>
      <c r="V596" s="364"/>
      <c r="W596" s="364"/>
      <c r="X596" s="364"/>
      <c r="Y596" s="364"/>
      <c r="Z596" s="364"/>
      <c r="AA596" s="364"/>
    </row>
    <row r="597" customFormat="false" ht="15.75" hidden="false" customHeight="false" outlineLevel="0" collapsed="false">
      <c r="A597" s="261" t="str">
        <f aca="false">IFERROR(__xludf.dummyfunction("""COMPUTED_VALUE"""),"Galvantula")</f>
        <v>Galvantula</v>
      </c>
      <c r="B597" s="364"/>
      <c r="C597" s="262"/>
      <c r="D597" s="364"/>
      <c r="E597" s="364"/>
      <c r="F597" s="364"/>
      <c r="G597" s="364"/>
      <c r="H597" s="364"/>
      <c r="I597" s="364"/>
      <c r="J597" s="364"/>
      <c r="K597" s="364"/>
      <c r="L597" s="364"/>
      <c r="M597" s="364"/>
      <c r="N597" s="364"/>
      <c r="O597" s="364"/>
      <c r="P597" s="364"/>
      <c r="Q597" s="364"/>
      <c r="R597" s="364"/>
      <c r="S597" s="364"/>
      <c r="T597" s="364"/>
      <c r="U597" s="364"/>
      <c r="V597" s="364"/>
      <c r="W597" s="364"/>
      <c r="X597" s="364"/>
      <c r="Y597" s="364"/>
      <c r="Z597" s="364"/>
      <c r="AA597" s="364"/>
    </row>
    <row r="598" customFormat="false" ht="15.75" hidden="false" customHeight="false" outlineLevel="0" collapsed="false">
      <c r="A598" s="261" t="str">
        <f aca="false">IFERROR(__xludf.dummyfunction("""COMPUTED_VALUE"""),"Ferroseed")</f>
        <v>Ferroseed</v>
      </c>
      <c r="B598" s="364"/>
      <c r="C598" s="262"/>
      <c r="D598" s="364"/>
      <c r="E598" s="364"/>
      <c r="F598" s="364"/>
      <c r="G598" s="364"/>
      <c r="H598" s="364"/>
      <c r="I598" s="364"/>
      <c r="J598" s="364"/>
      <c r="K598" s="364"/>
      <c r="L598" s="364"/>
      <c r="M598" s="364"/>
      <c r="N598" s="364"/>
      <c r="O598" s="364"/>
      <c r="P598" s="364"/>
      <c r="Q598" s="364"/>
      <c r="R598" s="364"/>
      <c r="S598" s="364"/>
      <c r="T598" s="364"/>
      <c r="U598" s="364"/>
      <c r="V598" s="364"/>
      <c r="W598" s="364"/>
      <c r="X598" s="364"/>
      <c r="Y598" s="364"/>
      <c r="Z598" s="364"/>
      <c r="AA598" s="364"/>
    </row>
    <row r="599" customFormat="false" ht="15.75" hidden="false" customHeight="false" outlineLevel="0" collapsed="false">
      <c r="A599" s="261" t="str">
        <f aca="false">IFERROR(__xludf.dummyfunction("""COMPUTED_VALUE"""),"Ferrothorn")</f>
        <v>Ferrothorn</v>
      </c>
      <c r="B599" s="364"/>
      <c r="C599" s="262"/>
      <c r="D599" s="364"/>
      <c r="E599" s="364"/>
      <c r="F599" s="364"/>
      <c r="G599" s="364"/>
      <c r="H599" s="364"/>
      <c r="I599" s="364"/>
      <c r="J599" s="364"/>
      <c r="K599" s="364"/>
      <c r="L599" s="364"/>
      <c r="M599" s="364"/>
      <c r="N599" s="364"/>
      <c r="O599" s="364"/>
      <c r="P599" s="364"/>
      <c r="Q599" s="364"/>
      <c r="R599" s="364"/>
      <c r="S599" s="364"/>
      <c r="T599" s="364"/>
      <c r="U599" s="364"/>
      <c r="V599" s="364"/>
      <c r="W599" s="364"/>
      <c r="X599" s="364"/>
      <c r="Y599" s="364"/>
      <c r="Z599" s="364"/>
      <c r="AA599" s="364"/>
    </row>
    <row r="600" customFormat="false" ht="15.75" hidden="false" customHeight="false" outlineLevel="0" collapsed="false">
      <c r="A600" s="261" t="str">
        <f aca="false">IFERROR(__xludf.dummyfunction("""COMPUTED_VALUE"""),"Klink")</f>
        <v>Klink</v>
      </c>
      <c r="B600" s="364"/>
      <c r="C600" s="262"/>
      <c r="D600" s="364"/>
      <c r="E600" s="364"/>
      <c r="F600" s="364"/>
      <c r="G600" s="364"/>
      <c r="H600" s="364"/>
      <c r="I600" s="364"/>
      <c r="J600" s="364"/>
      <c r="K600" s="364"/>
      <c r="L600" s="364"/>
      <c r="M600" s="364"/>
      <c r="N600" s="364"/>
      <c r="O600" s="364"/>
      <c r="P600" s="364"/>
      <c r="Q600" s="364"/>
      <c r="R600" s="364"/>
      <c r="S600" s="364"/>
      <c r="T600" s="364"/>
      <c r="U600" s="364"/>
      <c r="V600" s="364"/>
      <c r="W600" s="364"/>
      <c r="X600" s="364"/>
      <c r="Y600" s="364"/>
      <c r="Z600" s="364"/>
      <c r="AA600" s="364"/>
    </row>
    <row r="601" customFormat="false" ht="15.75" hidden="false" customHeight="false" outlineLevel="0" collapsed="false">
      <c r="A601" s="261" t="str">
        <f aca="false">IFERROR(__xludf.dummyfunction("""COMPUTED_VALUE"""),"Klang")</f>
        <v>Klang</v>
      </c>
      <c r="B601" s="364"/>
      <c r="C601" s="262"/>
      <c r="D601" s="364"/>
      <c r="E601" s="364"/>
      <c r="F601" s="364"/>
      <c r="G601" s="364"/>
      <c r="H601" s="364"/>
      <c r="I601" s="364"/>
      <c r="J601" s="364"/>
      <c r="K601" s="364"/>
      <c r="L601" s="364"/>
      <c r="M601" s="364"/>
      <c r="N601" s="364"/>
      <c r="O601" s="364"/>
      <c r="P601" s="364"/>
      <c r="Q601" s="364"/>
      <c r="R601" s="364"/>
      <c r="S601" s="364"/>
      <c r="T601" s="364"/>
      <c r="U601" s="364"/>
      <c r="V601" s="364"/>
      <c r="W601" s="364"/>
      <c r="X601" s="364"/>
      <c r="Y601" s="364"/>
      <c r="Z601" s="364"/>
      <c r="AA601" s="364"/>
    </row>
    <row r="602" customFormat="false" ht="15.75" hidden="false" customHeight="false" outlineLevel="0" collapsed="false">
      <c r="A602" s="261" t="str">
        <f aca="false">IFERROR(__xludf.dummyfunction("""COMPUTED_VALUE"""),"Klinklang")</f>
        <v>Klinklang</v>
      </c>
      <c r="B602" s="364"/>
      <c r="C602" s="262"/>
      <c r="D602" s="364"/>
      <c r="E602" s="364"/>
      <c r="F602" s="364"/>
      <c r="G602" s="364"/>
      <c r="H602" s="364"/>
      <c r="I602" s="364"/>
      <c r="J602" s="364"/>
      <c r="K602" s="364"/>
      <c r="L602" s="364"/>
      <c r="M602" s="364"/>
      <c r="N602" s="364"/>
      <c r="O602" s="364"/>
      <c r="P602" s="364"/>
      <c r="Q602" s="364"/>
      <c r="R602" s="364"/>
      <c r="S602" s="364"/>
      <c r="T602" s="364"/>
      <c r="U602" s="364"/>
      <c r="V602" s="364"/>
      <c r="W602" s="364"/>
      <c r="X602" s="364"/>
      <c r="Y602" s="364"/>
      <c r="Z602" s="364"/>
      <c r="AA602" s="364"/>
    </row>
    <row r="603" customFormat="false" ht="15.75" hidden="false" customHeight="false" outlineLevel="0" collapsed="false">
      <c r="A603" s="261" t="str">
        <f aca="false">IFERROR(__xludf.dummyfunction("""COMPUTED_VALUE"""),"Tynamo")</f>
        <v>Tynamo</v>
      </c>
      <c r="B603" s="364"/>
      <c r="C603" s="262"/>
      <c r="D603" s="364"/>
      <c r="E603" s="364"/>
      <c r="F603" s="364"/>
      <c r="G603" s="364"/>
      <c r="H603" s="364"/>
      <c r="I603" s="364"/>
      <c r="J603" s="364"/>
      <c r="K603" s="364"/>
      <c r="L603" s="364"/>
      <c r="M603" s="364"/>
      <c r="N603" s="364"/>
      <c r="O603" s="364"/>
      <c r="P603" s="364"/>
      <c r="Q603" s="364"/>
      <c r="R603" s="364"/>
      <c r="S603" s="364"/>
      <c r="T603" s="364"/>
      <c r="U603" s="364"/>
      <c r="V603" s="364"/>
      <c r="W603" s="364"/>
      <c r="X603" s="364"/>
      <c r="Y603" s="364"/>
      <c r="Z603" s="364"/>
      <c r="AA603" s="364"/>
    </row>
    <row r="604" customFormat="false" ht="15.75" hidden="false" customHeight="false" outlineLevel="0" collapsed="false">
      <c r="A604" s="261" t="str">
        <f aca="false">IFERROR(__xludf.dummyfunction("""COMPUTED_VALUE"""),"Eelektrik")</f>
        <v>Eelektrik</v>
      </c>
      <c r="B604" s="364"/>
      <c r="C604" s="262"/>
      <c r="D604" s="364"/>
      <c r="E604" s="364"/>
      <c r="F604" s="364"/>
      <c r="G604" s="364"/>
      <c r="H604" s="364"/>
      <c r="I604" s="364"/>
      <c r="J604" s="364"/>
      <c r="K604" s="364"/>
      <c r="L604" s="364"/>
      <c r="M604" s="364"/>
      <c r="N604" s="364"/>
      <c r="O604" s="364"/>
      <c r="P604" s="364"/>
      <c r="Q604" s="364"/>
      <c r="R604" s="364"/>
      <c r="S604" s="364"/>
      <c r="T604" s="364"/>
      <c r="U604" s="364"/>
      <c r="V604" s="364"/>
      <c r="W604" s="364"/>
      <c r="X604" s="364"/>
      <c r="Y604" s="364"/>
      <c r="Z604" s="364"/>
      <c r="AA604" s="364"/>
    </row>
    <row r="605" customFormat="false" ht="15.75" hidden="false" customHeight="false" outlineLevel="0" collapsed="false">
      <c r="A605" s="261" t="str">
        <f aca="false">IFERROR(__xludf.dummyfunction("""COMPUTED_VALUE"""),"Eelektross")</f>
        <v>Eelektross</v>
      </c>
      <c r="B605" s="364"/>
      <c r="C605" s="262"/>
      <c r="D605" s="364"/>
      <c r="E605" s="364"/>
      <c r="F605" s="364"/>
      <c r="G605" s="364"/>
      <c r="H605" s="364"/>
      <c r="I605" s="364"/>
      <c r="J605" s="364"/>
      <c r="K605" s="364"/>
      <c r="L605" s="364"/>
      <c r="M605" s="364"/>
      <c r="N605" s="364"/>
      <c r="O605" s="364"/>
      <c r="P605" s="364"/>
      <c r="Q605" s="364"/>
      <c r="R605" s="364"/>
      <c r="S605" s="364"/>
      <c r="T605" s="364"/>
      <c r="U605" s="364"/>
      <c r="V605" s="364"/>
      <c r="W605" s="364"/>
      <c r="X605" s="364"/>
      <c r="Y605" s="364"/>
      <c r="Z605" s="364"/>
      <c r="AA605" s="364"/>
    </row>
    <row r="606" customFormat="false" ht="15.75" hidden="false" customHeight="false" outlineLevel="0" collapsed="false">
      <c r="A606" s="261" t="str">
        <f aca="false">IFERROR(__xludf.dummyfunction("""COMPUTED_VALUE"""),"Elgyem")</f>
        <v>Elgyem</v>
      </c>
      <c r="B606" s="364"/>
      <c r="C606" s="262"/>
      <c r="D606" s="364"/>
      <c r="E606" s="364"/>
      <c r="F606" s="364"/>
      <c r="G606" s="364"/>
      <c r="H606" s="364"/>
      <c r="I606" s="364"/>
      <c r="J606" s="364"/>
      <c r="K606" s="364"/>
      <c r="L606" s="364"/>
      <c r="M606" s="364"/>
      <c r="N606" s="364"/>
      <c r="O606" s="364"/>
      <c r="P606" s="364"/>
      <c r="Q606" s="364"/>
      <c r="R606" s="364"/>
      <c r="S606" s="364"/>
      <c r="T606" s="364"/>
      <c r="U606" s="364"/>
      <c r="V606" s="364"/>
      <c r="W606" s="364"/>
      <c r="X606" s="364"/>
      <c r="Y606" s="364"/>
      <c r="Z606" s="364"/>
      <c r="AA606" s="364"/>
    </row>
    <row r="607" customFormat="false" ht="15.75" hidden="false" customHeight="false" outlineLevel="0" collapsed="false">
      <c r="A607" s="261" t="str">
        <f aca="false">IFERROR(__xludf.dummyfunction("""COMPUTED_VALUE"""),"Beheeyem")</f>
        <v>Beheeyem</v>
      </c>
      <c r="B607" s="364"/>
      <c r="C607" s="262"/>
      <c r="D607" s="364"/>
      <c r="E607" s="364"/>
      <c r="F607" s="364"/>
      <c r="G607" s="364"/>
      <c r="H607" s="364"/>
      <c r="I607" s="364"/>
      <c r="J607" s="364"/>
      <c r="K607" s="364"/>
      <c r="L607" s="364"/>
      <c r="M607" s="364"/>
      <c r="N607" s="364"/>
      <c r="O607" s="364"/>
      <c r="P607" s="364"/>
      <c r="Q607" s="364"/>
      <c r="R607" s="364"/>
      <c r="S607" s="364"/>
      <c r="T607" s="364"/>
      <c r="U607" s="364"/>
      <c r="V607" s="364"/>
      <c r="W607" s="364"/>
      <c r="X607" s="364"/>
      <c r="Y607" s="364"/>
      <c r="Z607" s="364"/>
      <c r="AA607" s="364"/>
    </row>
    <row r="608" customFormat="false" ht="15.75" hidden="false" customHeight="false" outlineLevel="0" collapsed="false">
      <c r="A608" s="261" t="str">
        <f aca="false">IFERROR(__xludf.dummyfunction("""COMPUTED_VALUE"""),"Litwick")</f>
        <v>Litwick</v>
      </c>
      <c r="B608" s="364"/>
      <c r="C608" s="262"/>
      <c r="D608" s="364"/>
      <c r="E608" s="364"/>
      <c r="F608" s="364"/>
      <c r="G608" s="364"/>
      <c r="H608" s="364"/>
      <c r="I608" s="364"/>
      <c r="J608" s="364"/>
      <c r="K608" s="364"/>
      <c r="L608" s="364"/>
      <c r="M608" s="364"/>
      <c r="N608" s="364"/>
      <c r="O608" s="364"/>
      <c r="P608" s="364"/>
      <c r="Q608" s="364"/>
      <c r="R608" s="364"/>
      <c r="S608" s="364"/>
      <c r="T608" s="364"/>
      <c r="U608" s="364"/>
      <c r="V608" s="364"/>
      <c r="W608" s="364"/>
      <c r="X608" s="364"/>
      <c r="Y608" s="364"/>
      <c r="Z608" s="364"/>
      <c r="AA608" s="364"/>
    </row>
    <row r="609" customFormat="false" ht="15.75" hidden="false" customHeight="false" outlineLevel="0" collapsed="false">
      <c r="A609" s="261" t="str">
        <f aca="false">IFERROR(__xludf.dummyfunction("""COMPUTED_VALUE"""),"Lampent")</f>
        <v>Lampent</v>
      </c>
      <c r="B609" s="364"/>
      <c r="C609" s="262"/>
      <c r="D609" s="364"/>
      <c r="E609" s="364"/>
      <c r="F609" s="364"/>
      <c r="G609" s="364"/>
      <c r="H609" s="364"/>
      <c r="I609" s="364"/>
      <c r="J609" s="364"/>
      <c r="K609" s="364"/>
      <c r="L609" s="364"/>
      <c r="M609" s="364"/>
      <c r="N609" s="364"/>
      <c r="O609" s="364"/>
      <c r="P609" s="364"/>
      <c r="Q609" s="364"/>
      <c r="R609" s="364"/>
      <c r="S609" s="364"/>
      <c r="T609" s="364"/>
      <c r="U609" s="364"/>
      <c r="V609" s="364"/>
      <c r="W609" s="364"/>
      <c r="X609" s="364"/>
      <c r="Y609" s="364"/>
      <c r="Z609" s="364"/>
      <c r="AA609" s="364"/>
    </row>
    <row r="610" customFormat="false" ht="15.75" hidden="false" customHeight="false" outlineLevel="0" collapsed="false">
      <c r="A610" s="261" t="str">
        <f aca="false">IFERROR(__xludf.dummyfunction("""COMPUTED_VALUE"""),"Chandelure")</f>
        <v>Chandelure</v>
      </c>
      <c r="B610" s="364"/>
      <c r="C610" s="262"/>
      <c r="D610" s="364"/>
      <c r="E610" s="364"/>
      <c r="F610" s="364"/>
      <c r="G610" s="364"/>
      <c r="H610" s="364"/>
      <c r="I610" s="364"/>
      <c r="J610" s="364"/>
      <c r="K610" s="364"/>
      <c r="L610" s="364"/>
      <c r="M610" s="364"/>
      <c r="N610" s="364"/>
      <c r="O610" s="364"/>
      <c r="P610" s="364"/>
      <c r="Q610" s="364"/>
      <c r="R610" s="364"/>
      <c r="S610" s="364"/>
      <c r="T610" s="364"/>
      <c r="U610" s="364"/>
      <c r="V610" s="364"/>
      <c r="W610" s="364"/>
      <c r="X610" s="364"/>
      <c r="Y610" s="364"/>
      <c r="Z610" s="364"/>
      <c r="AA610" s="364"/>
    </row>
    <row r="611" customFormat="false" ht="15.75" hidden="false" customHeight="false" outlineLevel="0" collapsed="false">
      <c r="A611" s="261" t="str">
        <f aca="false">IFERROR(__xludf.dummyfunction("""COMPUTED_VALUE"""),"Axew")</f>
        <v>Axew</v>
      </c>
      <c r="B611" s="364"/>
      <c r="C611" s="262"/>
      <c r="D611" s="364"/>
      <c r="E611" s="364"/>
      <c r="F611" s="364"/>
      <c r="G611" s="364"/>
      <c r="H611" s="364"/>
      <c r="I611" s="364"/>
      <c r="J611" s="364"/>
      <c r="K611" s="364"/>
      <c r="L611" s="364"/>
      <c r="M611" s="364"/>
      <c r="N611" s="364"/>
      <c r="O611" s="364"/>
      <c r="P611" s="364"/>
      <c r="Q611" s="364"/>
      <c r="R611" s="364"/>
      <c r="S611" s="364"/>
      <c r="T611" s="364"/>
      <c r="U611" s="364"/>
      <c r="V611" s="364"/>
      <c r="W611" s="364"/>
      <c r="X611" s="364"/>
      <c r="Y611" s="364"/>
      <c r="Z611" s="364"/>
      <c r="AA611" s="364"/>
    </row>
    <row r="612" customFormat="false" ht="15.75" hidden="false" customHeight="false" outlineLevel="0" collapsed="false">
      <c r="A612" s="261" t="str">
        <f aca="false">IFERROR(__xludf.dummyfunction("""COMPUTED_VALUE"""),"Fraxure")</f>
        <v>Fraxure</v>
      </c>
      <c r="B612" s="364"/>
      <c r="C612" s="262"/>
      <c r="D612" s="364"/>
      <c r="E612" s="364"/>
      <c r="F612" s="364"/>
      <c r="G612" s="364"/>
      <c r="H612" s="364"/>
      <c r="I612" s="364"/>
      <c r="J612" s="364"/>
      <c r="K612" s="364"/>
      <c r="L612" s="364"/>
      <c r="M612" s="364"/>
      <c r="N612" s="364"/>
      <c r="O612" s="364"/>
      <c r="P612" s="364"/>
      <c r="Q612" s="364"/>
      <c r="R612" s="364"/>
      <c r="S612" s="364"/>
      <c r="T612" s="364"/>
      <c r="U612" s="364"/>
      <c r="V612" s="364"/>
      <c r="W612" s="364"/>
      <c r="X612" s="364"/>
      <c r="Y612" s="364"/>
      <c r="Z612" s="364"/>
      <c r="AA612" s="364"/>
    </row>
    <row r="613" customFormat="false" ht="15.75" hidden="false" customHeight="false" outlineLevel="0" collapsed="false">
      <c r="A613" s="261" t="str">
        <f aca="false">IFERROR(__xludf.dummyfunction("""COMPUTED_VALUE"""),"Haxorus")</f>
        <v>Haxorus</v>
      </c>
      <c r="B613" s="364"/>
      <c r="C613" s="262"/>
      <c r="D613" s="364"/>
      <c r="E613" s="364"/>
      <c r="F613" s="364"/>
      <c r="G613" s="364"/>
      <c r="H613" s="364"/>
      <c r="I613" s="364"/>
      <c r="J613" s="364"/>
      <c r="K613" s="364"/>
      <c r="L613" s="364"/>
      <c r="M613" s="364"/>
      <c r="N613" s="364"/>
      <c r="O613" s="364"/>
      <c r="P613" s="364"/>
      <c r="Q613" s="364"/>
      <c r="R613" s="364"/>
      <c r="S613" s="364"/>
      <c r="T613" s="364"/>
      <c r="U613" s="364"/>
      <c r="V613" s="364"/>
      <c r="W613" s="364"/>
      <c r="X613" s="364"/>
      <c r="Y613" s="364"/>
      <c r="Z613" s="364"/>
      <c r="AA613" s="364"/>
    </row>
    <row r="614" customFormat="false" ht="15.75" hidden="false" customHeight="false" outlineLevel="0" collapsed="false">
      <c r="A614" s="261" t="str">
        <f aca="false">IFERROR(__xludf.dummyfunction("""COMPUTED_VALUE"""),"Cubchoo")</f>
        <v>Cubchoo</v>
      </c>
      <c r="B614" s="364"/>
      <c r="C614" s="262"/>
      <c r="D614" s="364"/>
      <c r="E614" s="364"/>
      <c r="F614" s="364"/>
      <c r="G614" s="364"/>
      <c r="H614" s="364"/>
      <c r="I614" s="364"/>
      <c r="J614" s="364"/>
      <c r="K614" s="364"/>
      <c r="L614" s="364"/>
      <c r="M614" s="364"/>
      <c r="N614" s="364"/>
      <c r="O614" s="364"/>
      <c r="P614" s="364"/>
      <c r="Q614" s="364"/>
      <c r="R614" s="364"/>
      <c r="S614" s="364"/>
      <c r="T614" s="364"/>
      <c r="U614" s="364"/>
      <c r="V614" s="364"/>
      <c r="W614" s="364"/>
      <c r="X614" s="364"/>
      <c r="Y614" s="364"/>
      <c r="Z614" s="364"/>
      <c r="AA614" s="364"/>
    </row>
    <row r="615" customFormat="false" ht="15.75" hidden="false" customHeight="false" outlineLevel="0" collapsed="false">
      <c r="A615" s="261" t="str">
        <f aca="false">IFERROR(__xludf.dummyfunction("""COMPUTED_VALUE"""),"Beartic")</f>
        <v>Beartic</v>
      </c>
      <c r="B615" s="364"/>
      <c r="C615" s="262"/>
      <c r="D615" s="364"/>
      <c r="E615" s="364"/>
      <c r="F615" s="364"/>
      <c r="G615" s="364"/>
      <c r="H615" s="364"/>
      <c r="I615" s="364"/>
      <c r="J615" s="364"/>
      <c r="K615" s="364"/>
      <c r="L615" s="364"/>
      <c r="M615" s="364"/>
      <c r="N615" s="364"/>
      <c r="O615" s="364"/>
      <c r="P615" s="364"/>
      <c r="Q615" s="364"/>
      <c r="R615" s="364"/>
      <c r="S615" s="364"/>
      <c r="T615" s="364"/>
      <c r="U615" s="364"/>
      <c r="V615" s="364"/>
      <c r="W615" s="364"/>
      <c r="X615" s="364"/>
      <c r="Y615" s="364"/>
      <c r="Z615" s="364"/>
      <c r="AA615" s="364"/>
    </row>
    <row r="616" customFormat="false" ht="15.75" hidden="false" customHeight="false" outlineLevel="0" collapsed="false">
      <c r="A616" s="261" t="str">
        <f aca="false">IFERROR(__xludf.dummyfunction("""COMPUTED_VALUE"""),"Cryogonal")</f>
        <v>Cryogonal</v>
      </c>
      <c r="B616" s="364"/>
      <c r="C616" s="262"/>
      <c r="D616" s="364"/>
      <c r="E616" s="364"/>
      <c r="F616" s="364"/>
      <c r="G616" s="364"/>
      <c r="H616" s="364"/>
      <c r="I616" s="364"/>
      <c r="J616" s="364"/>
      <c r="K616" s="364"/>
      <c r="L616" s="364"/>
      <c r="M616" s="364"/>
      <c r="N616" s="364"/>
      <c r="O616" s="364"/>
      <c r="P616" s="364"/>
      <c r="Q616" s="364"/>
      <c r="R616" s="364"/>
      <c r="S616" s="364"/>
      <c r="T616" s="364"/>
      <c r="U616" s="364"/>
      <c r="V616" s="364"/>
      <c r="W616" s="364"/>
      <c r="X616" s="364"/>
      <c r="Y616" s="364"/>
      <c r="Z616" s="364"/>
      <c r="AA616" s="364"/>
    </row>
    <row r="617" customFormat="false" ht="15.75" hidden="false" customHeight="false" outlineLevel="0" collapsed="false">
      <c r="A617" s="261" t="str">
        <f aca="false">IFERROR(__xludf.dummyfunction("""COMPUTED_VALUE"""),"Shelmet")</f>
        <v>Shelmet</v>
      </c>
      <c r="B617" s="364"/>
      <c r="C617" s="262"/>
      <c r="D617" s="364"/>
      <c r="E617" s="364"/>
      <c r="F617" s="364"/>
      <c r="G617" s="364"/>
      <c r="H617" s="364"/>
      <c r="I617" s="364"/>
      <c r="J617" s="364"/>
      <c r="K617" s="364"/>
      <c r="L617" s="364"/>
      <c r="M617" s="364"/>
      <c r="N617" s="364"/>
      <c r="O617" s="364"/>
      <c r="P617" s="364"/>
      <c r="Q617" s="364"/>
      <c r="R617" s="364"/>
      <c r="S617" s="364"/>
      <c r="T617" s="364"/>
      <c r="U617" s="364"/>
      <c r="V617" s="364"/>
      <c r="W617" s="364"/>
      <c r="X617" s="364"/>
      <c r="Y617" s="364"/>
      <c r="Z617" s="364"/>
      <c r="AA617" s="364"/>
    </row>
    <row r="618" customFormat="false" ht="15.75" hidden="false" customHeight="false" outlineLevel="0" collapsed="false">
      <c r="A618" s="261" t="str">
        <f aca="false">IFERROR(__xludf.dummyfunction("""COMPUTED_VALUE"""),"Accelgor")</f>
        <v>Accelgor</v>
      </c>
      <c r="B618" s="364"/>
      <c r="C618" s="262"/>
      <c r="D618" s="364"/>
      <c r="E618" s="364"/>
      <c r="F618" s="364"/>
      <c r="G618" s="364"/>
      <c r="H618" s="364"/>
      <c r="I618" s="364"/>
      <c r="J618" s="364"/>
      <c r="K618" s="364"/>
      <c r="L618" s="364"/>
      <c r="M618" s="364"/>
      <c r="N618" s="364"/>
      <c r="O618" s="364"/>
      <c r="P618" s="364"/>
      <c r="Q618" s="364"/>
      <c r="R618" s="364"/>
      <c r="S618" s="364"/>
      <c r="T618" s="364"/>
      <c r="U618" s="364"/>
      <c r="V618" s="364"/>
      <c r="W618" s="364"/>
      <c r="X618" s="364"/>
      <c r="Y618" s="364"/>
      <c r="Z618" s="364"/>
      <c r="AA618" s="364"/>
    </row>
    <row r="619" customFormat="false" ht="15.75" hidden="false" customHeight="false" outlineLevel="0" collapsed="false">
      <c r="A619" s="261" t="str">
        <f aca="false">IFERROR(__xludf.dummyfunction("""COMPUTED_VALUE"""),"Stunfisk")</f>
        <v>Stunfisk</v>
      </c>
      <c r="B619" s="364"/>
      <c r="C619" s="262"/>
      <c r="D619" s="364"/>
      <c r="E619" s="364"/>
      <c r="F619" s="364"/>
      <c r="G619" s="364"/>
      <c r="H619" s="364"/>
      <c r="I619" s="364"/>
      <c r="J619" s="364"/>
      <c r="K619" s="364"/>
      <c r="L619" s="364"/>
      <c r="M619" s="364"/>
      <c r="N619" s="364"/>
      <c r="O619" s="364"/>
      <c r="P619" s="364"/>
      <c r="Q619" s="364"/>
      <c r="R619" s="364"/>
      <c r="S619" s="364"/>
      <c r="T619" s="364"/>
      <c r="U619" s="364"/>
      <c r="V619" s="364"/>
      <c r="W619" s="364"/>
      <c r="X619" s="364"/>
      <c r="Y619" s="364"/>
      <c r="Z619" s="364"/>
      <c r="AA619" s="364"/>
    </row>
    <row r="620" customFormat="false" ht="15.75" hidden="false" customHeight="false" outlineLevel="0" collapsed="false">
      <c r="A620" s="261" t="str">
        <f aca="false">IFERROR(__xludf.dummyfunction("""COMPUTED_VALUE"""),"Mienfoo")</f>
        <v>Mienfoo</v>
      </c>
      <c r="B620" s="364"/>
      <c r="C620" s="262"/>
      <c r="D620" s="364"/>
      <c r="E620" s="364"/>
      <c r="F620" s="364"/>
      <c r="G620" s="364"/>
      <c r="H620" s="364"/>
      <c r="I620" s="364"/>
      <c r="J620" s="364"/>
      <c r="K620" s="364"/>
      <c r="L620" s="364"/>
      <c r="M620" s="364"/>
      <c r="N620" s="364"/>
      <c r="O620" s="364"/>
      <c r="P620" s="364"/>
      <c r="Q620" s="364"/>
      <c r="R620" s="364"/>
      <c r="S620" s="364"/>
      <c r="T620" s="364"/>
      <c r="U620" s="364"/>
      <c r="V620" s="364"/>
      <c r="W620" s="364"/>
      <c r="X620" s="364"/>
      <c r="Y620" s="364"/>
      <c r="Z620" s="364"/>
      <c r="AA620" s="364"/>
    </row>
    <row r="621" customFormat="false" ht="15.75" hidden="false" customHeight="false" outlineLevel="0" collapsed="false">
      <c r="A621" s="261" t="str">
        <f aca="false">IFERROR(__xludf.dummyfunction("""COMPUTED_VALUE"""),"Mienshao")</f>
        <v>Mienshao</v>
      </c>
      <c r="B621" s="364"/>
      <c r="C621" s="262"/>
      <c r="D621" s="364"/>
      <c r="E621" s="364"/>
      <c r="F621" s="364"/>
      <c r="G621" s="364"/>
      <c r="H621" s="364"/>
      <c r="I621" s="364"/>
      <c r="J621" s="364"/>
      <c r="K621" s="364"/>
      <c r="L621" s="364"/>
      <c r="M621" s="364"/>
      <c r="N621" s="364"/>
      <c r="O621" s="364"/>
      <c r="P621" s="364"/>
      <c r="Q621" s="364"/>
      <c r="R621" s="364"/>
      <c r="S621" s="364"/>
      <c r="T621" s="364"/>
      <c r="U621" s="364"/>
      <c r="V621" s="364"/>
      <c r="W621" s="364"/>
      <c r="X621" s="364"/>
      <c r="Y621" s="364"/>
      <c r="Z621" s="364"/>
      <c r="AA621" s="364"/>
    </row>
    <row r="622" customFormat="false" ht="15.75" hidden="false" customHeight="false" outlineLevel="0" collapsed="false">
      <c r="A622" s="261" t="str">
        <f aca="false">IFERROR(__xludf.dummyfunction("""COMPUTED_VALUE"""),"Druddigon")</f>
        <v>Druddigon</v>
      </c>
      <c r="B622" s="364"/>
      <c r="C622" s="262"/>
      <c r="D622" s="364"/>
      <c r="E622" s="364"/>
      <c r="F622" s="364"/>
      <c r="G622" s="364"/>
      <c r="H622" s="364"/>
      <c r="I622" s="364"/>
      <c r="J622" s="364"/>
      <c r="K622" s="364"/>
      <c r="L622" s="364"/>
      <c r="M622" s="364"/>
      <c r="N622" s="364"/>
      <c r="O622" s="364"/>
      <c r="P622" s="364"/>
      <c r="Q622" s="364"/>
      <c r="R622" s="364"/>
      <c r="S622" s="364"/>
      <c r="T622" s="364"/>
      <c r="U622" s="364"/>
      <c r="V622" s="364"/>
      <c r="W622" s="364"/>
      <c r="X622" s="364"/>
      <c r="Y622" s="364"/>
      <c r="Z622" s="364"/>
      <c r="AA622" s="364"/>
    </row>
    <row r="623" customFormat="false" ht="15.75" hidden="false" customHeight="false" outlineLevel="0" collapsed="false">
      <c r="A623" s="261" t="str">
        <f aca="false">IFERROR(__xludf.dummyfunction("""COMPUTED_VALUE"""),"Golett")</f>
        <v>Golett</v>
      </c>
      <c r="B623" s="364"/>
      <c r="C623" s="262"/>
      <c r="D623" s="364"/>
      <c r="E623" s="364"/>
      <c r="F623" s="364"/>
      <c r="G623" s="364"/>
      <c r="H623" s="364"/>
      <c r="I623" s="364"/>
      <c r="J623" s="364"/>
      <c r="K623" s="364"/>
      <c r="L623" s="364"/>
      <c r="M623" s="364"/>
      <c r="N623" s="364"/>
      <c r="O623" s="364"/>
      <c r="P623" s="364"/>
      <c r="Q623" s="364"/>
      <c r="R623" s="364"/>
      <c r="S623" s="364"/>
      <c r="T623" s="364"/>
      <c r="U623" s="364"/>
      <c r="V623" s="364"/>
      <c r="W623" s="364"/>
      <c r="X623" s="364"/>
      <c r="Y623" s="364"/>
      <c r="Z623" s="364"/>
      <c r="AA623" s="364"/>
    </row>
    <row r="624" customFormat="false" ht="15.75" hidden="false" customHeight="false" outlineLevel="0" collapsed="false">
      <c r="A624" s="261" t="str">
        <f aca="false">IFERROR(__xludf.dummyfunction("""COMPUTED_VALUE"""),"Golurk")</f>
        <v>Golurk</v>
      </c>
      <c r="B624" s="364"/>
      <c r="C624" s="262"/>
      <c r="D624" s="364"/>
      <c r="E624" s="364"/>
      <c r="F624" s="364"/>
      <c r="G624" s="364"/>
      <c r="H624" s="364"/>
      <c r="I624" s="364"/>
      <c r="J624" s="364"/>
      <c r="K624" s="364"/>
      <c r="L624" s="364"/>
      <c r="M624" s="364"/>
      <c r="N624" s="364"/>
      <c r="O624" s="364"/>
      <c r="P624" s="364"/>
      <c r="Q624" s="364"/>
      <c r="R624" s="364"/>
      <c r="S624" s="364"/>
      <c r="T624" s="364"/>
      <c r="U624" s="364"/>
      <c r="V624" s="364"/>
      <c r="W624" s="364"/>
      <c r="X624" s="364"/>
      <c r="Y624" s="364"/>
      <c r="Z624" s="364"/>
      <c r="AA624" s="364"/>
    </row>
    <row r="625" customFormat="false" ht="15.75" hidden="false" customHeight="false" outlineLevel="0" collapsed="false">
      <c r="A625" s="261" t="str">
        <f aca="false">IFERROR(__xludf.dummyfunction("""COMPUTED_VALUE"""),"Pawniard")</f>
        <v>Pawniard</v>
      </c>
      <c r="B625" s="364"/>
      <c r="C625" s="262"/>
      <c r="D625" s="364"/>
      <c r="E625" s="364"/>
      <c r="F625" s="364"/>
      <c r="G625" s="364"/>
      <c r="H625" s="364"/>
      <c r="I625" s="364"/>
      <c r="J625" s="364"/>
      <c r="K625" s="364"/>
      <c r="L625" s="364"/>
      <c r="M625" s="364"/>
      <c r="N625" s="364"/>
      <c r="O625" s="364"/>
      <c r="P625" s="364"/>
      <c r="Q625" s="364"/>
      <c r="R625" s="364"/>
      <c r="S625" s="364"/>
      <c r="T625" s="364"/>
      <c r="U625" s="364"/>
      <c r="V625" s="364"/>
      <c r="W625" s="364"/>
      <c r="X625" s="364"/>
      <c r="Y625" s="364"/>
      <c r="Z625" s="364"/>
      <c r="AA625" s="364"/>
    </row>
    <row r="626" customFormat="false" ht="15.75" hidden="false" customHeight="false" outlineLevel="0" collapsed="false">
      <c r="A626" s="261" t="str">
        <f aca="false">IFERROR(__xludf.dummyfunction("""COMPUTED_VALUE"""),"Bisharp")</f>
        <v>Bisharp</v>
      </c>
      <c r="B626" s="364"/>
      <c r="C626" s="262"/>
      <c r="D626" s="364"/>
      <c r="E626" s="364"/>
      <c r="F626" s="364"/>
      <c r="G626" s="364"/>
      <c r="H626" s="364"/>
      <c r="I626" s="364"/>
      <c r="J626" s="364"/>
      <c r="K626" s="364"/>
      <c r="L626" s="364"/>
      <c r="M626" s="364"/>
      <c r="N626" s="364"/>
      <c r="O626" s="364"/>
      <c r="P626" s="364"/>
      <c r="Q626" s="364"/>
      <c r="R626" s="364"/>
      <c r="S626" s="364"/>
      <c r="T626" s="364"/>
      <c r="U626" s="364"/>
      <c r="V626" s="364"/>
      <c r="W626" s="364"/>
      <c r="X626" s="364"/>
      <c r="Y626" s="364"/>
      <c r="Z626" s="364"/>
      <c r="AA626" s="364"/>
    </row>
    <row r="627" customFormat="false" ht="15.75" hidden="false" customHeight="false" outlineLevel="0" collapsed="false">
      <c r="A627" s="261" t="str">
        <f aca="false">IFERROR(__xludf.dummyfunction("""COMPUTED_VALUE"""),"Bouffalant")</f>
        <v>Bouffalant</v>
      </c>
      <c r="B627" s="364"/>
      <c r="C627" s="262"/>
      <c r="D627" s="364"/>
      <c r="E627" s="364"/>
      <c r="F627" s="364"/>
      <c r="G627" s="364"/>
      <c r="H627" s="364"/>
      <c r="I627" s="364"/>
      <c r="J627" s="364"/>
      <c r="K627" s="364"/>
      <c r="L627" s="364"/>
      <c r="M627" s="364"/>
      <c r="N627" s="364"/>
      <c r="O627" s="364"/>
      <c r="P627" s="364"/>
      <c r="Q627" s="364"/>
      <c r="R627" s="364"/>
      <c r="S627" s="364"/>
      <c r="T627" s="364"/>
      <c r="U627" s="364"/>
      <c r="V627" s="364"/>
      <c r="W627" s="364"/>
      <c r="X627" s="364"/>
      <c r="Y627" s="364"/>
      <c r="Z627" s="364"/>
      <c r="AA627" s="364"/>
    </row>
    <row r="628" customFormat="false" ht="15.75" hidden="false" customHeight="false" outlineLevel="0" collapsed="false">
      <c r="A628" s="261" t="str">
        <f aca="false">IFERROR(__xludf.dummyfunction("""COMPUTED_VALUE"""),"Rufflet")</f>
        <v>Rufflet</v>
      </c>
      <c r="B628" s="364"/>
      <c r="C628" s="262"/>
      <c r="D628" s="364"/>
      <c r="E628" s="364"/>
      <c r="F628" s="364"/>
      <c r="G628" s="364"/>
      <c r="H628" s="364"/>
      <c r="I628" s="364"/>
      <c r="J628" s="364"/>
      <c r="K628" s="364"/>
      <c r="L628" s="364"/>
      <c r="M628" s="364"/>
      <c r="N628" s="364"/>
      <c r="O628" s="364"/>
      <c r="P628" s="364"/>
      <c r="Q628" s="364"/>
      <c r="R628" s="364"/>
      <c r="S628" s="364"/>
      <c r="T628" s="364"/>
      <c r="U628" s="364"/>
      <c r="V628" s="364"/>
      <c r="W628" s="364"/>
      <c r="X628" s="364"/>
      <c r="Y628" s="364"/>
      <c r="Z628" s="364"/>
      <c r="AA628" s="364"/>
    </row>
    <row r="629" customFormat="false" ht="15.75" hidden="false" customHeight="false" outlineLevel="0" collapsed="false">
      <c r="A629" s="261" t="str">
        <f aca="false">IFERROR(__xludf.dummyfunction("""COMPUTED_VALUE"""),"Braviary")</f>
        <v>Braviary</v>
      </c>
      <c r="B629" s="364"/>
      <c r="C629" s="262"/>
      <c r="D629" s="364"/>
      <c r="E629" s="364"/>
      <c r="F629" s="364"/>
      <c r="G629" s="364"/>
      <c r="H629" s="364"/>
      <c r="I629" s="364"/>
      <c r="J629" s="364"/>
      <c r="K629" s="364"/>
      <c r="L629" s="364"/>
      <c r="M629" s="364"/>
      <c r="N629" s="364"/>
      <c r="O629" s="364"/>
      <c r="P629" s="364"/>
      <c r="Q629" s="364"/>
      <c r="R629" s="364"/>
      <c r="S629" s="364"/>
      <c r="T629" s="364"/>
      <c r="U629" s="364"/>
      <c r="V629" s="364"/>
      <c r="W629" s="364"/>
      <c r="X629" s="364"/>
      <c r="Y629" s="364"/>
      <c r="Z629" s="364"/>
      <c r="AA629" s="364"/>
    </row>
    <row r="630" customFormat="false" ht="15.75" hidden="false" customHeight="false" outlineLevel="0" collapsed="false">
      <c r="A630" s="261" t="str">
        <f aca="false">IFERROR(__xludf.dummyfunction("""COMPUTED_VALUE"""),"Vullaby")</f>
        <v>Vullaby</v>
      </c>
      <c r="B630" s="364"/>
      <c r="C630" s="262"/>
      <c r="D630" s="364"/>
      <c r="E630" s="364"/>
      <c r="F630" s="364"/>
      <c r="G630" s="364"/>
      <c r="H630" s="364"/>
      <c r="I630" s="364"/>
      <c r="J630" s="364"/>
      <c r="K630" s="364"/>
      <c r="L630" s="364"/>
      <c r="M630" s="364"/>
      <c r="N630" s="364"/>
      <c r="O630" s="364"/>
      <c r="P630" s="364"/>
      <c r="Q630" s="364"/>
      <c r="R630" s="364"/>
      <c r="S630" s="364"/>
      <c r="T630" s="364"/>
      <c r="U630" s="364"/>
      <c r="V630" s="364"/>
      <c r="W630" s="364"/>
      <c r="X630" s="364"/>
      <c r="Y630" s="364"/>
      <c r="Z630" s="364"/>
      <c r="AA630" s="364"/>
    </row>
    <row r="631" customFormat="false" ht="15.75" hidden="false" customHeight="false" outlineLevel="0" collapsed="false">
      <c r="A631" s="261" t="str">
        <f aca="false">IFERROR(__xludf.dummyfunction("""COMPUTED_VALUE"""),"Mandibuzz")</f>
        <v>Mandibuzz</v>
      </c>
      <c r="B631" s="364"/>
      <c r="C631" s="262"/>
      <c r="D631" s="364"/>
      <c r="E631" s="364"/>
      <c r="F631" s="364"/>
      <c r="G631" s="364"/>
      <c r="H631" s="364"/>
      <c r="I631" s="364"/>
      <c r="J631" s="364"/>
      <c r="K631" s="364"/>
      <c r="L631" s="364"/>
      <c r="M631" s="364"/>
      <c r="N631" s="364"/>
      <c r="O631" s="364"/>
      <c r="P631" s="364"/>
      <c r="Q631" s="364"/>
      <c r="R631" s="364"/>
      <c r="S631" s="364"/>
      <c r="T631" s="364"/>
      <c r="U631" s="364"/>
      <c r="V631" s="364"/>
      <c r="W631" s="364"/>
      <c r="X631" s="364"/>
      <c r="Y631" s="364"/>
      <c r="Z631" s="364"/>
      <c r="AA631" s="364"/>
    </row>
    <row r="632" customFormat="false" ht="15.75" hidden="false" customHeight="false" outlineLevel="0" collapsed="false">
      <c r="A632" s="261" t="str">
        <f aca="false">IFERROR(__xludf.dummyfunction("""COMPUTED_VALUE"""),"Heatmor")</f>
        <v>Heatmor</v>
      </c>
      <c r="B632" s="364"/>
      <c r="C632" s="262"/>
      <c r="D632" s="364"/>
      <c r="E632" s="364"/>
      <c r="F632" s="364"/>
      <c r="G632" s="364"/>
      <c r="H632" s="364"/>
      <c r="I632" s="364"/>
      <c r="J632" s="364"/>
      <c r="K632" s="364"/>
      <c r="L632" s="364"/>
      <c r="M632" s="364"/>
      <c r="N632" s="364"/>
      <c r="O632" s="364"/>
      <c r="P632" s="364"/>
      <c r="Q632" s="364"/>
      <c r="R632" s="364"/>
      <c r="S632" s="364"/>
      <c r="T632" s="364"/>
      <c r="U632" s="364"/>
      <c r="V632" s="364"/>
      <c r="W632" s="364"/>
      <c r="X632" s="364"/>
      <c r="Y632" s="364"/>
      <c r="Z632" s="364"/>
      <c r="AA632" s="364"/>
    </row>
    <row r="633" customFormat="false" ht="15.75" hidden="false" customHeight="false" outlineLevel="0" collapsed="false">
      <c r="A633" s="261" t="str">
        <f aca="false">IFERROR(__xludf.dummyfunction("""COMPUTED_VALUE"""),"Durant")</f>
        <v>Durant</v>
      </c>
      <c r="B633" s="364"/>
      <c r="C633" s="262"/>
      <c r="D633" s="364"/>
      <c r="E633" s="364"/>
      <c r="F633" s="364"/>
      <c r="G633" s="364"/>
      <c r="H633" s="364"/>
      <c r="I633" s="364"/>
      <c r="J633" s="364"/>
      <c r="K633" s="364"/>
      <c r="L633" s="364"/>
      <c r="M633" s="364"/>
      <c r="N633" s="364"/>
      <c r="O633" s="364"/>
      <c r="P633" s="364"/>
      <c r="Q633" s="364"/>
      <c r="R633" s="364"/>
      <c r="S633" s="364"/>
      <c r="T633" s="364"/>
      <c r="U633" s="364"/>
      <c r="V633" s="364"/>
      <c r="W633" s="364"/>
      <c r="X633" s="364"/>
      <c r="Y633" s="364"/>
      <c r="Z633" s="364"/>
      <c r="AA633" s="364"/>
    </row>
    <row r="634" customFormat="false" ht="15.75" hidden="false" customHeight="false" outlineLevel="0" collapsed="false">
      <c r="A634" s="261" t="str">
        <f aca="false">IFERROR(__xludf.dummyfunction("""COMPUTED_VALUE"""),"Deino")</f>
        <v>Deino</v>
      </c>
      <c r="B634" s="364"/>
      <c r="C634" s="262"/>
      <c r="D634" s="364"/>
      <c r="E634" s="364"/>
      <c r="F634" s="364"/>
      <c r="G634" s="364"/>
      <c r="H634" s="364"/>
      <c r="I634" s="364"/>
      <c r="J634" s="364"/>
      <c r="K634" s="364"/>
      <c r="L634" s="364"/>
      <c r="M634" s="364"/>
      <c r="N634" s="364"/>
      <c r="O634" s="364"/>
      <c r="P634" s="364"/>
      <c r="Q634" s="364"/>
      <c r="R634" s="364"/>
      <c r="S634" s="364"/>
      <c r="T634" s="364"/>
      <c r="U634" s="364"/>
      <c r="V634" s="364"/>
      <c r="W634" s="364"/>
      <c r="X634" s="364"/>
      <c r="Y634" s="364"/>
      <c r="Z634" s="364"/>
      <c r="AA634" s="364"/>
    </row>
    <row r="635" customFormat="false" ht="15.75" hidden="false" customHeight="false" outlineLevel="0" collapsed="false">
      <c r="A635" s="261" t="str">
        <f aca="false">IFERROR(__xludf.dummyfunction("""COMPUTED_VALUE"""),"Zweilous")</f>
        <v>Zweilous</v>
      </c>
      <c r="B635" s="364"/>
      <c r="C635" s="262"/>
      <c r="D635" s="364"/>
      <c r="E635" s="364"/>
      <c r="F635" s="364"/>
      <c r="G635" s="364"/>
      <c r="H635" s="364"/>
      <c r="I635" s="364"/>
      <c r="J635" s="364"/>
      <c r="K635" s="364"/>
      <c r="L635" s="364"/>
      <c r="M635" s="364"/>
      <c r="N635" s="364"/>
      <c r="O635" s="364"/>
      <c r="P635" s="364"/>
      <c r="Q635" s="364"/>
      <c r="R635" s="364"/>
      <c r="S635" s="364"/>
      <c r="T635" s="364"/>
      <c r="U635" s="364"/>
      <c r="V635" s="364"/>
      <c r="W635" s="364"/>
      <c r="X635" s="364"/>
      <c r="Y635" s="364"/>
      <c r="Z635" s="364"/>
      <c r="AA635" s="364"/>
    </row>
    <row r="636" customFormat="false" ht="15.75" hidden="false" customHeight="false" outlineLevel="0" collapsed="false">
      <c r="A636" s="261" t="str">
        <f aca="false">IFERROR(__xludf.dummyfunction("""COMPUTED_VALUE"""),"Hydreigon")</f>
        <v>Hydreigon</v>
      </c>
      <c r="B636" s="364"/>
      <c r="C636" s="262"/>
      <c r="D636" s="364"/>
      <c r="E636" s="364"/>
      <c r="F636" s="364"/>
      <c r="G636" s="364"/>
      <c r="H636" s="364"/>
      <c r="I636" s="364"/>
      <c r="J636" s="364"/>
      <c r="K636" s="364"/>
      <c r="L636" s="364"/>
      <c r="M636" s="364"/>
      <c r="N636" s="364"/>
      <c r="O636" s="364"/>
      <c r="P636" s="364"/>
      <c r="Q636" s="364"/>
      <c r="R636" s="364"/>
      <c r="S636" s="364"/>
      <c r="T636" s="364"/>
      <c r="U636" s="364"/>
      <c r="V636" s="364"/>
      <c r="W636" s="364"/>
      <c r="X636" s="364"/>
      <c r="Y636" s="364"/>
      <c r="Z636" s="364"/>
      <c r="AA636" s="364"/>
    </row>
    <row r="637" customFormat="false" ht="15.75" hidden="false" customHeight="false" outlineLevel="0" collapsed="false">
      <c r="A637" s="261" t="str">
        <f aca="false">IFERROR(__xludf.dummyfunction("""COMPUTED_VALUE"""),"Larvesta")</f>
        <v>Larvesta</v>
      </c>
      <c r="B637" s="364"/>
      <c r="C637" s="262"/>
      <c r="D637" s="364"/>
      <c r="E637" s="364"/>
      <c r="F637" s="364"/>
      <c r="G637" s="364"/>
      <c r="H637" s="364"/>
      <c r="I637" s="364"/>
      <c r="J637" s="364"/>
      <c r="K637" s="364"/>
      <c r="L637" s="364"/>
      <c r="M637" s="364"/>
      <c r="N637" s="364"/>
      <c r="O637" s="364"/>
      <c r="P637" s="364"/>
      <c r="Q637" s="364"/>
      <c r="R637" s="364"/>
      <c r="S637" s="364"/>
      <c r="T637" s="364"/>
      <c r="U637" s="364"/>
      <c r="V637" s="364"/>
      <c r="W637" s="364"/>
      <c r="X637" s="364"/>
      <c r="Y637" s="364"/>
      <c r="Z637" s="364"/>
      <c r="AA637" s="364"/>
    </row>
    <row r="638" customFormat="false" ht="15.75" hidden="false" customHeight="false" outlineLevel="0" collapsed="false">
      <c r="A638" s="261" t="str">
        <f aca="false">IFERROR(__xludf.dummyfunction("""COMPUTED_VALUE"""),"Volcarona")</f>
        <v>Volcarona</v>
      </c>
      <c r="B638" s="364"/>
      <c r="C638" s="262"/>
      <c r="D638" s="364"/>
      <c r="E638" s="364"/>
      <c r="F638" s="364"/>
      <c r="G638" s="364"/>
      <c r="H638" s="364"/>
      <c r="I638" s="364"/>
      <c r="J638" s="364"/>
      <c r="K638" s="364"/>
      <c r="L638" s="364"/>
      <c r="M638" s="364"/>
      <c r="N638" s="364"/>
      <c r="O638" s="364"/>
      <c r="P638" s="364"/>
      <c r="Q638" s="364"/>
      <c r="R638" s="364"/>
      <c r="S638" s="364"/>
      <c r="T638" s="364"/>
      <c r="U638" s="364"/>
      <c r="V638" s="364"/>
      <c r="W638" s="364"/>
      <c r="X638" s="364"/>
      <c r="Y638" s="364"/>
      <c r="Z638" s="364"/>
      <c r="AA638" s="364"/>
    </row>
    <row r="639" customFormat="false" ht="15.75" hidden="false" customHeight="false" outlineLevel="0" collapsed="false">
      <c r="A639" s="261" t="str">
        <f aca="false">IFERROR(__xludf.dummyfunction("""COMPUTED_VALUE"""),"Cobalion")</f>
        <v>Cobalion</v>
      </c>
      <c r="B639" s="364"/>
      <c r="C639" s="262"/>
      <c r="D639" s="364"/>
      <c r="E639" s="364"/>
      <c r="F639" s="364"/>
      <c r="G639" s="364"/>
      <c r="H639" s="364"/>
      <c r="I639" s="364"/>
      <c r="J639" s="364"/>
      <c r="K639" s="364"/>
      <c r="L639" s="364"/>
      <c r="M639" s="364"/>
      <c r="N639" s="364"/>
      <c r="O639" s="364"/>
      <c r="P639" s="364"/>
      <c r="Q639" s="364"/>
      <c r="R639" s="364"/>
      <c r="S639" s="364"/>
      <c r="T639" s="364"/>
      <c r="U639" s="364"/>
      <c r="V639" s="364"/>
      <c r="W639" s="364"/>
      <c r="X639" s="364"/>
      <c r="Y639" s="364"/>
      <c r="Z639" s="364"/>
      <c r="AA639" s="364"/>
    </row>
    <row r="640" customFormat="false" ht="15.75" hidden="false" customHeight="false" outlineLevel="0" collapsed="false">
      <c r="A640" s="261" t="str">
        <f aca="false">IFERROR(__xludf.dummyfunction("""COMPUTED_VALUE"""),"Terrakion")</f>
        <v>Terrakion</v>
      </c>
      <c r="B640" s="364"/>
      <c r="C640" s="262"/>
      <c r="D640" s="364"/>
      <c r="E640" s="364"/>
      <c r="F640" s="364"/>
      <c r="G640" s="364"/>
      <c r="H640" s="364"/>
      <c r="I640" s="364"/>
      <c r="J640" s="364"/>
      <c r="K640" s="364"/>
      <c r="L640" s="364"/>
      <c r="M640" s="364"/>
      <c r="N640" s="364"/>
      <c r="O640" s="364"/>
      <c r="P640" s="364"/>
      <c r="Q640" s="364"/>
      <c r="R640" s="364"/>
      <c r="S640" s="364"/>
      <c r="T640" s="364"/>
      <c r="U640" s="364"/>
      <c r="V640" s="364"/>
      <c r="W640" s="364"/>
      <c r="X640" s="364"/>
      <c r="Y640" s="364"/>
      <c r="Z640" s="364"/>
      <c r="AA640" s="364"/>
    </row>
    <row r="641" customFormat="false" ht="15.75" hidden="false" customHeight="false" outlineLevel="0" collapsed="false">
      <c r="A641" s="261" t="str">
        <f aca="false">IFERROR(__xludf.dummyfunction("""COMPUTED_VALUE"""),"Virizion")</f>
        <v>Virizion</v>
      </c>
      <c r="B641" s="364"/>
      <c r="C641" s="262"/>
      <c r="D641" s="364"/>
      <c r="E641" s="364"/>
      <c r="F641" s="364"/>
      <c r="G641" s="364"/>
      <c r="H641" s="364"/>
      <c r="I641" s="364"/>
      <c r="J641" s="364"/>
      <c r="K641" s="364"/>
      <c r="L641" s="364"/>
      <c r="M641" s="364"/>
      <c r="N641" s="364"/>
      <c r="O641" s="364"/>
      <c r="P641" s="364"/>
      <c r="Q641" s="364"/>
      <c r="R641" s="364"/>
      <c r="S641" s="364"/>
      <c r="T641" s="364"/>
      <c r="U641" s="364"/>
      <c r="V641" s="364"/>
      <c r="W641" s="364"/>
      <c r="X641" s="364"/>
      <c r="Y641" s="364"/>
      <c r="Z641" s="364"/>
      <c r="AA641" s="364"/>
    </row>
    <row r="642" customFormat="false" ht="15.75" hidden="false" customHeight="false" outlineLevel="0" collapsed="false">
      <c r="A642" s="261" t="str">
        <f aca="false">IFERROR(__xludf.dummyfunction("""COMPUTED_VALUE"""),"Tornadus")</f>
        <v>Tornadus</v>
      </c>
      <c r="B642" s="364"/>
      <c r="C642" s="262"/>
      <c r="D642" s="364"/>
      <c r="E642" s="364"/>
      <c r="F642" s="364"/>
      <c r="G642" s="364"/>
      <c r="H642" s="364"/>
      <c r="I642" s="364"/>
      <c r="J642" s="364"/>
      <c r="K642" s="364"/>
      <c r="L642" s="364"/>
      <c r="M642" s="364"/>
      <c r="N642" s="364"/>
      <c r="O642" s="364"/>
      <c r="P642" s="364"/>
      <c r="Q642" s="364"/>
      <c r="R642" s="364"/>
      <c r="S642" s="364"/>
      <c r="T642" s="364"/>
      <c r="U642" s="364"/>
      <c r="V642" s="364"/>
      <c r="W642" s="364"/>
      <c r="X642" s="364"/>
      <c r="Y642" s="364"/>
      <c r="Z642" s="364"/>
      <c r="AA642" s="364"/>
    </row>
    <row r="643" customFormat="false" ht="15.75" hidden="false" customHeight="false" outlineLevel="0" collapsed="false">
      <c r="A643" s="261" t="str">
        <f aca="false">IFERROR(__xludf.dummyfunction("""COMPUTED_VALUE"""),"Thundurus")</f>
        <v>Thundurus</v>
      </c>
      <c r="B643" s="364"/>
      <c r="C643" s="262"/>
      <c r="D643" s="364"/>
      <c r="E643" s="364"/>
      <c r="F643" s="364"/>
      <c r="G643" s="364"/>
      <c r="H643" s="364"/>
      <c r="I643" s="364"/>
      <c r="J643" s="364"/>
      <c r="K643" s="364"/>
      <c r="L643" s="364"/>
      <c r="M643" s="364"/>
      <c r="N643" s="364"/>
      <c r="O643" s="364"/>
      <c r="P643" s="364"/>
      <c r="Q643" s="364"/>
      <c r="R643" s="364"/>
      <c r="S643" s="364"/>
      <c r="T643" s="364"/>
      <c r="U643" s="364"/>
      <c r="V643" s="364"/>
      <c r="W643" s="364"/>
      <c r="X643" s="364"/>
      <c r="Y643" s="364"/>
      <c r="Z643" s="364"/>
      <c r="AA643" s="364"/>
    </row>
    <row r="644" customFormat="false" ht="15.75" hidden="false" customHeight="false" outlineLevel="0" collapsed="false">
      <c r="A644" s="261" t="str">
        <f aca="false">IFERROR(__xludf.dummyfunction("""COMPUTED_VALUE"""),"Reshiram")</f>
        <v>Reshiram</v>
      </c>
      <c r="B644" s="364"/>
      <c r="C644" s="262"/>
      <c r="D644" s="364"/>
      <c r="E644" s="364"/>
      <c r="F644" s="364"/>
      <c r="G644" s="364"/>
      <c r="H644" s="364"/>
      <c r="I644" s="364"/>
      <c r="J644" s="364"/>
      <c r="K644" s="364"/>
      <c r="L644" s="364"/>
      <c r="M644" s="364"/>
      <c r="N644" s="364"/>
      <c r="O644" s="364"/>
      <c r="P644" s="364"/>
      <c r="Q644" s="364"/>
      <c r="R644" s="364"/>
      <c r="S644" s="364"/>
      <c r="T644" s="364"/>
      <c r="U644" s="364"/>
      <c r="V644" s="364"/>
      <c r="W644" s="364"/>
      <c r="X644" s="364"/>
      <c r="Y644" s="364"/>
      <c r="Z644" s="364"/>
      <c r="AA644" s="364"/>
    </row>
    <row r="645" customFormat="false" ht="15.75" hidden="false" customHeight="false" outlineLevel="0" collapsed="false">
      <c r="A645" s="261" t="str">
        <f aca="false">IFERROR(__xludf.dummyfunction("""COMPUTED_VALUE"""),"Zekrom")</f>
        <v>Zekrom</v>
      </c>
      <c r="B645" s="364"/>
      <c r="C645" s="262"/>
      <c r="D645" s="364"/>
      <c r="E645" s="364"/>
      <c r="F645" s="364"/>
      <c r="G645" s="364"/>
      <c r="H645" s="364"/>
      <c r="I645" s="364"/>
      <c r="J645" s="364"/>
      <c r="K645" s="364"/>
      <c r="L645" s="364"/>
      <c r="M645" s="364"/>
      <c r="N645" s="364"/>
      <c r="O645" s="364"/>
      <c r="P645" s="364"/>
      <c r="Q645" s="364"/>
      <c r="R645" s="364"/>
      <c r="S645" s="364"/>
      <c r="T645" s="364"/>
      <c r="U645" s="364"/>
      <c r="V645" s="364"/>
      <c r="W645" s="364"/>
      <c r="X645" s="364"/>
      <c r="Y645" s="364"/>
      <c r="Z645" s="364"/>
      <c r="AA645" s="364"/>
    </row>
    <row r="646" customFormat="false" ht="15.75" hidden="false" customHeight="false" outlineLevel="0" collapsed="false">
      <c r="A646" s="261" t="str">
        <f aca="false">IFERROR(__xludf.dummyfunction("""COMPUTED_VALUE"""),"Landorus")</f>
        <v>Landorus</v>
      </c>
      <c r="B646" s="364"/>
      <c r="C646" s="262"/>
      <c r="D646" s="364"/>
      <c r="E646" s="364"/>
      <c r="F646" s="364"/>
      <c r="G646" s="364"/>
      <c r="H646" s="364"/>
      <c r="I646" s="364"/>
      <c r="J646" s="364"/>
      <c r="K646" s="364"/>
      <c r="L646" s="364"/>
      <c r="M646" s="364"/>
      <c r="N646" s="364"/>
      <c r="O646" s="364"/>
      <c r="P646" s="364"/>
      <c r="Q646" s="364"/>
      <c r="R646" s="364"/>
      <c r="S646" s="364"/>
      <c r="T646" s="364"/>
      <c r="U646" s="364"/>
      <c r="V646" s="364"/>
      <c r="W646" s="364"/>
      <c r="X646" s="364"/>
      <c r="Y646" s="364"/>
      <c r="Z646" s="364"/>
      <c r="AA646" s="364"/>
    </row>
    <row r="647" customFormat="false" ht="15.75" hidden="false" customHeight="false" outlineLevel="0" collapsed="false">
      <c r="A647" s="261" t="str">
        <f aca="false">IFERROR(__xludf.dummyfunction("""COMPUTED_VALUE"""),"Kyurem")</f>
        <v>Kyurem</v>
      </c>
      <c r="B647" s="364"/>
      <c r="C647" s="262"/>
      <c r="D647" s="364"/>
      <c r="E647" s="364"/>
      <c r="F647" s="364"/>
      <c r="G647" s="364"/>
      <c r="H647" s="364"/>
      <c r="I647" s="364"/>
      <c r="J647" s="364"/>
      <c r="K647" s="364"/>
      <c r="L647" s="364"/>
      <c r="M647" s="364"/>
      <c r="N647" s="364"/>
      <c r="O647" s="364"/>
      <c r="P647" s="364"/>
      <c r="Q647" s="364"/>
      <c r="R647" s="364"/>
      <c r="S647" s="364"/>
      <c r="T647" s="364"/>
      <c r="U647" s="364"/>
      <c r="V647" s="364"/>
      <c r="W647" s="364"/>
      <c r="X647" s="364"/>
      <c r="Y647" s="364"/>
      <c r="Z647" s="364"/>
      <c r="AA647" s="364"/>
    </row>
    <row r="648" customFormat="false" ht="15.75" hidden="false" customHeight="false" outlineLevel="0" collapsed="false">
      <c r="A648" s="261" t="str">
        <f aca="false">IFERROR(__xludf.dummyfunction("""COMPUTED_VALUE"""),"Keldeo")</f>
        <v>Keldeo</v>
      </c>
      <c r="B648" s="364"/>
      <c r="C648" s="262"/>
      <c r="D648" s="364"/>
      <c r="E648" s="364"/>
      <c r="F648" s="364"/>
      <c r="G648" s="364"/>
      <c r="H648" s="364"/>
      <c r="I648" s="364"/>
      <c r="J648" s="364"/>
      <c r="K648" s="364"/>
      <c r="L648" s="364"/>
      <c r="M648" s="364"/>
      <c r="N648" s="364"/>
      <c r="O648" s="364"/>
      <c r="P648" s="364"/>
      <c r="Q648" s="364"/>
      <c r="R648" s="364"/>
      <c r="S648" s="364"/>
      <c r="T648" s="364"/>
      <c r="U648" s="364"/>
      <c r="V648" s="364"/>
      <c r="W648" s="364"/>
      <c r="X648" s="364"/>
      <c r="Y648" s="364"/>
      <c r="Z648" s="364"/>
      <c r="AA648" s="364"/>
    </row>
    <row r="649" customFormat="false" ht="15.75" hidden="false" customHeight="false" outlineLevel="0" collapsed="false">
      <c r="A649" s="261" t="str">
        <f aca="false">IFERROR(__xludf.dummyfunction("""COMPUTED_VALUE"""),"Meloetta")</f>
        <v>Meloetta</v>
      </c>
      <c r="B649" s="364"/>
      <c r="C649" s="262"/>
      <c r="D649" s="364"/>
      <c r="E649" s="364"/>
      <c r="F649" s="364"/>
      <c r="G649" s="364"/>
      <c r="H649" s="364"/>
      <c r="I649" s="364"/>
      <c r="J649" s="364"/>
      <c r="K649" s="364"/>
      <c r="L649" s="364"/>
      <c r="M649" s="364"/>
      <c r="N649" s="364"/>
      <c r="O649" s="364"/>
      <c r="P649" s="364"/>
      <c r="Q649" s="364"/>
      <c r="R649" s="364"/>
      <c r="S649" s="364"/>
      <c r="T649" s="364"/>
      <c r="U649" s="364"/>
      <c r="V649" s="364"/>
      <c r="W649" s="364"/>
      <c r="X649" s="364"/>
      <c r="Y649" s="364"/>
      <c r="Z649" s="364"/>
      <c r="AA649" s="364"/>
    </row>
    <row r="650" customFormat="false" ht="15.75" hidden="false" customHeight="false" outlineLevel="0" collapsed="false">
      <c r="A650" s="261" t="str">
        <f aca="false">IFERROR(__xludf.dummyfunction("""COMPUTED_VALUE"""),"Genesect")</f>
        <v>Genesect</v>
      </c>
      <c r="B650" s="364"/>
      <c r="C650" s="262"/>
      <c r="D650" s="364"/>
      <c r="E650" s="364"/>
      <c r="F650" s="364"/>
      <c r="G650" s="364"/>
      <c r="H650" s="364"/>
      <c r="I650" s="364"/>
      <c r="J650" s="364"/>
      <c r="K650" s="364"/>
      <c r="L650" s="364"/>
      <c r="M650" s="364"/>
      <c r="N650" s="364"/>
      <c r="O650" s="364"/>
      <c r="P650" s="364"/>
      <c r="Q650" s="364"/>
      <c r="R650" s="364"/>
      <c r="S650" s="364"/>
      <c r="T650" s="364"/>
      <c r="U650" s="364"/>
      <c r="V650" s="364"/>
      <c r="W650" s="364"/>
      <c r="X650" s="364"/>
      <c r="Y650" s="364"/>
      <c r="Z650" s="364"/>
      <c r="AA650" s="364"/>
    </row>
    <row r="651" customFormat="false" ht="15.75" hidden="false" customHeight="false" outlineLevel="0" collapsed="false">
      <c r="A651" s="261" t="str">
        <f aca="false">IFERROR(__xludf.dummyfunction("""COMPUTED_VALUE"""),"Chespin")</f>
        <v>Chespin</v>
      </c>
      <c r="B651" s="364"/>
      <c r="C651" s="262"/>
      <c r="D651" s="364"/>
      <c r="E651" s="364"/>
      <c r="F651" s="364"/>
      <c r="G651" s="364"/>
      <c r="H651" s="364"/>
      <c r="I651" s="364"/>
      <c r="J651" s="364"/>
      <c r="K651" s="364"/>
      <c r="L651" s="364"/>
      <c r="M651" s="364"/>
      <c r="N651" s="364"/>
      <c r="O651" s="364"/>
      <c r="P651" s="364"/>
      <c r="Q651" s="364"/>
      <c r="R651" s="364"/>
      <c r="S651" s="364"/>
      <c r="T651" s="364"/>
      <c r="U651" s="364"/>
      <c r="V651" s="364"/>
      <c r="W651" s="364"/>
      <c r="X651" s="364"/>
      <c r="Y651" s="364"/>
      <c r="Z651" s="364"/>
      <c r="AA651" s="364"/>
    </row>
    <row r="652" customFormat="false" ht="15.75" hidden="false" customHeight="false" outlineLevel="0" collapsed="false">
      <c r="A652" s="261" t="str">
        <f aca="false">IFERROR(__xludf.dummyfunction("""COMPUTED_VALUE"""),"Quilladin")</f>
        <v>Quilladin</v>
      </c>
      <c r="B652" s="364"/>
      <c r="C652" s="262"/>
      <c r="D652" s="364"/>
      <c r="E652" s="364"/>
      <c r="F652" s="364"/>
      <c r="G652" s="364"/>
      <c r="H652" s="364"/>
      <c r="I652" s="364"/>
      <c r="J652" s="364"/>
      <c r="K652" s="364"/>
      <c r="L652" s="364"/>
      <c r="M652" s="364"/>
      <c r="N652" s="364"/>
      <c r="O652" s="364"/>
      <c r="P652" s="364"/>
      <c r="Q652" s="364"/>
      <c r="R652" s="364"/>
      <c r="S652" s="364"/>
      <c r="T652" s="364"/>
      <c r="U652" s="364"/>
      <c r="V652" s="364"/>
      <c r="W652" s="364"/>
      <c r="X652" s="364"/>
      <c r="Y652" s="364"/>
      <c r="Z652" s="364"/>
      <c r="AA652" s="364"/>
    </row>
    <row r="653" customFormat="false" ht="15.75" hidden="false" customHeight="false" outlineLevel="0" collapsed="false">
      <c r="A653" s="261" t="str">
        <f aca="false">IFERROR(__xludf.dummyfunction("""COMPUTED_VALUE"""),"Chesnaught")</f>
        <v>Chesnaught</v>
      </c>
      <c r="B653" s="364"/>
      <c r="C653" s="262"/>
      <c r="D653" s="364"/>
      <c r="E653" s="364"/>
      <c r="F653" s="364"/>
      <c r="G653" s="364"/>
      <c r="H653" s="364"/>
      <c r="I653" s="364"/>
      <c r="J653" s="364"/>
      <c r="K653" s="364"/>
      <c r="L653" s="364"/>
      <c r="M653" s="364"/>
      <c r="N653" s="364"/>
      <c r="O653" s="364"/>
      <c r="P653" s="364"/>
      <c r="Q653" s="364"/>
      <c r="R653" s="364"/>
      <c r="S653" s="364"/>
      <c r="T653" s="364"/>
      <c r="U653" s="364"/>
      <c r="V653" s="364"/>
      <c r="W653" s="364"/>
      <c r="X653" s="364"/>
      <c r="Y653" s="364"/>
      <c r="Z653" s="364"/>
      <c r="AA653" s="364"/>
    </row>
    <row r="654" customFormat="false" ht="15.75" hidden="false" customHeight="false" outlineLevel="0" collapsed="false">
      <c r="A654" s="261" t="str">
        <f aca="false">IFERROR(__xludf.dummyfunction("""COMPUTED_VALUE"""),"Fennekin")</f>
        <v>Fennekin</v>
      </c>
      <c r="B654" s="364"/>
      <c r="C654" s="262"/>
      <c r="D654" s="364"/>
      <c r="E654" s="364"/>
      <c r="F654" s="364"/>
      <c r="G654" s="364"/>
      <c r="H654" s="364"/>
      <c r="I654" s="364"/>
      <c r="J654" s="364"/>
      <c r="K654" s="364"/>
      <c r="L654" s="364"/>
      <c r="M654" s="364"/>
      <c r="N654" s="364"/>
      <c r="O654" s="364"/>
      <c r="P654" s="364"/>
      <c r="Q654" s="364"/>
      <c r="R654" s="364"/>
      <c r="S654" s="364"/>
      <c r="T654" s="364"/>
      <c r="U654" s="364"/>
      <c r="V654" s="364"/>
      <c r="W654" s="364"/>
      <c r="X654" s="364"/>
      <c r="Y654" s="364"/>
      <c r="Z654" s="364"/>
      <c r="AA654" s="364"/>
    </row>
    <row r="655" customFormat="false" ht="15.75" hidden="false" customHeight="false" outlineLevel="0" collapsed="false">
      <c r="A655" s="261" t="str">
        <f aca="false">IFERROR(__xludf.dummyfunction("""COMPUTED_VALUE"""),"Braixen")</f>
        <v>Braixen</v>
      </c>
      <c r="B655" s="364"/>
      <c r="C655" s="262"/>
      <c r="D655" s="364"/>
      <c r="E655" s="364"/>
      <c r="F655" s="364"/>
      <c r="G655" s="364"/>
      <c r="H655" s="364"/>
      <c r="I655" s="364"/>
      <c r="J655" s="364"/>
      <c r="K655" s="364"/>
      <c r="L655" s="364"/>
      <c r="M655" s="364"/>
      <c r="N655" s="364"/>
      <c r="O655" s="364"/>
      <c r="P655" s="364"/>
      <c r="Q655" s="364"/>
      <c r="R655" s="364"/>
      <c r="S655" s="364"/>
      <c r="T655" s="364"/>
      <c r="U655" s="364"/>
      <c r="V655" s="364"/>
      <c r="W655" s="364"/>
      <c r="X655" s="364"/>
      <c r="Y655" s="364"/>
      <c r="Z655" s="364"/>
      <c r="AA655" s="364"/>
    </row>
    <row r="656" customFormat="false" ht="15.75" hidden="false" customHeight="false" outlineLevel="0" collapsed="false">
      <c r="A656" s="261" t="str">
        <f aca="false">IFERROR(__xludf.dummyfunction("""COMPUTED_VALUE"""),"Delphox")</f>
        <v>Delphox</v>
      </c>
      <c r="B656" s="364"/>
      <c r="C656" s="262"/>
      <c r="D656" s="364"/>
      <c r="E656" s="364"/>
      <c r="F656" s="364"/>
      <c r="G656" s="364"/>
      <c r="H656" s="364"/>
      <c r="I656" s="364"/>
      <c r="J656" s="364"/>
      <c r="K656" s="364"/>
      <c r="L656" s="364"/>
      <c r="M656" s="364"/>
      <c r="N656" s="364"/>
      <c r="O656" s="364"/>
      <c r="P656" s="364"/>
      <c r="Q656" s="364"/>
      <c r="R656" s="364"/>
      <c r="S656" s="364"/>
      <c r="T656" s="364"/>
      <c r="U656" s="364"/>
      <c r="V656" s="364"/>
      <c r="W656" s="364"/>
      <c r="X656" s="364"/>
      <c r="Y656" s="364"/>
      <c r="Z656" s="364"/>
      <c r="AA656" s="364"/>
    </row>
    <row r="657" customFormat="false" ht="15.75" hidden="false" customHeight="false" outlineLevel="0" collapsed="false">
      <c r="A657" s="261" t="str">
        <f aca="false">IFERROR(__xludf.dummyfunction("""COMPUTED_VALUE"""),"Froakie")</f>
        <v>Froakie</v>
      </c>
      <c r="B657" s="364"/>
      <c r="C657" s="262"/>
      <c r="D657" s="364"/>
      <c r="E657" s="364"/>
      <c r="F657" s="364"/>
      <c r="G657" s="364"/>
      <c r="H657" s="364"/>
      <c r="I657" s="364"/>
      <c r="J657" s="364"/>
      <c r="K657" s="364"/>
      <c r="L657" s="364"/>
      <c r="M657" s="364"/>
      <c r="N657" s="364"/>
      <c r="O657" s="364"/>
      <c r="P657" s="364"/>
      <c r="Q657" s="364"/>
      <c r="R657" s="364"/>
      <c r="S657" s="364"/>
      <c r="T657" s="364"/>
      <c r="U657" s="364"/>
      <c r="V657" s="364"/>
      <c r="W657" s="364"/>
      <c r="X657" s="364"/>
      <c r="Y657" s="364"/>
      <c r="Z657" s="364"/>
      <c r="AA657" s="364"/>
    </row>
    <row r="658" customFormat="false" ht="15.75" hidden="false" customHeight="false" outlineLevel="0" collapsed="false">
      <c r="A658" s="261" t="str">
        <f aca="false">IFERROR(__xludf.dummyfunction("""COMPUTED_VALUE"""),"Frogadier")</f>
        <v>Frogadier</v>
      </c>
      <c r="B658" s="364"/>
      <c r="C658" s="262"/>
      <c r="D658" s="364"/>
      <c r="E658" s="364"/>
      <c r="F658" s="364"/>
      <c r="G658" s="364"/>
      <c r="H658" s="364"/>
      <c r="I658" s="364"/>
      <c r="J658" s="364"/>
      <c r="K658" s="364"/>
      <c r="L658" s="364"/>
      <c r="M658" s="364"/>
      <c r="N658" s="364"/>
      <c r="O658" s="364"/>
      <c r="P658" s="364"/>
      <c r="Q658" s="364"/>
      <c r="R658" s="364"/>
      <c r="S658" s="364"/>
      <c r="T658" s="364"/>
      <c r="U658" s="364"/>
      <c r="V658" s="364"/>
      <c r="W658" s="364"/>
      <c r="X658" s="364"/>
      <c r="Y658" s="364"/>
      <c r="Z658" s="364"/>
      <c r="AA658" s="364"/>
    </row>
    <row r="659" customFormat="false" ht="15.75" hidden="false" customHeight="false" outlineLevel="0" collapsed="false">
      <c r="A659" s="261" t="str">
        <f aca="false">IFERROR(__xludf.dummyfunction("""COMPUTED_VALUE"""),"Greninja")</f>
        <v>Greninja</v>
      </c>
      <c r="B659" s="364"/>
      <c r="C659" s="262"/>
      <c r="D659" s="364"/>
      <c r="E659" s="364"/>
      <c r="F659" s="364"/>
      <c r="G659" s="364"/>
      <c r="H659" s="364"/>
      <c r="I659" s="364"/>
      <c r="J659" s="364"/>
      <c r="K659" s="364"/>
      <c r="L659" s="364"/>
      <c r="M659" s="364"/>
      <c r="N659" s="364"/>
      <c r="O659" s="364"/>
      <c r="P659" s="364"/>
      <c r="Q659" s="364"/>
      <c r="R659" s="364"/>
      <c r="S659" s="364"/>
      <c r="T659" s="364"/>
      <c r="U659" s="364"/>
      <c r="V659" s="364"/>
      <c r="W659" s="364"/>
      <c r="X659" s="364"/>
      <c r="Y659" s="364"/>
      <c r="Z659" s="364"/>
      <c r="AA659" s="364"/>
    </row>
    <row r="660" customFormat="false" ht="15.75" hidden="false" customHeight="false" outlineLevel="0" collapsed="false">
      <c r="A660" s="261" t="str">
        <f aca="false">IFERROR(__xludf.dummyfunction("""COMPUTED_VALUE"""),"Bunnelby")</f>
        <v>Bunnelby</v>
      </c>
      <c r="B660" s="364"/>
      <c r="C660" s="262"/>
      <c r="D660" s="364"/>
      <c r="E660" s="364"/>
      <c r="F660" s="364"/>
      <c r="G660" s="364"/>
      <c r="H660" s="364"/>
      <c r="I660" s="364"/>
      <c r="J660" s="364"/>
      <c r="K660" s="364"/>
      <c r="L660" s="364"/>
      <c r="M660" s="364"/>
      <c r="N660" s="364"/>
      <c r="O660" s="364"/>
      <c r="P660" s="364"/>
      <c r="Q660" s="364"/>
      <c r="R660" s="364"/>
      <c r="S660" s="364"/>
      <c r="T660" s="364"/>
      <c r="U660" s="364"/>
      <c r="V660" s="364"/>
      <c r="W660" s="364"/>
      <c r="X660" s="364"/>
      <c r="Y660" s="364"/>
      <c r="Z660" s="364"/>
      <c r="AA660" s="364"/>
    </row>
    <row r="661" customFormat="false" ht="15.75" hidden="false" customHeight="false" outlineLevel="0" collapsed="false">
      <c r="A661" s="261" t="str">
        <f aca="false">IFERROR(__xludf.dummyfunction("""COMPUTED_VALUE"""),"Diggersby")</f>
        <v>Diggersby</v>
      </c>
      <c r="B661" s="364"/>
      <c r="C661" s="262"/>
      <c r="D661" s="364"/>
      <c r="E661" s="364"/>
      <c r="F661" s="364"/>
      <c r="G661" s="364"/>
      <c r="H661" s="364"/>
      <c r="I661" s="364"/>
      <c r="J661" s="364"/>
      <c r="K661" s="364"/>
      <c r="L661" s="364"/>
      <c r="M661" s="364"/>
      <c r="N661" s="364"/>
      <c r="O661" s="364"/>
      <c r="P661" s="364"/>
      <c r="Q661" s="364"/>
      <c r="R661" s="364"/>
      <c r="S661" s="364"/>
      <c r="T661" s="364"/>
      <c r="U661" s="364"/>
      <c r="V661" s="364"/>
      <c r="W661" s="364"/>
      <c r="X661" s="364"/>
      <c r="Y661" s="364"/>
      <c r="Z661" s="364"/>
      <c r="AA661" s="364"/>
    </row>
    <row r="662" customFormat="false" ht="15.75" hidden="false" customHeight="false" outlineLevel="0" collapsed="false">
      <c r="A662" s="261" t="str">
        <f aca="false">IFERROR(__xludf.dummyfunction("""COMPUTED_VALUE"""),"Fletchling")</f>
        <v>Fletchling</v>
      </c>
      <c r="B662" s="364"/>
      <c r="C662" s="262"/>
      <c r="D662" s="364"/>
      <c r="E662" s="364"/>
      <c r="F662" s="364"/>
      <c r="G662" s="364"/>
      <c r="H662" s="364"/>
      <c r="I662" s="364"/>
      <c r="J662" s="364"/>
      <c r="K662" s="364"/>
      <c r="L662" s="364"/>
      <c r="M662" s="364"/>
      <c r="N662" s="364"/>
      <c r="O662" s="364"/>
      <c r="P662" s="364"/>
      <c r="Q662" s="364"/>
      <c r="R662" s="364"/>
      <c r="S662" s="364"/>
      <c r="T662" s="364"/>
      <c r="U662" s="364"/>
      <c r="V662" s="364"/>
      <c r="W662" s="364"/>
      <c r="X662" s="364"/>
      <c r="Y662" s="364"/>
      <c r="Z662" s="364"/>
      <c r="AA662" s="364"/>
    </row>
    <row r="663" customFormat="false" ht="15.75" hidden="false" customHeight="false" outlineLevel="0" collapsed="false">
      <c r="A663" s="261" t="str">
        <f aca="false">IFERROR(__xludf.dummyfunction("""COMPUTED_VALUE"""),"Fletchinder")</f>
        <v>Fletchinder</v>
      </c>
      <c r="B663" s="364"/>
      <c r="C663" s="262"/>
      <c r="D663" s="364"/>
      <c r="E663" s="364"/>
      <c r="F663" s="364"/>
      <c r="G663" s="364"/>
      <c r="H663" s="364"/>
      <c r="I663" s="364"/>
      <c r="J663" s="364"/>
      <c r="K663" s="364"/>
      <c r="L663" s="364"/>
      <c r="M663" s="364"/>
      <c r="N663" s="364"/>
      <c r="O663" s="364"/>
      <c r="P663" s="364"/>
      <c r="Q663" s="364"/>
      <c r="R663" s="364"/>
      <c r="S663" s="364"/>
      <c r="T663" s="364"/>
      <c r="U663" s="364"/>
      <c r="V663" s="364"/>
      <c r="W663" s="364"/>
      <c r="X663" s="364"/>
      <c r="Y663" s="364"/>
      <c r="Z663" s="364"/>
      <c r="AA663" s="364"/>
    </row>
    <row r="664" customFormat="false" ht="15.75" hidden="false" customHeight="false" outlineLevel="0" collapsed="false">
      <c r="A664" s="261" t="str">
        <f aca="false">IFERROR(__xludf.dummyfunction("""COMPUTED_VALUE"""),"Talonflame")</f>
        <v>Talonflame</v>
      </c>
      <c r="B664" s="364"/>
      <c r="C664" s="262"/>
      <c r="D664" s="364"/>
      <c r="E664" s="364"/>
      <c r="F664" s="364"/>
      <c r="G664" s="364"/>
      <c r="H664" s="364"/>
      <c r="I664" s="364"/>
      <c r="J664" s="364"/>
      <c r="K664" s="364"/>
      <c r="L664" s="364"/>
      <c r="M664" s="364"/>
      <c r="N664" s="364"/>
      <c r="O664" s="364"/>
      <c r="P664" s="364"/>
      <c r="Q664" s="364"/>
      <c r="R664" s="364"/>
      <c r="S664" s="364"/>
      <c r="T664" s="364"/>
      <c r="U664" s="364"/>
      <c r="V664" s="364"/>
      <c r="W664" s="364"/>
      <c r="X664" s="364"/>
      <c r="Y664" s="364"/>
      <c r="Z664" s="364"/>
      <c r="AA664" s="364"/>
    </row>
    <row r="665" customFormat="false" ht="15.75" hidden="false" customHeight="false" outlineLevel="0" collapsed="false">
      <c r="A665" s="261" t="str">
        <f aca="false">IFERROR(__xludf.dummyfunction("""COMPUTED_VALUE"""),"Scatterbug")</f>
        <v>Scatterbug</v>
      </c>
      <c r="B665" s="364"/>
      <c r="C665" s="262"/>
      <c r="D665" s="364"/>
      <c r="E665" s="364"/>
      <c r="F665" s="364"/>
      <c r="G665" s="364"/>
      <c r="H665" s="364"/>
      <c r="I665" s="364"/>
      <c r="J665" s="364"/>
      <c r="K665" s="364"/>
      <c r="L665" s="364"/>
      <c r="M665" s="364"/>
      <c r="N665" s="364"/>
      <c r="O665" s="364"/>
      <c r="P665" s="364"/>
      <c r="Q665" s="364"/>
      <c r="R665" s="364"/>
      <c r="S665" s="364"/>
      <c r="T665" s="364"/>
      <c r="U665" s="364"/>
      <c r="V665" s="364"/>
      <c r="W665" s="364"/>
      <c r="X665" s="364"/>
      <c r="Y665" s="364"/>
      <c r="Z665" s="364"/>
      <c r="AA665" s="364"/>
    </row>
    <row r="666" customFormat="false" ht="15.75" hidden="false" customHeight="false" outlineLevel="0" collapsed="false">
      <c r="A666" s="261" t="str">
        <f aca="false">IFERROR(__xludf.dummyfunction("""COMPUTED_VALUE"""),"Spewpa")</f>
        <v>Spewpa</v>
      </c>
      <c r="B666" s="364"/>
      <c r="C666" s="262"/>
      <c r="D666" s="364"/>
      <c r="E666" s="364"/>
      <c r="F666" s="364"/>
      <c r="G666" s="364"/>
      <c r="H666" s="364"/>
      <c r="I666" s="364"/>
      <c r="J666" s="364"/>
      <c r="K666" s="364"/>
      <c r="L666" s="364"/>
      <c r="M666" s="364"/>
      <c r="N666" s="364"/>
      <c r="O666" s="364"/>
      <c r="P666" s="364"/>
      <c r="Q666" s="364"/>
      <c r="R666" s="364"/>
      <c r="S666" s="364"/>
      <c r="T666" s="364"/>
      <c r="U666" s="364"/>
      <c r="V666" s="364"/>
      <c r="W666" s="364"/>
      <c r="X666" s="364"/>
      <c r="Y666" s="364"/>
      <c r="Z666" s="364"/>
      <c r="AA666" s="364"/>
    </row>
    <row r="667" customFormat="false" ht="15.75" hidden="false" customHeight="false" outlineLevel="0" collapsed="false">
      <c r="A667" s="261" t="str">
        <f aca="false">IFERROR(__xludf.dummyfunction("""COMPUTED_VALUE"""),"Vivillon")</f>
        <v>Vivillon</v>
      </c>
      <c r="B667" s="364"/>
      <c r="C667" s="262"/>
      <c r="D667" s="364"/>
      <c r="E667" s="364"/>
      <c r="F667" s="364"/>
      <c r="G667" s="364"/>
      <c r="H667" s="364"/>
      <c r="I667" s="364"/>
      <c r="J667" s="364"/>
      <c r="K667" s="364"/>
      <c r="L667" s="364"/>
      <c r="M667" s="364"/>
      <c r="N667" s="364"/>
      <c r="O667" s="364"/>
      <c r="P667" s="364"/>
      <c r="Q667" s="364"/>
      <c r="R667" s="364"/>
      <c r="S667" s="364"/>
      <c r="T667" s="364"/>
      <c r="U667" s="364"/>
      <c r="V667" s="364"/>
      <c r="W667" s="364"/>
      <c r="X667" s="364"/>
      <c r="Y667" s="364"/>
      <c r="Z667" s="364"/>
      <c r="AA667" s="364"/>
    </row>
    <row r="668" customFormat="false" ht="15.75" hidden="false" customHeight="false" outlineLevel="0" collapsed="false">
      <c r="A668" s="261" t="str">
        <f aca="false">IFERROR(__xludf.dummyfunction("""COMPUTED_VALUE"""),"Litleo")</f>
        <v>Litleo</v>
      </c>
      <c r="B668" s="364"/>
      <c r="C668" s="262"/>
      <c r="D668" s="364"/>
      <c r="E668" s="364"/>
      <c r="F668" s="364"/>
      <c r="G668" s="364"/>
      <c r="H668" s="364"/>
      <c r="I668" s="364"/>
      <c r="J668" s="364"/>
      <c r="K668" s="364"/>
      <c r="L668" s="364"/>
      <c r="M668" s="364"/>
      <c r="N668" s="364"/>
      <c r="O668" s="364"/>
      <c r="P668" s="364"/>
      <c r="Q668" s="364"/>
      <c r="R668" s="364"/>
      <c r="S668" s="364"/>
      <c r="T668" s="364"/>
      <c r="U668" s="364"/>
      <c r="V668" s="364"/>
      <c r="W668" s="364"/>
      <c r="X668" s="364"/>
      <c r="Y668" s="364"/>
      <c r="Z668" s="364"/>
      <c r="AA668" s="364"/>
    </row>
    <row r="669" customFormat="false" ht="15.75" hidden="false" customHeight="false" outlineLevel="0" collapsed="false">
      <c r="A669" s="261" t="str">
        <f aca="false">IFERROR(__xludf.dummyfunction("""COMPUTED_VALUE"""),"Pyroar")</f>
        <v>Pyroar</v>
      </c>
      <c r="B669" s="364"/>
      <c r="C669" s="262"/>
      <c r="D669" s="364"/>
      <c r="E669" s="364"/>
      <c r="F669" s="364"/>
      <c r="G669" s="364"/>
      <c r="H669" s="364"/>
      <c r="I669" s="364"/>
      <c r="J669" s="364"/>
      <c r="K669" s="364"/>
      <c r="L669" s="364"/>
      <c r="M669" s="364"/>
      <c r="N669" s="364"/>
      <c r="O669" s="364"/>
      <c r="P669" s="364"/>
      <c r="Q669" s="364"/>
      <c r="R669" s="364"/>
      <c r="S669" s="364"/>
      <c r="T669" s="364"/>
      <c r="U669" s="364"/>
      <c r="V669" s="364"/>
      <c r="W669" s="364"/>
      <c r="X669" s="364"/>
      <c r="Y669" s="364"/>
      <c r="Z669" s="364"/>
      <c r="AA669" s="364"/>
    </row>
    <row r="670" customFormat="false" ht="15.75" hidden="false" customHeight="false" outlineLevel="0" collapsed="false">
      <c r="A670" s="261" t="str">
        <f aca="false">IFERROR(__xludf.dummyfunction("""COMPUTED_VALUE"""),"Flabébé")</f>
        <v>Flabébé</v>
      </c>
      <c r="B670" s="364"/>
      <c r="C670" s="262"/>
      <c r="D670" s="364"/>
      <c r="E670" s="364"/>
      <c r="F670" s="364"/>
      <c r="G670" s="364"/>
      <c r="H670" s="364"/>
      <c r="I670" s="364"/>
      <c r="J670" s="364"/>
      <c r="K670" s="364"/>
      <c r="L670" s="364"/>
      <c r="M670" s="364"/>
      <c r="N670" s="364"/>
      <c r="O670" s="364"/>
      <c r="P670" s="364"/>
      <c r="Q670" s="364"/>
      <c r="R670" s="364"/>
      <c r="S670" s="364"/>
      <c r="T670" s="364"/>
      <c r="U670" s="364"/>
      <c r="V670" s="364"/>
      <c r="W670" s="364"/>
      <c r="X670" s="364"/>
      <c r="Y670" s="364"/>
      <c r="Z670" s="364"/>
      <c r="AA670" s="364"/>
    </row>
    <row r="671" customFormat="false" ht="15.75" hidden="false" customHeight="false" outlineLevel="0" collapsed="false">
      <c r="A671" s="261" t="str">
        <f aca="false">IFERROR(__xludf.dummyfunction("""COMPUTED_VALUE"""),"Floette")</f>
        <v>Floette</v>
      </c>
      <c r="B671" s="364"/>
      <c r="C671" s="262"/>
      <c r="D671" s="364"/>
      <c r="E671" s="364"/>
      <c r="F671" s="364"/>
      <c r="G671" s="364"/>
      <c r="H671" s="364"/>
      <c r="I671" s="364"/>
      <c r="J671" s="364"/>
      <c r="K671" s="364"/>
      <c r="L671" s="364"/>
      <c r="M671" s="364"/>
      <c r="N671" s="364"/>
      <c r="O671" s="364"/>
      <c r="P671" s="364"/>
      <c r="Q671" s="364"/>
      <c r="R671" s="364"/>
      <c r="S671" s="364"/>
      <c r="T671" s="364"/>
      <c r="U671" s="364"/>
      <c r="V671" s="364"/>
      <c r="W671" s="364"/>
      <c r="X671" s="364"/>
      <c r="Y671" s="364"/>
      <c r="Z671" s="364"/>
      <c r="AA671" s="364"/>
    </row>
    <row r="672" customFormat="false" ht="15.75" hidden="false" customHeight="false" outlineLevel="0" collapsed="false">
      <c r="A672" s="261" t="str">
        <f aca="false">IFERROR(__xludf.dummyfunction("""COMPUTED_VALUE"""),"Florges")</f>
        <v>Florges</v>
      </c>
      <c r="B672" s="364"/>
      <c r="C672" s="262"/>
      <c r="D672" s="364"/>
      <c r="E672" s="364"/>
      <c r="F672" s="364"/>
      <c r="G672" s="364"/>
      <c r="H672" s="364"/>
      <c r="I672" s="364"/>
      <c r="J672" s="364"/>
      <c r="K672" s="364"/>
      <c r="L672" s="364"/>
      <c r="M672" s="364"/>
      <c r="N672" s="364"/>
      <c r="O672" s="364"/>
      <c r="P672" s="364"/>
      <c r="Q672" s="364"/>
      <c r="R672" s="364"/>
      <c r="S672" s="364"/>
      <c r="T672" s="364"/>
      <c r="U672" s="364"/>
      <c r="V672" s="364"/>
      <c r="W672" s="364"/>
      <c r="X672" s="364"/>
      <c r="Y672" s="364"/>
      <c r="Z672" s="364"/>
      <c r="AA672" s="364"/>
    </row>
    <row r="673" customFormat="false" ht="15.75" hidden="false" customHeight="false" outlineLevel="0" collapsed="false">
      <c r="A673" s="261" t="str">
        <f aca="false">IFERROR(__xludf.dummyfunction("""COMPUTED_VALUE"""),"Skiddo")</f>
        <v>Skiddo</v>
      </c>
      <c r="B673" s="364"/>
      <c r="C673" s="262"/>
      <c r="D673" s="364"/>
      <c r="E673" s="364"/>
      <c r="F673" s="364"/>
      <c r="G673" s="364"/>
      <c r="H673" s="364"/>
      <c r="I673" s="364"/>
      <c r="J673" s="364"/>
      <c r="K673" s="364"/>
      <c r="L673" s="364"/>
      <c r="M673" s="364"/>
      <c r="N673" s="364"/>
      <c r="O673" s="364"/>
      <c r="P673" s="364"/>
      <c r="Q673" s="364"/>
      <c r="R673" s="364"/>
      <c r="S673" s="364"/>
      <c r="T673" s="364"/>
      <c r="U673" s="364"/>
      <c r="V673" s="364"/>
      <c r="W673" s="364"/>
      <c r="X673" s="364"/>
      <c r="Y673" s="364"/>
      <c r="Z673" s="364"/>
      <c r="AA673" s="364"/>
    </row>
    <row r="674" customFormat="false" ht="15.75" hidden="false" customHeight="false" outlineLevel="0" collapsed="false">
      <c r="A674" s="261" t="str">
        <f aca="false">IFERROR(__xludf.dummyfunction("""COMPUTED_VALUE"""),"Gogoat")</f>
        <v>Gogoat</v>
      </c>
      <c r="B674" s="364"/>
      <c r="C674" s="262"/>
      <c r="D674" s="364"/>
      <c r="E674" s="364"/>
      <c r="F674" s="364"/>
      <c r="G674" s="364"/>
      <c r="H674" s="364"/>
      <c r="I674" s="364"/>
      <c r="J674" s="364"/>
      <c r="K674" s="364"/>
      <c r="L674" s="364"/>
      <c r="M674" s="364"/>
      <c r="N674" s="364"/>
      <c r="O674" s="364"/>
      <c r="P674" s="364"/>
      <c r="Q674" s="364"/>
      <c r="R674" s="364"/>
      <c r="S674" s="364"/>
      <c r="T674" s="364"/>
      <c r="U674" s="364"/>
      <c r="V674" s="364"/>
      <c r="W674" s="364"/>
      <c r="X674" s="364"/>
      <c r="Y674" s="364"/>
      <c r="Z674" s="364"/>
      <c r="AA674" s="364"/>
    </row>
    <row r="675" customFormat="false" ht="15.75" hidden="false" customHeight="false" outlineLevel="0" collapsed="false">
      <c r="A675" s="261" t="str">
        <f aca="false">IFERROR(__xludf.dummyfunction("""COMPUTED_VALUE"""),"Pancham")</f>
        <v>Pancham</v>
      </c>
      <c r="B675" s="364"/>
      <c r="C675" s="262"/>
      <c r="D675" s="364"/>
      <c r="E675" s="364"/>
      <c r="F675" s="364"/>
      <c r="G675" s="364"/>
      <c r="H675" s="364"/>
      <c r="I675" s="364"/>
      <c r="J675" s="364"/>
      <c r="K675" s="364"/>
      <c r="L675" s="364"/>
      <c r="M675" s="364"/>
      <c r="N675" s="364"/>
      <c r="O675" s="364"/>
      <c r="P675" s="364"/>
      <c r="Q675" s="364"/>
      <c r="R675" s="364"/>
      <c r="S675" s="364"/>
      <c r="T675" s="364"/>
      <c r="U675" s="364"/>
      <c r="V675" s="364"/>
      <c r="W675" s="364"/>
      <c r="X675" s="364"/>
      <c r="Y675" s="364"/>
      <c r="Z675" s="364"/>
      <c r="AA675" s="364"/>
    </row>
    <row r="676" customFormat="false" ht="15.75" hidden="false" customHeight="false" outlineLevel="0" collapsed="false">
      <c r="A676" s="261" t="str">
        <f aca="false">IFERROR(__xludf.dummyfunction("""COMPUTED_VALUE"""),"Pangoro")</f>
        <v>Pangoro</v>
      </c>
      <c r="B676" s="364"/>
      <c r="C676" s="262"/>
      <c r="D676" s="364"/>
      <c r="E676" s="364"/>
      <c r="F676" s="364"/>
      <c r="G676" s="364"/>
      <c r="H676" s="364"/>
      <c r="I676" s="364"/>
      <c r="J676" s="364"/>
      <c r="K676" s="364"/>
      <c r="L676" s="364"/>
      <c r="M676" s="364"/>
      <c r="N676" s="364"/>
      <c r="O676" s="364"/>
      <c r="P676" s="364"/>
      <c r="Q676" s="364"/>
      <c r="R676" s="364"/>
      <c r="S676" s="364"/>
      <c r="T676" s="364"/>
      <c r="U676" s="364"/>
      <c r="V676" s="364"/>
      <c r="W676" s="364"/>
      <c r="X676" s="364"/>
      <c r="Y676" s="364"/>
      <c r="Z676" s="364"/>
      <c r="AA676" s="364"/>
    </row>
    <row r="677" customFormat="false" ht="15.75" hidden="false" customHeight="false" outlineLevel="0" collapsed="false">
      <c r="A677" s="261" t="str">
        <f aca="false">IFERROR(__xludf.dummyfunction("""COMPUTED_VALUE"""),"Furfrou")</f>
        <v>Furfrou</v>
      </c>
      <c r="B677" s="364"/>
      <c r="C677" s="262"/>
      <c r="D677" s="364"/>
      <c r="E677" s="364"/>
      <c r="F677" s="364"/>
      <c r="G677" s="364"/>
      <c r="H677" s="364"/>
      <c r="I677" s="364"/>
      <c r="J677" s="364"/>
      <c r="K677" s="364"/>
      <c r="L677" s="364"/>
      <c r="M677" s="364"/>
      <c r="N677" s="364"/>
      <c r="O677" s="364"/>
      <c r="P677" s="364"/>
      <c r="Q677" s="364"/>
      <c r="R677" s="364"/>
      <c r="S677" s="364"/>
      <c r="T677" s="364"/>
      <c r="U677" s="364"/>
      <c r="V677" s="364"/>
      <c r="W677" s="364"/>
      <c r="X677" s="364"/>
      <c r="Y677" s="364"/>
      <c r="Z677" s="364"/>
      <c r="AA677" s="364"/>
    </row>
    <row r="678" customFormat="false" ht="15.75" hidden="false" customHeight="false" outlineLevel="0" collapsed="false">
      <c r="A678" s="261" t="str">
        <f aca="false">IFERROR(__xludf.dummyfunction("""COMPUTED_VALUE"""),"Espurr")</f>
        <v>Espurr</v>
      </c>
      <c r="B678" s="364"/>
      <c r="C678" s="262"/>
      <c r="D678" s="364"/>
      <c r="E678" s="364"/>
      <c r="F678" s="364"/>
      <c r="G678" s="364"/>
      <c r="H678" s="364"/>
      <c r="I678" s="364"/>
      <c r="J678" s="364"/>
      <c r="K678" s="364"/>
      <c r="L678" s="364"/>
      <c r="M678" s="364"/>
      <c r="N678" s="364"/>
      <c r="O678" s="364"/>
      <c r="P678" s="364"/>
      <c r="Q678" s="364"/>
      <c r="R678" s="364"/>
      <c r="S678" s="364"/>
      <c r="T678" s="364"/>
      <c r="U678" s="364"/>
      <c r="V678" s="364"/>
      <c r="W678" s="364"/>
      <c r="X678" s="364"/>
      <c r="Y678" s="364"/>
      <c r="Z678" s="364"/>
      <c r="AA678" s="364"/>
    </row>
    <row r="679" customFormat="false" ht="15.75" hidden="false" customHeight="false" outlineLevel="0" collapsed="false">
      <c r="A679" s="261" t="str">
        <f aca="false">IFERROR(__xludf.dummyfunction("""COMPUTED_VALUE"""),"Meowstic")</f>
        <v>Meowstic</v>
      </c>
      <c r="B679" s="364"/>
      <c r="C679" s="262"/>
      <c r="D679" s="364"/>
      <c r="E679" s="364"/>
      <c r="F679" s="364"/>
      <c r="G679" s="364"/>
      <c r="H679" s="364"/>
      <c r="I679" s="364"/>
      <c r="J679" s="364"/>
      <c r="K679" s="364"/>
      <c r="L679" s="364"/>
      <c r="M679" s="364"/>
      <c r="N679" s="364"/>
      <c r="O679" s="364"/>
      <c r="P679" s="364"/>
      <c r="Q679" s="364"/>
      <c r="R679" s="364"/>
      <c r="S679" s="364"/>
      <c r="T679" s="364"/>
      <c r="U679" s="364"/>
      <c r="V679" s="364"/>
      <c r="W679" s="364"/>
      <c r="X679" s="364"/>
      <c r="Y679" s="364"/>
      <c r="Z679" s="364"/>
      <c r="AA679" s="364"/>
    </row>
    <row r="680" customFormat="false" ht="15.75" hidden="false" customHeight="false" outlineLevel="0" collapsed="false">
      <c r="A680" s="261" t="str">
        <f aca="false">IFERROR(__xludf.dummyfunction("""COMPUTED_VALUE"""),"Honedge")</f>
        <v>Honedge</v>
      </c>
      <c r="B680" s="364"/>
      <c r="C680" s="262"/>
      <c r="D680" s="364"/>
      <c r="E680" s="364"/>
      <c r="F680" s="364"/>
      <c r="G680" s="364"/>
      <c r="H680" s="364"/>
      <c r="I680" s="364"/>
      <c r="J680" s="364"/>
      <c r="K680" s="364"/>
      <c r="L680" s="364"/>
      <c r="M680" s="364"/>
      <c r="N680" s="364"/>
      <c r="O680" s="364"/>
      <c r="P680" s="364"/>
      <c r="Q680" s="364"/>
      <c r="R680" s="364"/>
      <c r="S680" s="364"/>
      <c r="T680" s="364"/>
      <c r="U680" s="364"/>
      <c r="V680" s="364"/>
      <c r="W680" s="364"/>
      <c r="X680" s="364"/>
      <c r="Y680" s="364"/>
      <c r="Z680" s="364"/>
      <c r="AA680" s="364"/>
    </row>
    <row r="681" customFormat="false" ht="15.75" hidden="false" customHeight="false" outlineLevel="0" collapsed="false">
      <c r="A681" s="261" t="str">
        <f aca="false">IFERROR(__xludf.dummyfunction("""COMPUTED_VALUE"""),"Doublade")</f>
        <v>Doublade</v>
      </c>
      <c r="B681" s="364"/>
      <c r="C681" s="262"/>
      <c r="D681" s="364"/>
      <c r="E681" s="364"/>
      <c r="F681" s="364"/>
      <c r="G681" s="364"/>
      <c r="H681" s="364"/>
      <c r="I681" s="364"/>
      <c r="J681" s="364"/>
      <c r="K681" s="364"/>
      <c r="L681" s="364"/>
      <c r="M681" s="364"/>
      <c r="N681" s="364"/>
      <c r="O681" s="364"/>
      <c r="P681" s="364"/>
      <c r="Q681" s="364"/>
      <c r="R681" s="364"/>
      <c r="S681" s="364"/>
      <c r="T681" s="364"/>
      <c r="U681" s="364"/>
      <c r="V681" s="364"/>
      <c r="W681" s="364"/>
      <c r="X681" s="364"/>
      <c r="Y681" s="364"/>
      <c r="Z681" s="364"/>
      <c r="AA681" s="364"/>
    </row>
    <row r="682" customFormat="false" ht="15.75" hidden="false" customHeight="false" outlineLevel="0" collapsed="false">
      <c r="A682" s="261" t="str">
        <f aca="false">IFERROR(__xludf.dummyfunction("""COMPUTED_VALUE"""),"Aegislash")</f>
        <v>Aegislash</v>
      </c>
      <c r="B682" s="364"/>
      <c r="C682" s="262"/>
      <c r="D682" s="364"/>
      <c r="E682" s="364"/>
      <c r="F682" s="364"/>
      <c r="G682" s="364"/>
      <c r="H682" s="364"/>
      <c r="I682" s="364"/>
      <c r="J682" s="364"/>
      <c r="K682" s="364"/>
      <c r="L682" s="364"/>
      <c r="M682" s="364"/>
      <c r="N682" s="364"/>
      <c r="O682" s="364"/>
      <c r="P682" s="364"/>
      <c r="Q682" s="364"/>
      <c r="R682" s="364"/>
      <c r="S682" s="364"/>
      <c r="T682" s="364"/>
      <c r="U682" s="364"/>
      <c r="V682" s="364"/>
      <c r="W682" s="364"/>
      <c r="X682" s="364"/>
      <c r="Y682" s="364"/>
      <c r="Z682" s="364"/>
      <c r="AA682" s="364"/>
    </row>
    <row r="683" customFormat="false" ht="15.75" hidden="false" customHeight="false" outlineLevel="0" collapsed="false">
      <c r="A683" s="261" t="str">
        <f aca="false">IFERROR(__xludf.dummyfunction("""COMPUTED_VALUE"""),"Spritzee")</f>
        <v>Spritzee</v>
      </c>
      <c r="B683" s="364"/>
      <c r="C683" s="262"/>
      <c r="D683" s="364"/>
      <c r="E683" s="364"/>
      <c r="F683" s="364"/>
      <c r="G683" s="364"/>
      <c r="H683" s="364"/>
      <c r="I683" s="364"/>
      <c r="J683" s="364"/>
      <c r="K683" s="364"/>
      <c r="L683" s="364"/>
      <c r="M683" s="364"/>
      <c r="N683" s="364"/>
      <c r="O683" s="364"/>
      <c r="P683" s="364"/>
      <c r="Q683" s="364"/>
      <c r="R683" s="364"/>
      <c r="S683" s="364"/>
      <c r="T683" s="364"/>
      <c r="U683" s="364"/>
      <c r="V683" s="364"/>
      <c r="W683" s="364"/>
      <c r="X683" s="364"/>
      <c r="Y683" s="364"/>
      <c r="Z683" s="364"/>
      <c r="AA683" s="364"/>
    </row>
    <row r="684" customFormat="false" ht="15.75" hidden="false" customHeight="false" outlineLevel="0" collapsed="false">
      <c r="A684" s="261" t="str">
        <f aca="false">IFERROR(__xludf.dummyfunction("""COMPUTED_VALUE"""),"Aromatisse")</f>
        <v>Aromatisse</v>
      </c>
      <c r="B684" s="364"/>
      <c r="C684" s="262"/>
      <c r="D684" s="364"/>
      <c r="E684" s="364"/>
      <c r="F684" s="364"/>
      <c r="G684" s="364"/>
      <c r="H684" s="364"/>
      <c r="I684" s="364"/>
      <c r="J684" s="364"/>
      <c r="K684" s="364"/>
      <c r="L684" s="364"/>
      <c r="M684" s="364"/>
      <c r="N684" s="364"/>
      <c r="O684" s="364"/>
      <c r="P684" s="364"/>
      <c r="Q684" s="364"/>
      <c r="R684" s="364"/>
      <c r="S684" s="364"/>
      <c r="T684" s="364"/>
      <c r="U684" s="364"/>
      <c r="V684" s="364"/>
      <c r="W684" s="364"/>
      <c r="X684" s="364"/>
      <c r="Y684" s="364"/>
      <c r="Z684" s="364"/>
      <c r="AA684" s="364"/>
    </row>
    <row r="685" customFormat="false" ht="15.75" hidden="false" customHeight="false" outlineLevel="0" collapsed="false">
      <c r="A685" s="261" t="str">
        <f aca="false">IFERROR(__xludf.dummyfunction("""COMPUTED_VALUE"""),"Swirlix")</f>
        <v>Swirlix</v>
      </c>
      <c r="B685" s="364"/>
      <c r="C685" s="262"/>
      <c r="D685" s="364"/>
      <c r="E685" s="364"/>
      <c r="F685" s="364"/>
      <c r="G685" s="364"/>
      <c r="H685" s="364"/>
      <c r="I685" s="364"/>
      <c r="J685" s="364"/>
      <c r="K685" s="364"/>
      <c r="L685" s="364"/>
      <c r="M685" s="364"/>
      <c r="N685" s="364"/>
      <c r="O685" s="364"/>
      <c r="P685" s="364"/>
      <c r="Q685" s="364"/>
      <c r="R685" s="364"/>
      <c r="S685" s="364"/>
      <c r="T685" s="364"/>
      <c r="U685" s="364"/>
      <c r="V685" s="364"/>
      <c r="W685" s="364"/>
      <c r="X685" s="364"/>
      <c r="Y685" s="364"/>
      <c r="Z685" s="364"/>
      <c r="AA685" s="364"/>
    </row>
    <row r="686" customFormat="false" ht="15.75" hidden="false" customHeight="false" outlineLevel="0" collapsed="false">
      <c r="A686" s="261" t="str">
        <f aca="false">IFERROR(__xludf.dummyfunction("""COMPUTED_VALUE"""),"Slurpuff")</f>
        <v>Slurpuff</v>
      </c>
      <c r="B686" s="364"/>
      <c r="C686" s="262"/>
      <c r="D686" s="364"/>
      <c r="E686" s="364"/>
      <c r="F686" s="364"/>
      <c r="G686" s="364"/>
      <c r="H686" s="364"/>
      <c r="I686" s="364"/>
      <c r="J686" s="364"/>
      <c r="K686" s="364"/>
      <c r="L686" s="364"/>
      <c r="M686" s="364"/>
      <c r="N686" s="364"/>
      <c r="O686" s="364"/>
      <c r="P686" s="364"/>
      <c r="Q686" s="364"/>
      <c r="R686" s="364"/>
      <c r="S686" s="364"/>
      <c r="T686" s="364"/>
      <c r="U686" s="364"/>
      <c r="V686" s="364"/>
      <c r="W686" s="364"/>
      <c r="X686" s="364"/>
      <c r="Y686" s="364"/>
      <c r="Z686" s="364"/>
      <c r="AA686" s="364"/>
    </row>
    <row r="687" customFormat="false" ht="15.75" hidden="false" customHeight="false" outlineLevel="0" collapsed="false">
      <c r="A687" s="261" t="str">
        <f aca="false">IFERROR(__xludf.dummyfunction("""COMPUTED_VALUE"""),"Inkay")</f>
        <v>Inkay</v>
      </c>
      <c r="B687" s="364"/>
      <c r="C687" s="262"/>
      <c r="D687" s="364"/>
      <c r="E687" s="364"/>
      <c r="F687" s="364"/>
      <c r="G687" s="364"/>
      <c r="H687" s="364"/>
      <c r="I687" s="364"/>
      <c r="J687" s="364"/>
      <c r="K687" s="364"/>
      <c r="L687" s="364"/>
      <c r="M687" s="364"/>
      <c r="N687" s="364"/>
      <c r="O687" s="364"/>
      <c r="P687" s="364"/>
      <c r="Q687" s="364"/>
      <c r="R687" s="364"/>
      <c r="S687" s="364"/>
      <c r="T687" s="364"/>
      <c r="U687" s="364"/>
      <c r="V687" s="364"/>
      <c r="W687" s="364"/>
      <c r="X687" s="364"/>
      <c r="Y687" s="364"/>
      <c r="Z687" s="364"/>
      <c r="AA687" s="364"/>
    </row>
    <row r="688" customFormat="false" ht="15.75" hidden="false" customHeight="false" outlineLevel="0" collapsed="false">
      <c r="A688" s="261" t="str">
        <f aca="false">IFERROR(__xludf.dummyfunction("""COMPUTED_VALUE"""),"Malamar")</f>
        <v>Malamar</v>
      </c>
      <c r="B688" s="364"/>
      <c r="C688" s="262"/>
      <c r="D688" s="364"/>
      <c r="E688" s="364"/>
      <c r="F688" s="364"/>
      <c r="G688" s="364"/>
      <c r="H688" s="364"/>
      <c r="I688" s="364"/>
      <c r="J688" s="364"/>
      <c r="K688" s="364"/>
      <c r="L688" s="364"/>
      <c r="M688" s="364"/>
      <c r="N688" s="364"/>
      <c r="O688" s="364"/>
      <c r="P688" s="364"/>
      <c r="Q688" s="364"/>
      <c r="R688" s="364"/>
      <c r="S688" s="364"/>
      <c r="T688" s="364"/>
      <c r="U688" s="364"/>
      <c r="V688" s="364"/>
      <c r="W688" s="364"/>
      <c r="X688" s="364"/>
      <c r="Y688" s="364"/>
      <c r="Z688" s="364"/>
      <c r="AA688" s="364"/>
    </row>
    <row r="689" customFormat="false" ht="15.75" hidden="false" customHeight="false" outlineLevel="0" collapsed="false">
      <c r="A689" s="261" t="str">
        <f aca="false">IFERROR(__xludf.dummyfunction("""COMPUTED_VALUE"""),"Binacle")</f>
        <v>Binacle</v>
      </c>
      <c r="B689" s="364"/>
      <c r="C689" s="262"/>
      <c r="D689" s="364"/>
      <c r="E689" s="364"/>
      <c r="F689" s="364"/>
      <c r="G689" s="364"/>
      <c r="H689" s="364"/>
      <c r="I689" s="364"/>
      <c r="J689" s="364"/>
      <c r="K689" s="364"/>
      <c r="L689" s="364"/>
      <c r="M689" s="364"/>
      <c r="N689" s="364"/>
      <c r="O689" s="364"/>
      <c r="P689" s="364"/>
      <c r="Q689" s="364"/>
      <c r="R689" s="364"/>
      <c r="S689" s="364"/>
      <c r="T689" s="364"/>
      <c r="U689" s="364"/>
      <c r="V689" s="364"/>
      <c r="W689" s="364"/>
      <c r="X689" s="364"/>
      <c r="Y689" s="364"/>
      <c r="Z689" s="364"/>
      <c r="AA689" s="364"/>
    </row>
    <row r="690" customFormat="false" ht="15.75" hidden="false" customHeight="false" outlineLevel="0" collapsed="false">
      <c r="A690" s="261" t="str">
        <f aca="false">IFERROR(__xludf.dummyfunction("""COMPUTED_VALUE"""),"Barbaracle")</f>
        <v>Barbaracle</v>
      </c>
      <c r="B690" s="364"/>
      <c r="C690" s="262"/>
      <c r="D690" s="364"/>
      <c r="E690" s="364"/>
      <c r="F690" s="364"/>
      <c r="G690" s="364"/>
      <c r="H690" s="364"/>
      <c r="I690" s="364"/>
      <c r="J690" s="364"/>
      <c r="K690" s="364"/>
      <c r="L690" s="364"/>
      <c r="M690" s="364"/>
      <c r="N690" s="364"/>
      <c r="O690" s="364"/>
      <c r="P690" s="364"/>
      <c r="Q690" s="364"/>
      <c r="R690" s="364"/>
      <c r="S690" s="364"/>
      <c r="T690" s="364"/>
      <c r="U690" s="364"/>
      <c r="V690" s="364"/>
      <c r="W690" s="364"/>
      <c r="X690" s="364"/>
      <c r="Y690" s="364"/>
      <c r="Z690" s="364"/>
      <c r="AA690" s="364"/>
    </row>
    <row r="691" customFormat="false" ht="15.75" hidden="false" customHeight="false" outlineLevel="0" collapsed="false">
      <c r="A691" s="261" t="str">
        <f aca="false">IFERROR(__xludf.dummyfunction("""COMPUTED_VALUE"""),"Skrelp")</f>
        <v>Skrelp</v>
      </c>
      <c r="B691" s="364"/>
      <c r="C691" s="262"/>
      <c r="D691" s="364"/>
      <c r="E691" s="364"/>
      <c r="F691" s="364"/>
      <c r="G691" s="364"/>
      <c r="H691" s="364"/>
      <c r="I691" s="364"/>
      <c r="J691" s="364"/>
      <c r="K691" s="364"/>
      <c r="L691" s="364"/>
      <c r="M691" s="364"/>
      <c r="N691" s="364"/>
      <c r="O691" s="364"/>
      <c r="P691" s="364"/>
      <c r="Q691" s="364"/>
      <c r="R691" s="364"/>
      <c r="S691" s="364"/>
      <c r="T691" s="364"/>
      <c r="U691" s="364"/>
      <c r="V691" s="364"/>
      <c r="W691" s="364"/>
      <c r="X691" s="364"/>
      <c r="Y691" s="364"/>
      <c r="Z691" s="364"/>
      <c r="AA691" s="364"/>
    </row>
    <row r="692" customFormat="false" ht="15.75" hidden="false" customHeight="false" outlineLevel="0" collapsed="false">
      <c r="A692" s="261" t="str">
        <f aca="false">IFERROR(__xludf.dummyfunction("""COMPUTED_VALUE"""),"Dragalge")</f>
        <v>Dragalge</v>
      </c>
      <c r="B692" s="364"/>
      <c r="C692" s="262"/>
      <c r="D692" s="364"/>
      <c r="E692" s="364"/>
      <c r="F692" s="364"/>
      <c r="G692" s="364"/>
      <c r="H692" s="364"/>
      <c r="I692" s="364"/>
      <c r="J692" s="364"/>
      <c r="K692" s="364"/>
      <c r="L692" s="364"/>
      <c r="M692" s="364"/>
      <c r="N692" s="364"/>
      <c r="O692" s="364"/>
      <c r="P692" s="364"/>
      <c r="Q692" s="364"/>
      <c r="R692" s="364"/>
      <c r="S692" s="364"/>
      <c r="T692" s="364"/>
      <c r="U692" s="364"/>
      <c r="V692" s="364"/>
      <c r="W692" s="364"/>
      <c r="X692" s="364"/>
      <c r="Y692" s="364"/>
      <c r="Z692" s="364"/>
      <c r="AA692" s="364"/>
    </row>
    <row r="693" customFormat="false" ht="15.75" hidden="false" customHeight="false" outlineLevel="0" collapsed="false">
      <c r="A693" s="261" t="str">
        <f aca="false">IFERROR(__xludf.dummyfunction("""COMPUTED_VALUE"""),"Clauncher")</f>
        <v>Clauncher</v>
      </c>
      <c r="B693" s="364"/>
      <c r="C693" s="262"/>
      <c r="D693" s="364"/>
      <c r="E693" s="364"/>
      <c r="F693" s="364"/>
      <c r="G693" s="364"/>
      <c r="H693" s="364"/>
      <c r="I693" s="364"/>
      <c r="J693" s="364"/>
      <c r="K693" s="364"/>
      <c r="L693" s="364"/>
      <c r="M693" s="364"/>
      <c r="N693" s="364"/>
      <c r="O693" s="364"/>
      <c r="P693" s="364"/>
      <c r="Q693" s="364"/>
      <c r="R693" s="364"/>
      <c r="S693" s="364"/>
      <c r="T693" s="364"/>
      <c r="U693" s="364"/>
      <c r="V693" s="364"/>
      <c r="W693" s="364"/>
      <c r="X693" s="364"/>
      <c r="Y693" s="364"/>
      <c r="Z693" s="364"/>
      <c r="AA693" s="364"/>
    </row>
    <row r="694" customFormat="false" ht="15.75" hidden="false" customHeight="false" outlineLevel="0" collapsed="false">
      <c r="A694" s="261" t="str">
        <f aca="false">IFERROR(__xludf.dummyfunction("""COMPUTED_VALUE"""),"Clawitzer")</f>
        <v>Clawitzer</v>
      </c>
      <c r="B694" s="364"/>
      <c r="C694" s="262"/>
      <c r="D694" s="364"/>
      <c r="E694" s="364"/>
      <c r="F694" s="364"/>
      <c r="G694" s="364"/>
      <c r="H694" s="364"/>
      <c r="I694" s="364"/>
      <c r="J694" s="364"/>
      <c r="K694" s="364"/>
      <c r="L694" s="364"/>
      <c r="M694" s="364"/>
      <c r="N694" s="364"/>
      <c r="O694" s="364"/>
      <c r="P694" s="364"/>
      <c r="Q694" s="364"/>
      <c r="R694" s="364"/>
      <c r="S694" s="364"/>
      <c r="T694" s="364"/>
      <c r="U694" s="364"/>
      <c r="V694" s="364"/>
      <c r="W694" s="364"/>
      <c r="X694" s="364"/>
      <c r="Y694" s="364"/>
      <c r="Z694" s="364"/>
      <c r="AA694" s="364"/>
    </row>
    <row r="695" customFormat="false" ht="15.75" hidden="false" customHeight="false" outlineLevel="0" collapsed="false">
      <c r="A695" s="261" t="str">
        <f aca="false">IFERROR(__xludf.dummyfunction("""COMPUTED_VALUE"""),"Helioptile")</f>
        <v>Helioptile</v>
      </c>
      <c r="B695" s="364"/>
      <c r="C695" s="262"/>
      <c r="D695" s="364"/>
      <c r="E695" s="364"/>
      <c r="F695" s="364"/>
      <c r="G695" s="364"/>
      <c r="H695" s="364"/>
      <c r="I695" s="364"/>
      <c r="J695" s="364"/>
      <c r="K695" s="364"/>
      <c r="L695" s="364"/>
      <c r="M695" s="364"/>
      <c r="N695" s="364"/>
      <c r="O695" s="364"/>
      <c r="P695" s="364"/>
      <c r="Q695" s="364"/>
      <c r="R695" s="364"/>
      <c r="S695" s="364"/>
      <c r="T695" s="364"/>
      <c r="U695" s="364"/>
      <c r="V695" s="364"/>
      <c r="W695" s="364"/>
      <c r="X695" s="364"/>
      <c r="Y695" s="364"/>
      <c r="Z695" s="364"/>
      <c r="AA695" s="364"/>
    </row>
    <row r="696" customFormat="false" ht="15.75" hidden="false" customHeight="false" outlineLevel="0" collapsed="false">
      <c r="A696" s="261" t="str">
        <f aca="false">IFERROR(__xludf.dummyfunction("""COMPUTED_VALUE"""),"Heliolisk")</f>
        <v>Heliolisk</v>
      </c>
      <c r="B696" s="364"/>
      <c r="C696" s="262"/>
      <c r="D696" s="364"/>
      <c r="E696" s="364"/>
      <c r="F696" s="364"/>
      <c r="G696" s="364"/>
      <c r="H696" s="364"/>
      <c r="I696" s="364"/>
      <c r="J696" s="364"/>
      <c r="K696" s="364"/>
      <c r="L696" s="364"/>
      <c r="M696" s="364"/>
      <c r="N696" s="364"/>
      <c r="O696" s="364"/>
      <c r="P696" s="364"/>
      <c r="Q696" s="364"/>
      <c r="R696" s="364"/>
      <c r="S696" s="364"/>
      <c r="T696" s="364"/>
      <c r="U696" s="364"/>
      <c r="V696" s="364"/>
      <c r="W696" s="364"/>
      <c r="X696" s="364"/>
      <c r="Y696" s="364"/>
      <c r="Z696" s="364"/>
      <c r="AA696" s="364"/>
    </row>
    <row r="697" customFormat="false" ht="15.75" hidden="false" customHeight="false" outlineLevel="0" collapsed="false">
      <c r="A697" s="261" t="str">
        <f aca="false">IFERROR(__xludf.dummyfunction("""COMPUTED_VALUE"""),"Tyrunt")</f>
        <v>Tyrunt</v>
      </c>
      <c r="B697" s="364"/>
      <c r="C697" s="262"/>
      <c r="D697" s="364"/>
      <c r="E697" s="364"/>
      <c r="F697" s="364"/>
      <c r="G697" s="364"/>
      <c r="H697" s="364"/>
      <c r="I697" s="364"/>
      <c r="J697" s="364"/>
      <c r="K697" s="364"/>
      <c r="L697" s="364"/>
      <c r="M697" s="364"/>
      <c r="N697" s="364"/>
      <c r="O697" s="364"/>
      <c r="P697" s="364"/>
      <c r="Q697" s="364"/>
      <c r="R697" s="364"/>
      <c r="S697" s="364"/>
      <c r="T697" s="364"/>
      <c r="U697" s="364"/>
      <c r="V697" s="364"/>
      <c r="W697" s="364"/>
      <c r="X697" s="364"/>
      <c r="Y697" s="364"/>
      <c r="Z697" s="364"/>
      <c r="AA697" s="364"/>
    </row>
    <row r="698" customFormat="false" ht="15.75" hidden="false" customHeight="false" outlineLevel="0" collapsed="false">
      <c r="A698" s="261" t="str">
        <f aca="false">IFERROR(__xludf.dummyfunction("""COMPUTED_VALUE"""),"Tyrantrum")</f>
        <v>Tyrantrum</v>
      </c>
      <c r="B698" s="364"/>
      <c r="C698" s="262"/>
      <c r="D698" s="364"/>
      <c r="E698" s="364"/>
      <c r="F698" s="364"/>
      <c r="G698" s="364"/>
      <c r="H698" s="364"/>
      <c r="I698" s="364"/>
      <c r="J698" s="364"/>
      <c r="K698" s="364"/>
      <c r="L698" s="364"/>
      <c r="M698" s="364"/>
      <c r="N698" s="364"/>
      <c r="O698" s="364"/>
      <c r="P698" s="364"/>
      <c r="Q698" s="364"/>
      <c r="R698" s="364"/>
      <c r="S698" s="364"/>
      <c r="T698" s="364"/>
      <c r="U698" s="364"/>
      <c r="V698" s="364"/>
      <c r="W698" s="364"/>
      <c r="X698" s="364"/>
      <c r="Y698" s="364"/>
      <c r="Z698" s="364"/>
      <c r="AA698" s="364"/>
    </row>
    <row r="699" customFormat="false" ht="15.75" hidden="false" customHeight="false" outlineLevel="0" collapsed="false">
      <c r="A699" s="261" t="str">
        <f aca="false">IFERROR(__xludf.dummyfunction("""COMPUTED_VALUE"""),"Amaura")</f>
        <v>Amaura</v>
      </c>
      <c r="B699" s="364"/>
      <c r="C699" s="262"/>
      <c r="D699" s="364"/>
      <c r="E699" s="364"/>
      <c r="F699" s="364"/>
      <c r="G699" s="364"/>
      <c r="H699" s="364"/>
      <c r="I699" s="364"/>
      <c r="J699" s="364"/>
      <c r="K699" s="364"/>
      <c r="L699" s="364"/>
      <c r="M699" s="364"/>
      <c r="N699" s="364"/>
      <c r="O699" s="364"/>
      <c r="P699" s="364"/>
      <c r="Q699" s="364"/>
      <c r="R699" s="364"/>
      <c r="S699" s="364"/>
      <c r="T699" s="364"/>
      <c r="U699" s="364"/>
      <c r="V699" s="364"/>
      <c r="W699" s="364"/>
      <c r="X699" s="364"/>
      <c r="Y699" s="364"/>
      <c r="Z699" s="364"/>
      <c r="AA699" s="364"/>
    </row>
    <row r="700" customFormat="false" ht="15.75" hidden="false" customHeight="false" outlineLevel="0" collapsed="false">
      <c r="A700" s="261" t="str">
        <f aca="false">IFERROR(__xludf.dummyfunction("""COMPUTED_VALUE"""),"Aurorus")</f>
        <v>Aurorus</v>
      </c>
      <c r="B700" s="364"/>
      <c r="C700" s="262"/>
      <c r="D700" s="364"/>
      <c r="E700" s="364"/>
      <c r="F700" s="364"/>
      <c r="G700" s="364"/>
      <c r="H700" s="364"/>
      <c r="I700" s="364"/>
      <c r="J700" s="364"/>
      <c r="K700" s="364"/>
      <c r="L700" s="364"/>
      <c r="M700" s="364"/>
      <c r="N700" s="364"/>
      <c r="O700" s="364"/>
      <c r="P700" s="364"/>
      <c r="Q700" s="364"/>
      <c r="R700" s="364"/>
      <c r="S700" s="364"/>
      <c r="T700" s="364"/>
      <c r="U700" s="364"/>
      <c r="V700" s="364"/>
      <c r="W700" s="364"/>
      <c r="X700" s="364"/>
      <c r="Y700" s="364"/>
      <c r="Z700" s="364"/>
      <c r="AA700" s="364"/>
    </row>
    <row r="701" customFormat="false" ht="15.75" hidden="false" customHeight="false" outlineLevel="0" collapsed="false">
      <c r="A701" s="261" t="str">
        <f aca="false">IFERROR(__xludf.dummyfunction("""COMPUTED_VALUE"""),"Sylveon")</f>
        <v>Sylveon</v>
      </c>
      <c r="B701" s="364"/>
      <c r="C701" s="262"/>
      <c r="D701" s="364"/>
      <c r="E701" s="364"/>
      <c r="F701" s="364"/>
      <c r="G701" s="364"/>
      <c r="H701" s="364"/>
      <c r="I701" s="364"/>
      <c r="J701" s="364"/>
      <c r="K701" s="364"/>
      <c r="L701" s="364"/>
      <c r="M701" s="364"/>
      <c r="N701" s="364"/>
      <c r="O701" s="364"/>
      <c r="P701" s="364"/>
      <c r="Q701" s="364"/>
      <c r="R701" s="364"/>
      <c r="S701" s="364"/>
      <c r="T701" s="364"/>
      <c r="U701" s="364"/>
      <c r="V701" s="364"/>
      <c r="W701" s="364"/>
      <c r="X701" s="364"/>
      <c r="Y701" s="364"/>
      <c r="Z701" s="364"/>
      <c r="AA701" s="364"/>
    </row>
    <row r="702" customFormat="false" ht="15.75" hidden="false" customHeight="false" outlineLevel="0" collapsed="false">
      <c r="A702" s="261" t="str">
        <f aca="false">IFERROR(__xludf.dummyfunction("""COMPUTED_VALUE"""),"Hawlucha")</f>
        <v>Hawlucha</v>
      </c>
      <c r="B702" s="364"/>
      <c r="C702" s="262"/>
      <c r="D702" s="364"/>
      <c r="E702" s="364"/>
      <c r="F702" s="364"/>
      <c r="G702" s="364"/>
      <c r="H702" s="364"/>
      <c r="I702" s="364"/>
      <c r="J702" s="364"/>
      <c r="K702" s="364"/>
      <c r="L702" s="364"/>
      <c r="M702" s="364"/>
      <c r="N702" s="364"/>
      <c r="O702" s="364"/>
      <c r="P702" s="364"/>
      <c r="Q702" s="364"/>
      <c r="R702" s="364"/>
      <c r="S702" s="364"/>
      <c r="T702" s="364"/>
      <c r="U702" s="364"/>
      <c r="V702" s="364"/>
      <c r="W702" s="364"/>
      <c r="X702" s="364"/>
      <c r="Y702" s="364"/>
      <c r="Z702" s="364"/>
      <c r="AA702" s="364"/>
    </row>
    <row r="703" customFormat="false" ht="15.75" hidden="false" customHeight="false" outlineLevel="0" collapsed="false">
      <c r="A703" s="261" t="str">
        <f aca="false">IFERROR(__xludf.dummyfunction("""COMPUTED_VALUE"""),"Dedenne")</f>
        <v>Dedenne</v>
      </c>
      <c r="B703" s="364"/>
      <c r="C703" s="262"/>
      <c r="D703" s="364"/>
      <c r="E703" s="364"/>
      <c r="F703" s="364"/>
      <c r="G703" s="364"/>
      <c r="H703" s="364"/>
      <c r="I703" s="364"/>
      <c r="J703" s="364"/>
      <c r="K703" s="364"/>
      <c r="L703" s="364"/>
      <c r="M703" s="364"/>
      <c r="N703" s="364"/>
      <c r="O703" s="364"/>
      <c r="P703" s="364"/>
      <c r="Q703" s="364"/>
      <c r="R703" s="364"/>
      <c r="S703" s="364"/>
      <c r="T703" s="364"/>
      <c r="U703" s="364"/>
      <c r="V703" s="364"/>
      <c r="W703" s="364"/>
      <c r="X703" s="364"/>
      <c r="Y703" s="364"/>
      <c r="Z703" s="364"/>
      <c r="AA703" s="364"/>
    </row>
    <row r="704" customFormat="false" ht="15.75" hidden="false" customHeight="false" outlineLevel="0" collapsed="false">
      <c r="A704" s="261" t="str">
        <f aca="false">IFERROR(__xludf.dummyfunction("""COMPUTED_VALUE"""),"Carbink")</f>
        <v>Carbink</v>
      </c>
      <c r="B704" s="364"/>
      <c r="C704" s="262"/>
      <c r="D704" s="364"/>
      <c r="E704" s="364"/>
      <c r="F704" s="364"/>
      <c r="G704" s="364"/>
      <c r="H704" s="364"/>
      <c r="I704" s="364"/>
      <c r="J704" s="364"/>
      <c r="K704" s="364"/>
      <c r="L704" s="364"/>
      <c r="M704" s="364"/>
      <c r="N704" s="364"/>
      <c r="O704" s="364"/>
      <c r="P704" s="364"/>
      <c r="Q704" s="364"/>
      <c r="R704" s="364"/>
      <c r="S704" s="364"/>
      <c r="T704" s="364"/>
      <c r="U704" s="364"/>
      <c r="V704" s="364"/>
      <c r="W704" s="364"/>
      <c r="X704" s="364"/>
      <c r="Y704" s="364"/>
      <c r="Z704" s="364"/>
      <c r="AA704" s="364"/>
    </row>
    <row r="705" customFormat="false" ht="15.75" hidden="false" customHeight="false" outlineLevel="0" collapsed="false">
      <c r="A705" s="261" t="str">
        <f aca="false">IFERROR(__xludf.dummyfunction("""COMPUTED_VALUE"""),"Goomy")</f>
        <v>Goomy</v>
      </c>
      <c r="B705" s="364"/>
      <c r="C705" s="262"/>
      <c r="D705" s="364"/>
      <c r="E705" s="364"/>
      <c r="F705" s="364"/>
      <c r="G705" s="364"/>
      <c r="H705" s="364"/>
      <c r="I705" s="364"/>
      <c r="J705" s="364"/>
      <c r="K705" s="364"/>
      <c r="L705" s="364"/>
      <c r="M705" s="364"/>
      <c r="N705" s="364"/>
      <c r="O705" s="364"/>
      <c r="P705" s="364"/>
      <c r="Q705" s="364"/>
      <c r="R705" s="364"/>
      <c r="S705" s="364"/>
      <c r="T705" s="364"/>
      <c r="U705" s="364"/>
      <c r="V705" s="364"/>
      <c r="W705" s="364"/>
      <c r="X705" s="364"/>
      <c r="Y705" s="364"/>
      <c r="Z705" s="364"/>
      <c r="AA705" s="364"/>
    </row>
    <row r="706" customFormat="false" ht="15.75" hidden="false" customHeight="false" outlineLevel="0" collapsed="false">
      <c r="A706" s="261" t="str">
        <f aca="false">IFERROR(__xludf.dummyfunction("""COMPUTED_VALUE"""),"Sliggoo")</f>
        <v>Sliggoo</v>
      </c>
      <c r="B706" s="364"/>
      <c r="C706" s="262"/>
      <c r="D706" s="364"/>
      <c r="E706" s="364"/>
      <c r="F706" s="364"/>
      <c r="G706" s="364"/>
      <c r="H706" s="364"/>
      <c r="I706" s="364"/>
      <c r="J706" s="364"/>
      <c r="K706" s="364"/>
      <c r="L706" s="364"/>
      <c r="M706" s="364"/>
      <c r="N706" s="364"/>
      <c r="O706" s="364"/>
      <c r="P706" s="364"/>
      <c r="Q706" s="364"/>
      <c r="R706" s="364"/>
      <c r="S706" s="364"/>
      <c r="T706" s="364"/>
      <c r="U706" s="364"/>
      <c r="V706" s="364"/>
      <c r="W706" s="364"/>
      <c r="X706" s="364"/>
      <c r="Y706" s="364"/>
      <c r="Z706" s="364"/>
      <c r="AA706" s="364"/>
    </row>
    <row r="707" customFormat="false" ht="15.75" hidden="false" customHeight="false" outlineLevel="0" collapsed="false">
      <c r="A707" s="261" t="str">
        <f aca="false">IFERROR(__xludf.dummyfunction("""COMPUTED_VALUE"""),"Goodra")</f>
        <v>Goodra</v>
      </c>
      <c r="B707" s="364"/>
      <c r="C707" s="262"/>
      <c r="D707" s="364"/>
      <c r="E707" s="364"/>
      <c r="F707" s="364"/>
      <c r="G707" s="364"/>
      <c r="H707" s="364"/>
      <c r="I707" s="364"/>
      <c r="J707" s="364"/>
      <c r="K707" s="364"/>
      <c r="L707" s="364"/>
      <c r="M707" s="364"/>
      <c r="N707" s="364"/>
      <c r="O707" s="364"/>
      <c r="P707" s="364"/>
      <c r="Q707" s="364"/>
      <c r="R707" s="364"/>
      <c r="S707" s="364"/>
      <c r="T707" s="364"/>
      <c r="U707" s="364"/>
      <c r="V707" s="364"/>
      <c r="W707" s="364"/>
      <c r="X707" s="364"/>
      <c r="Y707" s="364"/>
      <c r="Z707" s="364"/>
      <c r="AA707" s="364"/>
    </row>
    <row r="708" customFormat="false" ht="15.75" hidden="false" customHeight="false" outlineLevel="0" collapsed="false">
      <c r="A708" s="261" t="str">
        <f aca="false">IFERROR(__xludf.dummyfunction("""COMPUTED_VALUE"""),"Klefki")</f>
        <v>Klefki</v>
      </c>
      <c r="B708" s="364"/>
      <c r="C708" s="262"/>
      <c r="D708" s="364"/>
      <c r="E708" s="364"/>
      <c r="F708" s="364"/>
      <c r="G708" s="364"/>
      <c r="H708" s="364"/>
      <c r="I708" s="364"/>
      <c r="J708" s="364"/>
      <c r="K708" s="364"/>
      <c r="L708" s="364"/>
      <c r="M708" s="364"/>
      <c r="N708" s="364"/>
      <c r="O708" s="364"/>
      <c r="P708" s="364"/>
      <c r="Q708" s="364"/>
      <c r="R708" s="364"/>
      <c r="S708" s="364"/>
      <c r="T708" s="364"/>
      <c r="U708" s="364"/>
      <c r="V708" s="364"/>
      <c r="W708" s="364"/>
      <c r="X708" s="364"/>
      <c r="Y708" s="364"/>
      <c r="Z708" s="364"/>
      <c r="AA708" s="364"/>
    </row>
    <row r="709" customFormat="false" ht="15.75" hidden="false" customHeight="false" outlineLevel="0" collapsed="false">
      <c r="A709" s="261" t="str">
        <f aca="false">IFERROR(__xludf.dummyfunction("""COMPUTED_VALUE"""),"Phantump")</f>
        <v>Phantump</v>
      </c>
      <c r="B709" s="364"/>
      <c r="C709" s="262"/>
      <c r="D709" s="364"/>
      <c r="E709" s="364"/>
      <c r="F709" s="364"/>
      <c r="G709" s="364"/>
      <c r="H709" s="364"/>
      <c r="I709" s="364"/>
      <c r="J709" s="364"/>
      <c r="K709" s="364"/>
      <c r="L709" s="364"/>
      <c r="M709" s="364"/>
      <c r="N709" s="364"/>
      <c r="O709" s="364"/>
      <c r="P709" s="364"/>
      <c r="Q709" s="364"/>
      <c r="R709" s="364"/>
      <c r="S709" s="364"/>
      <c r="T709" s="364"/>
      <c r="U709" s="364"/>
      <c r="V709" s="364"/>
      <c r="W709" s="364"/>
      <c r="X709" s="364"/>
      <c r="Y709" s="364"/>
      <c r="Z709" s="364"/>
      <c r="AA709" s="364"/>
    </row>
    <row r="710" customFormat="false" ht="15.75" hidden="false" customHeight="false" outlineLevel="0" collapsed="false">
      <c r="A710" s="261" t="str">
        <f aca="false">IFERROR(__xludf.dummyfunction("""COMPUTED_VALUE"""),"Trevenant")</f>
        <v>Trevenant</v>
      </c>
      <c r="B710" s="364"/>
      <c r="C710" s="262"/>
      <c r="D710" s="364"/>
      <c r="E710" s="364"/>
      <c r="F710" s="364"/>
      <c r="G710" s="364"/>
      <c r="H710" s="364"/>
      <c r="I710" s="364"/>
      <c r="J710" s="364"/>
      <c r="K710" s="364"/>
      <c r="L710" s="364"/>
      <c r="M710" s="364"/>
      <c r="N710" s="364"/>
      <c r="O710" s="364"/>
      <c r="P710" s="364"/>
      <c r="Q710" s="364"/>
      <c r="R710" s="364"/>
      <c r="S710" s="364"/>
      <c r="T710" s="364"/>
      <c r="U710" s="364"/>
      <c r="V710" s="364"/>
      <c r="W710" s="364"/>
      <c r="X710" s="364"/>
      <c r="Y710" s="364"/>
      <c r="Z710" s="364"/>
      <c r="AA710" s="364"/>
    </row>
    <row r="711" customFormat="false" ht="15.75" hidden="false" customHeight="false" outlineLevel="0" collapsed="false">
      <c r="A711" s="261" t="str">
        <f aca="false">IFERROR(__xludf.dummyfunction("""COMPUTED_VALUE"""),"Pumpkaboo")</f>
        <v>Pumpkaboo</v>
      </c>
      <c r="B711" s="364"/>
      <c r="C711" s="262"/>
      <c r="D711" s="364"/>
      <c r="E711" s="364"/>
      <c r="F711" s="364"/>
      <c r="G711" s="364"/>
      <c r="H711" s="364"/>
      <c r="I711" s="364"/>
      <c r="J711" s="364"/>
      <c r="K711" s="364"/>
      <c r="L711" s="364"/>
      <c r="M711" s="364"/>
      <c r="N711" s="364"/>
      <c r="O711" s="364"/>
      <c r="P711" s="364"/>
      <c r="Q711" s="364"/>
      <c r="R711" s="364"/>
      <c r="S711" s="364"/>
      <c r="T711" s="364"/>
      <c r="U711" s="364"/>
      <c r="V711" s="364"/>
      <c r="W711" s="364"/>
      <c r="X711" s="364"/>
      <c r="Y711" s="364"/>
      <c r="Z711" s="364"/>
      <c r="AA711" s="364"/>
    </row>
    <row r="712" customFormat="false" ht="15.75" hidden="false" customHeight="false" outlineLevel="0" collapsed="false">
      <c r="A712" s="261" t="str">
        <f aca="false">IFERROR(__xludf.dummyfunction("""COMPUTED_VALUE"""),"Gourgeist")</f>
        <v>Gourgeist</v>
      </c>
      <c r="B712" s="364"/>
      <c r="C712" s="262"/>
      <c r="D712" s="364"/>
      <c r="E712" s="364"/>
      <c r="F712" s="364"/>
      <c r="G712" s="364"/>
      <c r="H712" s="364"/>
      <c r="I712" s="364"/>
      <c r="J712" s="364"/>
      <c r="K712" s="364"/>
      <c r="L712" s="364"/>
      <c r="M712" s="364"/>
      <c r="N712" s="364"/>
      <c r="O712" s="364"/>
      <c r="P712" s="364"/>
      <c r="Q712" s="364"/>
      <c r="R712" s="364"/>
      <c r="S712" s="364"/>
      <c r="T712" s="364"/>
      <c r="U712" s="364"/>
      <c r="V712" s="364"/>
      <c r="W712" s="364"/>
      <c r="X712" s="364"/>
      <c r="Y712" s="364"/>
      <c r="Z712" s="364"/>
      <c r="AA712" s="364"/>
    </row>
    <row r="713" customFormat="false" ht="15.75" hidden="false" customHeight="false" outlineLevel="0" collapsed="false">
      <c r="A713" s="261" t="str">
        <f aca="false">IFERROR(__xludf.dummyfunction("""COMPUTED_VALUE"""),"Bergmite")</f>
        <v>Bergmite</v>
      </c>
      <c r="B713" s="364"/>
      <c r="C713" s="262"/>
      <c r="D713" s="364"/>
      <c r="E713" s="364"/>
      <c r="F713" s="364"/>
      <c r="G713" s="364"/>
      <c r="H713" s="364"/>
      <c r="I713" s="364"/>
      <c r="J713" s="364"/>
      <c r="K713" s="364"/>
      <c r="L713" s="364"/>
      <c r="M713" s="364"/>
      <c r="N713" s="364"/>
      <c r="O713" s="364"/>
      <c r="P713" s="364"/>
      <c r="Q713" s="364"/>
      <c r="R713" s="364"/>
      <c r="S713" s="364"/>
      <c r="T713" s="364"/>
      <c r="U713" s="364"/>
      <c r="V713" s="364"/>
      <c r="W713" s="364"/>
      <c r="X713" s="364"/>
      <c r="Y713" s="364"/>
      <c r="Z713" s="364"/>
      <c r="AA713" s="364"/>
    </row>
    <row r="714" customFormat="false" ht="15.75" hidden="false" customHeight="false" outlineLevel="0" collapsed="false">
      <c r="A714" s="261" t="str">
        <f aca="false">IFERROR(__xludf.dummyfunction("""COMPUTED_VALUE"""),"Avalugg")</f>
        <v>Avalugg</v>
      </c>
      <c r="B714" s="364"/>
      <c r="C714" s="262"/>
      <c r="D714" s="364"/>
      <c r="E714" s="364"/>
      <c r="F714" s="364"/>
      <c r="G714" s="364"/>
      <c r="H714" s="364"/>
      <c r="I714" s="364"/>
      <c r="J714" s="364"/>
      <c r="K714" s="364"/>
      <c r="L714" s="364"/>
      <c r="M714" s="364"/>
      <c r="N714" s="364"/>
      <c r="O714" s="364"/>
      <c r="P714" s="364"/>
      <c r="Q714" s="364"/>
      <c r="R714" s="364"/>
      <c r="S714" s="364"/>
      <c r="T714" s="364"/>
      <c r="U714" s="364"/>
      <c r="V714" s="364"/>
      <c r="W714" s="364"/>
      <c r="X714" s="364"/>
      <c r="Y714" s="364"/>
      <c r="Z714" s="364"/>
      <c r="AA714" s="364"/>
    </row>
    <row r="715" customFormat="false" ht="15.75" hidden="false" customHeight="false" outlineLevel="0" collapsed="false">
      <c r="A715" s="261" t="str">
        <f aca="false">IFERROR(__xludf.dummyfunction("""COMPUTED_VALUE"""),"Noibat")</f>
        <v>Noibat</v>
      </c>
      <c r="B715" s="364"/>
      <c r="C715" s="262"/>
      <c r="D715" s="364"/>
      <c r="E715" s="364"/>
      <c r="F715" s="364"/>
      <c r="G715" s="364"/>
      <c r="H715" s="364"/>
      <c r="I715" s="364"/>
      <c r="J715" s="364"/>
      <c r="K715" s="364"/>
      <c r="L715" s="364"/>
      <c r="M715" s="364"/>
      <c r="N715" s="364"/>
      <c r="O715" s="364"/>
      <c r="P715" s="364"/>
      <c r="Q715" s="364"/>
      <c r="R715" s="364"/>
      <c r="S715" s="364"/>
      <c r="T715" s="364"/>
      <c r="U715" s="364"/>
      <c r="V715" s="364"/>
      <c r="W715" s="364"/>
      <c r="X715" s="364"/>
      <c r="Y715" s="364"/>
      <c r="Z715" s="364"/>
      <c r="AA715" s="364"/>
    </row>
    <row r="716" customFormat="false" ht="15.75" hidden="false" customHeight="false" outlineLevel="0" collapsed="false">
      <c r="A716" s="261" t="str">
        <f aca="false">IFERROR(__xludf.dummyfunction("""COMPUTED_VALUE"""),"Noivern")</f>
        <v>Noivern</v>
      </c>
      <c r="B716" s="364"/>
      <c r="C716" s="262"/>
      <c r="D716" s="364"/>
      <c r="E716" s="364"/>
      <c r="F716" s="364"/>
      <c r="G716" s="364"/>
      <c r="H716" s="364"/>
      <c r="I716" s="364"/>
      <c r="J716" s="364"/>
      <c r="K716" s="364"/>
      <c r="L716" s="364"/>
      <c r="M716" s="364"/>
      <c r="N716" s="364"/>
      <c r="O716" s="364"/>
      <c r="P716" s="364"/>
      <c r="Q716" s="364"/>
      <c r="R716" s="364"/>
      <c r="S716" s="364"/>
      <c r="T716" s="364"/>
      <c r="U716" s="364"/>
      <c r="V716" s="364"/>
      <c r="W716" s="364"/>
      <c r="X716" s="364"/>
      <c r="Y716" s="364"/>
      <c r="Z716" s="364"/>
      <c r="AA716" s="364"/>
    </row>
    <row r="717" customFormat="false" ht="15.75" hidden="false" customHeight="false" outlineLevel="0" collapsed="false">
      <c r="A717" s="261" t="str">
        <f aca="false">IFERROR(__xludf.dummyfunction("""COMPUTED_VALUE"""),"Xerneas")</f>
        <v>Xerneas</v>
      </c>
      <c r="B717" s="364"/>
      <c r="C717" s="262"/>
      <c r="D717" s="364"/>
      <c r="E717" s="364"/>
      <c r="F717" s="364"/>
      <c r="G717" s="364"/>
      <c r="H717" s="364"/>
      <c r="I717" s="364"/>
      <c r="J717" s="364"/>
      <c r="K717" s="364"/>
      <c r="L717" s="364"/>
      <c r="M717" s="364"/>
      <c r="N717" s="364"/>
      <c r="O717" s="364"/>
      <c r="P717" s="364"/>
      <c r="Q717" s="364"/>
      <c r="R717" s="364"/>
      <c r="S717" s="364"/>
      <c r="T717" s="364"/>
      <c r="U717" s="364"/>
      <c r="V717" s="364"/>
      <c r="W717" s="364"/>
      <c r="X717" s="364"/>
      <c r="Y717" s="364"/>
      <c r="Z717" s="364"/>
      <c r="AA717" s="364"/>
    </row>
    <row r="718" customFormat="false" ht="15.75" hidden="false" customHeight="false" outlineLevel="0" collapsed="false">
      <c r="A718" s="261" t="str">
        <f aca="false">IFERROR(__xludf.dummyfunction("""COMPUTED_VALUE"""),"Yveltal")</f>
        <v>Yveltal</v>
      </c>
      <c r="B718" s="364"/>
      <c r="C718" s="262"/>
      <c r="D718" s="364"/>
      <c r="E718" s="364"/>
      <c r="F718" s="364"/>
      <c r="G718" s="364"/>
      <c r="H718" s="364"/>
      <c r="I718" s="364"/>
      <c r="J718" s="364"/>
      <c r="K718" s="364"/>
      <c r="L718" s="364"/>
      <c r="M718" s="364"/>
      <c r="N718" s="364"/>
      <c r="O718" s="364"/>
      <c r="P718" s="364"/>
      <c r="Q718" s="364"/>
      <c r="R718" s="364"/>
      <c r="S718" s="364"/>
      <c r="T718" s="364"/>
      <c r="U718" s="364"/>
      <c r="V718" s="364"/>
      <c r="W718" s="364"/>
      <c r="X718" s="364"/>
      <c r="Y718" s="364"/>
      <c r="Z718" s="364"/>
      <c r="AA718" s="364"/>
    </row>
    <row r="719" customFormat="false" ht="15.75" hidden="false" customHeight="false" outlineLevel="0" collapsed="false">
      <c r="A719" s="261" t="str">
        <f aca="false">IFERROR(__xludf.dummyfunction("""COMPUTED_VALUE"""),"Zygarde")</f>
        <v>Zygarde</v>
      </c>
      <c r="B719" s="364"/>
      <c r="C719" s="262"/>
      <c r="D719" s="364"/>
      <c r="E719" s="364"/>
      <c r="F719" s="364"/>
      <c r="G719" s="364"/>
      <c r="H719" s="364"/>
      <c r="I719" s="364"/>
      <c r="J719" s="364"/>
      <c r="K719" s="364"/>
      <c r="L719" s="364"/>
      <c r="M719" s="364"/>
      <c r="N719" s="364"/>
      <c r="O719" s="364"/>
      <c r="P719" s="364"/>
      <c r="Q719" s="364"/>
      <c r="R719" s="364"/>
      <c r="S719" s="364"/>
      <c r="T719" s="364"/>
      <c r="U719" s="364"/>
      <c r="V719" s="364"/>
      <c r="W719" s="364"/>
      <c r="X719" s="364"/>
      <c r="Y719" s="364"/>
      <c r="Z719" s="364"/>
      <c r="AA719" s="364"/>
    </row>
    <row r="720" customFormat="false" ht="15.75" hidden="false" customHeight="false" outlineLevel="0" collapsed="false">
      <c r="A720" s="261" t="str">
        <f aca="false">IFERROR(__xludf.dummyfunction("""COMPUTED_VALUE"""),"Diancie")</f>
        <v>Diancie</v>
      </c>
      <c r="B720" s="364"/>
      <c r="C720" s="262"/>
      <c r="D720" s="364"/>
      <c r="E720" s="364"/>
      <c r="F720" s="364"/>
      <c r="G720" s="364"/>
      <c r="H720" s="364"/>
      <c r="I720" s="364"/>
      <c r="J720" s="364"/>
      <c r="K720" s="364"/>
      <c r="L720" s="364"/>
      <c r="M720" s="364"/>
      <c r="N720" s="364"/>
      <c r="O720" s="364"/>
      <c r="P720" s="364"/>
      <c r="Q720" s="364"/>
      <c r="R720" s="364"/>
      <c r="S720" s="364"/>
      <c r="T720" s="364"/>
      <c r="U720" s="364"/>
      <c r="V720" s="364"/>
      <c r="W720" s="364"/>
      <c r="X720" s="364"/>
      <c r="Y720" s="364"/>
      <c r="Z720" s="364"/>
      <c r="AA720" s="364"/>
    </row>
    <row r="721" customFormat="false" ht="15.75" hidden="false" customHeight="false" outlineLevel="0" collapsed="false">
      <c r="A721" s="261" t="str">
        <f aca="false">IFERROR(__xludf.dummyfunction("""COMPUTED_VALUE"""),"Hoopa")</f>
        <v>Hoopa</v>
      </c>
      <c r="B721" s="364"/>
      <c r="C721" s="262"/>
      <c r="D721" s="364"/>
      <c r="E721" s="364"/>
      <c r="F721" s="364"/>
      <c r="G721" s="364"/>
      <c r="H721" s="364"/>
      <c r="I721" s="364"/>
      <c r="J721" s="364"/>
      <c r="K721" s="364"/>
      <c r="L721" s="364"/>
      <c r="M721" s="364"/>
      <c r="N721" s="364"/>
      <c r="O721" s="364"/>
      <c r="P721" s="364"/>
      <c r="Q721" s="364"/>
      <c r="R721" s="364"/>
      <c r="S721" s="364"/>
      <c r="T721" s="364"/>
      <c r="U721" s="364"/>
      <c r="V721" s="364"/>
      <c r="W721" s="364"/>
      <c r="X721" s="364"/>
      <c r="Y721" s="364"/>
      <c r="Z721" s="364"/>
      <c r="AA721" s="364"/>
    </row>
    <row r="722" customFormat="false" ht="15.75" hidden="false" customHeight="false" outlineLevel="0" collapsed="false">
      <c r="A722" s="261" t="str">
        <f aca="false">IFERROR(__xludf.dummyfunction("""COMPUTED_VALUE"""),"Volcanion")</f>
        <v>Volcanion</v>
      </c>
      <c r="B722" s="364"/>
      <c r="C722" s="262"/>
      <c r="D722" s="364"/>
      <c r="E722" s="364"/>
      <c r="F722" s="364"/>
      <c r="G722" s="364"/>
      <c r="H722" s="364"/>
      <c r="I722" s="364"/>
      <c r="J722" s="364"/>
      <c r="K722" s="364"/>
      <c r="L722" s="364"/>
      <c r="M722" s="364"/>
      <c r="N722" s="364"/>
      <c r="O722" s="364"/>
      <c r="P722" s="364"/>
      <c r="Q722" s="364"/>
      <c r="R722" s="364"/>
      <c r="S722" s="364"/>
      <c r="T722" s="364"/>
      <c r="U722" s="364"/>
      <c r="V722" s="364"/>
      <c r="W722" s="364"/>
      <c r="X722" s="364"/>
      <c r="Y722" s="364"/>
      <c r="Z722" s="364"/>
      <c r="AA722" s="364"/>
    </row>
    <row r="723" customFormat="false" ht="15.75" hidden="false" customHeight="false" outlineLevel="0" collapsed="false">
      <c r="A723" s="261" t="str">
        <f aca="false">IFERROR(__xludf.dummyfunction("""COMPUTED_VALUE"""),"Rowlet")</f>
        <v>Rowlet</v>
      </c>
      <c r="B723" s="364"/>
      <c r="C723" s="262"/>
      <c r="D723" s="364"/>
      <c r="E723" s="364"/>
      <c r="F723" s="364"/>
      <c r="G723" s="364"/>
      <c r="H723" s="364"/>
      <c r="I723" s="364"/>
      <c r="J723" s="364"/>
      <c r="K723" s="364"/>
      <c r="L723" s="364"/>
      <c r="M723" s="364"/>
      <c r="N723" s="364"/>
      <c r="O723" s="364"/>
      <c r="P723" s="364"/>
      <c r="Q723" s="364"/>
      <c r="R723" s="364"/>
      <c r="S723" s="364"/>
      <c r="T723" s="364"/>
      <c r="U723" s="364"/>
      <c r="V723" s="364"/>
      <c r="W723" s="364"/>
      <c r="X723" s="364"/>
      <c r="Y723" s="364"/>
      <c r="Z723" s="364"/>
      <c r="AA723" s="364"/>
    </row>
    <row r="724" customFormat="false" ht="15.75" hidden="false" customHeight="false" outlineLevel="0" collapsed="false">
      <c r="A724" s="261" t="str">
        <f aca="false">IFERROR(__xludf.dummyfunction("""COMPUTED_VALUE"""),"Dartrix")</f>
        <v>Dartrix</v>
      </c>
      <c r="B724" s="364"/>
      <c r="C724" s="262"/>
      <c r="D724" s="364"/>
      <c r="E724" s="364"/>
      <c r="F724" s="364"/>
      <c r="G724" s="364"/>
      <c r="H724" s="364"/>
      <c r="I724" s="364"/>
      <c r="J724" s="364"/>
      <c r="K724" s="364"/>
      <c r="L724" s="364"/>
      <c r="M724" s="364"/>
      <c r="N724" s="364"/>
      <c r="O724" s="364"/>
      <c r="P724" s="364"/>
      <c r="Q724" s="364"/>
      <c r="R724" s="364"/>
      <c r="S724" s="364"/>
      <c r="T724" s="364"/>
      <c r="U724" s="364"/>
      <c r="V724" s="364"/>
      <c r="W724" s="364"/>
      <c r="X724" s="364"/>
      <c r="Y724" s="364"/>
      <c r="Z724" s="364"/>
      <c r="AA724" s="364"/>
    </row>
    <row r="725" customFormat="false" ht="15.75" hidden="false" customHeight="false" outlineLevel="0" collapsed="false">
      <c r="A725" s="261" t="str">
        <f aca="false">IFERROR(__xludf.dummyfunction("""COMPUTED_VALUE"""),"Decidueye")</f>
        <v>Decidueye</v>
      </c>
      <c r="B725" s="364"/>
      <c r="C725" s="262"/>
      <c r="D725" s="364"/>
      <c r="E725" s="364"/>
      <c r="F725" s="364"/>
      <c r="G725" s="364"/>
      <c r="H725" s="364"/>
      <c r="I725" s="364"/>
      <c r="J725" s="364"/>
      <c r="K725" s="364"/>
      <c r="L725" s="364"/>
      <c r="M725" s="364"/>
      <c r="N725" s="364"/>
      <c r="O725" s="364"/>
      <c r="P725" s="364"/>
      <c r="Q725" s="364"/>
      <c r="R725" s="364"/>
      <c r="S725" s="364"/>
      <c r="T725" s="364"/>
      <c r="U725" s="364"/>
      <c r="V725" s="364"/>
      <c r="W725" s="364"/>
      <c r="X725" s="364"/>
      <c r="Y725" s="364"/>
      <c r="Z725" s="364"/>
      <c r="AA725" s="364"/>
    </row>
    <row r="726" customFormat="false" ht="15.75" hidden="false" customHeight="false" outlineLevel="0" collapsed="false">
      <c r="A726" s="261" t="str">
        <f aca="false">IFERROR(__xludf.dummyfunction("""COMPUTED_VALUE"""),"Litten")</f>
        <v>Litten</v>
      </c>
      <c r="B726" s="364"/>
      <c r="C726" s="262"/>
      <c r="D726" s="364"/>
      <c r="E726" s="364"/>
      <c r="F726" s="364"/>
      <c r="G726" s="364"/>
      <c r="H726" s="364"/>
      <c r="I726" s="364"/>
      <c r="J726" s="364"/>
      <c r="K726" s="364"/>
      <c r="L726" s="364"/>
      <c r="M726" s="364"/>
      <c r="N726" s="364"/>
      <c r="O726" s="364"/>
      <c r="P726" s="364"/>
      <c r="Q726" s="364"/>
      <c r="R726" s="364"/>
      <c r="S726" s="364"/>
      <c r="T726" s="364"/>
      <c r="U726" s="364"/>
      <c r="V726" s="364"/>
      <c r="W726" s="364"/>
      <c r="X726" s="364"/>
      <c r="Y726" s="364"/>
      <c r="Z726" s="364"/>
      <c r="AA726" s="364"/>
    </row>
    <row r="727" customFormat="false" ht="15.75" hidden="false" customHeight="false" outlineLevel="0" collapsed="false">
      <c r="A727" s="261" t="str">
        <f aca="false">IFERROR(__xludf.dummyfunction("""COMPUTED_VALUE"""),"Torracat")</f>
        <v>Torracat</v>
      </c>
      <c r="B727" s="364"/>
      <c r="C727" s="262"/>
      <c r="D727" s="364"/>
      <c r="E727" s="364"/>
      <c r="F727" s="364"/>
      <c r="G727" s="364"/>
      <c r="H727" s="364"/>
      <c r="I727" s="364"/>
      <c r="J727" s="364"/>
      <c r="K727" s="364"/>
      <c r="L727" s="364"/>
      <c r="M727" s="364"/>
      <c r="N727" s="364"/>
      <c r="O727" s="364"/>
      <c r="P727" s="364"/>
      <c r="Q727" s="364"/>
      <c r="R727" s="364"/>
      <c r="S727" s="364"/>
      <c r="T727" s="364"/>
      <c r="U727" s="364"/>
      <c r="V727" s="364"/>
      <c r="W727" s="364"/>
      <c r="X727" s="364"/>
      <c r="Y727" s="364"/>
      <c r="Z727" s="364"/>
      <c r="AA727" s="364"/>
    </row>
    <row r="728" customFormat="false" ht="15.75" hidden="false" customHeight="false" outlineLevel="0" collapsed="false">
      <c r="A728" s="261" t="str">
        <f aca="false">IFERROR(__xludf.dummyfunction("""COMPUTED_VALUE"""),"Incineroar")</f>
        <v>Incineroar</v>
      </c>
      <c r="B728" s="364"/>
      <c r="C728" s="262"/>
      <c r="D728" s="364"/>
      <c r="E728" s="364"/>
      <c r="F728" s="364"/>
      <c r="G728" s="364"/>
      <c r="H728" s="364"/>
      <c r="I728" s="364"/>
      <c r="J728" s="364"/>
      <c r="K728" s="364"/>
      <c r="L728" s="364"/>
      <c r="M728" s="364"/>
      <c r="N728" s="364"/>
      <c r="O728" s="364"/>
      <c r="P728" s="364"/>
      <c r="Q728" s="364"/>
      <c r="R728" s="364"/>
      <c r="S728" s="364"/>
      <c r="T728" s="364"/>
      <c r="U728" s="364"/>
      <c r="V728" s="364"/>
      <c r="W728" s="364"/>
      <c r="X728" s="364"/>
      <c r="Y728" s="364"/>
      <c r="Z728" s="364"/>
      <c r="AA728" s="364"/>
    </row>
    <row r="729" customFormat="false" ht="15.75" hidden="false" customHeight="false" outlineLevel="0" collapsed="false">
      <c r="A729" s="261" t="str">
        <f aca="false">IFERROR(__xludf.dummyfunction("""COMPUTED_VALUE"""),"Popplio")</f>
        <v>Popplio</v>
      </c>
      <c r="B729" s="364"/>
      <c r="C729" s="262"/>
      <c r="D729" s="364"/>
      <c r="E729" s="364"/>
      <c r="F729" s="364"/>
      <c r="G729" s="364"/>
      <c r="H729" s="364"/>
      <c r="I729" s="364"/>
      <c r="J729" s="364"/>
      <c r="K729" s="364"/>
      <c r="L729" s="364"/>
      <c r="M729" s="364"/>
      <c r="N729" s="364"/>
      <c r="O729" s="364"/>
      <c r="P729" s="364"/>
      <c r="Q729" s="364"/>
      <c r="R729" s="364"/>
      <c r="S729" s="364"/>
      <c r="T729" s="364"/>
      <c r="U729" s="364"/>
      <c r="V729" s="364"/>
      <c r="W729" s="364"/>
      <c r="X729" s="364"/>
      <c r="Y729" s="364"/>
      <c r="Z729" s="364"/>
      <c r="AA729" s="364"/>
    </row>
    <row r="730" customFormat="false" ht="15.75" hidden="false" customHeight="false" outlineLevel="0" collapsed="false">
      <c r="A730" s="261" t="str">
        <f aca="false">IFERROR(__xludf.dummyfunction("""COMPUTED_VALUE"""),"Brionne")</f>
        <v>Brionne</v>
      </c>
      <c r="B730" s="364"/>
      <c r="C730" s="262"/>
      <c r="D730" s="364"/>
      <c r="E730" s="364"/>
      <c r="F730" s="364"/>
      <c r="G730" s="364"/>
      <c r="H730" s="364"/>
      <c r="I730" s="364"/>
      <c r="J730" s="364"/>
      <c r="K730" s="364"/>
      <c r="L730" s="364"/>
      <c r="M730" s="364"/>
      <c r="N730" s="364"/>
      <c r="O730" s="364"/>
      <c r="P730" s="364"/>
      <c r="Q730" s="364"/>
      <c r="R730" s="364"/>
      <c r="S730" s="364"/>
      <c r="T730" s="364"/>
      <c r="U730" s="364"/>
      <c r="V730" s="364"/>
      <c r="W730" s="364"/>
      <c r="X730" s="364"/>
      <c r="Y730" s="364"/>
      <c r="Z730" s="364"/>
      <c r="AA730" s="364"/>
    </row>
    <row r="731" customFormat="false" ht="15.75" hidden="false" customHeight="false" outlineLevel="0" collapsed="false">
      <c r="A731" s="261" t="str">
        <f aca="false">IFERROR(__xludf.dummyfunction("""COMPUTED_VALUE"""),"Primarina")</f>
        <v>Primarina</v>
      </c>
      <c r="B731" s="364"/>
      <c r="C731" s="262"/>
      <c r="D731" s="364"/>
      <c r="E731" s="364"/>
      <c r="F731" s="364"/>
      <c r="G731" s="364"/>
      <c r="H731" s="364"/>
      <c r="I731" s="364"/>
      <c r="J731" s="364"/>
      <c r="K731" s="364"/>
      <c r="L731" s="364"/>
      <c r="M731" s="364"/>
      <c r="N731" s="364"/>
      <c r="O731" s="364"/>
      <c r="P731" s="364"/>
      <c r="Q731" s="364"/>
      <c r="R731" s="364"/>
      <c r="S731" s="364"/>
      <c r="T731" s="364"/>
      <c r="U731" s="364"/>
      <c r="V731" s="364"/>
      <c r="W731" s="364"/>
      <c r="X731" s="364"/>
      <c r="Y731" s="364"/>
      <c r="Z731" s="364"/>
      <c r="AA731" s="364"/>
    </row>
    <row r="732" customFormat="false" ht="15.75" hidden="false" customHeight="false" outlineLevel="0" collapsed="false">
      <c r="A732" s="261" t="str">
        <f aca="false">IFERROR(__xludf.dummyfunction("""COMPUTED_VALUE"""),"Pikipek")</f>
        <v>Pikipek</v>
      </c>
      <c r="B732" s="364"/>
      <c r="C732" s="262"/>
      <c r="D732" s="364"/>
      <c r="E732" s="364"/>
      <c r="F732" s="364"/>
      <c r="G732" s="364"/>
      <c r="H732" s="364"/>
      <c r="I732" s="364"/>
      <c r="J732" s="364"/>
      <c r="K732" s="364"/>
      <c r="L732" s="364"/>
      <c r="M732" s="364"/>
      <c r="N732" s="364"/>
      <c r="O732" s="364"/>
      <c r="P732" s="364"/>
      <c r="Q732" s="364"/>
      <c r="R732" s="364"/>
      <c r="S732" s="364"/>
      <c r="T732" s="364"/>
      <c r="U732" s="364"/>
      <c r="V732" s="364"/>
      <c r="W732" s="364"/>
      <c r="X732" s="364"/>
      <c r="Y732" s="364"/>
      <c r="Z732" s="364"/>
      <c r="AA732" s="364"/>
    </row>
    <row r="733" customFormat="false" ht="15.75" hidden="false" customHeight="false" outlineLevel="0" collapsed="false">
      <c r="A733" s="261" t="str">
        <f aca="false">IFERROR(__xludf.dummyfunction("""COMPUTED_VALUE"""),"Trumbeak")</f>
        <v>Trumbeak</v>
      </c>
      <c r="B733" s="364"/>
      <c r="C733" s="262"/>
      <c r="D733" s="364"/>
      <c r="E733" s="364"/>
      <c r="F733" s="364"/>
      <c r="G733" s="364"/>
      <c r="H733" s="364"/>
      <c r="I733" s="364"/>
      <c r="J733" s="364"/>
      <c r="K733" s="364"/>
      <c r="L733" s="364"/>
      <c r="M733" s="364"/>
      <c r="N733" s="364"/>
      <c r="O733" s="364"/>
      <c r="P733" s="364"/>
      <c r="Q733" s="364"/>
      <c r="R733" s="364"/>
      <c r="S733" s="364"/>
      <c r="T733" s="364"/>
      <c r="U733" s="364"/>
      <c r="V733" s="364"/>
      <c r="W733" s="364"/>
      <c r="X733" s="364"/>
      <c r="Y733" s="364"/>
      <c r="Z733" s="364"/>
      <c r="AA733" s="364"/>
    </row>
    <row r="734" customFormat="false" ht="15.75" hidden="false" customHeight="false" outlineLevel="0" collapsed="false">
      <c r="A734" s="261" t="str">
        <f aca="false">IFERROR(__xludf.dummyfunction("""COMPUTED_VALUE"""),"Toucannon")</f>
        <v>Toucannon</v>
      </c>
      <c r="B734" s="364"/>
      <c r="C734" s="262"/>
      <c r="D734" s="364"/>
      <c r="E734" s="364"/>
      <c r="F734" s="364"/>
      <c r="G734" s="364"/>
      <c r="H734" s="364"/>
      <c r="I734" s="364"/>
      <c r="J734" s="364"/>
      <c r="K734" s="364"/>
      <c r="L734" s="364"/>
      <c r="M734" s="364"/>
      <c r="N734" s="364"/>
      <c r="O734" s="364"/>
      <c r="P734" s="364"/>
      <c r="Q734" s="364"/>
      <c r="R734" s="364"/>
      <c r="S734" s="364"/>
      <c r="T734" s="364"/>
      <c r="U734" s="364"/>
      <c r="V734" s="364"/>
      <c r="W734" s="364"/>
      <c r="X734" s="364"/>
      <c r="Y734" s="364"/>
      <c r="Z734" s="364"/>
      <c r="AA734" s="364"/>
    </row>
    <row r="735" customFormat="false" ht="15.75" hidden="false" customHeight="false" outlineLevel="0" collapsed="false">
      <c r="A735" s="261" t="str">
        <f aca="false">IFERROR(__xludf.dummyfunction("""COMPUTED_VALUE"""),"Yungoos")</f>
        <v>Yungoos</v>
      </c>
      <c r="B735" s="364"/>
      <c r="C735" s="262"/>
      <c r="D735" s="364"/>
      <c r="E735" s="364"/>
      <c r="F735" s="364"/>
      <c r="G735" s="364"/>
      <c r="H735" s="364"/>
      <c r="I735" s="364"/>
      <c r="J735" s="364"/>
      <c r="K735" s="364"/>
      <c r="L735" s="364"/>
      <c r="M735" s="364"/>
      <c r="N735" s="364"/>
      <c r="O735" s="364"/>
      <c r="P735" s="364"/>
      <c r="Q735" s="364"/>
      <c r="R735" s="364"/>
      <c r="S735" s="364"/>
      <c r="T735" s="364"/>
      <c r="U735" s="364"/>
      <c r="V735" s="364"/>
      <c r="W735" s="364"/>
      <c r="X735" s="364"/>
      <c r="Y735" s="364"/>
      <c r="Z735" s="364"/>
      <c r="AA735" s="364"/>
    </row>
    <row r="736" customFormat="false" ht="15.75" hidden="false" customHeight="false" outlineLevel="0" collapsed="false">
      <c r="A736" s="261" t="str">
        <f aca="false">IFERROR(__xludf.dummyfunction("""COMPUTED_VALUE"""),"Gumshoos")</f>
        <v>Gumshoos</v>
      </c>
      <c r="B736" s="364"/>
      <c r="C736" s="262"/>
      <c r="D736" s="364"/>
      <c r="E736" s="364"/>
      <c r="F736" s="364"/>
      <c r="G736" s="364"/>
      <c r="H736" s="364"/>
      <c r="I736" s="364"/>
      <c r="J736" s="364"/>
      <c r="K736" s="364"/>
      <c r="L736" s="364"/>
      <c r="M736" s="364"/>
      <c r="N736" s="364"/>
      <c r="O736" s="364"/>
      <c r="P736" s="364"/>
      <c r="Q736" s="364"/>
      <c r="R736" s="364"/>
      <c r="S736" s="364"/>
      <c r="T736" s="364"/>
      <c r="U736" s="364"/>
      <c r="V736" s="364"/>
      <c r="W736" s="364"/>
      <c r="X736" s="364"/>
      <c r="Y736" s="364"/>
      <c r="Z736" s="364"/>
      <c r="AA736" s="364"/>
    </row>
    <row r="737" customFormat="false" ht="15.75" hidden="false" customHeight="false" outlineLevel="0" collapsed="false">
      <c r="A737" s="261" t="str">
        <f aca="false">IFERROR(__xludf.dummyfunction("""COMPUTED_VALUE"""),"Grubbin")</f>
        <v>Grubbin</v>
      </c>
      <c r="B737" s="364"/>
      <c r="C737" s="262"/>
      <c r="D737" s="364"/>
      <c r="E737" s="364"/>
      <c r="F737" s="364"/>
      <c r="G737" s="364"/>
      <c r="H737" s="364"/>
      <c r="I737" s="364"/>
      <c r="J737" s="364"/>
      <c r="K737" s="364"/>
      <c r="L737" s="364"/>
      <c r="M737" s="364"/>
      <c r="N737" s="364"/>
      <c r="O737" s="364"/>
      <c r="P737" s="364"/>
      <c r="Q737" s="364"/>
      <c r="R737" s="364"/>
      <c r="S737" s="364"/>
      <c r="T737" s="364"/>
      <c r="U737" s="364"/>
      <c r="V737" s="364"/>
      <c r="W737" s="364"/>
      <c r="X737" s="364"/>
      <c r="Y737" s="364"/>
      <c r="Z737" s="364"/>
      <c r="AA737" s="364"/>
    </row>
    <row r="738" customFormat="false" ht="15.75" hidden="false" customHeight="false" outlineLevel="0" collapsed="false">
      <c r="A738" s="261" t="str">
        <f aca="false">IFERROR(__xludf.dummyfunction("""COMPUTED_VALUE"""),"Charjabug")</f>
        <v>Charjabug</v>
      </c>
      <c r="B738" s="364"/>
      <c r="C738" s="262"/>
      <c r="D738" s="364"/>
      <c r="E738" s="364"/>
      <c r="F738" s="364"/>
      <c r="G738" s="364"/>
      <c r="H738" s="364"/>
      <c r="I738" s="364"/>
      <c r="J738" s="364"/>
      <c r="K738" s="364"/>
      <c r="L738" s="364"/>
      <c r="M738" s="364"/>
      <c r="N738" s="364"/>
      <c r="O738" s="364"/>
      <c r="P738" s="364"/>
      <c r="Q738" s="364"/>
      <c r="R738" s="364"/>
      <c r="S738" s="364"/>
      <c r="T738" s="364"/>
      <c r="U738" s="364"/>
      <c r="V738" s="364"/>
      <c r="W738" s="364"/>
      <c r="X738" s="364"/>
      <c r="Y738" s="364"/>
      <c r="Z738" s="364"/>
      <c r="AA738" s="364"/>
    </row>
    <row r="739" customFormat="false" ht="15.75" hidden="false" customHeight="false" outlineLevel="0" collapsed="false">
      <c r="A739" s="261" t="str">
        <f aca="false">IFERROR(__xludf.dummyfunction("""COMPUTED_VALUE"""),"Vikavolt")</f>
        <v>Vikavolt</v>
      </c>
      <c r="B739" s="364"/>
      <c r="C739" s="262"/>
      <c r="D739" s="364"/>
      <c r="E739" s="364"/>
      <c r="F739" s="364"/>
      <c r="G739" s="364"/>
      <c r="H739" s="364"/>
      <c r="I739" s="364"/>
      <c r="J739" s="364"/>
      <c r="K739" s="364"/>
      <c r="L739" s="364"/>
      <c r="M739" s="364"/>
      <c r="N739" s="364"/>
      <c r="O739" s="364"/>
      <c r="P739" s="364"/>
      <c r="Q739" s="364"/>
      <c r="R739" s="364"/>
      <c r="S739" s="364"/>
      <c r="T739" s="364"/>
      <c r="U739" s="364"/>
      <c r="V739" s="364"/>
      <c r="W739" s="364"/>
      <c r="X739" s="364"/>
      <c r="Y739" s="364"/>
      <c r="Z739" s="364"/>
      <c r="AA739" s="364"/>
    </row>
    <row r="740" customFormat="false" ht="15.75" hidden="false" customHeight="false" outlineLevel="0" collapsed="false">
      <c r="A740" s="261" t="str">
        <f aca="false">IFERROR(__xludf.dummyfunction("""COMPUTED_VALUE"""),"Crabrawler")</f>
        <v>Crabrawler</v>
      </c>
      <c r="B740" s="364"/>
      <c r="C740" s="262"/>
      <c r="D740" s="364"/>
      <c r="E740" s="364"/>
      <c r="F740" s="364"/>
      <c r="G740" s="364"/>
      <c r="H740" s="364"/>
      <c r="I740" s="364"/>
      <c r="J740" s="364"/>
      <c r="K740" s="364"/>
      <c r="L740" s="364"/>
      <c r="M740" s="364"/>
      <c r="N740" s="364"/>
      <c r="O740" s="364"/>
      <c r="P740" s="364"/>
      <c r="Q740" s="364"/>
      <c r="R740" s="364"/>
      <c r="S740" s="364"/>
      <c r="T740" s="364"/>
      <c r="U740" s="364"/>
      <c r="V740" s="364"/>
      <c r="W740" s="364"/>
      <c r="X740" s="364"/>
      <c r="Y740" s="364"/>
      <c r="Z740" s="364"/>
      <c r="AA740" s="364"/>
    </row>
    <row r="741" customFormat="false" ht="15.75" hidden="false" customHeight="false" outlineLevel="0" collapsed="false">
      <c r="A741" s="261" t="str">
        <f aca="false">IFERROR(__xludf.dummyfunction("""COMPUTED_VALUE"""),"Crabominable")</f>
        <v>Crabominable</v>
      </c>
      <c r="B741" s="364"/>
      <c r="C741" s="262"/>
      <c r="D741" s="364"/>
      <c r="E741" s="364"/>
      <c r="F741" s="364"/>
      <c r="G741" s="364"/>
      <c r="H741" s="364"/>
      <c r="I741" s="364"/>
      <c r="J741" s="364"/>
      <c r="K741" s="364"/>
      <c r="L741" s="364"/>
      <c r="M741" s="364"/>
      <c r="N741" s="364"/>
      <c r="O741" s="364"/>
      <c r="P741" s="364"/>
      <c r="Q741" s="364"/>
      <c r="R741" s="364"/>
      <c r="S741" s="364"/>
      <c r="T741" s="364"/>
      <c r="U741" s="364"/>
      <c r="V741" s="364"/>
      <c r="W741" s="364"/>
      <c r="X741" s="364"/>
      <c r="Y741" s="364"/>
      <c r="Z741" s="364"/>
      <c r="AA741" s="364"/>
    </row>
    <row r="742" customFormat="false" ht="15.75" hidden="false" customHeight="false" outlineLevel="0" collapsed="false">
      <c r="A742" s="261" t="str">
        <f aca="false">IFERROR(__xludf.dummyfunction("""COMPUTED_VALUE"""),"Oricorio")</f>
        <v>Oricorio</v>
      </c>
      <c r="B742" s="364"/>
      <c r="C742" s="262"/>
      <c r="D742" s="364"/>
      <c r="E742" s="364"/>
      <c r="F742" s="364"/>
      <c r="G742" s="364"/>
      <c r="H742" s="364"/>
      <c r="I742" s="364"/>
      <c r="J742" s="364"/>
      <c r="K742" s="364"/>
      <c r="L742" s="364"/>
      <c r="M742" s="364"/>
      <c r="N742" s="364"/>
      <c r="O742" s="364"/>
      <c r="P742" s="364"/>
      <c r="Q742" s="364"/>
      <c r="R742" s="364"/>
      <c r="S742" s="364"/>
      <c r="T742" s="364"/>
      <c r="U742" s="364"/>
      <c r="V742" s="364"/>
      <c r="W742" s="364"/>
      <c r="X742" s="364"/>
      <c r="Y742" s="364"/>
      <c r="Z742" s="364"/>
      <c r="AA742" s="364"/>
    </row>
    <row r="743" customFormat="false" ht="15.75" hidden="false" customHeight="false" outlineLevel="0" collapsed="false">
      <c r="A743" s="261" t="str">
        <f aca="false">IFERROR(__xludf.dummyfunction("""COMPUTED_VALUE"""),"Cutiefly")</f>
        <v>Cutiefly</v>
      </c>
      <c r="B743" s="364"/>
      <c r="C743" s="262"/>
      <c r="D743" s="364"/>
      <c r="E743" s="364"/>
      <c r="F743" s="364"/>
      <c r="G743" s="364"/>
      <c r="H743" s="364"/>
      <c r="I743" s="364"/>
      <c r="J743" s="364"/>
      <c r="K743" s="364"/>
      <c r="L743" s="364"/>
      <c r="M743" s="364"/>
      <c r="N743" s="364"/>
      <c r="O743" s="364"/>
      <c r="P743" s="364"/>
      <c r="Q743" s="364"/>
      <c r="R743" s="364"/>
      <c r="S743" s="364"/>
      <c r="T743" s="364"/>
      <c r="U743" s="364"/>
      <c r="V743" s="364"/>
      <c r="W743" s="364"/>
      <c r="X743" s="364"/>
      <c r="Y743" s="364"/>
      <c r="Z743" s="364"/>
      <c r="AA743" s="364"/>
    </row>
    <row r="744" customFormat="false" ht="15.75" hidden="false" customHeight="false" outlineLevel="0" collapsed="false">
      <c r="A744" s="261" t="str">
        <f aca="false">IFERROR(__xludf.dummyfunction("""COMPUTED_VALUE"""),"Ribombee")</f>
        <v>Ribombee</v>
      </c>
      <c r="B744" s="364"/>
      <c r="C744" s="262"/>
      <c r="D744" s="364"/>
      <c r="E744" s="364"/>
      <c r="F744" s="364"/>
      <c r="G744" s="364"/>
      <c r="H744" s="364"/>
      <c r="I744" s="364"/>
      <c r="J744" s="364"/>
      <c r="K744" s="364"/>
      <c r="L744" s="364"/>
      <c r="M744" s="364"/>
      <c r="N744" s="364"/>
      <c r="O744" s="364"/>
      <c r="P744" s="364"/>
      <c r="Q744" s="364"/>
      <c r="R744" s="364"/>
      <c r="S744" s="364"/>
      <c r="T744" s="364"/>
      <c r="U744" s="364"/>
      <c r="V744" s="364"/>
      <c r="W744" s="364"/>
      <c r="X744" s="364"/>
      <c r="Y744" s="364"/>
      <c r="Z744" s="364"/>
      <c r="AA744" s="364"/>
    </row>
    <row r="745" customFormat="false" ht="15.75" hidden="false" customHeight="false" outlineLevel="0" collapsed="false">
      <c r="A745" s="261" t="str">
        <f aca="false">IFERROR(__xludf.dummyfunction("""COMPUTED_VALUE"""),"Rockruff")</f>
        <v>Rockruff</v>
      </c>
      <c r="B745" s="364"/>
      <c r="C745" s="262"/>
      <c r="D745" s="364"/>
      <c r="E745" s="364"/>
      <c r="F745" s="364"/>
      <c r="G745" s="364"/>
      <c r="H745" s="364"/>
      <c r="I745" s="364"/>
      <c r="J745" s="364"/>
      <c r="K745" s="364"/>
      <c r="L745" s="364"/>
      <c r="M745" s="364"/>
      <c r="N745" s="364"/>
      <c r="O745" s="364"/>
      <c r="P745" s="364"/>
      <c r="Q745" s="364"/>
      <c r="R745" s="364"/>
      <c r="S745" s="364"/>
      <c r="T745" s="364"/>
      <c r="U745" s="364"/>
      <c r="V745" s="364"/>
      <c r="W745" s="364"/>
      <c r="X745" s="364"/>
      <c r="Y745" s="364"/>
      <c r="Z745" s="364"/>
      <c r="AA745" s="364"/>
    </row>
    <row r="746" customFormat="false" ht="15.75" hidden="false" customHeight="false" outlineLevel="0" collapsed="false">
      <c r="A746" s="261" t="str">
        <f aca="false">IFERROR(__xludf.dummyfunction("""COMPUTED_VALUE"""),"Lycanroc")</f>
        <v>Lycanroc</v>
      </c>
      <c r="B746" s="364"/>
      <c r="C746" s="262"/>
      <c r="D746" s="364"/>
      <c r="E746" s="364"/>
      <c r="F746" s="364"/>
      <c r="G746" s="364"/>
      <c r="H746" s="364"/>
      <c r="I746" s="364"/>
      <c r="J746" s="364"/>
      <c r="K746" s="364"/>
      <c r="L746" s="364"/>
      <c r="M746" s="364"/>
      <c r="N746" s="364"/>
      <c r="O746" s="364"/>
      <c r="P746" s="364"/>
      <c r="Q746" s="364"/>
      <c r="R746" s="364"/>
      <c r="S746" s="364"/>
      <c r="T746" s="364"/>
      <c r="U746" s="364"/>
      <c r="V746" s="364"/>
      <c r="W746" s="364"/>
      <c r="X746" s="364"/>
      <c r="Y746" s="364"/>
      <c r="Z746" s="364"/>
      <c r="AA746" s="364"/>
    </row>
    <row r="747" customFormat="false" ht="15.75" hidden="false" customHeight="false" outlineLevel="0" collapsed="false">
      <c r="A747" s="261" t="str">
        <f aca="false">IFERROR(__xludf.dummyfunction("""COMPUTED_VALUE"""),"Wishiwashi")</f>
        <v>Wishiwashi</v>
      </c>
      <c r="B747" s="364"/>
      <c r="C747" s="262"/>
      <c r="D747" s="364"/>
      <c r="E747" s="364"/>
      <c r="F747" s="364"/>
      <c r="G747" s="364"/>
      <c r="H747" s="364"/>
      <c r="I747" s="364"/>
      <c r="J747" s="364"/>
      <c r="K747" s="364"/>
      <c r="L747" s="364"/>
      <c r="M747" s="364"/>
      <c r="N747" s="364"/>
      <c r="O747" s="364"/>
      <c r="P747" s="364"/>
      <c r="Q747" s="364"/>
      <c r="R747" s="364"/>
      <c r="S747" s="364"/>
      <c r="T747" s="364"/>
      <c r="U747" s="364"/>
      <c r="V747" s="364"/>
      <c r="W747" s="364"/>
      <c r="X747" s="364"/>
      <c r="Y747" s="364"/>
      <c r="Z747" s="364"/>
      <c r="AA747" s="364"/>
    </row>
    <row r="748" customFormat="false" ht="15.75" hidden="false" customHeight="false" outlineLevel="0" collapsed="false">
      <c r="A748" s="261" t="str">
        <f aca="false">IFERROR(__xludf.dummyfunction("""COMPUTED_VALUE"""),"Mareanie")</f>
        <v>Mareanie</v>
      </c>
      <c r="B748" s="364"/>
      <c r="C748" s="262"/>
      <c r="D748" s="364"/>
      <c r="E748" s="364"/>
      <c r="F748" s="364"/>
      <c r="G748" s="364"/>
      <c r="H748" s="364"/>
      <c r="I748" s="364"/>
      <c r="J748" s="364"/>
      <c r="K748" s="364"/>
      <c r="L748" s="364"/>
      <c r="M748" s="364"/>
      <c r="N748" s="364"/>
      <c r="O748" s="364"/>
      <c r="P748" s="364"/>
      <c r="Q748" s="364"/>
      <c r="R748" s="364"/>
      <c r="S748" s="364"/>
      <c r="T748" s="364"/>
      <c r="U748" s="364"/>
      <c r="V748" s="364"/>
      <c r="W748" s="364"/>
      <c r="X748" s="364"/>
      <c r="Y748" s="364"/>
      <c r="Z748" s="364"/>
      <c r="AA748" s="364"/>
    </row>
    <row r="749" customFormat="false" ht="15.75" hidden="false" customHeight="false" outlineLevel="0" collapsed="false">
      <c r="A749" s="261" t="str">
        <f aca="false">IFERROR(__xludf.dummyfunction("""COMPUTED_VALUE"""),"Toxapex")</f>
        <v>Toxapex</v>
      </c>
      <c r="B749" s="364"/>
      <c r="C749" s="262"/>
      <c r="D749" s="364"/>
      <c r="E749" s="364"/>
      <c r="F749" s="364"/>
      <c r="G749" s="364"/>
      <c r="H749" s="364"/>
      <c r="I749" s="364"/>
      <c r="J749" s="364"/>
      <c r="K749" s="364"/>
      <c r="L749" s="364"/>
      <c r="M749" s="364"/>
      <c r="N749" s="364"/>
      <c r="O749" s="364"/>
      <c r="P749" s="364"/>
      <c r="Q749" s="364"/>
      <c r="R749" s="364"/>
      <c r="S749" s="364"/>
      <c r="T749" s="364"/>
      <c r="U749" s="364"/>
      <c r="V749" s="364"/>
      <c r="W749" s="364"/>
      <c r="X749" s="364"/>
      <c r="Y749" s="364"/>
      <c r="Z749" s="364"/>
      <c r="AA749" s="364"/>
    </row>
    <row r="750" customFormat="false" ht="15.75" hidden="false" customHeight="false" outlineLevel="0" collapsed="false">
      <c r="A750" s="261" t="str">
        <f aca="false">IFERROR(__xludf.dummyfunction("""COMPUTED_VALUE"""),"Mudbray")</f>
        <v>Mudbray</v>
      </c>
      <c r="B750" s="364"/>
      <c r="C750" s="262"/>
      <c r="D750" s="364"/>
      <c r="E750" s="364"/>
      <c r="F750" s="364"/>
      <c r="G750" s="364"/>
      <c r="H750" s="364"/>
      <c r="I750" s="364"/>
      <c r="J750" s="364"/>
      <c r="K750" s="364"/>
      <c r="L750" s="364"/>
      <c r="M750" s="364"/>
      <c r="N750" s="364"/>
      <c r="O750" s="364"/>
      <c r="P750" s="364"/>
      <c r="Q750" s="364"/>
      <c r="R750" s="364"/>
      <c r="S750" s="364"/>
      <c r="T750" s="364"/>
      <c r="U750" s="364"/>
      <c r="V750" s="364"/>
      <c r="W750" s="364"/>
      <c r="X750" s="364"/>
      <c r="Y750" s="364"/>
      <c r="Z750" s="364"/>
      <c r="AA750" s="364"/>
    </row>
    <row r="751" customFormat="false" ht="15.75" hidden="false" customHeight="false" outlineLevel="0" collapsed="false">
      <c r="A751" s="261" t="str">
        <f aca="false">IFERROR(__xludf.dummyfunction("""COMPUTED_VALUE"""),"Mudsdale")</f>
        <v>Mudsdale</v>
      </c>
      <c r="B751" s="364"/>
      <c r="C751" s="262"/>
      <c r="D751" s="364"/>
      <c r="E751" s="364"/>
      <c r="F751" s="364"/>
      <c r="G751" s="364"/>
      <c r="H751" s="364"/>
      <c r="I751" s="364"/>
      <c r="J751" s="364"/>
      <c r="K751" s="364"/>
      <c r="L751" s="364"/>
      <c r="M751" s="364"/>
      <c r="N751" s="364"/>
      <c r="O751" s="364"/>
      <c r="P751" s="364"/>
      <c r="Q751" s="364"/>
      <c r="R751" s="364"/>
      <c r="S751" s="364"/>
      <c r="T751" s="364"/>
      <c r="U751" s="364"/>
      <c r="V751" s="364"/>
      <c r="W751" s="364"/>
      <c r="X751" s="364"/>
      <c r="Y751" s="364"/>
      <c r="Z751" s="364"/>
      <c r="AA751" s="364"/>
    </row>
    <row r="752" customFormat="false" ht="15.75" hidden="false" customHeight="false" outlineLevel="0" collapsed="false">
      <c r="A752" s="261" t="str">
        <f aca="false">IFERROR(__xludf.dummyfunction("""COMPUTED_VALUE"""),"Dewpider")</f>
        <v>Dewpider</v>
      </c>
      <c r="B752" s="364"/>
      <c r="C752" s="262"/>
      <c r="D752" s="364"/>
      <c r="E752" s="364"/>
      <c r="F752" s="364"/>
      <c r="G752" s="364"/>
      <c r="H752" s="364"/>
      <c r="I752" s="364"/>
      <c r="J752" s="364"/>
      <c r="K752" s="364"/>
      <c r="L752" s="364"/>
      <c r="M752" s="364"/>
      <c r="N752" s="364"/>
      <c r="O752" s="364"/>
      <c r="P752" s="364"/>
      <c r="Q752" s="364"/>
      <c r="R752" s="364"/>
      <c r="S752" s="364"/>
      <c r="T752" s="364"/>
      <c r="U752" s="364"/>
      <c r="V752" s="364"/>
      <c r="W752" s="364"/>
      <c r="X752" s="364"/>
      <c r="Y752" s="364"/>
      <c r="Z752" s="364"/>
      <c r="AA752" s="364"/>
    </row>
    <row r="753" customFormat="false" ht="15.75" hidden="false" customHeight="false" outlineLevel="0" collapsed="false">
      <c r="A753" s="261" t="str">
        <f aca="false">IFERROR(__xludf.dummyfunction("""COMPUTED_VALUE"""),"Araquanid")</f>
        <v>Araquanid</v>
      </c>
      <c r="B753" s="364"/>
      <c r="C753" s="262"/>
      <c r="D753" s="364"/>
      <c r="E753" s="364"/>
      <c r="F753" s="364"/>
      <c r="G753" s="364"/>
      <c r="H753" s="364"/>
      <c r="I753" s="364"/>
      <c r="J753" s="364"/>
      <c r="K753" s="364"/>
      <c r="L753" s="364"/>
      <c r="M753" s="364"/>
      <c r="N753" s="364"/>
      <c r="O753" s="364"/>
      <c r="P753" s="364"/>
      <c r="Q753" s="364"/>
      <c r="R753" s="364"/>
      <c r="S753" s="364"/>
      <c r="T753" s="364"/>
      <c r="U753" s="364"/>
      <c r="V753" s="364"/>
      <c r="W753" s="364"/>
      <c r="X753" s="364"/>
      <c r="Y753" s="364"/>
      <c r="Z753" s="364"/>
      <c r="AA753" s="364"/>
    </row>
    <row r="754" customFormat="false" ht="15.75" hidden="false" customHeight="false" outlineLevel="0" collapsed="false">
      <c r="A754" s="261" t="str">
        <f aca="false">IFERROR(__xludf.dummyfunction("""COMPUTED_VALUE"""),"Fomantis")</f>
        <v>Fomantis</v>
      </c>
      <c r="B754" s="364"/>
      <c r="C754" s="262"/>
      <c r="D754" s="364"/>
      <c r="E754" s="364"/>
      <c r="F754" s="364"/>
      <c r="G754" s="364"/>
      <c r="H754" s="364"/>
      <c r="I754" s="364"/>
      <c r="J754" s="364"/>
      <c r="K754" s="364"/>
      <c r="L754" s="364"/>
      <c r="M754" s="364"/>
      <c r="N754" s="364"/>
      <c r="O754" s="364"/>
      <c r="P754" s="364"/>
      <c r="Q754" s="364"/>
      <c r="R754" s="364"/>
      <c r="S754" s="364"/>
      <c r="T754" s="364"/>
      <c r="U754" s="364"/>
      <c r="V754" s="364"/>
      <c r="W754" s="364"/>
      <c r="X754" s="364"/>
      <c r="Y754" s="364"/>
      <c r="Z754" s="364"/>
      <c r="AA754" s="364"/>
    </row>
    <row r="755" customFormat="false" ht="15.75" hidden="false" customHeight="false" outlineLevel="0" collapsed="false">
      <c r="A755" s="261" t="str">
        <f aca="false">IFERROR(__xludf.dummyfunction("""COMPUTED_VALUE"""),"Lurantis")</f>
        <v>Lurantis</v>
      </c>
      <c r="B755" s="364"/>
      <c r="C755" s="262"/>
      <c r="D755" s="364"/>
      <c r="E755" s="364"/>
      <c r="F755" s="364"/>
      <c r="G755" s="364"/>
      <c r="H755" s="364"/>
      <c r="I755" s="364"/>
      <c r="J755" s="364"/>
      <c r="K755" s="364"/>
      <c r="L755" s="364"/>
      <c r="M755" s="364"/>
      <c r="N755" s="364"/>
      <c r="O755" s="364"/>
      <c r="P755" s="364"/>
      <c r="Q755" s="364"/>
      <c r="R755" s="364"/>
      <c r="S755" s="364"/>
      <c r="T755" s="364"/>
      <c r="U755" s="364"/>
      <c r="V755" s="364"/>
      <c r="W755" s="364"/>
      <c r="X755" s="364"/>
      <c r="Y755" s="364"/>
      <c r="Z755" s="364"/>
      <c r="AA755" s="364"/>
    </row>
    <row r="756" customFormat="false" ht="15.75" hidden="false" customHeight="false" outlineLevel="0" collapsed="false">
      <c r="A756" s="261" t="str">
        <f aca="false">IFERROR(__xludf.dummyfunction("""COMPUTED_VALUE"""),"Morelull")</f>
        <v>Morelull</v>
      </c>
      <c r="B756" s="364"/>
      <c r="C756" s="262"/>
      <c r="D756" s="364"/>
      <c r="E756" s="364"/>
      <c r="F756" s="364"/>
      <c r="G756" s="364"/>
      <c r="H756" s="364"/>
      <c r="I756" s="364"/>
      <c r="J756" s="364"/>
      <c r="K756" s="364"/>
      <c r="L756" s="364"/>
      <c r="M756" s="364"/>
      <c r="N756" s="364"/>
      <c r="O756" s="364"/>
      <c r="P756" s="364"/>
      <c r="Q756" s="364"/>
      <c r="R756" s="364"/>
      <c r="S756" s="364"/>
      <c r="T756" s="364"/>
      <c r="U756" s="364"/>
      <c r="V756" s="364"/>
      <c r="W756" s="364"/>
      <c r="X756" s="364"/>
      <c r="Y756" s="364"/>
      <c r="Z756" s="364"/>
      <c r="AA756" s="364"/>
    </row>
    <row r="757" customFormat="false" ht="15.75" hidden="false" customHeight="false" outlineLevel="0" collapsed="false">
      <c r="A757" s="261" t="str">
        <f aca="false">IFERROR(__xludf.dummyfunction("""COMPUTED_VALUE"""),"Shiinotic")</f>
        <v>Shiinotic</v>
      </c>
      <c r="B757" s="364"/>
      <c r="C757" s="262"/>
      <c r="D757" s="364"/>
      <c r="E757" s="364"/>
      <c r="F757" s="364"/>
      <c r="G757" s="364"/>
      <c r="H757" s="364"/>
      <c r="I757" s="364"/>
      <c r="J757" s="364"/>
      <c r="K757" s="364"/>
      <c r="L757" s="364"/>
      <c r="M757" s="364"/>
      <c r="N757" s="364"/>
      <c r="O757" s="364"/>
      <c r="P757" s="364"/>
      <c r="Q757" s="364"/>
      <c r="R757" s="364"/>
      <c r="S757" s="364"/>
      <c r="T757" s="364"/>
      <c r="U757" s="364"/>
      <c r="V757" s="364"/>
      <c r="W757" s="364"/>
      <c r="X757" s="364"/>
      <c r="Y757" s="364"/>
      <c r="Z757" s="364"/>
      <c r="AA757" s="364"/>
    </row>
    <row r="758" customFormat="false" ht="15.75" hidden="false" customHeight="false" outlineLevel="0" collapsed="false">
      <c r="A758" s="261" t="str">
        <f aca="false">IFERROR(__xludf.dummyfunction("""COMPUTED_VALUE"""),"Salandit")</f>
        <v>Salandit</v>
      </c>
      <c r="B758" s="364"/>
      <c r="C758" s="262"/>
      <c r="D758" s="364"/>
      <c r="E758" s="364"/>
      <c r="F758" s="364"/>
      <c r="G758" s="364"/>
      <c r="H758" s="364"/>
      <c r="I758" s="364"/>
      <c r="J758" s="364"/>
      <c r="K758" s="364"/>
      <c r="L758" s="364"/>
      <c r="M758" s="364"/>
      <c r="N758" s="364"/>
      <c r="O758" s="364"/>
      <c r="P758" s="364"/>
      <c r="Q758" s="364"/>
      <c r="R758" s="364"/>
      <c r="S758" s="364"/>
      <c r="T758" s="364"/>
      <c r="U758" s="364"/>
      <c r="V758" s="364"/>
      <c r="W758" s="364"/>
      <c r="X758" s="364"/>
      <c r="Y758" s="364"/>
      <c r="Z758" s="364"/>
      <c r="AA758" s="364"/>
    </row>
    <row r="759" customFormat="false" ht="15.75" hidden="false" customHeight="false" outlineLevel="0" collapsed="false">
      <c r="A759" s="261" t="str">
        <f aca="false">IFERROR(__xludf.dummyfunction("""COMPUTED_VALUE"""),"Salazzle")</f>
        <v>Salazzle</v>
      </c>
      <c r="B759" s="364"/>
      <c r="C759" s="262"/>
      <c r="D759" s="364"/>
      <c r="E759" s="364"/>
      <c r="F759" s="364"/>
      <c r="G759" s="364"/>
      <c r="H759" s="364"/>
      <c r="I759" s="364"/>
      <c r="J759" s="364"/>
      <c r="K759" s="364"/>
      <c r="L759" s="364"/>
      <c r="M759" s="364"/>
      <c r="N759" s="364"/>
      <c r="O759" s="364"/>
      <c r="P759" s="364"/>
      <c r="Q759" s="364"/>
      <c r="R759" s="364"/>
      <c r="S759" s="364"/>
      <c r="T759" s="364"/>
      <c r="U759" s="364"/>
      <c r="V759" s="364"/>
      <c r="W759" s="364"/>
      <c r="X759" s="364"/>
      <c r="Y759" s="364"/>
      <c r="Z759" s="364"/>
      <c r="AA759" s="364"/>
    </row>
    <row r="760" customFormat="false" ht="15.75" hidden="false" customHeight="false" outlineLevel="0" collapsed="false">
      <c r="A760" s="261" t="str">
        <f aca="false">IFERROR(__xludf.dummyfunction("""COMPUTED_VALUE"""),"Stufful")</f>
        <v>Stufful</v>
      </c>
      <c r="B760" s="364"/>
      <c r="C760" s="262"/>
      <c r="D760" s="364"/>
      <c r="E760" s="364"/>
      <c r="F760" s="364"/>
      <c r="G760" s="364"/>
      <c r="H760" s="364"/>
      <c r="I760" s="364"/>
      <c r="J760" s="364"/>
      <c r="K760" s="364"/>
      <c r="L760" s="364"/>
      <c r="M760" s="364"/>
      <c r="N760" s="364"/>
      <c r="O760" s="364"/>
      <c r="P760" s="364"/>
      <c r="Q760" s="364"/>
      <c r="R760" s="364"/>
      <c r="S760" s="364"/>
      <c r="T760" s="364"/>
      <c r="U760" s="364"/>
      <c r="V760" s="364"/>
      <c r="W760" s="364"/>
      <c r="X760" s="364"/>
      <c r="Y760" s="364"/>
      <c r="Z760" s="364"/>
      <c r="AA760" s="364"/>
    </row>
    <row r="761" customFormat="false" ht="15.75" hidden="false" customHeight="false" outlineLevel="0" collapsed="false">
      <c r="A761" s="261" t="str">
        <f aca="false">IFERROR(__xludf.dummyfunction("""COMPUTED_VALUE"""),"Bewear")</f>
        <v>Bewear</v>
      </c>
      <c r="B761" s="364"/>
      <c r="C761" s="262"/>
      <c r="D761" s="364"/>
      <c r="E761" s="364"/>
      <c r="F761" s="364"/>
      <c r="G761" s="364"/>
      <c r="H761" s="364"/>
      <c r="I761" s="364"/>
      <c r="J761" s="364"/>
      <c r="K761" s="364"/>
      <c r="L761" s="364"/>
      <c r="M761" s="364"/>
      <c r="N761" s="364"/>
      <c r="O761" s="364"/>
      <c r="P761" s="364"/>
      <c r="Q761" s="364"/>
      <c r="R761" s="364"/>
      <c r="S761" s="364"/>
      <c r="T761" s="364"/>
      <c r="U761" s="364"/>
      <c r="V761" s="364"/>
      <c r="W761" s="364"/>
      <c r="X761" s="364"/>
      <c r="Y761" s="364"/>
      <c r="Z761" s="364"/>
      <c r="AA761" s="364"/>
    </row>
    <row r="762" customFormat="false" ht="15.75" hidden="false" customHeight="false" outlineLevel="0" collapsed="false">
      <c r="A762" s="261" t="str">
        <f aca="false">IFERROR(__xludf.dummyfunction("""COMPUTED_VALUE"""),"Bounsweet")</f>
        <v>Bounsweet</v>
      </c>
      <c r="B762" s="364"/>
      <c r="C762" s="262"/>
      <c r="D762" s="364"/>
      <c r="E762" s="364"/>
      <c r="F762" s="364"/>
      <c r="G762" s="364"/>
      <c r="H762" s="364"/>
      <c r="I762" s="364"/>
      <c r="J762" s="364"/>
      <c r="K762" s="364"/>
      <c r="L762" s="364"/>
      <c r="M762" s="364"/>
      <c r="N762" s="364"/>
      <c r="O762" s="364"/>
      <c r="P762" s="364"/>
      <c r="Q762" s="364"/>
      <c r="R762" s="364"/>
      <c r="S762" s="364"/>
      <c r="T762" s="364"/>
      <c r="U762" s="364"/>
      <c r="V762" s="364"/>
      <c r="W762" s="364"/>
      <c r="X762" s="364"/>
      <c r="Y762" s="364"/>
      <c r="Z762" s="364"/>
      <c r="AA762" s="364"/>
    </row>
    <row r="763" customFormat="false" ht="15.75" hidden="false" customHeight="false" outlineLevel="0" collapsed="false">
      <c r="A763" s="261" t="str">
        <f aca="false">IFERROR(__xludf.dummyfunction("""COMPUTED_VALUE"""),"Steenee")</f>
        <v>Steenee</v>
      </c>
      <c r="B763" s="364"/>
      <c r="C763" s="262"/>
      <c r="D763" s="364"/>
      <c r="E763" s="364"/>
      <c r="F763" s="364"/>
      <c r="G763" s="364"/>
      <c r="H763" s="364"/>
      <c r="I763" s="364"/>
      <c r="J763" s="364"/>
      <c r="K763" s="364"/>
      <c r="L763" s="364"/>
      <c r="M763" s="364"/>
      <c r="N763" s="364"/>
      <c r="O763" s="364"/>
      <c r="P763" s="364"/>
      <c r="Q763" s="364"/>
      <c r="R763" s="364"/>
      <c r="S763" s="364"/>
      <c r="T763" s="364"/>
      <c r="U763" s="364"/>
      <c r="V763" s="364"/>
      <c r="W763" s="364"/>
      <c r="X763" s="364"/>
      <c r="Y763" s="364"/>
      <c r="Z763" s="364"/>
      <c r="AA763" s="364"/>
    </row>
    <row r="764" customFormat="false" ht="15.75" hidden="false" customHeight="false" outlineLevel="0" collapsed="false">
      <c r="A764" s="261" t="str">
        <f aca="false">IFERROR(__xludf.dummyfunction("""COMPUTED_VALUE"""),"Tsareena")</f>
        <v>Tsareena</v>
      </c>
      <c r="B764" s="364"/>
      <c r="C764" s="262"/>
      <c r="D764" s="364"/>
      <c r="E764" s="364"/>
      <c r="F764" s="364"/>
      <c r="G764" s="364"/>
      <c r="H764" s="364"/>
      <c r="I764" s="364"/>
      <c r="J764" s="364"/>
      <c r="K764" s="364"/>
      <c r="L764" s="364"/>
      <c r="M764" s="364"/>
      <c r="N764" s="364"/>
      <c r="O764" s="364"/>
      <c r="P764" s="364"/>
      <c r="Q764" s="364"/>
      <c r="R764" s="364"/>
      <c r="S764" s="364"/>
      <c r="T764" s="364"/>
      <c r="U764" s="364"/>
      <c r="V764" s="364"/>
      <c r="W764" s="364"/>
      <c r="X764" s="364"/>
      <c r="Y764" s="364"/>
      <c r="Z764" s="364"/>
      <c r="AA764" s="364"/>
    </row>
    <row r="765" customFormat="false" ht="15.75" hidden="false" customHeight="false" outlineLevel="0" collapsed="false">
      <c r="A765" s="261" t="str">
        <f aca="false">IFERROR(__xludf.dummyfunction("""COMPUTED_VALUE"""),"Comfey")</f>
        <v>Comfey</v>
      </c>
      <c r="B765" s="364"/>
      <c r="C765" s="262"/>
      <c r="D765" s="364"/>
      <c r="E765" s="364"/>
      <c r="F765" s="364"/>
      <c r="G765" s="364"/>
      <c r="H765" s="364"/>
      <c r="I765" s="364"/>
      <c r="J765" s="364"/>
      <c r="K765" s="364"/>
      <c r="L765" s="364"/>
      <c r="M765" s="364"/>
      <c r="N765" s="364"/>
      <c r="O765" s="364"/>
      <c r="P765" s="364"/>
      <c r="Q765" s="364"/>
      <c r="R765" s="364"/>
      <c r="S765" s="364"/>
      <c r="T765" s="364"/>
      <c r="U765" s="364"/>
      <c r="V765" s="364"/>
      <c r="W765" s="364"/>
      <c r="X765" s="364"/>
      <c r="Y765" s="364"/>
      <c r="Z765" s="364"/>
      <c r="AA765" s="364"/>
    </row>
    <row r="766" customFormat="false" ht="15.75" hidden="false" customHeight="false" outlineLevel="0" collapsed="false">
      <c r="A766" s="261" t="str">
        <f aca="false">IFERROR(__xludf.dummyfunction("""COMPUTED_VALUE"""),"Oranguru")</f>
        <v>Oranguru</v>
      </c>
      <c r="B766" s="364"/>
      <c r="C766" s="262"/>
      <c r="D766" s="364"/>
      <c r="E766" s="364"/>
      <c r="F766" s="364"/>
      <c r="G766" s="364"/>
      <c r="H766" s="364"/>
      <c r="I766" s="364"/>
      <c r="J766" s="364"/>
      <c r="K766" s="364"/>
      <c r="L766" s="364"/>
      <c r="M766" s="364"/>
      <c r="N766" s="364"/>
      <c r="O766" s="364"/>
      <c r="P766" s="364"/>
      <c r="Q766" s="364"/>
      <c r="R766" s="364"/>
      <c r="S766" s="364"/>
      <c r="T766" s="364"/>
      <c r="U766" s="364"/>
      <c r="V766" s="364"/>
      <c r="W766" s="364"/>
      <c r="X766" s="364"/>
      <c r="Y766" s="364"/>
      <c r="Z766" s="364"/>
      <c r="AA766" s="364"/>
    </row>
    <row r="767" customFormat="false" ht="15.75" hidden="false" customHeight="false" outlineLevel="0" collapsed="false">
      <c r="A767" s="261" t="str">
        <f aca="false">IFERROR(__xludf.dummyfunction("""COMPUTED_VALUE"""),"Passimian")</f>
        <v>Passimian</v>
      </c>
      <c r="B767" s="364"/>
      <c r="C767" s="262"/>
      <c r="D767" s="364"/>
      <c r="E767" s="364"/>
      <c r="F767" s="364"/>
      <c r="G767" s="364"/>
      <c r="H767" s="364"/>
      <c r="I767" s="364"/>
      <c r="J767" s="364"/>
      <c r="K767" s="364"/>
      <c r="L767" s="364"/>
      <c r="M767" s="364"/>
      <c r="N767" s="364"/>
      <c r="O767" s="364"/>
      <c r="P767" s="364"/>
      <c r="Q767" s="364"/>
      <c r="R767" s="364"/>
      <c r="S767" s="364"/>
      <c r="T767" s="364"/>
      <c r="U767" s="364"/>
      <c r="V767" s="364"/>
      <c r="W767" s="364"/>
      <c r="X767" s="364"/>
      <c r="Y767" s="364"/>
      <c r="Z767" s="364"/>
      <c r="AA767" s="364"/>
    </row>
    <row r="768" customFormat="false" ht="15.75" hidden="false" customHeight="false" outlineLevel="0" collapsed="false">
      <c r="A768" s="261" t="str">
        <f aca="false">IFERROR(__xludf.dummyfunction("""COMPUTED_VALUE"""),"Wimpod")</f>
        <v>Wimpod</v>
      </c>
      <c r="B768" s="364"/>
      <c r="C768" s="262"/>
      <c r="D768" s="364"/>
      <c r="E768" s="364"/>
      <c r="F768" s="364"/>
      <c r="G768" s="364"/>
      <c r="H768" s="364"/>
      <c r="I768" s="364"/>
      <c r="J768" s="364"/>
      <c r="K768" s="364"/>
      <c r="L768" s="364"/>
      <c r="M768" s="364"/>
      <c r="N768" s="364"/>
      <c r="O768" s="364"/>
      <c r="P768" s="364"/>
      <c r="Q768" s="364"/>
      <c r="R768" s="364"/>
      <c r="S768" s="364"/>
      <c r="T768" s="364"/>
      <c r="U768" s="364"/>
      <c r="V768" s="364"/>
      <c r="W768" s="364"/>
      <c r="X768" s="364"/>
      <c r="Y768" s="364"/>
      <c r="Z768" s="364"/>
      <c r="AA768" s="364"/>
    </row>
    <row r="769" customFormat="false" ht="15.75" hidden="false" customHeight="false" outlineLevel="0" collapsed="false">
      <c r="A769" s="261" t="str">
        <f aca="false">IFERROR(__xludf.dummyfunction("""COMPUTED_VALUE"""),"Golisopod")</f>
        <v>Golisopod</v>
      </c>
      <c r="B769" s="364"/>
      <c r="C769" s="262"/>
      <c r="D769" s="364"/>
      <c r="E769" s="364"/>
      <c r="F769" s="364"/>
      <c r="G769" s="364"/>
      <c r="H769" s="364"/>
      <c r="I769" s="364"/>
      <c r="J769" s="364"/>
      <c r="K769" s="364"/>
      <c r="L769" s="364"/>
      <c r="M769" s="364"/>
      <c r="N769" s="364"/>
      <c r="O769" s="364"/>
      <c r="P769" s="364"/>
      <c r="Q769" s="364"/>
      <c r="R769" s="364"/>
      <c r="S769" s="364"/>
      <c r="T769" s="364"/>
      <c r="U769" s="364"/>
      <c r="V769" s="364"/>
      <c r="W769" s="364"/>
      <c r="X769" s="364"/>
      <c r="Y769" s="364"/>
      <c r="Z769" s="364"/>
      <c r="AA769" s="364"/>
    </row>
    <row r="770" customFormat="false" ht="15.75" hidden="false" customHeight="false" outlineLevel="0" collapsed="false">
      <c r="A770" s="261" t="str">
        <f aca="false">IFERROR(__xludf.dummyfunction("""COMPUTED_VALUE"""),"Sandygast")</f>
        <v>Sandygast</v>
      </c>
      <c r="B770" s="364"/>
      <c r="C770" s="262"/>
      <c r="D770" s="364"/>
      <c r="E770" s="364"/>
      <c r="F770" s="364"/>
      <c r="G770" s="364"/>
      <c r="H770" s="364"/>
      <c r="I770" s="364"/>
      <c r="J770" s="364"/>
      <c r="K770" s="364"/>
      <c r="L770" s="364"/>
      <c r="M770" s="364"/>
      <c r="N770" s="364"/>
      <c r="O770" s="364"/>
      <c r="P770" s="364"/>
      <c r="Q770" s="364"/>
      <c r="R770" s="364"/>
      <c r="S770" s="364"/>
      <c r="T770" s="364"/>
      <c r="U770" s="364"/>
      <c r="V770" s="364"/>
      <c r="W770" s="364"/>
      <c r="X770" s="364"/>
      <c r="Y770" s="364"/>
      <c r="Z770" s="364"/>
      <c r="AA770" s="364"/>
    </row>
    <row r="771" customFormat="false" ht="15.75" hidden="false" customHeight="false" outlineLevel="0" collapsed="false">
      <c r="A771" s="261" t="str">
        <f aca="false">IFERROR(__xludf.dummyfunction("""COMPUTED_VALUE"""),"Palossand")</f>
        <v>Palossand</v>
      </c>
      <c r="B771" s="364"/>
      <c r="C771" s="262"/>
      <c r="D771" s="364"/>
      <c r="E771" s="364"/>
      <c r="F771" s="364"/>
      <c r="G771" s="364"/>
      <c r="H771" s="364"/>
      <c r="I771" s="364"/>
      <c r="J771" s="364"/>
      <c r="K771" s="364"/>
      <c r="L771" s="364"/>
      <c r="M771" s="364"/>
      <c r="N771" s="364"/>
      <c r="O771" s="364"/>
      <c r="P771" s="364"/>
      <c r="Q771" s="364"/>
      <c r="R771" s="364"/>
      <c r="S771" s="364"/>
      <c r="T771" s="364"/>
      <c r="U771" s="364"/>
      <c r="V771" s="364"/>
      <c r="W771" s="364"/>
      <c r="X771" s="364"/>
      <c r="Y771" s="364"/>
      <c r="Z771" s="364"/>
      <c r="AA771" s="364"/>
    </row>
    <row r="772" customFormat="false" ht="15.75" hidden="false" customHeight="false" outlineLevel="0" collapsed="false">
      <c r="A772" s="261" t="str">
        <f aca="false">IFERROR(__xludf.dummyfunction("""COMPUTED_VALUE"""),"Pyukumuku")</f>
        <v>Pyukumuku</v>
      </c>
      <c r="B772" s="364"/>
      <c r="C772" s="262"/>
      <c r="D772" s="364"/>
      <c r="E772" s="364"/>
      <c r="F772" s="364"/>
      <c r="G772" s="364"/>
      <c r="H772" s="364"/>
      <c r="I772" s="364"/>
      <c r="J772" s="364"/>
      <c r="K772" s="364"/>
      <c r="L772" s="364"/>
      <c r="M772" s="364"/>
      <c r="N772" s="364"/>
      <c r="O772" s="364"/>
      <c r="P772" s="364"/>
      <c r="Q772" s="364"/>
      <c r="R772" s="364"/>
      <c r="S772" s="364"/>
      <c r="T772" s="364"/>
      <c r="U772" s="364"/>
      <c r="V772" s="364"/>
      <c r="W772" s="364"/>
      <c r="X772" s="364"/>
      <c r="Y772" s="364"/>
      <c r="Z772" s="364"/>
      <c r="AA772" s="364"/>
    </row>
    <row r="773" customFormat="false" ht="15.75" hidden="false" customHeight="false" outlineLevel="0" collapsed="false">
      <c r="A773" s="261" t="str">
        <f aca="false">IFERROR(__xludf.dummyfunction("""COMPUTED_VALUE"""),"Type: Null")</f>
        <v>Type: Null</v>
      </c>
      <c r="B773" s="364"/>
      <c r="C773" s="262"/>
      <c r="D773" s="364"/>
      <c r="E773" s="364"/>
      <c r="F773" s="364"/>
      <c r="G773" s="364"/>
      <c r="H773" s="364"/>
      <c r="I773" s="364"/>
      <c r="J773" s="364"/>
      <c r="K773" s="364"/>
      <c r="L773" s="364"/>
      <c r="M773" s="364"/>
      <c r="N773" s="364"/>
      <c r="O773" s="364"/>
      <c r="P773" s="364"/>
      <c r="Q773" s="364"/>
      <c r="R773" s="364"/>
      <c r="S773" s="364"/>
      <c r="T773" s="364"/>
      <c r="U773" s="364"/>
      <c r="V773" s="364"/>
      <c r="W773" s="364"/>
      <c r="X773" s="364"/>
      <c r="Y773" s="364"/>
      <c r="Z773" s="364"/>
      <c r="AA773" s="364"/>
    </row>
    <row r="774" customFormat="false" ht="15.75" hidden="false" customHeight="false" outlineLevel="0" collapsed="false">
      <c r="A774" s="261" t="str">
        <f aca="false">IFERROR(__xludf.dummyfunction("""COMPUTED_VALUE"""),"Silvally")</f>
        <v>Silvally</v>
      </c>
      <c r="B774" s="364"/>
      <c r="C774" s="262"/>
      <c r="D774" s="364"/>
      <c r="E774" s="364"/>
      <c r="F774" s="364"/>
      <c r="G774" s="364"/>
      <c r="H774" s="364"/>
      <c r="I774" s="364"/>
      <c r="J774" s="364"/>
      <c r="K774" s="364"/>
      <c r="L774" s="364"/>
      <c r="M774" s="364"/>
      <c r="N774" s="364"/>
      <c r="O774" s="364"/>
      <c r="P774" s="364"/>
      <c r="Q774" s="364"/>
      <c r="R774" s="364"/>
      <c r="S774" s="364"/>
      <c r="T774" s="364"/>
      <c r="U774" s="364"/>
      <c r="V774" s="364"/>
      <c r="W774" s="364"/>
      <c r="X774" s="364"/>
      <c r="Y774" s="364"/>
      <c r="Z774" s="364"/>
      <c r="AA774" s="364"/>
    </row>
    <row r="775" customFormat="false" ht="15.75" hidden="false" customHeight="false" outlineLevel="0" collapsed="false">
      <c r="A775" s="261" t="str">
        <f aca="false">IFERROR(__xludf.dummyfunction("""COMPUTED_VALUE"""),"Minior")</f>
        <v>Minior</v>
      </c>
      <c r="B775" s="364"/>
      <c r="C775" s="262"/>
      <c r="D775" s="364"/>
      <c r="E775" s="364"/>
      <c r="F775" s="364"/>
      <c r="G775" s="364"/>
      <c r="H775" s="364"/>
      <c r="I775" s="364"/>
      <c r="J775" s="364"/>
      <c r="K775" s="364"/>
      <c r="L775" s="364"/>
      <c r="M775" s="364"/>
      <c r="N775" s="364"/>
      <c r="O775" s="364"/>
      <c r="P775" s="364"/>
      <c r="Q775" s="364"/>
      <c r="R775" s="364"/>
      <c r="S775" s="364"/>
      <c r="T775" s="364"/>
      <c r="U775" s="364"/>
      <c r="V775" s="364"/>
      <c r="W775" s="364"/>
      <c r="X775" s="364"/>
      <c r="Y775" s="364"/>
      <c r="Z775" s="364"/>
      <c r="AA775" s="364"/>
    </row>
    <row r="776" customFormat="false" ht="15.75" hidden="false" customHeight="false" outlineLevel="0" collapsed="false">
      <c r="A776" s="261" t="str">
        <f aca="false">IFERROR(__xludf.dummyfunction("""COMPUTED_VALUE"""),"Komala")</f>
        <v>Komala</v>
      </c>
      <c r="B776" s="364"/>
      <c r="C776" s="262"/>
      <c r="D776" s="364"/>
      <c r="E776" s="364"/>
      <c r="F776" s="364"/>
      <c r="G776" s="364"/>
      <c r="H776" s="364"/>
      <c r="I776" s="364"/>
      <c r="J776" s="364"/>
      <c r="K776" s="364"/>
      <c r="L776" s="364"/>
      <c r="M776" s="364"/>
      <c r="N776" s="364"/>
      <c r="O776" s="364"/>
      <c r="P776" s="364"/>
      <c r="Q776" s="364"/>
      <c r="R776" s="364"/>
      <c r="S776" s="364"/>
      <c r="T776" s="364"/>
      <c r="U776" s="364"/>
      <c r="V776" s="364"/>
      <c r="W776" s="364"/>
      <c r="X776" s="364"/>
      <c r="Y776" s="364"/>
      <c r="Z776" s="364"/>
      <c r="AA776" s="364"/>
    </row>
    <row r="777" customFormat="false" ht="15.75" hidden="false" customHeight="false" outlineLevel="0" collapsed="false">
      <c r="A777" s="261" t="str">
        <f aca="false">IFERROR(__xludf.dummyfunction("""COMPUTED_VALUE"""),"Turtonator")</f>
        <v>Turtonator</v>
      </c>
      <c r="B777" s="364"/>
      <c r="C777" s="262"/>
      <c r="D777" s="364"/>
      <c r="E777" s="364"/>
      <c r="F777" s="364"/>
      <c r="G777" s="364"/>
      <c r="H777" s="364"/>
      <c r="I777" s="364"/>
      <c r="J777" s="364"/>
      <c r="K777" s="364"/>
      <c r="L777" s="364"/>
      <c r="M777" s="364"/>
      <c r="N777" s="364"/>
      <c r="O777" s="364"/>
      <c r="P777" s="364"/>
      <c r="Q777" s="364"/>
      <c r="R777" s="364"/>
      <c r="S777" s="364"/>
      <c r="T777" s="364"/>
      <c r="U777" s="364"/>
      <c r="V777" s="364"/>
      <c r="W777" s="364"/>
      <c r="X777" s="364"/>
      <c r="Y777" s="364"/>
      <c r="Z777" s="364"/>
      <c r="AA777" s="364"/>
    </row>
    <row r="778" customFormat="false" ht="15.75" hidden="false" customHeight="false" outlineLevel="0" collapsed="false">
      <c r="A778" s="261" t="str">
        <f aca="false">IFERROR(__xludf.dummyfunction("""COMPUTED_VALUE"""),"Togedemaru")</f>
        <v>Togedemaru</v>
      </c>
      <c r="B778" s="364"/>
      <c r="C778" s="262"/>
      <c r="D778" s="364"/>
      <c r="E778" s="364"/>
      <c r="F778" s="364"/>
      <c r="G778" s="364"/>
      <c r="H778" s="364"/>
      <c r="I778" s="364"/>
      <c r="J778" s="364"/>
      <c r="K778" s="364"/>
      <c r="L778" s="364"/>
      <c r="M778" s="364"/>
      <c r="N778" s="364"/>
      <c r="O778" s="364"/>
      <c r="P778" s="364"/>
      <c r="Q778" s="364"/>
      <c r="R778" s="364"/>
      <c r="S778" s="364"/>
      <c r="T778" s="364"/>
      <c r="U778" s="364"/>
      <c r="V778" s="364"/>
      <c r="W778" s="364"/>
      <c r="X778" s="364"/>
      <c r="Y778" s="364"/>
      <c r="Z778" s="364"/>
      <c r="AA778" s="364"/>
    </row>
    <row r="779" customFormat="false" ht="15.75" hidden="false" customHeight="false" outlineLevel="0" collapsed="false">
      <c r="A779" s="261" t="str">
        <f aca="false">IFERROR(__xludf.dummyfunction("""COMPUTED_VALUE"""),"Mimikyu")</f>
        <v>Mimikyu</v>
      </c>
      <c r="B779" s="364"/>
      <c r="C779" s="262"/>
      <c r="D779" s="364"/>
      <c r="E779" s="364"/>
      <c r="F779" s="364"/>
      <c r="G779" s="364"/>
      <c r="H779" s="364"/>
      <c r="I779" s="364"/>
      <c r="J779" s="364"/>
      <c r="K779" s="364"/>
      <c r="L779" s="364"/>
      <c r="M779" s="364"/>
      <c r="N779" s="364"/>
      <c r="O779" s="364"/>
      <c r="P779" s="364"/>
      <c r="Q779" s="364"/>
      <c r="R779" s="364"/>
      <c r="S779" s="364"/>
      <c r="T779" s="364"/>
      <c r="U779" s="364"/>
      <c r="V779" s="364"/>
      <c r="W779" s="364"/>
      <c r="X779" s="364"/>
      <c r="Y779" s="364"/>
      <c r="Z779" s="364"/>
      <c r="AA779" s="364"/>
    </row>
    <row r="780" customFormat="false" ht="15.75" hidden="false" customHeight="false" outlineLevel="0" collapsed="false">
      <c r="A780" s="261" t="str">
        <f aca="false">IFERROR(__xludf.dummyfunction("""COMPUTED_VALUE"""),"Bruxish")</f>
        <v>Bruxish</v>
      </c>
      <c r="B780" s="364"/>
      <c r="C780" s="262"/>
      <c r="D780" s="364"/>
      <c r="E780" s="364"/>
      <c r="F780" s="364"/>
      <c r="G780" s="364"/>
      <c r="H780" s="364"/>
      <c r="I780" s="364"/>
      <c r="J780" s="364"/>
      <c r="K780" s="364"/>
      <c r="L780" s="364"/>
      <c r="M780" s="364"/>
      <c r="N780" s="364"/>
      <c r="O780" s="364"/>
      <c r="P780" s="364"/>
      <c r="Q780" s="364"/>
      <c r="R780" s="364"/>
      <c r="S780" s="364"/>
      <c r="T780" s="364"/>
      <c r="U780" s="364"/>
      <c r="V780" s="364"/>
      <c r="W780" s="364"/>
      <c r="X780" s="364"/>
      <c r="Y780" s="364"/>
      <c r="Z780" s="364"/>
      <c r="AA780" s="364"/>
    </row>
    <row r="781" customFormat="false" ht="15.75" hidden="false" customHeight="false" outlineLevel="0" collapsed="false">
      <c r="A781" s="261" t="str">
        <f aca="false">IFERROR(__xludf.dummyfunction("""COMPUTED_VALUE"""),"Drampa")</f>
        <v>Drampa</v>
      </c>
      <c r="B781" s="364"/>
      <c r="C781" s="262"/>
      <c r="D781" s="364"/>
      <c r="E781" s="364"/>
      <c r="F781" s="364"/>
      <c r="G781" s="364"/>
      <c r="H781" s="364"/>
      <c r="I781" s="364"/>
      <c r="J781" s="364"/>
      <c r="K781" s="364"/>
      <c r="L781" s="364"/>
      <c r="M781" s="364"/>
      <c r="N781" s="364"/>
      <c r="O781" s="364"/>
      <c r="P781" s="364"/>
      <c r="Q781" s="364"/>
      <c r="R781" s="364"/>
      <c r="S781" s="364"/>
      <c r="T781" s="364"/>
      <c r="U781" s="364"/>
      <c r="V781" s="364"/>
      <c r="W781" s="364"/>
      <c r="X781" s="364"/>
      <c r="Y781" s="364"/>
      <c r="Z781" s="364"/>
      <c r="AA781" s="364"/>
    </row>
    <row r="782" customFormat="false" ht="15.75" hidden="false" customHeight="false" outlineLevel="0" collapsed="false">
      <c r="A782" s="261" t="str">
        <f aca="false">IFERROR(__xludf.dummyfunction("""COMPUTED_VALUE"""),"Dhelmise")</f>
        <v>Dhelmise</v>
      </c>
      <c r="B782" s="364"/>
      <c r="C782" s="262"/>
      <c r="D782" s="364"/>
      <c r="E782" s="364"/>
      <c r="F782" s="364"/>
      <c r="G782" s="364"/>
      <c r="H782" s="364"/>
      <c r="I782" s="364"/>
      <c r="J782" s="364"/>
      <c r="K782" s="364"/>
      <c r="L782" s="364"/>
      <c r="M782" s="364"/>
      <c r="N782" s="364"/>
      <c r="O782" s="364"/>
      <c r="P782" s="364"/>
      <c r="Q782" s="364"/>
      <c r="R782" s="364"/>
      <c r="S782" s="364"/>
      <c r="T782" s="364"/>
      <c r="U782" s="364"/>
      <c r="V782" s="364"/>
      <c r="W782" s="364"/>
      <c r="X782" s="364"/>
      <c r="Y782" s="364"/>
      <c r="Z782" s="364"/>
      <c r="AA782" s="364"/>
    </row>
    <row r="783" customFormat="false" ht="15.75" hidden="false" customHeight="false" outlineLevel="0" collapsed="false">
      <c r="A783" s="261" t="str">
        <f aca="false">IFERROR(__xludf.dummyfunction("""COMPUTED_VALUE"""),"Jangmo-o")</f>
        <v>Jangmo-o</v>
      </c>
      <c r="B783" s="364"/>
      <c r="C783" s="262"/>
      <c r="D783" s="364"/>
      <c r="E783" s="364"/>
      <c r="F783" s="364"/>
      <c r="G783" s="364"/>
      <c r="H783" s="364"/>
      <c r="I783" s="364"/>
      <c r="J783" s="364"/>
      <c r="K783" s="364"/>
      <c r="L783" s="364"/>
      <c r="M783" s="364"/>
      <c r="N783" s="364"/>
      <c r="O783" s="364"/>
      <c r="P783" s="364"/>
      <c r="Q783" s="364"/>
      <c r="R783" s="364"/>
      <c r="S783" s="364"/>
      <c r="T783" s="364"/>
      <c r="U783" s="364"/>
      <c r="V783" s="364"/>
      <c r="W783" s="364"/>
      <c r="X783" s="364"/>
      <c r="Y783" s="364"/>
      <c r="Z783" s="364"/>
      <c r="AA783" s="364"/>
    </row>
    <row r="784" customFormat="false" ht="15.75" hidden="false" customHeight="false" outlineLevel="0" collapsed="false">
      <c r="A784" s="261" t="str">
        <f aca="false">IFERROR(__xludf.dummyfunction("""COMPUTED_VALUE"""),"Hakamo-o")</f>
        <v>Hakamo-o</v>
      </c>
      <c r="B784" s="364"/>
      <c r="C784" s="262"/>
      <c r="D784" s="364"/>
      <c r="E784" s="364"/>
      <c r="F784" s="364"/>
      <c r="G784" s="364"/>
      <c r="H784" s="364"/>
      <c r="I784" s="364"/>
      <c r="J784" s="364"/>
      <c r="K784" s="364"/>
      <c r="L784" s="364"/>
      <c r="M784" s="364"/>
      <c r="N784" s="364"/>
      <c r="O784" s="364"/>
      <c r="P784" s="364"/>
      <c r="Q784" s="364"/>
      <c r="R784" s="364"/>
      <c r="S784" s="364"/>
      <c r="T784" s="364"/>
      <c r="U784" s="364"/>
      <c r="V784" s="364"/>
      <c r="W784" s="364"/>
      <c r="X784" s="364"/>
      <c r="Y784" s="364"/>
      <c r="Z784" s="364"/>
      <c r="AA784" s="364"/>
    </row>
    <row r="785" customFormat="false" ht="15.75" hidden="false" customHeight="false" outlineLevel="0" collapsed="false">
      <c r="A785" s="261" t="str">
        <f aca="false">IFERROR(__xludf.dummyfunction("""COMPUTED_VALUE"""),"Kommo-o")</f>
        <v>Kommo-o</v>
      </c>
      <c r="B785" s="364"/>
      <c r="C785" s="262"/>
      <c r="D785" s="364"/>
      <c r="E785" s="364"/>
      <c r="F785" s="364"/>
      <c r="G785" s="364"/>
      <c r="H785" s="364"/>
      <c r="I785" s="364"/>
      <c r="J785" s="364"/>
      <c r="K785" s="364"/>
      <c r="L785" s="364"/>
      <c r="M785" s="364"/>
      <c r="N785" s="364"/>
      <c r="O785" s="364"/>
      <c r="P785" s="364"/>
      <c r="Q785" s="364"/>
      <c r="R785" s="364"/>
      <c r="S785" s="364"/>
      <c r="T785" s="364"/>
      <c r="U785" s="364"/>
      <c r="V785" s="364"/>
      <c r="W785" s="364"/>
      <c r="X785" s="364"/>
      <c r="Y785" s="364"/>
      <c r="Z785" s="364"/>
      <c r="AA785" s="364"/>
    </row>
    <row r="786" customFormat="false" ht="15.75" hidden="false" customHeight="false" outlineLevel="0" collapsed="false">
      <c r="A786" s="261" t="str">
        <f aca="false">IFERROR(__xludf.dummyfunction("""COMPUTED_VALUE"""),"Tapu Koko")</f>
        <v>Tapu Koko</v>
      </c>
      <c r="B786" s="364"/>
      <c r="C786" s="262"/>
      <c r="D786" s="364"/>
      <c r="E786" s="364"/>
      <c r="F786" s="364"/>
      <c r="G786" s="364"/>
      <c r="H786" s="364"/>
      <c r="I786" s="364"/>
      <c r="J786" s="364"/>
      <c r="K786" s="364"/>
      <c r="L786" s="364"/>
      <c r="M786" s="364"/>
      <c r="N786" s="364"/>
      <c r="O786" s="364"/>
      <c r="P786" s="364"/>
      <c r="Q786" s="364"/>
      <c r="R786" s="364"/>
      <c r="S786" s="364"/>
      <c r="T786" s="364"/>
      <c r="U786" s="364"/>
      <c r="V786" s="364"/>
      <c r="W786" s="364"/>
      <c r="X786" s="364"/>
      <c r="Y786" s="364"/>
      <c r="Z786" s="364"/>
      <c r="AA786" s="364"/>
    </row>
    <row r="787" customFormat="false" ht="15.75" hidden="false" customHeight="false" outlineLevel="0" collapsed="false">
      <c r="A787" s="261" t="str">
        <f aca="false">IFERROR(__xludf.dummyfunction("""COMPUTED_VALUE"""),"Tapu Lele")</f>
        <v>Tapu Lele</v>
      </c>
      <c r="B787" s="364"/>
      <c r="C787" s="262"/>
      <c r="D787" s="364"/>
      <c r="E787" s="364"/>
      <c r="F787" s="364"/>
      <c r="G787" s="364"/>
      <c r="H787" s="364"/>
      <c r="I787" s="364"/>
      <c r="J787" s="364"/>
      <c r="K787" s="364"/>
      <c r="L787" s="364"/>
      <c r="M787" s="364"/>
      <c r="N787" s="364"/>
      <c r="O787" s="364"/>
      <c r="P787" s="364"/>
      <c r="Q787" s="364"/>
      <c r="R787" s="364"/>
      <c r="S787" s="364"/>
      <c r="T787" s="364"/>
      <c r="U787" s="364"/>
      <c r="V787" s="364"/>
      <c r="W787" s="364"/>
      <c r="X787" s="364"/>
      <c r="Y787" s="364"/>
      <c r="Z787" s="364"/>
      <c r="AA787" s="364"/>
    </row>
    <row r="788" customFormat="false" ht="15.75" hidden="false" customHeight="false" outlineLevel="0" collapsed="false">
      <c r="A788" s="261" t="str">
        <f aca="false">IFERROR(__xludf.dummyfunction("""COMPUTED_VALUE"""),"Tapu Bulu")</f>
        <v>Tapu Bulu</v>
      </c>
      <c r="B788" s="364"/>
      <c r="C788" s="262"/>
      <c r="D788" s="364"/>
      <c r="E788" s="364"/>
      <c r="F788" s="364"/>
      <c r="G788" s="364"/>
      <c r="H788" s="364"/>
      <c r="I788" s="364"/>
      <c r="J788" s="364"/>
      <c r="K788" s="364"/>
      <c r="L788" s="364"/>
      <c r="M788" s="364"/>
      <c r="N788" s="364"/>
      <c r="O788" s="364"/>
      <c r="P788" s="364"/>
      <c r="Q788" s="364"/>
      <c r="R788" s="364"/>
      <c r="S788" s="364"/>
      <c r="T788" s="364"/>
      <c r="U788" s="364"/>
      <c r="V788" s="364"/>
      <c r="W788" s="364"/>
      <c r="X788" s="364"/>
      <c r="Y788" s="364"/>
      <c r="Z788" s="364"/>
      <c r="AA788" s="364"/>
    </row>
    <row r="789" customFormat="false" ht="15.75" hidden="false" customHeight="false" outlineLevel="0" collapsed="false">
      <c r="A789" s="261" t="str">
        <f aca="false">IFERROR(__xludf.dummyfunction("""COMPUTED_VALUE"""),"Tapu Fini")</f>
        <v>Tapu Fini</v>
      </c>
      <c r="B789" s="364"/>
      <c r="C789" s="262"/>
      <c r="D789" s="364"/>
      <c r="E789" s="364"/>
      <c r="F789" s="364"/>
      <c r="G789" s="364"/>
      <c r="H789" s="364"/>
      <c r="I789" s="364"/>
      <c r="J789" s="364"/>
      <c r="K789" s="364"/>
      <c r="L789" s="364"/>
      <c r="M789" s="364"/>
      <c r="N789" s="364"/>
      <c r="O789" s="364"/>
      <c r="P789" s="364"/>
      <c r="Q789" s="364"/>
      <c r="R789" s="364"/>
      <c r="S789" s="364"/>
      <c r="T789" s="364"/>
      <c r="U789" s="364"/>
      <c r="V789" s="364"/>
      <c r="W789" s="364"/>
      <c r="X789" s="364"/>
      <c r="Y789" s="364"/>
      <c r="Z789" s="364"/>
      <c r="AA789" s="364"/>
    </row>
    <row r="790" customFormat="false" ht="15.75" hidden="false" customHeight="false" outlineLevel="0" collapsed="false">
      <c r="A790" s="261" t="str">
        <f aca="false">IFERROR(__xludf.dummyfunction("""COMPUTED_VALUE"""),"Cosmog")</f>
        <v>Cosmog</v>
      </c>
      <c r="B790" s="364"/>
      <c r="C790" s="262"/>
      <c r="D790" s="364"/>
      <c r="E790" s="364"/>
      <c r="F790" s="364"/>
      <c r="G790" s="364"/>
      <c r="H790" s="364"/>
      <c r="I790" s="364"/>
      <c r="J790" s="364"/>
      <c r="K790" s="364"/>
      <c r="L790" s="364"/>
      <c r="M790" s="364"/>
      <c r="N790" s="364"/>
      <c r="O790" s="364"/>
      <c r="P790" s="364"/>
      <c r="Q790" s="364"/>
      <c r="R790" s="364"/>
      <c r="S790" s="364"/>
      <c r="T790" s="364"/>
      <c r="U790" s="364"/>
      <c r="V790" s="364"/>
      <c r="W790" s="364"/>
      <c r="X790" s="364"/>
      <c r="Y790" s="364"/>
      <c r="Z790" s="364"/>
      <c r="AA790" s="364"/>
    </row>
    <row r="791" customFormat="false" ht="15.75" hidden="false" customHeight="false" outlineLevel="0" collapsed="false">
      <c r="A791" s="261" t="str">
        <f aca="false">IFERROR(__xludf.dummyfunction("""COMPUTED_VALUE"""),"Cosmoem")</f>
        <v>Cosmoem</v>
      </c>
      <c r="B791" s="364"/>
      <c r="C791" s="262"/>
      <c r="D791" s="364"/>
      <c r="E791" s="364"/>
      <c r="F791" s="364"/>
      <c r="G791" s="364"/>
      <c r="H791" s="364"/>
      <c r="I791" s="364"/>
      <c r="J791" s="364"/>
      <c r="K791" s="364"/>
      <c r="L791" s="364"/>
      <c r="M791" s="364"/>
      <c r="N791" s="364"/>
      <c r="O791" s="364"/>
      <c r="P791" s="364"/>
      <c r="Q791" s="364"/>
      <c r="R791" s="364"/>
      <c r="S791" s="364"/>
      <c r="T791" s="364"/>
      <c r="U791" s="364"/>
      <c r="V791" s="364"/>
      <c r="W791" s="364"/>
      <c r="X791" s="364"/>
      <c r="Y791" s="364"/>
      <c r="Z791" s="364"/>
      <c r="AA791" s="364"/>
    </row>
    <row r="792" customFormat="false" ht="15.75" hidden="false" customHeight="false" outlineLevel="0" collapsed="false">
      <c r="A792" s="261" t="str">
        <f aca="false">IFERROR(__xludf.dummyfunction("""COMPUTED_VALUE"""),"Solgaleo")</f>
        <v>Solgaleo</v>
      </c>
      <c r="B792" s="364"/>
      <c r="C792" s="262"/>
      <c r="D792" s="364"/>
      <c r="E792" s="364"/>
      <c r="F792" s="364"/>
      <c r="G792" s="364"/>
      <c r="H792" s="364"/>
      <c r="I792" s="364"/>
      <c r="J792" s="364"/>
      <c r="K792" s="364"/>
      <c r="L792" s="364"/>
      <c r="M792" s="364"/>
      <c r="N792" s="364"/>
      <c r="O792" s="364"/>
      <c r="P792" s="364"/>
      <c r="Q792" s="364"/>
      <c r="R792" s="364"/>
      <c r="S792" s="364"/>
      <c r="T792" s="364"/>
      <c r="U792" s="364"/>
      <c r="V792" s="364"/>
      <c r="W792" s="364"/>
      <c r="X792" s="364"/>
      <c r="Y792" s="364"/>
      <c r="Z792" s="364"/>
      <c r="AA792" s="364"/>
    </row>
    <row r="793" customFormat="false" ht="15.75" hidden="false" customHeight="false" outlineLevel="0" collapsed="false">
      <c r="A793" s="261" t="str">
        <f aca="false">IFERROR(__xludf.dummyfunction("""COMPUTED_VALUE"""),"Lunala")</f>
        <v>Lunala</v>
      </c>
      <c r="B793" s="364"/>
      <c r="C793" s="262"/>
      <c r="D793" s="364"/>
      <c r="E793" s="364"/>
      <c r="F793" s="364"/>
      <c r="G793" s="364"/>
      <c r="H793" s="364"/>
      <c r="I793" s="364"/>
      <c r="J793" s="364"/>
      <c r="K793" s="364"/>
      <c r="L793" s="364"/>
      <c r="M793" s="364"/>
      <c r="N793" s="364"/>
      <c r="O793" s="364"/>
      <c r="P793" s="364"/>
      <c r="Q793" s="364"/>
      <c r="R793" s="364"/>
      <c r="S793" s="364"/>
      <c r="T793" s="364"/>
      <c r="U793" s="364"/>
      <c r="V793" s="364"/>
      <c r="W793" s="364"/>
      <c r="X793" s="364"/>
      <c r="Y793" s="364"/>
      <c r="Z793" s="364"/>
      <c r="AA793" s="364"/>
    </row>
    <row r="794" customFormat="false" ht="15.75" hidden="false" customHeight="false" outlineLevel="0" collapsed="false">
      <c r="A794" s="261" t="str">
        <f aca="false">IFERROR(__xludf.dummyfunction("""COMPUTED_VALUE"""),"Nihilego")</f>
        <v>Nihilego</v>
      </c>
      <c r="B794" s="364"/>
      <c r="C794" s="262"/>
      <c r="D794" s="364"/>
      <c r="E794" s="364"/>
      <c r="F794" s="364"/>
      <c r="G794" s="364"/>
      <c r="H794" s="364"/>
      <c r="I794" s="364"/>
      <c r="J794" s="364"/>
      <c r="K794" s="364"/>
      <c r="L794" s="364"/>
      <c r="M794" s="364"/>
      <c r="N794" s="364"/>
      <c r="O794" s="364"/>
      <c r="P794" s="364"/>
      <c r="Q794" s="364"/>
      <c r="R794" s="364"/>
      <c r="S794" s="364"/>
      <c r="T794" s="364"/>
      <c r="U794" s="364"/>
      <c r="V794" s="364"/>
      <c r="W794" s="364"/>
      <c r="X794" s="364"/>
      <c r="Y794" s="364"/>
      <c r="Z794" s="364"/>
      <c r="AA794" s="364"/>
    </row>
    <row r="795" customFormat="false" ht="15.75" hidden="false" customHeight="false" outlineLevel="0" collapsed="false">
      <c r="A795" s="261" t="str">
        <f aca="false">IFERROR(__xludf.dummyfunction("""COMPUTED_VALUE"""),"Buzzwole")</f>
        <v>Buzzwole</v>
      </c>
      <c r="B795" s="364"/>
      <c r="C795" s="262"/>
      <c r="D795" s="364"/>
      <c r="E795" s="364"/>
      <c r="F795" s="364"/>
      <c r="G795" s="364"/>
      <c r="H795" s="364"/>
      <c r="I795" s="364"/>
      <c r="J795" s="364"/>
      <c r="K795" s="364"/>
      <c r="L795" s="364"/>
      <c r="M795" s="364"/>
      <c r="N795" s="364"/>
      <c r="O795" s="364"/>
      <c r="P795" s="364"/>
      <c r="Q795" s="364"/>
      <c r="R795" s="364"/>
      <c r="S795" s="364"/>
      <c r="T795" s="364"/>
      <c r="U795" s="364"/>
      <c r="V795" s="364"/>
      <c r="W795" s="364"/>
      <c r="X795" s="364"/>
      <c r="Y795" s="364"/>
      <c r="Z795" s="364"/>
      <c r="AA795" s="364"/>
    </row>
    <row r="796" customFormat="false" ht="15.75" hidden="false" customHeight="false" outlineLevel="0" collapsed="false">
      <c r="A796" s="261" t="str">
        <f aca="false">IFERROR(__xludf.dummyfunction("""COMPUTED_VALUE"""),"Pheromosa")</f>
        <v>Pheromosa</v>
      </c>
      <c r="B796" s="364"/>
      <c r="C796" s="262"/>
      <c r="D796" s="364"/>
      <c r="E796" s="364"/>
      <c r="F796" s="364"/>
      <c r="G796" s="364"/>
      <c r="H796" s="364"/>
      <c r="I796" s="364"/>
      <c r="J796" s="364"/>
      <c r="K796" s="364"/>
      <c r="L796" s="364"/>
      <c r="M796" s="364"/>
      <c r="N796" s="364"/>
      <c r="O796" s="364"/>
      <c r="P796" s="364"/>
      <c r="Q796" s="364"/>
      <c r="R796" s="364"/>
      <c r="S796" s="364"/>
      <c r="T796" s="364"/>
      <c r="U796" s="364"/>
      <c r="V796" s="364"/>
      <c r="W796" s="364"/>
      <c r="X796" s="364"/>
      <c r="Y796" s="364"/>
      <c r="Z796" s="364"/>
      <c r="AA796" s="364"/>
    </row>
    <row r="797" customFormat="false" ht="15.75" hidden="false" customHeight="false" outlineLevel="0" collapsed="false">
      <c r="A797" s="261" t="str">
        <f aca="false">IFERROR(__xludf.dummyfunction("""COMPUTED_VALUE"""),"Xurkitree")</f>
        <v>Xurkitree</v>
      </c>
      <c r="B797" s="364"/>
      <c r="C797" s="262"/>
      <c r="D797" s="364"/>
      <c r="E797" s="364"/>
      <c r="F797" s="364"/>
      <c r="G797" s="364"/>
      <c r="H797" s="364"/>
      <c r="I797" s="364"/>
      <c r="J797" s="364"/>
      <c r="K797" s="364"/>
      <c r="L797" s="364"/>
      <c r="M797" s="364"/>
      <c r="N797" s="364"/>
      <c r="O797" s="364"/>
      <c r="P797" s="364"/>
      <c r="Q797" s="364"/>
      <c r="R797" s="364"/>
      <c r="S797" s="364"/>
      <c r="T797" s="364"/>
      <c r="U797" s="364"/>
      <c r="V797" s="364"/>
      <c r="W797" s="364"/>
      <c r="X797" s="364"/>
      <c r="Y797" s="364"/>
      <c r="Z797" s="364"/>
      <c r="AA797" s="364"/>
    </row>
    <row r="798" customFormat="false" ht="15.75" hidden="false" customHeight="false" outlineLevel="0" collapsed="false">
      <c r="A798" s="261" t="str">
        <f aca="false">IFERROR(__xludf.dummyfunction("""COMPUTED_VALUE"""),"Celesteela")</f>
        <v>Celesteela</v>
      </c>
      <c r="B798" s="364"/>
      <c r="C798" s="262"/>
      <c r="D798" s="364"/>
      <c r="E798" s="364"/>
      <c r="F798" s="364"/>
      <c r="G798" s="364"/>
      <c r="H798" s="364"/>
      <c r="I798" s="364"/>
      <c r="J798" s="364"/>
      <c r="K798" s="364"/>
      <c r="L798" s="364"/>
      <c r="M798" s="364"/>
      <c r="N798" s="364"/>
      <c r="O798" s="364"/>
      <c r="P798" s="364"/>
      <c r="Q798" s="364"/>
      <c r="R798" s="364"/>
      <c r="S798" s="364"/>
      <c r="T798" s="364"/>
      <c r="U798" s="364"/>
      <c r="V798" s="364"/>
      <c r="W798" s="364"/>
      <c r="X798" s="364"/>
      <c r="Y798" s="364"/>
      <c r="Z798" s="364"/>
      <c r="AA798" s="364"/>
    </row>
    <row r="799" customFormat="false" ht="15.75" hidden="false" customHeight="false" outlineLevel="0" collapsed="false">
      <c r="A799" s="261" t="str">
        <f aca="false">IFERROR(__xludf.dummyfunction("""COMPUTED_VALUE"""),"Kartana")</f>
        <v>Kartana</v>
      </c>
      <c r="B799" s="364"/>
      <c r="C799" s="262"/>
      <c r="D799" s="364"/>
      <c r="E799" s="364"/>
      <c r="F799" s="364"/>
      <c r="G799" s="364"/>
      <c r="H799" s="364"/>
      <c r="I799" s="364"/>
      <c r="J799" s="364"/>
      <c r="K799" s="364"/>
      <c r="L799" s="364"/>
      <c r="M799" s="364"/>
      <c r="N799" s="364"/>
      <c r="O799" s="364"/>
      <c r="P799" s="364"/>
      <c r="Q799" s="364"/>
      <c r="R799" s="364"/>
      <c r="S799" s="364"/>
      <c r="T799" s="364"/>
      <c r="U799" s="364"/>
      <c r="V799" s="364"/>
      <c r="W799" s="364"/>
      <c r="X799" s="364"/>
      <c r="Y799" s="364"/>
      <c r="Z799" s="364"/>
      <c r="AA799" s="364"/>
    </row>
    <row r="800" customFormat="false" ht="15.75" hidden="false" customHeight="false" outlineLevel="0" collapsed="false">
      <c r="A800" s="261" t="str">
        <f aca="false">IFERROR(__xludf.dummyfunction("""COMPUTED_VALUE"""),"Guzzlord")</f>
        <v>Guzzlord</v>
      </c>
      <c r="B800" s="364"/>
      <c r="C800" s="262"/>
      <c r="D800" s="364"/>
      <c r="E800" s="364"/>
      <c r="F800" s="364"/>
      <c r="G800" s="364"/>
      <c r="H800" s="364"/>
      <c r="I800" s="364"/>
      <c r="J800" s="364"/>
      <c r="K800" s="364"/>
      <c r="L800" s="364"/>
      <c r="M800" s="364"/>
      <c r="N800" s="364"/>
      <c r="O800" s="364"/>
      <c r="P800" s="364"/>
      <c r="Q800" s="364"/>
      <c r="R800" s="364"/>
      <c r="S800" s="364"/>
      <c r="T800" s="364"/>
      <c r="U800" s="364"/>
      <c r="V800" s="364"/>
      <c r="W800" s="364"/>
      <c r="X800" s="364"/>
      <c r="Y800" s="364"/>
      <c r="Z800" s="364"/>
      <c r="AA800" s="364"/>
    </row>
    <row r="801" customFormat="false" ht="15.75" hidden="false" customHeight="false" outlineLevel="0" collapsed="false">
      <c r="A801" s="261" t="str">
        <f aca="false">IFERROR(__xludf.dummyfunction("""COMPUTED_VALUE"""),"Necrozma")</f>
        <v>Necrozma</v>
      </c>
      <c r="B801" s="364"/>
      <c r="C801" s="262"/>
      <c r="D801" s="364"/>
      <c r="E801" s="364"/>
      <c r="F801" s="364"/>
      <c r="G801" s="364"/>
      <c r="H801" s="364"/>
      <c r="I801" s="364"/>
      <c r="J801" s="364"/>
      <c r="K801" s="364"/>
      <c r="L801" s="364"/>
      <c r="M801" s="364"/>
      <c r="N801" s="364"/>
      <c r="O801" s="364"/>
      <c r="P801" s="364"/>
      <c r="Q801" s="364"/>
      <c r="R801" s="364"/>
      <c r="S801" s="364"/>
      <c r="T801" s="364"/>
      <c r="U801" s="364"/>
      <c r="V801" s="364"/>
      <c r="W801" s="364"/>
      <c r="X801" s="364"/>
      <c r="Y801" s="364"/>
      <c r="Z801" s="364"/>
      <c r="AA801" s="364"/>
    </row>
    <row r="802" customFormat="false" ht="15.75" hidden="false" customHeight="false" outlineLevel="0" collapsed="false">
      <c r="A802" s="261" t="str">
        <f aca="false">IFERROR(__xludf.dummyfunction("""COMPUTED_VALUE"""),"Magearna")</f>
        <v>Magearna</v>
      </c>
      <c r="B802" s="364"/>
      <c r="C802" s="262"/>
      <c r="D802" s="364"/>
      <c r="E802" s="364"/>
      <c r="F802" s="364"/>
      <c r="G802" s="364"/>
      <c r="H802" s="364"/>
      <c r="I802" s="364"/>
      <c r="J802" s="364"/>
      <c r="K802" s="364"/>
      <c r="L802" s="364"/>
      <c r="M802" s="364"/>
      <c r="N802" s="364"/>
      <c r="O802" s="364"/>
      <c r="P802" s="364"/>
      <c r="Q802" s="364"/>
      <c r="R802" s="364"/>
      <c r="S802" s="364"/>
      <c r="T802" s="364"/>
      <c r="U802" s="364"/>
      <c r="V802" s="364"/>
      <c r="W802" s="364"/>
      <c r="X802" s="364"/>
      <c r="Y802" s="364"/>
      <c r="Z802" s="364"/>
      <c r="AA802" s="364"/>
    </row>
    <row r="803" customFormat="false" ht="15.75" hidden="false" customHeight="false" outlineLevel="0" collapsed="false">
      <c r="A803" s="261" t="str">
        <f aca="false">IFERROR(__xludf.dummyfunction("""COMPUTED_VALUE"""),"Marshadow")</f>
        <v>Marshadow</v>
      </c>
      <c r="B803" s="364"/>
      <c r="C803" s="262"/>
      <c r="D803" s="364"/>
      <c r="E803" s="364"/>
      <c r="F803" s="364"/>
      <c r="G803" s="364"/>
      <c r="H803" s="364"/>
      <c r="I803" s="364"/>
      <c r="J803" s="364"/>
      <c r="K803" s="364"/>
      <c r="L803" s="364"/>
      <c r="M803" s="364"/>
      <c r="N803" s="364"/>
      <c r="O803" s="364"/>
      <c r="P803" s="364"/>
      <c r="Q803" s="364"/>
      <c r="R803" s="364"/>
      <c r="S803" s="364"/>
      <c r="T803" s="364"/>
      <c r="U803" s="364"/>
      <c r="V803" s="364"/>
      <c r="W803" s="364"/>
      <c r="X803" s="364"/>
      <c r="Y803" s="364"/>
      <c r="Z803" s="364"/>
      <c r="AA803" s="364"/>
    </row>
    <row r="804" customFormat="false" ht="15.75" hidden="false" customHeight="false" outlineLevel="0" collapsed="false">
      <c r="A804" s="261" t="str">
        <f aca="false">IFERROR(__xludf.dummyfunction("""COMPUTED_VALUE"""),"Poipole")</f>
        <v>Poipole</v>
      </c>
      <c r="B804" s="364"/>
      <c r="C804" s="262"/>
      <c r="D804" s="364"/>
      <c r="E804" s="364"/>
      <c r="F804" s="364"/>
      <c r="G804" s="364"/>
      <c r="H804" s="364"/>
      <c r="I804" s="364"/>
      <c r="J804" s="364"/>
      <c r="K804" s="364"/>
      <c r="L804" s="364"/>
      <c r="M804" s="364"/>
      <c r="N804" s="364"/>
      <c r="O804" s="364"/>
      <c r="P804" s="364"/>
      <c r="Q804" s="364"/>
      <c r="R804" s="364"/>
      <c r="S804" s="364"/>
      <c r="T804" s="364"/>
      <c r="U804" s="364"/>
      <c r="V804" s="364"/>
      <c r="W804" s="364"/>
      <c r="X804" s="364"/>
      <c r="Y804" s="364"/>
      <c r="Z804" s="364"/>
      <c r="AA804" s="364"/>
    </row>
    <row r="805" customFormat="false" ht="15.75" hidden="false" customHeight="false" outlineLevel="0" collapsed="false">
      <c r="A805" s="261" t="str">
        <f aca="false">IFERROR(__xludf.dummyfunction("""COMPUTED_VALUE"""),"Naganadel")</f>
        <v>Naganadel</v>
      </c>
      <c r="B805" s="364"/>
      <c r="C805" s="262"/>
      <c r="D805" s="364"/>
      <c r="E805" s="364"/>
      <c r="F805" s="364"/>
      <c r="G805" s="364"/>
      <c r="H805" s="364"/>
      <c r="I805" s="364"/>
      <c r="J805" s="364"/>
      <c r="K805" s="364"/>
      <c r="L805" s="364"/>
      <c r="M805" s="364"/>
      <c r="N805" s="364"/>
      <c r="O805" s="364"/>
      <c r="P805" s="364"/>
      <c r="Q805" s="364"/>
      <c r="R805" s="364"/>
      <c r="S805" s="364"/>
      <c r="T805" s="364"/>
      <c r="U805" s="364"/>
      <c r="V805" s="364"/>
      <c r="W805" s="364"/>
      <c r="X805" s="364"/>
      <c r="Y805" s="364"/>
      <c r="Z805" s="364"/>
      <c r="AA805" s="364"/>
    </row>
    <row r="806" customFormat="false" ht="15.75" hidden="false" customHeight="false" outlineLevel="0" collapsed="false">
      <c r="A806" s="261" t="str">
        <f aca="false">IFERROR(__xludf.dummyfunction("""COMPUTED_VALUE"""),"Stakataka")</f>
        <v>Stakataka</v>
      </c>
      <c r="B806" s="364"/>
      <c r="C806" s="262"/>
      <c r="D806" s="364"/>
      <c r="E806" s="364"/>
      <c r="F806" s="364"/>
      <c r="G806" s="364"/>
      <c r="H806" s="364"/>
      <c r="I806" s="364"/>
      <c r="J806" s="364"/>
      <c r="K806" s="364"/>
      <c r="L806" s="364"/>
      <c r="M806" s="364"/>
      <c r="N806" s="364"/>
      <c r="O806" s="364"/>
      <c r="P806" s="364"/>
      <c r="Q806" s="364"/>
      <c r="R806" s="364"/>
      <c r="S806" s="364"/>
      <c r="T806" s="364"/>
      <c r="U806" s="364"/>
      <c r="V806" s="364"/>
      <c r="W806" s="364"/>
      <c r="X806" s="364"/>
      <c r="Y806" s="364"/>
      <c r="Z806" s="364"/>
      <c r="AA806" s="364"/>
    </row>
    <row r="807" customFormat="false" ht="15.75" hidden="false" customHeight="false" outlineLevel="0" collapsed="false">
      <c r="A807" s="261" t="str">
        <f aca="false">IFERROR(__xludf.dummyfunction("""COMPUTED_VALUE"""),"Blacephalon")</f>
        <v>Blacephalon</v>
      </c>
      <c r="B807" s="364"/>
      <c r="C807" s="262"/>
      <c r="D807" s="364"/>
      <c r="E807" s="364"/>
      <c r="F807" s="364"/>
      <c r="G807" s="364"/>
      <c r="H807" s="364"/>
      <c r="I807" s="364"/>
      <c r="J807" s="364"/>
      <c r="K807" s="364"/>
      <c r="L807" s="364"/>
      <c r="M807" s="364"/>
      <c r="N807" s="364"/>
      <c r="O807" s="364"/>
      <c r="P807" s="364"/>
      <c r="Q807" s="364"/>
      <c r="R807" s="364"/>
      <c r="S807" s="364"/>
      <c r="T807" s="364"/>
      <c r="U807" s="364"/>
      <c r="V807" s="364"/>
      <c r="W807" s="364"/>
      <c r="X807" s="364"/>
      <c r="Y807" s="364"/>
      <c r="Z807" s="364"/>
      <c r="AA807" s="364"/>
    </row>
    <row r="808" customFormat="false" ht="15.75" hidden="false" customHeight="false" outlineLevel="0" collapsed="false">
      <c r="A808" s="261" t="str">
        <f aca="false">IFERROR(__xludf.dummyfunction("""COMPUTED_VALUE"""),"Zeraora")</f>
        <v>Zeraora</v>
      </c>
      <c r="B808" s="364"/>
      <c r="C808" s="262"/>
      <c r="D808" s="364"/>
      <c r="E808" s="364"/>
      <c r="F808" s="364"/>
      <c r="G808" s="364"/>
      <c r="H808" s="364"/>
      <c r="I808" s="364"/>
      <c r="J808" s="364"/>
      <c r="K808" s="364"/>
      <c r="L808" s="364"/>
      <c r="M808" s="364"/>
      <c r="N808" s="364"/>
      <c r="O808" s="364"/>
      <c r="P808" s="364"/>
      <c r="Q808" s="364"/>
      <c r="R808" s="364"/>
      <c r="S808" s="364"/>
      <c r="T808" s="364"/>
      <c r="U808" s="364"/>
      <c r="V808" s="364"/>
      <c r="W808" s="364"/>
      <c r="X808" s="364"/>
      <c r="Y808" s="364"/>
      <c r="Z808" s="364"/>
      <c r="AA808" s="364"/>
    </row>
    <row r="809" customFormat="false" ht="15.75" hidden="false" customHeight="false" outlineLevel="0" collapsed="false">
      <c r="A809" s="261" t="str">
        <f aca="false">IFERROR(__xludf.dummyfunction("""COMPUTED_VALUE"""),"")</f>
        <v/>
      </c>
      <c r="B809" s="364"/>
      <c r="C809" s="262"/>
      <c r="D809" s="364"/>
      <c r="E809" s="364"/>
      <c r="F809" s="364"/>
      <c r="G809" s="364"/>
      <c r="H809" s="364"/>
      <c r="I809" s="364"/>
      <c r="J809" s="364"/>
      <c r="K809" s="364"/>
      <c r="L809" s="364"/>
      <c r="M809" s="364"/>
      <c r="N809" s="364"/>
      <c r="O809" s="364"/>
      <c r="P809" s="364"/>
      <c r="Q809" s="364"/>
      <c r="R809" s="364"/>
      <c r="S809" s="364"/>
      <c r="T809" s="364"/>
      <c r="U809" s="364"/>
      <c r="V809" s="364"/>
      <c r="W809" s="364"/>
      <c r="X809" s="364"/>
      <c r="Y809" s="364"/>
      <c r="Z809" s="364"/>
      <c r="AA809" s="364"/>
    </row>
    <row r="1048576" customFormat="false" ht="15.75" hidden="false" customHeight="true" outlineLevel="0" collapsed="false"/>
  </sheetData>
  <hyperlinks>
    <hyperlink ref="F22" r:id="rId2" display="https://support.pokemongo.nianticlabs.com/hc/article_attachments/115026470848/weather_sunny.png"/>
    <hyperlink ref="G22" r:id="rId3" display="https://support.pokemongo.nianticlabs.com/hc/article_attachments/115026428187/weather_clear.png"/>
    <hyperlink ref="F23" r:id="rId4" display="https://support.pokemongo.nianticlabs.com/hc/article_attachments/115026427847/weather_partlycloudy_day.png"/>
    <hyperlink ref="G23" r:id="rId5" display="https://vignette.wikia.nocookie.net/pokemongo/images/f/fe/Weather_Icon_Partly_Cloudy_Night.png/revision/latest?cb=20171206224425"/>
    <hyperlink ref="F24" r:id="rId6" display="https://support.pokemongo.nianticlabs.com/hc/article_attachments/115026428007/weather_cloudy.png"/>
    <hyperlink ref="G24" r:id="rId7" display="https://support.pokemongo.nianticlabs.com/hc/article_attachments/115026428007/weather_cloudy.png"/>
    <hyperlink ref="F25" r:id="rId8" display="https://support.pokemongo.nianticlabs.com/hc/article_attachments/115026427867/weather_rain.png"/>
    <hyperlink ref="G25" r:id="rId9" display="https://support.pokemongo.nianticlabs.com/hc/article_attachments/115026427867/weather_rain.png"/>
    <hyperlink ref="F26" r:id="rId10" display="https://support.pokemongo.nianticlabs.com/hc/article_attachments/115026427887/weather_windy.png"/>
    <hyperlink ref="G26" r:id="rId11" display="https://support.pokemongo.nianticlabs.com/hc/article_attachments/115026427887/weather_windy.png"/>
    <hyperlink ref="F27" r:id="rId12" display="https://support.pokemongo.nianticlabs.com/hc/article_attachments/115026427907/weather_snow.png"/>
    <hyperlink ref="G27" r:id="rId13" display="https://support.pokemongo.nianticlabs.com/hc/article_attachments/115026427907/weather_snow.png"/>
    <hyperlink ref="F28" r:id="rId14" display="https://support.pokemongo.nianticlabs.com/hc/article_attachments/115026427927/weather_fog.png"/>
    <hyperlink ref="G28" r:id="rId15" display="https://support.pokemongo.nianticlabs.com/hc/article_attachments/115026427927/weather_fog.png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16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B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1" min="1" style="0" width="17.43"/>
    <col collapsed="false" customWidth="true" hidden="false" outlineLevel="0" max="1025" min="2" style="0" width="14.43"/>
  </cols>
  <sheetData>
    <row r="1" customFormat="false" ht="15.75" hidden="false" customHeight="false" outlineLevel="0" collapsed="false">
      <c r="A1" s="261" t="str">
        <f aca="false">IFERROR(__xludf.dummyfunction("ARRAYFORMULA(IF('Pokémon GO Dex'!C59=""Type"",'0.3.1 Type Table'!A2:A19,IF('Pokémon GO Dex'!C59=""Pokémon"",UNIQUE('0.0.1 Pokémon Dex Data'!E3:E1000),""N/A"")))"),"N/A")</f>
        <v>N/A</v>
      </c>
      <c r="B1" s="261" t="s">
        <v>4</v>
      </c>
      <c r="C1" s="261" t="e">
        <f aca="false">'1.1 Display Calculations'!D3</f>
        <v>#N/A</v>
      </c>
      <c r="D1" s="364"/>
      <c r="E1" s="261" t="s">
        <v>2853</v>
      </c>
      <c r="F1" s="261" t="e">
        <f aca="false" t="array" ref="F1:F1">INDEX('0.0.1 Pokémon Dex Data'!$Q$3:$Q$1500,MATCH(C1,'0.0.1 Pokémon Dex Data'!$B$3:$B$1500,0))</f>
        <v>#N/A</v>
      </c>
      <c r="G1" s="261"/>
      <c r="H1" s="261" t="s">
        <v>2854</v>
      </c>
      <c r="I1" s="364" t="str">
        <f aca="false" t="array" ref="I1:I1">IF('Pokémon GO Dex'!C59="Neutral target","Empty",IF('Pokémon GO Dex'!C59="Type",IF(COUNTIF(A1:A1000,'Pokémon GO Dex'!C61)=0,"Empty",'Pokémon GO Dex'!C61),IF('Pokémon GO Dex'!C59="Pokémon",IF(COUNTIF(A1:A1000,'Pokémon GO Dex'!C61)=0,"Empty",INDEX('0.0.1 Pokémon Dex Data'!$Q$3:$Q1000,MATCH('Pokémon GO Dex'!C61,'0.0.1 Pokémon Dex Data'!$E$3:$E1000,0))),"Empty")))</f>
        <v>Empty</v>
      </c>
      <c r="J1" s="364"/>
      <c r="K1" s="364"/>
      <c r="L1" s="364"/>
      <c r="M1" s="364"/>
      <c r="N1" s="364"/>
      <c r="O1" s="364"/>
      <c r="P1" s="364"/>
      <c r="Q1" s="364"/>
      <c r="R1" s="364"/>
      <c r="S1" s="364"/>
      <c r="T1" s="364"/>
      <c r="U1" s="364"/>
      <c r="V1" s="364"/>
      <c r="W1" s="364"/>
      <c r="X1" s="364"/>
      <c r="Y1" s="364"/>
      <c r="Z1" s="364"/>
      <c r="AA1" s="364"/>
      <c r="AB1" s="364"/>
    </row>
    <row r="2" customFormat="false" ht="15.75" hidden="false" customHeight="false" outlineLevel="0" collapsed="false">
      <c r="A2" s="261"/>
      <c r="B2" s="261" t="s">
        <v>2855</v>
      </c>
      <c r="C2" s="261" t="n">
        <v>1.2</v>
      </c>
      <c r="D2" s="261"/>
      <c r="E2" s="261"/>
      <c r="F2" s="364" t="e">
        <f aca="false" t="array" ref="F2:F2">IF(ISBLANK(INDEX('0.0.1 Pokémon Dex Data'!$R$3:$R$1500,MATCH(C1,'0.0.1 Pokémon Dex Data'!$B$3:$B$1500,0))),"Empty",INDEX('0.0.1 Pokémon Dex Data'!$R$3:$R$1500,MATCH(C1,'0.0.1 Pokémon Dex Data'!$B$3:$B$1500,0)))</f>
        <v>#N/A</v>
      </c>
      <c r="G2" s="261"/>
      <c r="H2" s="364"/>
      <c r="I2" s="364" t="str">
        <f aca="false" t="array" ref="I2:I2">IF('Pokémon GO Dex'!C59="Neutral target","Empty",IF('Pokémon GO Dex'!C59="Type","Empty",IF('Pokémon GO Dex'!C59="Pokémon",IF(COUNTIF(A1:A1000,'Pokémon GO Dex'!C61)=0,"Empty",IF(ISBLANK(INDEX('0.0.1 Pokémon Dex Data'!$R$3:$R1000,MATCH('Pokémon GO Dex'!C61,'0.0.1 Pokémon Dex Data'!$E$3:$E1000,0))),"Empty",INDEX('0.0.1 Pokémon Dex Data'!$R$3:$R1000,MATCH('Pokémon GO Dex'!C61,'0.0.1 Pokémon Dex Data'!$E$3:$E1000,0)))),"Empty")))</f>
        <v>Empty</v>
      </c>
      <c r="J2" s="364"/>
      <c r="K2" s="364"/>
      <c r="L2" s="364"/>
      <c r="M2" s="364"/>
      <c r="N2" s="364"/>
      <c r="O2" s="364"/>
      <c r="P2" s="364"/>
      <c r="Q2" s="364"/>
      <c r="R2" s="364"/>
      <c r="S2" s="364"/>
      <c r="T2" s="364"/>
      <c r="U2" s="364"/>
      <c r="V2" s="364"/>
      <c r="W2" s="364"/>
      <c r="X2" s="364"/>
      <c r="Y2" s="364"/>
      <c r="Z2" s="364"/>
      <c r="AA2" s="364"/>
      <c r="AB2" s="364"/>
    </row>
    <row r="3" customFormat="false" ht="15.75" hidden="false" customHeight="false" outlineLevel="0" collapsed="false">
      <c r="A3" s="364"/>
      <c r="B3" s="261" t="s">
        <v>2856</v>
      </c>
      <c r="C3" s="261" t="n">
        <v>1</v>
      </c>
      <c r="D3" s="261"/>
      <c r="E3" s="261"/>
      <c r="F3" s="364"/>
      <c r="G3" s="261"/>
      <c r="H3" s="261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64"/>
      <c r="T3" s="364"/>
      <c r="U3" s="364"/>
      <c r="V3" s="364"/>
      <c r="W3" s="364"/>
      <c r="X3" s="364"/>
      <c r="Y3" s="364"/>
      <c r="Z3" s="364"/>
      <c r="AA3" s="364"/>
      <c r="AB3" s="364"/>
    </row>
    <row r="4" customFormat="false" ht="15.75" hidden="false" customHeight="false" outlineLevel="0" collapsed="false">
      <c r="A4" s="364"/>
      <c r="B4" s="260" t="s">
        <v>2857</v>
      </c>
      <c r="C4" s="0" t="e">
        <f aca="false" t="array" ref="C4:C4">INDEX('0.0.1 Pokémon Dex Data'!W3:W1500,MATCH(C1,'0.0.1 Pokémon Dex Data'!B3:B1500,0))</f>
        <v>#N/A</v>
      </c>
      <c r="X4" s="364"/>
      <c r="Y4" s="364"/>
      <c r="Z4" s="364"/>
      <c r="AA4" s="364"/>
      <c r="AB4" s="364"/>
    </row>
    <row r="5" customFormat="false" ht="15.75" hidden="false" customHeight="false" outlineLevel="0" collapsed="false">
      <c r="A5" s="364"/>
      <c r="B5" s="261"/>
      <c r="C5" s="261" t="s">
        <v>144</v>
      </c>
      <c r="D5" s="261" t="s">
        <v>145</v>
      </c>
      <c r="E5" s="261" t="s">
        <v>146</v>
      </c>
      <c r="F5" s="261" t="s">
        <v>147</v>
      </c>
      <c r="G5" s="261" t="s">
        <v>148</v>
      </c>
      <c r="H5" s="261" t="s">
        <v>149</v>
      </c>
      <c r="I5" s="261" t="s">
        <v>150</v>
      </c>
      <c r="J5" s="261" t="s">
        <v>151</v>
      </c>
      <c r="K5" s="261" t="s">
        <v>152</v>
      </c>
      <c r="L5" s="261" t="s">
        <v>153</v>
      </c>
      <c r="M5" s="261" t="s">
        <v>154</v>
      </c>
      <c r="N5" s="261" t="s">
        <v>155</v>
      </c>
      <c r="O5" s="261" t="s">
        <v>156</v>
      </c>
      <c r="P5" s="261" t="s">
        <v>157</v>
      </c>
      <c r="Q5" s="261" t="s">
        <v>158</v>
      </c>
      <c r="R5" s="261" t="s">
        <v>159</v>
      </c>
      <c r="S5" s="261" t="s">
        <v>160</v>
      </c>
      <c r="T5" s="261" t="s">
        <v>161</v>
      </c>
      <c r="U5" s="261" t="s">
        <v>162</v>
      </c>
      <c r="V5" s="364"/>
      <c r="W5" s="364"/>
      <c r="X5" s="364"/>
      <c r="Y5" s="364"/>
      <c r="Z5" s="364"/>
      <c r="AA5" s="364"/>
      <c r="AB5" s="364"/>
    </row>
    <row r="6" customFormat="false" ht="15.75" hidden="false" customHeight="false" outlineLevel="0" collapsed="false">
      <c r="A6" s="364"/>
      <c r="B6" s="261" t="str">
        <f aca="false">I1</f>
        <v>Empty</v>
      </c>
      <c r="C6" s="262" t="n">
        <f aca="false" t="array" ref="C6:T6">INDEX('0.3.1 Type Table'!$C$2:$T$20,MATCH(B6,'0.3.1 Type Table'!$A$2:$A$20,0))</f>
        <v>1</v>
      </c>
      <c r="D6" s="262" t="n">
        <v>1</v>
      </c>
      <c r="E6" s="262" t="n">
        <v>1</v>
      </c>
      <c r="F6" s="262" t="n">
        <v>1</v>
      </c>
      <c r="G6" s="262" t="n">
        <v>1</v>
      </c>
      <c r="H6" s="262" t="n">
        <v>1</v>
      </c>
      <c r="I6" s="262" t="n">
        <v>1</v>
      </c>
      <c r="J6" s="262" t="n">
        <v>1</v>
      </c>
      <c r="K6" s="262" t="n">
        <v>1</v>
      </c>
      <c r="L6" s="262" t="n">
        <v>1</v>
      </c>
      <c r="M6" s="262" t="n">
        <v>1</v>
      </c>
      <c r="N6" s="262" t="n">
        <v>1</v>
      </c>
      <c r="O6" s="262" t="n">
        <v>1</v>
      </c>
      <c r="P6" s="262" t="n">
        <v>1</v>
      </c>
      <c r="Q6" s="262" t="n">
        <v>1</v>
      </c>
      <c r="R6" s="262" t="n">
        <v>1</v>
      </c>
      <c r="S6" s="262" t="n">
        <v>1</v>
      </c>
      <c r="T6" s="262" t="n">
        <v>1</v>
      </c>
      <c r="U6" s="262" t="n">
        <v>1</v>
      </c>
      <c r="V6" s="364"/>
      <c r="W6" s="364"/>
      <c r="X6" s="364"/>
      <c r="Y6" s="364"/>
      <c r="Z6" s="364"/>
      <c r="AA6" s="364"/>
      <c r="AB6" s="364"/>
    </row>
    <row r="7" customFormat="false" ht="15.75" hidden="false" customHeight="false" outlineLevel="0" collapsed="false">
      <c r="A7" s="364"/>
      <c r="B7" s="261" t="str">
        <f aca="false">I2</f>
        <v>Empty</v>
      </c>
      <c r="C7" s="262" t="n">
        <f aca="false" t="array" ref="C7:T7">INDEX('0.3.1 Type Table'!$C$2:$T$20,MATCH(B7,'0.3.1 Type Table'!$A$2:$A$20,0))</f>
        <v>1</v>
      </c>
      <c r="D7" s="262" t="n">
        <v>1</v>
      </c>
      <c r="E7" s="262" t="n">
        <v>1</v>
      </c>
      <c r="F7" s="262" t="n">
        <v>1</v>
      </c>
      <c r="G7" s="262" t="n">
        <v>1</v>
      </c>
      <c r="H7" s="262" t="n">
        <v>1</v>
      </c>
      <c r="I7" s="262" t="n">
        <v>1</v>
      </c>
      <c r="J7" s="262" t="n">
        <v>1</v>
      </c>
      <c r="K7" s="262" t="n">
        <v>1</v>
      </c>
      <c r="L7" s="262" t="n">
        <v>1</v>
      </c>
      <c r="M7" s="262" t="n">
        <v>1</v>
      </c>
      <c r="N7" s="262" t="n">
        <v>1</v>
      </c>
      <c r="O7" s="262" t="n">
        <v>1</v>
      </c>
      <c r="P7" s="262" t="n">
        <v>1</v>
      </c>
      <c r="Q7" s="262" t="n">
        <v>1</v>
      </c>
      <c r="R7" s="262" t="n">
        <v>1</v>
      </c>
      <c r="S7" s="262" t="n">
        <v>1</v>
      </c>
      <c r="T7" s="262" t="n">
        <v>1</v>
      </c>
      <c r="U7" s="262" t="n">
        <v>1</v>
      </c>
      <c r="V7" s="364"/>
      <c r="W7" s="364"/>
      <c r="X7" s="364"/>
      <c r="Y7" s="364"/>
      <c r="Z7" s="364"/>
      <c r="AA7" s="364"/>
      <c r="AB7" s="364"/>
    </row>
    <row r="8" customFormat="false" ht="15.75" hidden="false" customHeight="false" outlineLevel="0" collapsed="false">
      <c r="A8" s="364"/>
      <c r="B8" s="364"/>
      <c r="C8" s="364"/>
      <c r="D8" s="364"/>
      <c r="E8" s="364"/>
      <c r="F8" s="364"/>
      <c r="G8" s="364"/>
      <c r="H8" s="262"/>
      <c r="I8" s="262"/>
      <c r="J8" s="364"/>
      <c r="K8" s="364"/>
      <c r="L8" s="364"/>
      <c r="M8" s="364"/>
      <c r="N8" s="364"/>
      <c r="O8" s="364"/>
      <c r="P8" s="364"/>
      <c r="Q8" s="364"/>
      <c r="R8" s="364"/>
      <c r="S8" s="364"/>
      <c r="T8" s="364"/>
      <c r="U8" s="364"/>
      <c r="V8" s="364"/>
      <c r="W8" s="364"/>
      <c r="X8" s="364"/>
      <c r="Y8" s="364"/>
      <c r="Z8" s="364"/>
      <c r="AA8" s="364"/>
      <c r="AB8" s="364"/>
    </row>
    <row r="9" customFormat="false" ht="15.75" hidden="false" customHeight="false" outlineLevel="0" collapsed="false">
      <c r="A9" s="364"/>
      <c r="B9" s="440"/>
      <c r="C9" s="397"/>
      <c r="D9" s="409"/>
      <c r="E9" s="441" t="s">
        <v>57</v>
      </c>
      <c r="F9" s="364"/>
      <c r="G9" s="440"/>
      <c r="H9" s="397"/>
      <c r="I9" s="409"/>
      <c r="J9" s="441" t="s">
        <v>57</v>
      </c>
      <c r="K9" s="364"/>
      <c r="L9" s="388" t="s">
        <v>58</v>
      </c>
      <c r="M9" s="405" t="s">
        <v>58</v>
      </c>
      <c r="N9" s="405" t="s">
        <v>58</v>
      </c>
      <c r="O9" s="405" t="s">
        <v>58</v>
      </c>
      <c r="P9" s="387" t="s">
        <v>58</v>
      </c>
      <c r="Q9" s="261"/>
      <c r="R9" s="442" t="s">
        <v>58</v>
      </c>
      <c r="S9" s="398" t="s">
        <v>58</v>
      </c>
      <c r="T9" s="398" t="s">
        <v>58</v>
      </c>
      <c r="U9" s="398" t="s">
        <v>58</v>
      </c>
      <c r="V9" s="399" t="s">
        <v>58</v>
      </c>
      <c r="W9" s="364"/>
      <c r="X9" s="364"/>
      <c r="Y9" s="364"/>
      <c r="Z9" s="364"/>
      <c r="AA9" s="364"/>
      <c r="AB9" s="364"/>
    </row>
    <row r="10" customFormat="false" ht="15.75" hidden="false" customHeight="false" outlineLevel="0" collapsed="false">
      <c r="A10" s="364"/>
      <c r="B10" s="363" t="s">
        <v>2858</v>
      </c>
      <c r="C10" s="262" t="e">
        <f aca="false" t="array" ref="C10:C10">IF(OR(C4=0,ISERR(INDEX('0.1.1 Pokémon GO Moves'!$C$3:$C$1506,MATCH(C1,'0.1.1 Pokémon GO Moves'!$A$3:$A$1506,0))),ISNA(INDEX('0.1.1 Pokémon GO Moves'!$C$3:$C$1506,MATCH(C1,'0.1.1 Pokémon GO Moves'!$A$3:$A$1506,0)))),"N/A",INDEX('0.1.1 Pokémon GO Moves'!$C$3:$C$1506,MATCH(C1,'0.1.1 Pokémon GO Moves'!$A$3:$A$1506,0)))</f>
        <v>#VALUE!</v>
      </c>
      <c r="D10" s="262" t="e">
        <f aca="false" t="array" ref="D10:D10">IF(C10="N/A",,INDEX('0.1.2 Attack Dex (GO)'!$B$2:$B1000,MATCH(C10,'0.1.2 Attack Dex (GO)'!$A$2:$A1000,0)))</f>
        <v>#VALUE!</v>
      </c>
      <c r="E10" s="361" t="n">
        <v>0</v>
      </c>
      <c r="F10" s="364"/>
      <c r="G10" s="363" t="s">
        <v>2859</v>
      </c>
      <c r="H10" s="262" t="e">
        <f aca="false" t="array" ref="H10:H10">IF(OR(C4=0,ISERR(INDEX('0.1.1 Pokémon GO Moves'!$E$3:$E$1506,MATCH(C1,'0.1.1 Pokémon GO Moves'!$A$3:$A$1506,0))),ISNA(INDEX('0.1.1 Pokémon GO Moves'!$E$3:$E$1506,MATCH(C1,'0.1.1 Pokémon GO Moves'!$A$3:$A$1506,0)))),"N/A",INDEX('0.1.1 Pokémon GO Moves'!$E$3:$E$1506,MATCH(C1,'0.1.1 Pokémon GO Moves'!$A$3:$A$1506,0)))</f>
        <v>#VALUE!</v>
      </c>
      <c r="I10" s="262" t="e">
        <f aca="false" t="array" ref="I10:I10">IF(H10="N/A",,INDEX('0.1.2 Attack Dex (GO)'!$B$2:$B1000,MATCH(H10,'0.1.2 Attack Dex (GO)'!$A$2:$A1000,0)))</f>
        <v>#VALUE!</v>
      </c>
      <c r="J10" s="361" t="n">
        <v>0</v>
      </c>
      <c r="K10" s="364"/>
      <c r="L10" s="391" t="n">
        <f aca="false">IF(ISBLANK($C26),,"L1")</f>
        <v>0</v>
      </c>
      <c r="M10" s="261" t="n">
        <f aca="false">IF(ISBLANK($C26),,C26)</f>
        <v>0</v>
      </c>
      <c r="N10" s="261" t="n">
        <f aca="false">IF(ISBLANK($C26),,INDEX('0.3.1 Type Table'!$U$2:$U$120,MATCH(D26,'0.3.1 Type Table'!$A$2:$A$20,0)))</f>
        <v>0</v>
      </c>
      <c r="O10" s="443" t="n">
        <f aca="false">IF(ISBLANK($C26),,K26)</f>
        <v>0</v>
      </c>
      <c r="P10" s="362" t="n">
        <f aca="false">IF(ISBLANK($C26),,"+"&amp;ROUND(INDEX('0.1.2 Attack Dex (GO)'!$G$2:$G1000,MATCH(M10,'0.1.2 Attack Dex (GO)'!$A$2:$A1000,0)),1))</f>
        <v>0</v>
      </c>
      <c r="Q10" s="364"/>
      <c r="R10" s="444" t="n">
        <f aca="false">IF(ISBLANK(H13),,4)</f>
        <v>4</v>
      </c>
      <c r="S10" s="360" t="n">
        <f aca="false">IF(ISBLANK(R10),,H13)</f>
        <v>0</v>
      </c>
      <c r="T10" s="360" t="e">
        <f aca="false" t="array" ref="T10:T10">IF(ISBLANK(R10),,INDEX('0.3.1 Type Table'!$U$2:$U$120,MATCH(I13,'0.3.1 Type Table'!$A$2:$A$20,0)))</f>
        <v>#N/A</v>
      </c>
      <c r="U10" s="360" t="e">
        <f aca="false">IF(ISBLANK(R10),,INDEX($X$24:$X$34,MATCH(S10,$N$24:$N$34,0)))</f>
        <v>#N/A</v>
      </c>
      <c r="V10" s="445" t="e">
        <f aca="false">IF(ISBLANK(R10),,(100/INDEX($T$24:$T$34,MATCH(S10,$N$24:$N$34,0))*INDEX($P$24:$P$34,MATCH(S10,$N$24:$N$34,0))*INDEX($Q$24:$Q$34,MATCH(S10,$N$24:$N$34,0))*INDEX($R$24:$R$34,MATCH(S10,$N$24:$N$34,0))*INDEX($S$24:$S$34,MATCH(S10,$N$24:$N$34,0))))</f>
        <v>#N/A</v>
      </c>
      <c r="W10" s="364"/>
      <c r="X10" s="364"/>
      <c r="Y10" s="364"/>
      <c r="Z10" s="364"/>
      <c r="AA10" s="364"/>
      <c r="AB10" s="364"/>
    </row>
    <row r="11" customFormat="false" ht="15.75" hidden="false" customHeight="false" outlineLevel="0" collapsed="false">
      <c r="A11" s="364"/>
      <c r="B11" s="363"/>
      <c r="C11" s="262" t="n">
        <f aca="false">IF(OR(ISERR(INDEX('0.1.1 Pokémon GO Moves'!$D$3:$D$1506,MATCH(C1,'0.1.1 Pokémon GO Moves'!$A$3:$A$1506,0))),ISNA(INDEX('0.1.1 Pokémon GO Moves'!$D$3:$D$1506,MATCH(C1,'0.1.1 Pokémon GO Moves'!$A$3:$A$1506,0)))),,INDEX('0.1.1 Pokémon GO Moves'!$D$3:$D$1506,MATCH(C1,'0.1.1 Pokémon GO Moves'!$A$3:$A$1506,0)))</f>
        <v>0</v>
      </c>
      <c r="D11" s="262" t="e">
        <f aca="false" t="array" ref="D11:D11">IF(ISBLANK(C11),,INDEX('0.1.2 Attack Dex (GO)'!$B$2:$B1000,MATCH(C11,'0.1.2 Attack Dex (GO)'!$A$2:$A1000,0)))</f>
        <v>#N/A</v>
      </c>
      <c r="E11" s="361" t="n">
        <v>0</v>
      </c>
      <c r="F11" s="364"/>
      <c r="G11" s="363"/>
      <c r="H11" s="262" t="n">
        <f aca="false">IF(OR(ISERR(INDEX('0.1.1 Pokémon GO Moves'!$F$3:$F$1506,MATCH(C1,'0.1.1 Pokémon GO Moves'!$A$3:$A$1506,0))),ISNA(INDEX('0.1.1 Pokémon GO Moves'!$F$3:$F$1506,MATCH(C1,'0.1.1 Pokémon GO Moves'!$A$3:$A$1506,0)))),,INDEX('0.1.1 Pokémon GO Moves'!$F$3:$F$1506,MATCH(C1,'0.1.1 Pokémon GO Moves'!$A$3:$A$1506,0)))</f>
        <v>0</v>
      </c>
      <c r="I11" s="262" t="e">
        <f aca="false" t="array" ref="I11:I11">IF(ISBLANK(H11),,INDEX('0.1.2 Attack Dex (GO)'!$B$2:$B1000,MATCH(H11,'0.1.2 Attack Dex (GO)'!$A$2:$A1000,0)))</f>
        <v>#N/A</v>
      </c>
      <c r="J11" s="361" t="n">
        <v>0</v>
      </c>
      <c r="K11" s="364"/>
      <c r="L11" s="391" t="n">
        <f aca="false">IF(ISBLANK($C27),,"L2")</f>
        <v>0</v>
      </c>
      <c r="M11" s="261" t="n">
        <f aca="false">IF(ISBLANK($C27),,C27)</f>
        <v>0</v>
      </c>
      <c r="N11" s="261" t="n">
        <f aca="false">IF(ISBLANK($C27),,INDEX('0.3.1 Type Table'!$U$2:$U$120,MATCH(D27,'0.3.1 Type Table'!$A$2:$A$20,0)))</f>
        <v>0</v>
      </c>
      <c r="O11" s="443" t="n">
        <f aca="false">IF(ISBLANK($C27),,K27)</f>
        <v>0</v>
      </c>
      <c r="P11" s="362" t="n">
        <f aca="false">IF(ISBLANK($C27),,"+"&amp;ROUND(INDEX('0.1.2 Attack Dex (GO)'!$G$2:$G1000,MATCH(M11,'0.1.2 Attack Dex (GO)'!$A$2:$A1000,0)),1))</f>
        <v>0</v>
      </c>
      <c r="Q11" s="364"/>
      <c r="R11" s="444" t="n">
        <f aca="false">IF(ISBLANK(H14),,5)</f>
        <v>5</v>
      </c>
      <c r="S11" s="360" t="n">
        <f aca="false">IF(ISBLANK(R11),,H14)</f>
        <v>0</v>
      </c>
      <c r="T11" s="360" t="e">
        <f aca="false" t="array" ref="T11:T11">IF(ISBLANK(R11),,INDEX('0.3.1 Type Table'!$U$2:$U$120,MATCH(I14,'0.3.1 Type Table'!$A$2:$A$20,0)))</f>
        <v>#N/A</v>
      </c>
      <c r="U11" s="360" t="e">
        <f aca="false">IF(ISBLANK(R11),,INDEX($X$24:$X$34,MATCH(S11,$N$24:$N$34,0)))</f>
        <v>#N/A</v>
      </c>
      <c r="V11" s="445" t="e">
        <f aca="false">IF(ISBLANK(R11),,(100/INDEX($T$24:$T$34,MATCH(S11,$N$24:$N$34,0))*INDEX($P$24:$P$34,MATCH(S11,$N$24:$N$34,0))*INDEX($Q$24:$Q$34,MATCH(S11,$N$24:$N$34,0))*INDEX($R$24:$R$34,MATCH(S11,$N$24:$N$34,0))*INDEX($S$24:$S$34,MATCH(S11,$N$24:$N$34,0))))</f>
        <v>#N/A</v>
      </c>
      <c r="W11" s="364"/>
      <c r="X11" s="364"/>
      <c r="Y11" s="364"/>
      <c r="Z11" s="364"/>
      <c r="AA11" s="364"/>
      <c r="AB11" s="364"/>
    </row>
    <row r="12" customFormat="false" ht="15.75" hidden="false" customHeight="false" outlineLevel="0" collapsed="false">
      <c r="A12" s="364"/>
      <c r="B12" s="363"/>
      <c r="C12" s="262" t="n">
        <f aca="false">IF(OR(ISERR(INDEX('0.1.1 Pokémon GO Moves'!$M$3:$M$1506,MATCH(C1,'0.1.1 Pokémon GO Moves'!$A$3:$A$1506,0))),ISNA(INDEX('0.1.1 Pokémon GO Moves'!$M$3:$M$1506,MATCH(C1,'0.1.1 Pokémon GO Moves'!$A$3:$A$1506,0)))),,INDEX('0.1.1 Pokémon GO Moves'!$M$3:$M$1506,MATCH(C1,'0.1.1 Pokémon GO Moves'!$A$3:$A$1506,0)))</f>
        <v>0</v>
      </c>
      <c r="D12" s="262" t="e">
        <f aca="false" t="array" ref="D12:D12">IF(ISBLANK(C12),,INDEX('0.1.2 Attack Dex (GO)'!$B$2:$B1000,MATCH(C12,'0.1.2 Attack Dex (GO)'!$A$2:$A1000,0)))</f>
        <v>#N/A</v>
      </c>
      <c r="E12" s="361" t="n">
        <v>1</v>
      </c>
      <c r="F12" s="364"/>
      <c r="G12" s="363"/>
      <c r="H12" s="262" t="n">
        <f aca="false">IF(OR(ISERR(INDEX('0.1.1 Pokémon GO Moves'!$G$3:$G$1506,MATCH(C1,'0.1.1 Pokémon GO Moves'!$A$3:$A$1506,0))),ISNA(INDEX('0.1.1 Pokémon GO Moves'!$G$3:$G$1506,MATCH(C1,'0.1.1 Pokémon GO Moves'!$A$3:$A$1506,0)))),,INDEX('0.1.1 Pokémon GO Moves'!$G$3:$G$1506,MATCH(C1,'0.1.1 Pokémon GO Moves'!$A$3:$A$1506,0)))</f>
        <v>0</v>
      </c>
      <c r="I12" s="262" t="e">
        <f aca="false" t="array" ref="I12:I12">IF(ISBLANK(H12),,INDEX('0.1.2 Attack Dex (GO)'!$B$2:$B1000,MATCH(H12,'0.1.2 Attack Dex (GO)'!$A$2:$A1000,0)))</f>
        <v>#N/A</v>
      </c>
      <c r="J12" s="361" t="n">
        <v>0</v>
      </c>
      <c r="K12" s="364"/>
      <c r="L12" s="394" t="n">
        <f aca="false">IF(ISBLANK($C28),,"L3")</f>
        <v>0</v>
      </c>
      <c r="M12" s="406" t="n">
        <f aca="false">IF(ISBLANK($C28),,C28)</f>
        <v>0</v>
      </c>
      <c r="N12" s="406" t="n">
        <f aca="false">IF(ISBLANK($C28),,INDEX('0.3.1 Type Table'!$U$2:$U$120,MATCH(D28,'0.3.1 Type Table'!$A$2:$A$20,0)))</f>
        <v>0</v>
      </c>
      <c r="O12" s="446" t="n">
        <f aca="false">IF(ISBLANK($C28),,K28)</f>
        <v>0</v>
      </c>
      <c r="P12" s="407" t="n">
        <f aca="false">IF(ISBLANK($C28),,"+"&amp;ROUND(INDEX('0.1.2 Attack Dex (GO)'!$G$2:$G1000,MATCH(M12,'0.1.2 Attack Dex (GO)'!$A$2:$A1000,0)),1))</f>
        <v>0</v>
      </c>
      <c r="Q12" s="364"/>
      <c r="R12" s="444" t="n">
        <f aca="false">IF(ISBLANK(H15),,6)</f>
        <v>6</v>
      </c>
      <c r="S12" s="360" t="n">
        <f aca="false">IF(ISBLANK(R12),,H15)</f>
        <v>0</v>
      </c>
      <c r="T12" s="360" t="e">
        <f aca="false" t="array" ref="T12:T12">IF(ISBLANK(R12),,INDEX('0.3.1 Type Table'!$U$2:$U$120,MATCH(I15,'0.3.1 Type Table'!$A$2:$A$20,0)))</f>
        <v>#N/A</v>
      </c>
      <c r="U12" s="360" t="e">
        <f aca="false">IF(ISBLANK(R12),,INDEX($X$24:$X$34,MATCH(S12,$N$24:$N$34,0)))</f>
        <v>#N/A</v>
      </c>
      <c r="V12" s="445" t="e">
        <f aca="false">IF(ISBLANK(R12),,(100/INDEX($T$24:$T$34,MATCH(S12,$N$24:$N$34,0))*INDEX($P$24:$P$34,MATCH(S12,$N$24:$N$34,0))*INDEX($Q$24:$Q$34,MATCH(S12,$N$24:$N$34,0))*INDEX($R$24:$R$34,MATCH(S12,$N$24:$N$34,0))*INDEX($S$24:$S$34,MATCH(S12,$N$24:$N$34,0))))</f>
        <v>#N/A</v>
      </c>
      <c r="W12" s="364"/>
      <c r="X12" s="364"/>
      <c r="Y12" s="364"/>
      <c r="Z12" s="364"/>
      <c r="AA12" s="364"/>
      <c r="AB12" s="364"/>
    </row>
    <row r="13" customFormat="false" ht="15.75" hidden="false" customHeight="false" outlineLevel="0" collapsed="false">
      <c r="A13" s="364"/>
      <c r="B13" s="363"/>
      <c r="C13" s="262" t="n">
        <f aca="false">IF(OR(ISERR(INDEX('0.1.1 Pokémon GO Moves'!$N$3:$N$1506,MATCH(C1,'0.1.1 Pokémon GO Moves'!$A$3:$A$1506,0))),ISNA(INDEX('0.1.1 Pokémon GO Moves'!$N$3:$N$1506,MATCH(C1,'0.1.1 Pokémon GO Moves'!$A$3:$A$1506,0)))),,INDEX('0.1.1 Pokémon GO Moves'!$N$3:$N$1506,MATCH(C1,'0.1.1 Pokémon GO Moves'!$A$3:$A$1506,0)))</f>
        <v>0</v>
      </c>
      <c r="D13" s="262" t="e">
        <f aca="false" t="array" ref="D13:D13">IF(ISBLANK(C13),,INDEX('0.1.2 Attack Dex (GO)'!$B$2:$B1000,MATCH(C13,'0.1.2 Attack Dex (GO)'!$A$2:$A1000,0)))</f>
        <v>#N/A</v>
      </c>
      <c r="E13" s="361" t="n">
        <v>1</v>
      </c>
      <c r="F13" s="364"/>
      <c r="G13" s="363"/>
      <c r="H13" s="262" t="n">
        <f aca="false">IF(OR(ISERR(INDEX('0.1.1 Pokémon GO Moves'!$H$3:$H$1506,MATCH(C1,'0.1.1 Pokémon GO Moves'!$A$3:$A$1506,0))),ISNA(INDEX('0.1.1 Pokémon GO Moves'!$H$3:$H$1506,MATCH(C1,'0.1.1 Pokémon GO Moves'!$A$3:$A$1506,0)))),,INDEX('0.1.1 Pokémon GO Moves'!$H$3:$H$1506,MATCH(C1,'0.1.1 Pokémon GO Moves'!$A$3:$A$1506,0)))</f>
        <v>0</v>
      </c>
      <c r="I13" s="262" t="e">
        <f aca="false" t="array" ref="I13:I13">IF(ISBLANK(H13),,INDEX('0.1.2 Attack Dex (GO)'!$B$2:$B1000,MATCH(H13,'0.1.2 Attack Dex (GO)'!$A$2:$A1000,0)))</f>
        <v>#N/A</v>
      </c>
      <c r="J13" s="361" t="n">
        <v>0</v>
      </c>
      <c r="K13" s="364"/>
      <c r="L13" s="261" t="n">
        <f aca="false">IF(ISBLANK($C29),,"L1")</f>
        <v>0</v>
      </c>
      <c r="M13" s="364"/>
      <c r="N13" s="364"/>
      <c r="O13" s="364"/>
      <c r="P13" s="364"/>
      <c r="Q13" s="364"/>
      <c r="R13" s="444" t="n">
        <f aca="false">IF(ISBLANK(H16),,7)</f>
        <v>7</v>
      </c>
      <c r="S13" s="360" t="n">
        <f aca="false">IF(ISBLANK(R13),,H16)</f>
        <v>0</v>
      </c>
      <c r="T13" s="360" t="e">
        <f aca="false" t="array" ref="T13:T13">IF(ISBLANK(R13),,INDEX('0.3.1 Type Table'!$U$2:$U$120,MATCH(I16,'0.3.1 Type Table'!$A$2:$A$20,0)))</f>
        <v>#N/A</v>
      </c>
      <c r="U13" s="360" t="e">
        <f aca="false">IF(ISBLANK(R13),,INDEX($X$24:$X$34,MATCH(S13,$N$24:$N$34,0)))</f>
        <v>#N/A</v>
      </c>
      <c r="V13" s="445" t="e">
        <f aca="false">IF(ISBLANK(R13),,(100/INDEX($T$24:$T$34,MATCH(S13,$N$24:$N$34,0))*INDEX($P$24:$P$34,MATCH(S13,$N$24:$N$34,0))*INDEX($Q$24:$Q$34,MATCH(S13,$N$24:$N$34,0))*INDEX($R$24:$R$34,MATCH(S13,$N$24:$N$34,0))*INDEX($S$24:$S$34,MATCH(S13,$N$24:$N$34,0))))</f>
        <v>#N/A</v>
      </c>
      <c r="W13" s="364"/>
      <c r="X13" s="364"/>
      <c r="Y13" s="364"/>
      <c r="Z13" s="364"/>
      <c r="AA13" s="364"/>
      <c r="AB13" s="364"/>
    </row>
    <row r="14" customFormat="false" ht="15.75" hidden="false" customHeight="false" outlineLevel="0" collapsed="false">
      <c r="A14" s="364"/>
      <c r="B14" s="447"/>
      <c r="C14" s="402" t="n">
        <f aca="false">IF(OR(ISERR(INDEX('0.1.1 Pokémon GO Moves'!$O$3:$O$1506,MATCH(C1,'0.1.1 Pokémon GO Moves'!$A$3:$A$1506,0))),ISNA(INDEX('0.1.1 Pokémon GO Moves'!$O$3:$O$1506,MATCH(C1,'0.1.1 Pokémon GO Moves'!$A$3:$A$1506,0)))),,INDEX('0.1.1 Pokémon GO Moves'!$O$3:$O$1506,MATCH(C1,'0.1.1 Pokémon GO Moves'!$A$3:$A$1506,0)))</f>
        <v>0</v>
      </c>
      <c r="D14" s="402" t="e">
        <f aca="false" t="array" ref="D14:D14">IF(ISBLANK(C14),,INDEX('0.1.2 Attack Dex (GO)'!$B$2:$B1000,MATCH(C14,'0.1.2 Attack Dex (GO)'!$A$2:$A1000,0)))</f>
        <v>#N/A</v>
      </c>
      <c r="E14" s="448" t="n">
        <v>1</v>
      </c>
      <c r="F14" s="364"/>
      <c r="G14" s="363"/>
      <c r="H14" s="262" t="n">
        <f aca="false">IF(OR(ISERR(INDEX('0.1.1 Pokémon GO Moves'!$I$3:$I$1506,MATCH(C1,'0.1.1 Pokémon GO Moves'!$A$3:$A$1506,0))),ISNA(INDEX('0.1.1 Pokémon GO Moves'!$I$3:$I$1506,MATCH(C1,'0.1.1 Pokémon GO Moves'!$A$3:$A$1506,0)))),,INDEX('0.1.1 Pokémon GO Moves'!$I$3:$I$1506,MATCH(C1,'0.1.1 Pokémon GO Moves'!$A$3:$A$1506,0)))</f>
        <v>0</v>
      </c>
      <c r="I14" s="262" t="e">
        <f aca="false" t="array" ref="I14:I14">IF(ISBLANK(H14),,INDEX('0.1.2 Attack Dex (GO)'!$B$2:$B1000,MATCH(H14,'0.1.2 Attack Dex (GO)'!$A$2:$A1000,0)))</f>
        <v>#N/A</v>
      </c>
      <c r="J14" s="361" t="n">
        <v>0</v>
      </c>
      <c r="K14" s="364"/>
      <c r="M14" s="364"/>
      <c r="N14" s="364"/>
      <c r="O14" s="364"/>
      <c r="P14" s="364"/>
      <c r="Q14" s="364"/>
      <c r="R14" s="444" t="n">
        <f aca="false">IF(ISBLANK(H17),,8)</f>
        <v>8</v>
      </c>
      <c r="S14" s="360" t="n">
        <f aca="false">IF(ISBLANK(R14),,H17)</f>
        <v>0</v>
      </c>
      <c r="T14" s="360" t="e">
        <f aca="false" t="array" ref="T14:T14">IF(ISBLANK(R14),,INDEX('0.3.1 Type Table'!$U$2:$U$120,MATCH(I17,'0.3.1 Type Table'!$A$2:$A$20,0)))</f>
        <v>#N/A</v>
      </c>
      <c r="U14" s="360" t="e">
        <f aca="false">IF(ISBLANK(R14),,INDEX($X$24:$X$34,MATCH(S14,$N$24:$N$34,0)))</f>
        <v>#N/A</v>
      </c>
      <c r="V14" s="445" t="e">
        <f aca="false">IF(ISBLANK(R14),,(100/INDEX($T$24:$T$34,MATCH(S14,$N$24:$N$34,0))*INDEX($P$24:$P$34,MATCH(S14,$N$24:$N$34,0))*INDEX($Q$24:$Q$34,MATCH(S14,$N$24:$N$34,0))*INDEX($R$24:$R$34,MATCH(S14,$N$24:$N$34,0))*INDEX($S$24:$S$34,MATCH(S14,$N$24:$N$34,0))))</f>
        <v>#N/A</v>
      </c>
      <c r="W14" s="364"/>
      <c r="X14" s="364"/>
      <c r="Y14" s="364"/>
      <c r="Z14" s="364"/>
      <c r="AA14" s="364"/>
      <c r="AB14" s="364"/>
    </row>
    <row r="15" customFormat="false" ht="15.75" hidden="false" customHeight="false" outlineLevel="0" collapsed="false">
      <c r="A15" s="364"/>
      <c r="B15" s="262"/>
      <c r="C15" s="262"/>
      <c r="D15" s="364"/>
      <c r="E15" s="262"/>
      <c r="F15" s="364"/>
      <c r="G15" s="363"/>
      <c r="H15" s="262" t="n">
        <f aca="false">IF(OR(ISERR(INDEX('0.1.1 Pokémon GO Moves'!$J$3:$J$1506,MATCH(C1,'0.1.1 Pokémon GO Moves'!$A$3:$A$1506,0))),ISNA(INDEX('0.1.1 Pokémon GO Moves'!$J$3:$J$1506,MATCH(C1,'0.1.1 Pokémon GO Moves'!$A$3:$A$1506,0)))),,INDEX('0.1.1 Pokémon GO Moves'!$J$3:$J$1506,MATCH(C1,'0.1.1 Pokémon GO Moves'!$A$3:$A$1506,0)))</f>
        <v>0</v>
      </c>
      <c r="I15" s="262" t="e">
        <f aca="false" t="array" ref="I15:I15">IF(ISBLANK(H15),,INDEX('0.1.2 Attack Dex (GO)'!$B$2:$B1000,MATCH(H15,'0.1.2 Attack Dex (GO)'!$A$2:$A1000,0)))</f>
        <v>#N/A</v>
      </c>
      <c r="J15" s="361" t="n">
        <v>0</v>
      </c>
      <c r="K15" s="364"/>
      <c r="L15" s="364"/>
      <c r="M15" s="364"/>
      <c r="N15" s="364"/>
      <c r="O15" s="364"/>
      <c r="P15" s="364"/>
      <c r="Q15" s="364"/>
      <c r="R15" s="444" t="str">
        <f aca="false">IF(ISBLANK(H18),,"L1")</f>
        <v>L1</v>
      </c>
      <c r="S15" s="360" t="n">
        <f aca="false">IF(ISBLANK(R15),,H18)</f>
        <v>0</v>
      </c>
      <c r="T15" s="360" t="e">
        <f aca="false" t="array" ref="T15:T15">IF(ISBLANK(R15),,INDEX('0.3.1 Type Table'!$U$2:$U$120,MATCH(I18,'0.3.1 Type Table'!$A$2:$A$20,0)))</f>
        <v>#N/A</v>
      </c>
      <c r="U15" s="360" t="e">
        <f aca="false">IF(ISBLANK(R15),,INDEX($X$24:$X$34,MATCH(S15,$N$24:$N$34,0)))</f>
        <v>#N/A</v>
      </c>
      <c r="V15" s="445" t="e">
        <f aca="false">IF(ISBLANK(R15),,(100/INDEX($T$24:$T$34,MATCH(S15,$N$24:$N$34,0))*INDEX($P$24:$P$34,MATCH(S15,$N$24:$N$34,0))*INDEX($Q$24:$Q$34,MATCH(S15,$N$24:$N$34,0))*INDEX($R$24:$R$34,MATCH(S15,$N$24:$N$34,0))*INDEX($S$24:$S$34,MATCH(S15,$N$24:$N$34,0))))</f>
        <v>#N/A</v>
      </c>
      <c r="W15" s="364"/>
      <c r="X15" s="364"/>
      <c r="Y15" s="364"/>
      <c r="Z15" s="364"/>
      <c r="AA15" s="364"/>
      <c r="AB15" s="364"/>
    </row>
    <row r="16" customFormat="false" ht="15.75" hidden="false" customHeight="false" outlineLevel="0" collapsed="false">
      <c r="A16" s="364"/>
      <c r="B16" s="262"/>
      <c r="C16" s="262"/>
      <c r="D16" s="364"/>
      <c r="E16" s="262"/>
      <c r="F16" s="364"/>
      <c r="G16" s="363"/>
      <c r="H16" s="262" t="n">
        <f aca="false">IF(OR(ISERR(INDEX('0.1.1 Pokémon GO Moves'!$K$3:$K$1506,MATCH(C1,'0.1.1 Pokémon GO Moves'!$A$3:$A$1506,0))),ISNA(INDEX('0.1.1 Pokémon GO Moves'!$K$3:$K$1506,MATCH(C1,'0.1.1 Pokémon GO Moves'!$A$3:$A$1506,0)))),,INDEX('0.1.1 Pokémon GO Moves'!$K$3:$K$1506,MATCH(C1,'0.1.1 Pokémon GO Moves'!$A$3:$A$1506,0)))</f>
        <v>0</v>
      </c>
      <c r="I16" s="262" t="e">
        <f aca="false" t="array" ref="I16:I16">IF(ISBLANK(H16),,INDEX('0.1.2 Attack Dex (GO)'!$B$2:$B1000,MATCH(H16,'0.1.2 Attack Dex (GO)'!$A$2:$A1000,0)))</f>
        <v>#N/A</v>
      </c>
      <c r="J16" s="361" t="n">
        <v>0</v>
      </c>
      <c r="K16" s="364"/>
      <c r="L16" s="364"/>
      <c r="M16" s="364"/>
      <c r="N16" s="364"/>
      <c r="O16" s="364"/>
      <c r="P16" s="364"/>
      <c r="Q16" s="364"/>
      <c r="R16" s="444" t="str">
        <f aca="false">IF(ISBLANK(H19),,"L2")</f>
        <v>L2</v>
      </c>
      <c r="S16" s="360" t="n">
        <f aca="false">IF(ISBLANK(R16),,H19)</f>
        <v>0</v>
      </c>
      <c r="T16" s="360" t="e">
        <f aca="false" t="array" ref="T16:T16">IF(ISBLANK(R16),,INDEX('0.3.1 Type Table'!$U$2:$U$120,MATCH(I19,'0.3.1 Type Table'!$A$2:$A$20,0)))</f>
        <v>#N/A</v>
      </c>
      <c r="U16" s="360" t="e">
        <f aca="false">IF(ISBLANK(R16),,INDEX($X$24:$X$34,MATCH(S16,$N$24:$N$34,0)))</f>
        <v>#N/A</v>
      </c>
      <c r="V16" s="445" t="e">
        <f aca="false">IF(ISBLANK(R16),,(100/INDEX($T$24:$T$34,MATCH(S16,$N$24:$N$34,0))*INDEX($P$24:$P$34,MATCH(S16,$N$24:$N$34,0))*INDEX($Q$24:$Q$34,MATCH(S16,$N$24:$N$34,0))*INDEX($R$24:$R$34,MATCH(S16,$N$24:$N$34,0))*INDEX($S$24:$S$34,MATCH(S16,$N$24:$N$34,0))))</f>
        <v>#N/A</v>
      </c>
      <c r="W16" s="364"/>
      <c r="X16" s="364"/>
      <c r="Y16" s="364"/>
      <c r="Z16" s="364"/>
      <c r="AA16" s="364"/>
      <c r="AB16" s="364"/>
    </row>
    <row r="17" customFormat="false" ht="15.75" hidden="false" customHeight="false" outlineLevel="0" collapsed="false">
      <c r="A17" s="364"/>
      <c r="B17" s="262"/>
      <c r="C17" s="262"/>
      <c r="D17" s="364"/>
      <c r="E17" s="262"/>
      <c r="F17" s="364"/>
      <c r="G17" s="363"/>
      <c r="H17" s="262" t="n">
        <f aca="false">IF(OR(ISERR(INDEX('0.1.1 Pokémon GO Moves'!$L$3:$L$1506,MATCH(C1,'0.1.1 Pokémon GO Moves'!$A$3:$A$1506,0))),ISNA(INDEX('0.1.1 Pokémon GO Moves'!$L$3:$L$1506,MATCH(C1,'0.1.1 Pokémon GO Moves'!$A$3:$A$1506,0)))),,INDEX('0.1.1 Pokémon GO Moves'!$L$3:$L$1506,MATCH(C1,'0.1.1 Pokémon GO Moves'!$A$3:$A$1506,0)))</f>
        <v>0</v>
      </c>
      <c r="I17" s="262" t="e">
        <f aca="false" t="array" ref="I17:I17">IF(ISBLANK(H17),,INDEX('0.1.2 Attack Dex (GO)'!$B$2:$B1000,MATCH(H17,'0.1.2 Attack Dex (GO)'!$A$2:$A1000,0)))</f>
        <v>#N/A</v>
      </c>
      <c r="J17" s="361" t="n">
        <v>0</v>
      </c>
      <c r="K17" s="364"/>
      <c r="L17" s="364"/>
      <c r="M17" s="364"/>
      <c r="N17" s="364"/>
      <c r="O17" s="364"/>
      <c r="P17" s="364"/>
      <c r="Q17" s="364"/>
      <c r="R17" s="449" t="str">
        <f aca="false">IF(ISBLANK(H20),,"L3")</f>
        <v>L3</v>
      </c>
      <c r="S17" s="403" t="n">
        <f aca="false">IF(ISBLANK(R17),,H20)</f>
        <v>0</v>
      </c>
      <c r="T17" s="403" t="e">
        <f aca="false" t="array" ref="T17:T17">IF(ISBLANK(R17),,INDEX('0.3.1 Type Table'!$U$2:$U$120,MATCH(I20,'0.3.1 Type Table'!$A$2:$A$20,0)))</f>
        <v>#N/A</v>
      </c>
      <c r="U17" s="403" t="e">
        <f aca="false">IF(ISBLANK(R17),,INDEX($X$24:$X$34,MATCH(S17,$N$24:$N$34,0)))</f>
        <v>#N/A</v>
      </c>
      <c r="V17" s="450" t="e">
        <f aca="false">IF(ISBLANK(R17),,(100/INDEX($T$24:$T$34,MATCH(S17,$N$24:$N$34,0))*INDEX($P$24:$P$34,MATCH(S17,$N$24:$N$34,0))*INDEX($Q$24:$Q$34,MATCH(S17,$N$24:$N$34,0))*INDEX($R$24:$R$34,MATCH(S17,$N$24:$N$34,0))*INDEX($S$24:$S$34,MATCH(S17,$N$24:$N$34,0))))</f>
        <v>#N/A</v>
      </c>
      <c r="W17" s="364"/>
      <c r="X17" s="364"/>
      <c r="Y17" s="364"/>
      <c r="Z17" s="364"/>
      <c r="AA17" s="364"/>
      <c r="AB17" s="364"/>
    </row>
    <row r="18" customFormat="false" ht="15.75" hidden="false" customHeight="false" outlineLevel="0" collapsed="false">
      <c r="A18" s="364"/>
      <c r="B18" s="262"/>
      <c r="C18" s="262"/>
      <c r="D18" s="364"/>
      <c r="E18" s="262"/>
      <c r="F18" s="364"/>
      <c r="G18" s="363"/>
      <c r="H18" s="262" t="n">
        <f aca="false">IF(OR(ISERR(INDEX('0.1.1 Pokémon GO Moves'!$P$3:$P$1506,MATCH(C1,'0.1.1 Pokémon GO Moves'!$A$3:$A$1506,0))),ISNA(INDEX('0.1.1 Pokémon GO Moves'!$P$3:$P$1506,MATCH(C1,'0.1.1 Pokémon GO Moves'!$A$3:$A$1506,0)))),,INDEX('0.1.1 Pokémon GO Moves'!$P$3:$P$1506,MATCH(C1,'0.1.1 Pokémon GO Moves'!$A$3:$A$1506,0)))</f>
        <v>0</v>
      </c>
      <c r="I18" s="262" t="e">
        <f aca="false" t="array" ref="I18:I18">IF(ISBLANK(H18),,INDEX('0.1.2 Attack Dex (GO)'!$B$2:$B1000,MATCH(H18,'0.1.2 Attack Dex (GO)'!$A$2:$A1000,0)))</f>
        <v>#N/A</v>
      </c>
      <c r="J18" s="361" t="n">
        <v>1</v>
      </c>
      <c r="K18" s="364"/>
      <c r="L18" s="364"/>
      <c r="M18" s="364"/>
      <c r="N18" s="364"/>
      <c r="O18" s="364"/>
      <c r="P18" s="364"/>
      <c r="Q18" s="364"/>
      <c r="R18" s="261"/>
      <c r="S18" s="364"/>
      <c r="T18" s="364"/>
      <c r="W18" s="364"/>
      <c r="X18" s="364"/>
      <c r="Y18" s="364"/>
      <c r="Z18" s="364"/>
      <c r="AA18" s="364"/>
      <c r="AB18" s="364"/>
    </row>
    <row r="19" customFormat="false" ht="15.75" hidden="false" customHeight="false" outlineLevel="0" collapsed="false">
      <c r="A19" s="364"/>
      <c r="B19" s="262"/>
      <c r="C19" s="262"/>
      <c r="D19" s="364"/>
      <c r="E19" s="262"/>
      <c r="F19" s="364"/>
      <c r="G19" s="363"/>
      <c r="H19" s="262" t="n">
        <f aca="false">IF(OR(ISERR(INDEX('0.1.1 Pokémon GO Moves'!$Q$3:$Q$1506,MATCH(C1,'0.1.1 Pokémon GO Moves'!$A$3:$A$1506,0))),ISNA(INDEX('0.1.1 Pokémon GO Moves'!$Q$3:$Q$1506,MATCH(C1,'0.1.1 Pokémon GO Moves'!$A$3:$A$1506,0)))),,INDEX('0.1.1 Pokémon GO Moves'!$Q$3:$Q$1506,MATCH(C1,'0.1.1 Pokémon GO Moves'!$A$3:$A$1506,0)))</f>
        <v>0</v>
      </c>
      <c r="I19" s="262" t="e">
        <f aca="false" t="array" ref="I19:I19">IF(ISBLANK(H19),,INDEX('0.1.2 Attack Dex (GO)'!$B$2:$B1000,MATCH(H19,'0.1.2 Attack Dex (GO)'!$A$2:$A1000,0)))</f>
        <v>#N/A</v>
      </c>
      <c r="J19" s="361" t="n">
        <v>1</v>
      </c>
      <c r="K19" s="364"/>
      <c r="L19" s="364"/>
      <c r="M19" s="364"/>
      <c r="N19" s="364"/>
      <c r="O19" s="364"/>
      <c r="P19" s="364"/>
      <c r="Q19" s="364"/>
      <c r="R19" s="364"/>
      <c r="S19" s="364"/>
      <c r="T19" s="364"/>
      <c r="W19" s="364"/>
      <c r="X19" s="364"/>
      <c r="Y19" s="364"/>
      <c r="Z19" s="364"/>
      <c r="AA19" s="364"/>
      <c r="AB19" s="364"/>
    </row>
    <row r="20" customFormat="false" ht="15.75" hidden="false" customHeight="false" outlineLevel="0" collapsed="false">
      <c r="A20" s="364"/>
      <c r="B20" s="262"/>
      <c r="C20" s="262"/>
      <c r="D20" s="364"/>
      <c r="E20" s="262"/>
      <c r="F20" s="364"/>
      <c r="G20" s="447"/>
      <c r="H20" s="402" t="n">
        <f aca="false">IF(OR(ISERR(INDEX('0.1.1 Pokémon GO Moves'!$R$3:$R$1506,MATCH(C1,'0.1.1 Pokémon GO Moves'!$A$3:$A$1506,0))),ISNA(INDEX('0.1.1 Pokémon GO Moves'!$R$3:$R$1506,MATCH(C1,'0.1.1 Pokémon GO Moves'!$A$3:$A$1506,0)))),,INDEX('0.1.1 Pokémon GO Moves'!$R$3:$R$1506,MATCH(C1,'0.1.1 Pokémon GO Moves'!$A$3:$A$1506,0)))</f>
        <v>0</v>
      </c>
      <c r="I20" s="402" t="e">
        <f aca="false" t="array" ref="I20:I20">IF(ISBLANK(H20),,INDEX('0.1.2 Attack Dex (GO)'!$B$2:$B1000,MATCH(H20,'0.1.2 Attack Dex (GO)'!$A$2:$A1000,0)))</f>
        <v>#N/A</v>
      </c>
      <c r="J20" s="448" t="n">
        <v>1</v>
      </c>
      <c r="K20" s="364"/>
      <c r="L20" s="364"/>
      <c r="M20" s="364"/>
      <c r="N20" s="364"/>
      <c r="O20" s="364"/>
      <c r="P20" s="364"/>
      <c r="Q20" s="364"/>
      <c r="R20" s="364"/>
      <c r="S20" s="364"/>
      <c r="T20" s="364"/>
      <c r="W20" s="364"/>
      <c r="X20" s="364"/>
      <c r="Y20" s="364"/>
      <c r="Z20" s="364"/>
      <c r="AA20" s="364"/>
      <c r="AB20" s="364"/>
    </row>
    <row r="21" customFormat="false" ht="15.75" hidden="false" customHeight="false" outlineLevel="0" collapsed="false">
      <c r="A21" s="364"/>
      <c r="B21" s="364"/>
      <c r="C21" s="364"/>
      <c r="D21" s="364"/>
      <c r="E21" s="364"/>
      <c r="F21" s="364"/>
      <c r="G21" s="364"/>
      <c r="H21" s="261"/>
      <c r="I21" s="364"/>
      <c r="J21" s="364"/>
      <c r="K21" s="364"/>
      <c r="L21" s="364"/>
      <c r="M21" s="364"/>
      <c r="N21" s="364"/>
      <c r="O21" s="364"/>
      <c r="P21" s="364"/>
      <c r="Q21" s="364"/>
      <c r="R21" s="364"/>
      <c r="S21" s="364"/>
      <c r="T21" s="364"/>
      <c r="W21" s="364"/>
      <c r="X21" s="364"/>
      <c r="Y21" s="364"/>
      <c r="Z21" s="364"/>
      <c r="AA21" s="364"/>
      <c r="AB21" s="364"/>
    </row>
    <row r="22" customFormat="false" ht="15.75" hidden="false" customHeight="false" outlineLevel="0" collapsed="false">
      <c r="A22" s="364"/>
      <c r="B22" s="364"/>
      <c r="C22" s="364"/>
      <c r="D22" s="364"/>
      <c r="E22" s="364"/>
      <c r="F22" s="364"/>
      <c r="G22" s="364"/>
      <c r="H22" s="261"/>
      <c r="I22" s="364"/>
      <c r="J22" s="364"/>
      <c r="K22" s="364"/>
      <c r="L22" s="364"/>
      <c r="M22" s="364"/>
      <c r="N22" s="364"/>
      <c r="O22" s="364"/>
      <c r="P22" s="364"/>
      <c r="Q22" s="364"/>
      <c r="R22" s="364"/>
      <c r="S22" s="364"/>
      <c r="T22" s="364"/>
      <c r="U22" s="364"/>
      <c r="V22" s="364"/>
      <c r="W22" s="364"/>
      <c r="X22" s="364"/>
      <c r="Y22" s="364"/>
      <c r="Z22" s="364"/>
      <c r="AA22" s="364"/>
      <c r="AB22" s="364"/>
    </row>
    <row r="23" customFormat="false" ht="15.75" hidden="false" customHeight="false" outlineLevel="0" collapsed="false">
      <c r="A23" s="364"/>
      <c r="B23" s="364"/>
      <c r="C23" s="440"/>
      <c r="D23" s="398" t="s">
        <v>51</v>
      </c>
      <c r="E23" s="398" t="s">
        <v>142</v>
      </c>
      <c r="F23" s="398" t="s">
        <v>2860</v>
      </c>
      <c r="G23" s="398" t="s">
        <v>2861</v>
      </c>
      <c r="H23" s="398" t="s">
        <v>139</v>
      </c>
      <c r="I23" s="398" t="s">
        <v>2779</v>
      </c>
      <c r="J23" s="398" t="s">
        <v>140</v>
      </c>
      <c r="K23" s="398" t="s">
        <v>52</v>
      </c>
      <c r="L23" s="399" t="s">
        <v>53</v>
      </c>
      <c r="M23" s="364"/>
      <c r="N23" s="388"/>
      <c r="O23" s="398" t="s">
        <v>51</v>
      </c>
      <c r="P23" s="398" t="s">
        <v>142</v>
      </c>
      <c r="Q23" s="398" t="s">
        <v>2860</v>
      </c>
      <c r="R23" s="398" t="s">
        <v>2861</v>
      </c>
      <c r="S23" s="398" t="s">
        <v>139</v>
      </c>
      <c r="T23" s="398" t="s">
        <v>2779</v>
      </c>
      <c r="U23" s="398" t="s">
        <v>140</v>
      </c>
      <c r="V23" s="399" t="s">
        <v>52</v>
      </c>
      <c r="W23" s="451" t="s">
        <v>2862</v>
      </c>
      <c r="X23" s="452" t="s">
        <v>61</v>
      </c>
      <c r="Y23" s="364"/>
      <c r="Z23" s="364"/>
      <c r="AA23" s="364"/>
      <c r="AB23" s="364"/>
    </row>
    <row r="24" customFormat="false" ht="15.75" hidden="false" customHeight="false" outlineLevel="0" collapsed="false">
      <c r="A24" s="364"/>
      <c r="B24" s="364"/>
      <c r="C24" s="363" t="str">
        <f aca="false">IFERROR(__xludf.dummyfunction("UNIQUE(FILTER(C10:C14,NOT(ISBLANK(C10:C14))))"),"#N/A")</f>
        <v>#N/A</v>
      </c>
      <c r="D24" s="360" t="e">
        <f aca="false">IF(ISBLANK(C24),,INDEX($D$10:$D$14,MATCH(C24,$C$10:$C$14,0)))</f>
        <v>#N/A</v>
      </c>
      <c r="E24" s="360" t="e">
        <f aca="false">IF(ISBLANK(C24),,IF(D24="Empty",$C$3,IF(OR(D24=$F$1,D24=$F$2),$C$2,1)))</f>
        <v>#N/A</v>
      </c>
      <c r="F24" s="360" t="e">
        <f aca="false">IF(ISBLANK(C24),,INDEX($C$6:$U$6,MATCH(D24,$C$5:$U$5,0)))</f>
        <v>#N/A</v>
      </c>
      <c r="G24" s="360" t="e">
        <f aca="false">IF(ISBLANK(C24),,INDEX($C$7:$U$7,MATCH(D24,$C$5:$U$5,0)))</f>
        <v>#N/A</v>
      </c>
      <c r="H24" s="360" t="e">
        <f aca="false" t="array" ref="H24:H24">IF(ISBLANK(C24),,INDEX('0.1.2 Attack Dex (GO)'!$E$2:$E$500,MATCH(C24,'0.1.2 Attack Dex (GO)'!$A$2:$A$500,0)))</f>
        <v>#N/A</v>
      </c>
      <c r="I24" s="360" t="e">
        <f aca="false" t="array" ref="I24:I24">IF(ISBLANK(C24),,INDEX('0.1.2 Attack Dex (GO)'!$F$2:$F$500,MATCH(C24,'0.1.2 Attack Dex (GO)'!$A$2:$A$500,0)))</f>
        <v>#N/A</v>
      </c>
      <c r="J24" s="360" t="e">
        <f aca="false" t="array" ref="J24:J24">IF(ISBLANK(C24),,INDEX('0.1.2 Attack Dex (GO)'!$H$2:$H$500,MATCH(C24,'0.1.2 Attack Dex (GO)'!$A$2:$A$500,0)))</f>
        <v>#N/A</v>
      </c>
      <c r="K24" s="453" t="e">
        <f aca="false">IF(ISBLANK(C24),,E24*H24*F24*G24/(J24/1000))</f>
        <v>#N/A</v>
      </c>
      <c r="L24" s="454" t="e">
        <f aca="false">IF(ISBLANK(C24),,I24/(J24/1000))</f>
        <v>#N/A</v>
      </c>
      <c r="M24" s="364"/>
      <c r="N24" s="363" t="str">
        <f aca="false">IFERROR(__xludf.dummyfunction("UNIQUE(FILTER(H10:H20,NOT(ISBLANK(H10:H20))))"),"#N/A")</f>
        <v>#N/A</v>
      </c>
      <c r="O24" s="360" t="e">
        <f aca="false">IF(ISBLANK(N24),,INDEX($I$10:$I$20,MATCH(N24,$H$10:$H$20,0)))</f>
        <v>#N/A</v>
      </c>
      <c r="P24" s="360" t="e">
        <f aca="false">IF(ISBLANK(N24),,IF(O24="Empty",$C$3,IF(OR(O24=$F$1,O24=$F$2),$C$2,1)))</f>
        <v>#N/A</v>
      </c>
      <c r="Q24" s="360" t="e">
        <f aca="false">IF(ISBLANK(N24),,INDEX($C$6:$U$6,MATCH(O24,$C$5:$U$5,0)))</f>
        <v>#N/A</v>
      </c>
      <c r="R24" s="360" t="e">
        <f aca="false">IF(ISBLANK(N24),,INDEX($C$7:$U$7,MATCH(O24,$C$5:$U$5,0)))</f>
        <v>#N/A</v>
      </c>
      <c r="S24" s="360" t="e">
        <f aca="false" t="array" ref="S24:S24">IF(ISBLANK(N24),,INDEX('0.1.2 Attack Dex (GO)'!$E$2:$E$500,MATCH(N24,'0.1.2 Attack Dex (GO)'!$A$2:$A$500,0)))</f>
        <v>#N/A</v>
      </c>
      <c r="T24" s="360" t="e">
        <f aca="false" t="array" ref="T24:T24">IF(ISBLANK(N24),,INDEX('0.1.2 Attack Dex (GO)'!$F$2:$F$500,MATCH(N24,'0.1.2 Attack Dex (GO)'!$A$2:$A$500,0)))</f>
        <v>#N/A</v>
      </c>
      <c r="U24" s="360" t="e">
        <f aca="false" t="array" ref="U24:U24">IF(ISBLANK(N24),,INDEX('0.1.2 Attack Dex (GO)'!$H$2:$H$500,MATCH(N24,'0.1.2 Attack Dex (GO)'!$A$2:$A$500,0)))</f>
        <v>#N/A</v>
      </c>
      <c r="V24" s="455" t="e">
        <f aca="false">IF(ISBLANK(N24),,P24*S24*Q24*R24/(U24/1000))</f>
        <v>#N/A</v>
      </c>
      <c r="W24" s="456" t="e">
        <f aca="false">IF(ISBLANK(N24),,S24+((MAX($U$24:$U$34)-U24)/1000)*(MAX($K$24:$K$28)))</f>
        <v>#N/A</v>
      </c>
      <c r="X24" s="457" t="e">
        <f aca="false">IF(ISBLANK(N24),,W24/(MAX($U$24:$U$34)/1000))</f>
        <v>#N/A</v>
      </c>
      <c r="Y24" s="364"/>
      <c r="Z24" s="364"/>
      <c r="AA24" s="364"/>
      <c r="AB24" s="364"/>
    </row>
    <row r="25" customFormat="false" ht="15.75" hidden="false" customHeight="false" outlineLevel="0" collapsed="false">
      <c r="A25" s="364"/>
      <c r="B25" s="364"/>
      <c r="C25" s="363"/>
      <c r="D25" s="360" t="n">
        <f aca="false">IF(ISBLANK(C25),,INDEX($D$10:$D$14,MATCH(C25,$C$10:$C$14,0)))</f>
        <v>0</v>
      </c>
      <c r="E25" s="360" t="n">
        <f aca="false">IF(ISBLANK(C25),,IF(D25="Empty",$C$3,IF(OR(D25=$F$1,D25=$F$2),$C$2,1)))</f>
        <v>0</v>
      </c>
      <c r="F25" s="360" t="n">
        <f aca="false">IF(ISBLANK(C25),,INDEX($C$6:$U$6,MATCH(D25,$C$5:$U$5,0)))</f>
        <v>0</v>
      </c>
      <c r="G25" s="360" t="n">
        <f aca="false">IF(ISBLANK(C25),,INDEX($C$7:$U$7,MATCH(D25,$C$5:$U$5,0)))</f>
        <v>0</v>
      </c>
      <c r="H25" s="360" t="n">
        <f aca="false">IF(ISBLANK(C25),,INDEX('0.1.2 Attack Dex (GO)'!$E$2:$E$500,MATCH(C25,'0.1.2 Attack Dex (GO)'!$A$2:$A$500,0)))</f>
        <v>0</v>
      </c>
      <c r="I25" s="360" t="n">
        <f aca="false">IF(ISBLANK(C25),,INDEX('0.1.2 Attack Dex (GO)'!$F$2:$F$500,MATCH(C25,'0.1.2 Attack Dex (GO)'!$A$2:$A$500,0)))</f>
        <v>0</v>
      </c>
      <c r="J25" s="360" t="n">
        <f aca="false">IF(ISBLANK(C25),,INDEX('0.1.2 Attack Dex (GO)'!$H$2:$H$500,MATCH(C25,'0.1.2 Attack Dex (GO)'!$A$2:$A$500,0)))</f>
        <v>0</v>
      </c>
      <c r="K25" s="453" t="n">
        <f aca="false">IF(ISBLANK(C25),,E25*H25*F25*G25/(J25/1000))</f>
        <v>0</v>
      </c>
      <c r="L25" s="454" t="n">
        <f aca="false">IF(ISBLANK(C25),,I25/(J25/1000))</f>
        <v>0</v>
      </c>
      <c r="M25" s="364"/>
      <c r="N25" s="363"/>
      <c r="O25" s="360" t="n">
        <f aca="false">IF(ISBLANK(N25),,INDEX($I$10:$I$20,MATCH(N25,$H$10:$H$20,0)))</f>
        <v>0</v>
      </c>
      <c r="P25" s="360" t="n">
        <f aca="false">IF(ISBLANK(N25),,IF(O25="Empty",$C$3,IF(OR(O25=$F$1,O25=$F$2),$C$2,1)))</f>
        <v>0</v>
      </c>
      <c r="Q25" s="360" t="n">
        <f aca="false">IF(ISBLANK(N25),,INDEX($C$6:$U$6,MATCH(O25,$C$5:$U$5,0)))</f>
        <v>0</v>
      </c>
      <c r="R25" s="360" t="n">
        <f aca="false">IF(ISBLANK(N25),,INDEX($C$7:$U$7,MATCH(O25,$C$5:$U$5,0)))</f>
        <v>0</v>
      </c>
      <c r="S25" s="360" t="n">
        <f aca="false">IF(ISBLANK(N25),,INDEX('0.1.2 Attack Dex (GO)'!$E$2:$E$500,MATCH(N25,'0.1.2 Attack Dex (GO)'!$A$2:$A$500,0)))</f>
        <v>0</v>
      </c>
      <c r="T25" s="360" t="n">
        <f aca="false">IF(ISBLANK(N25),,INDEX('0.1.2 Attack Dex (GO)'!$F$2:$F$500,MATCH(N25,'0.1.2 Attack Dex (GO)'!$A$2:$A$500,0)))</f>
        <v>0</v>
      </c>
      <c r="U25" s="360" t="n">
        <f aca="false">IF(ISBLANK(N25),,INDEX('0.1.2 Attack Dex (GO)'!$H$2:$H$500,MATCH(N25,'0.1.2 Attack Dex (GO)'!$A$2:$A$500,0)))</f>
        <v>0</v>
      </c>
      <c r="V25" s="455" t="n">
        <f aca="false">IF(ISBLANK(N25),,P25*S25*Q25*R25/(U25/1000))</f>
        <v>0</v>
      </c>
      <c r="W25" s="456" t="n">
        <f aca="false">IF(ISBLANK(N25),,S25+((MAX($U$24:$U$34)-U25)/1000)*(MAX($K$24:$K$28)))</f>
        <v>0</v>
      </c>
      <c r="X25" s="457" t="n">
        <f aca="false">IF(ISBLANK(N25),,W25/(MAX($U$24:$U$34)/1000))</f>
        <v>0</v>
      </c>
      <c r="Y25" s="364"/>
      <c r="Z25" s="364"/>
      <c r="AA25" s="364"/>
      <c r="AB25" s="364"/>
    </row>
    <row r="26" customFormat="false" ht="15.75" hidden="false" customHeight="false" outlineLevel="0" collapsed="false">
      <c r="A26" s="364"/>
      <c r="B26" s="364"/>
      <c r="C26" s="363"/>
      <c r="D26" s="360" t="n">
        <f aca="false">IF(ISBLANK(C26),,INDEX($D$10:$D$14,MATCH(C26,$C$10:$C$14,0)))</f>
        <v>0</v>
      </c>
      <c r="E26" s="360" t="n">
        <f aca="false">IF(ISBLANK(C26),,IF(D26="Empty",$C$3,IF(OR(D26=$F$1,D26=$F$2),$C$2,1)))</f>
        <v>0</v>
      </c>
      <c r="F26" s="360" t="n">
        <f aca="false">IF(ISBLANK(C26),,INDEX($C$6:$U$6,MATCH(D26,$C$5:$U$5,0)))</f>
        <v>0</v>
      </c>
      <c r="G26" s="360" t="n">
        <f aca="false">IF(ISBLANK(C26),,INDEX($C$7:$U$7,MATCH(D26,$C$5:$U$5,0)))</f>
        <v>0</v>
      </c>
      <c r="H26" s="360" t="n">
        <f aca="false">IF(ISBLANK(C26),,INDEX('0.1.2 Attack Dex (GO)'!$E$2:$E$500,MATCH(C26,'0.1.2 Attack Dex (GO)'!$A$2:$A$500,0)))</f>
        <v>0</v>
      </c>
      <c r="I26" s="360" t="n">
        <f aca="false">IF(ISBLANK(C26),,INDEX('0.1.2 Attack Dex (GO)'!$F$2:$F$500,MATCH(C26,'0.1.2 Attack Dex (GO)'!$A$2:$A$500,0)))</f>
        <v>0</v>
      </c>
      <c r="J26" s="360" t="n">
        <f aca="false">IF(ISBLANK(C26),,INDEX('0.1.2 Attack Dex (GO)'!$H$2:$H$500,MATCH(C26,'0.1.2 Attack Dex (GO)'!$A$2:$A$500,0)))</f>
        <v>0</v>
      </c>
      <c r="K26" s="453" t="n">
        <f aca="false">IF(ISBLANK(C26),,E26*H26*F26*G26/(J26/1000))</f>
        <v>0</v>
      </c>
      <c r="L26" s="454" t="n">
        <f aca="false">IF(ISBLANK(C26),,I26/(J26/1000))</f>
        <v>0</v>
      </c>
      <c r="M26" s="364"/>
      <c r="N26" s="363"/>
      <c r="O26" s="360" t="n">
        <f aca="false">IF(ISBLANK(N26),,INDEX($I$10:$I$20,MATCH(N26,$H$10:$H$20,0)))</f>
        <v>0</v>
      </c>
      <c r="P26" s="360" t="n">
        <f aca="false">IF(ISBLANK(N26),,IF(O26="Empty",$C$3,IF(OR(O26=$F$1,O26=$F$2),$C$2,1)))</f>
        <v>0</v>
      </c>
      <c r="Q26" s="360" t="n">
        <f aca="false">IF(ISBLANK(N26),,INDEX($C$6:$U$6,MATCH(O26,$C$5:$U$5,0)))</f>
        <v>0</v>
      </c>
      <c r="R26" s="360" t="n">
        <f aca="false">IF(ISBLANK(N26),,INDEX($C$7:$U$7,MATCH(O26,$C$5:$U$5,0)))</f>
        <v>0</v>
      </c>
      <c r="S26" s="360" t="n">
        <f aca="false">IF(ISBLANK(N26),,INDEX('0.1.2 Attack Dex (GO)'!$E$2:$E$500,MATCH(N26,'0.1.2 Attack Dex (GO)'!$A$2:$A$500,0)))</f>
        <v>0</v>
      </c>
      <c r="T26" s="360" t="n">
        <f aca="false">IF(ISBLANK(N26),,INDEX('0.1.2 Attack Dex (GO)'!$F$2:$F$500,MATCH(N26,'0.1.2 Attack Dex (GO)'!$A$2:$A$500,0)))</f>
        <v>0</v>
      </c>
      <c r="U26" s="360" t="n">
        <f aca="false">IF(ISBLANK(N26),,INDEX('0.1.2 Attack Dex (GO)'!$H$2:$H$500,MATCH(N26,'0.1.2 Attack Dex (GO)'!$A$2:$A$500,0)))</f>
        <v>0</v>
      </c>
      <c r="V26" s="455" t="n">
        <f aca="false">IF(ISBLANK(N26),,P26*S26*Q26*R26/(U26/1000))</f>
        <v>0</v>
      </c>
      <c r="W26" s="456" t="n">
        <f aca="false">IF(ISBLANK(N26),,S26+((MAX($U$24:$U$34)-U26)/1000)*(MAX($K$24:$K$28)))</f>
        <v>0</v>
      </c>
      <c r="X26" s="457" t="n">
        <f aca="false">IF(ISBLANK(N26),,W26/(MAX($U$24:$U$34)/1000))</f>
        <v>0</v>
      </c>
      <c r="Y26" s="364"/>
      <c r="Z26" s="364"/>
      <c r="AA26" s="364"/>
      <c r="AB26" s="364"/>
    </row>
    <row r="27" customFormat="false" ht="15.75" hidden="false" customHeight="false" outlineLevel="0" collapsed="false">
      <c r="A27" s="364"/>
      <c r="B27" s="364"/>
      <c r="C27" s="363"/>
      <c r="D27" s="360" t="n">
        <f aca="false">IF(ISBLANK(C27),,INDEX($D$10:$D$14,MATCH(C27,$C$10:$C$14,0)))</f>
        <v>0</v>
      </c>
      <c r="E27" s="360" t="n">
        <f aca="false">IF(ISBLANK(C27),,IF(D27="Empty",$C$3,IF(OR(D27=$F$1,D27=$F$2),$C$2,1)))</f>
        <v>0</v>
      </c>
      <c r="F27" s="360" t="n">
        <f aca="false">IF(ISBLANK(C27),,INDEX($C$6:$U$6,MATCH(D27,$C$5:$U$5,0)))</f>
        <v>0</v>
      </c>
      <c r="G27" s="360" t="n">
        <f aca="false">IF(ISBLANK(C27),,INDEX($C$7:$U$7,MATCH(D27,$C$5:$U$5,0)))</f>
        <v>0</v>
      </c>
      <c r="H27" s="360" t="n">
        <f aca="false">IF(ISBLANK(C27),,INDEX('0.1.2 Attack Dex (GO)'!$E$2:$E$500,MATCH(C27,'0.1.2 Attack Dex (GO)'!$A$2:$A$500,0)))</f>
        <v>0</v>
      </c>
      <c r="I27" s="360" t="n">
        <f aca="false">IF(ISBLANK(C27),,INDEX('0.1.2 Attack Dex (GO)'!$F$2:$F$500,MATCH(C27,'0.1.2 Attack Dex (GO)'!$A$2:$A$500,0)))</f>
        <v>0</v>
      </c>
      <c r="J27" s="360" t="n">
        <f aca="false">IF(ISBLANK(C27),,INDEX('0.1.2 Attack Dex (GO)'!$H$2:$H$500,MATCH(C27,'0.1.2 Attack Dex (GO)'!$A$2:$A$500,0)))</f>
        <v>0</v>
      </c>
      <c r="K27" s="453" t="n">
        <f aca="false">IF(ISBLANK(C27),,E27*H27*F27*G27/(J27/1000))</f>
        <v>0</v>
      </c>
      <c r="L27" s="454" t="n">
        <f aca="false">IF(ISBLANK(C27),,I27/(J27/1000))</f>
        <v>0</v>
      </c>
      <c r="M27" s="364"/>
      <c r="N27" s="363"/>
      <c r="O27" s="360" t="n">
        <f aca="false">IF(ISBLANK(N27),,INDEX($I$10:$I$20,MATCH(N27,$H$10:$H$20,0)))</f>
        <v>0</v>
      </c>
      <c r="P27" s="360" t="n">
        <f aca="false">IF(ISBLANK(N27),,IF(O27="Empty",$C$3,IF(OR(O27=$F$1,O27=$F$2),$C$2,1)))</f>
        <v>0</v>
      </c>
      <c r="Q27" s="360" t="n">
        <f aca="false">IF(ISBLANK(N27),,INDEX($C$6:$U$6,MATCH(O27,$C$5:$U$5,0)))</f>
        <v>0</v>
      </c>
      <c r="R27" s="360" t="n">
        <f aca="false">IF(ISBLANK(N27),,INDEX($C$7:$U$7,MATCH(O27,$C$5:$U$5,0)))</f>
        <v>0</v>
      </c>
      <c r="S27" s="360" t="n">
        <f aca="false">IF(ISBLANK(N27),,INDEX('0.1.2 Attack Dex (GO)'!$E$2:$E$500,MATCH(N27,'0.1.2 Attack Dex (GO)'!$A$2:$A$500,0)))</f>
        <v>0</v>
      </c>
      <c r="T27" s="360" t="n">
        <f aca="false">IF(ISBLANK(N27),,INDEX('0.1.2 Attack Dex (GO)'!$F$2:$F$500,MATCH(N27,'0.1.2 Attack Dex (GO)'!$A$2:$A$500,0)))</f>
        <v>0</v>
      </c>
      <c r="U27" s="360" t="n">
        <f aca="false">IF(ISBLANK(N27),,INDEX('0.1.2 Attack Dex (GO)'!$H$2:$H$500,MATCH(N27,'0.1.2 Attack Dex (GO)'!$A$2:$A$500,0)))</f>
        <v>0</v>
      </c>
      <c r="V27" s="455" t="n">
        <f aca="false">IF(ISBLANK(N27),,P27*S27*Q27*R27/(U27/1000))</f>
        <v>0</v>
      </c>
      <c r="W27" s="456" t="n">
        <f aca="false">IF(ISBLANK(N27),,S27+((MAX($U$24:$U$34)-U27)/1000)*(MAX($K$24:$K$28)))</f>
        <v>0</v>
      </c>
      <c r="X27" s="457" t="n">
        <f aca="false">IF(ISBLANK(N27),,W27/(MAX($U$24:$U$34)/1000))</f>
        <v>0</v>
      </c>
      <c r="Y27" s="364"/>
      <c r="Z27" s="364"/>
      <c r="AA27" s="364"/>
      <c r="AB27" s="364"/>
    </row>
    <row r="28" customFormat="false" ht="15.75" hidden="false" customHeight="false" outlineLevel="0" collapsed="false">
      <c r="A28" s="364"/>
      <c r="B28" s="364"/>
      <c r="C28" s="363"/>
      <c r="D28" s="360" t="n">
        <f aca="false">IF(ISBLANK(C28),,INDEX($D$10:$D$14,MATCH(C28,$C$10:$C$14,0)))</f>
        <v>0</v>
      </c>
      <c r="E28" s="360" t="n">
        <f aca="false">IF(ISBLANK(C28),,IF(D28="Empty",$C$3,IF(OR(D28=$F$1,D28=$F$2),$C$2,1)))</f>
        <v>0</v>
      </c>
      <c r="F28" s="360" t="n">
        <f aca="false">IF(ISBLANK(C28),,INDEX($C$6:$U$6,MATCH(D28,$C$5:$U$5,0)))</f>
        <v>0</v>
      </c>
      <c r="G28" s="360" t="n">
        <f aca="false">IF(ISBLANK(C28),,INDEX($C$7:$U$7,MATCH(D28,$C$5:$U$5,0)))</f>
        <v>0</v>
      </c>
      <c r="H28" s="360" t="n">
        <f aca="false">IF(ISBLANK(C28),,INDEX('0.1.2 Attack Dex (GO)'!$E$2:$E$500,MATCH(C28,'0.1.2 Attack Dex (GO)'!$A$2:$A$500,0)))</f>
        <v>0</v>
      </c>
      <c r="I28" s="360" t="n">
        <f aca="false">IF(ISBLANK(C28),,INDEX('0.1.2 Attack Dex (GO)'!$F$2:$F$500,MATCH(C28,'0.1.2 Attack Dex (GO)'!$A$2:$A$500,0)))</f>
        <v>0</v>
      </c>
      <c r="J28" s="360" t="n">
        <f aca="false">IF(ISBLANK(C28),,INDEX('0.1.2 Attack Dex (GO)'!$H$2:$H$500,MATCH(C28,'0.1.2 Attack Dex (GO)'!$A$2:$A$500,0)))</f>
        <v>0</v>
      </c>
      <c r="K28" s="453" t="n">
        <f aca="false">IF(ISBLANK(C28),,E28*H28*F28*G28/(J28/1000))</f>
        <v>0</v>
      </c>
      <c r="L28" s="454" t="n">
        <f aca="false">IF(ISBLANK(C28),,I28/(J28/1000))</f>
        <v>0</v>
      </c>
      <c r="M28" s="364"/>
      <c r="N28" s="363"/>
      <c r="O28" s="360" t="n">
        <f aca="false">IF(ISBLANK(N28),,INDEX($I$10:$I$20,MATCH(N28,$H$10:$H$20,0)))</f>
        <v>0</v>
      </c>
      <c r="P28" s="360" t="n">
        <f aca="false">IF(ISBLANK(N28),,IF(O28="Empty",$C$3,IF(OR(O28=$F$1,O28=$F$2),$C$2,1)))</f>
        <v>0</v>
      </c>
      <c r="Q28" s="360" t="n">
        <f aca="false">IF(ISBLANK(N28),,INDEX($C$6:$U$6,MATCH(O28,$C$5:$U$5,0)))</f>
        <v>0</v>
      </c>
      <c r="R28" s="360" t="n">
        <f aca="false">IF(ISBLANK(N28),,INDEX($C$7:$U$7,MATCH(O28,$C$5:$U$5,0)))</f>
        <v>0</v>
      </c>
      <c r="S28" s="360" t="n">
        <f aca="false">IF(ISBLANK(N28),,INDEX('0.1.2 Attack Dex (GO)'!$E$2:$E$500,MATCH(N28,'0.1.2 Attack Dex (GO)'!$A$2:$A$500,0)))</f>
        <v>0</v>
      </c>
      <c r="T28" s="360" t="n">
        <f aca="false">IF(ISBLANK(N28),,INDEX('0.1.2 Attack Dex (GO)'!$F$2:$F$500,MATCH(N28,'0.1.2 Attack Dex (GO)'!$A$2:$A$500,0)))</f>
        <v>0</v>
      </c>
      <c r="U28" s="360" t="n">
        <f aca="false">IF(ISBLANK(N28),,INDEX('0.1.2 Attack Dex (GO)'!$H$2:$H$500,MATCH(N28,'0.1.2 Attack Dex (GO)'!$A$2:$A$500,0)))</f>
        <v>0</v>
      </c>
      <c r="V28" s="455" t="n">
        <f aca="false">IF(ISBLANK(N28),,P28*S28*Q28*R28/(U28/1000))</f>
        <v>0</v>
      </c>
      <c r="W28" s="456" t="n">
        <f aca="false">IF(ISBLANK(N28),,S28+((MAX($U$24:$U$34)-U28)/1000)*(MAX($K$24:$K$28)))</f>
        <v>0</v>
      </c>
      <c r="X28" s="457" t="n">
        <f aca="false">IF(ISBLANK(N28),,W28/(MAX($U$24:$U$34)/1000))</f>
        <v>0</v>
      </c>
      <c r="Y28" s="364"/>
      <c r="Z28" s="364"/>
      <c r="AA28" s="364"/>
      <c r="AB28" s="364"/>
    </row>
    <row r="29" customFormat="false" ht="15.75" hidden="false" customHeight="false" outlineLevel="0" collapsed="false">
      <c r="A29" s="364"/>
      <c r="B29" s="364"/>
      <c r="C29" s="394"/>
      <c r="D29" s="406"/>
      <c r="E29" s="406"/>
      <c r="F29" s="419"/>
      <c r="G29" s="419"/>
      <c r="H29" s="419"/>
      <c r="I29" s="406"/>
      <c r="J29" s="406"/>
      <c r="K29" s="419"/>
      <c r="L29" s="431"/>
      <c r="M29" s="364"/>
      <c r="N29" s="363"/>
      <c r="O29" s="360" t="n">
        <f aca="false">IF(ISBLANK(N29),,INDEX($I$10:$I$20,MATCH(N29,$H$10:$H$20,0)))</f>
        <v>0</v>
      </c>
      <c r="P29" s="360" t="n">
        <f aca="false">IF(ISBLANK(N29),,IF(O29="Empty",$C$3,IF(OR(O29=$F$1,O29=$F$2),$C$2,1)))</f>
        <v>0</v>
      </c>
      <c r="Q29" s="360" t="n">
        <f aca="false">IF(ISBLANK(N29),,INDEX($C$6:$U$6,MATCH(O29,$C$5:$U$5,0)))</f>
        <v>0</v>
      </c>
      <c r="R29" s="360" t="n">
        <f aca="false">IF(ISBLANK(N29),,INDEX($C$7:$U$7,MATCH(O29,$C$5:$U$5,0)))</f>
        <v>0</v>
      </c>
      <c r="S29" s="360" t="n">
        <f aca="false">IF(ISBLANK(N29),,INDEX('0.1.2 Attack Dex (GO)'!$E$2:$E$500,MATCH(N29,'0.1.2 Attack Dex (GO)'!$A$2:$A$500,0)))</f>
        <v>0</v>
      </c>
      <c r="T29" s="360" t="n">
        <f aca="false">IF(ISBLANK(N29),,INDEX('0.1.2 Attack Dex (GO)'!$F$2:$F$500,MATCH(N29,'0.1.2 Attack Dex (GO)'!$A$2:$A$500,0)))</f>
        <v>0</v>
      </c>
      <c r="U29" s="360" t="n">
        <f aca="false">IF(ISBLANK(N29),,INDEX('0.1.2 Attack Dex (GO)'!$H$2:$H$500,MATCH(N29,'0.1.2 Attack Dex (GO)'!$A$2:$A$500,0)))</f>
        <v>0</v>
      </c>
      <c r="V29" s="455" t="n">
        <f aca="false">IF(ISBLANK(N29),,P29*S29*Q29*R29/(U29/1000))</f>
        <v>0</v>
      </c>
      <c r="W29" s="456" t="n">
        <f aca="false">IF(ISBLANK(N29),,S29+((MAX($U$24:$U$34)-U29)/1000)*(MAX($K$24:$K$28)))</f>
        <v>0</v>
      </c>
      <c r="X29" s="457" t="n">
        <f aca="false">IF(ISBLANK(N29),,W29/(MAX($U$24:$U$34)/1000))</f>
        <v>0</v>
      </c>
      <c r="Y29" s="364"/>
      <c r="Z29" s="364"/>
      <c r="AA29" s="364"/>
      <c r="AB29" s="364"/>
    </row>
    <row r="30" customFormat="false" ht="15.75" hidden="false" customHeight="false" outlineLevel="0" collapsed="false">
      <c r="A30" s="364"/>
      <c r="B30" s="364"/>
      <c r="C30" s="261"/>
      <c r="D30" s="261"/>
      <c r="E30" s="261"/>
      <c r="H30" s="261"/>
      <c r="I30" s="364"/>
      <c r="J30" s="364"/>
      <c r="K30" s="364"/>
      <c r="L30" s="364"/>
      <c r="M30" s="364"/>
      <c r="N30" s="363"/>
      <c r="O30" s="360" t="n">
        <f aca="false">IF(ISBLANK(N30),,INDEX($I$10:$I$20,MATCH(N30,$H$10:$H$20,0)))</f>
        <v>0</v>
      </c>
      <c r="P30" s="360" t="n">
        <f aca="false">IF(ISBLANK(N30),,IF(OR(O30=$F$1,O30=$F$2),$C$2,1))</f>
        <v>0</v>
      </c>
      <c r="Q30" s="360" t="n">
        <f aca="false">IF(ISBLANK(N30),,INDEX($C$6:$U$6,MATCH(O30,$C$5:$U$5,0)))</f>
        <v>0</v>
      </c>
      <c r="R30" s="360" t="n">
        <f aca="false">IF(ISBLANK(N30),,INDEX($C$7:$U$7,MATCH(O30,$C$5:$U$5,0)))</f>
        <v>0</v>
      </c>
      <c r="S30" s="360" t="n">
        <f aca="false">IF(ISBLANK(N30),,INDEX('0.1.2 Attack Dex (GO)'!$E$2:$E$500,MATCH(N30,'0.1.2 Attack Dex (GO)'!$A$2:$A$500,0)))</f>
        <v>0</v>
      </c>
      <c r="T30" s="360" t="n">
        <f aca="false">IF(ISBLANK(N30),,INDEX('0.1.2 Attack Dex (GO)'!$F$2:$F$500,MATCH(N30,'0.1.2 Attack Dex (GO)'!$A$2:$A$500,0)))</f>
        <v>0</v>
      </c>
      <c r="U30" s="360" t="n">
        <f aca="false">IF(ISBLANK(N30),,INDEX('0.1.2 Attack Dex (GO)'!$H$2:$H$500,MATCH(N30,'0.1.2 Attack Dex (GO)'!$A$2:$A$500,0)))</f>
        <v>0</v>
      </c>
      <c r="V30" s="455" t="n">
        <f aca="false">IF(ISBLANK(N30),,P30*S30*Q30*R30/(U30/1000))</f>
        <v>0</v>
      </c>
      <c r="W30" s="456" t="n">
        <f aca="false">IF(ISBLANK(N30),,S30+((MAX($U$24:$U$34)-U30)/1000)*(MAX($K$24:$K$28)))</f>
        <v>0</v>
      </c>
      <c r="X30" s="457" t="n">
        <f aca="false">IF(ISBLANK(N30),,W30/(MAX($U$24:$U$34)/1000))</f>
        <v>0</v>
      </c>
      <c r="Y30" s="364"/>
      <c r="Z30" s="364"/>
      <c r="AA30" s="364"/>
      <c r="AB30" s="364"/>
    </row>
    <row r="31" customFormat="false" ht="15.75" hidden="false" customHeight="false" outlineLevel="0" collapsed="false">
      <c r="A31" s="364"/>
      <c r="B31" s="364"/>
      <c r="C31" s="261"/>
      <c r="D31" s="261"/>
      <c r="E31" s="261"/>
      <c r="H31" s="261"/>
      <c r="I31" s="364"/>
      <c r="J31" s="364"/>
      <c r="K31" s="364"/>
      <c r="L31" s="364"/>
      <c r="M31" s="364"/>
      <c r="N31" s="363"/>
      <c r="O31" s="458" t="n">
        <f aca="false">IF(ISBLANK(N31),,INDEX($I$10:$I$20,MATCH(N31,$H$10:$H$20,0)))</f>
        <v>0</v>
      </c>
      <c r="P31" s="458" t="n">
        <f aca="false">IF(ISBLANK(N31),,IF(OR(O31=$F$1,O31=$F$2),$C$2,1))</f>
        <v>0</v>
      </c>
      <c r="Q31" s="360" t="n">
        <f aca="false">IF(ISBLANK(N31),,INDEX($C$6:$U$6,MATCH(O31,$C$5:$U$5,0)))</f>
        <v>0</v>
      </c>
      <c r="R31" s="360" t="n">
        <f aca="false">IF(ISBLANK(N31),,INDEX($C$7:$U$7,MATCH(O31,$C$5:$U$5,0)))</f>
        <v>0</v>
      </c>
      <c r="S31" s="360" t="n">
        <f aca="false">IF(ISBLANK(N31),,INDEX('0.1.2 Attack Dex (GO)'!$E$2:$E$500,MATCH(N31,'0.1.2 Attack Dex (GO)'!$A$2:$A$500,0)))</f>
        <v>0</v>
      </c>
      <c r="T31" s="360" t="n">
        <f aca="false">IF(ISBLANK(N31),,INDEX('0.1.2 Attack Dex (GO)'!$F$2:$F$500,MATCH(N31,'0.1.2 Attack Dex (GO)'!$A$2:$A$500,0)))</f>
        <v>0</v>
      </c>
      <c r="U31" s="360" t="n">
        <f aca="false">IF(ISBLANK(N31),,INDEX('0.1.2 Attack Dex (GO)'!$H$2:$H$500,MATCH(N31,'0.1.2 Attack Dex (GO)'!$A$2:$A$500,0)))</f>
        <v>0</v>
      </c>
      <c r="V31" s="455" t="n">
        <f aca="false">IF(ISBLANK(N31),,P31*S31*Q31*R31/(U31/1000))</f>
        <v>0</v>
      </c>
      <c r="W31" s="456" t="n">
        <f aca="false">IF(ISBLANK(N31),,S31+((MAX($U$24:$U$34)-U31)/1000)*(MAX($K$24:$K$28)))</f>
        <v>0</v>
      </c>
      <c r="X31" s="457" t="n">
        <f aca="false">IF(ISBLANK(N31),,W31/(MAX($U$24:$U$34)/1000))</f>
        <v>0</v>
      </c>
      <c r="Y31" s="364"/>
      <c r="Z31" s="364"/>
      <c r="AA31" s="364"/>
      <c r="AB31" s="364"/>
    </row>
    <row r="32" customFormat="false" ht="15.75" hidden="false" customHeight="false" outlineLevel="0" collapsed="false">
      <c r="A32" s="364"/>
      <c r="B32" s="364"/>
      <c r="C32" s="261"/>
      <c r="D32" s="261"/>
      <c r="E32" s="261"/>
      <c r="H32" s="261"/>
      <c r="I32" s="364"/>
      <c r="J32" s="364"/>
      <c r="K32" s="364"/>
      <c r="L32" s="364"/>
      <c r="M32" s="364"/>
      <c r="N32" s="363"/>
      <c r="O32" s="458" t="n">
        <f aca="false">IF(ISBLANK(N32),,INDEX($I$10:$I$20,MATCH(N32,$H$10:$H$20,0)))</f>
        <v>0</v>
      </c>
      <c r="P32" s="458" t="n">
        <f aca="false">IF(ISBLANK(N32),,IF(OR(O32=$F$1,O32=$F$2),$C$2,1))</f>
        <v>0</v>
      </c>
      <c r="Q32" s="360" t="n">
        <f aca="false">IF(ISBLANK(N32),,INDEX($C$6:$U$6,MATCH(O32,$C$5:$U$5,0)))</f>
        <v>0</v>
      </c>
      <c r="R32" s="360" t="n">
        <f aca="false">IF(ISBLANK(N32),,INDEX($C$7:$U$7,MATCH(O32,$C$5:$U$5,0)))</f>
        <v>0</v>
      </c>
      <c r="S32" s="360" t="n">
        <f aca="false">IF(ISBLANK(N32),,INDEX('0.1.2 Attack Dex (GO)'!$E$2:$E$500,MATCH(N32,'0.1.2 Attack Dex (GO)'!$A$2:$A$500,0)))</f>
        <v>0</v>
      </c>
      <c r="T32" s="360" t="n">
        <f aca="false">IF(ISBLANK(N32),,INDEX('0.1.2 Attack Dex (GO)'!$F$2:$F$500,MATCH(N32,'0.1.2 Attack Dex (GO)'!$A$2:$A$500,0)))</f>
        <v>0</v>
      </c>
      <c r="U32" s="360" t="n">
        <f aca="false">IF(ISBLANK(N32),,INDEX('0.1.2 Attack Dex (GO)'!$H$2:$H$500,MATCH(N32,'0.1.2 Attack Dex (GO)'!$A$2:$A$500,0)))</f>
        <v>0</v>
      </c>
      <c r="V32" s="455" t="n">
        <f aca="false">IF(ISBLANK(N32),,P32*S32*Q32*R32/(U32/1000))</f>
        <v>0</v>
      </c>
      <c r="W32" s="456" t="n">
        <f aca="false">IF(ISBLANK(N32),,S32+((MAX($U$24:$U$34)-U32)/1000)*(MAX($K$24:$K$28)))</f>
        <v>0</v>
      </c>
      <c r="X32" s="457" t="n">
        <f aca="false">IF(ISBLANK(N32),,W32/(MAX($U$24:$U$34)/1000))</f>
        <v>0</v>
      </c>
      <c r="Y32" s="364"/>
      <c r="Z32" s="364"/>
      <c r="AA32" s="364"/>
      <c r="AB32" s="364"/>
    </row>
    <row r="33" customFormat="false" ht="15.75" hidden="false" customHeight="false" outlineLevel="0" collapsed="false">
      <c r="A33" s="364"/>
      <c r="B33" s="364"/>
      <c r="C33" s="261"/>
      <c r="D33" s="261"/>
      <c r="E33" s="261"/>
      <c r="H33" s="261"/>
      <c r="I33" s="364"/>
      <c r="J33" s="364"/>
      <c r="K33" s="364"/>
      <c r="L33" s="364"/>
      <c r="M33" s="364"/>
      <c r="N33" s="363"/>
      <c r="O33" s="458" t="n">
        <f aca="false">IF(ISBLANK(N33),,INDEX($I$10:$I$20,MATCH(N33,$H$10:$H$20,0)))</f>
        <v>0</v>
      </c>
      <c r="P33" s="458" t="n">
        <f aca="false">IF(ISBLANK(N33),,IF(OR(O33=$F$1,O33=$F$2),$C$2,1))</f>
        <v>0</v>
      </c>
      <c r="Q33" s="360" t="n">
        <f aca="false">IF(ISBLANK(N33),,INDEX($C$6:$U$6,MATCH(O33,$C$5:$U$5,0)))</f>
        <v>0</v>
      </c>
      <c r="R33" s="360" t="n">
        <f aca="false">IF(ISBLANK(N33),,INDEX($C$7:$U$7,MATCH(O33,$C$5:$U$5,0)))</f>
        <v>0</v>
      </c>
      <c r="S33" s="360" t="n">
        <f aca="false">IF(ISBLANK(N33),,INDEX('0.1.2 Attack Dex (GO)'!$E$2:$E$500,MATCH(N33,'0.1.2 Attack Dex (GO)'!$A$2:$A$500,0)))</f>
        <v>0</v>
      </c>
      <c r="T33" s="360" t="n">
        <f aca="false">IF(ISBLANK(N33),,INDEX('0.1.2 Attack Dex (GO)'!$F$2:$F$500,MATCH(N33,'0.1.2 Attack Dex (GO)'!$A$2:$A$500,0)))</f>
        <v>0</v>
      </c>
      <c r="U33" s="360" t="n">
        <f aca="false">IF(ISBLANK(N33),,INDEX('0.1.2 Attack Dex (GO)'!$H$2:$H$500,MATCH(N33,'0.1.2 Attack Dex (GO)'!$A$2:$A$500,0)))</f>
        <v>0</v>
      </c>
      <c r="V33" s="455" t="n">
        <f aca="false">IF(ISBLANK(N33),,P33*S33*Q33*R33/(U33/1000))</f>
        <v>0</v>
      </c>
      <c r="W33" s="456" t="n">
        <f aca="false">IF(ISBLANK(N33),,S33+((MAX($U$24:$U$34)-U33)/1000)*(MAX($K$24:$K$28)))</f>
        <v>0</v>
      </c>
      <c r="X33" s="457" t="n">
        <f aca="false">IF(ISBLANK(N33),,W33/(MAX($U$24:$U$34)/1000))</f>
        <v>0</v>
      </c>
      <c r="Y33" s="364"/>
      <c r="Z33" s="364"/>
      <c r="AA33" s="364"/>
      <c r="AB33" s="260"/>
    </row>
    <row r="34" customFormat="false" ht="15.75" hidden="false" customHeight="false" outlineLevel="0" collapsed="false">
      <c r="A34" s="364"/>
      <c r="B34" s="364"/>
      <c r="C34" s="261"/>
      <c r="D34" s="261"/>
      <c r="E34" s="261"/>
      <c r="H34" s="261"/>
      <c r="I34" s="364"/>
      <c r="J34" s="364"/>
      <c r="K34" s="364"/>
      <c r="L34" s="364"/>
      <c r="M34" s="364"/>
      <c r="N34" s="363"/>
      <c r="O34" s="458" t="n">
        <f aca="false">IF(ISBLANK(N34),,INDEX($I$10:$I$20,MATCH(N34,$H$10:$H$20,0)))</f>
        <v>0</v>
      </c>
      <c r="P34" s="458" t="n">
        <f aca="false">IF(ISBLANK(N34),,IF(OR(O34=$F$1,O34=$F$2),$C$2,1))</f>
        <v>0</v>
      </c>
      <c r="Q34" s="360" t="n">
        <f aca="false">IF(ISBLANK(N34),,INDEX($C$6:$U$6,MATCH(O34,$C$5:$U$5,0)))</f>
        <v>0</v>
      </c>
      <c r="R34" s="360" t="n">
        <f aca="false">IF(ISBLANK(N34),,INDEX($C$7:$U$7,MATCH(O34,$C$5:$U$5,0)))</f>
        <v>0</v>
      </c>
      <c r="S34" s="360" t="n">
        <f aca="false">IF(ISBLANK(N34),,INDEX('0.1.2 Attack Dex (GO)'!$E$2:$E$500,MATCH(N34,'0.1.2 Attack Dex (GO)'!$A$2:$A$500,0)))</f>
        <v>0</v>
      </c>
      <c r="T34" s="360" t="n">
        <f aca="false">IF(ISBLANK(N34),,INDEX('0.1.2 Attack Dex (GO)'!$F$2:$F$500,MATCH(N34,'0.1.2 Attack Dex (GO)'!$A$2:$A$500,0)))</f>
        <v>0</v>
      </c>
      <c r="U34" s="360" t="n">
        <f aca="false">IF(ISBLANK(N34),,INDEX('0.1.2 Attack Dex (GO)'!$H$2:$H$500,MATCH(N34,'0.1.2 Attack Dex (GO)'!$A$2:$A$500,0)))</f>
        <v>0</v>
      </c>
      <c r="V34" s="455" t="n">
        <f aca="false">IF(ISBLANK(N34),,P34*S34*Q34*R34/(U34/1000))</f>
        <v>0</v>
      </c>
      <c r="W34" s="456" t="n">
        <f aca="false">IF(ISBLANK(N34),,S34+((MAX($U$24:$U$34)-U34)/1000)*(MAX($K$24:$K$28)))</f>
        <v>0</v>
      </c>
      <c r="X34" s="457" t="n">
        <f aca="false">IF(ISBLANK(N34),,W34/(MAX($U$24:$U$34)/1000))</f>
        <v>0</v>
      </c>
      <c r="Y34" s="364"/>
      <c r="Z34" s="364"/>
      <c r="AA34" s="364"/>
      <c r="AB34" s="364"/>
    </row>
    <row r="35" customFormat="false" ht="15.75" hidden="false" customHeight="false" outlineLevel="0" collapsed="false">
      <c r="A35" s="364"/>
      <c r="B35" s="364"/>
      <c r="C35" s="261"/>
      <c r="D35" s="261"/>
      <c r="E35" s="261"/>
      <c r="H35" s="261"/>
      <c r="I35" s="364"/>
      <c r="J35" s="364"/>
      <c r="K35" s="364"/>
      <c r="L35" s="364"/>
      <c r="M35" s="364"/>
      <c r="N35" s="418"/>
      <c r="O35" s="419"/>
      <c r="P35" s="419"/>
      <c r="Q35" s="419"/>
      <c r="R35" s="419"/>
      <c r="S35" s="419"/>
      <c r="T35" s="419"/>
      <c r="U35" s="419"/>
      <c r="V35" s="431"/>
      <c r="W35" s="459"/>
      <c r="X35" s="460"/>
      <c r="Y35" s="364"/>
      <c r="Z35" s="364"/>
      <c r="AA35" s="364"/>
      <c r="AB35" s="364"/>
    </row>
    <row r="36" customFormat="false" ht="15.75" hidden="false" customHeight="false" outlineLevel="0" collapsed="false">
      <c r="A36" s="364"/>
      <c r="B36" s="364"/>
      <c r="C36" s="261"/>
      <c r="D36" s="261"/>
      <c r="E36" s="261"/>
      <c r="H36" s="261"/>
      <c r="I36" s="364"/>
      <c r="J36" s="364"/>
      <c r="K36" s="364"/>
      <c r="L36" s="364"/>
      <c r="M36" s="364"/>
      <c r="N36" s="364"/>
      <c r="O36" s="364"/>
      <c r="P36" s="364"/>
      <c r="Q36" s="364"/>
      <c r="R36" s="364"/>
      <c r="S36" s="364"/>
      <c r="T36" s="364"/>
      <c r="U36" s="364"/>
      <c r="V36" s="364"/>
      <c r="W36" s="364"/>
      <c r="X36" s="364"/>
      <c r="Y36" s="364"/>
      <c r="Z36" s="364"/>
      <c r="AA36" s="364"/>
      <c r="AB36" s="364"/>
    </row>
    <row r="37" customFormat="false" ht="15.75" hidden="false" customHeight="false" outlineLevel="0" collapsed="false">
      <c r="A37" s="364"/>
      <c r="B37" s="364"/>
      <c r="C37" s="261"/>
      <c r="D37" s="261"/>
      <c r="E37" s="261"/>
      <c r="H37" s="261"/>
      <c r="I37" s="364"/>
      <c r="J37" s="364"/>
      <c r="K37" s="364"/>
      <c r="L37" s="364"/>
      <c r="M37" s="364"/>
      <c r="N37" s="364"/>
      <c r="O37" s="364"/>
      <c r="P37" s="364"/>
      <c r="Q37" s="364"/>
      <c r="R37" s="364"/>
      <c r="S37" s="364"/>
      <c r="T37" s="364"/>
      <c r="U37" s="364"/>
      <c r="V37" s="364"/>
      <c r="W37" s="364"/>
      <c r="X37" s="364"/>
      <c r="Y37" s="364"/>
      <c r="Z37" s="364"/>
      <c r="AA37" s="364"/>
      <c r="AB37" s="364"/>
    </row>
    <row r="38" customFormat="false" ht="15.75" hidden="false" customHeight="false" outlineLevel="0" collapsed="false">
      <c r="A38" s="364"/>
      <c r="B38" s="364"/>
      <c r="C38" s="261"/>
      <c r="D38" s="261"/>
      <c r="E38" s="261"/>
      <c r="F38" s="364"/>
      <c r="G38" s="261"/>
      <c r="H38" s="261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64"/>
      <c r="T38" s="364"/>
      <c r="U38" s="364"/>
      <c r="V38" s="364"/>
      <c r="W38" s="364"/>
      <c r="X38" s="364"/>
      <c r="Y38" s="364"/>
      <c r="Z38" s="364"/>
      <c r="AA38" s="364"/>
      <c r="AB38" s="364"/>
    </row>
    <row r="39" customFormat="false" ht="15.75" hidden="false" customHeight="false" outlineLevel="0" collapsed="false">
      <c r="A39" s="364"/>
      <c r="B39" s="364"/>
      <c r="C39" s="261"/>
      <c r="D39" s="261"/>
      <c r="E39" s="261"/>
      <c r="F39" s="364"/>
      <c r="G39" s="261"/>
      <c r="H39" s="261"/>
      <c r="I39" s="364"/>
      <c r="J39" s="364"/>
      <c r="K39" s="364"/>
      <c r="L39" s="364"/>
      <c r="M39" s="364"/>
      <c r="N39" s="364"/>
      <c r="O39" s="364"/>
      <c r="P39" s="364"/>
      <c r="Q39" s="364"/>
      <c r="R39" s="364"/>
      <c r="S39" s="364"/>
      <c r="T39" s="364"/>
      <c r="U39" s="461" t="n">
        <f aca="false">IFERROR(__xludf.dummyfunction("MAX(FILTER(U41:U95,E41:E95=0,F41:F95=0))"),0)</f>
        <v>0</v>
      </c>
      <c r="V39" s="461" t="n">
        <f aca="false">IFERROR(__xludf.dummyfunction("MAX(FILTER(V41:V95,E41:E95=0,F41:F95=0))"),0)</f>
        <v>0</v>
      </c>
      <c r="W39" s="364"/>
      <c r="X39" s="364"/>
      <c r="Y39" s="364"/>
      <c r="Z39" s="364"/>
      <c r="AA39" s="364"/>
      <c r="AB39" s="364"/>
    </row>
    <row r="40" customFormat="false" ht="15.75" hidden="false" customHeight="false" outlineLevel="0" collapsed="false">
      <c r="A40" s="364"/>
      <c r="B40" s="364"/>
      <c r="C40" s="462"/>
      <c r="D40" s="463"/>
      <c r="E40" s="463" t="s">
        <v>2863</v>
      </c>
      <c r="F40" s="463" t="s">
        <v>2864</v>
      </c>
      <c r="G40" s="463" t="s">
        <v>2865</v>
      </c>
      <c r="H40" s="463" t="s">
        <v>2866</v>
      </c>
      <c r="I40" s="463" t="s">
        <v>2867</v>
      </c>
      <c r="J40" s="463" t="s">
        <v>2868</v>
      </c>
      <c r="K40" s="463" t="s">
        <v>2869</v>
      </c>
      <c r="L40" s="463" t="s">
        <v>2870</v>
      </c>
      <c r="M40" s="463" t="s">
        <v>2871</v>
      </c>
      <c r="N40" s="463" t="s">
        <v>2872</v>
      </c>
      <c r="O40" s="463" t="s">
        <v>2873</v>
      </c>
      <c r="P40" s="464" t="s">
        <v>2874</v>
      </c>
      <c r="R40" s="462"/>
      <c r="S40" s="463"/>
      <c r="T40" s="463"/>
      <c r="U40" s="463" t="s">
        <v>2875</v>
      </c>
      <c r="V40" s="463" t="s">
        <v>2876</v>
      </c>
      <c r="W40" s="465"/>
      <c r="X40" s="465"/>
      <c r="Y40" s="464"/>
      <c r="Z40" s="374" t="s">
        <v>2877</v>
      </c>
      <c r="AA40" s="374"/>
      <c r="AB40" s="374"/>
    </row>
    <row r="41" customFormat="false" ht="15.75" hidden="false" customHeight="false" outlineLevel="0" collapsed="false">
      <c r="A41" s="364"/>
      <c r="B41" s="261"/>
      <c r="C41" s="466" t="str">
        <f aca="false">IFERROR(__xludf.dummyfunction("TRANSPOSE(SPLIT(JOIN("""", ARRAYFORMULA(REPT(FILTER(C24:C28, LEN(C24:C28))&amp;CHAR(9999), COUNTA(N24:N34)))), CHAR(9999)))  "),"#N/A")</f>
        <v>#N/A</v>
      </c>
      <c r="D41" s="374" t="str">
        <f aca="false">IFERROR(__xludf.dummyfunction("TRANSPOSE(SPLIT(REPT(JOIN(CHAR(9999), FILTER(N24:N34, LEN(N24:N34)))&amp;CHAR(9999), COUNTA(C24:C28)), CHAR(9999)))"),"#N/A")</f>
        <v>#N/A</v>
      </c>
      <c r="E41" s="360" t="e">
        <f aca="false">IF(ISBLANK(C41),,INDEX($E$10:$E$14,MATCH(C41,$C$10:$C$14,0)))</f>
        <v>#N/A</v>
      </c>
      <c r="F41" s="360" t="e">
        <f aca="false">IF(ISBLANK(D41),,INDEX($J$10:$J$20,MATCH(D41,$H$10:$H$20,0)))</f>
        <v>#N/A</v>
      </c>
      <c r="G41" s="376" t="e">
        <f aca="false">IF(ISBLANK(C41),,INDEX($E$24:$E$28,MATCH(C41,$C$24:$C$28,0)))</f>
        <v>#N/A</v>
      </c>
      <c r="H41" s="376" t="e">
        <f aca="false">IF(ISBLANK(C41),,INDEX($F$24:$F$28,MATCH(C41,$C$24:$C$28,0))*INDEX($G$24:$G$28,MATCH(C41,$C$24:$C$28,0)))</f>
        <v>#N/A</v>
      </c>
      <c r="I41" s="376" t="e">
        <f aca="false">IF(ISBLANK(C41),,INDEX($H$24:$H$28,MATCH(C41,$C$24:$C$28,0)))</f>
        <v>#N/A</v>
      </c>
      <c r="J41" s="376" t="e">
        <f aca="false">IF(ISBLANK(C41),,INDEX($I$24:$I$28,MATCH(C41,$C$24:$C$28,0)))</f>
        <v>#N/A</v>
      </c>
      <c r="K41" s="376" t="e">
        <f aca="false">IF(ISBLANK(C41),,INDEX($J$24:$J$28,MATCH(C41,$C$24:$C$28,0)))</f>
        <v>#N/A</v>
      </c>
      <c r="L41" s="376" t="e">
        <f aca="false">IF(ISBLANK(D41),,INDEX($P$24:$P$34,MATCH(D41,$N$24:$N$34,0)))</f>
        <v>#N/A</v>
      </c>
      <c r="M41" s="376" t="e">
        <f aca="false">IF(ISBLANK(D41),,INDEX($Q$24:$Q$34,MATCH(D41,$N$24:$N$34,0))*INDEX($R$24:$R$34,MATCH(D41,$N$24:$N$34,0)))</f>
        <v>#N/A</v>
      </c>
      <c r="N41" s="376" t="e">
        <f aca="false">IF(ISBLANK(D41),,INDEX($S$24:$S$34,MATCH(D41,$N$24:$N$34,0)))</f>
        <v>#N/A</v>
      </c>
      <c r="O41" s="376" t="e">
        <f aca="false">IF(ISBLANK(D41),,INDEX($T$24:$T$34,MATCH(D41,$N$24:$N$34,0)))</f>
        <v>#N/A</v>
      </c>
      <c r="P41" s="467" t="e">
        <f aca="false">IF(ISBLANK(D41),,INDEX($U$24:$U$34,MATCH(D41,$N$24:$N$34,0)))</f>
        <v>#N/A</v>
      </c>
      <c r="Q41" s="468"/>
      <c r="R41" s="469" t="e">
        <f aca="false">IF(ISBLANK(S41),,RANK(V41,$V$41:$V$95)+COUNTIF($V$41:V41,V41)-1)</f>
        <v>#N/A</v>
      </c>
      <c r="S41" s="374" t="e">
        <f aca="false">IF(E41=1,"(L) " &amp; C41,C41)</f>
        <v>#N/A</v>
      </c>
      <c r="T41" s="374" t="e">
        <f aca="false">IF(F41=1,"(L) " &amp; D41,D41)</f>
        <v>#N/A</v>
      </c>
      <c r="U41" s="377" t="e">
        <f aca="false">IF(ISBLANK(C41),,IF(O41=100,(((ROUNDUP(O41/J41,0)*I41*G41+N41*L41)*1000))/(ROUNDUP(O41/J41,0)*K41+P41),((100*I41*G41+J41*(100/O41)*N41*L41)*1000)/(100*K41+J41*(100/O41)*P41)))</f>
        <v>#N/A</v>
      </c>
      <c r="V41" s="377" t="e">
        <f aca="false">IF(ISBLANK(C41),,IF(O41=100,(((ROUNDUP(O41/J41,0)*I41*G41*H41+N41*L41*M41)*1000))/(ROUNDUP(O41/J41,0)*K41+P41),((100*I41*G41*H41+J41*(100/O41)*N41*L41*M41)*1000)/(100*K41+J41*(100/O41)*P41)))</f>
        <v>#N/A</v>
      </c>
      <c r="W41" s="470" t="e">
        <f aca="false">IF(ISBLANK(S41),,V41/$V$39)</f>
        <v>#N/A</v>
      </c>
      <c r="X41" s="470" t="e">
        <f aca="false">IF(ISBLANK(S41),,V41/$U$39)</f>
        <v>#N/A</v>
      </c>
      <c r="Y41" s="470" t="e">
        <f aca="false">IF(ISBLANK(S41),,V41/U41)</f>
        <v>#N/A</v>
      </c>
      <c r="Z41" s="471" t="str">
        <f aca="false">IFERROR(__xludf.dummyfunction("IF(ISNA(SORT(FILTER(R41:R95,E41:E95=0,F41:F95=0))),,SORT(FILTER(R41:R95,E41:E95=0,F41:F95=0)))"),"")</f>
        <v/>
      </c>
      <c r="AA41" s="472" t="str">
        <f aca="false">IFERROR(__xludf.dummyfunction("IF(ISNA(FILTER(Z41:Z1000,ROW(Z41:Z1000)&gt;46)),,FILTER(Z41:Z1000,ROW(Z41:Z1000)&gt;46))"),"")</f>
        <v/>
      </c>
      <c r="AB41" s="473" t="str">
        <f aca="false">IFERROR(__xludf.dummyfunction("IF(ISNA(SORT(FILTER(R41:R95,(E41:E95+F41:F95)&gt;0))),,SORT(FILTER(R41:R95,(E41:E95+F41:F95)&gt;0)))"),"")</f>
        <v/>
      </c>
    </row>
    <row r="42" customFormat="false" ht="15.75" hidden="false" customHeight="false" outlineLevel="0" collapsed="false">
      <c r="A42" s="364"/>
      <c r="B42" s="261"/>
      <c r="C42" s="391"/>
      <c r="D42" s="261"/>
      <c r="E42" s="360" t="n">
        <f aca="false">IF(ISBLANK(C42),,INDEX($E$10:$E$14,MATCH(C42,$C$10:$C$14,0)))</f>
        <v>0</v>
      </c>
      <c r="F42" s="360" t="n">
        <f aca="false">IF(ISBLANK(D42),,INDEX($J$10:$J$20,MATCH(D42,$H$10:$H$20,0)))</f>
        <v>0</v>
      </c>
      <c r="G42" s="376" t="n">
        <f aca="false">IF(ISBLANK(C42),,INDEX($E$24:$E$28,MATCH(C42,$C$24:$C$28,0)))</f>
        <v>0</v>
      </c>
      <c r="H42" s="376" t="n">
        <f aca="false">IF(ISBLANK(C42),,INDEX($F$24:$F$28,MATCH(C42,$C$24:$C$28,0))*INDEX($G$24:$G$28,MATCH(C42,$C$24:$C$28,0)))</f>
        <v>0</v>
      </c>
      <c r="I42" s="376" t="n">
        <f aca="false">IF(ISBLANK(C42),,INDEX($H$24:$H$28,MATCH(C42,$C$24:$C$28,0)))</f>
        <v>0</v>
      </c>
      <c r="J42" s="376" t="n">
        <f aca="false">IF(ISBLANK(C42),,INDEX($I$24:$I$28,MATCH(C42,$C$24:$C$28,0)))</f>
        <v>0</v>
      </c>
      <c r="K42" s="376" t="n">
        <f aca="false">IF(ISBLANK(C42),,INDEX($J$24:$J$28,MATCH(C42,$C$24:$C$28,0)))</f>
        <v>0</v>
      </c>
      <c r="L42" s="376" t="n">
        <f aca="false">IF(ISBLANK(D42),,INDEX($P$24:$P$34,MATCH(D42,$N$24:$N$34,0)))</f>
        <v>0</v>
      </c>
      <c r="M42" s="376" t="n">
        <f aca="false">IF(ISBLANK(D42),,INDEX($Q$24:$Q$34,MATCH(D42,$N$24:$N$34,0))*INDEX($R$24:$R$34,MATCH(D42,$N$24:$N$34,0)))</f>
        <v>0</v>
      </c>
      <c r="N42" s="376" t="n">
        <f aca="false">IF(ISBLANK(D42),,INDEX($S$24:$S$34,MATCH(D42,$N$24:$N$34,0)))</f>
        <v>0</v>
      </c>
      <c r="O42" s="376" t="n">
        <f aca="false">IF(ISBLANK(D42),,INDEX($T$24:$T$34,MATCH(D42,$N$24:$N$34,0)))</f>
        <v>0</v>
      </c>
      <c r="P42" s="467" t="n">
        <f aca="false">IF(ISBLANK(D42),,INDEX($U$24:$U$34,MATCH(D42,$N$24:$N$34,0)))</f>
        <v>0</v>
      </c>
      <c r="Q42" s="468"/>
      <c r="R42" s="469" t="e">
        <f aca="false">IF(ISBLANK(S42),,RANK(V42,$V$41:$V$95)+COUNTIF($V$41:V42,V42)-1)</f>
        <v>#N/A</v>
      </c>
      <c r="S42" s="374" t="n">
        <f aca="false">IF(E42=1,"(L) " &amp; C42,C42)</f>
        <v>0</v>
      </c>
      <c r="T42" s="374" t="n">
        <f aca="false">IF(F42=1,"(L) " &amp; D42,D42)</f>
        <v>0</v>
      </c>
      <c r="U42" s="377" t="n">
        <f aca="false">IF(ISBLANK(C42),,IF(O42=100,(((ROUNDUP(O42/J42,0)*I42*G42+N42*L42)*1000))/(ROUNDUP(O42/J42,0)*K42+P42),((100*I42*G42+J42*(100/O42)*N42*L42)*1000)/(100*K42+J42*(100/O42)*P42)))</f>
        <v>0</v>
      </c>
      <c r="V42" s="377" t="n">
        <f aca="false">IF(ISBLANK(C42),,IF(O42=100,(((ROUNDUP(O42/J42,0)*I42*G42*H42+N42*L42*M42)*1000))/(ROUNDUP(O42/J42,0)*K42+P42),((100*I42*G42*H42+J42*(100/O42)*N42*L42*M42)*1000)/(100*K42+J42*(100/O42)*P42)))</f>
        <v>0</v>
      </c>
      <c r="W42" s="470" t="e">
        <f aca="false">IF(ISBLANK(S42),,V42/$V$39)</f>
        <v>#DIV/0!</v>
      </c>
      <c r="X42" s="470" t="e">
        <f aca="false">IF(ISBLANK(S42),,V42/$U$39)</f>
        <v>#DIV/0!</v>
      </c>
      <c r="Y42" s="470" t="e">
        <f aca="false">IF(ISBLANK(S42),,V42/U42)</f>
        <v>#DIV/0!</v>
      </c>
      <c r="Z42" s="474" t="str">
        <f aca="false">IFERROR(__xludf.dummyfunction("""COMPUTED_VALUE"""),"")</f>
        <v/>
      </c>
      <c r="AA42" s="376" t="str">
        <f aca="false">IFERROR(__xludf.dummyfunction("""COMPUTED_VALUE"""),"")</f>
        <v/>
      </c>
      <c r="AB42" s="475"/>
    </row>
    <row r="43" customFormat="false" ht="15.75" hidden="false" customHeight="false" outlineLevel="0" collapsed="false">
      <c r="A43" s="364"/>
      <c r="B43" s="261"/>
      <c r="C43" s="391"/>
      <c r="D43" s="261"/>
      <c r="E43" s="360" t="n">
        <f aca="false">IF(ISBLANK(C43),,INDEX($E$10:$E$14,MATCH(C43,$C$10:$C$14,0)))</f>
        <v>0</v>
      </c>
      <c r="F43" s="360" t="n">
        <f aca="false">IF(ISBLANK(D43),,INDEX($J$10:$J$20,MATCH(D43,$H$10:$H$20,0)))</f>
        <v>0</v>
      </c>
      <c r="G43" s="376" t="n">
        <f aca="false">IF(ISBLANK(C43),,INDEX($E$24:$E$28,MATCH(C43,$C$24:$C$28,0)))</f>
        <v>0</v>
      </c>
      <c r="H43" s="376" t="n">
        <f aca="false">IF(ISBLANK(C43),,INDEX($F$24:$F$28,MATCH(C43,$C$24:$C$28,0))*INDEX($G$24:$G$28,MATCH(C43,$C$24:$C$28,0)))</f>
        <v>0</v>
      </c>
      <c r="I43" s="376" t="n">
        <f aca="false">IF(ISBLANK(C43),,INDEX($H$24:$H$28,MATCH(C43,$C$24:$C$28,0)))</f>
        <v>0</v>
      </c>
      <c r="J43" s="376" t="n">
        <f aca="false">IF(ISBLANK(C43),,INDEX($I$24:$I$28,MATCH(C43,$C$24:$C$28,0)))</f>
        <v>0</v>
      </c>
      <c r="K43" s="376" t="n">
        <f aca="false">IF(ISBLANK(C43),,INDEX($J$24:$J$28,MATCH(C43,$C$24:$C$28,0)))</f>
        <v>0</v>
      </c>
      <c r="L43" s="376" t="n">
        <f aca="false">IF(ISBLANK(D43),,INDEX($P$24:$P$34,MATCH(D43,$N$24:$N$34,0)))</f>
        <v>0</v>
      </c>
      <c r="M43" s="376" t="n">
        <f aca="false">IF(ISBLANK(D43),,INDEX($Q$24:$Q$34,MATCH(D43,$N$24:$N$34,0))*INDEX($R$24:$R$34,MATCH(D43,$N$24:$N$34,0)))</f>
        <v>0</v>
      </c>
      <c r="N43" s="376" t="n">
        <f aca="false">IF(ISBLANK(D43),,INDEX($S$24:$S$34,MATCH(D43,$N$24:$N$34,0)))</f>
        <v>0</v>
      </c>
      <c r="O43" s="376" t="n">
        <f aca="false">IF(ISBLANK(D43),,INDEX($T$24:$T$34,MATCH(D43,$N$24:$N$34,0)))</f>
        <v>0</v>
      </c>
      <c r="P43" s="467" t="n">
        <f aca="false">IF(ISBLANK(D43),,INDEX($U$24:$U$34,MATCH(D43,$N$24:$N$34,0)))</f>
        <v>0</v>
      </c>
      <c r="Q43" s="468"/>
      <c r="R43" s="469" t="e">
        <f aca="false">IF(ISBLANK(S43),,RANK(V43,$V$41:$V$95)+COUNTIF($V$41:V43,V43)-1)</f>
        <v>#N/A</v>
      </c>
      <c r="S43" s="374" t="n">
        <f aca="false">IF(E43=1,"(L) " &amp; C43,C43)</f>
        <v>0</v>
      </c>
      <c r="T43" s="374" t="n">
        <f aca="false">IF(F43=1,"(L) " &amp; D43,D43)</f>
        <v>0</v>
      </c>
      <c r="U43" s="377" t="n">
        <f aca="false">IF(ISBLANK(C43),,IF(O43=100,(((ROUNDUP(O43/J43,0)*I43*G43+N43*L43)*1000))/(ROUNDUP(O43/J43,0)*K43+P43),((100*I43*G43+J43*(100/O43)*N43*L43)*1000)/(100*K43+J43*(100/O43)*P43)))</f>
        <v>0</v>
      </c>
      <c r="V43" s="377" t="n">
        <f aca="false">IF(ISBLANK(C43),,IF(O43=100,(((ROUNDUP(O43/J43,0)*I43*G43*H43+N43*L43*M43)*1000))/(ROUNDUP(O43/J43,0)*K43+P43),((100*I43*G43*H43+J43*(100/O43)*N43*L43*M43)*1000)/(100*K43+J43*(100/O43)*P43)))</f>
        <v>0</v>
      </c>
      <c r="W43" s="470" t="e">
        <f aca="false">IF(ISBLANK(S43),,V43/$V$39)</f>
        <v>#DIV/0!</v>
      </c>
      <c r="X43" s="470" t="e">
        <f aca="false">IF(ISBLANK(S43),,V43/$U$39)</f>
        <v>#DIV/0!</v>
      </c>
      <c r="Y43" s="470" t="e">
        <f aca="false">IF(ISBLANK(S43),,V43/U43)</f>
        <v>#DIV/0!</v>
      </c>
      <c r="Z43" s="474" t="str">
        <f aca="false">IFERROR(__xludf.dummyfunction("""COMPUTED_VALUE"""),"")</f>
        <v/>
      </c>
      <c r="AA43" s="376" t="str">
        <f aca="false">IFERROR(__xludf.dummyfunction("""COMPUTED_VALUE"""),"")</f>
        <v/>
      </c>
      <c r="AB43" s="475"/>
    </row>
    <row r="44" customFormat="false" ht="15.75" hidden="false" customHeight="false" outlineLevel="0" collapsed="false">
      <c r="A44" s="364"/>
      <c r="B44" s="261"/>
      <c r="C44" s="391"/>
      <c r="D44" s="261"/>
      <c r="E44" s="360" t="n">
        <f aca="false">IF(ISBLANK(C44),,INDEX($E$10:$E$14,MATCH(C44,$C$10:$C$14,0)))</f>
        <v>0</v>
      </c>
      <c r="F44" s="360" t="n">
        <f aca="false">IF(ISBLANK(D44),,INDEX($J$10:$J$20,MATCH(D44,$H$10:$H$20,0)))</f>
        <v>0</v>
      </c>
      <c r="G44" s="376" t="n">
        <f aca="false">IF(ISBLANK(C44),,INDEX($E$24:$E$28,MATCH(C44,$C$24:$C$28,0)))</f>
        <v>0</v>
      </c>
      <c r="H44" s="376" t="n">
        <f aca="false">IF(ISBLANK(C44),,INDEX($F$24:$F$28,MATCH(C44,$C$24:$C$28,0))*INDEX($G$24:$G$28,MATCH(C44,$C$24:$C$28,0)))</f>
        <v>0</v>
      </c>
      <c r="I44" s="376" t="n">
        <f aca="false">IF(ISBLANK(C44),,INDEX($H$24:$H$28,MATCH(C44,$C$24:$C$28,0)))</f>
        <v>0</v>
      </c>
      <c r="J44" s="376" t="n">
        <f aca="false">IF(ISBLANK(C44),,INDEX($I$24:$I$28,MATCH(C44,$C$24:$C$28,0)))</f>
        <v>0</v>
      </c>
      <c r="K44" s="376" t="n">
        <f aca="false">IF(ISBLANK(C44),,INDEX($J$24:$J$28,MATCH(C44,$C$24:$C$28,0)))</f>
        <v>0</v>
      </c>
      <c r="L44" s="376" t="n">
        <f aca="false">IF(ISBLANK(D44),,INDEX($P$24:$P$34,MATCH(D44,$N$24:$N$34,0)))</f>
        <v>0</v>
      </c>
      <c r="M44" s="376" t="n">
        <f aca="false">IF(ISBLANK(D44),,INDEX($Q$24:$Q$34,MATCH(D44,$N$24:$N$34,0))*INDEX($R$24:$R$34,MATCH(D44,$N$24:$N$34,0)))</f>
        <v>0</v>
      </c>
      <c r="N44" s="376" t="n">
        <f aca="false">IF(ISBLANK(D44),,INDEX($S$24:$S$34,MATCH(D44,$N$24:$N$34,0)))</f>
        <v>0</v>
      </c>
      <c r="O44" s="376" t="n">
        <f aca="false">IF(ISBLANK(D44),,INDEX($T$24:$T$34,MATCH(D44,$N$24:$N$34,0)))</f>
        <v>0</v>
      </c>
      <c r="P44" s="467" t="n">
        <f aca="false">IF(ISBLANK(D44),,INDEX($U$24:$U$34,MATCH(D44,$N$24:$N$34,0)))</f>
        <v>0</v>
      </c>
      <c r="Q44" s="468"/>
      <c r="R44" s="469" t="e">
        <f aca="false">IF(ISBLANK(S44),,RANK(V44,$V$41:$V$95)+COUNTIF($V$41:V44,V44)-1)</f>
        <v>#N/A</v>
      </c>
      <c r="S44" s="374" t="n">
        <f aca="false">IF(E44=1,"(L) " &amp; C44,C44)</f>
        <v>0</v>
      </c>
      <c r="T44" s="374" t="n">
        <f aca="false">IF(F44=1,"(L) " &amp; D44,D44)</f>
        <v>0</v>
      </c>
      <c r="U44" s="377" t="n">
        <f aca="false">IF(ISBLANK(C44),,IF(O44=100,(((ROUNDUP(O44/J44,0)*I44*G44+N44*L44)*1000))/(ROUNDUP(O44/J44,0)*K44+P44),((100*I44*G44+J44*(100/O44)*N44*L44)*1000)/(100*K44+J44*(100/O44)*P44)))</f>
        <v>0</v>
      </c>
      <c r="V44" s="377" t="n">
        <f aca="false">IF(ISBLANK(C44),,IF(O44=100,(((ROUNDUP(O44/J44,0)*I44*G44*H44+N44*L44*M44)*1000))/(ROUNDUP(O44/J44,0)*K44+P44),((100*I44*G44*H44+J44*(100/O44)*N44*L44*M44)*1000)/(100*K44+J44*(100/O44)*P44)))</f>
        <v>0</v>
      </c>
      <c r="W44" s="470" t="e">
        <f aca="false">IF(ISBLANK(S44),,V44/$V$39)</f>
        <v>#DIV/0!</v>
      </c>
      <c r="X44" s="470" t="e">
        <f aca="false">IF(ISBLANK(S44),,V44/$U$39)</f>
        <v>#DIV/0!</v>
      </c>
      <c r="Y44" s="470" t="e">
        <f aca="false">IF(ISBLANK(S44),,V44/U44)</f>
        <v>#DIV/0!</v>
      </c>
      <c r="Z44" s="474" t="str">
        <f aca="false">IFERROR(__xludf.dummyfunction("""COMPUTED_VALUE"""),"")</f>
        <v/>
      </c>
      <c r="AA44" s="376" t="str">
        <f aca="false">IFERROR(__xludf.dummyfunction("""COMPUTED_VALUE"""),"")</f>
        <v/>
      </c>
      <c r="AB44" s="476"/>
    </row>
    <row r="45" customFormat="false" ht="15.75" hidden="false" customHeight="false" outlineLevel="0" collapsed="false">
      <c r="A45" s="364"/>
      <c r="B45" s="261"/>
      <c r="C45" s="391"/>
      <c r="D45" s="261"/>
      <c r="E45" s="360" t="n">
        <f aca="false">IF(ISBLANK(C45),,INDEX($E$10:$E$14,MATCH(C45,$C$10:$C$14,0)))</f>
        <v>0</v>
      </c>
      <c r="F45" s="360" t="n">
        <f aca="false">IF(ISBLANK(D45),,INDEX($J$10:$J$20,MATCH(D45,$H$10:$H$20,0)))</f>
        <v>0</v>
      </c>
      <c r="G45" s="376" t="n">
        <f aca="false">IF(ISBLANK(C45),,INDEX($E$24:$E$28,MATCH(C45,$C$24:$C$28,0)))</f>
        <v>0</v>
      </c>
      <c r="H45" s="376" t="n">
        <f aca="false">IF(ISBLANK(C45),,INDEX($F$24:$F$28,MATCH(C45,$C$24:$C$28,0))*INDEX($G$24:$G$28,MATCH(C45,$C$24:$C$28,0)))</f>
        <v>0</v>
      </c>
      <c r="I45" s="376" t="n">
        <f aca="false">IF(ISBLANK(C45),,INDEX($H$24:$H$28,MATCH(C45,$C$24:$C$28,0)))</f>
        <v>0</v>
      </c>
      <c r="J45" s="376" t="n">
        <f aca="false">IF(ISBLANK(C45),,INDEX($I$24:$I$28,MATCH(C45,$C$24:$C$28,0)))</f>
        <v>0</v>
      </c>
      <c r="K45" s="376" t="n">
        <f aca="false">IF(ISBLANK(C45),,INDEX($J$24:$J$28,MATCH(C45,$C$24:$C$28,0)))</f>
        <v>0</v>
      </c>
      <c r="L45" s="376" t="n">
        <f aca="false">IF(ISBLANK(D45),,INDEX($P$24:$P$34,MATCH(D45,$N$24:$N$34,0)))</f>
        <v>0</v>
      </c>
      <c r="M45" s="376" t="n">
        <f aca="false">IF(ISBLANK(D45),,INDEX($Q$24:$Q$34,MATCH(D45,$N$24:$N$34,0))*INDEX($R$24:$R$34,MATCH(D45,$N$24:$N$34,0)))</f>
        <v>0</v>
      </c>
      <c r="N45" s="376" t="n">
        <f aca="false">IF(ISBLANK(D45),,INDEX($S$24:$S$34,MATCH(D45,$N$24:$N$34,0)))</f>
        <v>0</v>
      </c>
      <c r="O45" s="376" t="n">
        <f aca="false">IF(ISBLANK(D45),,INDEX($T$24:$T$34,MATCH(D45,$N$24:$N$34,0)))</f>
        <v>0</v>
      </c>
      <c r="P45" s="467" t="n">
        <f aca="false">IF(ISBLANK(D45),,INDEX($U$24:$U$34,MATCH(D45,$N$24:$N$34,0)))</f>
        <v>0</v>
      </c>
      <c r="Q45" s="468"/>
      <c r="R45" s="469" t="e">
        <f aca="false">IF(ISBLANK(S45),,RANK(V45,$V$41:$V$95)+COUNTIF($V$41:V45,V45)-1)</f>
        <v>#N/A</v>
      </c>
      <c r="S45" s="374" t="n">
        <f aca="false">IF(E45=1,"(L) " &amp; C45,C45)</f>
        <v>0</v>
      </c>
      <c r="T45" s="374" t="n">
        <f aca="false">IF(F45=1,"(L) " &amp; D45,D45)</f>
        <v>0</v>
      </c>
      <c r="U45" s="377" t="n">
        <f aca="false">IF(ISBLANK(C45),,IF(O45=100,(((ROUNDUP(O45/J45,0)*I45*G45+N45*L45)*1000))/(ROUNDUP(O45/J45,0)*K45+P45),((100*I45*G45+J45*(100/O45)*N45*L45)*1000)/(100*K45+J45*(100/O45)*P45)))</f>
        <v>0</v>
      </c>
      <c r="V45" s="377" t="n">
        <f aca="false">IF(ISBLANK(C45),,IF(O45=100,(((ROUNDUP(O45/J45,0)*I45*G45*H45+N45*L45*M45)*1000))/(ROUNDUP(O45/J45,0)*K45+P45),((100*I45*G45*H45+J45*(100/O45)*N45*L45*M45)*1000)/(100*K45+J45*(100/O45)*P45)))</f>
        <v>0</v>
      </c>
      <c r="W45" s="470" t="e">
        <f aca="false">IF(ISBLANK(S45),,V45/$V$39)</f>
        <v>#DIV/0!</v>
      </c>
      <c r="X45" s="470" t="e">
        <f aca="false">IF(ISBLANK(S45),,V45/$U$39)</f>
        <v>#DIV/0!</v>
      </c>
      <c r="Y45" s="470" t="e">
        <f aca="false">IF(ISBLANK(S45),,V45/U45)</f>
        <v>#DIV/0!</v>
      </c>
      <c r="Z45" s="474" t="str">
        <f aca="false">IFERROR(__xludf.dummyfunction("""COMPUTED_VALUE"""),"")</f>
        <v/>
      </c>
      <c r="AA45" s="376" t="str">
        <f aca="false">IFERROR(__xludf.dummyfunction("""COMPUTED_VALUE"""),"")</f>
        <v/>
      </c>
      <c r="AB45" s="475"/>
    </row>
    <row r="46" customFormat="false" ht="15.75" hidden="false" customHeight="false" outlineLevel="0" collapsed="false">
      <c r="A46" s="364"/>
      <c r="B46" s="261"/>
      <c r="C46" s="391"/>
      <c r="D46" s="261"/>
      <c r="E46" s="360" t="n">
        <f aca="false">IF(ISBLANK(C46),,INDEX($E$10:$E$14,MATCH(C46,$C$10:$C$14,0)))</f>
        <v>0</v>
      </c>
      <c r="F46" s="360" t="n">
        <f aca="false">IF(ISBLANK(D46),,INDEX($J$10:$J$20,MATCH(D46,$H$10:$H$20,0)))</f>
        <v>0</v>
      </c>
      <c r="G46" s="376" t="n">
        <f aca="false">IF(ISBLANK(C46),,INDEX($E$24:$E$28,MATCH(C46,$C$24:$C$28,0)))</f>
        <v>0</v>
      </c>
      <c r="H46" s="376" t="n">
        <f aca="false">IF(ISBLANK(C46),,INDEX($F$24:$F$28,MATCH(C46,$C$24:$C$28,0))*INDEX($G$24:$G$28,MATCH(C46,$C$24:$C$28,0)))</f>
        <v>0</v>
      </c>
      <c r="I46" s="376" t="n">
        <f aca="false">IF(ISBLANK(C46),,INDEX($H$24:$H$28,MATCH(C46,$C$24:$C$28,0)))</f>
        <v>0</v>
      </c>
      <c r="J46" s="376" t="n">
        <f aca="false">IF(ISBLANK(C46),,INDEX($I$24:$I$28,MATCH(C46,$C$24:$C$28,0)))</f>
        <v>0</v>
      </c>
      <c r="K46" s="376" t="n">
        <f aca="false">IF(ISBLANK(C46),,INDEX($J$24:$J$28,MATCH(C46,$C$24:$C$28,0)))</f>
        <v>0</v>
      </c>
      <c r="L46" s="376" t="n">
        <f aca="false">IF(ISBLANK(D46),,INDEX($P$24:$P$34,MATCH(D46,$N$24:$N$34,0)))</f>
        <v>0</v>
      </c>
      <c r="M46" s="376" t="n">
        <f aca="false">IF(ISBLANK(D46),,INDEX($Q$24:$Q$34,MATCH(D46,$N$24:$N$34,0))*INDEX($R$24:$R$34,MATCH(D46,$N$24:$N$34,0)))</f>
        <v>0</v>
      </c>
      <c r="N46" s="376" t="n">
        <f aca="false">IF(ISBLANK(D46),,INDEX($S$24:$S$34,MATCH(D46,$N$24:$N$34,0)))</f>
        <v>0</v>
      </c>
      <c r="O46" s="376" t="n">
        <f aca="false">IF(ISBLANK(D46),,INDEX($T$24:$T$34,MATCH(D46,$N$24:$N$34,0)))</f>
        <v>0</v>
      </c>
      <c r="P46" s="376" t="n">
        <f aca="false">IF(ISBLANK(D46),,INDEX($U$24:$U$34,MATCH(D46,$N$24:$N$34,0)))</f>
        <v>0</v>
      </c>
      <c r="Q46" s="468"/>
      <c r="R46" s="469" t="e">
        <f aca="false">IF(ISBLANK(S46),,RANK(V46,$V$41:$V$95)+COUNTIF($V$41:V46,V46)-1)</f>
        <v>#N/A</v>
      </c>
      <c r="S46" s="374" t="n">
        <f aca="false">IF(E46=1,"(L) " &amp; C46,C46)</f>
        <v>0</v>
      </c>
      <c r="T46" s="374" t="n">
        <f aca="false">IF(F46=1,"(L) " &amp; D46,D46)</f>
        <v>0</v>
      </c>
      <c r="U46" s="377" t="n">
        <f aca="false">IF(ISBLANK(C46),,IF(O46=100,(((ROUNDUP(O46/J46,0)*I46*G46+N46*L46)*1000))/(ROUNDUP(O46/J46,0)*K46+P46),((100*I46*G46+J46*(100/O46)*N46*L46)*1000)/(100*K46+J46*(100/O46)*P46)))</f>
        <v>0</v>
      </c>
      <c r="V46" s="377" t="n">
        <f aca="false">IF(ISBLANK(C46),,IF(O46=100,(((ROUNDUP(O46/J46,0)*I46*G46*H46+N46*L46*M46)*1000))/(ROUNDUP(O46/J46,0)*K46+P46),((100*I46*G46*H46+J46*(100/O46)*N46*L46*M46)*1000)/(100*K46+J46*(100/O46)*P46)))</f>
        <v>0</v>
      </c>
      <c r="W46" s="470" t="e">
        <f aca="false">IF(ISBLANK(S46),,V46/$V$39)</f>
        <v>#DIV/0!</v>
      </c>
      <c r="X46" s="470" t="e">
        <f aca="false">IF(ISBLANK(S46),,V46/$U$39)</f>
        <v>#DIV/0!</v>
      </c>
      <c r="Y46" s="470" t="e">
        <f aca="false">IF(ISBLANK(S46),,V46/U46)</f>
        <v>#DIV/0!</v>
      </c>
      <c r="Z46" s="474" t="str">
        <f aca="false">IFERROR(__xludf.dummyfunction("""COMPUTED_VALUE"""),"")</f>
        <v/>
      </c>
      <c r="AA46" s="376" t="str">
        <f aca="false">IFERROR(__xludf.dummyfunction("""COMPUTED_VALUE"""),"")</f>
        <v/>
      </c>
      <c r="AB46" s="475"/>
    </row>
    <row r="47" customFormat="false" ht="15.75" hidden="false" customHeight="false" outlineLevel="0" collapsed="false">
      <c r="A47" s="364"/>
      <c r="B47" s="261"/>
      <c r="C47" s="391"/>
      <c r="D47" s="261"/>
      <c r="E47" s="360" t="n">
        <f aca="false">IF(ISBLANK(C47),,INDEX($E$10:$E$14,MATCH(C47,$C$10:$C$14,0)))</f>
        <v>0</v>
      </c>
      <c r="F47" s="360" t="n">
        <f aca="false">IF(ISBLANK(D47),,INDEX($J$10:$J$20,MATCH(D47,$H$10:$H$20,0)))</f>
        <v>0</v>
      </c>
      <c r="G47" s="376" t="n">
        <f aca="false">IF(ISBLANK(C47),,INDEX($E$24:$E$28,MATCH(C47,$C$24:$C$28,0)))</f>
        <v>0</v>
      </c>
      <c r="H47" s="376" t="n">
        <f aca="false">IF(ISBLANK(C47),,INDEX($F$24:$F$28,MATCH(C47,$C$24:$C$28,0))*INDEX($G$24:$G$28,MATCH(C47,$C$24:$C$28,0)))</f>
        <v>0</v>
      </c>
      <c r="I47" s="376" t="n">
        <f aca="false">IF(ISBLANK(C47),,INDEX($H$24:$H$28,MATCH(C47,$C$24:$C$28,0)))</f>
        <v>0</v>
      </c>
      <c r="J47" s="376" t="n">
        <f aca="false">IF(ISBLANK(C47),,INDEX($I$24:$I$28,MATCH(C47,$C$24:$C$28,0)))</f>
        <v>0</v>
      </c>
      <c r="K47" s="376" t="n">
        <f aca="false">IF(ISBLANK(C47),,INDEX($J$24:$J$28,MATCH(C47,$C$24:$C$28,0)))</f>
        <v>0</v>
      </c>
      <c r="L47" s="376" t="n">
        <f aca="false">IF(ISBLANK(D47),,INDEX($P$24:$P$34,MATCH(D47,$N$24:$N$34,0)))</f>
        <v>0</v>
      </c>
      <c r="M47" s="376" t="n">
        <f aca="false">IF(ISBLANK(D47),,INDEX($Q$24:$Q$34,MATCH(D47,$N$24:$N$34,0))*INDEX($R$24:$R$34,MATCH(D47,$N$24:$N$34,0)))</f>
        <v>0</v>
      </c>
      <c r="N47" s="376" t="n">
        <f aca="false">IF(ISBLANK(D47),,INDEX($S$24:$S$34,MATCH(D47,$N$24:$N$34,0)))</f>
        <v>0</v>
      </c>
      <c r="O47" s="376" t="n">
        <f aca="false">IF(ISBLANK(D47),,INDEX($T$24:$T$34,MATCH(D47,$N$24:$N$34,0)))</f>
        <v>0</v>
      </c>
      <c r="P47" s="467" t="n">
        <f aca="false">IF(ISBLANK(D47),,INDEX($U$24:$U$34,MATCH(D47,$N$24:$N$34,0)))</f>
        <v>0</v>
      </c>
      <c r="Q47" s="468"/>
      <c r="R47" s="469" t="e">
        <f aca="false">IF(ISBLANK(S47),,RANK(V47,$V$41:$V$95)+COUNTIF($V$41:V47,V47)-1)</f>
        <v>#N/A</v>
      </c>
      <c r="S47" s="374" t="n">
        <f aca="false">IF(E47=1,"(L) " &amp; C47,C47)</f>
        <v>0</v>
      </c>
      <c r="T47" s="374" t="n">
        <f aca="false">IF(F47=1,"(L) " &amp; D47,D47)</f>
        <v>0</v>
      </c>
      <c r="U47" s="377" t="n">
        <f aca="false">IF(ISBLANK(C47),,IF(O47=100,(((ROUNDUP(O47/J47,0)*I47*G47+N47*L47)*1000))/(ROUNDUP(O47/J47,0)*K47+P47),((100*I47*G47+J47*(100/O47)*N47*L47)*1000)/(100*K47+J47*(100/O47)*P47)))</f>
        <v>0</v>
      </c>
      <c r="V47" s="377" t="n">
        <f aca="false">IF(ISBLANK(C47),,IF(O47=100,(((ROUNDUP(O47/J47,0)*I47*G47*H47+N47*L47*M47)*1000))/(ROUNDUP(O47/J47,0)*K47+P47),((100*I47*G47*H47+J47*(100/O47)*N47*L47*M47)*1000)/(100*K47+J47*(100/O47)*P47)))</f>
        <v>0</v>
      </c>
      <c r="W47" s="470" t="e">
        <f aca="false">IF(ISBLANK(S47),,V47/$V$39)</f>
        <v>#DIV/0!</v>
      </c>
      <c r="X47" s="470" t="e">
        <f aca="false">IF(ISBLANK(S47),,V47/$U$39)</f>
        <v>#DIV/0!</v>
      </c>
      <c r="Y47" s="470" t="e">
        <f aca="false">IF(ISBLANK(S47),,V47/U47)</f>
        <v>#DIV/0!</v>
      </c>
      <c r="Z47" s="474" t="str">
        <f aca="false">IFERROR(__xludf.dummyfunction("""COMPUTED_VALUE"""),"")</f>
        <v/>
      </c>
      <c r="AA47" s="376" t="str">
        <f aca="false">IFERROR(__xludf.dummyfunction("""COMPUTED_VALUE"""),"")</f>
        <v/>
      </c>
      <c r="AB47" s="475"/>
    </row>
    <row r="48" customFormat="false" ht="15.75" hidden="false" customHeight="false" outlineLevel="0" collapsed="false">
      <c r="A48" s="364"/>
      <c r="B48" s="261"/>
      <c r="C48" s="391"/>
      <c r="D48" s="261"/>
      <c r="E48" s="360" t="n">
        <f aca="false">IF(ISBLANK(C48),,INDEX($E$10:$E$14,MATCH(C48,$C$10:$C$14,0)))</f>
        <v>0</v>
      </c>
      <c r="F48" s="360" t="n">
        <f aca="false">IF(ISBLANK(D48),,INDEX($J$10:$J$20,MATCH(D48,$H$10:$H$20,0)))</f>
        <v>0</v>
      </c>
      <c r="G48" s="376" t="n">
        <f aca="false">IF(ISBLANK(C48),,INDEX($E$24:$E$28,MATCH(C48,$C$24:$C$28,0)))</f>
        <v>0</v>
      </c>
      <c r="H48" s="376" t="n">
        <f aca="false">IF(ISBLANK(C48),,INDEX($F$24:$F$28,MATCH(C48,$C$24:$C$28,0))*INDEX($G$24:$G$28,MATCH(C48,$C$24:$C$28,0)))</f>
        <v>0</v>
      </c>
      <c r="I48" s="376" t="n">
        <f aca="false">IF(ISBLANK(C48),,INDEX($H$24:$H$28,MATCH(C48,$C$24:$C$28,0)))</f>
        <v>0</v>
      </c>
      <c r="J48" s="376" t="n">
        <f aca="false">IF(ISBLANK(C48),,INDEX($I$24:$I$28,MATCH(C48,$C$24:$C$28,0)))</f>
        <v>0</v>
      </c>
      <c r="K48" s="376" t="n">
        <f aca="false">IF(ISBLANK(C48),,INDEX($J$24:$J$28,MATCH(C48,$C$24:$C$28,0)))</f>
        <v>0</v>
      </c>
      <c r="L48" s="376" t="n">
        <f aca="false">IF(ISBLANK(D48),,INDEX($P$24:$P$34,MATCH(D48,$N$24:$N$34,0)))</f>
        <v>0</v>
      </c>
      <c r="M48" s="376" t="n">
        <f aca="false">IF(ISBLANK(D48),,INDEX($Q$24:$Q$34,MATCH(D48,$N$24:$N$34,0))*INDEX($R$24:$R$34,MATCH(D48,$N$24:$N$34,0)))</f>
        <v>0</v>
      </c>
      <c r="N48" s="376" t="n">
        <f aca="false">IF(ISBLANK(D48),,INDEX($S$24:$S$34,MATCH(D48,$N$24:$N$34,0)))</f>
        <v>0</v>
      </c>
      <c r="O48" s="376" t="n">
        <f aca="false">IF(ISBLANK(D48),,INDEX($T$24:$T$34,MATCH(D48,$N$24:$N$34,0)))</f>
        <v>0</v>
      </c>
      <c r="P48" s="467" t="n">
        <f aca="false">IF(ISBLANK(D48),,INDEX($U$24:$U$34,MATCH(D48,$N$24:$N$34,0)))</f>
        <v>0</v>
      </c>
      <c r="Q48" s="468"/>
      <c r="R48" s="469" t="e">
        <f aca="false">IF(ISBLANK(S48),,RANK(V48,$V$41:$V$95)+COUNTIF($V$41:V48,V48)-1)</f>
        <v>#N/A</v>
      </c>
      <c r="S48" s="374" t="n">
        <f aca="false">IF(E48=1,"(L) " &amp; C48,C48)</f>
        <v>0</v>
      </c>
      <c r="T48" s="374" t="n">
        <f aca="false">IF(F48=1,"(L) " &amp; D48,D48)</f>
        <v>0</v>
      </c>
      <c r="U48" s="377" t="n">
        <f aca="false">IF(ISBLANK(C48),,IF(O48=100,(((ROUNDUP(O48/J48,0)*I48*G48+N48*L48)*1000))/(ROUNDUP(O48/J48,0)*K48+P48),((100*I48*G48+J48*(100/O48)*N48*L48)*1000)/(100*K48+J48*(100/O48)*P48)))</f>
        <v>0</v>
      </c>
      <c r="V48" s="377" t="n">
        <f aca="false">IF(ISBLANK(C48),,IF(O48=100,(((ROUNDUP(O48/J48,0)*I48*G48*H48+N48*L48*M48)*1000))/(ROUNDUP(O48/J48,0)*K48+P48),((100*I48*G48*H48+J48*(100/O48)*N48*L48*M48)*1000)/(100*K48+J48*(100/O48)*P48)))</f>
        <v>0</v>
      </c>
      <c r="W48" s="470" t="e">
        <f aca="false">IF(ISBLANK(S48),,V48/$V$39)</f>
        <v>#DIV/0!</v>
      </c>
      <c r="X48" s="470" t="e">
        <f aca="false">IF(ISBLANK(S48),,V48/$U$39)</f>
        <v>#DIV/0!</v>
      </c>
      <c r="Y48" s="470" t="e">
        <f aca="false">IF(ISBLANK(S48),,V48/U48)</f>
        <v>#DIV/0!</v>
      </c>
      <c r="Z48" s="474" t="str">
        <f aca="false">IFERROR(__xludf.dummyfunction("""COMPUTED_VALUE"""),"")</f>
        <v/>
      </c>
      <c r="AA48" s="376" t="str">
        <f aca="false">IFERROR(__xludf.dummyfunction("""COMPUTED_VALUE"""),"")</f>
        <v/>
      </c>
      <c r="AB48" s="475"/>
    </row>
    <row r="49" customFormat="false" ht="15.75" hidden="false" customHeight="false" outlineLevel="0" collapsed="false">
      <c r="A49" s="364"/>
      <c r="B49" s="261"/>
      <c r="C49" s="391"/>
      <c r="D49" s="261"/>
      <c r="E49" s="360" t="n">
        <f aca="false">IF(ISBLANK(C49),,INDEX($E$10:$E$14,MATCH(C49,$C$10:$C$14,0)))</f>
        <v>0</v>
      </c>
      <c r="F49" s="360" t="n">
        <f aca="false">IF(ISBLANK(D49),,INDEX($J$10:$J$20,MATCH(D49,$H$10:$H$20,0)))</f>
        <v>0</v>
      </c>
      <c r="G49" s="376" t="n">
        <f aca="false">IF(ISBLANK(C49),,INDEX($E$24:$E$28,MATCH(C49,$C$24:$C$28,0)))</f>
        <v>0</v>
      </c>
      <c r="H49" s="376" t="n">
        <f aca="false">IF(ISBLANK(C49),,INDEX($F$24:$F$28,MATCH(C49,$C$24:$C$28,0))*INDEX($G$24:$G$28,MATCH(C49,$C$24:$C$28,0)))</f>
        <v>0</v>
      </c>
      <c r="I49" s="376" t="n">
        <f aca="false">IF(ISBLANK(C49),,INDEX($H$24:$H$28,MATCH(C49,$C$24:$C$28,0)))</f>
        <v>0</v>
      </c>
      <c r="J49" s="376" t="n">
        <f aca="false">IF(ISBLANK(C49),,INDEX($I$24:$I$28,MATCH(C49,$C$24:$C$28,0)))</f>
        <v>0</v>
      </c>
      <c r="K49" s="376" t="n">
        <f aca="false">IF(ISBLANK(C49),,INDEX($J$24:$J$28,MATCH(C49,$C$24:$C$28,0)))</f>
        <v>0</v>
      </c>
      <c r="L49" s="376" t="n">
        <f aca="false">IF(ISBLANK(D49),,INDEX($P$24:$P$34,MATCH(D49,$N$24:$N$34,0)))</f>
        <v>0</v>
      </c>
      <c r="M49" s="376" t="n">
        <f aca="false">IF(ISBLANK(D49),,INDEX($Q$24:$Q$34,MATCH(D49,$N$24:$N$34,0))*INDEX($R$24:$R$34,MATCH(D49,$N$24:$N$34,0)))</f>
        <v>0</v>
      </c>
      <c r="N49" s="376" t="n">
        <f aca="false">IF(ISBLANK(D49),,INDEX($S$24:$S$34,MATCH(D49,$N$24:$N$34,0)))</f>
        <v>0</v>
      </c>
      <c r="O49" s="376" t="n">
        <f aca="false">IF(ISBLANK(D49),,INDEX($T$24:$T$34,MATCH(D49,$N$24:$N$34,0)))</f>
        <v>0</v>
      </c>
      <c r="P49" s="467" t="n">
        <f aca="false">IF(ISBLANK(D49),,INDEX($U$24:$U$34,MATCH(D49,$N$24:$N$34,0)))</f>
        <v>0</v>
      </c>
      <c r="Q49" s="468"/>
      <c r="R49" s="469" t="e">
        <f aca="false">IF(ISBLANK(S49),,RANK(V49,$V$41:$V$95)+COUNTIF($V$41:V49,V49)-1)</f>
        <v>#N/A</v>
      </c>
      <c r="S49" s="374" t="n">
        <f aca="false">IF(E49=1,"(L) " &amp; C49,C49)</f>
        <v>0</v>
      </c>
      <c r="T49" s="374" t="n">
        <f aca="false">IF(F49=1,"(L) " &amp; D49,D49)</f>
        <v>0</v>
      </c>
      <c r="U49" s="377" t="n">
        <f aca="false">IF(ISBLANK(C49),,IF(O49=100,(((ROUNDUP(O49/J49,0)*I49*G49+N49*L49)*1000))/(ROUNDUP(O49/J49,0)*K49+P49),((100*I49*G49+J49*(100/O49)*N49*L49)*1000)/(100*K49+J49*(100/O49)*P49)))</f>
        <v>0</v>
      </c>
      <c r="V49" s="377" t="n">
        <f aca="false">IF(ISBLANK(C49),,IF(O49=100,(((ROUNDUP(O49/J49,0)*I49*G49*H49+N49*L49*M49)*1000))/(ROUNDUP(O49/J49,0)*K49+P49),((100*I49*G49*H49+J49*(100/O49)*N49*L49*M49)*1000)/(100*K49+J49*(100/O49)*P49)))</f>
        <v>0</v>
      </c>
      <c r="W49" s="470" t="e">
        <f aca="false">IF(ISBLANK(S49),,V49/$V$39)</f>
        <v>#DIV/0!</v>
      </c>
      <c r="X49" s="470" t="e">
        <f aca="false">IF(ISBLANK(S49),,V49/$U$39)</f>
        <v>#DIV/0!</v>
      </c>
      <c r="Y49" s="470" t="e">
        <f aca="false">IF(ISBLANK(S49),,V49/U49)</f>
        <v>#DIV/0!</v>
      </c>
      <c r="Z49" s="477" t="str">
        <f aca="false">IFERROR(__xludf.dummyfunction("""COMPUTED_VALUE"""),"")</f>
        <v/>
      </c>
      <c r="AA49" s="0" t="str">
        <f aca="false">IFERROR(__xludf.dummyfunction("""COMPUTED_VALUE"""),"")</f>
        <v/>
      </c>
      <c r="AB49" s="475"/>
    </row>
    <row r="50" customFormat="false" ht="15.75" hidden="false" customHeight="false" outlineLevel="0" collapsed="false">
      <c r="A50" s="364"/>
      <c r="B50" s="261"/>
      <c r="C50" s="391"/>
      <c r="D50" s="261"/>
      <c r="E50" s="360" t="n">
        <f aca="false">IF(ISBLANK(C50),,INDEX($E$10:$E$14,MATCH(C50,$C$10:$C$14,0)))</f>
        <v>0</v>
      </c>
      <c r="F50" s="360" t="n">
        <f aca="false">IF(ISBLANK(D50),,INDEX($J$10:$J$20,MATCH(D50,$H$10:$H$20,0)))</f>
        <v>0</v>
      </c>
      <c r="G50" s="376" t="n">
        <f aca="false">IF(ISBLANK(C50),,INDEX($E$24:$E$28,MATCH(C50,$C$24:$C$28,0)))</f>
        <v>0</v>
      </c>
      <c r="H50" s="376" t="n">
        <f aca="false">IF(ISBLANK(C50),,INDEX($F$24:$F$28,MATCH(C50,$C$24:$C$28,0))*INDEX($G$24:$G$28,MATCH(C50,$C$24:$C$28,0)))</f>
        <v>0</v>
      </c>
      <c r="I50" s="376" t="n">
        <f aca="false">IF(ISBLANK(C50),,INDEX($H$24:$H$28,MATCH(C50,$C$24:$C$28,0)))</f>
        <v>0</v>
      </c>
      <c r="J50" s="376" t="n">
        <f aca="false">IF(ISBLANK(C50),,INDEX($I$24:$I$28,MATCH(C50,$C$24:$C$28,0)))</f>
        <v>0</v>
      </c>
      <c r="K50" s="376" t="n">
        <f aca="false">IF(ISBLANK(C50),,INDEX($J$24:$J$28,MATCH(C50,$C$24:$C$28,0)))</f>
        <v>0</v>
      </c>
      <c r="L50" s="376" t="n">
        <f aca="false">IF(ISBLANK(D50),,INDEX($P$24:$P$34,MATCH(D50,$N$24:$N$34,0)))</f>
        <v>0</v>
      </c>
      <c r="M50" s="376" t="n">
        <f aca="false">IF(ISBLANK(D50),,INDEX($Q$24:$Q$34,MATCH(D50,$N$24:$N$34,0))*INDEX($R$24:$R$34,MATCH(D50,$N$24:$N$34,0)))</f>
        <v>0</v>
      </c>
      <c r="N50" s="376" t="n">
        <f aca="false">IF(ISBLANK(D50),,INDEX($S$24:$S$34,MATCH(D50,$N$24:$N$34,0)))</f>
        <v>0</v>
      </c>
      <c r="O50" s="376" t="n">
        <f aca="false">IF(ISBLANK(D50),,INDEX($T$24:$T$34,MATCH(D50,$N$24:$N$34,0)))</f>
        <v>0</v>
      </c>
      <c r="P50" s="467" t="n">
        <f aca="false">IF(ISBLANK(D50),,INDEX($U$24:$U$34,MATCH(D50,$N$24:$N$34,0)))</f>
        <v>0</v>
      </c>
      <c r="Q50" s="468"/>
      <c r="R50" s="469" t="e">
        <f aca="false">IF(ISBLANK(S50),,RANK(V50,$V$41:$V$95)+COUNTIF($V$41:V50,V50)-1)</f>
        <v>#N/A</v>
      </c>
      <c r="S50" s="374" t="n">
        <f aca="false">IF(E50=1,"(L) " &amp; C50,C50)</f>
        <v>0</v>
      </c>
      <c r="T50" s="374" t="n">
        <f aca="false">IF(F50=1,"(L) " &amp; D50,D50)</f>
        <v>0</v>
      </c>
      <c r="U50" s="377" t="n">
        <f aca="false">IF(ISBLANK(C50),,IF(O50=100,(((ROUNDUP(O50/J50,0)*I50*G50+N50*L50)*1000))/(ROUNDUP(O50/J50,0)*K50+P50),((100*I50*G50+J50*(100/O50)*N50*L50)*1000)/(100*K50+J50*(100/O50)*P50)))</f>
        <v>0</v>
      </c>
      <c r="V50" s="377" t="n">
        <f aca="false">IF(ISBLANK(C50),,IF(O50=100,(((ROUNDUP(O50/J50,0)*I50*G50*H50+N50*L50*M50)*1000))/(ROUNDUP(O50/J50,0)*K50+P50),((100*I50*G50*H50+J50*(100/O50)*N50*L50*M50)*1000)/(100*K50+J50*(100/O50)*P50)))</f>
        <v>0</v>
      </c>
      <c r="W50" s="470" t="e">
        <f aca="false">IF(ISBLANK(S50),,V50/$V$39)</f>
        <v>#DIV/0!</v>
      </c>
      <c r="X50" s="470" t="e">
        <f aca="false">IF(ISBLANK(S50),,V50/$U$39)</f>
        <v>#DIV/0!</v>
      </c>
      <c r="Y50" s="470" t="e">
        <f aca="false">IF(ISBLANK(S50),,V50/U50)</f>
        <v>#DIV/0!</v>
      </c>
      <c r="Z50" s="478" t="str">
        <f aca="false">IFERROR(__xludf.dummyfunction("""COMPUTED_VALUE"""),"")</f>
        <v/>
      </c>
      <c r="AA50" s="376" t="str">
        <f aca="false">IFERROR(__xludf.dummyfunction("""COMPUTED_VALUE"""),"")</f>
        <v/>
      </c>
      <c r="AB50" s="475" t="str">
        <f aca="false">IF(OR(ISBLANK(AA50),ISNA(AA50)),,AA50)</f>
        <v/>
      </c>
    </row>
    <row r="51" customFormat="false" ht="15.75" hidden="false" customHeight="false" outlineLevel="0" collapsed="false">
      <c r="A51" s="364"/>
      <c r="B51" s="261"/>
      <c r="C51" s="391"/>
      <c r="D51" s="261"/>
      <c r="E51" s="360" t="n">
        <f aca="false">IF(ISBLANK(C51),,INDEX($E$10:$E$14,MATCH(C51,$C$10:$C$14,0)))</f>
        <v>0</v>
      </c>
      <c r="F51" s="360" t="n">
        <f aca="false">IF(ISBLANK(D51),,INDEX($J$10:$J$20,MATCH(D51,$H$10:$H$20,0)))</f>
        <v>0</v>
      </c>
      <c r="G51" s="376" t="n">
        <f aca="false">IF(ISBLANK(C51),,INDEX($E$24:$E$28,MATCH(C51,$C$24:$C$28,0)))</f>
        <v>0</v>
      </c>
      <c r="H51" s="376" t="n">
        <f aca="false">IF(ISBLANK(C51),,INDEX($F$24:$F$28,MATCH(C51,$C$24:$C$28,0))*INDEX($G$24:$G$28,MATCH(C51,$C$24:$C$28,0)))</f>
        <v>0</v>
      </c>
      <c r="I51" s="376" t="n">
        <f aca="false">IF(ISBLANK(C51),,INDEX($H$24:$H$28,MATCH(C51,$C$24:$C$28,0)))</f>
        <v>0</v>
      </c>
      <c r="J51" s="376" t="n">
        <f aca="false">IF(ISBLANK(C51),,INDEX($I$24:$I$28,MATCH(C51,$C$24:$C$28,0)))</f>
        <v>0</v>
      </c>
      <c r="K51" s="376" t="n">
        <f aca="false">IF(ISBLANK(C51),,INDEX($J$24:$J$28,MATCH(C51,$C$24:$C$28,0)))</f>
        <v>0</v>
      </c>
      <c r="L51" s="376" t="n">
        <f aca="false">IF(ISBLANK(D51),,INDEX($P$24:$P$34,MATCH(D51,$N$24:$N$34,0)))</f>
        <v>0</v>
      </c>
      <c r="M51" s="376" t="n">
        <f aca="false">IF(ISBLANK(D51),,INDEX($Q$24:$Q$34,MATCH(D51,$N$24:$N$34,0))*INDEX($R$24:$R$34,MATCH(D51,$N$24:$N$34,0)))</f>
        <v>0</v>
      </c>
      <c r="N51" s="376" t="n">
        <f aca="false">IF(ISBLANK(D51),,INDEX($S$24:$S$34,MATCH(D51,$N$24:$N$34,0)))</f>
        <v>0</v>
      </c>
      <c r="O51" s="376" t="n">
        <f aca="false">IF(ISBLANK(D51),,INDEX($T$24:$T$34,MATCH(D51,$N$24:$N$34,0)))</f>
        <v>0</v>
      </c>
      <c r="P51" s="467" t="n">
        <f aca="false">IF(ISBLANK(D51),,INDEX($U$24:$U$34,MATCH(D51,$N$24:$N$34,0)))</f>
        <v>0</v>
      </c>
      <c r="Q51" s="468"/>
      <c r="R51" s="469" t="e">
        <f aca="false">IF(ISBLANK(S51),,RANK(V51,$V$41:$V$95)+COUNTIF($V$41:V51,V51)-1)</f>
        <v>#N/A</v>
      </c>
      <c r="S51" s="374" t="n">
        <f aca="false">IF(E51=1,"(L) " &amp; C51,C51)</f>
        <v>0</v>
      </c>
      <c r="T51" s="374" t="n">
        <f aca="false">IF(F51=1,"(L) " &amp; D51,D51)</f>
        <v>0</v>
      </c>
      <c r="U51" s="377" t="n">
        <f aca="false">IF(ISBLANK(C51),,IF(O51=100,(((ROUNDUP(O51/J51,0)*I51*G51+N51*L51)*1000))/(ROUNDUP(O51/J51,0)*K51+P51),((100*I51*G51+J51*(100/O51)*N51*L51)*1000)/(100*K51+J51*(100/O51)*P51)))</f>
        <v>0</v>
      </c>
      <c r="V51" s="377" t="n">
        <f aca="false">IF(ISBLANK(C51),,IF(O51=100,(((ROUNDUP(O51/J51,0)*I51*G51*H51+N51*L51*M51)*1000))/(ROUNDUP(O51/J51,0)*K51+P51),((100*I51*G51*H51+J51*(100/O51)*N51*L51*M51)*1000)/(100*K51+J51*(100/O51)*P51)))</f>
        <v>0</v>
      </c>
      <c r="W51" s="470" t="e">
        <f aca="false">IF(ISBLANK(S51),,V51/$V$39)</f>
        <v>#DIV/0!</v>
      </c>
      <c r="X51" s="470" t="e">
        <f aca="false">IF(ISBLANK(S51),,V51/$U$39)</f>
        <v>#DIV/0!</v>
      </c>
      <c r="Y51" s="470" t="e">
        <f aca="false">IF(ISBLANK(S51),,V51/U51)</f>
        <v>#DIV/0!</v>
      </c>
      <c r="Z51" s="474" t="str">
        <f aca="false">IFERROR(__xludf.dummyfunction("""COMPUTED_VALUE"""),"")</f>
        <v/>
      </c>
      <c r="AA51" s="376" t="str">
        <f aca="false">IFERROR(__xludf.dummyfunction("""COMPUTED_VALUE"""),"")</f>
        <v/>
      </c>
      <c r="AB51" s="475" t="str">
        <f aca="false">IF(OR(ISBLANK(AA51),ISNA(AA51)),,AA51)</f>
        <v/>
      </c>
    </row>
    <row r="52" customFormat="false" ht="15.75" hidden="false" customHeight="false" outlineLevel="0" collapsed="false">
      <c r="A52" s="364"/>
      <c r="B52" s="261"/>
      <c r="C52" s="391"/>
      <c r="D52" s="261"/>
      <c r="E52" s="360" t="n">
        <f aca="false">IF(ISBLANK(C52),,INDEX($E$10:$E$14,MATCH(C52,$C$10:$C$14,0)))</f>
        <v>0</v>
      </c>
      <c r="F52" s="360" t="n">
        <f aca="false">IF(ISBLANK(D52),,INDEX($J$10:$J$20,MATCH(D52,$H$10:$H$20,0)))</f>
        <v>0</v>
      </c>
      <c r="G52" s="376" t="n">
        <f aca="false">IF(ISBLANK(C52),,INDEX($E$24:$E$28,MATCH(C52,$C$24:$C$28,0)))</f>
        <v>0</v>
      </c>
      <c r="H52" s="376" t="n">
        <f aca="false">IF(ISBLANK(C52),,INDEX($F$24:$F$28,MATCH(C52,$C$24:$C$28,0))*INDEX($G$24:$G$28,MATCH(C52,$C$24:$C$28,0)))</f>
        <v>0</v>
      </c>
      <c r="I52" s="376" t="n">
        <f aca="false">IF(ISBLANK(C52),,INDEX($H$24:$H$28,MATCH(C52,$C$24:$C$28,0)))</f>
        <v>0</v>
      </c>
      <c r="J52" s="376" t="n">
        <f aca="false">IF(ISBLANK(C52),,INDEX($I$24:$I$28,MATCH(C52,$C$24:$C$28,0)))</f>
        <v>0</v>
      </c>
      <c r="K52" s="376" t="n">
        <f aca="false">IF(ISBLANK(C52),,INDEX($J$24:$J$28,MATCH(C52,$C$24:$C$28,0)))</f>
        <v>0</v>
      </c>
      <c r="L52" s="376" t="n">
        <f aca="false">IF(ISBLANK(D52),,INDEX($P$24:$P$34,MATCH(D52,$N$24:$N$34,0)))</f>
        <v>0</v>
      </c>
      <c r="M52" s="376" t="n">
        <f aca="false">IF(ISBLANK(D52),,INDEX($Q$24:$Q$34,MATCH(D52,$N$24:$N$34,0))*INDEX($R$24:$R$34,MATCH(D52,$N$24:$N$34,0)))</f>
        <v>0</v>
      </c>
      <c r="N52" s="376" t="n">
        <f aca="false">IF(ISBLANK(D52),,INDEX($S$24:$S$34,MATCH(D52,$N$24:$N$34,0)))</f>
        <v>0</v>
      </c>
      <c r="O52" s="376" t="n">
        <f aca="false">IF(ISBLANK(D52),,INDEX($T$24:$T$34,MATCH(D52,$N$24:$N$34,0)))</f>
        <v>0</v>
      </c>
      <c r="P52" s="467" t="n">
        <f aca="false">IF(ISBLANK(D52),,INDEX($U$24:$U$34,MATCH(D52,$N$24:$N$34,0)))</f>
        <v>0</v>
      </c>
      <c r="Q52" s="468"/>
      <c r="R52" s="469" t="e">
        <f aca="false">IF(ISBLANK(S52),,RANK(V52,$V$41:$V$95)+COUNTIF($V$41:V52,V52)-1)</f>
        <v>#N/A</v>
      </c>
      <c r="S52" s="374" t="n">
        <f aca="false">IF(E52=1,"(L) " &amp; C52,C52)</f>
        <v>0</v>
      </c>
      <c r="T52" s="374" t="n">
        <f aca="false">IF(F52=1,"(L) " &amp; D52,D52)</f>
        <v>0</v>
      </c>
      <c r="U52" s="377" t="n">
        <f aca="false">IF(ISBLANK(C52),,IF(O52=100,(((ROUNDUP(O52/J52,0)*I52*G52+N52*L52)*1000))/(ROUNDUP(O52/J52,0)*K52+P52),((100*I52*G52+J52*(100/O52)*N52*L52)*1000)/(100*K52+J52*(100/O52)*P52)))</f>
        <v>0</v>
      </c>
      <c r="V52" s="377" t="n">
        <f aca="false">IF(ISBLANK(C52),,IF(O52=100,(((ROUNDUP(O52/J52,0)*I52*G52*H52+N52*L52*M52)*1000))/(ROUNDUP(O52/J52,0)*K52+P52),((100*I52*G52*H52+J52*(100/O52)*N52*L52*M52)*1000)/(100*K52+J52*(100/O52)*P52)))</f>
        <v>0</v>
      </c>
      <c r="W52" s="470" t="e">
        <f aca="false">IF(ISBLANK(S52),,V52/$V$39)</f>
        <v>#DIV/0!</v>
      </c>
      <c r="X52" s="470" t="e">
        <f aca="false">IF(ISBLANK(S52),,V52/$U$39)</f>
        <v>#DIV/0!</v>
      </c>
      <c r="Y52" s="470" t="e">
        <f aca="false">IF(ISBLANK(S52),,V52/U52)</f>
        <v>#DIV/0!</v>
      </c>
      <c r="Z52" s="474" t="str">
        <f aca="false">IFERROR(__xludf.dummyfunction("""COMPUTED_VALUE"""),"")</f>
        <v/>
      </c>
      <c r="AA52" s="376" t="str">
        <f aca="false">IFERROR(__xludf.dummyfunction("""COMPUTED_VALUE"""),"")</f>
        <v/>
      </c>
      <c r="AB52" s="475" t="str">
        <f aca="false">IF(OR(ISBLANK(AA52),ISNA(AA52)),,AA52)</f>
        <v/>
      </c>
    </row>
    <row r="53" customFormat="false" ht="15.75" hidden="false" customHeight="false" outlineLevel="0" collapsed="false">
      <c r="A53" s="364"/>
      <c r="B53" s="261"/>
      <c r="C53" s="391"/>
      <c r="D53" s="261"/>
      <c r="E53" s="360" t="n">
        <f aca="false">IF(ISBLANK(C53),,INDEX($E$10:$E$14,MATCH(C53,$C$10:$C$14,0)))</f>
        <v>0</v>
      </c>
      <c r="F53" s="360" t="n">
        <f aca="false">IF(ISBLANK(D53),,INDEX($J$10:$J$20,MATCH(D53,$H$10:$H$20,0)))</f>
        <v>0</v>
      </c>
      <c r="G53" s="376" t="n">
        <f aca="false">IF(ISBLANK(C53),,INDEX($E$24:$E$28,MATCH(C53,$C$24:$C$28,0)))</f>
        <v>0</v>
      </c>
      <c r="H53" s="376" t="n">
        <f aca="false">IF(ISBLANK(C53),,INDEX($F$24:$F$28,MATCH(C53,$C$24:$C$28,0))*INDEX($G$24:$G$28,MATCH(C53,$C$24:$C$28,0)))</f>
        <v>0</v>
      </c>
      <c r="I53" s="376" t="n">
        <f aca="false">IF(ISBLANK(C53),,INDEX($H$24:$H$28,MATCH(C53,$C$24:$C$28,0)))</f>
        <v>0</v>
      </c>
      <c r="J53" s="376" t="n">
        <f aca="false">IF(ISBLANK(C53),,INDEX($I$24:$I$28,MATCH(C53,$C$24:$C$28,0)))</f>
        <v>0</v>
      </c>
      <c r="K53" s="376" t="n">
        <f aca="false">IF(ISBLANK(C53),,INDEX($J$24:$J$28,MATCH(C53,$C$24:$C$28,0)))</f>
        <v>0</v>
      </c>
      <c r="L53" s="376" t="n">
        <f aca="false">IF(ISBLANK(D53),,INDEX($P$24:$P$34,MATCH(D53,$N$24:$N$34,0)))</f>
        <v>0</v>
      </c>
      <c r="M53" s="376" t="n">
        <f aca="false">IF(ISBLANK(D53),,INDEX($Q$24:$Q$34,MATCH(D53,$N$24:$N$34,0))*INDEX($R$24:$R$34,MATCH(D53,$N$24:$N$34,0)))</f>
        <v>0</v>
      </c>
      <c r="N53" s="376" t="n">
        <f aca="false">IF(ISBLANK(D53),,INDEX($S$24:$S$34,MATCH(D53,$N$24:$N$34,0)))</f>
        <v>0</v>
      </c>
      <c r="O53" s="376" t="n">
        <f aca="false">IF(ISBLANK(D53),,INDEX($T$24:$T$34,MATCH(D53,$N$24:$N$34,0)))</f>
        <v>0</v>
      </c>
      <c r="P53" s="467" t="n">
        <f aca="false">IF(ISBLANK(D53),,INDEX($U$24:$U$34,MATCH(D53,$N$24:$N$34,0)))</f>
        <v>0</v>
      </c>
      <c r="Q53" s="468"/>
      <c r="R53" s="469" t="e">
        <f aca="false">IF(ISBLANK(S53),,RANK(V53,$V$41:$V$95)+COUNTIF($V$41:V53,V53)-1)</f>
        <v>#N/A</v>
      </c>
      <c r="S53" s="374" t="n">
        <f aca="false">IF(E53=1,"(L) " &amp; C53,C53)</f>
        <v>0</v>
      </c>
      <c r="T53" s="374" t="n">
        <f aca="false">IF(F53=1,"(L) " &amp; D53,D53)</f>
        <v>0</v>
      </c>
      <c r="U53" s="377" t="n">
        <f aca="false">IF(ISBLANK(C53),,IF(O53=100,(((ROUNDUP(O53/J53,0)*I53*G53+N53*L53)*1000))/(ROUNDUP(O53/J53,0)*K53+P53),((100*I53*G53+J53*(100/O53)*N53*L53)*1000)/(100*K53+J53*(100/O53)*P53)))</f>
        <v>0</v>
      </c>
      <c r="V53" s="377" t="n">
        <f aca="false">IF(ISBLANK(C53),,IF(O53=100,(((ROUNDUP(O53/J53,0)*I53*G53*H53+N53*L53*M53)*1000))/(ROUNDUP(O53/J53,0)*K53+P53),((100*I53*G53*H53+J53*(100/O53)*N53*L53*M53)*1000)/(100*K53+J53*(100/O53)*P53)))</f>
        <v>0</v>
      </c>
      <c r="W53" s="470" t="e">
        <f aca="false">IF(ISBLANK(S53),,V53/$V$39)</f>
        <v>#DIV/0!</v>
      </c>
      <c r="X53" s="470" t="e">
        <f aca="false">IF(ISBLANK(S53),,V53/$U$39)</f>
        <v>#DIV/0!</v>
      </c>
      <c r="Y53" s="470" t="e">
        <f aca="false">IF(ISBLANK(S53),,V53/U53)</f>
        <v>#DIV/0!</v>
      </c>
      <c r="Z53" s="474" t="str">
        <f aca="false">IFERROR(__xludf.dummyfunction("""COMPUTED_VALUE"""),"")</f>
        <v/>
      </c>
      <c r="AA53" s="376" t="str">
        <f aca="false">IFERROR(__xludf.dummyfunction("""COMPUTED_VALUE"""),"")</f>
        <v/>
      </c>
      <c r="AB53" s="475" t="str">
        <f aca="false">IF(OR(ISBLANK(AA53),ISNA(AA53)),,AA53)</f>
        <v/>
      </c>
    </row>
    <row r="54" customFormat="false" ht="15.75" hidden="false" customHeight="false" outlineLevel="0" collapsed="false">
      <c r="A54" s="364"/>
      <c r="B54" s="261"/>
      <c r="C54" s="391"/>
      <c r="D54" s="261"/>
      <c r="E54" s="360" t="n">
        <f aca="false">IF(ISBLANK(C54),,INDEX($E$10:$E$14,MATCH(C54,$C$10:$C$14,0)))</f>
        <v>0</v>
      </c>
      <c r="F54" s="360" t="n">
        <f aca="false">IF(ISBLANK(D54),,INDEX($J$10:$J$20,MATCH(D54,$H$10:$H$20,0)))</f>
        <v>0</v>
      </c>
      <c r="G54" s="376" t="n">
        <f aca="false">IF(ISBLANK(C54),,INDEX($E$24:$E$28,MATCH(C54,$C$24:$C$28,0)))</f>
        <v>0</v>
      </c>
      <c r="H54" s="376" t="n">
        <f aca="false">IF(ISBLANK(C54),,INDEX($F$24:$F$28,MATCH(C54,$C$24:$C$28,0))*INDEX($G$24:$G$28,MATCH(C54,$C$24:$C$28,0)))</f>
        <v>0</v>
      </c>
      <c r="I54" s="376" t="n">
        <f aca="false">IF(ISBLANK(C54),,INDEX($H$24:$H$28,MATCH(C54,$C$24:$C$28,0)))</f>
        <v>0</v>
      </c>
      <c r="J54" s="376" t="n">
        <f aca="false">IF(ISBLANK(C54),,INDEX($I$24:$I$28,MATCH(C54,$C$24:$C$28,0)))</f>
        <v>0</v>
      </c>
      <c r="K54" s="376" t="n">
        <f aca="false">IF(ISBLANK(C54),,INDEX($J$24:$J$28,MATCH(C54,$C$24:$C$28,0)))</f>
        <v>0</v>
      </c>
      <c r="L54" s="376" t="n">
        <f aca="false">IF(ISBLANK(D54),,INDEX($P$24:$P$34,MATCH(D54,$N$24:$N$34,0)))</f>
        <v>0</v>
      </c>
      <c r="M54" s="376" t="n">
        <f aca="false">IF(ISBLANK(D54),,INDEX($Q$24:$Q$34,MATCH(D54,$N$24:$N$34,0))*INDEX($R$24:$R$34,MATCH(D54,$N$24:$N$34,0)))</f>
        <v>0</v>
      </c>
      <c r="N54" s="376" t="n">
        <f aca="false">IF(ISBLANK(D54),,INDEX($S$24:$S$34,MATCH(D54,$N$24:$N$34,0)))</f>
        <v>0</v>
      </c>
      <c r="O54" s="376" t="n">
        <f aca="false">IF(ISBLANK(D54),,INDEX($T$24:$T$34,MATCH(D54,$N$24:$N$34,0)))</f>
        <v>0</v>
      </c>
      <c r="P54" s="467" t="n">
        <f aca="false">IF(ISBLANK(D54),,INDEX($U$24:$U$34,MATCH(D54,$N$24:$N$34,0)))</f>
        <v>0</v>
      </c>
      <c r="Q54" s="468"/>
      <c r="R54" s="469" t="e">
        <f aca="false">IF(ISBLANK(S54),,RANK(V54,$V$41:$V$95)+COUNTIF($V$41:V54,V54)-1)</f>
        <v>#N/A</v>
      </c>
      <c r="S54" s="374" t="n">
        <f aca="false">IF(E54=1,"(L) " &amp; C54,C54)</f>
        <v>0</v>
      </c>
      <c r="T54" s="374" t="n">
        <f aca="false">IF(F54=1,"(L) " &amp; D54,D54)</f>
        <v>0</v>
      </c>
      <c r="U54" s="377" t="n">
        <f aca="false">IF(ISBLANK(C54),,IF(O54=100,(((ROUNDUP(O54/J54,0)*I54*G54+N54*L54)*1000))/(ROUNDUP(O54/J54,0)*K54+P54),((100*I54*G54+J54*(100/O54)*N54*L54)*1000)/(100*K54+J54*(100/O54)*P54)))</f>
        <v>0</v>
      </c>
      <c r="V54" s="377" t="n">
        <f aca="false">IF(ISBLANK(C54),,IF(O54=100,(((ROUNDUP(O54/J54,0)*I54*G54*H54+N54*L54*M54)*1000))/(ROUNDUP(O54/J54,0)*K54+P54),((100*I54*G54*H54+J54*(100/O54)*N54*L54*M54)*1000)/(100*K54+J54*(100/O54)*P54)))</f>
        <v>0</v>
      </c>
      <c r="W54" s="470" t="e">
        <f aca="false">IF(ISBLANK(S54),,V54/$V$39)</f>
        <v>#DIV/0!</v>
      </c>
      <c r="X54" s="470" t="e">
        <f aca="false">IF(ISBLANK(S54),,V54/$U$39)</f>
        <v>#DIV/0!</v>
      </c>
      <c r="Y54" s="470" t="e">
        <f aca="false">IF(ISBLANK(S54),,V54/U54)</f>
        <v>#DIV/0!</v>
      </c>
      <c r="Z54" s="474" t="str">
        <f aca="false">IFERROR(__xludf.dummyfunction("""COMPUTED_VALUE"""),"")</f>
        <v/>
      </c>
      <c r="AA54" s="376" t="str">
        <f aca="false">IFERROR(__xludf.dummyfunction("""COMPUTED_VALUE"""),"")</f>
        <v/>
      </c>
      <c r="AB54" s="475" t="str">
        <f aca="false">IF(OR(ISBLANK(AA54),ISNA(AA54)),,AA54)</f>
        <v/>
      </c>
    </row>
    <row r="55" customFormat="false" ht="15.75" hidden="false" customHeight="false" outlineLevel="0" collapsed="false">
      <c r="A55" s="364"/>
      <c r="B55" s="261"/>
      <c r="C55" s="391"/>
      <c r="D55" s="261"/>
      <c r="E55" s="360" t="n">
        <f aca="false">IF(ISBLANK(C55),,INDEX($E$10:$E$14,MATCH(C55,$C$10:$C$14,0)))</f>
        <v>0</v>
      </c>
      <c r="F55" s="360" t="n">
        <f aca="false">IF(ISBLANK(D55),,INDEX($J$10:$J$20,MATCH(D55,$H$10:$H$20,0)))</f>
        <v>0</v>
      </c>
      <c r="G55" s="376" t="n">
        <f aca="false">IF(ISBLANK(C55),,INDEX($E$24:$E$28,MATCH(C55,$C$24:$C$28,0)))</f>
        <v>0</v>
      </c>
      <c r="H55" s="376" t="n">
        <f aca="false">IF(ISBLANK(C55),,INDEX($F$24:$F$28,MATCH(C55,$C$24:$C$28,0))*INDEX($G$24:$G$28,MATCH(C55,$C$24:$C$28,0)))</f>
        <v>0</v>
      </c>
      <c r="I55" s="376" t="n">
        <f aca="false">IF(ISBLANK(C55),,INDEX($H$24:$H$28,MATCH(C55,$C$24:$C$28,0)))</f>
        <v>0</v>
      </c>
      <c r="J55" s="376" t="n">
        <f aca="false">IF(ISBLANK(C55),,INDEX($I$24:$I$28,MATCH(C55,$C$24:$C$28,0)))</f>
        <v>0</v>
      </c>
      <c r="K55" s="376" t="n">
        <f aca="false">IF(ISBLANK(C55),,INDEX($J$24:$J$28,MATCH(C55,$C$24:$C$28,0)))</f>
        <v>0</v>
      </c>
      <c r="L55" s="376" t="n">
        <f aca="false">IF(ISBLANK(D55),,INDEX($P$24:$P$34,MATCH(D55,$N$24:$N$34,0)))</f>
        <v>0</v>
      </c>
      <c r="M55" s="376" t="n">
        <f aca="false">IF(ISBLANK(D55),,INDEX($Q$24:$Q$34,MATCH(D55,$N$24:$N$34,0))*INDEX($R$24:$R$34,MATCH(D55,$N$24:$N$34,0)))</f>
        <v>0</v>
      </c>
      <c r="N55" s="376" t="n">
        <f aca="false">IF(ISBLANK(D55),,INDEX($S$24:$S$34,MATCH(D55,$N$24:$N$34,0)))</f>
        <v>0</v>
      </c>
      <c r="O55" s="376" t="n">
        <f aca="false">IF(ISBLANK(D55),,INDEX($T$24:$T$34,MATCH(D55,$N$24:$N$34,0)))</f>
        <v>0</v>
      </c>
      <c r="P55" s="467" t="n">
        <f aca="false">IF(ISBLANK(D55),,INDEX($U$24:$U$34,MATCH(D55,$N$24:$N$34,0)))</f>
        <v>0</v>
      </c>
      <c r="Q55" s="468"/>
      <c r="R55" s="469" t="e">
        <f aca="false">IF(ISBLANK(S55),,RANK(V55,$V$41:$V$95)+COUNTIF($V$41:V55,V55)-1)</f>
        <v>#N/A</v>
      </c>
      <c r="S55" s="374" t="n">
        <f aca="false">IF(E55=1,"(L) " &amp; C55,C55)</f>
        <v>0</v>
      </c>
      <c r="T55" s="374" t="n">
        <f aca="false">IF(F55=1,"(L) " &amp; D55,D55)</f>
        <v>0</v>
      </c>
      <c r="U55" s="377" t="n">
        <f aca="false">IF(ISBLANK(C55),,IF(O55=100,(((ROUNDUP(O55/J55,0)*I55*G55+N55*L55)*1000))/(ROUNDUP(O55/J55,0)*K55+P55),((100*I55*G55+J55*(100/O55)*N55*L55)*1000)/(100*K55+J55*(100/O55)*P55)))</f>
        <v>0</v>
      </c>
      <c r="V55" s="377" t="n">
        <f aca="false">IF(ISBLANK(C55),,IF(O55=100,(((ROUNDUP(O55/J55,0)*I55*G55*H55+N55*L55*M55)*1000))/(ROUNDUP(O55/J55,0)*K55+P55),((100*I55*G55*H55+J55*(100/O55)*N55*L55*M55)*1000)/(100*K55+J55*(100/O55)*P55)))</f>
        <v>0</v>
      </c>
      <c r="W55" s="470" t="e">
        <f aca="false">IF(ISBLANK(S55),,V55/$V$39)</f>
        <v>#DIV/0!</v>
      </c>
      <c r="X55" s="470" t="e">
        <f aca="false">IF(ISBLANK(S55),,V55/$U$39)</f>
        <v>#DIV/0!</v>
      </c>
      <c r="Y55" s="470" t="e">
        <f aca="false">IF(ISBLANK(S55),,V55/U55)</f>
        <v>#DIV/0!</v>
      </c>
      <c r="Z55" s="474" t="str">
        <f aca="false">IFERROR(__xludf.dummyfunction("""COMPUTED_VALUE"""),"")</f>
        <v/>
      </c>
      <c r="AA55" s="376" t="str">
        <f aca="false">IFERROR(__xludf.dummyfunction("""COMPUTED_VALUE"""),"")</f>
        <v/>
      </c>
      <c r="AB55" s="475" t="str">
        <f aca="false">IF(OR(ISBLANK(AA55),ISNA(AA55)),,AA55)</f>
        <v/>
      </c>
    </row>
    <row r="56" customFormat="false" ht="15.75" hidden="false" customHeight="false" outlineLevel="0" collapsed="false">
      <c r="A56" s="364"/>
      <c r="B56" s="261"/>
      <c r="C56" s="391"/>
      <c r="D56" s="261"/>
      <c r="E56" s="360" t="n">
        <f aca="false">IF(ISBLANK(C56),,INDEX($E$10:$E$14,MATCH(C56,$C$10:$C$14,0)))</f>
        <v>0</v>
      </c>
      <c r="F56" s="360" t="n">
        <f aca="false">IF(ISBLANK(D56),,INDEX($J$10:$J$20,MATCH(D56,$H$10:$H$20,0)))</f>
        <v>0</v>
      </c>
      <c r="G56" s="376" t="n">
        <f aca="false">IF(ISBLANK(C56),,INDEX($E$24:$E$28,MATCH(C56,$C$24:$C$28,0)))</f>
        <v>0</v>
      </c>
      <c r="H56" s="376" t="n">
        <f aca="false">IF(ISBLANK(C56),,INDEX($F$24:$F$28,MATCH(C56,$C$24:$C$28,0))*INDEX($G$24:$G$28,MATCH(C56,$C$24:$C$28,0)))</f>
        <v>0</v>
      </c>
      <c r="I56" s="376" t="n">
        <f aca="false">IF(ISBLANK(C56),,INDEX($H$24:$H$28,MATCH(C56,$C$24:$C$28,0)))</f>
        <v>0</v>
      </c>
      <c r="J56" s="376" t="n">
        <f aca="false">IF(ISBLANK(C56),,INDEX($I$24:$I$28,MATCH(C56,$C$24:$C$28,0)))</f>
        <v>0</v>
      </c>
      <c r="K56" s="376" t="n">
        <f aca="false">IF(ISBLANK(C56),,INDEX($J$24:$J$28,MATCH(C56,$C$24:$C$28,0)))</f>
        <v>0</v>
      </c>
      <c r="L56" s="376" t="n">
        <f aca="false">IF(ISBLANK(D56),,INDEX($P$24:$P$34,MATCH(D56,$N$24:$N$34,0)))</f>
        <v>0</v>
      </c>
      <c r="M56" s="376" t="n">
        <f aca="false">IF(ISBLANK(D56),,INDEX($Q$24:$Q$34,MATCH(D56,$N$24:$N$34,0))*INDEX($R$24:$R$34,MATCH(D56,$N$24:$N$34,0)))</f>
        <v>0</v>
      </c>
      <c r="N56" s="376" t="n">
        <f aca="false">IF(ISBLANK(D56),,INDEX($S$24:$S$34,MATCH(D56,$N$24:$N$34,0)))</f>
        <v>0</v>
      </c>
      <c r="O56" s="376" t="n">
        <f aca="false">IF(ISBLANK(D56),,INDEX($T$24:$T$34,MATCH(D56,$N$24:$N$34,0)))</f>
        <v>0</v>
      </c>
      <c r="P56" s="467" t="n">
        <f aca="false">IF(ISBLANK(D56),,INDEX($U$24:$U$34,MATCH(D56,$N$24:$N$34,0)))</f>
        <v>0</v>
      </c>
      <c r="Q56" s="468"/>
      <c r="R56" s="469" t="e">
        <f aca="false">IF(ISBLANK(S56),,RANK(V56,$V$41:$V$95)+COUNTIF($V$41:V56,V56)-1)</f>
        <v>#N/A</v>
      </c>
      <c r="S56" s="374" t="n">
        <f aca="false">IF(E56=1,"(L) " &amp; C56,C56)</f>
        <v>0</v>
      </c>
      <c r="T56" s="374" t="n">
        <f aca="false">IF(F56=1,"(L) " &amp; D56,D56)</f>
        <v>0</v>
      </c>
      <c r="U56" s="377" t="n">
        <f aca="false">IF(ISBLANK(C56),,IF(O56=100,(((ROUNDUP(O56/J56,0)*I56*G56+N56*L56)*1000))/(ROUNDUP(O56/J56,0)*K56+P56),((100*I56*G56+J56*(100/O56)*N56*L56)*1000)/(100*K56+J56*(100/O56)*P56)))</f>
        <v>0</v>
      </c>
      <c r="V56" s="377" t="n">
        <f aca="false">IF(ISBLANK(C56),,IF(O56=100,(((ROUNDUP(O56/J56,0)*I56*G56*H56+N56*L56*M56)*1000))/(ROUNDUP(O56/J56,0)*K56+P56),((100*I56*G56*H56+J56*(100/O56)*N56*L56*M56)*1000)/(100*K56+J56*(100/O56)*P56)))</f>
        <v>0</v>
      </c>
      <c r="W56" s="470" t="e">
        <f aca="false">IF(ISBLANK(S56),,V56/$V$39)</f>
        <v>#DIV/0!</v>
      </c>
      <c r="X56" s="470" t="e">
        <f aca="false">IF(ISBLANK(S56),,V56/$U$39)</f>
        <v>#DIV/0!</v>
      </c>
      <c r="Y56" s="470" t="e">
        <f aca="false">IF(ISBLANK(S56),,V56/U56)</f>
        <v>#DIV/0!</v>
      </c>
      <c r="Z56" s="474" t="str">
        <f aca="false">IFERROR(__xludf.dummyfunction("""COMPUTED_VALUE"""),"")</f>
        <v/>
      </c>
      <c r="AA56" s="376" t="str">
        <f aca="false">IFERROR(__xludf.dummyfunction("""COMPUTED_VALUE"""),"")</f>
        <v/>
      </c>
      <c r="AB56" s="475" t="str">
        <f aca="false">IF(OR(ISBLANK(AA56),ISNA(AA56)),,AA56)</f>
        <v/>
      </c>
    </row>
    <row r="57" customFormat="false" ht="15.75" hidden="false" customHeight="false" outlineLevel="0" collapsed="false">
      <c r="A57" s="364"/>
      <c r="B57" s="261"/>
      <c r="C57" s="391"/>
      <c r="D57" s="261"/>
      <c r="E57" s="360" t="n">
        <f aca="false">IF(ISBLANK(C57),,INDEX($E$10:$E$14,MATCH(C57,$C$10:$C$14,0)))</f>
        <v>0</v>
      </c>
      <c r="F57" s="360" t="n">
        <f aca="false">IF(ISBLANK(D57),,INDEX($J$10:$J$20,MATCH(D57,$H$10:$H$20,0)))</f>
        <v>0</v>
      </c>
      <c r="G57" s="376" t="n">
        <f aca="false">IF(ISBLANK(C57),,INDEX($E$24:$E$28,MATCH(C57,$C$24:$C$28,0)))</f>
        <v>0</v>
      </c>
      <c r="H57" s="376" t="n">
        <f aca="false">IF(ISBLANK(C57),,INDEX($F$24:$F$28,MATCH(C57,$C$24:$C$28,0))*INDEX($G$24:$G$28,MATCH(C57,$C$24:$C$28,0)))</f>
        <v>0</v>
      </c>
      <c r="I57" s="376" t="n">
        <f aca="false">IF(ISBLANK(C57),,INDEX($H$24:$H$28,MATCH(C57,$C$24:$C$28,0)))</f>
        <v>0</v>
      </c>
      <c r="J57" s="376" t="n">
        <f aca="false">IF(ISBLANK(C57),,INDEX($I$24:$I$28,MATCH(C57,$C$24:$C$28,0)))</f>
        <v>0</v>
      </c>
      <c r="K57" s="376" t="n">
        <f aca="false">IF(ISBLANK(C57),,INDEX($J$24:$J$28,MATCH(C57,$C$24:$C$28,0)))</f>
        <v>0</v>
      </c>
      <c r="L57" s="376" t="n">
        <f aca="false">IF(ISBLANK(D57),,INDEX($P$24:$P$34,MATCH(D57,$N$24:$N$34,0)))</f>
        <v>0</v>
      </c>
      <c r="M57" s="376" t="n">
        <f aca="false">IF(ISBLANK(D57),,INDEX($Q$24:$Q$34,MATCH(D57,$N$24:$N$34,0))*INDEX($R$24:$R$34,MATCH(D57,$N$24:$N$34,0)))</f>
        <v>0</v>
      </c>
      <c r="N57" s="376" t="n">
        <f aca="false">IF(ISBLANK(D57),,INDEX($S$24:$S$34,MATCH(D57,$N$24:$N$34,0)))</f>
        <v>0</v>
      </c>
      <c r="O57" s="376" t="n">
        <f aca="false">IF(ISBLANK(D57),,INDEX($T$24:$T$34,MATCH(D57,$N$24:$N$34,0)))</f>
        <v>0</v>
      </c>
      <c r="P57" s="467" t="n">
        <f aca="false">IF(ISBLANK(D57),,INDEX($U$24:$U$34,MATCH(D57,$N$24:$N$34,0)))</f>
        <v>0</v>
      </c>
      <c r="Q57" s="468"/>
      <c r="R57" s="469" t="e">
        <f aca="false">IF(ISBLANK(S57),,RANK(V57,$V$41:$V$95)+COUNTIF($V$41:V57,V57)-1)</f>
        <v>#N/A</v>
      </c>
      <c r="S57" s="374" t="n">
        <f aca="false">IF(E57=1,"(L) " &amp; C57,C57)</f>
        <v>0</v>
      </c>
      <c r="T57" s="374" t="n">
        <f aca="false">IF(F57=1,"(L) " &amp; D57,D57)</f>
        <v>0</v>
      </c>
      <c r="U57" s="377" t="n">
        <f aca="false">IF(ISBLANK(C57),,IF(O57=100,(((ROUNDUP(O57/J57,0)*I57*G57+N57*L57)*1000))/(ROUNDUP(O57/J57,0)*K57+P57),((100*I57*G57+J57*(100/O57)*N57*L57)*1000)/(100*K57+J57*(100/O57)*P57)))</f>
        <v>0</v>
      </c>
      <c r="V57" s="377" t="n">
        <f aca="false">IF(ISBLANK(C57),,IF(O57=100,(((ROUNDUP(O57/J57,0)*I57*G57*H57+N57*L57*M57)*1000))/(ROUNDUP(O57/J57,0)*K57+P57),((100*I57*G57*H57+J57*(100/O57)*N57*L57*M57)*1000)/(100*K57+J57*(100/O57)*P57)))</f>
        <v>0</v>
      </c>
      <c r="W57" s="470" t="e">
        <f aca="false">IF(ISBLANK(S57),,V57/$V$39)</f>
        <v>#DIV/0!</v>
      </c>
      <c r="X57" s="470" t="e">
        <f aca="false">IF(ISBLANK(S57),,V57/$U$39)</f>
        <v>#DIV/0!</v>
      </c>
      <c r="Y57" s="470" t="e">
        <f aca="false">IF(ISBLANK(S57),,V57/U57)</f>
        <v>#DIV/0!</v>
      </c>
      <c r="Z57" s="474" t="str">
        <f aca="false">IFERROR(__xludf.dummyfunction("""COMPUTED_VALUE"""),"")</f>
        <v/>
      </c>
      <c r="AA57" s="376" t="str">
        <f aca="false">IFERROR(__xludf.dummyfunction("""COMPUTED_VALUE"""),"")</f>
        <v/>
      </c>
      <c r="AB57" s="475" t="str">
        <f aca="false">IF(OR(ISBLANK(AA57),ISNA(AA57)),,AA57)</f>
        <v/>
      </c>
    </row>
    <row r="58" customFormat="false" ht="15.75" hidden="false" customHeight="false" outlineLevel="0" collapsed="false">
      <c r="A58" s="364"/>
      <c r="B58" s="261"/>
      <c r="C58" s="391"/>
      <c r="D58" s="261"/>
      <c r="E58" s="360" t="n">
        <f aca="false">IF(ISBLANK(C58),,INDEX($E$10:$E$14,MATCH(C58,$C$10:$C$14,0)))</f>
        <v>0</v>
      </c>
      <c r="F58" s="360" t="n">
        <f aca="false">IF(ISBLANK(D58),,INDEX($J$10:$J$20,MATCH(D58,$H$10:$H$20,0)))</f>
        <v>0</v>
      </c>
      <c r="G58" s="376" t="n">
        <f aca="false">IF(ISBLANK(C58),,INDEX($E$24:$E$28,MATCH(C58,$C$24:$C$28,0)))</f>
        <v>0</v>
      </c>
      <c r="H58" s="376" t="n">
        <f aca="false">IF(ISBLANK(C58),,INDEX($F$24:$F$28,MATCH(C58,$C$24:$C$28,0))*INDEX($G$24:$G$28,MATCH(C58,$C$24:$C$28,0)))</f>
        <v>0</v>
      </c>
      <c r="I58" s="376" t="n">
        <f aca="false">IF(ISBLANK(C58),,INDEX($H$24:$H$28,MATCH(C58,$C$24:$C$28,0)))</f>
        <v>0</v>
      </c>
      <c r="J58" s="376" t="n">
        <f aca="false">IF(ISBLANK(C58),,INDEX($I$24:$I$28,MATCH(C58,$C$24:$C$28,0)))</f>
        <v>0</v>
      </c>
      <c r="K58" s="376" t="n">
        <f aca="false">IF(ISBLANK(C58),,INDEX($J$24:$J$28,MATCH(C58,$C$24:$C$28,0)))</f>
        <v>0</v>
      </c>
      <c r="L58" s="376" t="n">
        <f aca="false">IF(ISBLANK(D58),,INDEX($P$24:$P$34,MATCH(D58,$N$24:$N$34,0)))</f>
        <v>0</v>
      </c>
      <c r="M58" s="376" t="n">
        <f aca="false">IF(ISBLANK(D58),,INDEX($Q$24:$Q$34,MATCH(D58,$N$24:$N$34,0))*INDEX($R$24:$R$34,MATCH(D58,$N$24:$N$34,0)))</f>
        <v>0</v>
      </c>
      <c r="N58" s="376" t="n">
        <f aca="false">IF(ISBLANK(D58),,INDEX($S$24:$S$34,MATCH(D58,$N$24:$N$34,0)))</f>
        <v>0</v>
      </c>
      <c r="O58" s="376" t="n">
        <f aca="false">IF(ISBLANK(D58),,INDEX($T$24:$T$34,MATCH(D58,$N$24:$N$34,0)))</f>
        <v>0</v>
      </c>
      <c r="P58" s="467" t="n">
        <f aca="false">IF(ISBLANK(D58),,INDEX($U$24:$U$34,MATCH(D58,$N$24:$N$34,0)))</f>
        <v>0</v>
      </c>
      <c r="Q58" s="468"/>
      <c r="R58" s="469" t="e">
        <f aca="false">IF(ISBLANK(S58),,RANK(V58,$V$41:$V$95)+COUNTIF($V$41:V58,V58)-1)</f>
        <v>#N/A</v>
      </c>
      <c r="S58" s="374" t="n">
        <f aca="false">IF(E58=1,"(L) " &amp; C58,C58)</f>
        <v>0</v>
      </c>
      <c r="T58" s="374" t="n">
        <f aca="false">IF(F58=1,"(L) " &amp; D58,D58)</f>
        <v>0</v>
      </c>
      <c r="U58" s="377" t="n">
        <f aca="false">IF(ISBLANK(C58),,IF(O58=100,(((ROUNDUP(O58/J58,0)*I58*G58+N58*L58)*1000))/(ROUNDUP(O58/J58,0)*K58+P58),((100*I58*G58+J58*(100/O58)*N58*L58)*1000)/(100*K58+J58*(100/O58)*P58)))</f>
        <v>0</v>
      </c>
      <c r="V58" s="377" t="n">
        <f aca="false">IF(ISBLANK(C58),,IF(O58=100,(((ROUNDUP(O58/J58,0)*I58*G58*H58+N58*L58*M58)*1000))/(ROUNDUP(O58/J58,0)*K58+P58),((100*I58*G58*H58+J58*(100/O58)*N58*L58*M58)*1000)/(100*K58+J58*(100/O58)*P58)))</f>
        <v>0</v>
      </c>
      <c r="W58" s="470" t="e">
        <f aca="false">IF(ISBLANK(S58),,V58/$V$39)</f>
        <v>#DIV/0!</v>
      </c>
      <c r="X58" s="470" t="e">
        <f aca="false">IF(ISBLANK(S58),,V58/$U$39)</f>
        <v>#DIV/0!</v>
      </c>
      <c r="Y58" s="470" t="e">
        <f aca="false">IF(ISBLANK(S58),,V58/U58)</f>
        <v>#DIV/0!</v>
      </c>
      <c r="Z58" s="474" t="str">
        <f aca="false">IFERROR(__xludf.dummyfunction("""COMPUTED_VALUE"""),"")</f>
        <v/>
      </c>
      <c r="AA58" s="376" t="str">
        <f aca="false">IFERROR(__xludf.dummyfunction("""COMPUTED_VALUE"""),"")</f>
        <v/>
      </c>
      <c r="AB58" s="475" t="str">
        <f aca="false">IF(OR(ISBLANK(AA58),ISNA(AA58)),,AA58)</f>
        <v/>
      </c>
    </row>
    <row r="59" customFormat="false" ht="15.75" hidden="false" customHeight="false" outlineLevel="0" collapsed="false">
      <c r="A59" s="364"/>
      <c r="B59" s="261"/>
      <c r="C59" s="391"/>
      <c r="D59" s="261"/>
      <c r="E59" s="360" t="n">
        <f aca="false">IF(ISBLANK(C59),,INDEX($E$10:$E$14,MATCH(C59,$C$10:$C$14,0)))</f>
        <v>0</v>
      </c>
      <c r="F59" s="360" t="n">
        <f aca="false">IF(ISBLANK(D59),,INDEX($J$10:$J$20,MATCH(D59,$H$10:$H$20,0)))</f>
        <v>0</v>
      </c>
      <c r="G59" s="376" t="n">
        <f aca="false">IF(ISBLANK(C59),,INDEX($E$24:$E$28,MATCH(C59,$C$24:$C$28,0)))</f>
        <v>0</v>
      </c>
      <c r="H59" s="376" t="n">
        <f aca="false">IF(ISBLANK(C59),,INDEX($F$24:$F$28,MATCH(C59,$C$24:$C$28,0))*INDEX($G$24:$G$28,MATCH(C59,$C$24:$C$28,0)))</f>
        <v>0</v>
      </c>
      <c r="I59" s="376" t="n">
        <f aca="false">IF(ISBLANK(C59),,INDEX($H$24:$H$28,MATCH(C59,$C$24:$C$28,0)))</f>
        <v>0</v>
      </c>
      <c r="J59" s="376" t="n">
        <f aca="false">IF(ISBLANK(C59),,INDEX($I$24:$I$28,MATCH(C59,$C$24:$C$28,0)))</f>
        <v>0</v>
      </c>
      <c r="K59" s="376" t="n">
        <f aca="false">IF(ISBLANK(C59),,INDEX($J$24:$J$28,MATCH(C59,$C$24:$C$28,0)))</f>
        <v>0</v>
      </c>
      <c r="L59" s="376" t="n">
        <f aca="false">IF(ISBLANK(D59),,INDEX($P$24:$P$34,MATCH(D59,$N$24:$N$34,0)))</f>
        <v>0</v>
      </c>
      <c r="M59" s="376" t="n">
        <f aca="false">IF(ISBLANK(D59),,INDEX($Q$24:$Q$34,MATCH(D59,$N$24:$N$34,0))*INDEX($R$24:$R$34,MATCH(D59,$N$24:$N$34,0)))</f>
        <v>0</v>
      </c>
      <c r="N59" s="376" t="n">
        <f aca="false">IF(ISBLANK(D59),,INDEX($S$24:$S$34,MATCH(D59,$N$24:$N$34,0)))</f>
        <v>0</v>
      </c>
      <c r="O59" s="376" t="n">
        <f aca="false">IF(ISBLANK(D59),,INDEX($T$24:$T$34,MATCH(D59,$N$24:$N$34,0)))</f>
        <v>0</v>
      </c>
      <c r="P59" s="467" t="n">
        <f aca="false">IF(ISBLANK(D59),,INDEX($U$24:$U$34,MATCH(D59,$N$24:$N$34,0)))</f>
        <v>0</v>
      </c>
      <c r="Q59" s="468"/>
      <c r="R59" s="469" t="e">
        <f aca="false">IF(ISBLANK(S59),,RANK(V59,$V$41:$V$95)+COUNTIF($V$41:V59,V59)-1)</f>
        <v>#N/A</v>
      </c>
      <c r="S59" s="374" t="n">
        <f aca="false">IF(E59=1,"(L) " &amp; C59,C59)</f>
        <v>0</v>
      </c>
      <c r="T59" s="374" t="n">
        <f aca="false">IF(F59=1,"(L) " &amp; D59,D59)</f>
        <v>0</v>
      </c>
      <c r="U59" s="377" t="n">
        <f aca="false">IF(ISBLANK(C59),,IF(O59=100,(((ROUNDUP(O59/J59,0)*I59*G59+N59*L59)*1000))/(ROUNDUP(O59/J59,0)*K59+P59),((100*I59*G59+J59*(100/O59)*N59*L59)*1000)/(100*K59+J59*(100/O59)*P59)))</f>
        <v>0</v>
      </c>
      <c r="V59" s="377" t="n">
        <f aca="false">IF(ISBLANK(C59),,IF(O59=100,(((ROUNDUP(O59/J59,0)*I59*G59*H59+N59*L59*M59)*1000))/(ROUNDUP(O59/J59,0)*K59+P59),((100*I59*G59*H59+J59*(100/O59)*N59*L59*M59)*1000)/(100*K59+J59*(100/O59)*P59)))</f>
        <v>0</v>
      </c>
      <c r="W59" s="470" t="e">
        <f aca="false">IF(ISBLANK(S59),,V59/$V$39)</f>
        <v>#DIV/0!</v>
      </c>
      <c r="X59" s="470" t="e">
        <f aca="false">IF(ISBLANK(S59),,V59/$U$39)</f>
        <v>#DIV/0!</v>
      </c>
      <c r="Y59" s="470" t="e">
        <f aca="false">IF(ISBLANK(S59),,V59/U59)</f>
        <v>#DIV/0!</v>
      </c>
      <c r="Z59" s="474" t="str">
        <f aca="false">IFERROR(__xludf.dummyfunction("""COMPUTED_VALUE"""),"")</f>
        <v/>
      </c>
      <c r="AA59" s="376" t="str">
        <f aca="false">IFERROR(__xludf.dummyfunction("""COMPUTED_VALUE"""),"")</f>
        <v/>
      </c>
      <c r="AB59" s="475" t="str">
        <f aca="false">IF(OR(ISBLANK(AA59),ISNA(AA59)),,AA59)</f>
        <v/>
      </c>
    </row>
    <row r="60" customFormat="false" ht="15.75" hidden="false" customHeight="false" outlineLevel="0" collapsed="false">
      <c r="A60" s="364"/>
      <c r="B60" s="261"/>
      <c r="C60" s="391"/>
      <c r="D60" s="261"/>
      <c r="E60" s="360" t="n">
        <f aca="false">IF(ISBLANK(C60),,INDEX($E$10:$E$14,MATCH(C60,$C$10:$C$14,0)))</f>
        <v>0</v>
      </c>
      <c r="F60" s="360" t="n">
        <f aca="false">IF(ISBLANK(D60),,INDEX($J$10:$J$20,MATCH(D60,$H$10:$H$20,0)))</f>
        <v>0</v>
      </c>
      <c r="G60" s="376" t="n">
        <f aca="false">IF(ISBLANK(C60),,INDEX($E$24:$E$28,MATCH(C60,$C$24:$C$28,0)))</f>
        <v>0</v>
      </c>
      <c r="H60" s="376" t="n">
        <f aca="false">IF(ISBLANK(C60),,INDEX($F$24:$F$28,MATCH(C60,$C$24:$C$28,0))*INDEX($G$24:$G$28,MATCH(C60,$C$24:$C$28,0)))</f>
        <v>0</v>
      </c>
      <c r="I60" s="376" t="n">
        <f aca="false">IF(ISBLANK(C60),,INDEX($H$24:$H$28,MATCH(C60,$C$24:$C$28,0)))</f>
        <v>0</v>
      </c>
      <c r="J60" s="376" t="n">
        <f aca="false">IF(ISBLANK(C60),,INDEX($I$24:$I$28,MATCH(C60,$C$24:$C$28,0)))</f>
        <v>0</v>
      </c>
      <c r="K60" s="376" t="n">
        <f aca="false">IF(ISBLANK(C60),,INDEX($J$24:$J$28,MATCH(C60,$C$24:$C$28,0)))</f>
        <v>0</v>
      </c>
      <c r="L60" s="376" t="n">
        <f aca="false">IF(ISBLANK(D60),,INDEX($P$24:$P$34,MATCH(D60,$N$24:$N$34,0)))</f>
        <v>0</v>
      </c>
      <c r="M60" s="376" t="n">
        <f aca="false">IF(ISBLANK(D60),,INDEX($Q$24:$Q$34,MATCH(D60,$N$24:$N$34,0))*INDEX($R$24:$R$34,MATCH(D60,$N$24:$N$34,0)))</f>
        <v>0</v>
      </c>
      <c r="N60" s="376" t="n">
        <f aca="false">IF(ISBLANK(D60),,INDEX($S$24:$S$34,MATCH(D60,$N$24:$N$34,0)))</f>
        <v>0</v>
      </c>
      <c r="O60" s="376" t="n">
        <f aca="false">IF(ISBLANK(D60),,INDEX($T$24:$T$34,MATCH(D60,$N$24:$N$34,0)))</f>
        <v>0</v>
      </c>
      <c r="P60" s="467" t="n">
        <f aca="false">IF(ISBLANK(D60),,INDEX($U$24:$U$34,MATCH(D60,$N$24:$N$34,0)))</f>
        <v>0</v>
      </c>
      <c r="Q60" s="468"/>
      <c r="R60" s="469" t="e">
        <f aca="false">IF(ISBLANK(S60),,RANK(V60,$V$41:$V$95)+COUNTIF($V$41:V60,V60)-1)</f>
        <v>#N/A</v>
      </c>
      <c r="S60" s="374" t="n">
        <f aca="false">IF(E60=1,"(L) " &amp; C60,C60)</f>
        <v>0</v>
      </c>
      <c r="T60" s="374" t="n">
        <f aca="false">IF(F60=1,"(L) " &amp; D60,D60)</f>
        <v>0</v>
      </c>
      <c r="U60" s="377" t="n">
        <f aca="false">IF(ISBLANK(C60),,IF(O60=100,(((ROUNDUP(O60/J60,0)*I60*G60+N60*L60)*1000))/(ROUNDUP(O60/J60,0)*K60+P60),((100*I60*G60+J60*(100/O60)*N60*L60)*1000)/(100*K60+J60*(100/O60)*P60)))</f>
        <v>0</v>
      </c>
      <c r="V60" s="377" t="n">
        <f aca="false">IF(ISBLANK(C60),,IF(O60=100,(((ROUNDUP(O60/J60,0)*I60*G60*H60+N60*L60*M60)*1000))/(ROUNDUP(O60/J60,0)*K60+P60),((100*I60*G60*H60+J60*(100/O60)*N60*L60*M60)*1000)/(100*K60+J60*(100/O60)*P60)))</f>
        <v>0</v>
      </c>
      <c r="W60" s="470" t="e">
        <f aca="false">IF(ISBLANK(S60),,V60/$V$39)</f>
        <v>#DIV/0!</v>
      </c>
      <c r="X60" s="470" t="e">
        <f aca="false">IF(ISBLANK(S60),,V60/$U$39)</f>
        <v>#DIV/0!</v>
      </c>
      <c r="Y60" s="470" t="e">
        <f aca="false">IF(ISBLANK(S60),,V60/U60)</f>
        <v>#DIV/0!</v>
      </c>
      <c r="Z60" s="478" t="str">
        <f aca="false">IFERROR(__xludf.dummyfunction("""COMPUTED_VALUE"""),"")</f>
        <v/>
      </c>
      <c r="AA60" s="376" t="str">
        <f aca="false">IFERROR(__xludf.dummyfunction("""COMPUTED_VALUE"""),"")</f>
        <v/>
      </c>
      <c r="AB60" s="475" t="str">
        <f aca="false">IF(OR(ISBLANK(AA60),ISNA(AA60)),,AA60)</f>
        <v/>
      </c>
    </row>
    <row r="61" customFormat="false" ht="15.75" hidden="false" customHeight="false" outlineLevel="0" collapsed="false">
      <c r="A61" s="364"/>
      <c r="B61" s="261"/>
      <c r="C61" s="391"/>
      <c r="D61" s="261"/>
      <c r="E61" s="360" t="n">
        <f aca="false">IF(ISBLANK(C61),,INDEX($E$10:$E$14,MATCH(C61,$C$10:$C$14,0)))</f>
        <v>0</v>
      </c>
      <c r="F61" s="360" t="n">
        <f aca="false">IF(ISBLANK(D61),,INDEX($J$10:$J$20,MATCH(D61,$H$10:$H$20,0)))</f>
        <v>0</v>
      </c>
      <c r="G61" s="376" t="n">
        <f aca="false">IF(ISBLANK(C61),,INDEX($E$24:$E$28,MATCH(C61,$C$24:$C$28,0)))</f>
        <v>0</v>
      </c>
      <c r="H61" s="376" t="n">
        <f aca="false">IF(ISBLANK(C61),,INDEX($F$24:$F$28,MATCH(C61,$C$24:$C$28,0))*INDEX($G$24:$G$28,MATCH(C61,$C$24:$C$28,0)))</f>
        <v>0</v>
      </c>
      <c r="I61" s="376" t="n">
        <f aca="false">IF(ISBLANK(C61),,INDEX($H$24:$H$28,MATCH(C61,$C$24:$C$28,0)))</f>
        <v>0</v>
      </c>
      <c r="J61" s="376" t="n">
        <f aca="false">IF(ISBLANK(C61),,INDEX($I$24:$I$28,MATCH(C61,$C$24:$C$28,0)))</f>
        <v>0</v>
      </c>
      <c r="K61" s="376" t="n">
        <f aca="false">IF(ISBLANK(C61),,INDEX($J$24:$J$28,MATCH(C61,$C$24:$C$28,0)))</f>
        <v>0</v>
      </c>
      <c r="L61" s="376" t="n">
        <f aca="false">IF(ISBLANK(D61),,INDEX($P$24:$P$34,MATCH(D61,$N$24:$N$34,0)))</f>
        <v>0</v>
      </c>
      <c r="M61" s="376" t="n">
        <f aca="false">IF(ISBLANK(D61),,INDEX($Q$24:$Q$34,MATCH(D61,$N$24:$N$34,0))*INDEX($R$24:$R$34,MATCH(D61,$N$24:$N$34,0)))</f>
        <v>0</v>
      </c>
      <c r="N61" s="376" t="n">
        <f aca="false">IF(ISBLANK(D61),,INDEX($S$24:$S$34,MATCH(D61,$N$24:$N$34,0)))</f>
        <v>0</v>
      </c>
      <c r="O61" s="376" t="n">
        <f aca="false">IF(ISBLANK(D61),,INDEX($T$24:$T$34,MATCH(D61,$N$24:$N$34,0)))</f>
        <v>0</v>
      </c>
      <c r="P61" s="467" t="n">
        <f aca="false">IF(ISBLANK(D61),,INDEX($U$24:$U$34,MATCH(D61,$N$24:$N$34,0)))</f>
        <v>0</v>
      </c>
      <c r="Q61" s="468"/>
      <c r="R61" s="469" t="e">
        <f aca="false">IF(ISBLANK(S61),,RANK(V61,$V$41:$V$95)+COUNTIF($V$41:V61,V61)-1)</f>
        <v>#N/A</v>
      </c>
      <c r="S61" s="374" t="n">
        <f aca="false">IF(E61=1,"(L) " &amp; C61,C61)</f>
        <v>0</v>
      </c>
      <c r="T61" s="374" t="n">
        <f aca="false">IF(F61=1,"(L) " &amp; D61,D61)</f>
        <v>0</v>
      </c>
      <c r="U61" s="377" t="n">
        <f aca="false">IF(ISBLANK(C61),,IF(O61=100,(((ROUNDUP(O61/J61,0)*I61*G61+N61*L61)*1000))/(ROUNDUP(O61/J61,0)*K61+P61),((100*I61*G61+J61*(100/O61)*N61*L61)*1000)/(100*K61+J61*(100/O61)*P61)))</f>
        <v>0</v>
      </c>
      <c r="V61" s="377" t="n">
        <f aca="false">IF(ISBLANK(C61),,IF(O61=100,(((ROUNDUP(O61/J61,0)*I61*G61*H61+N61*L61*M61)*1000))/(ROUNDUP(O61/J61,0)*K61+P61),((100*I61*G61*H61+J61*(100/O61)*N61*L61*M61)*1000)/(100*K61+J61*(100/O61)*P61)))</f>
        <v>0</v>
      </c>
      <c r="W61" s="470" t="e">
        <f aca="false">IF(ISBLANK(S61),,V61/$V$39)</f>
        <v>#DIV/0!</v>
      </c>
      <c r="X61" s="470" t="e">
        <f aca="false">IF(ISBLANK(S61),,V61/$U$39)</f>
        <v>#DIV/0!</v>
      </c>
      <c r="Y61" s="470" t="e">
        <f aca="false">IF(ISBLANK(S61),,V61/U61)</f>
        <v>#DIV/0!</v>
      </c>
      <c r="Z61" s="474" t="str">
        <f aca="false">IFERROR(__xludf.dummyfunction("""COMPUTED_VALUE"""),"")</f>
        <v/>
      </c>
      <c r="AA61" s="376" t="str">
        <f aca="false">IFERROR(__xludf.dummyfunction("""COMPUTED_VALUE"""),"")</f>
        <v/>
      </c>
      <c r="AB61" s="475" t="str">
        <f aca="false">IF(OR(ISBLANK(AA61),ISNA(AA61)),,AA61)</f>
        <v/>
      </c>
    </row>
    <row r="62" customFormat="false" ht="15.75" hidden="false" customHeight="false" outlineLevel="0" collapsed="false">
      <c r="A62" s="364"/>
      <c r="B62" s="261"/>
      <c r="C62" s="391"/>
      <c r="D62" s="261"/>
      <c r="E62" s="360" t="n">
        <f aca="false">IF(ISBLANK(C62),,INDEX($E$10:$E$14,MATCH(C62,$C$10:$C$14,0)))</f>
        <v>0</v>
      </c>
      <c r="F62" s="360" t="n">
        <f aca="false">IF(ISBLANK(D62),,INDEX($J$10:$J$20,MATCH(D62,$H$10:$H$20,0)))</f>
        <v>0</v>
      </c>
      <c r="G62" s="376" t="n">
        <f aca="false">IF(ISBLANK(C62),,INDEX($E$24:$E$28,MATCH(C62,$C$24:$C$28,0)))</f>
        <v>0</v>
      </c>
      <c r="H62" s="376" t="n">
        <f aca="false">IF(ISBLANK(C62),,INDEX($F$24:$F$28,MATCH(C62,$C$24:$C$28,0))*INDEX($G$24:$G$28,MATCH(C62,$C$24:$C$28,0)))</f>
        <v>0</v>
      </c>
      <c r="I62" s="376" t="n">
        <f aca="false">IF(ISBLANK(C62),,INDEX($H$24:$H$28,MATCH(C62,$C$24:$C$28,0)))</f>
        <v>0</v>
      </c>
      <c r="J62" s="376" t="n">
        <f aca="false">IF(ISBLANK(C62),,INDEX($I$24:$I$28,MATCH(C62,$C$24:$C$28,0)))</f>
        <v>0</v>
      </c>
      <c r="K62" s="376" t="n">
        <f aca="false">IF(ISBLANK(C62),,INDEX($J$24:$J$28,MATCH(C62,$C$24:$C$28,0)))</f>
        <v>0</v>
      </c>
      <c r="L62" s="376" t="n">
        <f aca="false">IF(ISBLANK(D62),,INDEX($P$24:$P$34,MATCH(D62,$N$24:$N$34,0)))</f>
        <v>0</v>
      </c>
      <c r="M62" s="376" t="n">
        <f aca="false">IF(ISBLANK(D62),,INDEX($Q$24:$Q$34,MATCH(D62,$N$24:$N$34,0))*INDEX($R$24:$R$34,MATCH(D62,$N$24:$N$34,0)))</f>
        <v>0</v>
      </c>
      <c r="N62" s="376" t="n">
        <f aca="false">IF(ISBLANK(D62),,INDEX($S$24:$S$34,MATCH(D62,$N$24:$N$34,0)))</f>
        <v>0</v>
      </c>
      <c r="O62" s="376" t="n">
        <f aca="false">IF(ISBLANK(D62),,INDEX($T$24:$T$34,MATCH(D62,$N$24:$N$34,0)))</f>
        <v>0</v>
      </c>
      <c r="P62" s="467" t="n">
        <f aca="false">IF(ISBLANK(D62),,INDEX($U$24:$U$34,MATCH(D62,$N$24:$N$34,0)))</f>
        <v>0</v>
      </c>
      <c r="Q62" s="468"/>
      <c r="R62" s="469" t="e">
        <f aca="false">IF(ISBLANK(S62),,RANK(V62,$V$41:$V$95)+COUNTIF($V$41:V62,V62)-1)</f>
        <v>#N/A</v>
      </c>
      <c r="S62" s="374" t="n">
        <f aca="false">IF(E62=1,"(L) " &amp; C62,C62)</f>
        <v>0</v>
      </c>
      <c r="T62" s="374" t="n">
        <f aca="false">IF(F62=1,"(L) " &amp; D62,D62)</f>
        <v>0</v>
      </c>
      <c r="U62" s="377" t="n">
        <f aca="false">IF(ISBLANK(C62),,IF(O62=100,(((ROUNDUP(O62/J62,0)*I62*G62+N62*L62)*1000))/(ROUNDUP(O62/J62,0)*K62+P62),((100*I62*G62+J62*(100/O62)*N62*L62)*1000)/(100*K62+J62*(100/O62)*P62)))</f>
        <v>0</v>
      </c>
      <c r="V62" s="377" t="n">
        <f aca="false">IF(ISBLANK(C62),,IF(O62=100,(((ROUNDUP(O62/J62,0)*I62*G62*H62+N62*L62*M62)*1000))/(ROUNDUP(O62/J62,0)*K62+P62),((100*I62*G62*H62+J62*(100/O62)*N62*L62*M62)*1000)/(100*K62+J62*(100/O62)*P62)))</f>
        <v>0</v>
      </c>
      <c r="W62" s="470" t="e">
        <f aca="false">IF(ISBLANK(S62),,V62/$V$39)</f>
        <v>#DIV/0!</v>
      </c>
      <c r="X62" s="470" t="e">
        <f aca="false">IF(ISBLANK(S62),,V62/$U$39)</f>
        <v>#DIV/0!</v>
      </c>
      <c r="Y62" s="470" t="e">
        <f aca="false">IF(ISBLANK(S62),,V62/U62)</f>
        <v>#DIV/0!</v>
      </c>
      <c r="Z62" s="474" t="str">
        <f aca="false">IFERROR(__xludf.dummyfunction("""COMPUTED_VALUE"""),"")</f>
        <v/>
      </c>
      <c r="AA62" s="376" t="str">
        <f aca="false">IFERROR(__xludf.dummyfunction("""COMPUTED_VALUE"""),"")</f>
        <v/>
      </c>
      <c r="AB62" s="475" t="str">
        <f aca="false">IF(OR(ISBLANK(AA62),ISNA(AA62)),,AA62)</f>
        <v/>
      </c>
    </row>
    <row r="63" customFormat="false" ht="15.75" hidden="false" customHeight="false" outlineLevel="0" collapsed="false">
      <c r="A63" s="364"/>
      <c r="B63" s="261"/>
      <c r="C63" s="391"/>
      <c r="D63" s="261"/>
      <c r="E63" s="360" t="n">
        <f aca="false">IF(ISBLANK(C63),,INDEX($E$10:$E$14,MATCH(C63,$C$10:$C$14,0)))</f>
        <v>0</v>
      </c>
      <c r="F63" s="360" t="n">
        <f aca="false">IF(ISBLANK(D63),,INDEX($J$10:$J$20,MATCH(D63,$H$10:$H$20,0)))</f>
        <v>0</v>
      </c>
      <c r="G63" s="376" t="n">
        <f aca="false">IF(ISBLANK(C63),,INDEX($E$24:$E$28,MATCH(C63,$C$24:$C$28,0)))</f>
        <v>0</v>
      </c>
      <c r="H63" s="376" t="n">
        <f aca="false">IF(ISBLANK(C63),,INDEX($F$24:$F$28,MATCH(C63,$C$24:$C$28,0))*INDEX($G$24:$G$28,MATCH(C63,$C$24:$C$28,0)))</f>
        <v>0</v>
      </c>
      <c r="I63" s="376" t="n">
        <f aca="false">IF(ISBLANK(C63),,INDEX($H$24:$H$28,MATCH(C63,$C$24:$C$28,0)))</f>
        <v>0</v>
      </c>
      <c r="J63" s="376" t="n">
        <f aca="false">IF(ISBLANK(C63),,INDEX($I$24:$I$28,MATCH(C63,$C$24:$C$28,0)))</f>
        <v>0</v>
      </c>
      <c r="K63" s="376" t="n">
        <f aca="false">IF(ISBLANK(C63),,INDEX($J$24:$J$28,MATCH(C63,$C$24:$C$28,0)))</f>
        <v>0</v>
      </c>
      <c r="L63" s="376" t="n">
        <f aca="false">IF(ISBLANK(D63),,INDEX($P$24:$P$34,MATCH(D63,$N$24:$N$34,0)))</f>
        <v>0</v>
      </c>
      <c r="M63" s="376" t="n">
        <f aca="false">IF(ISBLANK(D63),,INDEX($Q$24:$Q$34,MATCH(D63,$N$24:$N$34,0))*INDEX($R$24:$R$34,MATCH(D63,$N$24:$N$34,0)))</f>
        <v>0</v>
      </c>
      <c r="N63" s="376" t="n">
        <f aca="false">IF(ISBLANK(D63),,INDEX($S$24:$S$34,MATCH(D63,$N$24:$N$34,0)))</f>
        <v>0</v>
      </c>
      <c r="O63" s="376" t="n">
        <f aca="false">IF(ISBLANK(D63),,INDEX($T$24:$T$34,MATCH(D63,$N$24:$N$34,0)))</f>
        <v>0</v>
      </c>
      <c r="P63" s="467" t="n">
        <f aca="false">IF(ISBLANK(D63),,INDEX($U$24:$U$34,MATCH(D63,$N$24:$N$34,0)))</f>
        <v>0</v>
      </c>
      <c r="Q63" s="468"/>
      <c r="R63" s="469" t="e">
        <f aca="false">IF(ISBLANK(S63),,RANK(V63,$V$41:$V$95)+COUNTIF($V$41:V63,V63)-1)</f>
        <v>#N/A</v>
      </c>
      <c r="S63" s="374" t="n">
        <f aca="false">IF(E63=1,"(L) " &amp; C63,C63)</f>
        <v>0</v>
      </c>
      <c r="T63" s="374" t="n">
        <f aca="false">IF(F63=1,"(L) " &amp; D63,D63)</f>
        <v>0</v>
      </c>
      <c r="U63" s="377" t="n">
        <f aca="false">IF(ISBLANK(C63),,IF(O63=100,(((ROUNDUP(O63/J63,0)*I63*G63+N63*L63)*1000))/(ROUNDUP(O63/J63,0)*K63+P63),((100*I63*G63+J63*(100/O63)*N63*L63)*1000)/(100*K63+J63*(100/O63)*P63)))</f>
        <v>0</v>
      </c>
      <c r="V63" s="377" t="n">
        <f aca="false">IF(ISBLANK(C63),,IF(O63=100,(((ROUNDUP(O63/J63,0)*I63*G63*H63+N63*L63*M63)*1000))/(ROUNDUP(O63/J63,0)*K63+P63),((100*I63*G63*H63+J63*(100/O63)*N63*L63*M63)*1000)/(100*K63+J63*(100/O63)*P63)))</f>
        <v>0</v>
      </c>
      <c r="W63" s="470" t="e">
        <f aca="false">IF(ISBLANK(S63),,V63/$V$39)</f>
        <v>#DIV/0!</v>
      </c>
      <c r="X63" s="470" t="e">
        <f aca="false">IF(ISBLANK(S63),,V63/$U$39)</f>
        <v>#DIV/0!</v>
      </c>
      <c r="Y63" s="470" t="e">
        <f aca="false">IF(ISBLANK(S63),,V63/U63)</f>
        <v>#DIV/0!</v>
      </c>
      <c r="Z63" s="474" t="str">
        <f aca="false">IFERROR(__xludf.dummyfunction("""COMPUTED_VALUE"""),"")</f>
        <v/>
      </c>
      <c r="AA63" s="376" t="str">
        <f aca="false">IFERROR(__xludf.dummyfunction("""COMPUTED_VALUE"""),"")</f>
        <v/>
      </c>
      <c r="AB63" s="475" t="str">
        <f aca="false">IF(OR(ISBLANK(AA63),ISNA(AA63)),,AA63)</f>
        <v/>
      </c>
    </row>
    <row r="64" customFormat="false" ht="15.75" hidden="false" customHeight="false" outlineLevel="0" collapsed="false">
      <c r="A64" s="364"/>
      <c r="B64" s="261"/>
      <c r="C64" s="391"/>
      <c r="D64" s="261"/>
      <c r="E64" s="360" t="n">
        <f aca="false">IF(ISBLANK(C64),,INDEX($E$10:$E$14,MATCH(C64,$C$10:$C$14,0)))</f>
        <v>0</v>
      </c>
      <c r="F64" s="360" t="n">
        <f aca="false">IF(ISBLANK(D64),,INDEX($J$10:$J$20,MATCH(D64,$H$10:$H$20,0)))</f>
        <v>0</v>
      </c>
      <c r="G64" s="376" t="n">
        <f aca="false">IF(ISBLANK(C64),,INDEX($E$24:$E$28,MATCH(C64,$C$24:$C$28,0)))</f>
        <v>0</v>
      </c>
      <c r="H64" s="376" t="n">
        <f aca="false">IF(ISBLANK(C64),,INDEX($F$24:$F$28,MATCH(C64,$C$24:$C$28,0))*INDEX($G$24:$G$28,MATCH(C64,$C$24:$C$28,0)))</f>
        <v>0</v>
      </c>
      <c r="I64" s="376" t="n">
        <f aca="false">IF(ISBLANK(C64),,INDEX($H$24:$H$28,MATCH(C64,$C$24:$C$28,0)))</f>
        <v>0</v>
      </c>
      <c r="J64" s="376" t="n">
        <f aca="false">IF(ISBLANK(C64),,INDEX($I$24:$I$28,MATCH(C64,$C$24:$C$28,0)))</f>
        <v>0</v>
      </c>
      <c r="K64" s="376" t="n">
        <f aca="false">IF(ISBLANK(C64),,INDEX($J$24:$J$28,MATCH(C64,$C$24:$C$28,0)))</f>
        <v>0</v>
      </c>
      <c r="L64" s="376" t="n">
        <f aca="false">IF(ISBLANK(D64),,INDEX($P$24:$P$34,MATCH(D64,$N$24:$N$34,0)))</f>
        <v>0</v>
      </c>
      <c r="M64" s="376" t="n">
        <f aca="false">IF(ISBLANK(D64),,INDEX($Q$24:$Q$34,MATCH(D64,$N$24:$N$34,0))*INDEX($R$24:$R$34,MATCH(D64,$N$24:$N$34,0)))</f>
        <v>0</v>
      </c>
      <c r="N64" s="376" t="n">
        <f aca="false">IF(ISBLANK(D64),,INDEX($S$24:$S$34,MATCH(D64,$N$24:$N$34,0)))</f>
        <v>0</v>
      </c>
      <c r="O64" s="376" t="n">
        <f aca="false">IF(ISBLANK(D64),,INDEX($T$24:$T$34,MATCH(D64,$N$24:$N$34,0)))</f>
        <v>0</v>
      </c>
      <c r="P64" s="467" t="n">
        <f aca="false">IF(ISBLANK(D64),,INDEX($U$24:$U$34,MATCH(D64,$N$24:$N$34,0)))</f>
        <v>0</v>
      </c>
      <c r="Q64" s="468"/>
      <c r="R64" s="469" t="e">
        <f aca="false">IF(ISBLANK(S64),,RANK(V64,$V$41:$V$95)+COUNTIF($V$41:V64,V64)-1)</f>
        <v>#N/A</v>
      </c>
      <c r="S64" s="374" t="n">
        <f aca="false">IF(E64=1,"(L) " &amp; C64,C64)</f>
        <v>0</v>
      </c>
      <c r="T64" s="374" t="n">
        <f aca="false">IF(F64=1,"(L) " &amp; D64,D64)</f>
        <v>0</v>
      </c>
      <c r="U64" s="377" t="n">
        <f aca="false">IF(ISBLANK(C64),,IF(O64=100,(((ROUNDUP(O64/J64,0)*I64*G64+N64*L64)*1000))/(ROUNDUP(O64/J64,0)*K64+P64),((100*I64*G64+J64*(100/O64)*N64*L64)*1000)/(100*K64+J64*(100/O64)*P64)))</f>
        <v>0</v>
      </c>
      <c r="V64" s="377" t="n">
        <f aca="false">IF(ISBLANK(C64),,IF(O64=100,(((ROUNDUP(O64/J64,0)*I64*G64*H64+N64*L64*M64)*1000))/(ROUNDUP(O64/J64,0)*K64+P64),((100*I64*G64*H64+J64*(100/O64)*N64*L64*M64)*1000)/(100*K64+J64*(100/O64)*P64)))</f>
        <v>0</v>
      </c>
      <c r="W64" s="470" t="e">
        <f aca="false">IF(ISBLANK(S64),,V64/$V$39)</f>
        <v>#DIV/0!</v>
      </c>
      <c r="X64" s="470" t="e">
        <f aca="false">IF(ISBLANK(S64),,V64/$U$39)</f>
        <v>#DIV/0!</v>
      </c>
      <c r="Y64" s="470" t="e">
        <f aca="false">IF(ISBLANK(S64),,V64/U64)</f>
        <v>#DIV/0!</v>
      </c>
      <c r="Z64" s="474" t="str">
        <f aca="false">IFERROR(__xludf.dummyfunction("""COMPUTED_VALUE"""),"")</f>
        <v/>
      </c>
      <c r="AA64" s="376" t="str">
        <f aca="false">IFERROR(__xludf.dummyfunction("""COMPUTED_VALUE"""),"")</f>
        <v/>
      </c>
      <c r="AB64" s="475" t="str">
        <f aca="false">IF(OR(ISBLANK(AA64),ISNA(AA64)),,AA64)</f>
        <v/>
      </c>
    </row>
    <row r="65" customFormat="false" ht="15.75" hidden="false" customHeight="false" outlineLevel="0" collapsed="false">
      <c r="A65" s="364"/>
      <c r="B65" s="261"/>
      <c r="C65" s="391"/>
      <c r="D65" s="261"/>
      <c r="E65" s="360" t="n">
        <f aca="false">IF(ISBLANK(C65),,INDEX($E$10:$E$14,MATCH(C65,$C$10:$C$14,0)))</f>
        <v>0</v>
      </c>
      <c r="F65" s="360" t="n">
        <f aca="false">IF(ISBLANK(D65),,INDEX($J$10:$J$20,MATCH(D65,$H$10:$H$20,0)))</f>
        <v>0</v>
      </c>
      <c r="G65" s="376" t="n">
        <f aca="false">IF(ISBLANK(C65),,INDEX($E$24:$E$28,MATCH(C65,$C$24:$C$28,0)))</f>
        <v>0</v>
      </c>
      <c r="H65" s="376" t="n">
        <f aca="false">IF(ISBLANK(C65),,INDEX($F$24:$F$28,MATCH(C65,$C$24:$C$28,0))*INDEX($G$24:$G$28,MATCH(C65,$C$24:$C$28,0)))</f>
        <v>0</v>
      </c>
      <c r="I65" s="376" t="n">
        <f aca="false">IF(ISBLANK(C65),,INDEX($H$24:$H$28,MATCH(C65,$C$24:$C$28,0)))</f>
        <v>0</v>
      </c>
      <c r="J65" s="376" t="n">
        <f aca="false">IF(ISBLANK(C65),,INDEX($I$24:$I$28,MATCH(C65,$C$24:$C$28,0)))</f>
        <v>0</v>
      </c>
      <c r="K65" s="376" t="n">
        <f aca="false">IF(ISBLANK(C65),,INDEX($J$24:$J$28,MATCH(C65,$C$24:$C$28,0)))</f>
        <v>0</v>
      </c>
      <c r="L65" s="376" t="n">
        <f aca="false">IF(ISBLANK(D65),,INDEX($P$24:$P$34,MATCH(D65,$N$24:$N$34,0)))</f>
        <v>0</v>
      </c>
      <c r="M65" s="376" t="n">
        <f aca="false">IF(ISBLANK(D65),,INDEX($Q$24:$Q$34,MATCH(D65,$N$24:$N$34,0))*INDEX($R$24:$R$34,MATCH(D65,$N$24:$N$34,0)))</f>
        <v>0</v>
      </c>
      <c r="N65" s="376" t="n">
        <f aca="false">IF(ISBLANK(D65),,INDEX($S$24:$S$34,MATCH(D65,$N$24:$N$34,0)))</f>
        <v>0</v>
      </c>
      <c r="O65" s="376" t="n">
        <f aca="false">IF(ISBLANK(D65),,INDEX($T$24:$T$34,MATCH(D65,$N$24:$N$34,0)))</f>
        <v>0</v>
      </c>
      <c r="P65" s="467" t="n">
        <f aca="false">IF(ISBLANK(D65),,INDEX($U$24:$U$34,MATCH(D65,$N$24:$N$34,0)))</f>
        <v>0</v>
      </c>
      <c r="Q65" s="468"/>
      <c r="R65" s="469" t="e">
        <f aca="false">IF(ISBLANK(S65),,RANK(V65,$V$41:$V$95)+COUNTIF($V$41:V65,V65)-1)</f>
        <v>#N/A</v>
      </c>
      <c r="S65" s="374" t="n">
        <f aca="false">IF(E65=1,"(L) " &amp; C65,C65)</f>
        <v>0</v>
      </c>
      <c r="T65" s="374" t="n">
        <f aca="false">IF(F65=1,"(L) " &amp; D65,D65)</f>
        <v>0</v>
      </c>
      <c r="U65" s="377" t="n">
        <f aca="false">IF(ISBLANK(C65),,IF(O65=100,(((ROUNDUP(O65/J65,0)*I65*G65+N65*L65)*1000))/(ROUNDUP(O65/J65,0)*K65+P65),((100*I65*G65+J65*(100/O65)*N65*L65)*1000)/(100*K65+J65*(100/O65)*P65)))</f>
        <v>0</v>
      </c>
      <c r="V65" s="377" t="n">
        <f aca="false">IF(ISBLANK(C65),,IF(O65=100,(((ROUNDUP(O65/J65,0)*I65*G65*H65+N65*L65*M65)*1000))/(ROUNDUP(O65/J65,0)*K65+P65),((100*I65*G65*H65+J65*(100/O65)*N65*L65*M65)*1000)/(100*K65+J65*(100/O65)*P65)))</f>
        <v>0</v>
      </c>
      <c r="W65" s="470" t="e">
        <f aca="false">IF(ISBLANK(S65),,V65/$V$39)</f>
        <v>#DIV/0!</v>
      </c>
      <c r="X65" s="470" t="e">
        <f aca="false">IF(ISBLANK(S65),,V65/$U$39)</f>
        <v>#DIV/0!</v>
      </c>
      <c r="Y65" s="470" t="e">
        <f aca="false">IF(ISBLANK(S65),,V65/U65)</f>
        <v>#DIV/0!</v>
      </c>
      <c r="Z65" s="474" t="str">
        <f aca="false">IFERROR(__xludf.dummyfunction("""COMPUTED_VALUE"""),"")</f>
        <v/>
      </c>
      <c r="AA65" s="376" t="str">
        <f aca="false">IFERROR(__xludf.dummyfunction("""COMPUTED_VALUE"""),"")</f>
        <v/>
      </c>
      <c r="AB65" s="475" t="str">
        <f aca="false">IF(OR(ISBLANK(AA65),ISNA(AA65)),,AA65)</f>
        <v/>
      </c>
    </row>
    <row r="66" customFormat="false" ht="15.75" hidden="false" customHeight="false" outlineLevel="0" collapsed="false">
      <c r="A66" s="364"/>
      <c r="B66" s="261"/>
      <c r="C66" s="391"/>
      <c r="D66" s="261"/>
      <c r="E66" s="360" t="n">
        <f aca="false">IF(ISBLANK(C66),,INDEX($E$10:$E$14,MATCH(C66,$C$10:$C$14,0)))</f>
        <v>0</v>
      </c>
      <c r="F66" s="360" t="n">
        <f aca="false">IF(ISBLANK(D66),,INDEX($J$10:$J$20,MATCH(D66,$H$10:$H$20,0)))</f>
        <v>0</v>
      </c>
      <c r="G66" s="376" t="n">
        <f aca="false">IF(ISBLANK(C66),,INDEX($E$24:$E$28,MATCH(C66,$C$24:$C$28,0)))</f>
        <v>0</v>
      </c>
      <c r="H66" s="376" t="n">
        <f aca="false">IF(ISBLANK(C66),,INDEX($F$24:$F$28,MATCH(C66,$C$24:$C$28,0))*INDEX($G$24:$G$28,MATCH(C66,$C$24:$C$28,0)))</f>
        <v>0</v>
      </c>
      <c r="I66" s="376" t="n">
        <f aca="false">IF(ISBLANK(C66),,INDEX($H$24:$H$28,MATCH(C66,$C$24:$C$28,0)))</f>
        <v>0</v>
      </c>
      <c r="J66" s="376" t="n">
        <f aca="false">IF(ISBLANK(C66),,INDEX($I$24:$I$28,MATCH(C66,$C$24:$C$28,0)))</f>
        <v>0</v>
      </c>
      <c r="K66" s="376" t="n">
        <f aca="false">IF(ISBLANK(C66),,INDEX($J$24:$J$28,MATCH(C66,$C$24:$C$28,0)))</f>
        <v>0</v>
      </c>
      <c r="L66" s="376" t="n">
        <f aca="false">IF(ISBLANK(D66),,INDEX($P$24:$P$34,MATCH(D66,$N$24:$N$34,0)))</f>
        <v>0</v>
      </c>
      <c r="M66" s="376" t="n">
        <f aca="false">IF(ISBLANK(D66),,INDEX($Q$24:$Q$34,MATCH(D66,$N$24:$N$34,0))*INDEX($R$24:$R$34,MATCH(D66,$N$24:$N$34,0)))</f>
        <v>0</v>
      </c>
      <c r="N66" s="376" t="n">
        <f aca="false">IF(ISBLANK(D66),,INDEX($S$24:$S$34,MATCH(D66,$N$24:$N$34,0)))</f>
        <v>0</v>
      </c>
      <c r="O66" s="376" t="n">
        <f aca="false">IF(ISBLANK(D66),,INDEX($T$24:$T$34,MATCH(D66,$N$24:$N$34,0)))</f>
        <v>0</v>
      </c>
      <c r="P66" s="467" t="n">
        <f aca="false">IF(ISBLANK(D66),,INDEX($U$24:$U$34,MATCH(D66,$N$24:$N$34,0)))</f>
        <v>0</v>
      </c>
      <c r="Q66" s="468"/>
      <c r="R66" s="469" t="e">
        <f aca="false">IF(ISBLANK(S66),,RANK(V66,$V$41:$V$95)+COUNTIF($V$41:V66,V66)-1)</f>
        <v>#N/A</v>
      </c>
      <c r="S66" s="374" t="n">
        <f aca="false">IF(E66=1,"(L) " &amp; C66,C66)</f>
        <v>0</v>
      </c>
      <c r="T66" s="374" t="n">
        <f aca="false">IF(F66=1,"(L) " &amp; D66,D66)</f>
        <v>0</v>
      </c>
      <c r="U66" s="377" t="n">
        <f aca="false">IF(ISBLANK(C66),,IF(O66=100,(((ROUNDUP(O66/J66,0)*I66*G66+N66*L66)*1000))/(ROUNDUP(O66/J66,0)*K66+P66),((100*I66*G66+J66*(100/O66)*N66*L66)*1000)/(100*K66+J66*(100/O66)*P66)))</f>
        <v>0</v>
      </c>
      <c r="V66" s="377" t="n">
        <f aca="false">IF(ISBLANK(C66),,IF(O66=100,(((ROUNDUP(O66/J66,0)*I66*G66*H66+N66*L66*M66)*1000))/(ROUNDUP(O66/J66,0)*K66+P66),((100*I66*G66*H66+J66*(100/O66)*N66*L66*M66)*1000)/(100*K66+J66*(100/O66)*P66)))</f>
        <v>0</v>
      </c>
      <c r="W66" s="470" t="e">
        <f aca="false">IF(ISBLANK(S66),,V66/$V$39)</f>
        <v>#DIV/0!</v>
      </c>
      <c r="X66" s="470" t="e">
        <f aca="false">IF(ISBLANK(S66),,V66/$U$39)</f>
        <v>#DIV/0!</v>
      </c>
      <c r="Y66" s="470" t="e">
        <f aca="false">IF(ISBLANK(S66),,V66/U66)</f>
        <v>#DIV/0!</v>
      </c>
      <c r="Z66" s="474" t="str">
        <f aca="false">IFERROR(__xludf.dummyfunction("""COMPUTED_VALUE"""),"")</f>
        <v/>
      </c>
      <c r="AA66" s="376" t="str">
        <f aca="false">IFERROR(__xludf.dummyfunction("""COMPUTED_VALUE"""),"")</f>
        <v/>
      </c>
      <c r="AB66" s="475" t="str">
        <f aca="false">IF(OR(ISBLANK(AA66),ISNA(AA66)),,AA66)</f>
        <v/>
      </c>
    </row>
    <row r="67" customFormat="false" ht="15.75" hidden="false" customHeight="false" outlineLevel="0" collapsed="false">
      <c r="A67" s="364"/>
      <c r="B67" s="261"/>
      <c r="C67" s="391"/>
      <c r="D67" s="261"/>
      <c r="E67" s="360" t="n">
        <f aca="false">IF(ISBLANK(C67),,INDEX($E$10:$E$14,MATCH(C67,$C$10:$C$14,0)))</f>
        <v>0</v>
      </c>
      <c r="F67" s="360" t="n">
        <f aca="false">IF(ISBLANK(D67),,INDEX($J$10:$J$20,MATCH(D67,$H$10:$H$20,0)))</f>
        <v>0</v>
      </c>
      <c r="G67" s="376" t="n">
        <f aca="false">IF(ISBLANK(C67),,INDEX($E$24:$E$28,MATCH(C67,$C$24:$C$28,0)))</f>
        <v>0</v>
      </c>
      <c r="H67" s="376" t="n">
        <f aca="false">IF(ISBLANK(C67),,INDEX($F$24:$F$28,MATCH(C67,$C$24:$C$28,0))*INDEX($G$24:$G$28,MATCH(C67,$C$24:$C$28,0)))</f>
        <v>0</v>
      </c>
      <c r="I67" s="376" t="n">
        <f aca="false">IF(ISBLANK(C67),,INDEX($H$24:$H$28,MATCH(C67,$C$24:$C$28,0)))</f>
        <v>0</v>
      </c>
      <c r="J67" s="376" t="n">
        <f aca="false">IF(ISBLANK(C67),,INDEX($I$24:$I$28,MATCH(C67,$C$24:$C$28,0)))</f>
        <v>0</v>
      </c>
      <c r="K67" s="376" t="n">
        <f aca="false">IF(ISBLANK(C67),,INDEX($J$24:$J$28,MATCH(C67,$C$24:$C$28,0)))</f>
        <v>0</v>
      </c>
      <c r="L67" s="376" t="n">
        <f aca="false">IF(ISBLANK(D67),,INDEX($P$24:$P$34,MATCH(D67,$N$24:$N$34,0)))</f>
        <v>0</v>
      </c>
      <c r="M67" s="376" t="n">
        <f aca="false">IF(ISBLANK(D67),,INDEX($Q$24:$Q$34,MATCH(D67,$N$24:$N$34,0))*INDEX($R$24:$R$34,MATCH(D67,$N$24:$N$34,0)))</f>
        <v>0</v>
      </c>
      <c r="N67" s="376" t="n">
        <f aca="false">IF(ISBLANK(D67),,INDEX($S$24:$S$34,MATCH(D67,$N$24:$N$34,0)))</f>
        <v>0</v>
      </c>
      <c r="O67" s="376" t="n">
        <f aca="false">IF(ISBLANK(D67),,INDEX($T$24:$T$34,MATCH(D67,$N$24:$N$34,0)))</f>
        <v>0</v>
      </c>
      <c r="P67" s="467" t="n">
        <f aca="false">IF(ISBLANK(D67),,INDEX($U$24:$U$34,MATCH(D67,$N$24:$N$34,0)))</f>
        <v>0</v>
      </c>
      <c r="Q67" s="468"/>
      <c r="R67" s="469" t="e">
        <f aca="false">IF(ISBLANK(S67),,RANK(V67,$V$41:$V$95)+COUNTIF($V$41:V67,V67)-1)</f>
        <v>#N/A</v>
      </c>
      <c r="S67" s="374" t="n">
        <f aca="false">IF(E67=1,"(L) " &amp; C67,C67)</f>
        <v>0</v>
      </c>
      <c r="T67" s="374" t="n">
        <f aca="false">IF(F67=1,"(L) " &amp; D67,D67)</f>
        <v>0</v>
      </c>
      <c r="U67" s="377" t="n">
        <f aca="false">IF(ISBLANK(C67),,IF(O67=100,(((ROUNDUP(O67/J67,0)*I67*G67+N67*L67)*1000))/(ROUNDUP(O67/J67,0)*K67+P67),((100*I67*G67+J67*(100/O67)*N67*L67)*1000)/(100*K67+J67*(100/O67)*P67)))</f>
        <v>0</v>
      </c>
      <c r="V67" s="377" t="n">
        <f aca="false">IF(ISBLANK(C67),,IF(O67=100,(((ROUNDUP(O67/J67,0)*I67*G67*H67+N67*L67*M67)*1000))/(ROUNDUP(O67/J67,0)*K67+P67),((100*I67*G67*H67+J67*(100/O67)*N67*L67*M67)*1000)/(100*K67+J67*(100/O67)*P67)))</f>
        <v>0</v>
      </c>
      <c r="W67" s="470" t="e">
        <f aca="false">IF(ISBLANK(S67),,V67/$V$39)</f>
        <v>#DIV/0!</v>
      </c>
      <c r="X67" s="470" t="e">
        <f aca="false">IF(ISBLANK(S67),,V67/$U$39)</f>
        <v>#DIV/0!</v>
      </c>
      <c r="Y67" s="470" t="e">
        <f aca="false">IF(ISBLANK(S67),,V67/U67)</f>
        <v>#DIV/0!</v>
      </c>
      <c r="Z67" s="474" t="str">
        <f aca="false">IFERROR(__xludf.dummyfunction("""COMPUTED_VALUE"""),"")</f>
        <v/>
      </c>
      <c r="AA67" s="376" t="str">
        <f aca="false">IFERROR(__xludf.dummyfunction("""COMPUTED_VALUE"""),"")</f>
        <v/>
      </c>
      <c r="AB67" s="475" t="str">
        <f aca="false">IF(OR(ISBLANK(AA67),ISNA(AA67)),,AA67)</f>
        <v/>
      </c>
    </row>
    <row r="68" customFormat="false" ht="15.75" hidden="false" customHeight="false" outlineLevel="0" collapsed="false">
      <c r="A68" s="364"/>
      <c r="B68" s="261"/>
      <c r="C68" s="391"/>
      <c r="D68" s="261"/>
      <c r="E68" s="360" t="n">
        <f aca="false">IF(ISBLANK(C68),,INDEX($E$10:$E$14,MATCH(C68,$C$10:$C$14,0)))</f>
        <v>0</v>
      </c>
      <c r="F68" s="360" t="n">
        <f aca="false">IF(ISBLANK(D68),,INDEX($J$10:$J$20,MATCH(D68,$H$10:$H$20,0)))</f>
        <v>0</v>
      </c>
      <c r="G68" s="376" t="n">
        <f aca="false">IF(ISBLANK(C68),,INDEX($E$24:$E$28,MATCH(C68,$C$24:$C$28,0)))</f>
        <v>0</v>
      </c>
      <c r="H68" s="376" t="n">
        <f aca="false">IF(ISBLANK(C68),,INDEX($F$24:$F$28,MATCH(C68,$C$24:$C$28,0))*INDEX($G$24:$G$28,MATCH(C68,$C$24:$C$28,0)))</f>
        <v>0</v>
      </c>
      <c r="I68" s="376" t="n">
        <f aca="false">IF(ISBLANK(C68),,INDEX($H$24:$H$28,MATCH(C68,$C$24:$C$28,0)))</f>
        <v>0</v>
      </c>
      <c r="J68" s="376" t="n">
        <f aca="false">IF(ISBLANK(C68),,INDEX($I$24:$I$28,MATCH(C68,$C$24:$C$28,0)))</f>
        <v>0</v>
      </c>
      <c r="K68" s="376" t="n">
        <f aca="false">IF(ISBLANK(C68),,INDEX($J$24:$J$28,MATCH(C68,$C$24:$C$28,0)))</f>
        <v>0</v>
      </c>
      <c r="L68" s="376" t="n">
        <f aca="false">IF(ISBLANK(D68),,INDEX($P$24:$P$34,MATCH(D68,$N$24:$N$34,0)))</f>
        <v>0</v>
      </c>
      <c r="M68" s="376" t="n">
        <f aca="false">IF(ISBLANK(D68),,INDEX($Q$24:$Q$34,MATCH(D68,$N$24:$N$34,0))*INDEX($R$24:$R$34,MATCH(D68,$N$24:$N$34,0)))</f>
        <v>0</v>
      </c>
      <c r="N68" s="376" t="n">
        <f aca="false">IF(ISBLANK(D68),,INDEX($S$24:$S$34,MATCH(D68,$N$24:$N$34,0)))</f>
        <v>0</v>
      </c>
      <c r="O68" s="376" t="n">
        <f aca="false">IF(ISBLANK(D68),,INDEX($T$24:$T$34,MATCH(D68,$N$24:$N$34,0)))</f>
        <v>0</v>
      </c>
      <c r="P68" s="467" t="n">
        <f aca="false">IF(ISBLANK(D68),,INDEX($U$24:$U$34,MATCH(D68,$N$24:$N$34,0)))</f>
        <v>0</v>
      </c>
      <c r="Q68" s="468"/>
      <c r="R68" s="469" t="e">
        <f aca="false">IF(ISBLANK(S68),,RANK(V68,$V$41:$V$95)+COUNTIF($V$41:V68,V68)-1)</f>
        <v>#N/A</v>
      </c>
      <c r="S68" s="374" t="n">
        <f aca="false">IF(E68=1,"(L) " &amp; C68,C68)</f>
        <v>0</v>
      </c>
      <c r="T68" s="374" t="n">
        <f aca="false">IF(F68=1,"(L) " &amp; D68,D68)</f>
        <v>0</v>
      </c>
      <c r="U68" s="377" t="n">
        <f aca="false">IF(ISBLANK(C68),,IF(O68=100,(((ROUNDUP(O68/J68,0)*I68*G68+N68*L68)*1000))/(ROUNDUP(O68/J68,0)*K68+P68),((100*I68*G68+J68*(100/O68)*N68*L68)*1000)/(100*K68+J68*(100/O68)*P68)))</f>
        <v>0</v>
      </c>
      <c r="V68" s="377" t="n">
        <f aca="false">IF(ISBLANK(C68),,IF(O68=100,(((ROUNDUP(O68/J68,0)*I68*G68*H68+N68*L68*M68)*1000))/(ROUNDUP(O68/J68,0)*K68+P68),((100*I68*G68*H68+J68*(100/O68)*N68*L68*M68)*1000)/(100*K68+J68*(100/O68)*P68)))</f>
        <v>0</v>
      </c>
      <c r="W68" s="470" t="e">
        <f aca="false">IF(ISBLANK(S68),,V68/$V$39)</f>
        <v>#DIV/0!</v>
      </c>
      <c r="X68" s="470" t="e">
        <f aca="false">IF(ISBLANK(S68),,V68/$U$39)</f>
        <v>#DIV/0!</v>
      </c>
      <c r="Y68" s="470" t="e">
        <f aca="false">IF(ISBLANK(S68),,V68/U68)</f>
        <v>#DIV/0!</v>
      </c>
      <c r="Z68" s="474" t="str">
        <f aca="false">IFERROR(__xludf.dummyfunction("""COMPUTED_VALUE"""),"")</f>
        <v/>
      </c>
      <c r="AA68" s="376" t="str">
        <f aca="false">IFERROR(__xludf.dummyfunction("""COMPUTED_VALUE"""),"")</f>
        <v/>
      </c>
      <c r="AB68" s="475" t="str">
        <f aca="false">IF(OR(ISBLANK(AA68),ISNA(AA68)),,AA68)</f>
        <v/>
      </c>
    </row>
    <row r="69" customFormat="false" ht="15.75" hidden="false" customHeight="false" outlineLevel="0" collapsed="false">
      <c r="A69" s="364"/>
      <c r="B69" s="261"/>
      <c r="C69" s="391"/>
      <c r="D69" s="261"/>
      <c r="E69" s="360" t="n">
        <f aca="false">IF(ISBLANK(C69),,INDEX($E$10:$E$14,MATCH(C69,$C$10:$C$14,0)))</f>
        <v>0</v>
      </c>
      <c r="F69" s="360" t="n">
        <f aca="false">IF(ISBLANK(D69),,INDEX($J$10:$J$20,MATCH(D69,$H$10:$H$20,0)))</f>
        <v>0</v>
      </c>
      <c r="G69" s="376" t="n">
        <f aca="false">IF(ISBLANK(C69),,INDEX($E$24:$E$28,MATCH(C69,$C$24:$C$28,0)))</f>
        <v>0</v>
      </c>
      <c r="H69" s="376" t="n">
        <f aca="false">IF(ISBLANK(C69),,INDEX($F$24:$F$28,MATCH(C69,$C$24:$C$28,0))*INDEX($G$24:$G$28,MATCH(C69,$C$24:$C$28,0)))</f>
        <v>0</v>
      </c>
      <c r="I69" s="376" t="n">
        <f aca="false">IF(ISBLANK(C69),,INDEX($H$24:$H$28,MATCH(C69,$C$24:$C$28,0)))</f>
        <v>0</v>
      </c>
      <c r="J69" s="376" t="n">
        <f aca="false">IF(ISBLANK(C69),,INDEX($I$24:$I$28,MATCH(C69,$C$24:$C$28,0)))</f>
        <v>0</v>
      </c>
      <c r="K69" s="376" t="n">
        <f aca="false">IF(ISBLANK(C69),,INDEX($J$24:$J$28,MATCH(C69,$C$24:$C$28,0)))</f>
        <v>0</v>
      </c>
      <c r="L69" s="376" t="n">
        <f aca="false">IF(ISBLANK(D69),,INDEX($P$24:$P$34,MATCH(D69,$N$24:$N$34,0)))</f>
        <v>0</v>
      </c>
      <c r="M69" s="376" t="n">
        <f aca="false">IF(ISBLANK(D69),,INDEX($Q$24:$Q$34,MATCH(D69,$N$24:$N$34,0))*INDEX($R$24:$R$34,MATCH(D69,$N$24:$N$34,0)))</f>
        <v>0</v>
      </c>
      <c r="N69" s="376" t="n">
        <f aca="false">IF(ISBLANK(D69),,INDEX($S$24:$S$34,MATCH(D69,$N$24:$N$34,0)))</f>
        <v>0</v>
      </c>
      <c r="O69" s="376" t="n">
        <f aca="false">IF(ISBLANK(D69),,INDEX($T$24:$T$34,MATCH(D69,$N$24:$N$34,0)))</f>
        <v>0</v>
      </c>
      <c r="P69" s="467" t="n">
        <f aca="false">IF(ISBLANK(D69),,INDEX($U$24:$U$34,MATCH(D69,$N$24:$N$34,0)))</f>
        <v>0</v>
      </c>
      <c r="Q69" s="468"/>
      <c r="R69" s="469" t="e">
        <f aca="false">IF(ISBLANK(S69),,RANK(V69,$V$41:$V$95)+COUNTIF($V$41:V69,V69)-1)</f>
        <v>#N/A</v>
      </c>
      <c r="S69" s="374" t="n">
        <f aca="false">IF(E69=1,"(L) " &amp; C69,C69)</f>
        <v>0</v>
      </c>
      <c r="T69" s="374" t="n">
        <f aca="false">IF(F69=1,"(L) " &amp; D69,D69)</f>
        <v>0</v>
      </c>
      <c r="U69" s="377" t="n">
        <f aca="false">IF(ISBLANK(C69),,IF(O69=100,(((ROUNDUP(O69/J69,0)*I69*G69+N69*L69)*1000))/(ROUNDUP(O69/J69,0)*K69+P69),((100*I69*G69+J69*(100/O69)*N69*L69)*1000)/(100*K69+J69*(100/O69)*P69)))</f>
        <v>0</v>
      </c>
      <c r="V69" s="377" t="n">
        <f aca="false">IF(ISBLANK(C69),,IF(O69=100,(((ROUNDUP(O69/J69,0)*I69*G69*H69+N69*L69*M69)*1000))/(ROUNDUP(O69/J69,0)*K69+P69),((100*I69*G69*H69+J69*(100/O69)*N69*L69*M69)*1000)/(100*K69+J69*(100/O69)*P69)))</f>
        <v>0</v>
      </c>
      <c r="W69" s="470" t="e">
        <f aca="false">IF(ISBLANK(S69),,V69/$V$39)</f>
        <v>#DIV/0!</v>
      </c>
      <c r="X69" s="470" t="e">
        <f aca="false">IF(ISBLANK(S69),,V69/$U$39)</f>
        <v>#DIV/0!</v>
      </c>
      <c r="Y69" s="470" t="e">
        <f aca="false">IF(ISBLANK(S69),,V69/U69)</f>
        <v>#DIV/0!</v>
      </c>
      <c r="Z69" s="474" t="str">
        <f aca="false">IFERROR(__xludf.dummyfunction("""COMPUTED_VALUE"""),"")</f>
        <v/>
      </c>
      <c r="AA69" s="376" t="str">
        <f aca="false">IFERROR(__xludf.dummyfunction("""COMPUTED_VALUE"""),"")</f>
        <v/>
      </c>
      <c r="AB69" s="475" t="str">
        <f aca="false">IF(OR(ISBLANK(AA69),ISNA(AA69)),,AA69)</f>
        <v/>
      </c>
    </row>
    <row r="70" customFormat="false" ht="15.75" hidden="false" customHeight="false" outlineLevel="0" collapsed="false">
      <c r="A70" s="364"/>
      <c r="B70" s="261"/>
      <c r="C70" s="391"/>
      <c r="D70" s="261"/>
      <c r="E70" s="360" t="n">
        <f aca="false">IF(ISBLANK(C70),,INDEX($E$10:$E$14,MATCH(C70,$C$10:$C$14,0)))</f>
        <v>0</v>
      </c>
      <c r="F70" s="360" t="n">
        <f aca="false">IF(ISBLANK(D70),,INDEX($J$10:$J$20,MATCH(D70,$H$10:$H$20,0)))</f>
        <v>0</v>
      </c>
      <c r="G70" s="376" t="n">
        <f aca="false">IF(ISBLANK(C70),,INDEX($E$24:$E$28,MATCH(C70,$C$24:$C$28,0)))</f>
        <v>0</v>
      </c>
      <c r="H70" s="376" t="n">
        <f aca="false">IF(ISBLANK(C70),,INDEX($F$24:$F$28,MATCH(C70,$C$24:$C$28,0))*INDEX($G$24:$G$28,MATCH(C70,$C$24:$C$28,0)))</f>
        <v>0</v>
      </c>
      <c r="I70" s="376" t="n">
        <f aca="false">IF(ISBLANK(C70),,INDEX($H$24:$H$28,MATCH(C70,$C$24:$C$28,0)))</f>
        <v>0</v>
      </c>
      <c r="J70" s="376" t="n">
        <f aca="false">IF(ISBLANK(C70),,INDEX($I$24:$I$28,MATCH(C70,$C$24:$C$28,0)))</f>
        <v>0</v>
      </c>
      <c r="K70" s="376" t="n">
        <f aca="false">IF(ISBLANK(C70),,INDEX($J$24:$J$28,MATCH(C70,$C$24:$C$28,0)))</f>
        <v>0</v>
      </c>
      <c r="L70" s="376" t="n">
        <f aca="false">IF(ISBLANK(D70),,INDEX($P$24:$P$34,MATCH(D70,$N$24:$N$34,0)))</f>
        <v>0</v>
      </c>
      <c r="M70" s="376" t="n">
        <f aca="false">IF(ISBLANK(D70),,INDEX($Q$24:$Q$34,MATCH(D70,$N$24:$N$34,0))*INDEX($R$24:$R$34,MATCH(D70,$N$24:$N$34,0)))</f>
        <v>0</v>
      </c>
      <c r="N70" s="376" t="n">
        <f aca="false">IF(ISBLANK(D70),,INDEX($S$24:$S$34,MATCH(D70,$N$24:$N$34,0)))</f>
        <v>0</v>
      </c>
      <c r="O70" s="376" t="n">
        <f aca="false">IF(ISBLANK(D70),,INDEX($T$24:$T$34,MATCH(D70,$N$24:$N$34,0)))</f>
        <v>0</v>
      </c>
      <c r="P70" s="467" t="n">
        <f aca="false">IF(ISBLANK(D70),,INDEX($U$24:$U$34,MATCH(D70,$N$24:$N$34,0)))</f>
        <v>0</v>
      </c>
      <c r="Q70" s="468"/>
      <c r="R70" s="469" t="e">
        <f aca="false">IF(ISBLANK(S70),,RANK(V70,$V$41:$V$95)+COUNTIF($V$41:V70,V70)-1)</f>
        <v>#N/A</v>
      </c>
      <c r="S70" s="374" t="n">
        <f aca="false">IF(E70=1,"(L) " &amp; C70,C70)</f>
        <v>0</v>
      </c>
      <c r="T70" s="374" t="n">
        <f aca="false">IF(F70=1,"(L) " &amp; D70,D70)</f>
        <v>0</v>
      </c>
      <c r="U70" s="377" t="n">
        <f aca="false">IF(ISBLANK(C70),,IF(O70=100,(((ROUNDUP(O70/J70,0)*I70*G70+N70*L70)*1000))/(ROUNDUP(O70/J70,0)*K70+P70),((100*I70*G70+J70*(100/O70)*N70*L70)*1000)/(100*K70+J70*(100/O70)*P70)))</f>
        <v>0</v>
      </c>
      <c r="V70" s="377" t="n">
        <f aca="false">IF(ISBLANK(C70),,IF(O70=100,(((ROUNDUP(O70/J70,0)*I70*G70*H70+N70*L70*M70)*1000))/(ROUNDUP(O70/J70,0)*K70+P70),((100*I70*G70*H70+J70*(100/O70)*N70*L70*M70)*1000)/(100*K70+J70*(100/O70)*P70)))</f>
        <v>0</v>
      </c>
      <c r="W70" s="470" t="e">
        <f aca="false">IF(ISBLANK(S70),,V70/$V$39)</f>
        <v>#DIV/0!</v>
      </c>
      <c r="X70" s="470" t="e">
        <f aca="false">IF(ISBLANK(S70),,V70/$U$39)</f>
        <v>#DIV/0!</v>
      </c>
      <c r="Y70" s="470" t="e">
        <f aca="false">IF(ISBLANK(S70),,V70/U70)</f>
        <v>#DIV/0!</v>
      </c>
      <c r="Z70" s="474" t="str">
        <f aca="false">IFERROR(__xludf.dummyfunction("""COMPUTED_VALUE"""),"")</f>
        <v/>
      </c>
      <c r="AA70" s="376" t="str">
        <f aca="false">IFERROR(__xludf.dummyfunction("""COMPUTED_VALUE"""),"")</f>
        <v/>
      </c>
      <c r="AB70" s="475" t="str">
        <f aca="false">IF(OR(ISBLANK(AA70),ISNA(AA70)),,AA70)</f>
        <v/>
      </c>
    </row>
    <row r="71" customFormat="false" ht="15.75" hidden="false" customHeight="false" outlineLevel="0" collapsed="false">
      <c r="A71" s="364"/>
      <c r="B71" s="261"/>
      <c r="C71" s="391"/>
      <c r="D71" s="261"/>
      <c r="E71" s="360" t="n">
        <f aca="false">IF(ISBLANK(C71),,INDEX($E$10:$E$14,MATCH(C71,$C$10:$C$14,0)))</f>
        <v>0</v>
      </c>
      <c r="F71" s="360" t="n">
        <f aca="false">IF(ISBLANK(D71),,INDEX($J$10:$J$20,MATCH(D71,$H$10:$H$20,0)))</f>
        <v>0</v>
      </c>
      <c r="G71" s="376" t="n">
        <f aca="false">IF(ISBLANK(C71),,INDEX($E$24:$E$28,MATCH(C71,$C$24:$C$28,0)))</f>
        <v>0</v>
      </c>
      <c r="H71" s="376" t="n">
        <f aca="false">IF(ISBLANK(C71),,INDEX($F$24:$F$28,MATCH(C71,$C$24:$C$28,0))*INDEX($G$24:$G$28,MATCH(C71,$C$24:$C$28,0)))</f>
        <v>0</v>
      </c>
      <c r="I71" s="376" t="n">
        <f aca="false">IF(ISBLANK(C71),,INDEX($H$24:$H$28,MATCH(C71,$C$24:$C$28,0)))</f>
        <v>0</v>
      </c>
      <c r="J71" s="376" t="n">
        <f aca="false">IF(ISBLANK(C71),,INDEX($I$24:$I$28,MATCH(C71,$C$24:$C$28,0)))</f>
        <v>0</v>
      </c>
      <c r="K71" s="376" t="n">
        <f aca="false">IF(ISBLANK(C71),,INDEX($J$24:$J$28,MATCH(C71,$C$24:$C$28,0)))</f>
        <v>0</v>
      </c>
      <c r="L71" s="376" t="n">
        <f aca="false">IF(ISBLANK(D71),,INDEX($P$24:$P$34,MATCH(D71,$N$24:$N$34,0)))</f>
        <v>0</v>
      </c>
      <c r="M71" s="376" t="n">
        <f aca="false">IF(ISBLANK(D71),,INDEX($Q$24:$Q$34,MATCH(D71,$N$24:$N$34,0))*INDEX($R$24:$R$34,MATCH(D71,$N$24:$N$34,0)))</f>
        <v>0</v>
      </c>
      <c r="N71" s="376" t="n">
        <f aca="false">IF(ISBLANK(D71),,INDEX($S$24:$S$34,MATCH(D71,$N$24:$N$34,0)))</f>
        <v>0</v>
      </c>
      <c r="O71" s="376" t="n">
        <f aca="false">IF(ISBLANK(D71),,INDEX($T$24:$T$34,MATCH(D71,$N$24:$N$34,0)))</f>
        <v>0</v>
      </c>
      <c r="P71" s="467" t="n">
        <f aca="false">IF(ISBLANK(D71),,INDEX($U$24:$U$34,MATCH(D71,$N$24:$N$34,0)))</f>
        <v>0</v>
      </c>
      <c r="Q71" s="468"/>
      <c r="R71" s="469" t="e">
        <f aca="false">IF(ISBLANK(S71),,RANK(V71,$V$41:$V$95)+COUNTIF($V$41:V71,V71)-1)</f>
        <v>#N/A</v>
      </c>
      <c r="S71" s="374" t="n">
        <f aca="false">IF(E71=1,"(L) " &amp; C71,C71)</f>
        <v>0</v>
      </c>
      <c r="T71" s="374" t="n">
        <f aca="false">IF(F71=1,"(L) " &amp; D71,D71)</f>
        <v>0</v>
      </c>
      <c r="U71" s="377" t="n">
        <f aca="false">IF(ISBLANK(C71),,IF(O71=100,(((ROUNDUP(O71/J71,0)*I71*G71+N71*L71)*1000))/(ROUNDUP(O71/J71,0)*K71+P71),((100*I71*G71+J71*(100/O71)*N71*L71)*1000)/(100*K71+J71*(100/O71)*P71)))</f>
        <v>0</v>
      </c>
      <c r="V71" s="377" t="n">
        <f aca="false">IF(ISBLANK(C71),,IF(O71=100,(((ROUNDUP(O71/J71,0)*I71*G71*H71+N71*L71*M71)*1000))/(ROUNDUP(O71/J71,0)*K71+P71),((100*I71*G71*H71+J71*(100/O71)*N71*L71*M71)*1000)/(100*K71+J71*(100/O71)*P71)))</f>
        <v>0</v>
      </c>
      <c r="W71" s="470" t="e">
        <f aca="false">IF(ISBLANK(S71),,V71/$V$39)</f>
        <v>#DIV/0!</v>
      </c>
      <c r="X71" s="470" t="e">
        <f aca="false">IF(ISBLANK(S71),,V71/$U$39)</f>
        <v>#DIV/0!</v>
      </c>
      <c r="Y71" s="470" t="e">
        <f aca="false">IF(ISBLANK(S71),,V71/U71)</f>
        <v>#DIV/0!</v>
      </c>
      <c r="Z71" s="474" t="str">
        <f aca="false">IFERROR(__xludf.dummyfunction("""COMPUTED_VALUE"""),"")</f>
        <v/>
      </c>
      <c r="AA71" s="376" t="str">
        <f aca="false">IFERROR(__xludf.dummyfunction("""COMPUTED_VALUE"""),"")</f>
        <v/>
      </c>
      <c r="AB71" s="475" t="str">
        <f aca="false">IF(OR(ISBLANK(AA71),ISNA(AA71)),,AA71)</f>
        <v/>
      </c>
    </row>
    <row r="72" customFormat="false" ht="15.75" hidden="false" customHeight="false" outlineLevel="0" collapsed="false">
      <c r="A72" s="364"/>
      <c r="B72" s="261"/>
      <c r="C72" s="391"/>
      <c r="D72" s="261"/>
      <c r="E72" s="360" t="n">
        <f aca="false">IF(ISBLANK(C72),,INDEX($E$10:$E$14,MATCH(C72,$C$10:$C$14,0)))</f>
        <v>0</v>
      </c>
      <c r="F72" s="360" t="n">
        <f aca="false">IF(ISBLANK(D72),,INDEX($J$10:$J$20,MATCH(D72,$H$10:$H$20,0)))</f>
        <v>0</v>
      </c>
      <c r="G72" s="376" t="n">
        <f aca="false">IF(ISBLANK(C72),,INDEX($E$24:$E$28,MATCH(C72,$C$24:$C$28,0)))</f>
        <v>0</v>
      </c>
      <c r="H72" s="376" t="n">
        <f aca="false">IF(ISBLANK(C72),,INDEX($F$24:$F$28,MATCH(C72,$C$24:$C$28,0))*INDEX($G$24:$G$28,MATCH(C72,$C$24:$C$28,0)))</f>
        <v>0</v>
      </c>
      <c r="I72" s="376" t="n">
        <f aca="false">IF(ISBLANK(C72),,INDEX($H$24:$H$28,MATCH(C72,$C$24:$C$28,0)))</f>
        <v>0</v>
      </c>
      <c r="J72" s="376" t="n">
        <f aca="false">IF(ISBLANK(C72),,INDEX($I$24:$I$28,MATCH(C72,$C$24:$C$28,0)))</f>
        <v>0</v>
      </c>
      <c r="K72" s="376" t="n">
        <f aca="false">IF(ISBLANK(C72),,INDEX($J$24:$J$28,MATCH(C72,$C$24:$C$28,0)))</f>
        <v>0</v>
      </c>
      <c r="L72" s="376" t="n">
        <f aca="false">IF(ISBLANK(D72),,INDEX($P$24:$P$34,MATCH(D72,$N$24:$N$34,0)))</f>
        <v>0</v>
      </c>
      <c r="M72" s="376" t="n">
        <f aca="false">IF(ISBLANK(D72),,INDEX($Q$24:$Q$34,MATCH(D72,$N$24:$N$34,0))*INDEX($R$24:$R$34,MATCH(D72,$N$24:$N$34,0)))</f>
        <v>0</v>
      </c>
      <c r="N72" s="376" t="n">
        <f aca="false">IF(ISBLANK(D72),,INDEX($S$24:$S$34,MATCH(D72,$N$24:$N$34,0)))</f>
        <v>0</v>
      </c>
      <c r="O72" s="376" t="n">
        <f aca="false">IF(ISBLANK(D72),,INDEX($T$24:$T$34,MATCH(D72,$N$24:$N$34,0)))</f>
        <v>0</v>
      </c>
      <c r="P72" s="467" t="n">
        <f aca="false">IF(ISBLANK(D72),,INDEX($U$24:$U$34,MATCH(D72,$N$24:$N$34,0)))</f>
        <v>0</v>
      </c>
      <c r="Q72" s="468"/>
      <c r="R72" s="469" t="e">
        <f aca="false">IF(ISBLANK(S72),,RANK(V72,$V$41:$V$95)+COUNTIF($V$41:V72,V72)-1)</f>
        <v>#N/A</v>
      </c>
      <c r="S72" s="374" t="n">
        <f aca="false">IF(E72=1,"(L) " &amp; C72,C72)</f>
        <v>0</v>
      </c>
      <c r="T72" s="374" t="n">
        <f aca="false">IF(F72=1,"(L) " &amp; D72,D72)</f>
        <v>0</v>
      </c>
      <c r="U72" s="377" t="n">
        <f aca="false">IF(ISBLANK(C72),,IF(O72=100,(((ROUNDUP(O72/J72,0)*I72*G72+N72*L72)*1000))/(ROUNDUP(O72/J72,0)*K72+P72),((100*I72*G72+J72*(100/O72)*N72*L72)*1000)/(100*K72+J72*(100/O72)*P72)))</f>
        <v>0</v>
      </c>
      <c r="V72" s="377" t="n">
        <f aca="false">IF(ISBLANK(C72),,IF(O72=100,(((ROUNDUP(O72/J72,0)*I72*G72*H72+N72*L72*M72)*1000))/(ROUNDUP(O72/J72,0)*K72+P72),((100*I72*G72*H72+J72*(100/O72)*N72*L72*M72)*1000)/(100*K72+J72*(100/O72)*P72)))</f>
        <v>0</v>
      </c>
      <c r="W72" s="470" t="e">
        <f aca="false">IF(ISBLANK(S72),,V72/$V$39)</f>
        <v>#DIV/0!</v>
      </c>
      <c r="X72" s="470" t="e">
        <f aca="false">IF(ISBLANK(S72),,V72/$U$39)</f>
        <v>#DIV/0!</v>
      </c>
      <c r="Y72" s="470" t="e">
        <f aca="false">IF(ISBLANK(S72),,V72/U72)</f>
        <v>#DIV/0!</v>
      </c>
      <c r="Z72" s="474" t="str">
        <f aca="false">IFERROR(__xludf.dummyfunction("""COMPUTED_VALUE"""),"")</f>
        <v/>
      </c>
      <c r="AA72" s="376" t="str">
        <f aca="false">IFERROR(__xludf.dummyfunction("""COMPUTED_VALUE"""),"")</f>
        <v/>
      </c>
      <c r="AB72" s="475" t="str">
        <f aca="false">IF(OR(ISBLANK(AA72),ISNA(AA72)),,AA72)</f>
        <v/>
      </c>
    </row>
    <row r="73" customFormat="false" ht="15.75" hidden="false" customHeight="false" outlineLevel="0" collapsed="false">
      <c r="A73" s="364"/>
      <c r="B73" s="261"/>
      <c r="C73" s="391"/>
      <c r="D73" s="261"/>
      <c r="E73" s="360" t="n">
        <f aca="false">IF(ISBLANK(C73),,INDEX($E$10:$E$14,MATCH(C73,$C$10:$C$14,0)))</f>
        <v>0</v>
      </c>
      <c r="F73" s="360" t="n">
        <f aca="false">IF(ISBLANK(D73),,INDEX($J$10:$J$20,MATCH(D73,$H$10:$H$20,0)))</f>
        <v>0</v>
      </c>
      <c r="G73" s="376" t="n">
        <f aca="false">IF(ISBLANK(C73),,INDEX($E$24:$E$28,MATCH(C73,$C$24:$C$28,0)))</f>
        <v>0</v>
      </c>
      <c r="H73" s="376" t="n">
        <f aca="false">IF(ISBLANK(C73),,INDEX($F$24:$F$28,MATCH(C73,$C$24:$C$28,0))*INDEX($G$24:$G$28,MATCH(C73,$C$24:$C$28,0)))</f>
        <v>0</v>
      </c>
      <c r="I73" s="376" t="n">
        <f aca="false">IF(ISBLANK(C73),,INDEX($H$24:$H$28,MATCH(C73,$C$24:$C$28,0)))</f>
        <v>0</v>
      </c>
      <c r="J73" s="376" t="n">
        <f aca="false">IF(ISBLANK(C73),,INDEX($I$24:$I$28,MATCH(C73,$C$24:$C$28,0)))</f>
        <v>0</v>
      </c>
      <c r="K73" s="376" t="n">
        <f aca="false">IF(ISBLANK(C73),,INDEX($J$24:$J$28,MATCH(C73,$C$24:$C$28,0)))</f>
        <v>0</v>
      </c>
      <c r="L73" s="376" t="n">
        <f aca="false">IF(ISBLANK(D73),,INDEX($P$24:$P$34,MATCH(D73,$N$24:$N$34,0)))</f>
        <v>0</v>
      </c>
      <c r="M73" s="376" t="n">
        <f aca="false">IF(ISBLANK(D73),,INDEX($Q$24:$Q$34,MATCH(D73,$N$24:$N$34,0))*INDEX($R$24:$R$34,MATCH(D73,$N$24:$N$34,0)))</f>
        <v>0</v>
      </c>
      <c r="N73" s="376" t="n">
        <f aca="false">IF(ISBLANK(D73),,INDEX($S$24:$S$34,MATCH(D73,$N$24:$N$34,0)))</f>
        <v>0</v>
      </c>
      <c r="O73" s="376" t="n">
        <f aca="false">IF(ISBLANK(D73),,INDEX($T$24:$T$34,MATCH(D73,$N$24:$N$34,0)))</f>
        <v>0</v>
      </c>
      <c r="P73" s="467" t="n">
        <f aca="false">IF(ISBLANK(D73),,INDEX($U$24:$U$34,MATCH(D73,$N$24:$N$34,0)))</f>
        <v>0</v>
      </c>
      <c r="Q73" s="468"/>
      <c r="R73" s="469" t="e">
        <f aca="false">IF(ISBLANK(S73),,RANK(V73,$V$41:$V$95)+COUNTIF($V$41:V73,V73)-1)</f>
        <v>#N/A</v>
      </c>
      <c r="S73" s="374" t="n">
        <f aca="false">IF(E73=1,"(L) " &amp; C73,C73)</f>
        <v>0</v>
      </c>
      <c r="T73" s="374" t="n">
        <f aca="false">IF(F73=1,"(L) " &amp; D73,D73)</f>
        <v>0</v>
      </c>
      <c r="U73" s="377" t="n">
        <f aca="false">IF(ISBLANK(C73),,IF(O73=100,(((ROUNDUP(O73/J73,0)*I73*G73+N73*L73)*1000))/(ROUNDUP(O73/J73,0)*K73+P73),((100*I73*G73+J73*(100/O73)*N73*L73)*1000)/(100*K73+J73*(100/O73)*P73)))</f>
        <v>0</v>
      </c>
      <c r="V73" s="377" t="n">
        <f aca="false">IF(ISBLANK(C73),,IF(O73=100,(((ROUNDUP(O73/J73,0)*I73*G73*H73+N73*L73*M73)*1000))/(ROUNDUP(O73/J73,0)*K73+P73),((100*I73*G73*H73+J73*(100/O73)*N73*L73*M73)*1000)/(100*K73+J73*(100/O73)*P73)))</f>
        <v>0</v>
      </c>
      <c r="W73" s="470" t="e">
        <f aca="false">IF(ISBLANK(S73),,V73/$V$39)</f>
        <v>#DIV/0!</v>
      </c>
      <c r="X73" s="470" t="e">
        <f aca="false">IF(ISBLANK(S73),,V73/$U$39)</f>
        <v>#DIV/0!</v>
      </c>
      <c r="Y73" s="470" t="e">
        <f aca="false">IF(ISBLANK(S73),,V73/U73)</f>
        <v>#DIV/0!</v>
      </c>
      <c r="Z73" s="474" t="str">
        <f aca="false">IFERROR(__xludf.dummyfunction("""COMPUTED_VALUE"""),"")</f>
        <v/>
      </c>
      <c r="AA73" s="376" t="str">
        <f aca="false">IFERROR(__xludf.dummyfunction("""COMPUTED_VALUE"""),"")</f>
        <v/>
      </c>
      <c r="AB73" s="475" t="str">
        <f aca="false">IF(OR(ISBLANK(AA73),ISNA(AA73)),,AA73)</f>
        <v/>
      </c>
    </row>
    <row r="74" customFormat="false" ht="15.75" hidden="false" customHeight="false" outlineLevel="0" collapsed="false">
      <c r="A74" s="364"/>
      <c r="B74" s="261"/>
      <c r="C74" s="391"/>
      <c r="D74" s="261"/>
      <c r="E74" s="360" t="n">
        <f aca="false">IF(ISBLANK(C74),,INDEX($E$10:$E$14,MATCH(C74,$C$10:$C$14,0)))</f>
        <v>0</v>
      </c>
      <c r="F74" s="360" t="n">
        <f aca="false">IF(ISBLANK(D74),,INDEX($J$10:$J$20,MATCH(D74,$H$10:$H$20,0)))</f>
        <v>0</v>
      </c>
      <c r="G74" s="376" t="n">
        <f aca="false">IF(ISBLANK(C74),,INDEX($E$24:$E$28,MATCH(C74,$C$24:$C$28,0)))</f>
        <v>0</v>
      </c>
      <c r="H74" s="376" t="n">
        <f aca="false">IF(ISBLANK(C74),,INDEX($F$24:$F$28,MATCH(C74,$C$24:$C$28,0))*INDEX($G$24:$G$28,MATCH(C74,$C$24:$C$28,0)))</f>
        <v>0</v>
      </c>
      <c r="I74" s="376" t="n">
        <f aca="false">IF(ISBLANK(C74),,INDEX($H$24:$H$28,MATCH(C74,$C$24:$C$28,0)))</f>
        <v>0</v>
      </c>
      <c r="J74" s="376" t="n">
        <f aca="false">IF(ISBLANK(C74),,INDEX($I$24:$I$28,MATCH(C74,$C$24:$C$28,0)))</f>
        <v>0</v>
      </c>
      <c r="K74" s="376" t="n">
        <f aca="false">IF(ISBLANK(C74),,INDEX($J$24:$J$28,MATCH(C74,$C$24:$C$28,0)))</f>
        <v>0</v>
      </c>
      <c r="L74" s="376" t="n">
        <f aca="false">IF(ISBLANK(D74),,INDEX($P$24:$P$34,MATCH(D74,$N$24:$N$34,0)))</f>
        <v>0</v>
      </c>
      <c r="M74" s="376" t="n">
        <f aca="false">IF(ISBLANK(D74),,INDEX($Q$24:$Q$34,MATCH(D74,$N$24:$N$34,0))*INDEX($R$24:$R$34,MATCH(D74,$N$24:$N$34,0)))</f>
        <v>0</v>
      </c>
      <c r="N74" s="376" t="n">
        <f aca="false">IF(ISBLANK(D74),,INDEX($S$24:$S$34,MATCH(D74,$N$24:$N$34,0)))</f>
        <v>0</v>
      </c>
      <c r="O74" s="376" t="n">
        <f aca="false">IF(ISBLANK(D74),,INDEX($T$24:$T$34,MATCH(D74,$N$24:$N$34,0)))</f>
        <v>0</v>
      </c>
      <c r="P74" s="467" t="n">
        <f aca="false">IF(ISBLANK(D74),,INDEX($U$24:$U$34,MATCH(D74,$N$24:$N$34,0)))</f>
        <v>0</v>
      </c>
      <c r="Q74" s="468"/>
      <c r="R74" s="469" t="e">
        <f aca="false">IF(ISBLANK(S74),,RANK(V74,$V$41:$V$95)+COUNTIF($V$41:V74,V74)-1)</f>
        <v>#N/A</v>
      </c>
      <c r="S74" s="374" t="n">
        <f aca="false">IF(E74=1,"(L) " &amp; C74,C74)</f>
        <v>0</v>
      </c>
      <c r="T74" s="374" t="n">
        <f aca="false">IF(F74=1,"(L) " &amp; D74,D74)</f>
        <v>0</v>
      </c>
      <c r="U74" s="377" t="n">
        <f aca="false">IF(ISBLANK(C74),,IF(O74=100,(((ROUNDUP(O74/J74,0)*I74*G74+N74*L74)*1000))/(ROUNDUP(O74/J74,0)*K74+P74),((100*I74*G74+J74*(100/O74)*N74*L74)*1000)/(100*K74+J74*(100/O74)*P74)))</f>
        <v>0</v>
      </c>
      <c r="V74" s="377" t="n">
        <f aca="false">IF(ISBLANK(C74),,IF(O74=100,(((ROUNDUP(O74/J74,0)*I74*G74*H74+N74*L74*M74)*1000))/(ROUNDUP(O74/J74,0)*K74+P74),((100*I74*G74*H74+J74*(100/O74)*N74*L74*M74)*1000)/(100*K74+J74*(100/O74)*P74)))</f>
        <v>0</v>
      </c>
      <c r="W74" s="470" t="e">
        <f aca="false">IF(ISBLANK(S74),,V74/$V$39)</f>
        <v>#DIV/0!</v>
      </c>
      <c r="X74" s="470" t="e">
        <f aca="false">IF(ISBLANK(S74),,V74/$U$39)</f>
        <v>#DIV/0!</v>
      </c>
      <c r="Y74" s="470" t="e">
        <f aca="false">IF(ISBLANK(S74),,V74/U74)</f>
        <v>#DIV/0!</v>
      </c>
      <c r="Z74" s="474" t="str">
        <f aca="false">IFERROR(__xludf.dummyfunction("""COMPUTED_VALUE"""),"")</f>
        <v/>
      </c>
      <c r="AA74" s="376" t="str">
        <f aca="false">IFERROR(__xludf.dummyfunction("""COMPUTED_VALUE"""),"")</f>
        <v/>
      </c>
      <c r="AB74" s="475" t="str">
        <f aca="false">IF(OR(ISBLANK(AA74),ISNA(AA74)),,AA74)</f>
        <v/>
      </c>
    </row>
    <row r="75" customFormat="false" ht="15.75" hidden="false" customHeight="false" outlineLevel="0" collapsed="false">
      <c r="A75" s="364"/>
      <c r="B75" s="261"/>
      <c r="C75" s="391"/>
      <c r="D75" s="261"/>
      <c r="E75" s="360" t="n">
        <f aca="false">IF(ISBLANK(C75),,INDEX($E$10:$E$14,MATCH(C75,$C$10:$C$14,0)))</f>
        <v>0</v>
      </c>
      <c r="F75" s="360" t="n">
        <f aca="false">IF(ISBLANK(D75),,INDEX($J$10:$J$20,MATCH(D75,$H$10:$H$20,0)))</f>
        <v>0</v>
      </c>
      <c r="G75" s="376" t="n">
        <f aca="false">IF(ISBLANK(C75),,INDEX($E$24:$E$28,MATCH(C75,$C$24:$C$28,0)))</f>
        <v>0</v>
      </c>
      <c r="H75" s="376" t="n">
        <f aca="false">IF(ISBLANK(C75),,INDEX($F$24:$F$28,MATCH(C75,$C$24:$C$28,0))*INDEX($G$24:$G$28,MATCH(C75,$C$24:$C$28,0)))</f>
        <v>0</v>
      </c>
      <c r="I75" s="376" t="n">
        <f aca="false">IF(ISBLANK(C75),,INDEX($H$24:$H$28,MATCH(C75,$C$24:$C$28,0)))</f>
        <v>0</v>
      </c>
      <c r="J75" s="376" t="n">
        <f aca="false">IF(ISBLANK(C75),,INDEX($I$24:$I$28,MATCH(C75,$C$24:$C$28,0)))</f>
        <v>0</v>
      </c>
      <c r="K75" s="376" t="n">
        <f aca="false">IF(ISBLANK(C75),,INDEX($J$24:$J$28,MATCH(C75,$C$24:$C$28,0)))</f>
        <v>0</v>
      </c>
      <c r="L75" s="376" t="n">
        <f aca="false">IF(ISBLANK(D75),,INDEX($P$24:$P$34,MATCH(D75,$N$24:$N$34,0)))</f>
        <v>0</v>
      </c>
      <c r="M75" s="376" t="n">
        <f aca="false">IF(ISBLANK(D75),,INDEX($Q$24:$Q$34,MATCH(D75,$N$24:$N$34,0))*INDEX($R$24:$R$34,MATCH(D75,$N$24:$N$34,0)))</f>
        <v>0</v>
      </c>
      <c r="N75" s="376" t="n">
        <f aca="false">IF(ISBLANK(D75),,INDEX($S$24:$S$34,MATCH(D75,$N$24:$N$34,0)))</f>
        <v>0</v>
      </c>
      <c r="O75" s="376" t="n">
        <f aca="false">IF(ISBLANK(D75),,INDEX($T$24:$T$34,MATCH(D75,$N$24:$N$34,0)))</f>
        <v>0</v>
      </c>
      <c r="P75" s="467" t="n">
        <f aca="false">IF(ISBLANK(D75),,INDEX($U$24:$U$34,MATCH(D75,$N$24:$N$34,0)))</f>
        <v>0</v>
      </c>
      <c r="Q75" s="468"/>
      <c r="R75" s="469" t="e">
        <f aca="false">IF(ISBLANK(S75),,RANK(V75,$V$41:$V$95)+COUNTIF($V$41:V75,V75)-1)</f>
        <v>#N/A</v>
      </c>
      <c r="S75" s="374" t="n">
        <f aca="false">IF(E75=1,"(L) " &amp; C75,C75)</f>
        <v>0</v>
      </c>
      <c r="T75" s="374" t="n">
        <f aca="false">IF(F75=1,"(L) " &amp; D75,D75)</f>
        <v>0</v>
      </c>
      <c r="U75" s="377" t="n">
        <f aca="false">IF(ISBLANK(C75),,IF(O75=100,(((ROUNDUP(O75/J75,0)*I75*G75+N75*L75)*1000))/(ROUNDUP(O75/J75,0)*K75+P75),((100*I75*G75+J75*(100/O75)*N75*L75)*1000)/(100*K75+J75*(100/O75)*P75)))</f>
        <v>0</v>
      </c>
      <c r="V75" s="377" t="n">
        <f aca="false">IF(ISBLANK(C75),,IF(O75=100,(((ROUNDUP(O75/J75,0)*I75*G75*H75+N75*L75*M75)*1000))/(ROUNDUP(O75/J75,0)*K75+P75),((100*I75*G75*H75+J75*(100/O75)*N75*L75*M75)*1000)/(100*K75+J75*(100/O75)*P75)))</f>
        <v>0</v>
      </c>
      <c r="W75" s="470" t="e">
        <f aca="false">IF(ISBLANK(S75),,V75/$V$39)</f>
        <v>#DIV/0!</v>
      </c>
      <c r="X75" s="470" t="e">
        <f aca="false">IF(ISBLANK(S75),,V75/$U$39)</f>
        <v>#DIV/0!</v>
      </c>
      <c r="Y75" s="470" t="e">
        <f aca="false">IF(ISBLANK(S75),,V75/U75)</f>
        <v>#DIV/0!</v>
      </c>
      <c r="Z75" s="474" t="str">
        <f aca="false">IFERROR(__xludf.dummyfunction("""COMPUTED_VALUE"""),"")</f>
        <v/>
      </c>
      <c r="AA75" s="376" t="str">
        <f aca="false">IFERROR(__xludf.dummyfunction("""COMPUTED_VALUE"""),"")</f>
        <v/>
      </c>
      <c r="AB75" s="475" t="str">
        <f aca="false">IF(OR(ISBLANK(AA75),ISNA(AA75)),,AA75)</f>
        <v/>
      </c>
    </row>
    <row r="76" customFormat="false" ht="15.75" hidden="false" customHeight="false" outlineLevel="0" collapsed="false">
      <c r="A76" s="364"/>
      <c r="B76" s="261"/>
      <c r="C76" s="391"/>
      <c r="D76" s="261"/>
      <c r="E76" s="360" t="n">
        <f aca="false">IF(ISBLANK(C76),,INDEX($E$10:$E$14,MATCH(C76,$C$10:$C$14,0)))</f>
        <v>0</v>
      </c>
      <c r="F76" s="360" t="n">
        <f aca="false">IF(ISBLANK(D76),,INDEX($J$10:$J$20,MATCH(D76,$H$10:$H$20,0)))</f>
        <v>0</v>
      </c>
      <c r="G76" s="376" t="n">
        <f aca="false">IF(ISBLANK(C76),,INDEX($E$24:$E$28,MATCH(C76,$C$24:$C$28,0)))</f>
        <v>0</v>
      </c>
      <c r="H76" s="376" t="n">
        <f aca="false">IF(ISBLANK(C76),,INDEX($F$24:$F$28,MATCH(C76,$C$24:$C$28,0))*INDEX($G$24:$G$28,MATCH(C76,$C$24:$C$28,0)))</f>
        <v>0</v>
      </c>
      <c r="I76" s="376" t="n">
        <f aca="false">IF(ISBLANK(C76),,INDEX($H$24:$H$28,MATCH(C76,$C$24:$C$28,0)))</f>
        <v>0</v>
      </c>
      <c r="J76" s="376" t="n">
        <f aca="false">IF(ISBLANK(C76),,INDEX($I$24:$I$28,MATCH(C76,$C$24:$C$28,0)))</f>
        <v>0</v>
      </c>
      <c r="K76" s="376" t="n">
        <f aca="false">IF(ISBLANK(C76),,INDEX($J$24:$J$28,MATCH(C76,$C$24:$C$28,0)))</f>
        <v>0</v>
      </c>
      <c r="L76" s="376" t="n">
        <f aca="false">IF(ISBLANK(D76),,INDEX($P$24:$P$34,MATCH(D76,$N$24:$N$34,0)))</f>
        <v>0</v>
      </c>
      <c r="M76" s="376" t="n">
        <f aca="false">IF(ISBLANK(D76),,INDEX($Q$24:$Q$34,MATCH(D76,$N$24:$N$34,0))*INDEX($R$24:$R$34,MATCH(D76,$N$24:$N$34,0)))</f>
        <v>0</v>
      </c>
      <c r="N76" s="376" t="n">
        <f aca="false">IF(ISBLANK(D76),,INDEX($S$24:$S$34,MATCH(D76,$N$24:$N$34,0)))</f>
        <v>0</v>
      </c>
      <c r="O76" s="376" t="n">
        <f aca="false">IF(ISBLANK(D76),,INDEX($T$24:$T$34,MATCH(D76,$N$24:$N$34,0)))</f>
        <v>0</v>
      </c>
      <c r="P76" s="467" t="n">
        <f aca="false">IF(ISBLANK(D76),,INDEX($U$24:$U$34,MATCH(D76,$N$24:$N$34,0)))</f>
        <v>0</v>
      </c>
      <c r="Q76" s="468"/>
      <c r="R76" s="469" t="e">
        <f aca="false">IF(ISBLANK(S76),,RANK(V76,$V$41:$V$95)+COUNTIF($V$41:V76,V76)-1)</f>
        <v>#N/A</v>
      </c>
      <c r="S76" s="374" t="n">
        <f aca="false">IF(E76=1,"(L) " &amp; C76,C76)</f>
        <v>0</v>
      </c>
      <c r="T76" s="374" t="n">
        <f aca="false">IF(F76=1,"(L) " &amp; D76,D76)</f>
        <v>0</v>
      </c>
      <c r="U76" s="377" t="n">
        <f aca="false">IF(ISBLANK(C76),,IF(O76=100,(((ROUNDUP(O76/J76,0)*I76*G76+N76*L76)*1000))/(ROUNDUP(O76/J76,0)*K76+P76),((100*I76*G76+J76*(100/O76)*N76*L76)*1000)/(100*K76+J76*(100/O76)*P76)))</f>
        <v>0</v>
      </c>
      <c r="V76" s="377" t="n">
        <f aca="false">IF(ISBLANK(C76),,IF(O76=100,(((ROUNDUP(O76/J76,0)*I76*G76*H76+N76*L76*M76)*1000))/(ROUNDUP(O76/J76,0)*K76+P76),((100*I76*G76*H76+J76*(100/O76)*N76*L76*M76)*1000)/(100*K76+J76*(100/O76)*P76)))</f>
        <v>0</v>
      </c>
      <c r="W76" s="470" t="e">
        <f aca="false">IF(ISBLANK(S76),,V76/$V$39)</f>
        <v>#DIV/0!</v>
      </c>
      <c r="X76" s="470" t="e">
        <f aca="false">IF(ISBLANK(S76),,V76/$U$39)</f>
        <v>#DIV/0!</v>
      </c>
      <c r="Y76" s="470" t="e">
        <f aca="false">IF(ISBLANK(S76),,V76/U76)</f>
        <v>#DIV/0!</v>
      </c>
      <c r="Z76" s="474" t="str">
        <f aca="false">IFERROR(__xludf.dummyfunction("""COMPUTED_VALUE"""),"")</f>
        <v/>
      </c>
      <c r="AA76" s="376" t="str">
        <f aca="false">IFERROR(__xludf.dummyfunction("""COMPUTED_VALUE"""),"")</f>
        <v/>
      </c>
      <c r="AB76" s="475" t="str">
        <f aca="false">IF(OR(ISBLANK(AA76),ISNA(AA76)),,AA76)</f>
        <v/>
      </c>
    </row>
    <row r="77" customFormat="false" ht="15.75" hidden="false" customHeight="false" outlineLevel="0" collapsed="false">
      <c r="A77" s="364"/>
      <c r="B77" s="261"/>
      <c r="C77" s="391"/>
      <c r="D77" s="261"/>
      <c r="E77" s="360" t="n">
        <f aca="false">IF(ISBLANK(C77),,INDEX($E$10:$E$14,MATCH(C77,$C$10:$C$14,0)))</f>
        <v>0</v>
      </c>
      <c r="F77" s="360" t="n">
        <f aca="false">IF(ISBLANK(D77),,INDEX($J$10:$J$20,MATCH(D77,$H$10:$H$20,0)))</f>
        <v>0</v>
      </c>
      <c r="G77" s="376" t="n">
        <f aca="false">IF(ISBLANK(C77),,INDEX($E$24:$E$28,MATCH(C77,$C$24:$C$28,0)))</f>
        <v>0</v>
      </c>
      <c r="H77" s="376" t="n">
        <f aca="false">IF(ISBLANK(C77),,INDEX($F$24:$F$28,MATCH(C77,$C$24:$C$28,0))*INDEX($G$24:$G$28,MATCH(C77,$C$24:$C$28,0)))</f>
        <v>0</v>
      </c>
      <c r="I77" s="376" t="n">
        <f aca="false">IF(ISBLANK(C77),,INDEX($H$24:$H$28,MATCH(C77,$C$24:$C$28,0)))</f>
        <v>0</v>
      </c>
      <c r="J77" s="376" t="n">
        <f aca="false">IF(ISBLANK(C77),,INDEX($I$24:$I$28,MATCH(C77,$C$24:$C$28,0)))</f>
        <v>0</v>
      </c>
      <c r="K77" s="376" t="n">
        <f aca="false">IF(ISBLANK(C77),,INDEX($J$24:$J$28,MATCH(C77,$C$24:$C$28,0)))</f>
        <v>0</v>
      </c>
      <c r="L77" s="376" t="n">
        <f aca="false">IF(ISBLANK(D77),,INDEX($P$24:$P$34,MATCH(D77,$N$24:$N$34,0)))</f>
        <v>0</v>
      </c>
      <c r="M77" s="376" t="n">
        <f aca="false">IF(ISBLANK(D77),,INDEX($Q$24:$Q$34,MATCH(D77,$N$24:$N$34,0))*INDEX($R$24:$R$34,MATCH(D77,$N$24:$N$34,0)))</f>
        <v>0</v>
      </c>
      <c r="N77" s="376" t="n">
        <f aca="false">IF(ISBLANK(D77),,INDEX($S$24:$S$34,MATCH(D77,$N$24:$N$34,0)))</f>
        <v>0</v>
      </c>
      <c r="O77" s="376" t="n">
        <f aca="false">IF(ISBLANK(D77),,INDEX($T$24:$T$34,MATCH(D77,$N$24:$N$34,0)))</f>
        <v>0</v>
      </c>
      <c r="P77" s="467" t="n">
        <f aca="false">IF(ISBLANK(D77),,INDEX($U$24:$U$34,MATCH(D77,$N$24:$N$34,0)))</f>
        <v>0</v>
      </c>
      <c r="Q77" s="468"/>
      <c r="R77" s="469" t="e">
        <f aca="false">IF(ISBLANK(S77),,RANK(V77,$V$41:$V$95)+COUNTIF($V$41:V77,V77)-1)</f>
        <v>#N/A</v>
      </c>
      <c r="S77" s="374" t="n">
        <f aca="false">IF(E77=1,"(L) " &amp; C77,C77)</f>
        <v>0</v>
      </c>
      <c r="T77" s="374" t="n">
        <f aca="false">IF(F77=1,"(L) " &amp; D77,D77)</f>
        <v>0</v>
      </c>
      <c r="U77" s="377" t="n">
        <f aca="false">IF(ISBLANK(C77),,IF(O77=100,(((ROUNDUP(O77/J77,0)*I77*G77+N77*L77)*1000))/(ROUNDUP(O77/J77,0)*K77+P77),((100*I77*G77+J77*(100/O77)*N77*L77)*1000)/(100*K77+J77*(100/O77)*P77)))</f>
        <v>0</v>
      </c>
      <c r="V77" s="377" t="n">
        <f aca="false">IF(ISBLANK(C77),,IF(O77=100,(((ROUNDUP(O77/J77,0)*I77*G77*H77+N77*L77*M77)*1000))/(ROUNDUP(O77/J77,0)*K77+P77),((100*I77*G77*H77+J77*(100/O77)*N77*L77*M77)*1000)/(100*K77+J77*(100/O77)*P77)))</f>
        <v>0</v>
      </c>
      <c r="W77" s="470" t="e">
        <f aca="false">IF(ISBLANK(S77),,V77/$V$39)</f>
        <v>#DIV/0!</v>
      </c>
      <c r="X77" s="470" t="e">
        <f aca="false">IF(ISBLANK(S77),,V77/$U$39)</f>
        <v>#DIV/0!</v>
      </c>
      <c r="Y77" s="470" t="e">
        <f aca="false">IF(ISBLANK(S77),,V77/U77)</f>
        <v>#DIV/0!</v>
      </c>
      <c r="Z77" s="474" t="str">
        <f aca="false">IFERROR(__xludf.dummyfunction("""COMPUTED_VALUE"""),"")</f>
        <v/>
      </c>
      <c r="AA77" s="376" t="str">
        <f aca="false">IFERROR(__xludf.dummyfunction("""COMPUTED_VALUE"""),"")</f>
        <v/>
      </c>
      <c r="AB77" s="475" t="str">
        <f aca="false">IF(OR(ISBLANK(AA77),ISNA(AA77)),,AA77)</f>
        <v/>
      </c>
    </row>
    <row r="78" customFormat="false" ht="15.75" hidden="false" customHeight="false" outlineLevel="0" collapsed="false">
      <c r="A78" s="364"/>
      <c r="B78" s="261"/>
      <c r="C78" s="391"/>
      <c r="D78" s="261"/>
      <c r="E78" s="360" t="n">
        <f aca="false">IF(ISBLANK(C78),,INDEX($E$10:$E$14,MATCH(C78,$C$10:$C$14,0)))</f>
        <v>0</v>
      </c>
      <c r="F78" s="360" t="n">
        <f aca="false">IF(ISBLANK(D78),,INDEX($J$10:$J$20,MATCH(D78,$H$10:$H$20,0)))</f>
        <v>0</v>
      </c>
      <c r="G78" s="376" t="n">
        <f aca="false">IF(ISBLANK(C78),,INDEX($E$24:$E$28,MATCH(C78,$C$24:$C$28,0)))</f>
        <v>0</v>
      </c>
      <c r="H78" s="376" t="n">
        <f aca="false">IF(ISBLANK(C78),,INDEX($F$24:$F$28,MATCH(C78,$C$24:$C$28,0))*INDEX($G$24:$G$28,MATCH(C78,$C$24:$C$28,0)))</f>
        <v>0</v>
      </c>
      <c r="I78" s="376" t="n">
        <f aca="false">IF(ISBLANK(C78),,INDEX($H$24:$H$28,MATCH(C78,$C$24:$C$28,0)))</f>
        <v>0</v>
      </c>
      <c r="J78" s="376" t="n">
        <f aca="false">IF(ISBLANK(C78),,INDEX($I$24:$I$28,MATCH(C78,$C$24:$C$28,0)))</f>
        <v>0</v>
      </c>
      <c r="K78" s="376" t="n">
        <f aca="false">IF(ISBLANK(C78),,INDEX($J$24:$J$28,MATCH(C78,$C$24:$C$28,0)))</f>
        <v>0</v>
      </c>
      <c r="L78" s="376" t="n">
        <f aca="false">IF(ISBLANK(D78),,INDEX($P$24:$P$34,MATCH(D78,$N$24:$N$34,0)))</f>
        <v>0</v>
      </c>
      <c r="M78" s="376" t="n">
        <f aca="false">IF(ISBLANK(D78),,INDEX($Q$24:$Q$34,MATCH(D78,$N$24:$N$34,0))*INDEX($R$24:$R$34,MATCH(D78,$N$24:$N$34,0)))</f>
        <v>0</v>
      </c>
      <c r="N78" s="376" t="n">
        <f aca="false">IF(ISBLANK(D78),,INDEX($S$24:$S$34,MATCH(D78,$N$24:$N$34,0)))</f>
        <v>0</v>
      </c>
      <c r="O78" s="376" t="n">
        <f aca="false">IF(ISBLANK(D78),,INDEX($T$24:$T$34,MATCH(D78,$N$24:$N$34,0)))</f>
        <v>0</v>
      </c>
      <c r="P78" s="467" t="n">
        <f aca="false">IF(ISBLANK(D78),,INDEX($U$24:$U$34,MATCH(D78,$N$24:$N$34,0)))</f>
        <v>0</v>
      </c>
      <c r="Q78" s="468"/>
      <c r="R78" s="469" t="e">
        <f aca="false">IF(ISBLANK(S78),,RANK(V78,$V$41:$V$95)+COUNTIF($V$41:V78,V78)-1)</f>
        <v>#N/A</v>
      </c>
      <c r="S78" s="374" t="n">
        <f aca="false">IF(E78=1,"(L) " &amp; C78,C78)</f>
        <v>0</v>
      </c>
      <c r="T78" s="374" t="n">
        <f aca="false">IF(F78=1,"(L) " &amp; D78,D78)</f>
        <v>0</v>
      </c>
      <c r="U78" s="377" t="n">
        <f aca="false">IF(ISBLANK(C78),,IF(O78=100,(((ROUNDUP(O78/J78,0)*I78*G78+N78*L78)*1000))/(ROUNDUP(O78/J78,0)*K78+P78),((100*I78*G78+J78*(100/O78)*N78*L78)*1000)/(100*K78+J78*(100/O78)*P78)))</f>
        <v>0</v>
      </c>
      <c r="V78" s="377" t="n">
        <f aca="false">IF(ISBLANK(C78),,IF(O78=100,(((ROUNDUP(O78/J78,0)*I78*G78*H78+N78*L78*M78)*1000))/(ROUNDUP(O78/J78,0)*K78+P78),((100*I78*G78*H78+J78*(100/O78)*N78*L78*M78)*1000)/(100*K78+J78*(100/O78)*P78)))</f>
        <v>0</v>
      </c>
      <c r="W78" s="470" t="e">
        <f aca="false">IF(ISBLANK(S78),,V78/$V$39)</f>
        <v>#DIV/0!</v>
      </c>
      <c r="X78" s="470" t="e">
        <f aca="false">IF(ISBLANK(S78),,V78/$U$39)</f>
        <v>#DIV/0!</v>
      </c>
      <c r="Y78" s="470" t="e">
        <f aca="false">IF(ISBLANK(S78),,V78/U78)</f>
        <v>#DIV/0!</v>
      </c>
      <c r="Z78" s="474" t="str">
        <f aca="false">IFERROR(__xludf.dummyfunction("""COMPUTED_VALUE"""),"")</f>
        <v/>
      </c>
      <c r="AA78" s="376" t="str">
        <f aca="false">IFERROR(__xludf.dummyfunction("""COMPUTED_VALUE"""),"")</f>
        <v/>
      </c>
      <c r="AB78" s="475" t="str">
        <f aca="false">IF(OR(ISBLANK(AA78),ISNA(AA78)),,AA78)</f>
        <v/>
      </c>
    </row>
    <row r="79" customFormat="false" ht="15.75" hidden="false" customHeight="false" outlineLevel="0" collapsed="false">
      <c r="A79" s="364"/>
      <c r="B79" s="261"/>
      <c r="C79" s="391"/>
      <c r="D79" s="261"/>
      <c r="E79" s="360" t="n">
        <f aca="false">IF(ISBLANK(C79),,INDEX($E$10:$E$14,MATCH(C79,$C$10:$C$14,0)))</f>
        <v>0</v>
      </c>
      <c r="F79" s="360" t="n">
        <f aca="false">IF(ISBLANK(D79),,INDEX($J$10:$J$20,MATCH(D79,$H$10:$H$20,0)))</f>
        <v>0</v>
      </c>
      <c r="G79" s="376" t="n">
        <f aca="false">IF(ISBLANK(C79),,INDEX($E$24:$E$28,MATCH(C79,$C$24:$C$28,0)))</f>
        <v>0</v>
      </c>
      <c r="H79" s="376" t="n">
        <f aca="false">IF(ISBLANK(C79),,INDEX($F$24:$F$28,MATCH(C79,$C$24:$C$28,0))*INDEX($G$24:$G$28,MATCH(C79,$C$24:$C$28,0)))</f>
        <v>0</v>
      </c>
      <c r="I79" s="376" t="n">
        <f aca="false">IF(ISBLANK(C79),,INDEX($H$24:$H$28,MATCH(C79,$C$24:$C$28,0)))</f>
        <v>0</v>
      </c>
      <c r="J79" s="376" t="n">
        <f aca="false">IF(ISBLANK(C79),,INDEX($I$24:$I$28,MATCH(C79,$C$24:$C$28,0)))</f>
        <v>0</v>
      </c>
      <c r="K79" s="376" t="n">
        <f aca="false">IF(ISBLANK(C79),,INDEX($J$24:$J$28,MATCH(C79,$C$24:$C$28,0)))</f>
        <v>0</v>
      </c>
      <c r="L79" s="376" t="n">
        <f aca="false">IF(ISBLANK(D79),,INDEX($P$24:$P$34,MATCH(D79,$N$24:$N$34,0)))</f>
        <v>0</v>
      </c>
      <c r="M79" s="376" t="n">
        <f aca="false">IF(ISBLANK(D79),,INDEX($Q$24:$Q$34,MATCH(D79,$N$24:$N$34,0))*INDEX($R$24:$R$34,MATCH(D79,$N$24:$N$34,0)))</f>
        <v>0</v>
      </c>
      <c r="N79" s="376" t="n">
        <f aca="false">IF(ISBLANK(D79),,INDEX($S$24:$S$34,MATCH(D79,$N$24:$N$34,0)))</f>
        <v>0</v>
      </c>
      <c r="O79" s="376" t="n">
        <f aca="false">IF(ISBLANK(D79),,INDEX($T$24:$T$34,MATCH(D79,$N$24:$N$34,0)))</f>
        <v>0</v>
      </c>
      <c r="P79" s="467" t="n">
        <f aca="false">IF(ISBLANK(D79),,INDEX($U$24:$U$34,MATCH(D79,$N$24:$N$34,0)))</f>
        <v>0</v>
      </c>
      <c r="Q79" s="468"/>
      <c r="R79" s="469" t="e">
        <f aca="false">IF(ISBLANK(S79),,RANK(V79,$V$41:$V$95)+COUNTIF($V$41:V79,V79)-1)</f>
        <v>#N/A</v>
      </c>
      <c r="S79" s="374" t="n">
        <f aca="false">IF(E79=1,"(L) " &amp; C79,C79)</f>
        <v>0</v>
      </c>
      <c r="T79" s="374" t="n">
        <f aca="false">IF(F79=1,"(L) " &amp; D79,D79)</f>
        <v>0</v>
      </c>
      <c r="U79" s="377" t="n">
        <f aca="false">IF(ISBLANK(C79),,IF(O79=100,(((ROUNDUP(O79/J79,0)*I79*G79+N79*L79)*1000))/(ROUNDUP(O79/J79,0)*K79+P79),((100*I79*G79+J79*(100/O79)*N79*L79)*1000)/(100*K79+J79*(100/O79)*P79)))</f>
        <v>0</v>
      </c>
      <c r="V79" s="377" t="n">
        <f aca="false">IF(ISBLANK(C79),,IF(O79=100,(((ROUNDUP(O79/J79,0)*I79*G79*H79+N79*L79*M79)*1000))/(ROUNDUP(O79/J79,0)*K79+P79),((100*I79*G79*H79+J79*(100/O79)*N79*L79*M79)*1000)/(100*K79+J79*(100/O79)*P79)))</f>
        <v>0</v>
      </c>
      <c r="W79" s="470" t="e">
        <f aca="false">IF(ISBLANK(S79),,V79/$V$39)</f>
        <v>#DIV/0!</v>
      </c>
      <c r="X79" s="470" t="e">
        <f aca="false">IF(ISBLANK(S79),,V79/$U$39)</f>
        <v>#DIV/0!</v>
      </c>
      <c r="Y79" s="470" t="e">
        <f aca="false">IF(ISBLANK(S79),,V79/U79)</f>
        <v>#DIV/0!</v>
      </c>
      <c r="Z79" s="474" t="str">
        <f aca="false">IFERROR(__xludf.dummyfunction("""COMPUTED_VALUE"""),"")</f>
        <v/>
      </c>
      <c r="AA79" s="376" t="str">
        <f aca="false">IFERROR(__xludf.dummyfunction("""COMPUTED_VALUE"""),"")</f>
        <v/>
      </c>
      <c r="AB79" s="475" t="str">
        <f aca="false">IF(OR(ISBLANK(AA79),ISNA(AA79)),,AA79)</f>
        <v/>
      </c>
    </row>
    <row r="80" customFormat="false" ht="15.75" hidden="false" customHeight="false" outlineLevel="0" collapsed="false">
      <c r="A80" s="364"/>
      <c r="B80" s="261"/>
      <c r="C80" s="391"/>
      <c r="D80" s="261"/>
      <c r="E80" s="360" t="n">
        <f aca="false">IF(ISBLANK(C80),,INDEX($E$10:$E$14,MATCH(C80,$C$10:$C$14,0)))</f>
        <v>0</v>
      </c>
      <c r="F80" s="360" t="n">
        <f aca="false">IF(ISBLANK(D80),,INDEX($J$10:$J$20,MATCH(D80,$H$10:$H$20,0)))</f>
        <v>0</v>
      </c>
      <c r="G80" s="376" t="n">
        <f aca="false">IF(ISBLANK(C80),,INDEX($E$24:$E$28,MATCH(C80,$C$24:$C$28,0)))</f>
        <v>0</v>
      </c>
      <c r="H80" s="376" t="n">
        <f aca="false">IF(ISBLANK(C80),,INDEX($F$24:$F$28,MATCH(C80,$C$24:$C$28,0))*INDEX($G$24:$G$28,MATCH(C80,$C$24:$C$28,0)))</f>
        <v>0</v>
      </c>
      <c r="I80" s="376" t="n">
        <f aca="false">IF(ISBLANK(C80),,INDEX($H$24:$H$28,MATCH(C80,$C$24:$C$28,0)))</f>
        <v>0</v>
      </c>
      <c r="J80" s="376" t="n">
        <f aca="false">IF(ISBLANK(C80),,INDEX($I$24:$I$28,MATCH(C80,$C$24:$C$28,0)))</f>
        <v>0</v>
      </c>
      <c r="K80" s="376" t="n">
        <f aca="false">IF(ISBLANK(C80),,INDEX($J$24:$J$28,MATCH(C80,$C$24:$C$28,0)))</f>
        <v>0</v>
      </c>
      <c r="L80" s="376" t="n">
        <f aca="false">IF(ISBLANK(D80),,INDEX($P$24:$P$34,MATCH(D80,$N$24:$N$34,0)))</f>
        <v>0</v>
      </c>
      <c r="M80" s="376" t="n">
        <f aca="false">IF(ISBLANK(D80),,INDEX($Q$24:$Q$34,MATCH(D80,$N$24:$N$34,0))*INDEX($R$24:$R$34,MATCH(D80,$N$24:$N$34,0)))</f>
        <v>0</v>
      </c>
      <c r="N80" s="376" t="n">
        <f aca="false">IF(ISBLANK(D80),,INDEX($S$24:$S$34,MATCH(D80,$N$24:$N$34,0)))</f>
        <v>0</v>
      </c>
      <c r="O80" s="376" t="n">
        <f aca="false">IF(ISBLANK(D80),,INDEX($T$24:$T$34,MATCH(D80,$N$24:$N$34,0)))</f>
        <v>0</v>
      </c>
      <c r="P80" s="467" t="n">
        <f aca="false">IF(ISBLANK(D80),,INDEX($U$24:$U$34,MATCH(D80,$N$24:$N$34,0)))</f>
        <v>0</v>
      </c>
      <c r="Q80" s="468"/>
      <c r="R80" s="469" t="e">
        <f aca="false">IF(ISBLANK(S80),,RANK(V80,$V$41:$V$95)+COUNTIF($V$41:V80,V80)-1)</f>
        <v>#N/A</v>
      </c>
      <c r="S80" s="374" t="n">
        <f aca="false">IF(E80=1,"(L) " &amp; C80,C80)</f>
        <v>0</v>
      </c>
      <c r="T80" s="374" t="n">
        <f aca="false">IF(F80=1,"(L) " &amp; D80,D80)</f>
        <v>0</v>
      </c>
      <c r="U80" s="377" t="n">
        <f aca="false">IF(ISBLANK(C80),,IF(O80=100,(((ROUNDUP(O80/J80,0)*I80*G80+N80*L80)*1000))/(ROUNDUP(O80/J80,0)*K80+P80),((100*I80*G80+J80*(100/O80)*N80*L80)*1000)/(100*K80+J80*(100/O80)*P80)))</f>
        <v>0</v>
      </c>
      <c r="V80" s="377" t="n">
        <f aca="false">IF(ISBLANK(C80),,IF(O80=100,(((ROUNDUP(O80/J80,0)*I80*G80*H80+N80*L80*M80)*1000))/(ROUNDUP(O80/J80,0)*K80+P80),((100*I80*G80*H80+J80*(100/O80)*N80*L80*M80)*1000)/(100*K80+J80*(100/O80)*P80)))</f>
        <v>0</v>
      </c>
      <c r="W80" s="470" t="e">
        <f aca="false">IF(ISBLANK(S80),,V80/$V$39)</f>
        <v>#DIV/0!</v>
      </c>
      <c r="X80" s="470" t="e">
        <f aca="false">IF(ISBLANK(S80),,V80/$U$39)</f>
        <v>#DIV/0!</v>
      </c>
      <c r="Y80" s="470" t="e">
        <f aca="false">IF(ISBLANK(S80),,V80/U80)</f>
        <v>#DIV/0!</v>
      </c>
      <c r="Z80" s="474" t="str">
        <f aca="false">IFERROR(__xludf.dummyfunction("""COMPUTED_VALUE"""),"")</f>
        <v/>
      </c>
      <c r="AA80" s="376" t="str">
        <f aca="false">IFERROR(__xludf.dummyfunction("""COMPUTED_VALUE"""),"")</f>
        <v/>
      </c>
      <c r="AB80" s="475" t="str">
        <f aca="false">IF(OR(ISBLANK(AA80),ISNA(AA80)),,AA80)</f>
        <v/>
      </c>
    </row>
    <row r="81" customFormat="false" ht="15.75" hidden="false" customHeight="false" outlineLevel="0" collapsed="false">
      <c r="A81" s="364"/>
      <c r="B81" s="261"/>
      <c r="C81" s="391"/>
      <c r="D81" s="261"/>
      <c r="E81" s="360" t="n">
        <f aca="false">IF(ISBLANK(C81),,INDEX($E$10:$E$14,MATCH(C81,$C$10:$C$14,0)))</f>
        <v>0</v>
      </c>
      <c r="F81" s="360" t="n">
        <f aca="false">IF(ISBLANK(D81),,INDEX($J$10:$J$20,MATCH(D81,$H$10:$H$20,0)))</f>
        <v>0</v>
      </c>
      <c r="G81" s="376" t="n">
        <f aca="false">IF(ISBLANK(C81),,INDEX($E$24:$E$28,MATCH(C81,$C$24:$C$28,0)))</f>
        <v>0</v>
      </c>
      <c r="H81" s="376" t="n">
        <f aca="false">IF(ISBLANK(C81),,INDEX($F$24:$F$28,MATCH(C81,$C$24:$C$28,0))*INDEX($G$24:$G$28,MATCH(C81,$C$24:$C$28,0)))</f>
        <v>0</v>
      </c>
      <c r="I81" s="376" t="n">
        <f aca="false">IF(ISBLANK(C81),,INDEX($H$24:$H$28,MATCH(C81,$C$24:$C$28,0)))</f>
        <v>0</v>
      </c>
      <c r="J81" s="376" t="n">
        <f aca="false">IF(ISBLANK(C81),,INDEX($I$24:$I$28,MATCH(C81,$C$24:$C$28,0)))</f>
        <v>0</v>
      </c>
      <c r="K81" s="376" t="n">
        <f aca="false">IF(ISBLANK(C81),,INDEX($J$24:$J$28,MATCH(C81,$C$24:$C$28,0)))</f>
        <v>0</v>
      </c>
      <c r="L81" s="376" t="n">
        <f aca="false">IF(ISBLANK(D81),,INDEX($P$24:$P$34,MATCH(D81,$N$24:$N$34,0)))</f>
        <v>0</v>
      </c>
      <c r="M81" s="376" t="n">
        <f aca="false">IF(ISBLANK(D81),,INDEX($Q$24:$Q$34,MATCH(D81,$N$24:$N$34,0))*INDEX($R$24:$R$34,MATCH(D81,$N$24:$N$34,0)))</f>
        <v>0</v>
      </c>
      <c r="N81" s="376" t="n">
        <f aca="false">IF(ISBLANK(D81),,INDEX($S$24:$S$34,MATCH(D81,$N$24:$N$34,0)))</f>
        <v>0</v>
      </c>
      <c r="O81" s="376" t="n">
        <f aca="false">IF(ISBLANK(D81),,INDEX($T$24:$T$34,MATCH(D81,$N$24:$N$34,0)))</f>
        <v>0</v>
      </c>
      <c r="P81" s="467" t="n">
        <f aca="false">IF(ISBLANK(D81),,INDEX($U$24:$U$34,MATCH(D81,$N$24:$N$34,0)))</f>
        <v>0</v>
      </c>
      <c r="Q81" s="468"/>
      <c r="R81" s="469" t="e">
        <f aca="false">IF(ISBLANK(S81),,RANK(V81,$V$41:$V$95)+COUNTIF($V$41:V81,V81)-1)</f>
        <v>#N/A</v>
      </c>
      <c r="S81" s="374" t="n">
        <f aca="false">IF(E81=1,"(L) " &amp; C81,C81)</f>
        <v>0</v>
      </c>
      <c r="T81" s="374" t="n">
        <f aca="false">IF(F81=1,"(L) " &amp; D81,D81)</f>
        <v>0</v>
      </c>
      <c r="U81" s="377" t="n">
        <f aca="false">IF(ISBLANK(C81),,IF(O81=100,(((ROUNDUP(O81/J81,0)*I81*G81+N81*L81)*1000))/(ROUNDUP(O81/J81,0)*K81+P81),((100*I81*G81+J81*(100/O81)*N81*L81)*1000)/(100*K81+J81*(100/O81)*P81)))</f>
        <v>0</v>
      </c>
      <c r="V81" s="377" t="n">
        <f aca="false">IF(ISBLANK(C81),,IF(O81=100,(((ROUNDUP(O81/J81,0)*I81*G81*H81+N81*L81*M81)*1000))/(ROUNDUP(O81/J81,0)*K81+P81),((100*I81*G81*H81+J81*(100/O81)*N81*L81*M81)*1000)/(100*K81+J81*(100/O81)*P81)))</f>
        <v>0</v>
      </c>
      <c r="W81" s="470" t="e">
        <f aca="false">IF(ISBLANK(S81),,V81/$V$39)</f>
        <v>#DIV/0!</v>
      </c>
      <c r="X81" s="470" t="e">
        <f aca="false">IF(ISBLANK(S81),,V81/$U$39)</f>
        <v>#DIV/0!</v>
      </c>
      <c r="Y81" s="470" t="e">
        <f aca="false">IF(ISBLANK(S81),,V81/U81)</f>
        <v>#DIV/0!</v>
      </c>
      <c r="Z81" s="474" t="str">
        <f aca="false">IFERROR(__xludf.dummyfunction("""COMPUTED_VALUE"""),"")</f>
        <v/>
      </c>
      <c r="AA81" s="376" t="str">
        <f aca="false">IFERROR(__xludf.dummyfunction("""COMPUTED_VALUE"""),"")</f>
        <v/>
      </c>
      <c r="AB81" s="475" t="str">
        <f aca="false">IF(OR(ISBLANK(AA81),ISNA(AA81)),,AA81)</f>
        <v/>
      </c>
    </row>
    <row r="82" customFormat="false" ht="15.75" hidden="false" customHeight="false" outlineLevel="0" collapsed="false">
      <c r="A82" s="364"/>
      <c r="B82" s="261"/>
      <c r="C82" s="391"/>
      <c r="D82" s="261"/>
      <c r="E82" s="360" t="n">
        <f aca="false">IF(ISBLANK(C82),,INDEX($E$10:$E$14,MATCH(C82,$C$10:$C$14,0)))</f>
        <v>0</v>
      </c>
      <c r="F82" s="360" t="n">
        <f aca="false">IF(ISBLANK(D82),,INDEX($J$10:$J$20,MATCH(D82,$H$10:$H$20,0)))</f>
        <v>0</v>
      </c>
      <c r="G82" s="376" t="n">
        <f aca="false">IF(ISBLANK(C82),,INDEX($E$24:$E$28,MATCH(C82,$C$24:$C$28,0)))</f>
        <v>0</v>
      </c>
      <c r="H82" s="376" t="n">
        <f aca="false">IF(ISBLANK(C82),,INDEX($F$24:$F$28,MATCH(C82,$C$24:$C$28,0))*INDEX($G$24:$G$28,MATCH(C82,$C$24:$C$28,0)))</f>
        <v>0</v>
      </c>
      <c r="I82" s="376" t="n">
        <f aca="false">IF(ISBLANK(C82),,INDEX($H$24:$H$28,MATCH(C82,$C$24:$C$28,0)))</f>
        <v>0</v>
      </c>
      <c r="J82" s="376" t="n">
        <f aca="false">IF(ISBLANK(C82),,INDEX($I$24:$I$28,MATCH(C82,$C$24:$C$28,0)))</f>
        <v>0</v>
      </c>
      <c r="K82" s="376" t="n">
        <f aca="false">IF(ISBLANK(C82),,INDEX($J$24:$J$28,MATCH(C82,$C$24:$C$28,0)))</f>
        <v>0</v>
      </c>
      <c r="L82" s="376" t="n">
        <f aca="false">IF(ISBLANK(D82),,INDEX($P$24:$P$34,MATCH(D82,$N$24:$N$34,0)))</f>
        <v>0</v>
      </c>
      <c r="M82" s="376" t="n">
        <f aca="false">IF(ISBLANK(D82),,INDEX($Q$24:$Q$34,MATCH(D82,$N$24:$N$34,0))*INDEX($R$24:$R$34,MATCH(D82,$N$24:$N$34,0)))</f>
        <v>0</v>
      </c>
      <c r="N82" s="376" t="n">
        <f aca="false">IF(ISBLANK(D82),,INDEX($S$24:$S$34,MATCH(D82,$N$24:$N$34,0)))</f>
        <v>0</v>
      </c>
      <c r="O82" s="376" t="n">
        <f aca="false">IF(ISBLANK(D82),,INDEX($T$24:$T$34,MATCH(D82,$N$24:$N$34,0)))</f>
        <v>0</v>
      </c>
      <c r="P82" s="467" t="n">
        <f aca="false">IF(ISBLANK(D82),,INDEX($U$24:$U$34,MATCH(D82,$N$24:$N$34,0)))</f>
        <v>0</v>
      </c>
      <c r="Q82" s="468"/>
      <c r="R82" s="469" t="e">
        <f aca="false">IF(ISBLANK(S82),,RANK(V82,$V$41:$V$95)+COUNTIF($V$41:V82,V82)-1)</f>
        <v>#N/A</v>
      </c>
      <c r="S82" s="374" t="n">
        <f aca="false">IF(E82=1,"(L) " &amp; C82,C82)</f>
        <v>0</v>
      </c>
      <c r="T82" s="374" t="n">
        <f aca="false">IF(F82=1,"(L) " &amp; D82,D82)</f>
        <v>0</v>
      </c>
      <c r="U82" s="377" t="n">
        <f aca="false">IF(ISBLANK(C82),,IF(O82=100,(((ROUNDUP(O82/J82,0)*I82*G82+N82*L82)*1000))/(ROUNDUP(O82/J82,0)*K82+P82),((100*I82*G82+J82*(100/O82)*N82*L82)*1000)/(100*K82+J82*(100/O82)*P82)))</f>
        <v>0</v>
      </c>
      <c r="V82" s="377" t="n">
        <f aca="false">IF(ISBLANK(C82),,IF(O82=100,(((ROUNDUP(O82/J82,0)*I82*G82*H82+N82*L82*M82)*1000))/(ROUNDUP(O82/J82,0)*K82+P82),((100*I82*G82*H82+J82*(100/O82)*N82*L82*M82)*1000)/(100*K82+J82*(100/O82)*P82)))</f>
        <v>0</v>
      </c>
      <c r="W82" s="470" t="e">
        <f aca="false">IF(ISBLANK(S82),,V82/$V$39)</f>
        <v>#DIV/0!</v>
      </c>
      <c r="X82" s="470" t="e">
        <f aca="false">IF(ISBLANK(S82),,V82/$U$39)</f>
        <v>#DIV/0!</v>
      </c>
      <c r="Y82" s="470" t="e">
        <f aca="false">IF(ISBLANK(S82),,V82/U82)</f>
        <v>#DIV/0!</v>
      </c>
      <c r="Z82" s="474" t="str">
        <f aca="false">IFERROR(__xludf.dummyfunction("""COMPUTED_VALUE"""),"")</f>
        <v/>
      </c>
      <c r="AA82" s="376" t="str">
        <f aca="false">IFERROR(__xludf.dummyfunction("""COMPUTED_VALUE"""),"")</f>
        <v/>
      </c>
      <c r="AB82" s="475" t="str">
        <f aca="false">IF(OR(ISBLANK(AA82),ISNA(AA82)),,AA82)</f>
        <v/>
      </c>
    </row>
    <row r="83" customFormat="false" ht="15.75" hidden="false" customHeight="false" outlineLevel="0" collapsed="false">
      <c r="A83" s="364"/>
      <c r="B83" s="261"/>
      <c r="C83" s="391"/>
      <c r="D83" s="261"/>
      <c r="E83" s="360" t="n">
        <f aca="false">IF(ISBLANK(C83),,INDEX($E$10:$E$14,MATCH(C83,$C$10:$C$14,0)))</f>
        <v>0</v>
      </c>
      <c r="F83" s="360" t="n">
        <f aca="false">IF(ISBLANK(D83),,INDEX($J$10:$J$20,MATCH(D83,$H$10:$H$20,0)))</f>
        <v>0</v>
      </c>
      <c r="G83" s="376" t="n">
        <f aca="false">IF(ISBLANK(C83),,INDEX($E$24:$E$28,MATCH(C83,$C$24:$C$28,0)))</f>
        <v>0</v>
      </c>
      <c r="H83" s="376" t="n">
        <f aca="false">IF(ISBLANK(C83),,INDEX($F$24:$F$28,MATCH(C83,$C$24:$C$28,0))*INDEX($G$24:$G$28,MATCH(C83,$C$24:$C$28,0)))</f>
        <v>0</v>
      </c>
      <c r="I83" s="376" t="n">
        <f aca="false">IF(ISBLANK(C83),,INDEX($H$24:$H$28,MATCH(C83,$C$24:$C$28,0)))</f>
        <v>0</v>
      </c>
      <c r="J83" s="376" t="n">
        <f aca="false">IF(ISBLANK(C83),,INDEX($I$24:$I$28,MATCH(C83,$C$24:$C$28,0)))</f>
        <v>0</v>
      </c>
      <c r="K83" s="376" t="n">
        <f aca="false">IF(ISBLANK(C83),,INDEX($J$24:$J$28,MATCH(C83,$C$24:$C$28,0)))</f>
        <v>0</v>
      </c>
      <c r="L83" s="376" t="n">
        <f aca="false">IF(ISBLANK(D83),,INDEX($P$24:$P$34,MATCH(D83,$N$24:$N$34,0)))</f>
        <v>0</v>
      </c>
      <c r="M83" s="376" t="n">
        <f aca="false">IF(ISBLANK(D83),,INDEX($Q$24:$Q$34,MATCH(D83,$N$24:$N$34,0))*INDEX($R$24:$R$34,MATCH(D83,$N$24:$N$34,0)))</f>
        <v>0</v>
      </c>
      <c r="N83" s="376" t="n">
        <f aca="false">IF(ISBLANK(D83),,INDEX($S$24:$S$34,MATCH(D83,$N$24:$N$34,0)))</f>
        <v>0</v>
      </c>
      <c r="O83" s="376" t="n">
        <f aca="false">IF(ISBLANK(D83),,INDEX($T$24:$T$34,MATCH(D83,$N$24:$N$34,0)))</f>
        <v>0</v>
      </c>
      <c r="P83" s="467" t="n">
        <f aca="false">IF(ISBLANK(D83),,INDEX($U$24:$U$34,MATCH(D83,$N$24:$N$34,0)))</f>
        <v>0</v>
      </c>
      <c r="Q83" s="468"/>
      <c r="R83" s="469" t="e">
        <f aca="false">IF(ISBLANK(S83),,RANK(V83,$V$41:$V$95)+COUNTIF($V$41:V83,V83)-1)</f>
        <v>#N/A</v>
      </c>
      <c r="S83" s="374" t="n">
        <f aca="false">IF(E83=1,"(L) " &amp; C83,C83)</f>
        <v>0</v>
      </c>
      <c r="T83" s="374" t="n">
        <f aca="false">IF(F83=1,"(L) " &amp; D83,D83)</f>
        <v>0</v>
      </c>
      <c r="U83" s="377" t="n">
        <f aca="false">IF(ISBLANK(C83),,IF(O83=100,(((ROUNDUP(O83/J83,0)*I83*G83+N83*L83)*1000))/(ROUNDUP(O83/J83,0)*K83+P83),((100*I83*G83+J83*(100/O83)*N83*L83)*1000)/(100*K83+J83*(100/O83)*P83)))</f>
        <v>0</v>
      </c>
      <c r="V83" s="377" t="n">
        <f aca="false">IF(ISBLANK(C83),,IF(O83=100,(((ROUNDUP(O83/J83,0)*I83*G83*H83+N83*L83*M83)*1000))/(ROUNDUP(O83/J83,0)*K83+P83),((100*I83*G83*H83+J83*(100/O83)*N83*L83*M83)*1000)/(100*K83+J83*(100/O83)*P83)))</f>
        <v>0</v>
      </c>
      <c r="W83" s="470" t="e">
        <f aca="false">IF(ISBLANK(S83),,V83/$V$39)</f>
        <v>#DIV/0!</v>
      </c>
      <c r="X83" s="470" t="e">
        <f aca="false">IF(ISBLANK(S83),,V83/$U$39)</f>
        <v>#DIV/0!</v>
      </c>
      <c r="Y83" s="470" t="e">
        <f aca="false">IF(ISBLANK(S83),,V83/U83)</f>
        <v>#DIV/0!</v>
      </c>
      <c r="Z83" s="474" t="str">
        <f aca="false">IFERROR(__xludf.dummyfunction("""COMPUTED_VALUE"""),"")</f>
        <v/>
      </c>
      <c r="AA83" s="376" t="str">
        <f aca="false">IFERROR(__xludf.dummyfunction("""COMPUTED_VALUE"""),"")</f>
        <v/>
      </c>
      <c r="AB83" s="475" t="str">
        <f aca="false">IF(OR(ISBLANK(AA83),ISNA(AA83)),,AA83)</f>
        <v/>
      </c>
    </row>
    <row r="84" customFormat="false" ht="15.75" hidden="false" customHeight="false" outlineLevel="0" collapsed="false">
      <c r="A84" s="364"/>
      <c r="B84" s="261"/>
      <c r="C84" s="391"/>
      <c r="D84" s="261"/>
      <c r="E84" s="360" t="n">
        <f aca="false">IF(ISBLANK(C84),,INDEX($E$10:$E$14,MATCH(C84,$C$10:$C$14,0)))</f>
        <v>0</v>
      </c>
      <c r="F84" s="360" t="n">
        <f aca="false">IF(ISBLANK(D84),,INDEX($J$10:$J$20,MATCH(D84,$H$10:$H$20,0)))</f>
        <v>0</v>
      </c>
      <c r="G84" s="376" t="n">
        <f aca="false">IF(ISBLANK(C84),,INDEX($E$24:$E$28,MATCH(C84,$C$24:$C$28,0)))</f>
        <v>0</v>
      </c>
      <c r="H84" s="376" t="n">
        <f aca="false">IF(ISBLANK(C84),,INDEX($F$24:$F$28,MATCH(C84,$C$24:$C$28,0))*INDEX($G$24:$G$28,MATCH(C84,$C$24:$C$28,0)))</f>
        <v>0</v>
      </c>
      <c r="I84" s="376" t="n">
        <f aca="false">IF(ISBLANK(C84),,INDEX($H$24:$H$28,MATCH(C84,$C$24:$C$28,0)))</f>
        <v>0</v>
      </c>
      <c r="J84" s="376" t="n">
        <f aca="false">IF(ISBLANK(C84),,INDEX($I$24:$I$28,MATCH(C84,$C$24:$C$28,0)))</f>
        <v>0</v>
      </c>
      <c r="K84" s="376" t="n">
        <f aca="false">IF(ISBLANK(C84),,INDEX($J$24:$J$28,MATCH(C84,$C$24:$C$28,0)))</f>
        <v>0</v>
      </c>
      <c r="L84" s="376" t="n">
        <f aca="false">IF(ISBLANK(D84),,INDEX($P$24:$P$34,MATCH(D84,$N$24:$N$34,0)))</f>
        <v>0</v>
      </c>
      <c r="M84" s="376" t="n">
        <f aca="false">IF(ISBLANK(D84),,INDEX($Q$24:$Q$34,MATCH(D84,$N$24:$N$34,0))*INDEX($R$24:$R$34,MATCH(D84,$N$24:$N$34,0)))</f>
        <v>0</v>
      </c>
      <c r="N84" s="376" t="n">
        <f aca="false">IF(ISBLANK(D84),,INDEX($S$24:$S$34,MATCH(D84,$N$24:$N$34,0)))</f>
        <v>0</v>
      </c>
      <c r="O84" s="376" t="n">
        <f aca="false">IF(ISBLANK(D84),,INDEX($T$24:$T$34,MATCH(D84,$N$24:$N$34,0)))</f>
        <v>0</v>
      </c>
      <c r="P84" s="467" t="n">
        <f aca="false">IF(ISBLANK(D84),,INDEX($U$24:$U$34,MATCH(D84,$N$24:$N$34,0)))</f>
        <v>0</v>
      </c>
      <c r="Q84" s="468"/>
      <c r="R84" s="469" t="e">
        <f aca="false">IF(ISBLANK(S84),,RANK(V84,$V$41:$V$95)+COUNTIF($V$41:V84,V84)-1)</f>
        <v>#N/A</v>
      </c>
      <c r="S84" s="374" t="n">
        <f aca="false">IF(E84=1,"(L) " &amp; C84,C84)</f>
        <v>0</v>
      </c>
      <c r="T84" s="374" t="n">
        <f aca="false">IF(F84=1,"(L) " &amp; D84,D84)</f>
        <v>0</v>
      </c>
      <c r="U84" s="377" t="n">
        <f aca="false">IF(ISBLANK(C84),,IF(O84=100,(((ROUNDUP(O84/J84,0)*I84*G84+N84*L84)*1000))/(ROUNDUP(O84/J84,0)*K84+P84),((100*I84*G84+J84*(100/O84)*N84*L84)*1000)/(100*K84+J84*(100/O84)*P84)))</f>
        <v>0</v>
      </c>
      <c r="V84" s="377" t="n">
        <f aca="false">IF(ISBLANK(C84),,IF(O84=100,(((ROUNDUP(O84/J84,0)*I84*G84*H84+N84*L84*M84)*1000))/(ROUNDUP(O84/J84,0)*K84+P84),((100*I84*G84*H84+J84*(100/O84)*N84*L84*M84)*1000)/(100*K84+J84*(100/O84)*P84)))</f>
        <v>0</v>
      </c>
      <c r="W84" s="470" t="e">
        <f aca="false">IF(ISBLANK(S84),,V84/$V$39)</f>
        <v>#DIV/0!</v>
      </c>
      <c r="X84" s="470" t="e">
        <f aca="false">IF(ISBLANK(S84),,V84/$U$39)</f>
        <v>#DIV/0!</v>
      </c>
      <c r="Y84" s="470" t="e">
        <f aca="false">IF(ISBLANK(S84),,V84/U84)</f>
        <v>#DIV/0!</v>
      </c>
      <c r="Z84" s="474" t="str">
        <f aca="false">IFERROR(__xludf.dummyfunction("""COMPUTED_VALUE"""),"")</f>
        <v/>
      </c>
      <c r="AA84" s="376" t="str">
        <f aca="false">IFERROR(__xludf.dummyfunction("""COMPUTED_VALUE"""),"")</f>
        <v/>
      </c>
      <c r="AB84" s="475" t="str">
        <f aca="false">IF(OR(ISBLANK(AA84),ISNA(AA84)),,AA84)</f>
        <v/>
      </c>
    </row>
    <row r="85" customFormat="false" ht="15.75" hidden="false" customHeight="false" outlineLevel="0" collapsed="false">
      <c r="A85" s="364"/>
      <c r="B85" s="261"/>
      <c r="C85" s="391"/>
      <c r="D85" s="261"/>
      <c r="E85" s="360" t="n">
        <f aca="false">IF(ISBLANK(C85),,INDEX($E$10:$E$14,MATCH(C85,$C$10:$C$14,0)))</f>
        <v>0</v>
      </c>
      <c r="F85" s="360" t="n">
        <f aca="false">IF(ISBLANK(D85),,INDEX($J$10:$J$20,MATCH(D85,$H$10:$H$20,0)))</f>
        <v>0</v>
      </c>
      <c r="G85" s="376" t="n">
        <f aca="false">IF(ISBLANK(C85),,INDEX($E$24:$E$28,MATCH(C85,$C$24:$C$28,0)))</f>
        <v>0</v>
      </c>
      <c r="H85" s="376" t="n">
        <f aca="false">IF(ISBLANK(C85),,INDEX($F$24:$F$28,MATCH(C85,$C$24:$C$28,0))*INDEX($G$24:$G$28,MATCH(C85,$C$24:$C$28,0)))</f>
        <v>0</v>
      </c>
      <c r="I85" s="376" t="n">
        <f aca="false">IF(ISBLANK(C85),,INDEX($H$24:$H$28,MATCH(C85,$C$24:$C$28,0)))</f>
        <v>0</v>
      </c>
      <c r="J85" s="376" t="n">
        <f aca="false">IF(ISBLANK(C85),,INDEX($I$24:$I$28,MATCH(C85,$C$24:$C$28,0)))</f>
        <v>0</v>
      </c>
      <c r="K85" s="376" t="n">
        <f aca="false">IF(ISBLANK(C85),,INDEX($J$24:$J$28,MATCH(C85,$C$24:$C$28,0)))</f>
        <v>0</v>
      </c>
      <c r="L85" s="376" t="n">
        <f aca="false">IF(ISBLANK(D85),,INDEX($P$24:$P$34,MATCH(D85,$N$24:$N$34,0)))</f>
        <v>0</v>
      </c>
      <c r="M85" s="376" t="n">
        <f aca="false">IF(ISBLANK(D85),,INDEX($Q$24:$Q$34,MATCH(D85,$N$24:$N$34,0))*INDEX($R$24:$R$34,MATCH(D85,$N$24:$N$34,0)))</f>
        <v>0</v>
      </c>
      <c r="N85" s="376" t="n">
        <f aca="false">IF(ISBLANK(D85),,INDEX($S$24:$S$34,MATCH(D85,$N$24:$N$34,0)))</f>
        <v>0</v>
      </c>
      <c r="O85" s="376" t="n">
        <f aca="false">IF(ISBLANK(D85),,INDEX($T$24:$T$34,MATCH(D85,$N$24:$N$34,0)))</f>
        <v>0</v>
      </c>
      <c r="P85" s="467" t="n">
        <f aca="false">IF(ISBLANK(D85),,INDEX($U$24:$U$34,MATCH(D85,$N$24:$N$34,0)))</f>
        <v>0</v>
      </c>
      <c r="Q85" s="468"/>
      <c r="R85" s="469" t="e">
        <f aca="false">IF(ISBLANK(S85),,RANK(V85,$V$41:$V$95)+COUNTIF($V$41:V85,V85)-1)</f>
        <v>#N/A</v>
      </c>
      <c r="S85" s="374" t="n">
        <f aca="false">IF(E85=1,"(L) " &amp; C85,C85)</f>
        <v>0</v>
      </c>
      <c r="T85" s="374" t="n">
        <f aca="false">IF(F85=1,"(L) " &amp; D85,D85)</f>
        <v>0</v>
      </c>
      <c r="U85" s="377" t="n">
        <f aca="false">IF(ISBLANK(C85),,IF(O85=100,(((ROUNDUP(O85/J85,0)*I85*G85+N85*L85)*1000))/(ROUNDUP(O85/J85,0)*K85+P85),((100*I85*G85+J85*(100/O85)*N85*L85)*1000)/(100*K85+J85*(100/O85)*P85)))</f>
        <v>0</v>
      </c>
      <c r="V85" s="377" t="n">
        <f aca="false">IF(ISBLANK(C85),,IF(O85=100,(((ROUNDUP(O85/J85,0)*I85*G85*H85+N85*L85*M85)*1000))/(ROUNDUP(O85/J85,0)*K85+P85),((100*I85*G85*H85+J85*(100/O85)*N85*L85*M85)*1000)/(100*K85+J85*(100/O85)*P85)))</f>
        <v>0</v>
      </c>
      <c r="W85" s="470" t="e">
        <f aca="false">IF(ISBLANK(S85),,V85/$V$39)</f>
        <v>#DIV/0!</v>
      </c>
      <c r="X85" s="470" t="e">
        <f aca="false">IF(ISBLANK(S85),,V85/$U$39)</f>
        <v>#DIV/0!</v>
      </c>
      <c r="Y85" s="470" t="e">
        <f aca="false">IF(ISBLANK(S85),,V85/U85)</f>
        <v>#DIV/0!</v>
      </c>
      <c r="Z85" s="474" t="str">
        <f aca="false">IFERROR(__xludf.dummyfunction("""COMPUTED_VALUE"""),"")</f>
        <v/>
      </c>
      <c r="AA85" s="376" t="str">
        <f aca="false">IFERROR(__xludf.dummyfunction("""COMPUTED_VALUE"""),"")</f>
        <v/>
      </c>
      <c r="AB85" s="475" t="str">
        <f aca="false">IF(OR(ISBLANK(AA85),ISNA(AA85)),,AA85)</f>
        <v/>
      </c>
    </row>
    <row r="86" customFormat="false" ht="15.75" hidden="false" customHeight="false" outlineLevel="0" collapsed="false">
      <c r="A86" s="364"/>
      <c r="B86" s="261"/>
      <c r="C86" s="391"/>
      <c r="D86" s="261"/>
      <c r="E86" s="360" t="n">
        <f aca="false">IF(ISBLANK(C86),,INDEX($E$10:$E$14,MATCH(C86,$C$10:$C$14,0)))</f>
        <v>0</v>
      </c>
      <c r="F86" s="360" t="n">
        <f aca="false">IF(ISBLANK(D86),,INDEX($J$10:$J$20,MATCH(D86,$H$10:$H$20,0)))</f>
        <v>0</v>
      </c>
      <c r="G86" s="376" t="n">
        <f aca="false">IF(ISBLANK(C86),,INDEX($E$24:$E$28,MATCH(C86,$C$24:$C$28,0)))</f>
        <v>0</v>
      </c>
      <c r="H86" s="376" t="n">
        <f aca="false">IF(ISBLANK(C86),,INDEX($F$24:$F$28,MATCH(C86,$C$24:$C$28,0))*INDEX($G$24:$G$28,MATCH(C86,$C$24:$C$28,0)))</f>
        <v>0</v>
      </c>
      <c r="I86" s="376" t="n">
        <f aca="false">IF(ISBLANK(C86),,INDEX($H$24:$H$28,MATCH(C86,$C$24:$C$28,0)))</f>
        <v>0</v>
      </c>
      <c r="J86" s="376" t="n">
        <f aca="false">IF(ISBLANK(C86),,INDEX($I$24:$I$28,MATCH(C86,$C$24:$C$28,0)))</f>
        <v>0</v>
      </c>
      <c r="K86" s="376" t="n">
        <f aca="false">IF(ISBLANK(C86),,INDEX($J$24:$J$28,MATCH(C86,$C$24:$C$28,0)))</f>
        <v>0</v>
      </c>
      <c r="L86" s="376" t="n">
        <f aca="false">IF(ISBLANK(D86),,INDEX($P$24:$P$34,MATCH(D86,$N$24:$N$34,0)))</f>
        <v>0</v>
      </c>
      <c r="M86" s="376" t="n">
        <f aca="false">IF(ISBLANK(D86),,INDEX($Q$24:$Q$34,MATCH(D86,$N$24:$N$34,0))*INDEX($R$24:$R$34,MATCH(D86,$N$24:$N$34,0)))</f>
        <v>0</v>
      </c>
      <c r="N86" s="376" t="n">
        <f aca="false">IF(ISBLANK(D86),,INDEX($S$24:$S$34,MATCH(D86,$N$24:$N$34,0)))</f>
        <v>0</v>
      </c>
      <c r="O86" s="376" t="n">
        <f aca="false">IF(ISBLANK(D86),,INDEX($T$24:$T$34,MATCH(D86,$N$24:$N$34,0)))</f>
        <v>0</v>
      </c>
      <c r="P86" s="467" t="n">
        <f aca="false">IF(ISBLANK(D86),,INDEX($U$24:$U$34,MATCH(D86,$N$24:$N$34,0)))</f>
        <v>0</v>
      </c>
      <c r="Q86" s="468"/>
      <c r="R86" s="469" t="e">
        <f aca="false">IF(ISBLANK(S86),,RANK(V86,$V$41:$V$95)+COUNTIF($V$41:V86,V86)-1)</f>
        <v>#N/A</v>
      </c>
      <c r="S86" s="374" t="n">
        <f aca="false">IF(E86=1,"(L) " &amp; C86,C86)</f>
        <v>0</v>
      </c>
      <c r="T86" s="374" t="n">
        <f aca="false">IF(F86=1,"(L) " &amp; D86,D86)</f>
        <v>0</v>
      </c>
      <c r="U86" s="377" t="n">
        <f aca="false">IF(ISBLANK(C86),,IF(O86=100,(((ROUNDUP(O86/J86,0)*I86*G86+N86*L86)*1000))/(ROUNDUP(O86/J86,0)*K86+P86),((100*I86*G86+J86*(100/O86)*N86*L86)*1000)/(100*K86+J86*(100/O86)*P86)))</f>
        <v>0</v>
      </c>
      <c r="V86" s="377" t="n">
        <f aca="false">IF(ISBLANK(C86),,IF(O86=100,(((ROUNDUP(O86/J86,0)*I86*G86*H86+N86*L86*M86)*1000))/(ROUNDUP(O86/J86,0)*K86+P86),((100*I86*G86*H86+J86*(100/O86)*N86*L86*M86)*1000)/(100*K86+J86*(100/O86)*P86)))</f>
        <v>0</v>
      </c>
      <c r="W86" s="470" t="e">
        <f aca="false">IF(ISBLANK(S86),,V86/$V$39)</f>
        <v>#DIV/0!</v>
      </c>
      <c r="X86" s="470" t="e">
        <f aca="false">IF(ISBLANK(S86),,V86/$U$39)</f>
        <v>#DIV/0!</v>
      </c>
      <c r="Y86" s="470" t="e">
        <f aca="false">IF(ISBLANK(S86),,V86/U86)</f>
        <v>#DIV/0!</v>
      </c>
      <c r="Z86" s="474" t="str">
        <f aca="false">IFERROR(__xludf.dummyfunction("""COMPUTED_VALUE"""),"")</f>
        <v/>
      </c>
      <c r="AA86" s="376" t="str">
        <f aca="false">IFERROR(__xludf.dummyfunction("""COMPUTED_VALUE"""),"")</f>
        <v/>
      </c>
      <c r="AB86" s="475" t="str">
        <f aca="false">IF(OR(ISBLANK(AA86),ISNA(AA86)),,AA86)</f>
        <v/>
      </c>
    </row>
    <row r="87" customFormat="false" ht="15.75" hidden="false" customHeight="false" outlineLevel="0" collapsed="false">
      <c r="A87" s="364"/>
      <c r="B87" s="261"/>
      <c r="C87" s="391"/>
      <c r="D87" s="261"/>
      <c r="E87" s="360" t="n">
        <f aca="false">IF(ISBLANK(C87),,INDEX($E$10:$E$14,MATCH(C87,$C$10:$C$14,0)))</f>
        <v>0</v>
      </c>
      <c r="F87" s="360" t="n">
        <f aca="false">IF(ISBLANK(D87),,INDEX($J$10:$J$20,MATCH(D87,$H$10:$H$20,0)))</f>
        <v>0</v>
      </c>
      <c r="G87" s="376" t="n">
        <f aca="false">IF(ISBLANK(C87),,INDEX($E$24:$E$28,MATCH(C87,$C$24:$C$28,0)))</f>
        <v>0</v>
      </c>
      <c r="H87" s="376" t="n">
        <f aca="false">IF(ISBLANK(C87),,INDEX($F$24:$F$28,MATCH(C87,$C$24:$C$28,0))*INDEX($G$24:$G$28,MATCH(C87,$C$24:$C$28,0)))</f>
        <v>0</v>
      </c>
      <c r="I87" s="376" t="n">
        <f aca="false">IF(ISBLANK(C87),,INDEX($H$24:$H$28,MATCH(C87,$C$24:$C$28,0)))</f>
        <v>0</v>
      </c>
      <c r="J87" s="376" t="n">
        <f aca="false">IF(ISBLANK(C87),,INDEX($I$24:$I$28,MATCH(C87,$C$24:$C$28,0)))</f>
        <v>0</v>
      </c>
      <c r="K87" s="376" t="n">
        <f aca="false">IF(ISBLANK(C87),,INDEX($J$24:$J$28,MATCH(C87,$C$24:$C$28,0)))</f>
        <v>0</v>
      </c>
      <c r="L87" s="376" t="n">
        <f aca="false">IF(ISBLANK(D87),,INDEX($P$24:$P$34,MATCH(D87,$N$24:$N$34,0)))</f>
        <v>0</v>
      </c>
      <c r="M87" s="376" t="n">
        <f aca="false">IF(ISBLANK(D87),,INDEX($Q$24:$Q$34,MATCH(D87,$N$24:$N$34,0))*INDEX($R$24:$R$34,MATCH(D87,$N$24:$N$34,0)))</f>
        <v>0</v>
      </c>
      <c r="N87" s="376" t="n">
        <f aca="false">IF(ISBLANK(D87),,INDEX($S$24:$S$34,MATCH(D87,$N$24:$N$34,0)))</f>
        <v>0</v>
      </c>
      <c r="O87" s="376" t="n">
        <f aca="false">IF(ISBLANK(D87),,INDEX($T$24:$T$34,MATCH(D87,$N$24:$N$34,0)))</f>
        <v>0</v>
      </c>
      <c r="P87" s="467" t="n">
        <f aca="false">IF(ISBLANK(D87),,INDEX($U$24:$U$34,MATCH(D87,$N$24:$N$34,0)))</f>
        <v>0</v>
      </c>
      <c r="Q87" s="468"/>
      <c r="R87" s="469" t="e">
        <f aca="false">IF(ISBLANK(S87),,RANK(V87,$V$41:$V$95)+COUNTIF($V$41:V87,V87)-1)</f>
        <v>#N/A</v>
      </c>
      <c r="S87" s="374" t="n">
        <f aca="false">IF(E87=1,"(L) " &amp; C87,C87)</f>
        <v>0</v>
      </c>
      <c r="T87" s="374" t="n">
        <f aca="false">IF(F87=1,"(L) " &amp; D87,D87)</f>
        <v>0</v>
      </c>
      <c r="U87" s="377" t="n">
        <f aca="false">IF(ISBLANK(C87),,IF(O87=100,(((ROUNDUP(O87/J87,0)*I87*G87+N87*L87)*1000))/(ROUNDUP(O87/J87,0)*K87+P87),((100*I87*G87+J87*(100/O87)*N87*L87)*1000)/(100*K87+J87*(100/O87)*P87)))</f>
        <v>0</v>
      </c>
      <c r="V87" s="377" t="n">
        <f aca="false">IF(ISBLANK(C87),,IF(O87=100,(((ROUNDUP(O87/J87,0)*I87*G87*H87+N87*L87*M87)*1000))/(ROUNDUP(O87/J87,0)*K87+P87),((100*I87*G87*H87+J87*(100/O87)*N87*L87*M87)*1000)/(100*K87+J87*(100/O87)*P87)))</f>
        <v>0</v>
      </c>
      <c r="W87" s="470" t="e">
        <f aca="false">IF(ISBLANK(S87),,V87/$V$39)</f>
        <v>#DIV/0!</v>
      </c>
      <c r="X87" s="470" t="e">
        <f aca="false">IF(ISBLANK(S87),,V87/$U$39)</f>
        <v>#DIV/0!</v>
      </c>
      <c r="Y87" s="470" t="e">
        <f aca="false">IF(ISBLANK(S87),,V87/U87)</f>
        <v>#DIV/0!</v>
      </c>
      <c r="Z87" s="474" t="str">
        <f aca="false">IFERROR(__xludf.dummyfunction("""COMPUTED_VALUE"""),"")</f>
        <v/>
      </c>
      <c r="AA87" s="376" t="str">
        <f aca="false">IFERROR(__xludf.dummyfunction("""COMPUTED_VALUE"""),"")</f>
        <v/>
      </c>
      <c r="AB87" s="475" t="str">
        <f aca="false">IF(OR(ISBLANK(AA87),ISNA(AA87)),,AA87)</f>
        <v/>
      </c>
    </row>
    <row r="88" customFormat="false" ht="15.75" hidden="false" customHeight="false" outlineLevel="0" collapsed="false">
      <c r="A88" s="364"/>
      <c r="B88" s="261"/>
      <c r="C88" s="391"/>
      <c r="D88" s="261"/>
      <c r="E88" s="360" t="n">
        <f aca="false">IF(ISBLANK(C88),,INDEX($E$10:$E$14,MATCH(C88,$C$10:$C$14,0)))</f>
        <v>0</v>
      </c>
      <c r="F88" s="360" t="n">
        <f aca="false">IF(ISBLANK(D88),,INDEX($J$10:$J$20,MATCH(D88,$H$10:$H$20,0)))</f>
        <v>0</v>
      </c>
      <c r="G88" s="376" t="n">
        <f aca="false">IF(ISBLANK(C88),,INDEX($E$24:$E$28,MATCH(C88,$C$24:$C$28,0)))</f>
        <v>0</v>
      </c>
      <c r="H88" s="376" t="n">
        <f aca="false">IF(ISBLANK(C88),,INDEX($F$24:$F$28,MATCH(C88,$C$24:$C$28,0))*INDEX($G$24:$G$28,MATCH(C88,$C$24:$C$28,0)))</f>
        <v>0</v>
      </c>
      <c r="I88" s="376" t="n">
        <f aca="false">IF(ISBLANK(C88),,INDEX($H$24:$H$28,MATCH(C88,$C$24:$C$28,0)))</f>
        <v>0</v>
      </c>
      <c r="J88" s="376" t="n">
        <f aca="false">IF(ISBLANK(C88),,INDEX($I$24:$I$28,MATCH(C88,$C$24:$C$28,0)))</f>
        <v>0</v>
      </c>
      <c r="K88" s="376" t="n">
        <f aca="false">IF(ISBLANK(C88),,INDEX($J$24:$J$28,MATCH(C88,$C$24:$C$28,0)))</f>
        <v>0</v>
      </c>
      <c r="L88" s="376" t="n">
        <f aca="false">IF(ISBLANK(D88),,INDEX($P$24:$P$34,MATCH(D88,$N$24:$N$34,0)))</f>
        <v>0</v>
      </c>
      <c r="M88" s="376" t="n">
        <f aca="false">IF(ISBLANK(D88),,INDEX($Q$24:$Q$34,MATCH(D88,$N$24:$N$34,0))*INDEX($R$24:$R$34,MATCH(D88,$N$24:$N$34,0)))</f>
        <v>0</v>
      </c>
      <c r="N88" s="376" t="n">
        <f aca="false">IF(ISBLANK(D88),,INDEX($S$24:$S$34,MATCH(D88,$N$24:$N$34,0)))</f>
        <v>0</v>
      </c>
      <c r="O88" s="376" t="n">
        <f aca="false">IF(ISBLANK(D88),,INDEX($T$24:$T$34,MATCH(D88,$N$24:$N$34,0)))</f>
        <v>0</v>
      </c>
      <c r="P88" s="467" t="n">
        <f aca="false">IF(ISBLANK(D88),,INDEX($U$24:$U$34,MATCH(D88,$N$24:$N$34,0)))</f>
        <v>0</v>
      </c>
      <c r="Q88" s="468"/>
      <c r="R88" s="469" t="e">
        <f aca="false">IF(ISBLANK(S88),,RANK(V88,$V$41:$V$95)+COUNTIF($V$41:V88,V88)-1)</f>
        <v>#N/A</v>
      </c>
      <c r="S88" s="374" t="n">
        <f aca="false">IF(E88=1,"(L) " &amp; C88,C88)</f>
        <v>0</v>
      </c>
      <c r="T88" s="374" t="n">
        <f aca="false">IF(F88=1,"(L) " &amp; D88,D88)</f>
        <v>0</v>
      </c>
      <c r="U88" s="377" t="n">
        <f aca="false">IF(ISBLANK(C88),,IF(O88=100,(((ROUNDUP(O88/J88,0)*I88*G88+N88*L88)*1000))/(ROUNDUP(O88/J88,0)*K88+P88),((100*I88*G88+J88*(100/O88)*N88*L88)*1000)/(100*K88+J88*(100/O88)*P88)))</f>
        <v>0</v>
      </c>
      <c r="V88" s="377" t="n">
        <f aca="false">IF(ISBLANK(C88),,IF(O88=100,(((ROUNDUP(O88/J88,0)*I88*G88*H88+N88*L88*M88)*1000))/(ROUNDUP(O88/J88,0)*K88+P88),((100*I88*G88*H88+J88*(100/O88)*N88*L88*M88)*1000)/(100*K88+J88*(100/O88)*P88)))</f>
        <v>0</v>
      </c>
      <c r="W88" s="470" t="e">
        <f aca="false">IF(ISBLANK(S88),,V88/$V$39)</f>
        <v>#DIV/0!</v>
      </c>
      <c r="X88" s="470" t="e">
        <f aca="false">IF(ISBLANK(S88),,V88/$U$39)</f>
        <v>#DIV/0!</v>
      </c>
      <c r="Y88" s="470" t="e">
        <f aca="false">IF(ISBLANK(S88),,V88/U88)</f>
        <v>#DIV/0!</v>
      </c>
      <c r="Z88" s="474" t="str">
        <f aca="false">IFERROR(__xludf.dummyfunction("""COMPUTED_VALUE"""),"")</f>
        <v/>
      </c>
      <c r="AA88" s="376" t="str">
        <f aca="false">IFERROR(__xludf.dummyfunction("""COMPUTED_VALUE"""),"")</f>
        <v/>
      </c>
      <c r="AB88" s="475" t="str">
        <f aca="false">IF(OR(ISBLANK(AA88),ISNA(AA88)),,AA88)</f>
        <v/>
      </c>
    </row>
    <row r="89" customFormat="false" ht="15.75" hidden="false" customHeight="false" outlineLevel="0" collapsed="false">
      <c r="A89" s="364"/>
      <c r="B89" s="261"/>
      <c r="C89" s="391"/>
      <c r="D89" s="261"/>
      <c r="E89" s="360" t="n">
        <f aca="false">IF(ISBLANK(C89),,INDEX($E$10:$E$14,MATCH(C89,$C$10:$C$14,0)))</f>
        <v>0</v>
      </c>
      <c r="F89" s="360" t="n">
        <f aca="false">IF(ISBLANK(D89),,INDEX($J$10:$J$20,MATCH(D89,$H$10:$H$20,0)))</f>
        <v>0</v>
      </c>
      <c r="G89" s="376" t="n">
        <f aca="false">IF(ISBLANK(C89),,INDEX($E$24:$E$28,MATCH(C89,$C$24:$C$28,0)))</f>
        <v>0</v>
      </c>
      <c r="H89" s="376" t="n">
        <f aca="false">IF(ISBLANK(C89),,INDEX($F$24:$F$28,MATCH(C89,$C$24:$C$28,0))*INDEX($G$24:$G$28,MATCH(C89,$C$24:$C$28,0)))</f>
        <v>0</v>
      </c>
      <c r="I89" s="376" t="n">
        <f aca="false">IF(ISBLANK(C89),,INDEX($H$24:$H$28,MATCH(C89,$C$24:$C$28,0)))</f>
        <v>0</v>
      </c>
      <c r="J89" s="376" t="n">
        <f aca="false">IF(ISBLANK(C89),,INDEX($I$24:$I$28,MATCH(C89,$C$24:$C$28,0)))</f>
        <v>0</v>
      </c>
      <c r="K89" s="376" t="n">
        <f aca="false">IF(ISBLANK(C89),,INDEX($J$24:$J$28,MATCH(C89,$C$24:$C$28,0)))</f>
        <v>0</v>
      </c>
      <c r="L89" s="376" t="n">
        <f aca="false">IF(ISBLANK(D89),,INDEX($P$24:$P$34,MATCH(D89,$N$24:$N$34,0)))</f>
        <v>0</v>
      </c>
      <c r="M89" s="376" t="n">
        <f aca="false">IF(ISBLANK(D89),,INDEX($Q$24:$Q$34,MATCH(D89,$N$24:$N$34,0))*INDEX($R$24:$R$34,MATCH(D89,$N$24:$N$34,0)))</f>
        <v>0</v>
      </c>
      <c r="N89" s="376" t="n">
        <f aca="false">IF(ISBLANK(D89),,INDEX($S$24:$S$34,MATCH(D89,$N$24:$N$34,0)))</f>
        <v>0</v>
      </c>
      <c r="O89" s="376" t="n">
        <f aca="false">IF(ISBLANK(D89),,INDEX($T$24:$T$34,MATCH(D89,$N$24:$N$34,0)))</f>
        <v>0</v>
      </c>
      <c r="P89" s="467" t="n">
        <f aca="false">IF(ISBLANK(D89),,INDEX($U$24:$U$34,MATCH(D89,$N$24:$N$34,0)))</f>
        <v>0</v>
      </c>
      <c r="Q89" s="468"/>
      <c r="R89" s="469" t="e">
        <f aca="false">IF(ISBLANK(S89),,RANK(V89,$V$41:$V$95)+COUNTIF($V$41:V89,V89)-1)</f>
        <v>#N/A</v>
      </c>
      <c r="S89" s="374" t="n">
        <f aca="false">IF(E89=1,"(L) " &amp; C89,C89)</f>
        <v>0</v>
      </c>
      <c r="T89" s="374" t="n">
        <f aca="false">IF(F89=1,"(L) " &amp; D89,D89)</f>
        <v>0</v>
      </c>
      <c r="U89" s="377" t="n">
        <f aca="false">IF(ISBLANK(C89),,IF(O89=100,(((ROUNDUP(O89/J89,0)*I89*G89+N89*L89)*1000))/(ROUNDUP(O89/J89,0)*K89+P89),((100*I89*G89+J89*(100/O89)*N89*L89)*1000)/(100*K89+J89*(100/O89)*P89)))</f>
        <v>0</v>
      </c>
      <c r="V89" s="377" t="n">
        <f aca="false">IF(ISBLANK(C89),,IF(O89=100,(((ROUNDUP(O89/J89,0)*I89*G89*H89+N89*L89*M89)*1000))/(ROUNDUP(O89/J89,0)*K89+P89),((100*I89*G89*H89+J89*(100/O89)*N89*L89*M89)*1000)/(100*K89+J89*(100/O89)*P89)))</f>
        <v>0</v>
      </c>
      <c r="W89" s="470" t="e">
        <f aca="false">IF(ISBLANK(S89),,V89/$V$39)</f>
        <v>#DIV/0!</v>
      </c>
      <c r="X89" s="470" t="e">
        <f aca="false">IF(ISBLANK(S89),,V89/$U$39)</f>
        <v>#DIV/0!</v>
      </c>
      <c r="Y89" s="470" t="e">
        <f aca="false">IF(ISBLANK(S89),,V89/U89)</f>
        <v>#DIV/0!</v>
      </c>
      <c r="Z89" s="474" t="str">
        <f aca="false">IFERROR(__xludf.dummyfunction("""COMPUTED_VALUE"""),"")</f>
        <v/>
      </c>
      <c r="AA89" s="376" t="str">
        <f aca="false">IFERROR(__xludf.dummyfunction("""COMPUTED_VALUE"""),"")</f>
        <v/>
      </c>
      <c r="AB89" s="475" t="str">
        <f aca="false">IF(OR(ISBLANK(AA89),ISNA(AA89)),,AA89)</f>
        <v/>
      </c>
    </row>
    <row r="90" customFormat="false" ht="15.75" hidden="false" customHeight="false" outlineLevel="0" collapsed="false">
      <c r="A90" s="364"/>
      <c r="B90" s="261"/>
      <c r="C90" s="391"/>
      <c r="D90" s="261"/>
      <c r="E90" s="360" t="n">
        <f aca="false">IF(ISBLANK(C90),,INDEX($E$10:$E$14,MATCH(C90,$C$10:$C$14,0)))</f>
        <v>0</v>
      </c>
      <c r="F90" s="360" t="n">
        <f aca="false">IF(ISBLANK(D90),,INDEX($J$10:$J$20,MATCH(D90,$H$10:$H$20,0)))</f>
        <v>0</v>
      </c>
      <c r="G90" s="376" t="n">
        <f aca="false">IF(ISBLANK(C90),,INDEX($E$24:$E$28,MATCH(C90,$C$24:$C$28,0)))</f>
        <v>0</v>
      </c>
      <c r="H90" s="376" t="n">
        <f aca="false">IF(ISBLANK(C90),,INDEX($F$24:$F$28,MATCH(C90,$C$24:$C$28,0))*INDEX($G$24:$G$28,MATCH(C90,$C$24:$C$28,0)))</f>
        <v>0</v>
      </c>
      <c r="I90" s="376" t="n">
        <f aca="false">IF(ISBLANK(C90),,INDEX($H$24:$H$28,MATCH(C90,$C$24:$C$28,0)))</f>
        <v>0</v>
      </c>
      <c r="J90" s="376" t="n">
        <f aca="false">IF(ISBLANK(C90),,INDEX($I$24:$I$28,MATCH(C90,$C$24:$C$28,0)))</f>
        <v>0</v>
      </c>
      <c r="K90" s="376" t="n">
        <f aca="false">IF(ISBLANK(C90),,INDEX($J$24:$J$28,MATCH(C90,$C$24:$C$28,0)))</f>
        <v>0</v>
      </c>
      <c r="L90" s="376" t="n">
        <f aca="false">IF(ISBLANK(D90),,INDEX($P$24:$P$34,MATCH(D90,$N$24:$N$34,0)))</f>
        <v>0</v>
      </c>
      <c r="M90" s="376" t="n">
        <f aca="false">IF(ISBLANK(D90),,INDEX($Q$24:$Q$34,MATCH(D90,$N$24:$N$34,0))*INDEX($R$24:$R$34,MATCH(D90,$N$24:$N$34,0)))</f>
        <v>0</v>
      </c>
      <c r="N90" s="376" t="n">
        <f aca="false">IF(ISBLANK(D90),,INDEX($S$24:$S$34,MATCH(D90,$N$24:$N$34,0)))</f>
        <v>0</v>
      </c>
      <c r="O90" s="376" t="n">
        <f aca="false">IF(ISBLANK(D90),,INDEX($T$24:$T$34,MATCH(D90,$N$24:$N$34,0)))</f>
        <v>0</v>
      </c>
      <c r="P90" s="467" t="n">
        <f aca="false">IF(ISBLANK(D90),,INDEX($U$24:$U$34,MATCH(D90,$N$24:$N$34,0)))</f>
        <v>0</v>
      </c>
      <c r="Q90" s="468"/>
      <c r="R90" s="469" t="e">
        <f aca="false">IF(ISBLANK(S90),,RANK(V90,$V$41:$V$95)+COUNTIF($V$41:V90,V90)-1)</f>
        <v>#N/A</v>
      </c>
      <c r="S90" s="374" t="n">
        <f aca="false">IF(E90=1,"(L) " &amp; C90,C90)</f>
        <v>0</v>
      </c>
      <c r="T90" s="374" t="n">
        <f aca="false">IF(F90=1,"(L) " &amp; D90,D90)</f>
        <v>0</v>
      </c>
      <c r="U90" s="377" t="n">
        <f aca="false">IF(ISBLANK(C90),,IF(O90=100,(((ROUNDUP(O90/J90,0)*I90*G90+N90*L90)*1000))/(ROUNDUP(O90/J90,0)*K90+P90),((100*I90*G90+J90*(100/O90)*N90*L90)*1000)/(100*K90+J90*(100/O90)*P90)))</f>
        <v>0</v>
      </c>
      <c r="V90" s="377" t="n">
        <f aca="false">IF(ISBLANK(C90),,IF(O90=100,(((ROUNDUP(O90/J90,0)*I90*G90*H90+N90*L90*M90)*1000))/(ROUNDUP(O90/J90,0)*K90+P90),((100*I90*G90*H90+J90*(100/O90)*N90*L90*M90)*1000)/(100*K90+J90*(100/O90)*P90)))</f>
        <v>0</v>
      </c>
      <c r="W90" s="470" t="e">
        <f aca="false">IF(ISBLANK(S90),,V90/$V$39)</f>
        <v>#DIV/0!</v>
      </c>
      <c r="X90" s="470" t="e">
        <f aca="false">IF(ISBLANK(S90),,V90/$U$39)</f>
        <v>#DIV/0!</v>
      </c>
      <c r="Y90" s="470" t="e">
        <f aca="false">IF(ISBLANK(S90),,V90/U90)</f>
        <v>#DIV/0!</v>
      </c>
      <c r="Z90" s="474" t="str">
        <f aca="false">IFERROR(__xludf.dummyfunction("""COMPUTED_VALUE"""),"")</f>
        <v/>
      </c>
      <c r="AA90" s="376" t="str">
        <f aca="false">IFERROR(__xludf.dummyfunction("""COMPUTED_VALUE"""),"")</f>
        <v/>
      </c>
      <c r="AB90" s="475" t="str">
        <f aca="false">IF(OR(ISBLANK(AA90),ISNA(AA90)),,AA90)</f>
        <v/>
      </c>
    </row>
    <row r="91" customFormat="false" ht="15.75" hidden="false" customHeight="false" outlineLevel="0" collapsed="false">
      <c r="A91" s="364"/>
      <c r="B91" s="261"/>
      <c r="C91" s="391"/>
      <c r="D91" s="261"/>
      <c r="E91" s="360" t="n">
        <f aca="false">IF(ISBLANK(C91),,INDEX($E$10:$E$14,MATCH(C91,$C$10:$C$14,0)))</f>
        <v>0</v>
      </c>
      <c r="F91" s="360" t="n">
        <f aca="false">IF(ISBLANK(D91),,INDEX($J$10:$J$20,MATCH(D91,$H$10:$H$20,0)))</f>
        <v>0</v>
      </c>
      <c r="G91" s="376" t="n">
        <f aca="false">IF(ISBLANK(C91),,INDEX($E$24:$E$28,MATCH(C91,$C$24:$C$28,0)))</f>
        <v>0</v>
      </c>
      <c r="H91" s="376" t="n">
        <f aca="false">IF(ISBLANK(C91),,INDEX($F$24:$F$28,MATCH(C91,$C$24:$C$28,0))*INDEX($G$24:$G$28,MATCH(C91,$C$24:$C$28,0)))</f>
        <v>0</v>
      </c>
      <c r="I91" s="376" t="n">
        <f aca="false">IF(ISBLANK(C91),,INDEX($H$24:$H$28,MATCH(C91,$C$24:$C$28,0)))</f>
        <v>0</v>
      </c>
      <c r="J91" s="376" t="n">
        <f aca="false">IF(ISBLANK(C91),,INDEX($I$24:$I$28,MATCH(C91,$C$24:$C$28,0)))</f>
        <v>0</v>
      </c>
      <c r="K91" s="376" t="n">
        <f aca="false">IF(ISBLANK(C91),,INDEX($J$24:$J$28,MATCH(C91,$C$24:$C$28,0)))</f>
        <v>0</v>
      </c>
      <c r="L91" s="376" t="n">
        <f aca="false">IF(ISBLANK(D91),,INDEX($P$24:$P$34,MATCH(D91,$N$24:$N$34,0)))</f>
        <v>0</v>
      </c>
      <c r="M91" s="376" t="n">
        <f aca="false">IF(ISBLANK(D91),,INDEX($Q$24:$Q$34,MATCH(D91,$N$24:$N$34,0))*INDEX($R$24:$R$34,MATCH(D91,$N$24:$N$34,0)))</f>
        <v>0</v>
      </c>
      <c r="N91" s="376" t="n">
        <f aca="false">IF(ISBLANK(D91),,INDEX($S$24:$S$34,MATCH(D91,$N$24:$N$34,0)))</f>
        <v>0</v>
      </c>
      <c r="O91" s="376" t="n">
        <f aca="false">IF(ISBLANK(D91),,INDEX($T$24:$T$34,MATCH(D91,$N$24:$N$34,0)))</f>
        <v>0</v>
      </c>
      <c r="P91" s="467" t="n">
        <f aca="false">IF(ISBLANK(D91),,INDEX($U$24:$U$34,MATCH(D91,$N$24:$N$34,0)))</f>
        <v>0</v>
      </c>
      <c r="Q91" s="468"/>
      <c r="R91" s="469" t="e">
        <f aca="false">IF(ISBLANK(S91),,RANK(V91,$V$41:$V$95)+COUNTIF($V$41:V91,V91)-1)</f>
        <v>#N/A</v>
      </c>
      <c r="S91" s="374" t="n">
        <f aca="false">IF(E91=1,"(L) " &amp; C91,C91)</f>
        <v>0</v>
      </c>
      <c r="T91" s="374" t="n">
        <f aca="false">IF(F91=1,"(L) " &amp; D91,D91)</f>
        <v>0</v>
      </c>
      <c r="U91" s="377" t="n">
        <f aca="false">IF(ISBLANK(C91),,IF(O91=100,(((ROUNDUP(O91/J91,0)*I91*G91+N91*L91)*1000))/(ROUNDUP(O91/J91,0)*K91+P91),((100*I91*G91+J91*(100/O91)*N91*L91)*1000)/(100*K91+J91*(100/O91)*P91)))</f>
        <v>0</v>
      </c>
      <c r="V91" s="377" t="n">
        <f aca="false">IF(ISBLANK(C91),,IF(O91=100,(((ROUNDUP(O91/J91,0)*I91*G91*H91+N91*L91*M91)*1000))/(ROUNDUP(O91/J91,0)*K91+P91),((100*I91*G91*H91+J91*(100/O91)*N91*L91*M91)*1000)/(100*K91+J91*(100/O91)*P91)))</f>
        <v>0</v>
      </c>
      <c r="W91" s="470" t="e">
        <f aca="false">IF(ISBLANK(S91),,V91/$V$39)</f>
        <v>#DIV/0!</v>
      </c>
      <c r="X91" s="470" t="e">
        <f aca="false">IF(ISBLANK(S91),,V91/$U$39)</f>
        <v>#DIV/0!</v>
      </c>
      <c r="Y91" s="470" t="e">
        <f aca="false">IF(ISBLANK(S91),,V91/U91)</f>
        <v>#DIV/0!</v>
      </c>
      <c r="Z91" s="474" t="str">
        <f aca="false">IFERROR(__xludf.dummyfunction("""COMPUTED_VALUE"""),"")</f>
        <v/>
      </c>
      <c r="AA91" s="376" t="str">
        <f aca="false">IFERROR(__xludf.dummyfunction("""COMPUTED_VALUE"""),"")</f>
        <v/>
      </c>
      <c r="AB91" s="475" t="str">
        <f aca="false">IF(OR(ISBLANK(AA91),ISNA(AA91)),,AA91)</f>
        <v/>
      </c>
    </row>
    <row r="92" customFormat="false" ht="15.75" hidden="false" customHeight="false" outlineLevel="0" collapsed="false">
      <c r="A92" s="364"/>
      <c r="B92" s="261"/>
      <c r="C92" s="391"/>
      <c r="D92" s="261"/>
      <c r="E92" s="360" t="n">
        <f aca="false">IF(ISBLANK(C92),,INDEX($E$10:$E$14,MATCH(C92,$C$10:$C$14,0)))</f>
        <v>0</v>
      </c>
      <c r="F92" s="360" t="n">
        <f aca="false">IF(ISBLANK(D92),,INDEX($J$10:$J$20,MATCH(D92,$H$10:$H$20,0)))</f>
        <v>0</v>
      </c>
      <c r="G92" s="376" t="n">
        <f aca="false">IF(ISBLANK(C92),,INDEX($E$24:$E$28,MATCH(C92,$C$24:$C$28,0)))</f>
        <v>0</v>
      </c>
      <c r="H92" s="376" t="n">
        <f aca="false">IF(ISBLANK(C92),,INDEX($F$24:$F$28,MATCH(C92,$C$24:$C$28,0))*INDEX($G$24:$G$28,MATCH(C92,$C$24:$C$28,0)))</f>
        <v>0</v>
      </c>
      <c r="I92" s="376" t="n">
        <f aca="false">IF(ISBLANK(C92),,INDEX($H$24:$H$28,MATCH(C92,$C$24:$C$28,0)))</f>
        <v>0</v>
      </c>
      <c r="J92" s="376" t="n">
        <f aca="false">IF(ISBLANK(C92),,INDEX($I$24:$I$28,MATCH(C92,$C$24:$C$28,0)))</f>
        <v>0</v>
      </c>
      <c r="K92" s="376" t="n">
        <f aca="false">IF(ISBLANK(C92),,INDEX($J$24:$J$28,MATCH(C92,$C$24:$C$28,0)))</f>
        <v>0</v>
      </c>
      <c r="L92" s="376" t="n">
        <f aca="false">IF(ISBLANK(D92),,INDEX($P$24:$P$34,MATCH(D92,$N$24:$N$34,0)))</f>
        <v>0</v>
      </c>
      <c r="M92" s="376" t="n">
        <f aca="false">IF(ISBLANK(D92),,INDEX($Q$24:$Q$34,MATCH(D92,$N$24:$N$34,0))*INDEX($R$24:$R$34,MATCH(D92,$N$24:$N$34,0)))</f>
        <v>0</v>
      </c>
      <c r="N92" s="376" t="n">
        <f aca="false">IF(ISBLANK(D92),,INDEX($S$24:$S$34,MATCH(D92,$N$24:$N$34,0)))</f>
        <v>0</v>
      </c>
      <c r="O92" s="376" t="n">
        <f aca="false">IF(ISBLANK(D92),,INDEX($T$24:$T$34,MATCH(D92,$N$24:$N$34,0)))</f>
        <v>0</v>
      </c>
      <c r="P92" s="467" t="n">
        <f aca="false">IF(ISBLANK(D92),,INDEX($U$24:$U$34,MATCH(D92,$N$24:$N$34,0)))</f>
        <v>0</v>
      </c>
      <c r="Q92" s="468"/>
      <c r="R92" s="469" t="e">
        <f aca="false">IF(ISBLANK(S92),,RANK(V92,$V$41:$V$95)+COUNTIF($V$41:V92,V92)-1)</f>
        <v>#N/A</v>
      </c>
      <c r="S92" s="374" t="n">
        <f aca="false">IF(E92=1,"(L) " &amp; C92,C92)</f>
        <v>0</v>
      </c>
      <c r="T92" s="374" t="n">
        <f aca="false">IF(F92=1,"(L) " &amp; D92,D92)</f>
        <v>0</v>
      </c>
      <c r="U92" s="377" t="n">
        <f aca="false">IF(ISBLANK(C92),,IF(O92=100,(((ROUNDUP(O92/J92,0)*I92*G92+N92*L92)*1000))/(ROUNDUP(O92/J92,0)*K92+P92),((100*I92*G92+J92*(100/O92)*N92*L92)*1000)/(100*K92+J92*(100/O92)*P92)))</f>
        <v>0</v>
      </c>
      <c r="V92" s="377" t="n">
        <f aca="false">IF(ISBLANK(C92),,IF(O92=100,(((ROUNDUP(O92/J92,0)*I92*G92*H92+N92*L92*M92)*1000))/(ROUNDUP(O92/J92,0)*K92+P92),((100*I92*G92*H92+J92*(100/O92)*N92*L92*M92)*1000)/(100*K92+J92*(100/O92)*P92)))</f>
        <v>0</v>
      </c>
      <c r="W92" s="470" t="e">
        <f aca="false">IF(ISBLANK(S92),,V92/$V$39)</f>
        <v>#DIV/0!</v>
      </c>
      <c r="X92" s="470" t="e">
        <f aca="false">IF(ISBLANK(S92),,V92/$U$39)</f>
        <v>#DIV/0!</v>
      </c>
      <c r="Y92" s="470" t="e">
        <f aca="false">IF(ISBLANK(S92),,V92/U92)</f>
        <v>#DIV/0!</v>
      </c>
      <c r="Z92" s="474" t="str">
        <f aca="false">IFERROR(__xludf.dummyfunction("""COMPUTED_VALUE"""),"")</f>
        <v/>
      </c>
      <c r="AA92" s="376" t="str">
        <f aca="false">IFERROR(__xludf.dummyfunction("""COMPUTED_VALUE"""),"")</f>
        <v/>
      </c>
      <c r="AB92" s="475" t="str">
        <f aca="false">IF(OR(ISBLANK(AA92),ISNA(AA92)),,AA92)</f>
        <v/>
      </c>
    </row>
    <row r="93" customFormat="false" ht="15.75" hidden="false" customHeight="false" outlineLevel="0" collapsed="false">
      <c r="A93" s="364"/>
      <c r="B93" s="261"/>
      <c r="C93" s="391"/>
      <c r="D93" s="261"/>
      <c r="E93" s="360" t="n">
        <f aca="false">IF(ISBLANK(C93),,INDEX($E$10:$E$14,MATCH(C93,$C$10:$C$14,0)))</f>
        <v>0</v>
      </c>
      <c r="F93" s="360" t="n">
        <f aca="false">IF(ISBLANK(D93),,INDEX($J$10:$J$20,MATCH(D93,$H$10:$H$20,0)))</f>
        <v>0</v>
      </c>
      <c r="G93" s="376" t="n">
        <f aca="false">IF(ISBLANK(C93),,INDEX($E$24:$E$28,MATCH(C93,$C$24:$C$28,0)))</f>
        <v>0</v>
      </c>
      <c r="H93" s="376" t="n">
        <f aca="false">IF(ISBLANK(C93),,INDEX($F$24:$F$28,MATCH(C93,$C$24:$C$28,0))*INDEX($G$24:$G$28,MATCH(C93,$C$24:$C$28,0)))</f>
        <v>0</v>
      </c>
      <c r="I93" s="376" t="n">
        <f aca="false">IF(ISBLANK(C93),,INDEX($H$24:$H$28,MATCH(C93,$C$24:$C$28,0)))</f>
        <v>0</v>
      </c>
      <c r="J93" s="376" t="n">
        <f aca="false">IF(ISBLANK(C93),,INDEX($I$24:$I$28,MATCH(C93,$C$24:$C$28,0)))</f>
        <v>0</v>
      </c>
      <c r="K93" s="376" t="n">
        <f aca="false">IF(ISBLANK(C93),,INDEX($J$24:$J$28,MATCH(C93,$C$24:$C$28,0)))</f>
        <v>0</v>
      </c>
      <c r="L93" s="376" t="n">
        <f aca="false">IF(ISBLANK(D93),,INDEX($P$24:$P$34,MATCH(D93,$N$24:$N$34,0)))</f>
        <v>0</v>
      </c>
      <c r="M93" s="376" t="n">
        <f aca="false">IF(ISBLANK(D93),,INDEX($Q$24:$Q$34,MATCH(D93,$N$24:$N$34,0))*INDEX($R$24:$R$34,MATCH(D93,$N$24:$N$34,0)))</f>
        <v>0</v>
      </c>
      <c r="N93" s="376" t="n">
        <f aca="false">IF(ISBLANK(D93),,INDEX($S$24:$S$34,MATCH(D93,$N$24:$N$34,0)))</f>
        <v>0</v>
      </c>
      <c r="O93" s="376" t="n">
        <f aca="false">IF(ISBLANK(D93),,INDEX($T$24:$T$34,MATCH(D93,$N$24:$N$34,0)))</f>
        <v>0</v>
      </c>
      <c r="P93" s="467" t="n">
        <f aca="false">IF(ISBLANK(D93),,INDEX($U$24:$U$34,MATCH(D93,$N$24:$N$34,0)))</f>
        <v>0</v>
      </c>
      <c r="Q93" s="468"/>
      <c r="R93" s="469" t="e">
        <f aca="false">IF(ISBLANK(S93),,RANK(V93,$V$41:$V$95)+COUNTIF($V$41:V93,V93)-1)</f>
        <v>#N/A</v>
      </c>
      <c r="S93" s="374" t="n">
        <f aca="false">IF(E93=1,"(L) " &amp; C93,C93)</f>
        <v>0</v>
      </c>
      <c r="T93" s="374" t="n">
        <f aca="false">IF(F93=1,"(L) " &amp; D93,D93)</f>
        <v>0</v>
      </c>
      <c r="U93" s="377" t="n">
        <f aca="false">IF(ISBLANK(C93),,IF(O93=100,(((ROUNDUP(O93/J93,0)*I93*G93+N93*L93)*1000))/(ROUNDUP(O93/J93,0)*K93+P93),((100*I93*G93+J93*(100/O93)*N93*L93)*1000)/(100*K93+J93*(100/O93)*P93)))</f>
        <v>0</v>
      </c>
      <c r="V93" s="377" t="n">
        <f aca="false">IF(ISBLANK(C93),,IF(O93=100,(((ROUNDUP(O93/J93,0)*I93*G93*H93+N93*L93*M93)*1000))/(ROUNDUP(O93/J93,0)*K93+P93),((100*I93*G93*H93+J93*(100/O93)*N93*L93*M93)*1000)/(100*K93+J93*(100/O93)*P93)))</f>
        <v>0</v>
      </c>
      <c r="W93" s="470" t="e">
        <f aca="false">IF(ISBLANK(S93),,V93/$V$39)</f>
        <v>#DIV/0!</v>
      </c>
      <c r="X93" s="470" t="e">
        <f aca="false">IF(ISBLANK(S93),,V93/$U$39)</f>
        <v>#DIV/0!</v>
      </c>
      <c r="Y93" s="470" t="e">
        <f aca="false">IF(ISBLANK(S93),,V93/U93)</f>
        <v>#DIV/0!</v>
      </c>
      <c r="Z93" s="474" t="str">
        <f aca="false">IFERROR(__xludf.dummyfunction("""COMPUTED_VALUE"""),"")</f>
        <v/>
      </c>
      <c r="AA93" s="376" t="str">
        <f aca="false">IFERROR(__xludf.dummyfunction("""COMPUTED_VALUE"""),"")</f>
        <v/>
      </c>
      <c r="AB93" s="475" t="str">
        <f aca="false">IF(OR(ISBLANK(AA93),ISNA(AA93)),,AA93)</f>
        <v/>
      </c>
    </row>
    <row r="94" customFormat="false" ht="15.75" hidden="false" customHeight="false" outlineLevel="0" collapsed="false">
      <c r="A94" s="364"/>
      <c r="B94" s="261"/>
      <c r="C94" s="391"/>
      <c r="D94" s="261"/>
      <c r="E94" s="360" t="n">
        <f aca="false">IF(ISBLANK(C94),,INDEX($E$10:$E$14,MATCH(C94,$C$10:$C$14,0)))</f>
        <v>0</v>
      </c>
      <c r="F94" s="360" t="n">
        <f aca="false">IF(ISBLANK(D94),,INDEX($J$10:$J$20,MATCH(D94,$H$10:$H$20,0)))</f>
        <v>0</v>
      </c>
      <c r="G94" s="376" t="n">
        <f aca="false">IF(ISBLANK(C94),,INDEX($E$24:$E$28,MATCH(C94,$C$24:$C$28,0)))</f>
        <v>0</v>
      </c>
      <c r="H94" s="376" t="n">
        <f aca="false">IF(ISBLANK(C94),,INDEX($F$24:$F$28,MATCH(C94,$C$24:$C$28,0))*INDEX($G$24:$G$28,MATCH(C94,$C$24:$C$28,0)))</f>
        <v>0</v>
      </c>
      <c r="I94" s="376" t="n">
        <f aca="false">IF(ISBLANK(C94),,INDEX($H$24:$H$28,MATCH(C94,$C$24:$C$28,0)))</f>
        <v>0</v>
      </c>
      <c r="J94" s="376" t="n">
        <f aca="false">IF(ISBLANK(C94),,INDEX($I$24:$I$28,MATCH(C94,$C$24:$C$28,0)))</f>
        <v>0</v>
      </c>
      <c r="K94" s="376" t="n">
        <f aca="false">IF(ISBLANK(C94),,INDEX($J$24:$J$28,MATCH(C94,$C$24:$C$28,0)))</f>
        <v>0</v>
      </c>
      <c r="L94" s="376" t="n">
        <f aca="false">IF(ISBLANK(D94),,INDEX($P$24:$P$34,MATCH(D94,$N$24:$N$34,0)))</f>
        <v>0</v>
      </c>
      <c r="M94" s="376" t="n">
        <f aca="false">IF(ISBLANK(D94),,INDEX($Q$24:$Q$34,MATCH(D94,$N$24:$N$34,0))*INDEX($R$24:$R$34,MATCH(D94,$N$24:$N$34,0)))</f>
        <v>0</v>
      </c>
      <c r="N94" s="376" t="n">
        <f aca="false">IF(ISBLANK(D94),,INDEX($S$24:$S$34,MATCH(D94,$N$24:$N$34,0)))</f>
        <v>0</v>
      </c>
      <c r="O94" s="376" t="n">
        <f aca="false">IF(ISBLANK(D94),,INDEX($T$24:$T$34,MATCH(D94,$N$24:$N$34,0)))</f>
        <v>0</v>
      </c>
      <c r="P94" s="467" t="n">
        <f aca="false">IF(ISBLANK(D94),,INDEX($U$24:$U$34,MATCH(D94,$N$24:$N$34,0)))</f>
        <v>0</v>
      </c>
      <c r="Q94" s="468"/>
      <c r="R94" s="469" t="e">
        <f aca="false">IF(ISBLANK(S94),,RANK(V94,$V$41:$V$95)+COUNTIF($V$41:V94,V94)-1)</f>
        <v>#N/A</v>
      </c>
      <c r="S94" s="374" t="n">
        <f aca="false">IF(E94=1,"(L) " &amp; C94,C94)</f>
        <v>0</v>
      </c>
      <c r="T94" s="374" t="n">
        <f aca="false">IF(F94=1,"(L) " &amp; D94,D94)</f>
        <v>0</v>
      </c>
      <c r="U94" s="377" t="n">
        <f aca="false">IF(ISBLANK(C94),,IF(O94=100,(((ROUNDUP(O94/J94,0)*I94*G94+N94*L94)*1000))/(ROUNDUP(O94/J94,0)*K94+P94),((100*I94*G94+J94*(100/O94)*N94*L94)*1000)/(100*K94+J94*(100/O94)*P94)))</f>
        <v>0</v>
      </c>
      <c r="V94" s="377" t="n">
        <f aca="false">IF(ISBLANK(C94),,IF(O94=100,(((ROUNDUP(O94/J94,0)*I94*G94*H94+N94*L94*M94)*1000))/(ROUNDUP(O94/J94,0)*K94+P94),((100*I94*G94*H94+J94*(100/O94)*N94*L94*M94)*1000)/(100*K94+J94*(100/O94)*P94)))</f>
        <v>0</v>
      </c>
      <c r="W94" s="470" t="e">
        <f aca="false">IF(ISBLANK(S94),,V94/$V$39)</f>
        <v>#DIV/0!</v>
      </c>
      <c r="X94" s="470" t="e">
        <f aca="false">IF(ISBLANK(S94),,V94/$U$39)</f>
        <v>#DIV/0!</v>
      </c>
      <c r="Y94" s="470" t="e">
        <f aca="false">IF(ISBLANK(S94),,V94/U94)</f>
        <v>#DIV/0!</v>
      </c>
      <c r="Z94" s="474" t="str">
        <f aca="false">IFERROR(__xludf.dummyfunction("""COMPUTED_VALUE"""),"")</f>
        <v/>
      </c>
      <c r="AA94" s="376" t="str">
        <f aca="false">IFERROR(__xludf.dummyfunction("""COMPUTED_VALUE"""),"")</f>
        <v/>
      </c>
      <c r="AB94" s="475" t="str">
        <f aca="false">IF(OR(ISBLANK(AA94),ISNA(AA94)),,AA94)</f>
        <v/>
      </c>
    </row>
    <row r="95" customFormat="false" ht="15.75" hidden="false" customHeight="false" outlineLevel="0" collapsed="false">
      <c r="A95" s="364"/>
      <c r="B95" s="261"/>
      <c r="C95" s="391"/>
      <c r="D95" s="261"/>
      <c r="E95" s="360" t="n">
        <f aca="false">IF(ISBLANK(C95),,INDEX($E$10:$E$14,MATCH(C95,$C$10:$C$14,0)))</f>
        <v>0</v>
      </c>
      <c r="F95" s="360" t="n">
        <f aca="false">IF(ISBLANK(D95),,INDEX($J$10:$J$20,MATCH(D95,$H$10:$H$20,0)))</f>
        <v>0</v>
      </c>
      <c r="G95" s="376" t="n">
        <f aca="false">IF(ISBLANK(C95),,INDEX($E$24:$E$28,MATCH(C95,$C$24:$C$28,0)))</f>
        <v>0</v>
      </c>
      <c r="H95" s="376" t="n">
        <f aca="false">IF(ISBLANK(C95),,INDEX($F$24:$F$28,MATCH(C95,$C$24:$C$28,0))*INDEX($G$24:$G$28,MATCH(C95,$C$24:$C$28,0)))</f>
        <v>0</v>
      </c>
      <c r="I95" s="376" t="n">
        <f aca="false">IF(ISBLANK(C95),,INDEX($H$24:$H$28,MATCH(C95,$C$24:$C$28,0)))</f>
        <v>0</v>
      </c>
      <c r="J95" s="376" t="n">
        <f aca="false">IF(ISBLANK(C95),,INDEX($I$24:$I$28,MATCH(C95,$C$24:$C$28,0)))</f>
        <v>0</v>
      </c>
      <c r="K95" s="376" t="n">
        <f aca="false">IF(ISBLANK(C95),,INDEX($J$24:$J$28,MATCH(C95,$C$24:$C$28,0)))</f>
        <v>0</v>
      </c>
      <c r="L95" s="376" t="n">
        <f aca="false">IF(ISBLANK(D95),,INDEX($P$24:$P$34,MATCH(D95,$N$24:$N$34,0)))</f>
        <v>0</v>
      </c>
      <c r="M95" s="376" t="n">
        <f aca="false">IF(ISBLANK(D95),,INDEX($Q$24:$Q$34,MATCH(D95,$N$24:$N$34,0))*INDEX($R$24:$R$34,MATCH(D95,$N$24:$N$34,0)))</f>
        <v>0</v>
      </c>
      <c r="N95" s="376" t="n">
        <f aca="false">IF(ISBLANK(D95),,INDEX($S$24:$S$34,MATCH(D95,$N$24:$N$34,0)))</f>
        <v>0</v>
      </c>
      <c r="O95" s="376" t="n">
        <f aca="false">IF(ISBLANK(D95),,INDEX($T$24:$T$34,MATCH(D95,$N$24:$N$34,0)))</f>
        <v>0</v>
      </c>
      <c r="P95" s="467" t="n">
        <f aca="false">IF(ISBLANK(D95),,INDEX($U$24:$U$34,MATCH(D95,$N$24:$N$34,0)))</f>
        <v>0</v>
      </c>
      <c r="Q95" s="468"/>
      <c r="R95" s="469" t="e">
        <f aca="false">IF(ISBLANK(S95),,RANK(V95,$V$41:$V$95)+COUNTIF($V$41:V95,V95)-1)</f>
        <v>#N/A</v>
      </c>
      <c r="S95" s="374" t="n">
        <f aca="false">IF(E95=1,"(L) " &amp; C95,C95)</f>
        <v>0</v>
      </c>
      <c r="T95" s="374" t="n">
        <f aca="false">IF(F95=1,"(L) " &amp; D95,D95)</f>
        <v>0</v>
      </c>
      <c r="U95" s="377" t="n">
        <f aca="false">IF(ISBLANK(C95),,IF(O95=100,(((ROUNDUP(O95/J95,0)*I95*G95+N95*L95)*1000))/(ROUNDUP(O95/J95,0)*K95+P95),((100*I95*G95+J95*(100/O95)*N95*L95)*1000)/(100*K95+J95*(100/O95)*P95)))</f>
        <v>0</v>
      </c>
      <c r="V95" s="377" t="n">
        <f aca="false">IF(ISBLANK(C95),,IF(O95=100,(((ROUNDUP(O95/J95,0)*I95*G95*H95+N95*L95*M95)*1000))/(ROUNDUP(O95/J95,0)*K95+P95),((100*I95*G95*H95+J95*(100/O95)*N95*L95*M95)*1000)/(100*K95+J95*(100/O95)*P95)))</f>
        <v>0</v>
      </c>
      <c r="W95" s="470" t="e">
        <f aca="false">IF(ISBLANK(S95),,V95/$V$39)</f>
        <v>#DIV/0!</v>
      </c>
      <c r="X95" s="470" t="e">
        <f aca="false">IF(ISBLANK(S95),,V95/$U$39)</f>
        <v>#DIV/0!</v>
      </c>
      <c r="Y95" s="470" t="e">
        <f aca="false">IF(ISBLANK(S95),,V95/U95)</f>
        <v>#DIV/0!</v>
      </c>
      <c r="Z95" s="474"/>
      <c r="AA95" s="376" t="str">
        <f aca="false">IFERROR(__xludf.dummyfunction("""COMPUTED_VALUE"""),"")</f>
        <v/>
      </c>
      <c r="AB95" s="475" t="str">
        <f aca="false">IF(OR(ISBLANK(AA95),ISNA(AA95)),,AA95)</f>
        <v/>
      </c>
    </row>
    <row r="96" customFormat="false" ht="15.75" hidden="false" customHeight="false" outlineLevel="0" collapsed="false">
      <c r="A96" s="364"/>
      <c r="B96" s="364"/>
      <c r="C96" s="394"/>
      <c r="D96" s="406"/>
      <c r="E96" s="406"/>
      <c r="F96" s="406"/>
      <c r="G96" s="406"/>
      <c r="H96" s="406"/>
      <c r="I96" s="419"/>
      <c r="J96" s="419"/>
      <c r="K96" s="419"/>
      <c r="L96" s="419"/>
      <c r="M96" s="419"/>
      <c r="N96" s="419"/>
      <c r="O96" s="419"/>
      <c r="P96" s="431"/>
      <c r="Q96" s="432"/>
      <c r="R96" s="418"/>
      <c r="S96" s="419"/>
      <c r="T96" s="419"/>
      <c r="U96" s="419"/>
      <c r="V96" s="419"/>
      <c r="W96" s="419"/>
      <c r="X96" s="419"/>
      <c r="Y96" s="419"/>
      <c r="Z96" s="479"/>
      <c r="AA96" s="480" t="str">
        <f aca="false">IFERROR(__xludf.dummyfunction("""COMPUTED_VALUE"""),"")</f>
        <v/>
      </c>
      <c r="AB96" s="481" t="s">
        <v>58</v>
      </c>
    </row>
    <row r="97" customFormat="false" ht="15.75" hidden="false" customHeight="false" outlineLevel="0" collapsed="false">
      <c r="A97" s="364"/>
      <c r="B97" s="364"/>
      <c r="C97" s="261"/>
      <c r="D97" s="261"/>
      <c r="E97" s="261"/>
      <c r="F97" s="364"/>
      <c r="G97" s="364"/>
      <c r="H97" s="261"/>
      <c r="I97" s="364"/>
      <c r="J97" s="364"/>
      <c r="K97" s="364"/>
      <c r="L97" s="364"/>
      <c r="M97" s="364"/>
      <c r="N97" s="364"/>
      <c r="O97" s="364"/>
      <c r="P97" s="364"/>
      <c r="Q97" s="261" t="s">
        <v>58</v>
      </c>
      <c r="R97" s="261" t="s">
        <v>58</v>
      </c>
      <c r="S97" s="261" t="s">
        <v>58</v>
      </c>
      <c r="T97" s="261" t="s">
        <v>58</v>
      </c>
      <c r="U97" s="261" t="s">
        <v>58</v>
      </c>
      <c r="V97" s="261" t="s">
        <v>58</v>
      </c>
      <c r="W97" s="261" t="s">
        <v>58</v>
      </c>
      <c r="X97" s="261" t="s">
        <v>58</v>
      </c>
      <c r="Y97" s="261" t="s">
        <v>58</v>
      </c>
      <c r="Z97" s="261"/>
      <c r="AA97" s="261" t="str">
        <f aca="false">IFERROR(__xludf.dummyfunction("""COMPUTED_VALUE"""),"")</f>
        <v/>
      </c>
      <c r="AB97" s="261"/>
    </row>
    <row r="98" customFormat="false" ht="15.75" hidden="false" customHeight="false" outlineLevel="0" collapsed="false">
      <c r="A98" s="364"/>
      <c r="B98" s="364"/>
      <c r="C98" s="261"/>
      <c r="D98" s="261"/>
      <c r="E98" s="261"/>
      <c r="F98" s="364"/>
      <c r="G98" s="261"/>
      <c r="H98" s="261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64"/>
      <c r="T98" s="364"/>
      <c r="U98" s="364"/>
      <c r="V98" s="364"/>
      <c r="W98" s="364"/>
      <c r="X98" s="364"/>
      <c r="Y98" s="364"/>
      <c r="Z98" s="364"/>
      <c r="AA98" s="364" t="str">
        <f aca="false">IFERROR(__xludf.dummyfunction("""COMPUTED_VALUE"""),"")</f>
        <v/>
      </c>
      <c r="AB98" s="364"/>
    </row>
    <row r="99" customFormat="false" ht="15.75" hidden="false" customHeight="false" outlineLevel="0" collapsed="false">
      <c r="A99" s="364"/>
      <c r="B99" s="364"/>
      <c r="C99" s="261"/>
      <c r="D99" s="261"/>
      <c r="E99" s="261"/>
      <c r="F99" s="364"/>
      <c r="G99" s="261"/>
      <c r="H99" s="261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64"/>
      <c r="T99" s="364"/>
      <c r="U99" s="364"/>
      <c r="V99" s="364"/>
      <c r="W99" s="364"/>
      <c r="X99" s="364"/>
      <c r="Y99" s="364"/>
      <c r="Z99" s="364"/>
      <c r="AA99" s="364" t="str">
        <f aca="false">IFERROR(__xludf.dummyfunction("""COMPUTED_VALUE"""),"")</f>
        <v/>
      </c>
      <c r="AB99" s="364"/>
    </row>
    <row r="100" customFormat="false" ht="15.75" hidden="false" customHeight="false" outlineLevel="0" collapsed="false">
      <c r="A100" s="364"/>
      <c r="B100" s="364"/>
      <c r="C100" s="261"/>
      <c r="D100" s="261"/>
      <c r="E100" s="261"/>
      <c r="F100" s="364"/>
      <c r="G100" s="261"/>
      <c r="H100" s="261"/>
      <c r="I100" s="364"/>
      <c r="J100" s="364"/>
      <c r="K100" s="364"/>
      <c r="L100" s="364"/>
      <c r="M100" s="364"/>
      <c r="N100" s="364"/>
      <c r="O100" s="364"/>
      <c r="P100" s="364"/>
      <c r="Q100" s="364"/>
      <c r="R100" s="364"/>
      <c r="S100" s="364"/>
      <c r="T100" s="364"/>
      <c r="U100" s="364"/>
      <c r="V100" s="364"/>
      <c r="W100" s="364"/>
      <c r="X100" s="364"/>
      <c r="Y100" s="364"/>
      <c r="Z100" s="364"/>
      <c r="AA100" s="364" t="str">
        <f aca="false">IFERROR(__xludf.dummyfunction("""COMPUTED_VALUE"""),"")</f>
        <v/>
      </c>
      <c r="AB100" s="364"/>
    </row>
    <row r="101" customFormat="false" ht="15.75" hidden="false" customHeight="false" outlineLevel="0" collapsed="false">
      <c r="A101" s="364"/>
      <c r="B101" s="364"/>
      <c r="C101" s="261"/>
      <c r="D101" s="261"/>
      <c r="E101" s="261"/>
      <c r="F101" s="364"/>
      <c r="G101" s="261"/>
      <c r="H101" s="261"/>
      <c r="I101" s="364"/>
      <c r="J101" s="364"/>
      <c r="K101" s="364"/>
      <c r="L101" s="364"/>
      <c r="M101" s="364"/>
      <c r="N101" s="364"/>
      <c r="O101" s="364"/>
      <c r="P101" s="364"/>
      <c r="Q101" s="364"/>
      <c r="R101" s="364"/>
      <c r="S101" s="364"/>
      <c r="T101" s="364"/>
      <c r="U101" s="364"/>
      <c r="V101" s="364"/>
      <c r="W101" s="364"/>
      <c r="X101" s="364"/>
      <c r="Y101" s="364"/>
      <c r="Z101" s="364"/>
      <c r="AA101" s="364" t="str">
        <f aca="false">IFERROR(__xludf.dummyfunction("""COMPUTED_VALUE"""),"")</f>
        <v/>
      </c>
      <c r="AB101" s="364"/>
    </row>
    <row r="102" customFormat="false" ht="15.75" hidden="false" customHeight="false" outlineLevel="0" collapsed="false">
      <c r="A102" s="364"/>
      <c r="B102" s="364"/>
      <c r="C102" s="261"/>
      <c r="D102" s="261"/>
      <c r="E102" s="261"/>
      <c r="F102" s="261"/>
      <c r="G102" s="261"/>
      <c r="H102" s="261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64"/>
      <c r="T102" s="364"/>
      <c r="U102" s="364"/>
      <c r="V102" s="364"/>
      <c r="W102" s="364"/>
      <c r="X102" s="364"/>
      <c r="Y102" s="364"/>
      <c r="Z102" s="364"/>
      <c r="AA102" s="364" t="str">
        <f aca="false">IFERROR(__xludf.dummyfunction("""COMPUTED_VALUE"""),"")</f>
        <v/>
      </c>
      <c r="AB102" s="364"/>
    </row>
    <row r="103" customFormat="false" ht="15.75" hidden="false" customHeight="false" outlineLevel="0" collapsed="false">
      <c r="A103" s="364"/>
      <c r="B103" s="364"/>
      <c r="C103" s="261"/>
      <c r="D103" s="261"/>
      <c r="E103" s="261"/>
      <c r="F103" s="261"/>
      <c r="G103" s="261"/>
      <c r="H103" s="261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64"/>
      <c r="T103" s="364"/>
      <c r="U103" s="364"/>
      <c r="V103" s="364"/>
      <c r="W103" s="364"/>
      <c r="X103" s="364"/>
      <c r="Y103" s="364"/>
      <c r="Z103" s="364"/>
      <c r="AA103" s="364" t="str">
        <f aca="false">IFERROR(__xludf.dummyfunction("""COMPUTED_VALUE"""),"")</f>
        <v/>
      </c>
      <c r="AB103" s="364"/>
    </row>
    <row r="104" customFormat="false" ht="15.75" hidden="false" customHeight="false" outlineLevel="0" collapsed="false">
      <c r="A104" s="364"/>
      <c r="B104" s="364"/>
      <c r="C104" s="261"/>
      <c r="D104" s="261"/>
      <c r="E104" s="261"/>
      <c r="F104" s="364"/>
      <c r="G104" s="364"/>
      <c r="H104" s="261"/>
      <c r="I104" s="364"/>
      <c r="J104" s="364"/>
      <c r="K104" s="364"/>
      <c r="L104" s="364"/>
      <c r="M104" s="364"/>
      <c r="N104" s="364"/>
      <c r="O104" s="364"/>
      <c r="P104" s="364"/>
      <c r="Q104" s="364"/>
      <c r="R104" s="364"/>
      <c r="S104" s="364"/>
      <c r="T104" s="364"/>
      <c r="U104" s="364"/>
      <c r="V104" s="364"/>
      <c r="W104" s="364"/>
      <c r="X104" s="364"/>
      <c r="Y104" s="364"/>
      <c r="Z104" s="364"/>
      <c r="AA104" s="364" t="str">
        <f aca="false">IFERROR(__xludf.dummyfunction("""COMPUTED_VALUE"""),"")</f>
        <v/>
      </c>
      <c r="AB104" s="364"/>
    </row>
    <row r="105" customFormat="false" ht="15.75" hidden="false" customHeight="false" outlineLevel="0" collapsed="false">
      <c r="A105" s="364"/>
      <c r="B105" s="364"/>
      <c r="C105" s="261"/>
      <c r="D105" s="261"/>
      <c r="E105" s="261"/>
      <c r="F105" s="364"/>
      <c r="G105" s="261"/>
      <c r="H105" s="261"/>
      <c r="I105" s="364"/>
      <c r="J105" s="364"/>
      <c r="K105" s="364"/>
      <c r="L105" s="364"/>
      <c r="M105" s="364"/>
      <c r="N105" s="364"/>
      <c r="O105" s="364"/>
      <c r="P105" s="364"/>
      <c r="Q105" s="364"/>
      <c r="R105" s="364"/>
      <c r="S105" s="364"/>
      <c r="T105" s="364"/>
      <c r="U105" s="364"/>
      <c r="V105" s="364"/>
      <c r="W105" s="364"/>
      <c r="X105" s="364"/>
      <c r="Y105" s="364"/>
      <c r="Z105" s="376"/>
      <c r="AA105" s="364" t="str">
        <f aca="false">IFERROR(__xludf.dummyfunction("""COMPUTED_VALUE"""),"")</f>
        <v/>
      </c>
      <c r="AB105" s="364"/>
    </row>
    <row r="106" customFormat="false" ht="15.75" hidden="false" customHeight="false" outlineLevel="0" collapsed="false">
      <c r="A106" s="364"/>
      <c r="B106" s="364"/>
      <c r="C106" s="261"/>
      <c r="D106" s="261"/>
      <c r="E106" s="261"/>
      <c r="F106" s="364"/>
      <c r="G106" s="261"/>
      <c r="H106" s="261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64"/>
      <c r="T106" s="364"/>
      <c r="U106" s="364"/>
      <c r="V106" s="364"/>
      <c r="W106" s="364"/>
      <c r="X106" s="364"/>
      <c r="Y106" s="364"/>
      <c r="Z106" s="364"/>
      <c r="AA106" s="364" t="str">
        <f aca="false">IFERROR(__xludf.dummyfunction("""COMPUTED_VALUE"""),"")</f>
        <v/>
      </c>
      <c r="AB106" s="364"/>
    </row>
    <row r="107" customFormat="false" ht="15.75" hidden="false" customHeight="false" outlineLevel="0" collapsed="false">
      <c r="A107" s="364"/>
      <c r="B107" s="364"/>
      <c r="C107" s="261"/>
      <c r="D107" s="261"/>
      <c r="E107" s="261"/>
      <c r="F107" s="261"/>
      <c r="G107" s="261"/>
      <c r="H107" s="261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64"/>
      <c r="T107" s="364"/>
      <c r="U107" s="364"/>
      <c r="V107" s="364"/>
      <c r="W107" s="364"/>
      <c r="X107" s="364"/>
      <c r="Y107" s="364"/>
      <c r="Z107" s="364"/>
      <c r="AA107" s="364" t="str">
        <f aca="false">IFERROR(__xludf.dummyfunction("""COMPUTED_VALUE"""),"")</f>
        <v/>
      </c>
      <c r="AB107" s="364"/>
    </row>
    <row r="108" customFormat="false" ht="15.75" hidden="false" customHeight="false" outlineLevel="0" collapsed="false">
      <c r="A108" s="364"/>
      <c r="B108" s="364"/>
      <c r="C108" s="261"/>
      <c r="D108" s="261"/>
      <c r="E108" s="261"/>
      <c r="F108" s="364"/>
      <c r="G108" s="261"/>
      <c r="H108" s="261"/>
      <c r="I108" s="364"/>
      <c r="J108" s="364"/>
      <c r="K108" s="364"/>
      <c r="L108" s="364"/>
      <c r="M108" s="364"/>
      <c r="N108" s="364"/>
      <c r="O108" s="364"/>
      <c r="P108" s="364"/>
      <c r="Q108" s="364"/>
      <c r="R108" s="364"/>
      <c r="S108" s="364"/>
      <c r="T108" s="364"/>
      <c r="U108" s="364"/>
      <c r="V108" s="364"/>
      <c r="W108" s="364"/>
      <c r="X108" s="364"/>
      <c r="Y108" s="364"/>
      <c r="Z108" s="364"/>
      <c r="AA108" s="364" t="str">
        <f aca="false">IFERROR(__xludf.dummyfunction("""COMPUTED_VALUE"""),"")</f>
        <v/>
      </c>
      <c r="AB108" s="364"/>
    </row>
    <row r="109" customFormat="false" ht="15.75" hidden="false" customHeight="false" outlineLevel="0" collapsed="false">
      <c r="A109" s="364"/>
      <c r="B109" s="364"/>
      <c r="C109" s="261"/>
      <c r="D109" s="261"/>
      <c r="E109" s="261"/>
      <c r="F109" s="261"/>
      <c r="G109" s="261"/>
      <c r="H109" s="261"/>
      <c r="I109" s="364"/>
      <c r="J109" s="364"/>
      <c r="K109" s="364"/>
      <c r="L109" s="364"/>
      <c r="M109" s="364"/>
      <c r="N109" s="364"/>
      <c r="O109" s="364"/>
      <c r="P109" s="364"/>
      <c r="Q109" s="364"/>
      <c r="R109" s="364"/>
      <c r="S109" s="364"/>
      <c r="T109" s="364"/>
      <c r="U109" s="364"/>
      <c r="V109" s="364"/>
      <c r="W109" s="364"/>
      <c r="X109" s="364"/>
      <c r="Y109" s="364"/>
      <c r="Z109" s="364"/>
      <c r="AA109" s="364" t="str">
        <f aca="false">IFERROR(__xludf.dummyfunction("""COMPUTED_VALUE"""),"")</f>
        <v/>
      </c>
      <c r="AB109" s="364"/>
    </row>
    <row r="110" customFormat="false" ht="15.75" hidden="false" customHeight="false" outlineLevel="0" collapsed="false">
      <c r="A110" s="364"/>
      <c r="B110" s="364"/>
      <c r="C110" s="261"/>
      <c r="D110" s="261"/>
      <c r="E110" s="261"/>
      <c r="F110" s="364"/>
      <c r="G110" s="261"/>
      <c r="H110" s="261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64"/>
      <c r="T110" s="364"/>
      <c r="U110" s="364"/>
      <c r="V110" s="364"/>
      <c r="W110" s="364"/>
      <c r="X110" s="364"/>
      <c r="Y110" s="364"/>
      <c r="Z110" s="364"/>
      <c r="AA110" s="364" t="str">
        <f aca="false">IFERROR(__xludf.dummyfunction("""COMPUTED_VALUE"""),"")</f>
        <v/>
      </c>
      <c r="AB110" s="364"/>
    </row>
    <row r="111" customFormat="false" ht="15.75" hidden="false" customHeight="false" outlineLevel="0" collapsed="false">
      <c r="A111" s="364"/>
      <c r="B111" s="364"/>
      <c r="C111" s="261"/>
      <c r="D111" s="261"/>
      <c r="E111" s="261"/>
      <c r="F111" s="364"/>
      <c r="G111" s="261"/>
      <c r="H111" s="261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64"/>
      <c r="T111" s="364"/>
      <c r="U111" s="364"/>
      <c r="V111" s="364"/>
      <c r="W111" s="364"/>
      <c r="X111" s="364"/>
      <c r="Y111" s="364"/>
      <c r="Z111" s="364"/>
      <c r="AA111" s="364" t="str">
        <f aca="false">IFERROR(__xludf.dummyfunction("""COMPUTED_VALUE"""),"")</f>
        <v/>
      </c>
      <c r="AB111" s="364"/>
    </row>
    <row r="112" customFormat="false" ht="15.75" hidden="false" customHeight="false" outlineLevel="0" collapsed="false">
      <c r="A112" s="364"/>
      <c r="B112" s="364"/>
      <c r="C112" s="261"/>
      <c r="D112" s="261"/>
      <c r="E112" s="261"/>
      <c r="F112" s="261"/>
      <c r="G112" s="261"/>
      <c r="H112" s="261"/>
      <c r="I112" s="364"/>
      <c r="J112" s="364"/>
      <c r="K112" s="364"/>
      <c r="L112" s="364"/>
      <c r="M112" s="364"/>
      <c r="N112" s="364"/>
      <c r="O112" s="364"/>
      <c r="P112" s="364"/>
      <c r="Q112" s="364"/>
      <c r="R112" s="364"/>
      <c r="S112" s="364"/>
      <c r="T112" s="364"/>
      <c r="U112" s="364"/>
      <c r="V112" s="364"/>
      <c r="W112" s="364"/>
      <c r="X112" s="364"/>
      <c r="Y112" s="364"/>
      <c r="Z112" s="364"/>
      <c r="AA112" s="364" t="str">
        <f aca="false">IFERROR(__xludf.dummyfunction("""COMPUTED_VALUE"""),"")</f>
        <v/>
      </c>
      <c r="AB112" s="364"/>
    </row>
    <row r="113" customFormat="false" ht="15.75" hidden="false" customHeight="false" outlineLevel="0" collapsed="false">
      <c r="A113" s="364"/>
      <c r="B113" s="364"/>
      <c r="C113" s="261"/>
      <c r="D113" s="261"/>
      <c r="E113" s="261"/>
      <c r="F113" s="364"/>
      <c r="G113" s="364"/>
      <c r="H113" s="261"/>
      <c r="I113" s="364"/>
      <c r="J113" s="364"/>
      <c r="K113" s="364"/>
      <c r="L113" s="364"/>
      <c r="M113" s="364"/>
      <c r="N113" s="364"/>
      <c r="O113" s="364"/>
      <c r="P113" s="364"/>
      <c r="Q113" s="364"/>
      <c r="R113" s="364"/>
      <c r="S113" s="364"/>
      <c r="T113" s="364"/>
      <c r="U113" s="364"/>
      <c r="V113" s="364"/>
      <c r="W113" s="364"/>
      <c r="X113" s="364"/>
      <c r="Y113" s="364"/>
      <c r="Z113" s="364"/>
      <c r="AA113" s="364" t="str">
        <f aca="false">IFERROR(__xludf.dummyfunction("""COMPUTED_VALUE"""),"")</f>
        <v/>
      </c>
      <c r="AB113" s="364"/>
    </row>
    <row r="114" customFormat="false" ht="15.75" hidden="false" customHeight="false" outlineLevel="0" collapsed="false">
      <c r="A114" s="364"/>
      <c r="B114" s="364"/>
      <c r="C114" s="261"/>
      <c r="D114" s="261"/>
      <c r="E114" s="261"/>
      <c r="F114" s="364"/>
      <c r="G114" s="261"/>
      <c r="H114" s="261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64"/>
      <c r="T114" s="364"/>
      <c r="U114" s="364"/>
      <c r="V114" s="364"/>
      <c r="W114" s="364"/>
      <c r="X114" s="364"/>
      <c r="Y114" s="364"/>
      <c r="Z114" s="364"/>
      <c r="AA114" s="364" t="str">
        <f aca="false">IFERROR(__xludf.dummyfunction("""COMPUTED_VALUE"""),"")</f>
        <v/>
      </c>
      <c r="AB114" s="364"/>
    </row>
    <row r="115" customFormat="false" ht="15.75" hidden="false" customHeight="false" outlineLevel="0" collapsed="false">
      <c r="A115" s="364"/>
      <c r="B115" s="364"/>
      <c r="C115" s="261"/>
      <c r="D115" s="261"/>
      <c r="E115" s="261"/>
      <c r="F115" s="261"/>
      <c r="G115" s="261"/>
      <c r="H115" s="261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64"/>
      <c r="T115" s="364"/>
      <c r="U115" s="364"/>
      <c r="V115" s="364"/>
      <c r="W115" s="364"/>
      <c r="X115" s="364"/>
      <c r="Y115" s="364"/>
      <c r="Z115" s="364"/>
      <c r="AA115" s="364" t="str">
        <f aca="false">IFERROR(__xludf.dummyfunction("""COMPUTED_VALUE"""),"")</f>
        <v/>
      </c>
      <c r="AB115" s="364"/>
    </row>
    <row r="116" customFormat="false" ht="15.75" hidden="false" customHeight="false" outlineLevel="0" collapsed="false">
      <c r="A116" s="364"/>
      <c r="B116" s="364"/>
      <c r="C116" s="261"/>
      <c r="D116" s="261"/>
      <c r="E116" s="261"/>
      <c r="F116" s="364"/>
      <c r="G116" s="261"/>
      <c r="H116" s="261"/>
      <c r="I116" s="364"/>
      <c r="J116" s="364"/>
      <c r="K116" s="364"/>
      <c r="L116" s="364"/>
      <c r="M116" s="364"/>
      <c r="N116" s="364"/>
      <c r="O116" s="364"/>
      <c r="P116" s="364"/>
      <c r="Q116" s="364"/>
      <c r="R116" s="364"/>
      <c r="S116" s="364"/>
      <c r="T116" s="364"/>
      <c r="U116" s="364"/>
      <c r="V116" s="364"/>
      <c r="W116" s="364"/>
      <c r="X116" s="364"/>
      <c r="Y116" s="364"/>
      <c r="Z116" s="364"/>
      <c r="AA116" s="364" t="str">
        <f aca="false">IFERROR(__xludf.dummyfunction("""COMPUTED_VALUE"""),"")</f>
        <v/>
      </c>
      <c r="AB116" s="364"/>
    </row>
    <row r="117" customFormat="false" ht="15.75" hidden="false" customHeight="false" outlineLevel="0" collapsed="false">
      <c r="A117" s="364"/>
      <c r="B117" s="364"/>
      <c r="C117" s="261"/>
      <c r="D117" s="261"/>
      <c r="E117" s="261"/>
      <c r="F117" s="364"/>
      <c r="G117" s="261"/>
      <c r="H117" s="261"/>
      <c r="I117" s="364"/>
      <c r="J117" s="364"/>
      <c r="K117" s="364"/>
      <c r="L117" s="364"/>
      <c r="M117" s="364"/>
      <c r="N117" s="364"/>
      <c r="O117" s="364"/>
      <c r="P117" s="364"/>
      <c r="Q117" s="364"/>
      <c r="R117" s="364"/>
      <c r="S117" s="364"/>
      <c r="T117" s="364"/>
      <c r="U117" s="364"/>
      <c r="V117" s="364"/>
      <c r="W117" s="364"/>
      <c r="X117" s="364"/>
      <c r="Y117" s="364"/>
      <c r="Z117" s="364"/>
      <c r="AA117" s="364" t="str">
        <f aca="false">IFERROR(__xludf.dummyfunction("""COMPUTED_VALUE"""),"")</f>
        <v/>
      </c>
      <c r="AB117" s="364"/>
    </row>
    <row r="118" customFormat="false" ht="15.75" hidden="false" customHeight="false" outlineLevel="0" collapsed="false">
      <c r="A118" s="364"/>
      <c r="B118" s="364"/>
      <c r="C118" s="261"/>
      <c r="D118" s="261"/>
      <c r="E118" s="261"/>
      <c r="F118" s="364"/>
      <c r="G118" s="261"/>
      <c r="H118" s="261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64"/>
      <c r="T118" s="364"/>
      <c r="U118" s="364"/>
      <c r="V118" s="364"/>
      <c r="W118" s="364"/>
      <c r="X118" s="364"/>
      <c r="Y118" s="364"/>
      <c r="Z118" s="364"/>
      <c r="AA118" s="364" t="str">
        <f aca="false">IFERROR(__xludf.dummyfunction("""COMPUTED_VALUE"""),"")</f>
        <v/>
      </c>
      <c r="AB118" s="364"/>
    </row>
    <row r="119" customFormat="false" ht="15.75" hidden="false" customHeight="false" outlineLevel="0" collapsed="false">
      <c r="A119" s="364"/>
      <c r="B119" s="364"/>
      <c r="C119" s="261"/>
      <c r="D119" s="261"/>
      <c r="E119" s="261"/>
      <c r="F119" s="364"/>
      <c r="G119" s="261"/>
      <c r="H119" s="261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64"/>
      <c r="T119" s="364"/>
      <c r="U119" s="364"/>
      <c r="V119" s="364"/>
      <c r="W119" s="364"/>
      <c r="X119" s="364"/>
      <c r="Y119" s="364"/>
      <c r="Z119" s="364"/>
      <c r="AA119" s="364" t="str">
        <f aca="false">IFERROR(__xludf.dummyfunction("""COMPUTED_VALUE"""),"")</f>
        <v/>
      </c>
      <c r="AB119" s="364"/>
    </row>
    <row r="120" customFormat="false" ht="15.75" hidden="false" customHeight="false" outlineLevel="0" collapsed="false">
      <c r="A120" s="364"/>
      <c r="B120" s="364"/>
      <c r="C120" s="261"/>
      <c r="D120" s="261"/>
      <c r="E120" s="261"/>
      <c r="F120" s="261"/>
      <c r="G120" s="261"/>
      <c r="H120" s="261"/>
      <c r="I120" s="364"/>
      <c r="J120" s="364"/>
      <c r="K120" s="364"/>
      <c r="L120" s="364"/>
      <c r="M120" s="364"/>
      <c r="N120" s="364"/>
      <c r="O120" s="364"/>
      <c r="P120" s="364"/>
      <c r="Q120" s="364"/>
      <c r="R120" s="364"/>
      <c r="S120" s="364"/>
      <c r="T120" s="364"/>
      <c r="U120" s="364"/>
      <c r="V120" s="364"/>
      <c r="W120" s="364"/>
      <c r="X120" s="364"/>
      <c r="Y120" s="364"/>
      <c r="Z120" s="364"/>
      <c r="AA120" s="364" t="str">
        <f aca="false">IFERROR(__xludf.dummyfunction("""COMPUTED_VALUE"""),"")</f>
        <v/>
      </c>
      <c r="AB120" s="364"/>
    </row>
    <row r="121" customFormat="false" ht="15.75" hidden="false" customHeight="false" outlineLevel="0" collapsed="false">
      <c r="A121" s="364"/>
      <c r="B121" s="364"/>
      <c r="C121" s="261"/>
      <c r="D121" s="261"/>
      <c r="E121" s="261"/>
      <c r="F121" s="364"/>
      <c r="G121" s="261"/>
      <c r="H121" s="261"/>
      <c r="I121" s="364"/>
      <c r="J121" s="364"/>
      <c r="K121" s="364"/>
      <c r="L121" s="364"/>
      <c r="M121" s="364"/>
      <c r="N121" s="364"/>
      <c r="O121" s="364"/>
      <c r="P121" s="364"/>
      <c r="Q121" s="364"/>
      <c r="R121" s="364"/>
      <c r="S121" s="364"/>
      <c r="T121" s="364"/>
      <c r="U121" s="364"/>
      <c r="V121" s="364"/>
      <c r="W121" s="364"/>
      <c r="X121" s="364"/>
      <c r="Y121" s="364"/>
      <c r="Z121" s="364"/>
      <c r="AA121" s="364" t="str">
        <f aca="false">IFERROR(__xludf.dummyfunction("""COMPUTED_VALUE"""),"")</f>
        <v/>
      </c>
      <c r="AB121" s="364"/>
    </row>
    <row r="122" customFormat="false" ht="15.75" hidden="false" customHeight="false" outlineLevel="0" collapsed="false">
      <c r="A122" s="364"/>
      <c r="B122" s="364"/>
      <c r="C122" s="261"/>
      <c r="D122" s="261"/>
      <c r="E122" s="261"/>
      <c r="F122" s="364"/>
      <c r="G122" s="261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64"/>
      <c r="T122" s="364"/>
      <c r="U122" s="364"/>
      <c r="V122" s="364"/>
      <c r="W122" s="364"/>
      <c r="X122" s="364"/>
      <c r="Y122" s="364"/>
      <c r="Z122" s="364"/>
      <c r="AA122" s="364" t="str">
        <f aca="false">IFERROR(__xludf.dummyfunction("""COMPUTED_VALUE"""),"")</f>
        <v/>
      </c>
      <c r="AB122" s="364"/>
    </row>
    <row r="123" customFormat="false" ht="15.75" hidden="false" customHeight="false" outlineLevel="0" collapsed="false">
      <c r="A123" s="364"/>
      <c r="B123" s="364"/>
      <c r="C123" s="261"/>
      <c r="D123" s="261"/>
      <c r="E123" s="261"/>
      <c r="F123" s="364"/>
      <c r="G123" s="261"/>
      <c r="H123" s="261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64"/>
      <c r="T123" s="364"/>
      <c r="U123" s="364"/>
      <c r="V123" s="364"/>
      <c r="W123" s="364"/>
      <c r="X123" s="364"/>
      <c r="Y123" s="364"/>
      <c r="Z123" s="364"/>
      <c r="AA123" s="364" t="str">
        <f aca="false">IFERROR(__xludf.dummyfunction("""COMPUTED_VALUE"""),"")</f>
        <v/>
      </c>
      <c r="AB123" s="364"/>
    </row>
    <row r="124" customFormat="false" ht="15.75" hidden="false" customHeight="false" outlineLevel="0" collapsed="false">
      <c r="A124" s="364"/>
      <c r="B124" s="364"/>
      <c r="C124" s="261"/>
      <c r="D124" s="261"/>
      <c r="E124" s="261"/>
      <c r="F124" s="364"/>
      <c r="G124" s="261"/>
      <c r="H124" s="261"/>
      <c r="I124" s="364"/>
      <c r="J124" s="364"/>
      <c r="K124" s="364"/>
      <c r="L124" s="364"/>
      <c r="M124" s="364"/>
      <c r="N124" s="364"/>
      <c r="O124" s="364"/>
      <c r="P124" s="364"/>
      <c r="Q124" s="364"/>
      <c r="R124" s="364"/>
      <c r="S124" s="364"/>
      <c r="T124" s="364"/>
      <c r="U124" s="364"/>
      <c r="V124" s="364"/>
      <c r="W124" s="364"/>
      <c r="X124" s="364"/>
      <c r="Y124" s="364"/>
      <c r="Z124" s="364"/>
      <c r="AA124" s="364" t="str">
        <f aca="false">IFERROR(__xludf.dummyfunction("""COMPUTED_VALUE"""),"")</f>
        <v/>
      </c>
      <c r="AB124" s="364"/>
    </row>
    <row r="125" customFormat="false" ht="15.75" hidden="false" customHeight="false" outlineLevel="0" collapsed="false">
      <c r="A125" s="364"/>
      <c r="B125" s="364"/>
      <c r="C125" s="261"/>
      <c r="D125" s="261"/>
      <c r="E125" s="261"/>
      <c r="F125" s="364"/>
      <c r="G125" s="261"/>
      <c r="H125" s="261"/>
      <c r="I125" s="364"/>
      <c r="J125" s="364"/>
      <c r="K125" s="364"/>
      <c r="L125" s="364"/>
      <c r="M125" s="364"/>
      <c r="N125" s="364"/>
      <c r="O125" s="364"/>
      <c r="P125" s="364"/>
      <c r="Q125" s="364"/>
      <c r="R125" s="364"/>
      <c r="S125" s="364"/>
      <c r="T125" s="364"/>
      <c r="U125" s="364"/>
      <c r="V125" s="364"/>
      <c r="W125" s="364"/>
      <c r="X125" s="364"/>
      <c r="Y125" s="364"/>
      <c r="Z125" s="364"/>
      <c r="AA125" s="364" t="str">
        <f aca="false">IFERROR(__xludf.dummyfunction("""COMPUTED_VALUE"""),"")</f>
        <v/>
      </c>
      <c r="AB125" s="364"/>
    </row>
    <row r="126" customFormat="false" ht="15.75" hidden="false" customHeight="false" outlineLevel="0" collapsed="false">
      <c r="A126" s="364"/>
      <c r="B126" s="364"/>
      <c r="C126" s="261"/>
      <c r="D126" s="261"/>
      <c r="E126" s="261"/>
      <c r="F126" s="364"/>
      <c r="G126" s="261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64"/>
      <c r="T126" s="364"/>
      <c r="U126" s="364"/>
      <c r="V126" s="364"/>
      <c r="W126" s="364"/>
      <c r="X126" s="364"/>
      <c r="Y126" s="364"/>
      <c r="Z126" s="364"/>
      <c r="AA126" s="364" t="str">
        <f aca="false">IFERROR(__xludf.dummyfunction("""COMPUTED_VALUE"""),"")</f>
        <v/>
      </c>
      <c r="AB126" s="364"/>
    </row>
    <row r="127" customFormat="false" ht="15.75" hidden="false" customHeight="false" outlineLevel="0" collapsed="false">
      <c r="A127" s="364"/>
      <c r="B127" s="364"/>
      <c r="C127" s="261"/>
      <c r="D127" s="261"/>
      <c r="E127" s="261"/>
      <c r="F127" s="364"/>
      <c r="G127" s="261"/>
      <c r="H127" s="261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64"/>
      <c r="T127" s="364"/>
      <c r="U127" s="364"/>
      <c r="V127" s="364"/>
      <c r="W127" s="364"/>
      <c r="X127" s="364"/>
      <c r="Y127" s="364"/>
      <c r="Z127" s="364"/>
      <c r="AA127" s="364" t="str">
        <f aca="false">IFERROR(__xludf.dummyfunction("""COMPUTED_VALUE"""),"")</f>
        <v/>
      </c>
      <c r="AB127" s="364"/>
    </row>
    <row r="128" customFormat="false" ht="15.75" hidden="false" customHeight="false" outlineLevel="0" collapsed="false">
      <c r="A128" s="364"/>
      <c r="B128" s="364"/>
      <c r="C128" s="261"/>
      <c r="D128" s="261"/>
      <c r="E128" s="261"/>
      <c r="F128" s="261"/>
      <c r="G128" s="261"/>
      <c r="H128" s="261"/>
      <c r="I128" s="364"/>
      <c r="J128" s="364"/>
      <c r="K128" s="364"/>
      <c r="L128" s="364"/>
      <c r="M128" s="364"/>
      <c r="N128" s="364"/>
      <c r="O128" s="364"/>
      <c r="P128" s="364"/>
      <c r="Q128" s="364"/>
      <c r="R128" s="364"/>
      <c r="S128" s="364"/>
      <c r="T128" s="364"/>
      <c r="U128" s="364"/>
      <c r="V128" s="364"/>
      <c r="W128" s="364"/>
      <c r="X128" s="364"/>
      <c r="Y128" s="364"/>
      <c r="Z128" s="364"/>
      <c r="AA128" s="364" t="str">
        <f aca="false">IFERROR(__xludf.dummyfunction("""COMPUTED_VALUE"""),"")</f>
        <v/>
      </c>
      <c r="AB128" s="364"/>
    </row>
    <row r="129" customFormat="false" ht="15.75" hidden="false" customHeight="false" outlineLevel="0" collapsed="false">
      <c r="A129" s="364"/>
      <c r="B129" s="364"/>
      <c r="C129" s="261"/>
      <c r="D129" s="261"/>
      <c r="E129" s="261"/>
      <c r="F129" s="364"/>
      <c r="G129" s="261"/>
      <c r="H129" s="261"/>
      <c r="I129" s="364"/>
      <c r="J129" s="364"/>
      <c r="K129" s="364"/>
      <c r="L129" s="364"/>
      <c r="M129" s="364"/>
      <c r="N129" s="364"/>
      <c r="O129" s="364"/>
      <c r="P129" s="364"/>
      <c r="Q129" s="364"/>
      <c r="R129" s="364"/>
      <c r="S129" s="364"/>
      <c r="T129" s="364"/>
      <c r="U129" s="364"/>
      <c r="V129" s="364"/>
      <c r="W129" s="364"/>
      <c r="X129" s="364"/>
      <c r="Y129" s="364"/>
      <c r="Z129" s="364"/>
      <c r="AA129" s="364" t="str">
        <f aca="false">IFERROR(__xludf.dummyfunction("""COMPUTED_VALUE"""),"")</f>
        <v/>
      </c>
      <c r="AB129" s="364"/>
    </row>
    <row r="130" customFormat="false" ht="15.75" hidden="false" customHeight="false" outlineLevel="0" collapsed="false">
      <c r="A130" s="364"/>
      <c r="B130" s="364"/>
      <c r="C130" s="261"/>
      <c r="D130" s="261"/>
      <c r="E130" s="261"/>
      <c r="F130" s="261"/>
      <c r="G130" s="261"/>
      <c r="H130" s="261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64"/>
      <c r="T130" s="364"/>
      <c r="U130" s="364"/>
      <c r="V130" s="364"/>
      <c r="W130" s="364"/>
      <c r="X130" s="364"/>
      <c r="Y130" s="364"/>
      <c r="Z130" s="364"/>
      <c r="AA130" s="364" t="str">
        <f aca="false">IFERROR(__xludf.dummyfunction("""COMPUTED_VALUE"""),"")</f>
        <v/>
      </c>
      <c r="AB130" s="364"/>
    </row>
    <row r="131" customFormat="false" ht="15.75" hidden="false" customHeight="false" outlineLevel="0" collapsed="false">
      <c r="A131" s="364"/>
      <c r="B131" s="364"/>
      <c r="C131" s="261"/>
      <c r="D131" s="261"/>
      <c r="E131" s="261"/>
      <c r="F131" s="364"/>
      <c r="G131" s="261"/>
      <c r="H131" s="261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64"/>
      <c r="T131" s="364"/>
      <c r="U131" s="364"/>
      <c r="V131" s="364"/>
      <c r="W131" s="364"/>
      <c r="X131" s="364"/>
      <c r="Y131" s="364"/>
      <c r="Z131" s="364"/>
      <c r="AA131" s="364" t="str">
        <f aca="false">IFERROR(__xludf.dummyfunction("""COMPUTED_VALUE"""),"")</f>
        <v/>
      </c>
      <c r="AB131" s="364"/>
    </row>
    <row r="132" customFormat="false" ht="15.75" hidden="false" customHeight="false" outlineLevel="0" collapsed="false">
      <c r="A132" s="364"/>
      <c r="B132" s="364"/>
      <c r="C132" s="261"/>
      <c r="D132" s="261"/>
      <c r="E132" s="261"/>
      <c r="F132" s="261"/>
      <c r="G132" s="261"/>
      <c r="H132" s="261"/>
      <c r="I132" s="364"/>
      <c r="J132" s="364"/>
      <c r="K132" s="364"/>
      <c r="L132" s="364"/>
      <c r="M132" s="364"/>
      <c r="N132" s="364"/>
      <c r="O132" s="364"/>
      <c r="P132" s="364"/>
      <c r="Q132" s="364"/>
      <c r="R132" s="364"/>
      <c r="S132" s="364"/>
      <c r="T132" s="364"/>
      <c r="U132" s="364"/>
      <c r="V132" s="364"/>
      <c r="W132" s="364"/>
      <c r="X132" s="364"/>
      <c r="Y132" s="364"/>
      <c r="Z132" s="364"/>
      <c r="AA132" s="364" t="str">
        <f aca="false">IFERROR(__xludf.dummyfunction("""COMPUTED_VALUE"""),"")</f>
        <v/>
      </c>
      <c r="AB132" s="364"/>
    </row>
    <row r="133" customFormat="false" ht="15.75" hidden="false" customHeight="false" outlineLevel="0" collapsed="false">
      <c r="A133" s="364"/>
      <c r="B133" s="364"/>
      <c r="C133" s="261"/>
      <c r="D133" s="261"/>
      <c r="E133" s="261"/>
      <c r="F133" s="364"/>
      <c r="G133" s="261"/>
      <c r="H133" s="364"/>
      <c r="I133" s="364"/>
      <c r="J133" s="364"/>
      <c r="K133" s="364"/>
      <c r="L133" s="364"/>
      <c r="M133" s="364"/>
      <c r="N133" s="364"/>
      <c r="O133" s="364"/>
      <c r="P133" s="364"/>
      <c r="Q133" s="364"/>
      <c r="R133" s="364"/>
      <c r="S133" s="364"/>
      <c r="T133" s="364"/>
      <c r="U133" s="364"/>
      <c r="V133" s="364"/>
      <c r="W133" s="364"/>
      <c r="X133" s="364"/>
      <c r="Y133" s="364"/>
      <c r="Z133" s="364"/>
      <c r="AA133" s="364" t="str">
        <f aca="false">IFERROR(__xludf.dummyfunction("""COMPUTED_VALUE"""),"")</f>
        <v/>
      </c>
      <c r="AB133" s="364"/>
    </row>
    <row r="134" customFormat="false" ht="15.75" hidden="false" customHeight="false" outlineLevel="0" collapsed="false">
      <c r="A134" s="364"/>
      <c r="B134" s="364"/>
      <c r="C134" s="261"/>
      <c r="D134" s="261"/>
      <c r="E134" s="261"/>
      <c r="F134" s="261"/>
      <c r="G134" s="261"/>
      <c r="H134" s="261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4"/>
      <c r="T134" s="364"/>
      <c r="U134" s="364"/>
      <c r="V134" s="364"/>
      <c r="W134" s="364"/>
      <c r="X134" s="364"/>
      <c r="Y134" s="364"/>
      <c r="Z134" s="364"/>
      <c r="AA134" s="364" t="str">
        <f aca="false">IFERROR(__xludf.dummyfunction("""COMPUTED_VALUE"""),"")</f>
        <v/>
      </c>
      <c r="AB134" s="364"/>
    </row>
    <row r="135" customFormat="false" ht="15.75" hidden="false" customHeight="false" outlineLevel="0" collapsed="false">
      <c r="A135" s="364"/>
      <c r="B135" s="364"/>
      <c r="C135" s="261"/>
      <c r="D135" s="261"/>
      <c r="E135" s="261"/>
      <c r="F135" s="364"/>
      <c r="G135" s="261"/>
      <c r="H135" s="261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64"/>
      <c r="T135" s="364"/>
      <c r="U135" s="364"/>
      <c r="V135" s="364"/>
      <c r="W135" s="364"/>
      <c r="X135" s="364"/>
      <c r="Y135" s="364"/>
      <c r="Z135" s="364"/>
      <c r="AA135" s="364" t="str">
        <f aca="false">IFERROR(__xludf.dummyfunction("""COMPUTED_VALUE"""),"")</f>
        <v/>
      </c>
      <c r="AB135" s="364"/>
    </row>
    <row r="136" customFormat="false" ht="15.75" hidden="false" customHeight="false" outlineLevel="0" collapsed="false">
      <c r="A136" s="364"/>
      <c r="B136" s="364"/>
      <c r="C136" s="261"/>
      <c r="D136" s="261"/>
      <c r="E136" s="261"/>
      <c r="F136" s="261"/>
      <c r="G136" s="261"/>
      <c r="H136" s="261"/>
      <c r="I136" s="364"/>
      <c r="J136" s="364"/>
      <c r="K136" s="364"/>
      <c r="L136" s="364"/>
      <c r="M136" s="364"/>
      <c r="N136" s="364"/>
      <c r="O136" s="364"/>
      <c r="P136" s="364"/>
      <c r="Q136" s="364"/>
      <c r="R136" s="364"/>
      <c r="S136" s="364"/>
      <c r="T136" s="364"/>
      <c r="U136" s="364"/>
      <c r="V136" s="364"/>
      <c r="W136" s="364"/>
      <c r="X136" s="364"/>
      <c r="Y136" s="364"/>
      <c r="Z136" s="364"/>
      <c r="AA136" s="364" t="str">
        <f aca="false">IFERROR(__xludf.dummyfunction("""COMPUTED_VALUE"""),"")</f>
        <v/>
      </c>
      <c r="AB136" s="364"/>
    </row>
    <row r="137" customFormat="false" ht="15.75" hidden="false" customHeight="false" outlineLevel="0" collapsed="false">
      <c r="A137" s="364"/>
      <c r="B137" s="364"/>
      <c r="C137" s="261"/>
      <c r="D137" s="261"/>
      <c r="E137" s="261"/>
      <c r="F137" s="364"/>
      <c r="G137" s="261"/>
      <c r="H137" s="261"/>
      <c r="I137" s="364"/>
      <c r="J137" s="364"/>
      <c r="K137" s="364"/>
      <c r="L137" s="364"/>
      <c r="M137" s="364"/>
      <c r="N137" s="364"/>
      <c r="O137" s="364"/>
      <c r="P137" s="364"/>
      <c r="Q137" s="364"/>
      <c r="R137" s="364"/>
      <c r="S137" s="364"/>
      <c r="T137" s="364"/>
      <c r="U137" s="364"/>
      <c r="V137" s="364"/>
      <c r="W137" s="364"/>
      <c r="X137" s="364"/>
      <c r="Y137" s="364"/>
      <c r="Z137" s="364"/>
      <c r="AA137" s="364" t="str">
        <f aca="false">IFERROR(__xludf.dummyfunction("""COMPUTED_VALUE"""),"")</f>
        <v/>
      </c>
      <c r="AB137" s="364"/>
    </row>
    <row r="138" customFormat="false" ht="15.75" hidden="false" customHeight="false" outlineLevel="0" collapsed="false">
      <c r="A138" s="364"/>
      <c r="B138" s="364"/>
      <c r="C138" s="261"/>
      <c r="D138" s="261"/>
      <c r="E138" s="261"/>
      <c r="F138" s="364"/>
      <c r="G138" s="261"/>
      <c r="H138" s="261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64"/>
      <c r="T138" s="364"/>
      <c r="U138" s="364"/>
      <c r="V138" s="364"/>
      <c r="W138" s="364"/>
      <c r="X138" s="364"/>
      <c r="Y138" s="364"/>
      <c r="Z138" s="364"/>
      <c r="AA138" s="364" t="str">
        <f aca="false">IFERROR(__xludf.dummyfunction("""COMPUTED_VALUE"""),"")</f>
        <v/>
      </c>
      <c r="AB138" s="364"/>
    </row>
    <row r="139" customFormat="false" ht="15.75" hidden="false" customHeight="false" outlineLevel="0" collapsed="false">
      <c r="A139" s="364"/>
      <c r="B139" s="364"/>
      <c r="C139" s="261"/>
      <c r="D139" s="261"/>
      <c r="E139" s="261"/>
      <c r="F139" s="364"/>
      <c r="G139" s="261"/>
      <c r="H139" s="261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64"/>
      <c r="T139" s="364"/>
      <c r="U139" s="364"/>
      <c r="V139" s="364"/>
      <c r="W139" s="364"/>
      <c r="X139" s="364"/>
      <c r="Y139" s="364"/>
      <c r="Z139" s="364"/>
      <c r="AA139" s="364" t="str">
        <f aca="false">IFERROR(__xludf.dummyfunction("""COMPUTED_VALUE"""),"")</f>
        <v/>
      </c>
      <c r="AB139" s="364"/>
    </row>
    <row r="140" customFormat="false" ht="15.75" hidden="false" customHeight="false" outlineLevel="0" collapsed="false">
      <c r="A140" s="364"/>
      <c r="B140" s="364"/>
      <c r="C140" s="261"/>
      <c r="D140" s="261"/>
      <c r="E140" s="261"/>
      <c r="F140" s="364"/>
      <c r="G140" s="261"/>
      <c r="H140" s="261"/>
      <c r="I140" s="364"/>
      <c r="J140" s="364"/>
      <c r="K140" s="364"/>
      <c r="L140" s="364"/>
      <c r="M140" s="364"/>
      <c r="N140" s="364"/>
      <c r="O140" s="364"/>
      <c r="P140" s="364"/>
      <c r="Q140" s="364"/>
      <c r="R140" s="364"/>
      <c r="S140" s="364"/>
      <c r="T140" s="364"/>
      <c r="U140" s="364"/>
      <c r="V140" s="364"/>
      <c r="W140" s="364"/>
      <c r="X140" s="364"/>
      <c r="Y140" s="364"/>
      <c r="Z140" s="364"/>
      <c r="AA140" s="364" t="str">
        <f aca="false">IFERROR(__xludf.dummyfunction("""COMPUTED_VALUE"""),"")</f>
        <v/>
      </c>
      <c r="AB140" s="364"/>
    </row>
    <row r="141" customFormat="false" ht="15.75" hidden="false" customHeight="false" outlineLevel="0" collapsed="false">
      <c r="A141" s="364"/>
      <c r="B141" s="364"/>
      <c r="C141" s="261"/>
      <c r="D141" s="261"/>
      <c r="E141" s="261"/>
      <c r="F141" s="364"/>
      <c r="G141" s="261"/>
      <c r="H141" s="261"/>
      <c r="I141" s="364"/>
      <c r="J141" s="364"/>
      <c r="K141" s="364"/>
      <c r="L141" s="364"/>
      <c r="M141" s="364"/>
      <c r="N141" s="364"/>
      <c r="O141" s="364"/>
      <c r="P141" s="364"/>
      <c r="Q141" s="364"/>
      <c r="R141" s="364"/>
      <c r="S141" s="364"/>
      <c r="T141" s="364"/>
      <c r="U141" s="364"/>
      <c r="V141" s="364"/>
      <c r="W141" s="364"/>
      <c r="X141" s="364"/>
      <c r="Y141" s="364"/>
      <c r="Z141" s="364"/>
      <c r="AA141" s="364" t="str">
        <f aca="false">IFERROR(__xludf.dummyfunction("""COMPUTED_VALUE"""),"")</f>
        <v/>
      </c>
      <c r="AB141" s="364"/>
    </row>
    <row r="142" customFormat="false" ht="15.75" hidden="false" customHeight="false" outlineLevel="0" collapsed="false">
      <c r="A142" s="364"/>
      <c r="B142" s="364"/>
      <c r="C142" s="261"/>
      <c r="D142" s="261"/>
      <c r="E142" s="261"/>
      <c r="F142" s="364"/>
      <c r="G142" s="261"/>
      <c r="H142" s="261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4"/>
      <c r="T142" s="364"/>
      <c r="U142" s="364"/>
      <c r="V142" s="364"/>
      <c r="W142" s="364"/>
      <c r="X142" s="364"/>
      <c r="Y142" s="364"/>
      <c r="Z142" s="364"/>
      <c r="AA142" s="364" t="str">
        <f aca="false">IFERROR(__xludf.dummyfunction("""COMPUTED_VALUE"""),"")</f>
        <v/>
      </c>
      <c r="AB142" s="364"/>
    </row>
    <row r="143" customFormat="false" ht="15.75" hidden="false" customHeight="false" outlineLevel="0" collapsed="false">
      <c r="A143" s="364"/>
      <c r="B143" s="364"/>
      <c r="C143" s="261"/>
      <c r="D143" s="261"/>
      <c r="E143" s="261"/>
      <c r="F143" s="261"/>
      <c r="G143" s="261"/>
      <c r="H143" s="261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64"/>
      <c r="T143" s="364"/>
      <c r="U143" s="364"/>
      <c r="V143" s="364"/>
      <c r="W143" s="364"/>
      <c r="X143" s="364"/>
      <c r="Y143" s="364"/>
      <c r="Z143" s="364"/>
      <c r="AA143" s="364" t="str">
        <f aca="false">IFERROR(__xludf.dummyfunction("""COMPUTED_VALUE"""),"")</f>
        <v/>
      </c>
      <c r="AB143" s="364"/>
    </row>
    <row r="144" customFormat="false" ht="15.75" hidden="false" customHeight="false" outlineLevel="0" collapsed="false">
      <c r="A144" s="364"/>
      <c r="B144" s="364"/>
      <c r="C144" s="261"/>
      <c r="D144" s="261"/>
      <c r="E144" s="261"/>
      <c r="F144" s="364"/>
      <c r="G144" s="261"/>
      <c r="H144" s="261"/>
      <c r="I144" s="364"/>
      <c r="J144" s="364"/>
      <c r="K144" s="364"/>
      <c r="L144" s="364"/>
      <c r="M144" s="364"/>
      <c r="N144" s="364"/>
      <c r="O144" s="364"/>
      <c r="P144" s="364"/>
      <c r="Q144" s="364"/>
      <c r="R144" s="364"/>
      <c r="S144" s="364"/>
      <c r="T144" s="364"/>
      <c r="U144" s="364"/>
      <c r="V144" s="364"/>
      <c r="W144" s="364"/>
      <c r="X144" s="364"/>
      <c r="Y144" s="364"/>
      <c r="Z144" s="364"/>
      <c r="AA144" s="364" t="str">
        <f aca="false">IFERROR(__xludf.dummyfunction("""COMPUTED_VALUE"""),"")</f>
        <v/>
      </c>
      <c r="AB144" s="364"/>
    </row>
    <row r="145" customFormat="false" ht="15.75" hidden="false" customHeight="false" outlineLevel="0" collapsed="false">
      <c r="A145" s="364"/>
      <c r="B145" s="364"/>
      <c r="C145" s="261"/>
      <c r="D145" s="261"/>
      <c r="E145" s="261"/>
      <c r="F145" s="364"/>
      <c r="G145" s="261"/>
      <c r="H145" s="261"/>
      <c r="I145" s="364"/>
      <c r="J145" s="364"/>
      <c r="K145" s="364"/>
      <c r="L145" s="364"/>
      <c r="M145" s="364"/>
      <c r="N145" s="364"/>
      <c r="O145" s="364"/>
      <c r="P145" s="364"/>
      <c r="Q145" s="364"/>
      <c r="R145" s="364"/>
      <c r="S145" s="364"/>
      <c r="T145" s="364"/>
      <c r="U145" s="364"/>
      <c r="V145" s="364"/>
      <c r="W145" s="364"/>
      <c r="X145" s="364"/>
      <c r="Y145" s="364"/>
      <c r="Z145" s="364"/>
      <c r="AA145" s="364" t="str">
        <f aca="false">IFERROR(__xludf.dummyfunction("""COMPUTED_VALUE"""),"")</f>
        <v/>
      </c>
      <c r="AB145" s="364"/>
    </row>
    <row r="146" customFormat="false" ht="15.75" hidden="false" customHeight="false" outlineLevel="0" collapsed="false">
      <c r="A146" s="364"/>
      <c r="B146" s="364"/>
      <c r="C146" s="261"/>
      <c r="D146" s="261"/>
      <c r="E146" s="261"/>
      <c r="F146" s="364"/>
      <c r="G146" s="261"/>
      <c r="H146" s="261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64"/>
      <c r="T146" s="364"/>
      <c r="U146" s="364"/>
      <c r="V146" s="364"/>
      <c r="W146" s="364"/>
      <c r="X146" s="364"/>
      <c r="Y146" s="364"/>
      <c r="Z146" s="364"/>
      <c r="AA146" s="364" t="str">
        <f aca="false">IFERROR(__xludf.dummyfunction("""COMPUTED_VALUE"""),"")</f>
        <v/>
      </c>
      <c r="AB146" s="364"/>
    </row>
    <row r="147" customFormat="false" ht="15.75" hidden="false" customHeight="false" outlineLevel="0" collapsed="false">
      <c r="A147" s="364"/>
      <c r="B147" s="364"/>
      <c r="C147" s="261"/>
      <c r="D147" s="261"/>
      <c r="E147" s="261"/>
      <c r="F147" s="364"/>
      <c r="G147" s="261"/>
      <c r="H147" s="261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64"/>
      <c r="T147" s="364"/>
      <c r="U147" s="364"/>
      <c r="V147" s="364"/>
      <c r="W147" s="364"/>
      <c r="X147" s="364"/>
      <c r="Y147" s="364"/>
      <c r="Z147" s="364"/>
      <c r="AA147" s="364" t="str">
        <f aca="false">IFERROR(__xludf.dummyfunction("""COMPUTED_VALUE"""),"")</f>
        <v/>
      </c>
      <c r="AB147" s="364"/>
    </row>
    <row r="148" customFormat="false" ht="15.75" hidden="false" customHeight="false" outlineLevel="0" collapsed="false">
      <c r="A148" s="364"/>
      <c r="B148" s="364"/>
      <c r="C148" s="261"/>
      <c r="D148" s="261"/>
      <c r="E148" s="261"/>
      <c r="F148" s="364"/>
      <c r="G148" s="261"/>
      <c r="H148" s="261"/>
      <c r="I148" s="364"/>
      <c r="J148" s="364"/>
      <c r="K148" s="364"/>
      <c r="L148" s="364"/>
      <c r="M148" s="364"/>
      <c r="N148" s="364"/>
      <c r="O148" s="364"/>
      <c r="P148" s="364"/>
      <c r="Q148" s="364"/>
      <c r="R148" s="364"/>
      <c r="S148" s="364"/>
      <c r="T148" s="364"/>
      <c r="U148" s="364"/>
      <c r="V148" s="364"/>
      <c r="W148" s="364"/>
      <c r="X148" s="364"/>
      <c r="Y148" s="364"/>
      <c r="Z148" s="364"/>
      <c r="AA148" s="364" t="str">
        <f aca="false">IFERROR(__xludf.dummyfunction("""COMPUTED_VALUE"""),"")</f>
        <v/>
      </c>
      <c r="AB148" s="364"/>
    </row>
    <row r="149" customFormat="false" ht="15.75" hidden="false" customHeight="false" outlineLevel="0" collapsed="false">
      <c r="A149" s="364"/>
      <c r="B149" s="364"/>
      <c r="C149" s="261"/>
      <c r="D149" s="261"/>
      <c r="E149" s="261"/>
      <c r="F149" s="364"/>
      <c r="G149" s="261"/>
      <c r="H149" s="261"/>
      <c r="I149" s="364"/>
      <c r="J149" s="364"/>
      <c r="K149" s="364"/>
      <c r="L149" s="364"/>
      <c r="M149" s="364"/>
      <c r="N149" s="364"/>
      <c r="O149" s="364"/>
      <c r="P149" s="364"/>
      <c r="Q149" s="364"/>
      <c r="R149" s="364"/>
      <c r="S149" s="364"/>
      <c r="T149" s="364"/>
      <c r="U149" s="364"/>
      <c r="V149" s="364"/>
      <c r="W149" s="364"/>
      <c r="X149" s="364"/>
      <c r="Y149" s="364"/>
      <c r="Z149" s="364"/>
      <c r="AA149" s="364" t="str">
        <f aca="false">IFERROR(__xludf.dummyfunction("""COMPUTED_VALUE"""),"")</f>
        <v/>
      </c>
      <c r="AB149" s="364"/>
    </row>
    <row r="150" customFormat="false" ht="15.75" hidden="false" customHeight="false" outlineLevel="0" collapsed="false">
      <c r="A150" s="364"/>
      <c r="B150" s="364"/>
      <c r="C150" s="261"/>
      <c r="D150" s="261"/>
      <c r="E150" s="261"/>
      <c r="F150" s="364"/>
      <c r="G150" s="261"/>
      <c r="H150" s="261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4"/>
      <c r="T150" s="364"/>
      <c r="U150" s="364"/>
      <c r="V150" s="364"/>
      <c r="W150" s="364"/>
      <c r="X150" s="364"/>
      <c r="Y150" s="364"/>
      <c r="Z150" s="364"/>
      <c r="AA150" s="364" t="str">
        <f aca="false">IFERROR(__xludf.dummyfunction("""COMPUTED_VALUE"""),"")</f>
        <v/>
      </c>
      <c r="AB150" s="364"/>
    </row>
    <row r="151" customFormat="false" ht="15.75" hidden="false" customHeight="false" outlineLevel="0" collapsed="false">
      <c r="A151" s="364"/>
      <c r="B151" s="364"/>
      <c r="C151" s="261"/>
      <c r="D151" s="261"/>
      <c r="E151" s="261"/>
      <c r="F151" s="364"/>
      <c r="G151" s="261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64"/>
      <c r="T151" s="364"/>
      <c r="U151" s="364"/>
      <c r="V151" s="364"/>
      <c r="W151" s="364"/>
      <c r="X151" s="364"/>
      <c r="Y151" s="364"/>
      <c r="Z151" s="364"/>
      <c r="AA151" s="364" t="str">
        <f aca="false">IFERROR(__xludf.dummyfunction("""COMPUTED_VALUE"""),"")</f>
        <v/>
      </c>
      <c r="AB151" s="364"/>
    </row>
    <row r="152" customFormat="false" ht="15.75" hidden="false" customHeight="false" outlineLevel="0" collapsed="false">
      <c r="A152" s="364"/>
      <c r="B152" s="364"/>
      <c r="C152" s="261"/>
      <c r="D152" s="261"/>
      <c r="E152" s="261"/>
      <c r="F152" s="364"/>
      <c r="G152" s="261"/>
      <c r="H152" s="261"/>
      <c r="I152" s="364"/>
      <c r="J152" s="364"/>
      <c r="K152" s="364"/>
      <c r="L152" s="364"/>
      <c r="M152" s="364"/>
      <c r="N152" s="364"/>
      <c r="O152" s="364"/>
      <c r="P152" s="364"/>
      <c r="Q152" s="364"/>
      <c r="R152" s="364"/>
      <c r="S152" s="364"/>
      <c r="T152" s="364"/>
      <c r="U152" s="364"/>
      <c r="V152" s="364"/>
      <c r="W152" s="364"/>
      <c r="X152" s="364"/>
      <c r="Y152" s="364"/>
      <c r="Z152" s="364"/>
      <c r="AA152" s="364" t="str">
        <f aca="false">IFERROR(__xludf.dummyfunction("""COMPUTED_VALUE"""),"")</f>
        <v/>
      </c>
      <c r="AB152" s="364"/>
    </row>
    <row r="153" customFormat="false" ht="15.75" hidden="false" customHeight="false" outlineLevel="0" collapsed="false">
      <c r="A153" s="364"/>
      <c r="B153" s="364"/>
      <c r="C153" s="261"/>
      <c r="D153" s="261"/>
      <c r="E153" s="261"/>
      <c r="F153" s="261"/>
      <c r="G153" s="261"/>
      <c r="H153" s="261"/>
      <c r="I153" s="364"/>
      <c r="J153" s="364"/>
      <c r="K153" s="364"/>
      <c r="L153" s="364"/>
      <c r="M153" s="364"/>
      <c r="N153" s="364"/>
      <c r="O153" s="364"/>
      <c r="P153" s="364"/>
      <c r="Q153" s="364"/>
      <c r="R153" s="364"/>
      <c r="S153" s="364"/>
      <c r="T153" s="364"/>
      <c r="U153" s="364"/>
      <c r="V153" s="364"/>
      <c r="W153" s="364"/>
      <c r="X153" s="364"/>
      <c r="Y153" s="364"/>
      <c r="Z153" s="364"/>
      <c r="AA153" s="364" t="str">
        <f aca="false">IFERROR(__xludf.dummyfunction("""COMPUTED_VALUE"""),"")</f>
        <v/>
      </c>
      <c r="AB153" s="364"/>
    </row>
    <row r="154" customFormat="false" ht="15.75" hidden="false" customHeight="false" outlineLevel="0" collapsed="false">
      <c r="A154" s="364"/>
      <c r="B154" s="364"/>
      <c r="C154" s="261"/>
      <c r="D154" s="261"/>
      <c r="E154" s="261"/>
      <c r="F154" s="364"/>
      <c r="G154" s="261"/>
      <c r="H154" s="261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64"/>
      <c r="T154" s="364"/>
      <c r="U154" s="364"/>
      <c r="V154" s="364"/>
      <c r="W154" s="364"/>
      <c r="X154" s="364"/>
      <c r="Y154" s="364"/>
      <c r="Z154" s="364"/>
      <c r="AA154" s="364" t="str">
        <f aca="false">IFERROR(__xludf.dummyfunction("""COMPUTED_VALUE"""),"")</f>
        <v/>
      </c>
      <c r="AB154" s="364"/>
    </row>
    <row r="155" customFormat="false" ht="15.75" hidden="false" customHeight="false" outlineLevel="0" collapsed="false">
      <c r="A155" s="364"/>
      <c r="B155" s="364"/>
      <c r="C155" s="261"/>
      <c r="D155" s="261"/>
      <c r="E155" s="261"/>
      <c r="F155" s="364"/>
      <c r="G155" s="261"/>
      <c r="H155" s="261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64"/>
      <c r="T155" s="364"/>
      <c r="U155" s="364"/>
      <c r="V155" s="364"/>
      <c r="W155" s="364"/>
      <c r="X155" s="364"/>
      <c r="Y155" s="364"/>
      <c r="Z155" s="364"/>
      <c r="AA155" s="364" t="str">
        <f aca="false">IFERROR(__xludf.dummyfunction("""COMPUTED_VALUE"""),"")</f>
        <v/>
      </c>
      <c r="AB155" s="364"/>
    </row>
    <row r="156" customFormat="false" ht="15.75" hidden="false" customHeight="false" outlineLevel="0" collapsed="false">
      <c r="A156" s="364"/>
      <c r="B156" s="364"/>
      <c r="C156" s="261"/>
      <c r="D156" s="261"/>
      <c r="E156" s="261"/>
      <c r="F156" s="364"/>
      <c r="G156" s="261"/>
      <c r="H156" s="261"/>
      <c r="I156" s="364"/>
      <c r="J156" s="364"/>
      <c r="K156" s="364"/>
      <c r="L156" s="364"/>
      <c r="M156" s="364"/>
      <c r="N156" s="364"/>
      <c r="O156" s="364"/>
      <c r="P156" s="364"/>
      <c r="Q156" s="364"/>
      <c r="R156" s="364"/>
      <c r="S156" s="364"/>
      <c r="T156" s="364"/>
      <c r="U156" s="364"/>
      <c r="V156" s="364"/>
      <c r="W156" s="364"/>
      <c r="X156" s="364"/>
      <c r="Y156" s="364"/>
      <c r="Z156" s="364"/>
      <c r="AA156" s="364" t="str">
        <f aca="false">IFERROR(__xludf.dummyfunction("""COMPUTED_VALUE"""),"")</f>
        <v/>
      </c>
      <c r="AB156" s="364"/>
    </row>
    <row r="157" customFormat="false" ht="15.75" hidden="false" customHeight="false" outlineLevel="0" collapsed="false">
      <c r="A157" s="364"/>
      <c r="B157" s="364"/>
      <c r="C157" s="261"/>
      <c r="D157" s="261"/>
      <c r="E157" s="261"/>
      <c r="F157" s="364"/>
      <c r="G157" s="261"/>
      <c r="H157" s="261"/>
      <c r="I157" s="364"/>
      <c r="J157" s="364"/>
      <c r="K157" s="364"/>
      <c r="L157" s="364"/>
      <c r="M157" s="364"/>
      <c r="N157" s="364"/>
      <c r="O157" s="364"/>
      <c r="P157" s="364"/>
      <c r="Q157" s="364"/>
      <c r="R157" s="364"/>
      <c r="S157" s="364"/>
      <c r="T157" s="364"/>
      <c r="U157" s="364"/>
      <c r="V157" s="364"/>
      <c r="W157" s="364"/>
      <c r="X157" s="364"/>
      <c r="Y157" s="364"/>
      <c r="Z157" s="364"/>
      <c r="AA157" s="364" t="str">
        <f aca="false">IFERROR(__xludf.dummyfunction("""COMPUTED_VALUE"""),"")</f>
        <v/>
      </c>
      <c r="AB157" s="364"/>
    </row>
    <row r="158" customFormat="false" ht="15.75" hidden="false" customHeight="false" outlineLevel="0" collapsed="false">
      <c r="A158" s="364"/>
      <c r="B158" s="364"/>
      <c r="C158" s="261"/>
      <c r="D158" s="261"/>
      <c r="E158" s="261"/>
      <c r="F158" s="364"/>
      <c r="G158" s="261"/>
      <c r="H158" s="261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4"/>
      <c r="T158" s="364"/>
      <c r="U158" s="364"/>
      <c r="V158" s="364"/>
      <c r="W158" s="364"/>
      <c r="X158" s="364"/>
      <c r="Y158" s="364"/>
      <c r="Z158" s="364"/>
      <c r="AA158" s="364" t="str">
        <f aca="false">IFERROR(__xludf.dummyfunction("""COMPUTED_VALUE"""),"")</f>
        <v/>
      </c>
      <c r="AB158" s="364"/>
    </row>
    <row r="159" customFormat="false" ht="15.75" hidden="false" customHeight="false" outlineLevel="0" collapsed="false">
      <c r="A159" s="364"/>
      <c r="B159" s="364"/>
      <c r="C159" s="261"/>
      <c r="D159" s="261"/>
      <c r="E159" s="261"/>
      <c r="F159" s="364"/>
      <c r="G159" s="261"/>
      <c r="H159" s="261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64"/>
      <c r="T159" s="364"/>
      <c r="U159" s="364"/>
      <c r="V159" s="364"/>
      <c r="W159" s="364"/>
      <c r="X159" s="364"/>
      <c r="Y159" s="364"/>
      <c r="Z159" s="364"/>
      <c r="AA159" s="364" t="str">
        <f aca="false">IFERROR(__xludf.dummyfunction("""COMPUTED_VALUE"""),"")</f>
        <v/>
      </c>
      <c r="AB159" s="364"/>
    </row>
    <row r="160" customFormat="false" ht="15.75" hidden="false" customHeight="false" outlineLevel="0" collapsed="false">
      <c r="A160" s="364"/>
      <c r="B160" s="364"/>
      <c r="C160" s="261"/>
      <c r="D160" s="261"/>
      <c r="E160" s="261"/>
      <c r="F160" s="364"/>
      <c r="G160" s="261"/>
      <c r="H160" s="261"/>
      <c r="I160" s="364"/>
      <c r="J160" s="364"/>
      <c r="K160" s="364"/>
      <c r="L160" s="364"/>
      <c r="M160" s="364"/>
      <c r="N160" s="364"/>
      <c r="O160" s="364"/>
      <c r="P160" s="364"/>
      <c r="Q160" s="364"/>
      <c r="R160" s="364"/>
      <c r="S160" s="364"/>
      <c r="T160" s="364"/>
      <c r="U160" s="364"/>
      <c r="V160" s="364"/>
      <c r="W160" s="364"/>
      <c r="X160" s="364"/>
      <c r="Y160" s="364"/>
      <c r="Z160" s="364"/>
      <c r="AA160" s="364" t="str">
        <f aca="false">IFERROR(__xludf.dummyfunction("""COMPUTED_VALUE"""),"")</f>
        <v/>
      </c>
      <c r="AB160" s="364"/>
    </row>
    <row r="161" customFormat="false" ht="15.75" hidden="false" customHeight="false" outlineLevel="0" collapsed="false">
      <c r="A161" s="364"/>
      <c r="B161" s="364"/>
      <c r="C161" s="261"/>
      <c r="D161" s="261"/>
      <c r="E161" s="261"/>
      <c r="F161" s="364"/>
      <c r="G161" s="261"/>
      <c r="H161" s="261"/>
      <c r="I161" s="364"/>
      <c r="J161" s="364"/>
      <c r="K161" s="364"/>
      <c r="L161" s="364"/>
      <c r="M161" s="364"/>
      <c r="N161" s="364"/>
      <c r="O161" s="364"/>
      <c r="P161" s="364"/>
      <c r="Q161" s="364"/>
      <c r="R161" s="364"/>
      <c r="S161" s="364"/>
      <c r="T161" s="364"/>
      <c r="U161" s="364"/>
      <c r="V161" s="364"/>
      <c r="W161" s="364"/>
      <c r="X161" s="364"/>
      <c r="Y161" s="364"/>
      <c r="Z161" s="364"/>
      <c r="AA161" s="364" t="str">
        <f aca="false">IFERROR(__xludf.dummyfunction("""COMPUTED_VALUE"""),"")</f>
        <v/>
      </c>
      <c r="AB161" s="364"/>
    </row>
    <row r="162" customFormat="false" ht="15.75" hidden="false" customHeight="false" outlineLevel="0" collapsed="false">
      <c r="A162" s="364"/>
      <c r="B162" s="364"/>
      <c r="C162" s="261"/>
      <c r="D162" s="261"/>
      <c r="E162" s="261"/>
      <c r="F162" s="364"/>
      <c r="G162" s="261"/>
      <c r="H162" s="261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64"/>
      <c r="T162" s="364"/>
      <c r="U162" s="364"/>
      <c r="V162" s="364"/>
      <c r="W162" s="364"/>
      <c r="X162" s="364"/>
      <c r="Y162" s="364"/>
      <c r="Z162" s="364"/>
      <c r="AA162" s="364" t="str">
        <f aca="false">IFERROR(__xludf.dummyfunction("""COMPUTED_VALUE"""),"")</f>
        <v/>
      </c>
      <c r="AB162" s="364"/>
    </row>
    <row r="163" customFormat="false" ht="15.75" hidden="false" customHeight="false" outlineLevel="0" collapsed="false">
      <c r="A163" s="364"/>
      <c r="B163" s="364"/>
      <c r="C163" s="261"/>
      <c r="D163" s="261"/>
      <c r="E163" s="261"/>
      <c r="F163" s="364"/>
      <c r="G163" s="261"/>
      <c r="H163" s="261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64"/>
      <c r="T163" s="364"/>
      <c r="U163" s="364"/>
      <c r="V163" s="364"/>
      <c r="W163" s="364"/>
      <c r="X163" s="364"/>
      <c r="Y163" s="364"/>
      <c r="Z163" s="364"/>
      <c r="AA163" s="364" t="str">
        <f aca="false">IFERROR(__xludf.dummyfunction("""COMPUTED_VALUE"""),"")</f>
        <v/>
      </c>
      <c r="AB163" s="364"/>
    </row>
    <row r="164" customFormat="false" ht="15.75" hidden="false" customHeight="false" outlineLevel="0" collapsed="false">
      <c r="A164" s="364"/>
      <c r="B164" s="364"/>
      <c r="C164" s="261"/>
      <c r="D164" s="261"/>
      <c r="E164" s="261"/>
      <c r="F164" s="364"/>
      <c r="G164" s="261"/>
      <c r="H164" s="261"/>
      <c r="I164" s="364"/>
      <c r="J164" s="364"/>
      <c r="K164" s="364"/>
      <c r="L164" s="364"/>
      <c r="M164" s="364"/>
      <c r="N164" s="364"/>
      <c r="O164" s="364"/>
      <c r="P164" s="364"/>
      <c r="Q164" s="364"/>
      <c r="R164" s="364"/>
      <c r="S164" s="364"/>
      <c r="T164" s="364"/>
      <c r="U164" s="364"/>
      <c r="V164" s="364"/>
      <c r="W164" s="364"/>
      <c r="X164" s="364"/>
      <c r="Y164" s="364"/>
      <c r="Z164" s="364"/>
      <c r="AA164" s="364" t="str">
        <f aca="false">IFERROR(__xludf.dummyfunction("""COMPUTED_VALUE"""),"")</f>
        <v/>
      </c>
      <c r="AB164" s="364"/>
    </row>
    <row r="165" customFormat="false" ht="15.75" hidden="false" customHeight="false" outlineLevel="0" collapsed="false">
      <c r="A165" s="364"/>
      <c r="B165" s="364"/>
      <c r="C165" s="261"/>
      <c r="D165" s="261"/>
      <c r="E165" s="261"/>
      <c r="F165" s="261"/>
      <c r="G165" s="261"/>
      <c r="H165" s="261"/>
      <c r="I165" s="364"/>
      <c r="J165" s="364"/>
      <c r="K165" s="364"/>
      <c r="L165" s="364"/>
      <c r="M165" s="364"/>
      <c r="N165" s="364"/>
      <c r="O165" s="364"/>
      <c r="P165" s="364"/>
      <c r="Q165" s="364"/>
      <c r="R165" s="364"/>
      <c r="S165" s="364"/>
      <c r="T165" s="364"/>
      <c r="U165" s="364"/>
      <c r="V165" s="364"/>
      <c r="W165" s="364"/>
      <c r="X165" s="364"/>
      <c r="Y165" s="364"/>
      <c r="Z165" s="364"/>
      <c r="AA165" s="364" t="str">
        <f aca="false">IFERROR(__xludf.dummyfunction("""COMPUTED_VALUE"""),"")</f>
        <v/>
      </c>
      <c r="AB165" s="364"/>
    </row>
    <row r="166" customFormat="false" ht="15.75" hidden="false" customHeight="false" outlineLevel="0" collapsed="false">
      <c r="A166" s="364"/>
      <c r="B166" s="364"/>
      <c r="C166" s="261"/>
      <c r="D166" s="261"/>
      <c r="E166" s="261"/>
      <c r="F166" s="364"/>
      <c r="G166" s="261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64"/>
      <c r="T166" s="364"/>
      <c r="U166" s="364"/>
      <c r="V166" s="364"/>
      <c r="W166" s="364"/>
      <c r="X166" s="364"/>
      <c r="Y166" s="364"/>
      <c r="Z166" s="364"/>
      <c r="AA166" s="364" t="str">
        <f aca="false">IFERROR(__xludf.dummyfunction("""COMPUTED_VALUE"""),"")</f>
        <v/>
      </c>
      <c r="AB166" s="364"/>
    </row>
    <row r="167" customFormat="false" ht="15.75" hidden="false" customHeight="false" outlineLevel="0" collapsed="false">
      <c r="A167" s="364"/>
      <c r="B167" s="364"/>
      <c r="C167" s="261"/>
      <c r="D167" s="261"/>
      <c r="E167" s="261"/>
      <c r="F167" s="364"/>
      <c r="G167" s="261"/>
      <c r="H167" s="261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64"/>
      <c r="T167" s="364"/>
      <c r="U167" s="364"/>
      <c r="V167" s="364"/>
      <c r="W167" s="364"/>
      <c r="X167" s="364"/>
      <c r="Y167" s="364"/>
      <c r="Z167" s="364"/>
      <c r="AA167" s="364" t="str">
        <f aca="false">IFERROR(__xludf.dummyfunction("""COMPUTED_VALUE"""),"")</f>
        <v/>
      </c>
      <c r="AB167" s="364"/>
    </row>
    <row r="168" customFormat="false" ht="15.75" hidden="false" customHeight="false" outlineLevel="0" collapsed="false">
      <c r="A168" s="364"/>
      <c r="B168" s="364"/>
      <c r="C168" s="261"/>
      <c r="D168" s="261"/>
      <c r="E168" s="261"/>
      <c r="F168" s="364"/>
      <c r="G168" s="261"/>
      <c r="H168" s="261"/>
      <c r="I168" s="364"/>
      <c r="J168" s="364"/>
      <c r="K168" s="364"/>
      <c r="L168" s="364"/>
      <c r="M168" s="364"/>
      <c r="N168" s="364"/>
      <c r="O168" s="364"/>
      <c r="P168" s="364"/>
      <c r="Q168" s="364"/>
      <c r="R168" s="364"/>
      <c r="S168" s="364"/>
      <c r="T168" s="364"/>
      <c r="U168" s="364"/>
      <c r="V168" s="364"/>
      <c r="W168" s="364"/>
      <c r="X168" s="364"/>
      <c r="Y168" s="364"/>
      <c r="Z168" s="364"/>
      <c r="AA168" s="364" t="str">
        <f aca="false">IFERROR(__xludf.dummyfunction("""COMPUTED_VALUE"""),"")</f>
        <v/>
      </c>
      <c r="AB168" s="364"/>
    </row>
    <row r="169" customFormat="false" ht="15.75" hidden="false" customHeight="false" outlineLevel="0" collapsed="false">
      <c r="A169" s="364"/>
      <c r="B169" s="364"/>
      <c r="C169" s="261"/>
      <c r="D169" s="261"/>
      <c r="E169" s="261"/>
      <c r="F169" s="364"/>
      <c r="G169" s="364"/>
      <c r="H169" s="261"/>
      <c r="I169" s="364"/>
      <c r="J169" s="364"/>
      <c r="K169" s="364"/>
      <c r="L169" s="364"/>
      <c r="M169" s="364"/>
      <c r="N169" s="364"/>
      <c r="O169" s="364"/>
      <c r="P169" s="364"/>
      <c r="Q169" s="364"/>
      <c r="R169" s="364"/>
      <c r="S169" s="364"/>
      <c r="T169" s="364"/>
      <c r="U169" s="364"/>
      <c r="V169" s="364"/>
      <c r="W169" s="364"/>
      <c r="X169" s="364"/>
      <c r="Y169" s="364"/>
      <c r="Z169" s="364"/>
      <c r="AA169" s="364" t="str">
        <f aca="false">IFERROR(__xludf.dummyfunction("""COMPUTED_VALUE"""),"")</f>
        <v/>
      </c>
      <c r="AB169" s="364"/>
    </row>
    <row r="170" customFormat="false" ht="15.75" hidden="false" customHeight="false" outlineLevel="0" collapsed="false">
      <c r="A170" s="364"/>
      <c r="B170" s="364"/>
      <c r="C170" s="261"/>
      <c r="D170" s="261"/>
      <c r="E170" s="261"/>
      <c r="F170" s="364"/>
      <c r="G170" s="261"/>
      <c r="H170" s="261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64"/>
      <c r="T170" s="364"/>
      <c r="U170" s="364"/>
      <c r="V170" s="364"/>
      <c r="W170" s="364"/>
      <c r="X170" s="364"/>
      <c r="Y170" s="364"/>
      <c r="Z170" s="364"/>
      <c r="AA170" s="364" t="str">
        <f aca="false">IFERROR(__xludf.dummyfunction("""COMPUTED_VALUE"""),"")</f>
        <v/>
      </c>
      <c r="AB170" s="364"/>
    </row>
    <row r="171" customFormat="false" ht="15.75" hidden="false" customHeight="false" outlineLevel="0" collapsed="false">
      <c r="A171" s="364"/>
      <c r="B171" s="364"/>
      <c r="C171" s="261"/>
      <c r="D171" s="261"/>
      <c r="E171" s="261"/>
      <c r="F171" s="364"/>
      <c r="G171" s="261"/>
      <c r="H171" s="261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64"/>
      <c r="T171" s="364"/>
      <c r="U171" s="364"/>
      <c r="V171" s="364"/>
      <c r="W171" s="364"/>
      <c r="X171" s="364"/>
      <c r="Y171" s="364"/>
      <c r="Z171" s="364"/>
      <c r="AA171" s="364" t="str">
        <f aca="false">IFERROR(__xludf.dummyfunction("""COMPUTED_VALUE"""),"")</f>
        <v/>
      </c>
      <c r="AB171" s="364"/>
    </row>
    <row r="172" customFormat="false" ht="15.75" hidden="false" customHeight="false" outlineLevel="0" collapsed="false">
      <c r="A172" s="364"/>
      <c r="B172" s="364"/>
      <c r="C172" s="261"/>
      <c r="D172" s="261"/>
      <c r="E172" s="261"/>
      <c r="F172" s="364"/>
      <c r="G172" s="261"/>
      <c r="H172" s="261"/>
      <c r="I172" s="364"/>
      <c r="J172" s="364"/>
      <c r="K172" s="364"/>
      <c r="L172" s="364"/>
      <c r="M172" s="364"/>
      <c r="N172" s="364"/>
      <c r="O172" s="364"/>
      <c r="P172" s="364"/>
      <c r="Q172" s="364"/>
      <c r="R172" s="364"/>
      <c r="S172" s="364"/>
      <c r="T172" s="364"/>
      <c r="U172" s="364"/>
      <c r="V172" s="364"/>
      <c r="W172" s="364"/>
      <c r="X172" s="364"/>
      <c r="Y172" s="364"/>
      <c r="Z172" s="364"/>
      <c r="AA172" s="364" t="str">
        <f aca="false">IFERROR(__xludf.dummyfunction("""COMPUTED_VALUE"""),"")</f>
        <v/>
      </c>
      <c r="AB172" s="364"/>
    </row>
    <row r="173" customFormat="false" ht="15.75" hidden="false" customHeight="false" outlineLevel="0" collapsed="false">
      <c r="A173" s="364"/>
      <c r="B173" s="364"/>
      <c r="C173" s="261"/>
      <c r="D173" s="261"/>
      <c r="E173" s="261"/>
      <c r="F173" s="364"/>
      <c r="G173" s="364"/>
      <c r="H173" s="261"/>
      <c r="I173" s="364"/>
      <c r="J173" s="364"/>
      <c r="K173" s="364"/>
      <c r="L173" s="364"/>
      <c r="M173" s="364"/>
      <c r="N173" s="364"/>
      <c r="O173" s="364"/>
      <c r="P173" s="364"/>
      <c r="Q173" s="364"/>
      <c r="R173" s="364"/>
      <c r="S173" s="364"/>
      <c r="T173" s="364"/>
      <c r="U173" s="364"/>
      <c r="V173" s="364"/>
      <c r="W173" s="364"/>
      <c r="X173" s="364"/>
      <c r="Y173" s="364"/>
      <c r="Z173" s="364"/>
      <c r="AA173" s="364" t="str">
        <f aca="false">IFERROR(__xludf.dummyfunction("""COMPUTED_VALUE"""),"")</f>
        <v/>
      </c>
      <c r="AB173" s="364"/>
    </row>
    <row r="174" customFormat="false" ht="15.75" hidden="false" customHeight="false" outlineLevel="0" collapsed="false">
      <c r="A174" s="364"/>
      <c r="B174" s="364"/>
      <c r="C174" s="261"/>
      <c r="D174" s="261"/>
      <c r="E174" s="261"/>
      <c r="F174" s="261"/>
      <c r="G174" s="261"/>
      <c r="H174" s="261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64"/>
      <c r="T174" s="364"/>
      <c r="U174" s="364"/>
      <c r="V174" s="364"/>
      <c r="W174" s="364"/>
      <c r="X174" s="364"/>
      <c r="Y174" s="364"/>
      <c r="Z174" s="364"/>
      <c r="AA174" s="364" t="str">
        <f aca="false">IFERROR(__xludf.dummyfunction("""COMPUTED_VALUE"""),"")</f>
        <v/>
      </c>
      <c r="AB174" s="364"/>
    </row>
    <row r="175" customFormat="false" ht="15.75" hidden="false" customHeight="false" outlineLevel="0" collapsed="false">
      <c r="A175" s="364"/>
      <c r="B175" s="364"/>
      <c r="C175" s="261"/>
      <c r="D175" s="261"/>
      <c r="E175" s="261"/>
      <c r="F175" s="364"/>
      <c r="G175" s="261"/>
      <c r="H175" s="261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64"/>
      <c r="T175" s="364"/>
      <c r="U175" s="364"/>
      <c r="V175" s="364"/>
      <c r="W175" s="364"/>
      <c r="X175" s="364"/>
      <c r="Y175" s="364"/>
      <c r="Z175" s="364"/>
      <c r="AA175" s="364" t="str">
        <f aca="false">IFERROR(__xludf.dummyfunction("""COMPUTED_VALUE"""),"")</f>
        <v/>
      </c>
      <c r="AB175" s="364"/>
    </row>
    <row r="176" customFormat="false" ht="15.75" hidden="false" customHeight="false" outlineLevel="0" collapsed="false">
      <c r="A176" s="364"/>
      <c r="B176" s="364"/>
      <c r="C176" s="261"/>
      <c r="D176" s="261"/>
      <c r="E176" s="261"/>
      <c r="F176" s="364"/>
      <c r="G176" s="364"/>
      <c r="H176" s="261"/>
      <c r="I176" s="364"/>
      <c r="J176" s="364"/>
      <c r="K176" s="364"/>
      <c r="L176" s="364"/>
      <c r="M176" s="364"/>
      <c r="N176" s="364"/>
      <c r="O176" s="364"/>
      <c r="P176" s="364"/>
      <c r="Q176" s="364"/>
      <c r="R176" s="364"/>
      <c r="S176" s="364"/>
      <c r="T176" s="364"/>
      <c r="U176" s="364"/>
      <c r="V176" s="364"/>
      <c r="W176" s="364"/>
      <c r="X176" s="364"/>
      <c r="Y176" s="364"/>
      <c r="Z176" s="364"/>
      <c r="AA176" s="364" t="str">
        <f aca="false">IFERROR(__xludf.dummyfunction("""COMPUTED_VALUE"""),"")</f>
        <v/>
      </c>
      <c r="AB176" s="364"/>
    </row>
    <row r="177" customFormat="false" ht="15.75" hidden="false" customHeight="false" outlineLevel="0" collapsed="false">
      <c r="A177" s="364"/>
      <c r="B177" s="364"/>
      <c r="C177" s="261"/>
      <c r="D177" s="261"/>
      <c r="E177" s="261"/>
      <c r="F177" s="364"/>
      <c r="G177" s="261"/>
      <c r="H177" s="261"/>
      <c r="I177" s="364"/>
      <c r="J177" s="364"/>
      <c r="K177" s="364"/>
      <c r="L177" s="364"/>
      <c r="M177" s="364"/>
      <c r="N177" s="364"/>
      <c r="O177" s="364"/>
      <c r="P177" s="364"/>
      <c r="Q177" s="364"/>
      <c r="R177" s="364"/>
      <c r="S177" s="364"/>
      <c r="T177" s="364"/>
      <c r="U177" s="364"/>
      <c r="V177" s="364"/>
      <c r="W177" s="364"/>
      <c r="X177" s="364"/>
      <c r="Y177" s="364"/>
      <c r="Z177" s="364"/>
      <c r="AA177" s="364" t="str">
        <f aca="false">IFERROR(__xludf.dummyfunction("""COMPUTED_VALUE"""),"")</f>
        <v/>
      </c>
      <c r="AB177" s="364"/>
    </row>
    <row r="178" customFormat="false" ht="15.75" hidden="false" customHeight="false" outlineLevel="0" collapsed="false">
      <c r="A178" s="364"/>
      <c r="B178" s="364"/>
      <c r="C178" s="261"/>
      <c r="D178" s="261"/>
      <c r="E178" s="261"/>
      <c r="F178" s="364"/>
      <c r="G178" s="261"/>
      <c r="H178" s="261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64"/>
      <c r="T178" s="364"/>
      <c r="U178" s="364"/>
      <c r="V178" s="364"/>
      <c r="W178" s="364"/>
      <c r="X178" s="364"/>
      <c r="Y178" s="364"/>
      <c r="Z178" s="364"/>
      <c r="AA178" s="364" t="str">
        <f aca="false">IFERROR(__xludf.dummyfunction("""COMPUTED_VALUE"""),"")</f>
        <v/>
      </c>
      <c r="AB178" s="364"/>
    </row>
    <row r="179" customFormat="false" ht="15.75" hidden="false" customHeight="false" outlineLevel="0" collapsed="false">
      <c r="A179" s="364"/>
      <c r="B179" s="364"/>
      <c r="C179" s="261"/>
      <c r="D179" s="261"/>
      <c r="E179" s="261"/>
      <c r="F179" s="364"/>
      <c r="G179" s="261"/>
      <c r="H179" s="261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64"/>
      <c r="T179" s="364"/>
      <c r="U179" s="364"/>
      <c r="V179" s="364"/>
      <c r="W179" s="364"/>
      <c r="X179" s="364"/>
      <c r="Y179" s="364"/>
      <c r="Z179" s="364"/>
      <c r="AA179" s="364" t="str">
        <f aca="false">IFERROR(__xludf.dummyfunction("""COMPUTED_VALUE"""),"")</f>
        <v/>
      </c>
      <c r="AB179" s="364"/>
    </row>
    <row r="180" customFormat="false" ht="15.75" hidden="false" customHeight="false" outlineLevel="0" collapsed="false">
      <c r="A180" s="364"/>
      <c r="B180" s="364"/>
      <c r="C180" s="261"/>
      <c r="D180" s="261"/>
      <c r="E180" s="261"/>
      <c r="F180" s="261"/>
      <c r="G180" s="261"/>
      <c r="H180" s="261"/>
      <c r="I180" s="364"/>
      <c r="J180" s="364"/>
      <c r="K180" s="364"/>
      <c r="L180" s="364"/>
      <c r="M180" s="364"/>
      <c r="N180" s="364"/>
      <c r="O180" s="364"/>
      <c r="P180" s="364"/>
      <c r="Q180" s="364"/>
      <c r="R180" s="364"/>
      <c r="S180" s="364"/>
      <c r="T180" s="364"/>
      <c r="U180" s="364"/>
      <c r="V180" s="364"/>
      <c r="W180" s="364"/>
      <c r="X180" s="364"/>
      <c r="Y180" s="364"/>
      <c r="Z180" s="364"/>
      <c r="AA180" s="364" t="str">
        <f aca="false">IFERROR(__xludf.dummyfunction("""COMPUTED_VALUE"""),"")</f>
        <v/>
      </c>
      <c r="AB180" s="364"/>
    </row>
    <row r="181" customFormat="false" ht="15.75" hidden="false" customHeight="false" outlineLevel="0" collapsed="false">
      <c r="A181" s="364"/>
      <c r="B181" s="364"/>
      <c r="C181" s="261"/>
      <c r="D181" s="261"/>
      <c r="E181" s="261"/>
      <c r="F181" s="364"/>
      <c r="G181" s="261"/>
      <c r="H181" s="261"/>
      <c r="I181" s="364"/>
      <c r="J181" s="364"/>
      <c r="K181" s="364"/>
      <c r="L181" s="364"/>
      <c r="M181" s="364"/>
      <c r="N181" s="364"/>
      <c r="O181" s="364"/>
      <c r="P181" s="364"/>
      <c r="Q181" s="364"/>
      <c r="R181" s="364"/>
      <c r="S181" s="364"/>
      <c r="T181" s="364"/>
      <c r="U181" s="364"/>
      <c r="V181" s="364"/>
      <c r="W181" s="364"/>
      <c r="X181" s="364"/>
      <c r="Y181" s="364"/>
      <c r="Z181" s="364"/>
      <c r="AA181" s="364" t="str">
        <f aca="false">IFERROR(__xludf.dummyfunction("""COMPUTED_VALUE"""),"")</f>
        <v/>
      </c>
      <c r="AB181" s="364"/>
    </row>
    <row r="182" customFormat="false" ht="15.75" hidden="false" customHeight="false" outlineLevel="0" collapsed="false">
      <c r="A182" s="364"/>
      <c r="B182" s="364"/>
      <c r="C182" s="261"/>
      <c r="D182" s="261"/>
      <c r="E182" s="261"/>
      <c r="F182" s="364"/>
      <c r="G182" s="261"/>
      <c r="H182" s="261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64"/>
      <c r="T182" s="364"/>
      <c r="U182" s="364"/>
      <c r="V182" s="364"/>
      <c r="W182" s="364"/>
      <c r="X182" s="364"/>
      <c r="Y182" s="364"/>
      <c r="Z182" s="364"/>
      <c r="AA182" s="364" t="str">
        <f aca="false">IFERROR(__xludf.dummyfunction("""COMPUTED_VALUE"""),"")</f>
        <v/>
      </c>
      <c r="AB182" s="364"/>
    </row>
    <row r="183" customFormat="false" ht="15.75" hidden="false" customHeight="false" outlineLevel="0" collapsed="false">
      <c r="A183" s="364"/>
      <c r="B183" s="364"/>
      <c r="C183" s="261"/>
      <c r="D183" s="261"/>
      <c r="E183" s="261"/>
      <c r="F183" s="364"/>
      <c r="G183" s="261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64"/>
      <c r="T183" s="364"/>
      <c r="U183" s="364"/>
      <c r="V183" s="364"/>
      <c r="W183" s="364"/>
      <c r="X183" s="364"/>
      <c r="Y183" s="364"/>
      <c r="Z183" s="364"/>
      <c r="AA183" s="364" t="str">
        <f aca="false">IFERROR(__xludf.dummyfunction("""COMPUTED_VALUE"""),"")</f>
        <v/>
      </c>
      <c r="AB183" s="364"/>
    </row>
    <row r="184" customFormat="false" ht="15.75" hidden="false" customHeight="false" outlineLevel="0" collapsed="false">
      <c r="A184" s="364"/>
      <c r="B184" s="364"/>
      <c r="C184" s="261"/>
      <c r="D184" s="261"/>
      <c r="E184" s="261"/>
      <c r="F184" s="364"/>
      <c r="G184" s="261"/>
      <c r="H184" s="261"/>
      <c r="I184" s="364"/>
      <c r="J184" s="364"/>
      <c r="K184" s="364"/>
      <c r="L184" s="364"/>
      <c r="M184" s="364"/>
      <c r="N184" s="364"/>
      <c r="O184" s="364"/>
      <c r="P184" s="364"/>
      <c r="Q184" s="364"/>
      <c r="R184" s="364"/>
      <c r="S184" s="364"/>
      <c r="T184" s="364"/>
      <c r="U184" s="364"/>
      <c r="V184" s="364"/>
      <c r="W184" s="364"/>
      <c r="X184" s="364"/>
      <c r="Y184" s="364"/>
      <c r="Z184" s="364"/>
      <c r="AA184" s="364" t="str">
        <f aca="false">IFERROR(__xludf.dummyfunction("""COMPUTED_VALUE"""),"")</f>
        <v/>
      </c>
      <c r="AB184" s="364"/>
    </row>
    <row r="185" customFormat="false" ht="15.75" hidden="false" customHeight="false" outlineLevel="0" collapsed="false">
      <c r="A185" s="364"/>
      <c r="B185" s="364"/>
      <c r="C185" s="261"/>
      <c r="D185" s="261"/>
      <c r="E185" s="261"/>
      <c r="F185" s="364"/>
      <c r="G185" s="261"/>
      <c r="H185" s="261"/>
      <c r="I185" s="364"/>
      <c r="J185" s="364"/>
      <c r="K185" s="364"/>
      <c r="L185" s="364"/>
      <c r="M185" s="364"/>
      <c r="N185" s="364"/>
      <c r="O185" s="364"/>
      <c r="P185" s="364"/>
      <c r="Q185" s="364"/>
      <c r="R185" s="364"/>
      <c r="S185" s="364"/>
      <c r="T185" s="364"/>
      <c r="U185" s="364"/>
      <c r="V185" s="364"/>
      <c r="W185" s="364"/>
      <c r="X185" s="364"/>
      <c r="Y185" s="364"/>
      <c r="Z185" s="364"/>
      <c r="AA185" s="364" t="str">
        <f aca="false">IFERROR(__xludf.dummyfunction("""COMPUTED_VALUE"""),"")</f>
        <v/>
      </c>
      <c r="AB185" s="364"/>
    </row>
    <row r="186" customFormat="false" ht="15.75" hidden="false" customHeight="false" outlineLevel="0" collapsed="false">
      <c r="A186" s="364"/>
      <c r="B186" s="364"/>
      <c r="C186" s="261"/>
      <c r="D186" s="261"/>
      <c r="E186" s="261"/>
      <c r="F186" s="364"/>
      <c r="G186" s="261"/>
      <c r="H186" s="261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64"/>
      <c r="T186" s="364"/>
      <c r="U186" s="364"/>
      <c r="V186" s="364"/>
      <c r="W186" s="364"/>
      <c r="X186" s="364"/>
      <c r="Y186" s="364"/>
      <c r="Z186" s="364"/>
      <c r="AA186" s="364" t="str">
        <f aca="false">IFERROR(__xludf.dummyfunction("""COMPUTED_VALUE"""),"")</f>
        <v/>
      </c>
      <c r="AB186" s="364"/>
    </row>
    <row r="187" customFormat="false" ht="15.75" hidden="false" customHeight="false" outlineLevel="0" collapsed="false">
      <c r="A187" s="364"/>
      <c r="B187" s="364"/>
      <c r="C187" s="261"/>
      <c r="D187" s="261"/>
      <c r="E187" s="261"/>
      <c r="F187" s="364"/>
      <c r="G187" s="261"/>
      <c r="H187" s="261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64"/>
      <c r="T187" s="364"/>
      <c r="U187" s="364"/>
      <c r="V187" s="364"/>
      <c r="W187" s="364"/>
      <c r="X187" s="364"/>
      <c r="Y187" s="364"/>
      <c r="Z187" s="364"/>
      <c r="AA187" s="364" t="str">
        <f aca="false">IFERROR(__xludf.dummyfunction("""COMPUTED_VALUE"""),"")</f>
        <v/>
      </c>
      <c r="AB187" s="364"/>
    </row>
    <row r="188" customFormat="false" ht="15.75" hidden="false" customHeight="false" outlineLevel="0" collapsed="false">
      <c r="A188" s="364"/>
      <c r="B188" s="364"/>
      <c r="C188" s="261"/>
      <c r="D188" s="261"/>
      <c r="E188" s="261"/>
      <c r="F188" s="364"/>
      <c r="G188" s="261"/>
      <c r="H188" s="261"/>
      <c r="I188" s="364"/>
      <c r="J188" s="364"/>
      <c r="K188" s="364"/>
      <c r="L188" s="364"/>
      <c r="M188" s="364"/>
      <c r="N188" s="364"/>
      <c r="O188" s="364"/>
      <c r="P188" s="364"/>
      <c r="Q188" s="364"/>
      <c r="R188" s="364"/>
      <c r="S188" s="364"/>
      <c r="T188" s="364"/>
      <c r="U188" s="364"/>
      <c r="V188" s="364"/>
      <c r="W188" s="364"/>
      <c r="X188" s="364"/>
      <c r="Y188" s="364"/>
      <c r="Z188" s="364"/>
      <c r="AA188" s="364" t="str">
        <f aca="false">IFERROR(__xludf.dummyfunction("""COMPUTED_VALUE"""),"")</f>
        <v/>
      </c>
      <c r="AB188" s="364"/>
    </row>
    <row r="189" customFormat="false" ht="15.75" hidden="false" customHeight="false" outlineLevel="0" collapsed="false">
      <c r="A189" s="364"/>
      <c r="B189" s="364"/>
      <c r="C189" s="261"/>
      <c r="D189" s="261"/>
      <c r="E189" s="261"/>
      <c r="F189" s="364"/>
      <c r="G189" s="261"/>
      <c r="H189" s="261"/>
      <c r="I189" s="364"/>
      <c r="J189" s="364"/>
      <c r="K189" s="364"/>
      <c r="L189" s="364"/>
      <c r="M189" s="364"/>
      <c r="N189" s="364"/>
      <c r="O189" s="364"/>
      <c r="P189" s="364"/>
      <c r="Q189" s="364"/>
      <c r="R189" s="364"/>
      <c r="S189" s="364"/>
      <c r="T189" s="364"/>
      <c r="U189" s="364"/>
      <c r="V189" s="364"/>
      <c r="W189" s="364"/>
      <c r="X189" s="364"/>
      <c r="Y189" s="364"/>
      <c r="Z189" s="364"/>
      <c r="AA189" s="364" t="str">
        <f aca="false">IFERROR(__xludf.dummyfunction("""COMPUTED_VALUE"""),"")</f>
        <v/>
      </c>
      <c r="AB189" s="364"/>
    </row>
    <row r="190" customFormat="false" ht="15.75" hidden="false" customHeight="false" outlineLevel="0" collapsed="false">
      <c r="A190" s="364"/>
      <c r="B190" s="364"/>
      <c r="C190" s="261"/>
      <c r="D190" s="261"/>
      <c r="E190" s="261"/>
      <c r="F190" s="364"/>
      <c r="G190" s="261"/>
      <c r="H190" s="261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64"/>
      <c r="T190" s="364"/>
      <c r="U190" s="364"/>
      <c r="V190" s="364"/>
      <c r="W190" s="364"/>
      <c r="X190" s="364"/>
      <c r="Y190" s="364"/>
      <c r="Z190" s="364"/>
      <c r="AA190" s="364" t="str">
        <f aca="false">IFERROR(__xludf.dummyfunction("""COMPUTED_VALUE"""),"")</f>
        <v/>
      </c>
      <c r="AB190" s="364"/>
    </row>
    <row r="191" customFormat="false" ht="15.75" hidden="false" customHeight="false" outlineLevel="0" collapsed="false">
      <c r="A191" s="364"/>
      <c r="B191" s="364"/>
      <c r="C191" s="261"/>
      <c r="D191" s="261"/>
      <c r="E191" s="261"/>
      <c r="F191" s="261"/>
      <c r="G191" s="261"/>
      <c r="H191" s="261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64"/>
      <c r="T191" s="364"/>
      <c r="U191" s="364"/>
      <c r="V191" s="364"/>
      <c r="W191" s="364"/>
      <c r="X191" s="364"/>
      <c r="Y191" s="364"/>
      <c r="Z191" s="364"/>
      <c r="AA191" s="364" t="str">
        <f aca="false">IFERROR(__xludf.dummyfunction("""COMPUTED_VALUE"""),"")</f>
        <v/>
      </c>
      <c r="AB191" s="364"/>
    </row>
    <row r="192" customFormat="false" ht="15.75" hidden="false" customHeight="false" outlineLevel="0" collapsed="false">
      <c r="A192" s="364"/>
      <c r="B192" s="364"/>
      <c r="C192" s="261"/>
      <c r="D192" s="261"/>
      <c r="E192" s="261"/>
      <c r="F192" s="364"/>
      <c r="G192" s="261"/>
      <c r="H192" s="261"/>
      <c r="I192" s="364"/>
      <c r="J192" s="364"/>
      <c r="K192" s="364"/>
      <c r="L192" s="364"/>
      <c r="M192" s="364"/>
      <c r="N192" s="364"/>
      <c r="O192" s="364"/>
      <c r="P192" s="364"/>
      <c r="Q192" s="364"/>
      <c r="R192" s="364"/>
      <c r="S192" s="364"/>
      <c r="T192" s="364"/>
      <c r="U192" s="364"/>
      <c r="V192" s="364"/>
      <c r="W192" s="364"/>
      <c r="X192" s="364"/>
      <c r="Y192" s="364"/>
      <c r="Z192" s="364"/>
      <c r="AA192" s="364" t="str">
        <f aca="false">IFERROR(__xludf.dummyfunction("""COMPUTED_VALUE"""),"")</f>
        <v/>
      </c>
      <c r="AB192" s="364"/>
    </row>
    <row r="193" customFormat="false" ht="15.75" hidden="false" customHeight="false" outlineLevel="0" collapsed="false">
      <c r="A193" s="364"/>
      <c r="B193" s="364"/>
      <c r="C193" s="261"/>
      <c r="D193" s="261"/>
      <c r="E193" s="261"/>
      <c r="F193" s="364"/>
      <c r="G193" s="261"/>
      <c r="H193" s="261"/>
      <c r="I193" s="364"/>
      <c r="J193" s="364"/>
      <c r="K193" s="364"/>
      <c r="L193" s="364"/>
      <c r="M193" s="364"/>
      <c r="N193" s="364"/>
      <c r="O193" s="364"/>
      <c r="P193" s="364"/>
      <c r="Q193" s="364"/>
      <c r="R193" s="364"/>
      <c r="S193" s="364"/>
      <c r="T193" s="364"/>
      <c r="U193" s="364"/>
      <c r="V193" s="364"/>
      <c r="W193" s="364"/>
      <c r="X193" s="364"/>
      <c r="Y193" s="364"/>
      <c r="Z193" s="364"/>
      <c r="AA193" s="364" t="str">
        <f aca="false">IFERROR(__xludf.dummyfunction("""COMPUTED_VALUE"""),"")</f>
        <v/>
      </c>
      <c r="AB193" s="364"/>
    </row>
    <row r="194" customFormat="false" ht="15.75" hidden="false" customHeight="false" outlineLevel="0" collapsed="false">
      <c r="A194" s="364"/>
      <c r="B194" s="364"/>
      <c r="C194" s="261"/>
      <c r="D194" s="261"/>
      <c r="E194" s="261"/>
      <c r="F194" s="364"/>
      <c r="G194" s="261"/>
      <c r="H194" s="261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64"/>
      <c r="T194" s="364"/>
      <c r="U194" s="364"/>
      <c r="V194" s="364"/>
      <c r="W194" s="364"/>
      <c r="X194" s="364"/>
      <c r="Y194" s="364"/>
      <c r="Z194" s="364"/>
      <c r="AA194" s="364" t="str">
        <f aca="false">IFERROR(__xludf.dummyfunction("""COMPUTED_VALUE"""),"")</f>
        <v/>
      </c>
      <c r="AB194" s="364"/>
    </row>
    <row r="195" customFormat="false" ht="15.75" hidden="false" customHeight="false" outlineLevel="0" collapsed="false">
      <c r="A195" s="364"/>
      <c r="B195" s="364"/>
      <c r="C195" s="261"/>
      <c r="D195" s="261"/>
      <c r="E195" s="261"/>
      <c r="F195" s="364"/>
      <c r="G195" s="261"/>
      <c r="H195" s="261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64"/>
      <c r="T195" s="364"/>
      <c r="U195" s="364"/>
      <c r="V195" s="364"/>
      <c r="W195" s="364"/>
      <c r="X195" s="364"/>
      <c r="Y195" s="364"/>
      <c r="Z195" s="364"/>
      <c r="AA195" s="364" t="str">
        <f aca="false">IFERROR(__xludf.dummyfunction("""COMPUTED_VALUE"""),"")</f>
        <v/>
      </c>
      <c r="AB195" s="364"/>
    </row>
    <row r="196" customFormat="false" ht="15.75" hidden="false" customHeight="false" outlineLevel="0" collapsed="false">
      <c r="A196" s="364"/>
      <c r="B196" s="364"/>
      <c r="C196" s="261"/>
      <c r="D196" s="261"/>
      <c r="E196" s="261"/>
      <c r="F196" s="364"/>
      <c r="G196" s="261"/>
      <c r="H196" s="261"/>
      <c r="I196" s="364"/>
      <c r="J196" s="364"/>
      <c r="K196" s="364"/>
      <c r="L196" s="364"/>
      <c r="M196" s="364"/>
      <c r="N196" s="364"/>
      <c r="O196" s="364"/>
      <c r="P196" s="364"/>
      <c r="Q196" s="364"/>
      <c r="R196" s="364"/>
      <c r="S196" s="364"/>
      <c r="T196" s="364"/>
      <c r="U196" s="364"/>
      <c r="V196" s="364"/>
      <c r="W196" s="364"/>
      <c r="X196" s="364"/>
      <c r="Y196" s="364"/>
      <c r="Z196" s="364"/>
      <c r="AA196" s="364" t="str">
        <f aca="false">IFERROR(__xludf.dummyfunction("""COMPUTED_VALUE"""),"")</f>
        <v/>
      </c>
      <c r="AB196" s="364"/>
    </row>
    <row r="197" customFormat="false" ht="15.75" hidden="false" customHeight="false" outlineLevel="0" collapsed="false">
      <c r="A197" s="364"/>
      <c r="B197" s="364"/>
      <c r="C197" s="261"/>
      <c r="D197" s="261"/>
      <c r="E197" s="261"/>
      <c r="F197" s="364"/>
      <c r="G197" s="261"/>
      <c r="H197" s="261"/>
      <c r="I197" s="364"/>
      <c r="J197" s="364"/>
      <c r="K197" s="364"/>
      <c r="L197" s="364"/>
      <c r="M197" s="364"/>
      <c r="N197" s="364"/>
      <c r="O197" s="364"/>
      <c r="P197" s="364"/>
      <c r="Q197" s="364"/>
      <c r="R197" s="364"/>
      <c r="S197" s="364"/>
      <c r="T197" s="364"/>
      <c r="U197" s="364"/>
      <c r="V197" s="364"/>
      <c r="W197" s="364"/>
      <c r="X197" s="364"/>
      <c r="Y197" s="364"/>
      <c r="Z197" s="364"/>
      <c r="AA197" s="364" t="str">
        <f aca="false">IFERROR(__xludf.dummyfunction("""COMPUTED_VALUE"""),"")</f>
        <v/>
      </c>
      <c r="AB197" s="364"/>
    </row>
    <row r="198" customFormat="false" ht="15.75" hidden="false" customHeight="false" outlineLevel="0" collapsed="false">
      <c r="A198" s="364"/>
      <c r="B198" s="364"/>
      <c r="C198" s="261"/>
      <c r="D198" s="261"/>
      <c r="E198" s="261"/>
      <c r="F198" s="364"/>
      <c r="G198" s="364"/>
      <c r="H198" s="261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64"/>
      <c r="T198" s="364"/>
      <c r="U198" s="364"/>
      <c r="V198" s="364"/>
      <c r="W198" s="364"/>
      <c r="X198" s="364"/>
      <c r="Y198" s="364"/>
      <c r="Z198" s="364"/>
      <c r="AA198" s="364" t="str">
        <f aca="false">IFERROR(__xludf.dummyfunction("""COMPUTED_VALUE"""),"")</f>
        <v/>
      </c>
      <c r="AB198" s="364"/>
    </row>
    <row r="199" customFormat="false" ht="15.75" hidden="false" customHeight="false" outlineLevel="0" collapsed="false">
      <c r="A199" s="364"/>
      <c r="B199" s="364"/>
      <c r="C199" s="261"/>
      <c r="D199" s="261"/>
      <c r="E199" s="261"/>
      <c r="F199" s="364"/>
      <c r="G199" s="261"/>
      <c r="H199" s="261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64"/>
      <c r="T199" s="364"/>
      <c r="U199" s="364"/>
      <c r="V199" s="364"/>
      <c r="W199" s="364"/>
      <c r="X199" s="364"/>
      <c r="Y199" s="364"/>
      <c r="Z199" s="364"/>
      <c r="AA199" s="364" t="str">
        <f aca="false">IFERROR(__xludf.dummyfunction("""COMPUTED_VALUE"""),"")</f>
        <v/>
      </c>
      <c r="AB199" s="364"/>
    </row>
    <row r="200" customFormat="false" ht="15.75" hidden="false" customHeight="false" outlineLevel="0" collapsed="false">
      <c r="A200" s="364"/>
      <c r="B200" s="364"/>
      <c r="C200" s="261"/>
      <c r="D200" s="261"/>
      <c r="E200" s="261"/>
      <c r="F200" s="364"/>
      <c r="G200" s="261"/>
      <c r="H200" s="261"/>
      <c r="I200" s="364"/>
      <c r="J200" s="364"/>
      <c r="K200" s="364"/>
      <c r="L200" s="364"/>
      <c r="M200" s="364"/>
      <c r="N200" s="364"/>
      <c r="O200" s="364"/>
      <c r="P200" s="364"/>
      <c r="Q200" s="364"/>
      <c r="R200" s="364"/>
      <c r="S200" s="364"/>
      <c r="T200" s="364"/>
      <c r="U200" s="364"/>
      <c r="V200" s="364"/>
      <c r="W200" s="364"/>
      <c r="X200" s="364"/>
      <c r="Y200" s="364"/>
      <c r="Z200" s="364"/>
      <c r="AA200" s="364" t="str">
        <f aca="false">IFERROR(__xludf.dummyfunction("""COMPUTED_VALUE"""),"")</f>
        <v/>
      </c>
      <c r="AB200" s="364"/>
    </row>
    <row r="201" customFormat="false" ht="15.75" hidden="false" customHeight="false" outlineLevel="0" collapsed="false">
      <c r="A201" s="364"/>
      <c r="B201" s="364"/>
      <c r="C201" s="261"/>
      <c r="D201" s="261"/>
      <c r="E201" s="261"/>
      <c r="F201" s="364"/>
      <c r="G201" s="261"/>
      <c r="H201" s="261"/>
      <c r="I201" s="364"/>
      <c r="J201" s="364"/>
      <c r="K201" s="364"/>
      <c r="L201" s="364"/>
      <c r="M201" s="364"/>
      <c r="N201" s="364"/>
      <c r="O201" s="364"/>
      <c r="P201" s="364"/>
      <c r="Q201" s="364"/>
      <c r="R201" s="364"/>
      <c r="S201" s="364"/>
      <c r="T201" s="364"/>
      <c r="U201" s="364"/>
      <c r="V201" s="364"/>
      <c r="W201" s="364"/>
      <c r="X201" s="364"/>
      <c r="Y201" s="364"/>
      <c r="Z201" s="364"/>
      <c r="AA201" s="364" t="str">
        <f aca="false">IFERROR(__xludf.dummyfunction("""COMPUTED_VALUE"""),"")</f>
        <v/>
      </c>
      <c r="AB201" s="364"/>
    </row>
    <row r="202" customFormat="false" ht="15.75" hidden="false" customHeight="false" outlineLevel="0" collapsed="false">
      <c r="A202" s="364"/>
      <c r="B202" s="364"/>
      <c r="C202" s="261"/>
      <c r="D202" s="261"/>
      <c r="E202" s="261"/>
      <c r="F202" s="364"/>
      <c r="G202" s="261"/>
      <c r="H202" s="261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64"/>
      <c r="T202" s="364"/>
      <c r="U202" s="364"/>
      <c r="V202" s="364"/>
      <c r="W202" s="364"/>
      <c r="X202" s="364"/>
      <c r="Y202" s="364"/>
      <c r="Z202" s="364"/>
      <c r="AA202" s="364" t="str">
        <f aca="false">IFERROR(__xludf.dummyfunction("""COMPUTED_VALUE"""),"")</f>
        <v/>
      </c>
      <c r="AB202" s="364"/>
    </row>
    <row r="203" customFormat="false" ht="15.75" hidden="false" customHeight="false" outlineLevel="0" collapsed="false">
      <c r="A203" s="364"/>
      <c r="B203" s="364"/>
      <c r="C203" s="261"/>
      <c r="D203" s="261"/>
      <c r="E203" s="261"/>
      <c r="F203" s="364"/>
      <c r="G203" s="261"/>
      <c r="H203" s="261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64"/>
      <c r="T203" s="364"/>
      <c r="U203" s="364"/>
      <c r="V203" s="364"/>
      <c r="W203" s="364"/>
      <c r="X203" s="364"/>
      <c r="Y203" s="364"/>
      <c r="Z203" s="364"/>
      <c r="AA203" s="364" t="str">
        <f aca="false">IFERROR(__xludf.dummyfunction("""COMPUTED_VALUE"""),"")</f>
        <v/>
      </c>
      <c r="AB203" s="364"/>
    </row>
    <row r="204" customFormat="false" ht="15.75" hidden="false" customHeight="false" outlineLevel="0" collapsed="false">
      <c r="A204" s="364"/>
      <c r="B204" s="364"/>
      <c r="C204" s="261"/>
      <c r="D204" s="261"/>
      <c r="E204" s="261"/>
      <c r="F204" s="364"/>
      <c r="G204" s="261"/>
      <c r="H204" s="364"/>
      <c r="I204" s="364"/>
      <c r="J204" s="364"/>
      <c r="K204" s="364"/>
      <c r="L204" s="364"/>
      <c r="M204" s="364"/>
      <c r="N204" s="364"/>
      <c r="O204" s="364"/>
      <c r="P204" s="364"/>
      <c r="Q204" s="364"/>
      <c r="R204" s="364"/>
      <c r="S204" s="364"/>
      <c r="T204" s="364"/>
      <c r="U204" s="364"/>
      <c r="V204" s="364"/>
      <c r="W204" s="364"/>
      <c r="X204" s="364"/>
      <c r="Y204" s="364"/>
      <c r="Z204" s="364"/>
      <c r="AA204" s="364" t="str">
        <f aca="false">IFERROR(__xludf.dummyfunction("""COMPUTED_VALUE"""),"")</f>
        <v/>
      </c>
      <c r="AB204" s="364"/>
    </row>
    <row r="205" customFormat="false" ht="15.75" hidden="false" customHeight="false" outlineLevel="0" collapsed="false">
      <c r="A205" s="364"/>
      <c r="B205" s="364"/>
      <c r="C205" s="261"/>
      <c r="D205" s="261"/>
      <c r="E205" s="261"/>
      <c r="F205" s="261"/>
      <c r="G205" s="261"/>
      <c r="H205" s="261"/>
      <c r="I205" s="364"/>
      <c r="J205" s="364"/>
      <c r="K205" s="364"/>
      <c r="L205" s="364"/>
      <c r="M205" s="364"/>
      <c r="N205" s="364"/>
      <c r="O205" s="364"/>
      <c r="P205" s="364"/>
      <c r="Q205" s="364"/>
      <c r="R205" s="364"/>
      <c r="S205" s="364"/>
      <c r="T205" s="364"/>
      <c r="U205" s="364"/>
      <c r="V205" s="364"/>
      <c r="W205" s="364"/>
      <c r="X205" s="364"/>
      <c r="Y205" s="364"/>
      <c r="Z205" s="364"/>
      <c r="AA205" s="364" t="str">
        <f aca="false">IFERROR(__xludf.dummyfunction("""COMPUTED_VALUE"""),"")</f>
        <v/>
      </c>
      <c r="AB205" s="364"/>
    </row>
    <row r="206" customFormat="false" ht="15.75" hidden="false" customHeight="false" outlineLevel="0" collapsed="false">
      <c r="A206" s="364"/>
      <c r="B206" s="364"/>
      <c r="C206" s="261"/>
      <c r="D206" s="261"/>
      <c r="E206" s="261"/>
      <c r="F206" s="364"/>
      <c r="G206" s="261"/>
      <c r="H206" s="364"/>
      <c r="I206" s="364"/>
      <c r="J206" s="364"/>
      <c r="K206" s="364"/>
      <c r="L206" s="364"/>
      <c r="M206" s="364"/>
      <c r="N206" s="364"/>
      <c r="O206" s="364"/>
      <c r="P206" s="364"/>
      <c r="Q206" s="364"/>
      <c r="R206" s="364"/>
      <c r="S206" s="364"/>
      <c r="T206" s="364"/>
      <c r="U206" s="364"/>
      <c r="V206" s="364"/>
      <c r="W206" s="364"/>
      <c r="X206" s="364"/>
      <c r="Y206" s="364"/>
      <c r="Z206" s="364"/>
      <c r="AA206" s="364" t="str">
        <f aca="false">IFERROR(__xludf.dummyfunction("""COMPUTED_VALUE"""),"")</f>
        <v/>
      </c>
      <c r="AB206" s="364"/>
    </row>
    <row r="207" customFormat="false" ht="15.75" hidden="false" customHeight="false" outlineLevel="0" collapsed="false">
      <c r="A207" s="364"/>
      <c r="B207" s="364"/>
      <c r="C207" s="261"/>
      <c r="D207" s="261"/>
      <c r="E207" s="261"/>
      <c r="F207" s="364"/>
      <c r="G207" s="261"/>
      <c r="H207" s="261"/>
      <c r="I207" s="364"/>
      <c r="J207" s="364"/>
      <c r="K207" s="364"/>
      <c r="L207" s="364"/>
      <c r="M207" s="364"/>
      <c r="N207" s="364"/>
      <c r="O207" s="364"/>
      <c r="P207" s="364"/>
      <c r="Q207" s="364"/>
      <c r="R207" s="364"/>
      <c r="S207" s="364"/>
      <c r="T207" s="364"/>
      <c r="U207" s="364"/>
      <c r="V207" s="364"/>
      <c r="W207" s="364"/>
      <c r="X207" s="364"/>
      <c r="Y207" s="364"/>
      <c r="Z207" s="364"/>
      <c r="AA207" s="364" t="str">
        <f aca="false">IFERROR(__xludf.dummyfunction("""COMPUTED_VALUE"""),"")</f>
        <v/>
      </c>
      <c r="AB207" s="364"/>
    </row>
    <row r="208" customFormat="false" ht="15.75" hidden="false" customHeight="false" outlineLevel="0" collapsed="false">
      <c r="A208" s="364"/>
      <c r="B208" s="364"/>
      <c r="C208" s="261"/>
      <c r="D208" s="261"/>
      <c r="E208" s="261"/>
      <c r="F208" s="364"/>
      <c r="G208" s="261"/>
      <c r="H208" s="261"/>
      <c r="I208" s="364"/>
      <c r="J208" s="364"/>
      <c r="K208" s="364"/>
      <c r="L208" s="364"/>
      <c r="M208" s="364"/>
      <c r="N208" s="364"/>
      <c r="O208" s="364"/>
      <c r="P208" s="364"/>
      <c r="Q208" s="364"/>
      <c r="R208" s="364"/>
      <c r="S208" s="364"/>
      <c r="T208" s="364"/>
      <c r="U208" s="364"/>
      <c r="V208" s="364"/>
      <c r="W208" s="364"/>
      <c r="X208" s="364"/>
      <c r="Y208" s="364"/>
      <c r="Z208" s="364"/>
      <c r="AA208" s="364" t="str">
        <f aca="false">IFERROR(__xludf.dummyfunction("""COMPUTED_VALUE"""),"")</f>
        <v/>
      </c>
      <c r="AB208" s="364"/>
    </row>
    <row r="209" customFormat="false" ht="15.75" hidden="false" customHeight="false" outlineLevel="0" collapsed="false">
      <c r="A209" s="364"/>
      <c r="B209" s="364"/>
      <c r="C209" s="261"/>
      <c r="D209" s="261"/>
      <c r="E209" s="261"/>
      <c r="F209" s="364"/>
      <c r="G209" s="261"/>
      <c r="H209" s="364"/>
      <c r="I209" s="364"/>
      <c r="J209" s="364"/>
      <c r="K209" s="364"/>
      <c r="L209" s="364"/>
      <c r="M209" s="364"/>
      <c r="N209" s="364"/>
      <c r="O209" s="364"/>
      <c r="P209" s="364"/>
      <c r="Q209" s="364"/>
      <c r="R209" s="364"/>
      <c r="S209" s="364"/>
      <c r="T209" s="364"/>
      <c r="U209" s="364"/>
      <c r="V209" s="364"/>
      <c r="W209" s="364"/>
      <c r="X209" s="364"/>
      <c r="Y209" s="364"/>
      <c r="Z209" s="364"/>
      <c r="AA209" s="364" t="str">
        <f aca="false">IFERROR(__xludf.dummyfunction("""COMPUTED_VALUE"""),"")</f>
        <v/>
      </c>
      <c r="AB209" s="364"/>
    </row>
    <row r="210" customFormat="false" ht="15.75" hidden="false" customHeight="false" outlineLevel="0" collapsed="false">
      <c r="A210" s="364"/>
      <c r="B210" s="364"/>
      <c r="C210" s="261"/>
      <c r="D210" s="261"/>
      <c r="E210" s="261"/>
      <c r="F210" s="364"/>
      <c r="G210" s="261"/>
      <c r="H210" s="364"/>
      <c r="I210" s="364"/>
      <c r="J210" s="364"/>
      <c r="K210" s="364"/>
      <c r="L210" s="364"/>
      <c r="M210" s="364"/>
      <c r="N210" s="364"/>
      <c r="O210" s="364"/>
      <c r="P210" s="364"/>
      <c r="Q210" s="364"/>
      <c r="R210" s="364"/>
      <c r="S210" s="364"/>
      <c r="T210" s="364"/>
      <c r="U210" s="364"/>
      <c r="V210" s="364"/>
      <c r="W210" s="364"/>
      <c r="X210" s="364"/>
      <c r="Y210" s="364"/>
      <c r="Z210" s="364"/>
      <c r="AA210" s="364" t="str">
        <f aca="false">IFERROR(__xludf.dummyfunction("""COMPUTED_VALUE"""),"")</f>
        <v/>
      </c>
      <c r="AB210" s="364"/>
    </row>
    <row r="211" customFormat="false" ht="15.75" hidden="false" customHeight="false" outlineLevel="0" collapsed="false">
      <c r="A211" s="364"/>
      <c r="B211" s="364"/>
      <c r="C211" s="261"/>
      <c r="D211" s="261"/>
      <c r="E211" s="261"/>
      <c r="F211" s="261"/>
      <c r="G211" s="261"/>
      <c r="H211" s="261"/>
      <c r="I211" s="364"/>
      <c r="J211" s="364"/>
      <c r="K211" s="364"/>
      <c r="L211" s="364"/>
      <c r="M211" s="364"/>
      <c r="N211" s="364"/>
      <c r="O211" s="364"/>
      <c r="P211" s="364"/>
      <c r="Q211" s="364"/>
      <c r="R211" s="364"/>
      <c r="S211" s="364"/>
      <c r="T211" s="364"/>
      <c r="U211" s="364"/>
      <c r="V211" s="364"/>
      <c r="W211" s="364"/>
      <c r="X211" s="364"/>
      <c r="Y211" s="364"/>
      <c r="Z211" s="364"/>
      <c r="AA211" s="364" t="str">
        <f aca="false">IFERROR(__xludf.dummyfunction("""COMPUTED_VALUE"""),"")</f>
        <v/>
      </c>
      <c r="AB211" s="364"/>
    </row>
    <row r="212" customFormat="false" ht="15.75" hidden="false" customHeight="false" outlineLevel="0" collapsed="false">
      <c r="A212" s="364"/>
      <c r="B212" s="364"/>
      <c r="C212" s="261"/>
      <c r="D212" s="261"/>
      <c r="E212" s="261"/>
      <c r="F212" s="364"/>
      <c r="G212" s="261"/>
      <c r="H212" s="364"/>
      <c r="I212" s="364"/>
      <c r="J212" s="364"/>
      <c r="K212" s="364"/>
      <c r="L212" s="364"/>
      <c r="M212" s="364"/>
      <c r="N212" s="364"/>
      <c r="O212" s="364"/>
      <c r="P212" s="364"/>
      <c r="Q212" s="364"/>
      <c r="R212" s="364"/>
      <c r="S212" s="364"/>
      <c r="T212" s="364"/>
      <c r="U212" s="364"/>
      <c r="V212" s="364"/>
      <c r="W212" s="364"/>
      <c r="X212" s="364"/>
      <c r="Y212" s="364"/>
      <c r="Z212" s="364"/>
      <c r="AA212" s="364" t="str">
        <f aca="false">IFERROR(__xludf.dummyfunction("""COMPUTED_VALUE"""),"")</f>
        <v/>
      </c>
      <c r="AB212" s="364"/>
    </row>
    <row r="213" customFormat="false" ht="15.75" hidden="false" customHeight="false" outlineLevel="0" collapsed="false">
      <c r="A213" s="364"/>
      <c r="B213" s="364"/>
      <c r="C213" s="261"/>
      <c r="D213" s="261"/>
      <c r="E213" s="261"/>
      <c r="F213" s="364"/>
      <c r="G213" s="261"/>
      <c r="H213" s="261"/>
      <c r="I213" s="364"/>
      <c r="J213" s="364"/>
      <c r="K213" s="364"/>
      <c r="L213" s="364"/>
      <c r="M213" s="364"/>
      <c r="N213" s="364"/>
      <c r="O213" s="364"/>
      <c r="P213" s="364"/>
      <c r="Q213" s="364"/>
      <c r="R213" s="364"/>
      <c r="S213" s="364"/>
      <c r="T213" s="364"/>
      <c r="U213" s="364"/>
      <c r="V213" s="364"/>
      <c r="W213" s="364"/>
      <c r="X213" s="364"/>
      <c r="Y213" s="364"/>
      <c r="Z213" s="364"/>
      <c r="AA213" s="364" t="str">
        <f aca="false">IFERROR(__xludf.dummyfunction("""COMPUTED_VALUE"""),"")</f>
        <v/>
      </c>
      <c r="AB213" s="364"/>
    </row>
    <row r="214" customFormat="false" ht="15.75" hidden="false" customHeight="false" outlineLevel="0" collapsed="false">
      <c r="A214" s="364"/>
      <c r="B214" s="364"/>
      <c r="C214" s="261"/>
      <c r="D214" s="261"/>
      <c r="E214" s="261"/>
      <c r="F214" s="364"/>
      <c r="G214" s="261"/>
      <c r="H214" s="261"/>
      <c r="I214" s="364"/>
      <c r="J214" s="364"/>
      <c r="K214" s="364"/>
      <c r="L214" s="364"/>
      <c r="M214" s="364"/>
      <c r="N214" s="364"/>
      <c r="O214" s="364"/>
      <c r="P214" s="364"/>
      <c r="Q214" s="364"/>
      <c r="R214" s="364"/>
      <c r="S214" s="364"/>
      <c r="T214" s="364"/>
      <c r="U214" s="364"/>
      <c r="V214" s="364"/>
      <c r="W214" s="364"/>
      <c r="X214" s="364"/>
      <c r="Y214" s="364"/>
      <c r="Z214" s="364"/>
      <c r="AA214" s="364" t="str">
        <f aca="false">IFERROR(__xludf.dummyfunction("""COMPUTED_VALUE"""),"")</f>
        <v/>
      </c>
      <c r="AB214" s="364"/>
    </row>
    <row r="215" customFormat="false" ht="15.75" hidden="false" customHeight="false" outlineLevel="0" collapsed="false">
      <c r="A215" s="364"/>
      <c r="B215" s="364"/>
      <c r="C215" s="261"/>
      <c r="D215" s="261"/>
      <c r="E215" s="261"/>
      <c r="F215" s="364"/>
      <c r="G215" s="261"/>
      <c r="H215" s="261"/>
      <c r="I215" s="364"/>
      <c r="J215" s="364"/>
      <c r="K215" s="364"/>
      <c r="L215" s="364"/>
      <c r="M215" s="364"/>
      <c r="N215" s="364"/>
      <c r="O215" s="364"/>
      <c r="P215" s="364"/>
      <c r="Q215" s="364"/>
      <c r="R215" s="364"/>
      <c r="S215" s="364"/>
      <c r="T215" s="364"/>
      <c r="U215" s="364"/>
      <c r="V215" s="364"/>
      <c r="W215" s="364"/>
      <c r="X215" s="364"/>
      <c r="Y215" s="364"/>
      <c r="Z215" s="364"/>
      <c r="AA215" s="364" t="str">
        <f aca="false">IFERROR(__xludf.dummyfunction("""COMPUTED_VALUE"""),"")</f>
        <v/>
      </c>
      <c r="AB215" s="364"/>
    </row>
    <row r="216" customFormat="false" ht="15.75" hidden="false" customHeight="false" outlineLevel="0" collapsed="false">
      <c r="A216" s="364"/>
      <c r="B216" s="364"/>
      <c r="C216" s="261"/>
      <c r="D216" s="261"/>
      <c r="E216" s="261"/>
      <c r="F216" s="364"/>
      <c r="G216" s="261"/>
      <c r="H216" s="261"/>
      <c r="I216" s="364"/>
      <c r="J216" s="364"/>
      <c r="K216" s="364"/>
      <c r="L216" s="364"/>
      <c r="M216" s="364"/>
      <c r="N216" s="364"/>
      <c r="O216" s="364"/>
      <c r="P216" s="364"/>
      <c r="Q216" s="364"/>
      <c r="R216" s="364"/>
      <c r="S216" s="364"/>
      <c r="T216" s="364"/>
      <c r="U216" s="364"/>
      <c r="V216" s="364"/>
      <c r="W216" s="364"/>
      <c r="X216" s="364"/>
      <c r="Y216" s="364"/>
      <c r="Z216" s="364"/>
      <c r="AA216" s="364" t="str">
        <f aca="false">IFERROR(__xludf.dummyfunction("""COMPUTED_VALUE"""),"")</f>
        <v/>
      </c>
      <c r="AB216" s="364"/>
    </row>
    <row r="217" customFormat="false" ht="15.75" hidden="false" customHeight="false" outlineLevel="0" collapsed="false">
      <c r="A217" s="364"/>
      <c r="B217" s="364"/>
      <c r="C217" s="261"/>
      <c r="D217" s="261"/>
      <c r="E217" s="261"/>
      <c r="F217" s="364"/>
      <c r="G217" s="261"/>
      <c r="H217" s="261"/>
      <c r="I217" s="364"/>
      <c r="J217" s="364"/>
      <c r="K217" s="364"/>
      <c r="L217" s="364"/>
      <c r="M217" s="364"/>
      <c r="N217" s="364"/>
      <c r="O217" s="364"/>
      <c r="P217" s="364"/>
      <c r="Q217" s="364"/>
      <c r="R217" s="364"/>
      <c r="S217" s="364"/>
      <c r="T217" s="364"/>
      <c r="U217" s="364"/>
      <c r="V217" s="364"/>
      <c r="W217" s="364"/>
      <c r="X217" s="364"/>
      <c r="Y217" s="364"/>
      <c r="Z217" s="364"/>
      <c r="AA217" s="364" t="str">
        <f aca="false">IFERROR(__xludf.dummyfunction("""COMPUTED_VALUE"""),"")</f>
        <v/>
      </c>
      <c r="AB217" s="364"/>
    </row>
    <row r="218" customFormat="false" ht="15.75" hidden="false" customHeight="false" outlineLevel="0" collapsed="false">
      <c r="A218" s="364"/>
      <c r="B218" s="364"/>
      <c r="C218" s="261"/>
      <c r="D218" s="261"/>
      <c r="E218" s="261"/>
      <c r="F218" s="364"/>
      <c r="G218" s="261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64"/>
      <c r="T218" s="364"/>
      <c r="U218" s="364"/>
      <c r="V218" s="364"/>
      <c r="W218" s="364"/>
      <c r="X218" s="364"/>
      <c r="Y218" s="364"/>
      <c r="Z218" s="364"/>
      <c r="AA218" s="364" t="str">
        <f aca="false">IFERROR(__xludf.dummyfunction("""COMPUTED_VALUE"""),"")</f>
        <v/>
      </c>
      <c r="AB218" s="364"/>
    </row>
    <row r="219" customFormat="false" ht="15.75" hidden="false" customHeight="false" outlineLevel="0" collapsed="false">
      <c r="A219" s="364"/>
      <c r="B219" s="364"/>
      <c r="C219" s="261"/>
      <c r="D219" s="261"/>
      <c r="E219" s="261"/>
      <c r="F219" s="364"/>
      <c r="G219" s="261"/>
      <c r="H219" s="261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64"/>
      <c r="T219" s="364"/>
      <c r="U219" s="364"/>
      <c r="V219" s="364"/>
      <c r="W219" s="364"/>
      <c r="X219" s="364"/>
      <c r="Y219" s="364"/>
      <c r="Z219" s="364"/>
      <c r="AA219" s="364" t="str">
        <f aca="false">IFERROR(__xludf.dummyfunction("""COMPUTED_VALUE"""),"")</f>
        <v/>
      </c>
      <c r="AB219" s="364"/>
    </row>
    <row r="220" customFormat="false" ht="15.75" hidden="false" customHeight="false" outlineLevel="0" collapsed="false">
      <c r="A220" s="364"/>
      <c r="B220" s="364"/>
      <c r="C220" s="261"/>
      <c r="D220" s="261"/>
      <c r="E220" s="261"/>
      <c r="F220" s="364"/>
      <c r="G220" s="364"/>
      <c r="H220" s="261"/>
      <c r="I220" s="364"/>
      <c r="J220" s="364"/>
      <c r="K220" s="364"/>
      <c r="L220" s="364"/>
      <c r="M220" s="364"/>
      <c r="N220" s="364"/>
      <c r="O220" s="364"/>
      <c r="P220" s="364"/>
      <c r="Q220" s="364"/>
      <c r="R220" s="364"/>
      <c r="S220" s="364"/>
      <c r="T220" s="364"/>
      <c r="U220" s="364"/>
      <c r="V220" s="364"/>
      <c r="W220" s="364"/>
      <c r="X220" s="364"/>
      <c r="Y220" s="364"/>
      <c r="Z220" s="364"/>
      <c r="AA220" s="364" t="str">
        <f aca="false">IFERROR(__xludf.dummyfunction("""COMPUTED_VALUE"""),"")</f>
        <v/>
      </c>
      <c r="AB220" s="364"/>
    </row>
    <row r="221" customFormat="false" ht="15.75" hidden="false" customHeight="false" outlineLevel="0" collapsed="false">
      <c r="A221" s="364"/>
      <c r="B221" s="364"/>
      <c r="C221" s="261"/>
      <c r="D221" s="261"/>
      <c r="E221" s="261"/>
      <c r="F221" s="364"/>
      <c r="G221" s="364"/>
      <c r="H221" s="261"/>
      <c r="I221" s="364"/>
      <c r="J221" s="364"/>
      <c r="K221" s="364"/>
      <c r="L221" s="364"/>
      <c r="M221" s="364"/>
      <c r="N221" s="364"/>
      <c r="O221" s="364"/>
      <c r="P221" s="364"/>
      <c r="Q221" s="364"/>
      <c r="R221" s="364"/>
      <c r="S221" s="364"/>
      <c r="T221" s="364"/>
      <c r="U221" s="364"/>
      <c r="V221" s="364"/>
      <c r="W221" s="364"/>
      <c r="X221" s="364"/>
      <c r="Y221" s="364"/>
      <c r="Z221" s="364"/>
      <c r="AA221" s="364" t="str">
        <f aca="false">IFERROR(__xludf.dummyfunction("""COMPUTED_VALUE"""),"")</f>
        <v/>
      </c>
      <c r="AB221" s="364"/>
    </row>
    <row r="222" customFormat="false" ht="15.75" hidden="false" customHeight="false" outlineLevel="0" collapsed="false">
      <c r="A222" s="364"/>
      <c r="B222" s="364"/>
      <c r="C222" s="261"/>
      <c r="D222" s="261"/>
      <c r="E222" s="261"/>
      <c r="F222" s="364"/>
      <c r="G222" s="364"/>
      <c r="H222" s="261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64"/>
      <c r="T222" s="364"/>
      <c r="U222" s="364"/>
      <c r="V222" s="364"/>
      <c r="W222" s="364"/>
      <c r="X222" s="364"/>
      <c r="Y222" s="364"/>
      <c r="Z222" s="364"/>
      <c r="AA222" s="364" t="str">
        <f aca="false">IFERROR(__xludf.dummyfunction("""COMPUTED_VALUE"""),"")</f>
        <v/>
      </c>
      <c r="AB222" s="364"/>
    </row>
    <row r="223" customFormat="false" ht="15.75" hidden="false" customHeight="false" outlineLevel="0" collapsed="false">
      <c r="A223" s="364"/>
      <c r="B223" s="364"/>
      <c r="C223" s="261"/>
      <c r="D223" s="261"/>
      <c r="E223" s="261"/>
      <c r="F223" s="364"/>
      <c r="G223" s="261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64"/>
      <c r="T223" s="364"/>
      <c r="U223" s="364"/>
      <c r="V223" s="364"/>
      <c r="W223" s="364"/>
      <c r="X223" s="364"/>
      <c r="Y223" s="364"/>
      <c r="Z223" s="364"/>
      <c r="AA223" s="364" t="str">
        <f aca="false">IFERROR(__xludf.dummyfunction("""COMPUTED_VALUE"""),"")</f>
        <v/>
      </c>
      <c r="AB223" s="364"/>
    </row>
    <row r="224" customFormat="false" ht="15.75" hidden="false" customHeight="false" outlineLevel="0" collapsed="false">
      <c r="A224" s="364"/>
      <c r="B224" s="364"/>
      <c r="C224" s="261"/>
      <c r="D224" s="261"/>
      <c r="E224" s="261"/>
      <c r="F224" s="364"/>
      <c r="G224" s="261"/>
      <c r="H224" s="261"/>
      <c r="I224" s="364"/>
      <c r="J224" s="364"/>
      <c r="K224" s="364"/>
      <c r="L224" s="364"/>
      <c r="M224" s="364"/>
      <c r="N224" s="364"/>
      <c r="O224" s="364"/>
      <c r="P224" s="364"/>
      <c r="Q224" s="364"/>
      <c r="R224" s="364"/>
      <c r="S224" s="364"/>
      <c r="T224" s="364"/>
      <c r="U224" s="364"/>
      <c r="V224" s="364"/>
      <c r="W224" s="364"/>
      <c r="X224" s="364"/>
      <c r="Y224" s="364"/>
      <c r="Z224" s="364"/>
      <c r="AA224" s="364" t="str">
        <f aca="false">IFERROR(__xludf.dummyfunction("""COMPUTED_VALUE"""),"")</f>
        <v/>
      </c>
      <c r="AB224" s="364"/>
    </row>
    <row r="225" customFormat="false" ht="15.75" hidden="false" customHeight="false" outlineLevel="0" collapsed="false">
      <c r="A225" s="364"/>
      <c r="B225" s="364"/>
      <c r="C225" s="261"/>
      <c r="D225" s="261"/>
      <c r="E225" s="261"/>
      <c r="F225" s="364"/>
      <c r="G225" s="261"/>
      <c r="H225" s="261"/>
      <c r="I225" s="364"/>
      <c r="J225" s="364"/>
      <c r="K225" s="364"/>
      <c r="L225" s="364"/>
      <c r="M225" s="364"/>
      <c r="N225" s="364"/>
      <c r="O225" s="364"/>
      <c r="P225" s="364"/>
      <c r="Q225" s="364"/>
      <c r="R225" s="364"/>
      <c r="S225" s="364"/>
      <c r="T225" s="364"/>
      <c r="U225" s="364"/>
      <c r="V225" s="364"/>
      <c r="W225" s="364"/>
      <c r="X225" s="364"/>
      <c r="Y225" s="364"/>
      <c r="Z225" s="364"/>
      <c r="AA225" s="364" t="str">
        <f aca="false">IFERROR(__xludf.dummyfunction("""COMPUTED_VALUE"""),"")</f>
        <v/>
      </c>
      <c r="AB225" s="364"/>
    </row>
    <row r="226" customFormat="false" ht="15.75" hidden="false" customHeight="false" outlineLevel="0" collapsed="false">
      <c r="A226" s="364"/>
      <c r="B226" s="364"/>
      <c r="C226" s="261"/>
      <c r="D226" s="261"/>
      <c r="E226" s="261"/>
      <c r="F226" s="364"/>
      <c r="G226" s="261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64"/>
      <c r="T226" s="364"/>
      <c r="U226" s="364"/>
      <c r="V226" s="364"/>
      <c r="W226" s="364"/>
      <c r="X226" s="364"/>
      <c r="Y226" s="364"/>
      <c r="Z226" s="364"/>
      <c r="AA226" s="364" t="str">
        <f aca="false">IFERROR(__xludf.dummyfunction("""COMPUTED_VALUE"""),"")</f>
        <v/>
      </c>
      <c r="AB226" s="364"/>
    </row>
    <row r="227" customFormat="false" ht="15.75" hidden="false" customHeight="false" outlineLevel="0" collapsed="false">
      <c r="A227" s="364"/>
      <c r="B227" s="364"/>
      <c r="C227" s="261"/>
      <c r="D227" s="261"/>
      <c r="E227" s="261"/>
      <c r="F227" s="364"/>
      <c r="G227" s="261"/>
      <c r="H227" s="261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64"/>
      <c r="T227" s="364"/>
      <c r="U227" s="364"/>
      <c r="V227" s="364"/>
      <c r="W227" s="364"/>
      <c r="X227" s="364"/>
      <c r="Y227" s="364"/>
      <c r="Z227" s="364"/>
      <c r="AA227" s="364" t="str">
        <f aca="false">IFERROR(__xludf.dummyfunction("""COMPUTED_VALUE"""),"")</f>
        <v/>
      </c>
      <c r="AB227" s="364"/>
    </row>
    <row r="228" customFormat="false" ht="15.75" hidden="false" customHeight="false" outlineLevel="0" collapsed="false">
      <c r="A228" s="364"/>
      <c r="B228" s="364"/>
      <c r="C228" s="261"/>
      <c r="D228" s="261"/>
      <c r="E228" s="261"/>
      <c r="F228" s="364"/>
      <c r="G228" s="261"/>
      <c r="H228" s="261"/>
      <c r="I228" s="364"/>
      <c r="J228" s="364"/>
      <c r="K228" s="364"/>
      <c r="L228" s="364"/>
      <c r="M228" s="364"/>
      <c r="N228" s="364"/>
      <c r="O228" s="364"/>
      <c r="P228" s="364"/>
      <c r="Q228" s="364"/>
      <c r="R228" s="364"/>
      <c r="S228" s="364"/>
      <c r="T228" s="364"/>
      <c r="U228" s="364"/>
      <c r="V228" s="364"/>
      <c r="W228" s="364"/>
      <c r="X228" s="364"/>
      <c r="Y228" s="364"/>
      <c r="Z228" s="364"/>
      <c r="AA228" s="364" t="str">
        <f aca="false">IFERROR(__xludf.dummyfunction("""COMPUTED_VALUE"""),"")</f>
        <v/>
      </c>
      <c r="AB228" s="364"/>
    </row>
    <row r="229" customFormat="false" ht="15.75" hidden="false" customHeight="false" outlineLevel="0" collapsed="false">
      <c r="A229" s="364"/>
      <c r="B229" s="364"/>
      <c r="C229" s="261"/>
      <c r="D229" s="261"/>
      <c r="E229" s="261"/>
      <c r="F229" s="364"/>
      <c r="G229" s="261"/>
      <c r="H229" s="261"/>
      <c r="I229" s="364"/>
      <c r="J229" s="364"/>
      <c r="K229" s="364"/>
      <c r="L229" s="364"/>
      <c r="M229" s="364"/>
      <c r="N229" s="364"/>
      <c r="O229" s="364"/>
      <c r="P229" s="364"/>
      <c r="Q229" s="364"/>
      <c r="R229" s="364"/>
      <c r="S229" s="364"/>
      <c r="T229" s="364"/>
      <c r="U229" s="364"/>
      <c r="V229" s="364"/>
      <c r="W229" s="364"/>
      <c r="X229" s="364"/>
      <c r="Y229" s="364"/>
      <c r="Z229" s="364"/>
      <c r="AA229" s="364" t="str">
        <f aca="false">IFERROR(__xludf.dummyfunction("""COMPUTED_VALUE"""),"")</f>
        <v/>
      </c>
      <c r="AB229" s="364"/>
    </row>
    <row r="230" customFormat="false" ht="15.75" hidden="false" customHeight="false" outlineLevel="0" collapsed="false">
      <c r="A230" s="364"/>
      <c r="B230" s="364"/>
      <c r="C230" s="261"/>
      <c r="D230" s="261"/>
      <c r="E230" s="261"/>
      <c r="F230" s="364"/>
      <c r="G230" s="261"/>
      <c r="H230" s="364"/>
      <c r="I230" s="364"/>
      <c r="J230" s="364"/>
      <c r="K230" s="364"/>
      <c r="L230" s="364"/>
      <c r="M230" s="364"/>
      <c r="N230" s="364"/>
      <c r="O230" s="364"/>
      <c r="P230" s="364"/>
      <c r="Q230" s="364"/>
      <c r="R230" s="364"/>
      <c r="S230" s="364"/>
      <c r="T230" s="364"/>
      <c r="U230" s="364"/>
      <c r="V230" s="364"/>
      <c r="W230" s="364"/>
      <c r="X230" s="364"/>
      <c r="Y230" s="364"/>
      <c r="Z230" s="364"/>
      <c r="AA230" s="364" t="str">
        <f aca="false">IFERROR(__xludf.dummyfunction("""COMPUTED_VALUE"""),"")</f>
        <v/>
      </c>
      <c r="AB230" s="364"/>
    </row>
    <row r="231" customFormat="false" ht="15.75" hidden="false" customHeight="false" outlineLevel="0" collapsed="false">
      <c r="A231" s="364"/>
      <c r="B231" s="364"/>
      <c r="C231" s="261"/>
      <c r="D231" s="261"/>
      <c r="E231" s="261"/>
      <c r="F231" s="364"/>
      <c r="G231" s="261"/>
      <c r="H231" s="261"/>
      <c r="I231" s="364"/>
      <c r="J231" s="364"/>
      <c r="K231" s="364"/>
      <c r="L231" s="364"/>
      <c r="M231" s="364"/>
      <c r="N231" s="364"/>
      <c r="O231" s="364"/>
      <c r="P231" s="364"/>
      <c r="Q231" s="364"/>
      <c r="R231" s="364"/>
      <c r="S231" s="364"/>
      <c r="T231" s="364"/>
      <c r="U231" s="364"/>
      <c r="V231" s="364"/>
      <c r="W231" s="364"/>
      <c r="X231" s="364"/>
      <c r="Y231" s="364"/>
      <c r="Z231" s="364"/>
      <c r="AA231" s="364" t="str">
        <f aca="false">IFERROR(__xludf.dummyfunction("""COMPUTED_VALUE"""),"")</f>
        <v/>
      </c>
      <c r="AB231" s="364"/>
    </row>
    <row r="232" customFormat="false" ht="15.75" hidden="false" customHeight="false" outlineLevel="0" collapsed="false">
      <c r="A232" s="364"/>
      <c r="B232" s="364"/>
      <c r="C232" s="261"/>
      <c r="D232" s="261"/>
      <c r="E232" s="261"/>
      <c r="F232" s="364"/>
      <c r="G232" s="261"/>
      <c r="H232" s="261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64"/>
      <c r="T232" s="364"/>
      <c r="U232" s="364"/>
      <c r="V232" s="364"/>
      <c r="W232" s="364"/>
      <c r="X232" s="364"/>
      <c r="Y232" s="364"/>
      <c r="Z232" s="364"/>
      <c r="AA232" s="364" t="str">
        <f aca="false">IFERROR(__xludf.dummyfunction("""COMPUTED_VALUE"""),"")</f>
        <v/>
      </c>
      <c r="AB232" s="364"/>
    </row>
    <row r="233" customFormat="false" ht="15.75" hidden="false" customHeight="false" outlineLevel="0" collapsed="false">
      <c r="A233" s="364"/>
      <c r="B233" s="364"/>
      <c r="C233" s="261"/>
      <c r="D233" s="261"/>
      <c r="E233" s="261"/>
      <c r="F233" s="364"/>
      <c r="G233" s="261"/>
      <c r="H233" s="261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64"/>
      <c r="T233" s="364"/>
      <c r="U233" s="364"/>
      <c r="V233" s="364"/>
      <c r="W233" s="364"/>
      <c r="X233" s="364"/>
      <c r="Y233" s="364"/>
      <c r="Z233" s="364"/>
      <c r="AA233" s="364" t="str">
        <f aca="false">IFERROR(__xludf.dummyfunction("""COMPUTED_VALUE"""),"")</f>
        <v/>
      </c>
      <c r="AB233" s="364"/>
    </row>
    <row r="234" customFormat="false" ht="15.75" hidden="false" customHeight="false" outlineLevel="0" collapsed="false">
      <c r="A234" s="364"/>
      <c r="B234" s="364"/>
      <c r="C234" s="261"/>
      <c r="D234" s="261"/>
      <c r="E234" s="261"/>
      <c r="F234" s="364"/>
      <c r="G234" s="261"/>
      <c r="H234" s="261"/>
      <c r="I234" s="364"/>
      <c r="J234" s="364"/>
      <c r="K234" s="364"/>
      <c r="L234" s="364"/>
      <c r="M234" s="364"/>
      <c r="N234" s="364"/>
      <c r="O234" s="364"/>
      <c r="P234" s="364"/>
      <c r="Q234" s="364"/>
      <c r="R234" s="364"/>
      <c r="S234" s="364"/>
      <c r="T234" s="364"/>
      <c r="U234" s="364"/>
      <c r="V234" s="364"/>
      <c r="W234" s="364"/>
      <c r="X234" s="364"/>
      <c r="Y234" s="364"/>
      <c r="Z234" s="364"/>
      <c r="AA234" s="364" t="str">
        <f aca="false">IFERROR(__xludf.dummyfunction("""COMPUTED_VALUE"""),"")</f>
        <v/>
      </c>
      <c r="AB234" s="364"/>
    </row>
    <row r="235" customFormat="false" ht="15.75" hidden="false" customHeight="false" outlineLevel="0" collapsed="false">
      <c r="A235" s="364"/>
      <c r="B235" s="364"/>
      <c r="C235" s="261"/>
      <c r="D235" s="261"/>
      <c r="E235" s="261"/>
      <c r="F235" s="364"/>
      <c r="G235" s="261"/>
      <c r="H235" s="364"/>
      <c r="I235" s="364"/>
      <c r="J235" s="364"/>
      <c r="K235" s="364"/>
      <c r="L235" s="364"/>
      <c r="M235" s="364"/>
      <c r="N235" s="364"/>
      <c r="O235" s="364"/>
      <c r="P235" s="364"/>
      <c r="Q235" s="364"/>
      <c r="R235" s="364"/>
      <c r="S235" s="364"/>
      <c r="T235" s="364"/>
      <c r="U235" s="364"/>
      <c r="V235" s="364"/>
      <c r="W235" s="364"/>
      <c r="X235" s="364"/>
      <c r="Y235" s="364"/>
      <c r="Z235" s="364"/>
      <c r="AA235" s="364" t="str">
        <f aca="false">IFERROR(__xludf.dummyfunction("""COMPUTED_VALUE"""),"")</f>
        <v/>
      </c>
      <c r="AB235" s="364"/>
    </row>
    <row r="236" customFormat="false" ht="15.75" hidden="false" customHeight="false" outlineLevel="0" collapsed="false">
      <c r="A236" s="364"/>
      <c r="B236" s="364"/>
      <c r="C236" s="261"/>
      <c r="D236" s="261"/>
      <c r="E236" s="261"/>
      <c r="F236" s="364"/>
      <c r="G236" s="261"/>
      <c r="H236" s="261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64"/>
      <c r="T236" s="364"/>
      <c r="U236" s="364"/>
      <c r="V236" s="364"/>
      <c r="W236" s="364"/>
      <c r="X236" s="364"/>
      <c r="Y236" s="364"/>
      <c r="Z236" s="364"/>
      <c r="AA236" s="364" t="str">
        <f aca="false">IFERROR(__xludf.dummyfunction("""COMPUTED_VALUE"""),"")</f>
        <v/>
      </c>
      <c r="AB236" s="364"/>
    </row>
    <row r="237" customFormat="false" ht="15.75" hidden="false" customHeight="false" outlineLevel="0" collapsed="false">
      <c r="A237" s="364"/>
      <c r="B237" s="364"/>
      <c r="C237" s="261"/>
      <c r="D237" s="261"/>
      <c r="E237" s="261"/>
      <c r="F237" s="364"/>
      <c r="G237" s="261"/>
      <c r="H237" s="261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64"/>
      <c r="T237" s="364"/>
      <c r="U237" s="364"/>
      <c r="V237" s="364"/>
      <c r="W237" s="364"/>
      <c r="X237" s="364"/>
      <c r="Y237" s="364"/>
      <c r="Z237" s="364"/>
      <c r="AA237" s="364" t="str">
        <f aca="false">IFERROR(__xludf.dummyfunction("""COMPUTED_VALUE"""),"")</f>
        <v/>
      </c>
      <c r="AB237" s="364"/>
    </row>
    <row r="238" customFormat="false" ht="15.75" hidden="false" customHeight="false" outlineLevel="0" collapsed="false">
      <c r="A238" s="364"/>
      <c r="B238" s="364"/>
      <c r="C238" s="261"/>
      <c r="D238" s="261"/>
      <c r="E238" s="261"/>
      <c r="F238" s="364"/>
      <c r="G238" s="261"/>
      <c r="H238" s="261"/>
      <c r="I238" s="364"/>
      <c r="J238" s="364"/>
      <c r="K238" s="364"/>
      <c r="L238" s="364"/>
      <c r="M238" s="364"/>
      <c r="N238" s="364"/>
      <c r="O238" s="364"/>
      <c r="P238" s="364"/>
      <c r="Q238" s="364"/>
      <c r="R238" s="364"/>
      <c r="S238" s="364"/>
      <c r="T238" s="364"/>
      <c r="U238" s="364"/>
      <c r="V238" s="364"/>
      <c r="W238" s="364"/>
      <c r="X238" s="364"/>
      <c r="Y238" s="364"/>
      <c r="Z238" s="364"/>
      <c r="AA238" s="364" t="str">
        <f aca="false">IFERROR(__xludf.dummyfunction("""COMPUTED_VALUE"""),"")</f>
        <v/>
      </c>
      <c r="AB238" s="364"/>
    </row>
    <row r="239" customFormat="false" ht="15.75" hidden="false" customHeight="false" outlineLevel="0" collapsed="false">
      <c r="A239" s="364"/>
      <c r="B239" s="364"/>
      <c r="C239" s="261"/>
      <c r="D239" s="261"/>
      <c r="E239" s="261"/>
      <c r="F239" s="364"/>
      <c r="G239" s="261"/>
      <c r="H239" s="261"/>
      <c r="I239" s="364"/>
      <c r="J239" s="364"/>
      <c r="K239" s="364"/>
      <c r="L239" s="364"/>
      <c r="M239" s="364"/>
      <c r="N239" s="364"/>
      <c r="O239" s="364"/>
      <c r="P239" s="364"/>
      <c r="Q239" s="364"/>
      <c r="R239" s="364"/>
      <c r="S239" s="364"/>
      <c r="T239" s="364"/>
      <c r="U239" s="364"/>
      <c r="V239" s="364"/>
      <c r="W239" s="364"/>
      <c r="X239" s="364"/>
      <c r="Y239" s="364"/>
      <c r="Z239" s="364"/>
      <c r="AA239" s="364" t="str">
        <f aca="false">IFERROR(__xludf.dummyfunction("""COMPUTED_VALUE"""),"")</f>
        <v/>
      </c>
      <c r="AB239" s="364"/>
    </row>
    <row r="240" customFormat="false" ht="15.75" hidden="false" customHeight="false" outlineLevel="0" collapsed="false">
      <c r="A240" s="364"/>
      <c r="B240" s="364"/>
      <c r="C240" s="261"/>
      <c r="D240" s="261"/>
      <c r="E240" s="261"/>
      <c r="F240" s="364"/>
      <c r="G240" s="261"/>
      <c r="H240" s="261"/>
      <c r="I240" s="364"/>
      <c r="J240" s="364"/>
      <c r="K240" s="364"/>
      <c r="L240" s="364"/>
      <c r="M240" s="364"/>
      <c r="N240" s="364"/>
      <c r="O240" s="364"/>
      <c r="P240" s="364"/>
      <c r="Q240" s="364"/>
      <c r="R240" s="364"/>
      <c r="S240" s="364"/>
      <c r="T240" s="364"/>
      <c r="U240" s="364"/>
      <c r="V240" s="364"/>
      <c r="W240" s="364"/>
      <c r="X240" s="364"/>
      <c r="Y240" s="364"/>
      <c r="Z240" s="364"/>
      <c r="AA240" s="364" t="str">
        <f aca="false">IFERROR(__xludf.dummyfunction("""COMPUTED_VALUE"""),"")</f>
        <v/>
      </c>
      <c r="AB240" s="364"/>
    </row>
    <row r="241" customFormat="false" ht="15.75" hidden="false" customHeight="false" outlineLevel="0" collapsed="false">
      <c r="A241" s="364"/>
      <c r="B241" s="364"/>
      <c r="C241" s="261"/>
      <c r="D241" s="261"/>
      <c r="E241" s="261"/>
      <c r="F241" s="364"/>
      <c r="G241" s="261"/>
      <c r="H241" s="261"/>
      <c r="I241" s="364"/>
      <c r="J241" s="364"/>
      <c r="K241" s="364"/>
      <c r="L241" s="364"/>
      <c r="M241" s="364"/>
      <c r="N241" s="364"/>
      <c r="O241" s="364"/>
      <c r="P241" s="364"/>
      <c r="Q241" s="364"/>
      <c r="R241" s="364"/>
      <c r="S241" s="364"/>
      <c r="T241" s="364"/>
      <c r="U241" s="364"/>
      <c r="V241" s="364"/>
      <c r="W241" s="364"/>
      <c r="X241" s="364"/>
      <c r="Y241" s="364"/>
      <c r="Z241" s="364"/>
      <c r="AA241" s="364" t="str">
        <f aca="false">IFERROR(__xludf.dummyfunction("""COMPUTED_VALUE"""),"")</f>
        <v/>
      </c>
      <c r="AB241" s="364"/>
    </row>
    <row r="242" customFormat="false" ht="15.75" hidden="false" customHeight="false" outlineLevel="0" collapsed="false">
      <c r="A242" s="364"/>
      <c r="B242" s="364"/>
      <c r="C242" s="261"/>
      <c r="D242" s="261"/>
      <c r="E242" s="261"/>
      <c r="F242" s="364"/>
      <c r="G242" s="261"/>
      <c r="H242" s="364"/>
      <c r="I242" s="364"/>
      <c r="J242" s="364"/>
      <c r="K242" s="364"/>
      <c r="L242" s="364"/>
      <c r="M242" s="364"/>
      <c r="N242" s="364"/>
      <c r="O242" s="364"/>
      <c r="P242" s="364"/>
      <c r="Q242" s="364"/>
      <c r="R242" s="364"/>
      <c r="S242" s="364"/>
      <c r="T242" s="364"/>
      <c r="U242" s="364"/>
      <c r="V242" s="364"/>
      <c r="W242" s="364"/>
      <c r="X242" s="364"/>
      <c r="Y242" s="364"/>
      <c r="Z242" s="364"/>
      <c r="AA242" s="364" t="str">
        <f aca="false">IFERROR(__xludf.dummyfunction("""COMPUTED_VALUE"""),"")</f>
        <v/>
      </c>
      <c r="AB242" s="364"/>
    </row>
    <row r="243" customFormat="false" ht="15.75" hidden="false" customHeight="false" outlineLevel="0" collapsed="false">
      <c r="A243" s="364"/>
      <c r="B243" s="364"/>
      <c r="C243" s="261"/>
      <c r="D243" s="261"/>
      <c r="E243" s="261"/>
      <c r="F243" s="364"/>
      <c r="G243" s="261"/>
      <c r="H243" s="261"/>
      <c r="I243" s="364"/>
      <c r="J243" s="364"/>
      <c r="K243" s="364"/>
      <c r="L243" s="364"/>
      <c r="M243" s="364"/>
      <c r="N243" s="364"/>
      <c r="O243" s="364"/>
      <c r="P243" s="364"/>
      <c r="Q243" s="364"/>
      <c r="R243" s="364"/>
      <c r="S243" s="364"/>
      <c r="T243" s="364"/>
      <c r="U243" s="364"/>
      <c r="V243" s="364"/>
      <c r="W243" s="364"/>
      <c r="X243" s="364"/>
      <c r="Y243" s="364"/>
      <c r="Z243" s="364"/>
      <c r="AA243" s="364" t="str">
        <f aca="false">IFERROR(__xludf.dummyfunction("""COMPUTED_VALUE"""),"")</f>
        <v/>
      </c>
      <c r="AB243" s="364"/>
    </row>
    <row r="244" customFormat="false" ht="15.75" hidden="false" customHeight="false" outlineLevel="0" collapsed="false">
      <c r="A244" s="364"/>
      <c r="B244" s="364"/>
      <c r="C244" s="261"/>
      <c r="D244" s="261"/>
      <c r="E244" s="261"/>
      <c r="F244" s="364"/>
      <c r="G244" s="261"/>
      <c r="H244" s="261"/>
      <c r="I244" s="364"/>
      <c r="J244" s="364"/>
      <c r="K244" s="364"/>
      <c r="L244" s="364"/>
      <c r="M244" s="364"/>
      <c r="N244" s="364"/>
      <c r="O244" s="364"/>
      <c r="P244" s="364"/>
      <c r="Q244" s="364"/>
      <c r="R244" s="364"/>
      <c r="S244" s="364"/>
      <c r="T244" s="364"/>
      <c r="U244" s="364"/>
      <c r="V244" s="364"/>
      <c r="W244" s="364"/>
      <c r="X244" s="364"/>
      <c r="Y244" s="364"/>
      <c r="Z244" s="364"/>
      <c r="AA244" s="364" t="str">
        <f aca="false">IFERROR(__xludf.dummyfunction("""COMPUTED_VALUE"""),"")</f>
        <v/>
      </c>
      <c r="AB244" s="364"/>
    </row>
    <row r="245" customFormat="false" ht="15.75" hidden="false" customHeight="false" outlineLevel="0" collapsed="false">
      <c r="A245" s="364"/>
      <c r="B245" s="364"/>
      <c r="C245" s="261"/>
      <c r="D245" s="261"/>
      <c r="E245" s="261"/>
      <c r="F245" s="364"/>
      <c r="G245" s="261"/>
      <c r="H245" s="261"/>
      <c r="I245" s="364"/>
      <c r="J245" s="364"/>
      <c r="K245" s="364"/>
      <c r="L245" s="364"/>
      <c r="M245" s="364"/>
      <c r="N245" s="364"/>
      <c r="O245" s="364"/>
      <c r="P245" s="364"/>
      <c r="Q245" s="364"/>
      <c r="R245" s="364"/>
      <c r="S245" s="364"/>
      <c r="T245" s="364"/>
      <c r="U245" s="364"/>
      <c r="V245" s="364"/>
      <c r="W245" s="364"/>
      <c r="X245" s="364"/>
      <c r="Y245" s="364"/>
      <c r="Z245" s="364"/>
      <c r="AA245" s="364" t="str">
        <f aca="false">IFERROR(__xludf.dummyfunction("""COMPUTED_VALUE"""),"")</f>
        <v/>
      </c>
      <c r="AB245" s="364"/>
    </row>
    <row r="246" customFormat="false" ht="15.75" hidden="false" customHeight="false" outlineLevel="0" collapsed="false">
      <c r="A246" s="364"/>
      <c r="B246" s="364"/>
      <c r="C246" s="261"/>
      <c r="D246" s="261"/>
      <c r="E246" s="261"/>
      <c r="F246" s="364"/>
      <c r="G246" s="261"/>
      <c r="H246" s="261"/>
      <c r="I246" s="364"/>
      <c r="J246" s="364"/>
      <c r="K246" s="364"/>
      <c r="L246" s="364"/>
      <c r="M246" s="364"/>
      <c r="N246" s="364"/>
      <c r="O246" s="364"/>
      <c r="P246" s="364"/>
      <c r="Q246" s="364"/>
      <c r="R246" s="364"/>
      <c r="S246" s="364"/>
      <c r="T246" s="364"/>
      <c r="U246" s="364"/>
      <c r="V246" s="364"/>
      <c r="W246" s="364"/>
      <c r="X246" s="364"/>
      <c r="Y246" s="364"/>
      <c r="Z246" s="364"/>
      <c r="AA246" s="364" t="str">
        <f aca="false">IFERROR(__xludf.dummyfunction("""COMPUTED_VALUE"""),"")</f>
        <v/>
      </c>
      <c r="AB246" s="364"/>
    </row>
    <row r="247" customFormat="false" ht="15.75" hidden="false" customHeight="false" outlineLevel="0" collapsed="false">
      <c r="A247" s="364"/>
      <c r="B247" s="364"/>
      <c r="C247" s="261"/>
      <c r="D247" s="261"/>
      <c r="E247" s="261"/>
      <c r="F247" s="261"/>
      <c r="G247" s="261"/>
      <c r="H247" s="261"/>
      <c r="I247" s="364"/>
      <c r="J247" s="364"/>
      <c r="K247" s="364"/>
      <c r="L247" s="364"/>
      <c r="M247" s="364"/>
      <c r="N247" s="364"/>
      <c r="O247" s="364"/>
      <c r="P247" s="364"/>
      <c r="Q247" s="364"/>
      <c r="R247" s="364"/>
      <c r="S247" s="364"/>
      <c r="T247" s="364"/>
      <c r="U247" s="364"/>
      <c r="V247" s="364"/>
      <c r="W247" s="364"/>
      <c r="X247" s="364"/>
      <c r="Y247" s="364"/>
      <c r="Z247" s="364"/>
      <c r="AA247" s="364" t="str">
        <f aca="false">IFERROR(__xludf.dummyfunction("""COMPUTED_VALUE"""),"")</f>
        <v/>
      </c>
      <c r="AB247" s="364"/>
    </row>
    <row r="248" customFormat="false" ht="15.75" hidden="false" customHeight="false" outlineLevel="0" collapsed="false">
      <c r="A248" s="364"/>
      <c r="B248" s="364"/>
      <c r="C248" s="261"/>
      <c r="D248" s="261"/>
      <c r="E248" s="261"/>
      <c r="F248" s="364"/>
      <c r="G248" s="261"/>
      <c r="H248" s="261"/>
      <c r="I248" s="364"/>
      <c r="J248" s="364"/>
      <c r="K248" s="364"/>
      <c r="L248" s="364"/>
      <c r="M248" s="364"/>
      <c r="N248" s="364"/>
      <c r="O248" s="364"/>
      <c r="P248" s="364"/>
      <c r="Q248" s="364"/>
      <c r="R248" s="364"/>
      <c r="S248" s="364"/>
      <c r="T248" s="364"/>
      <c r="U248" s="364"/>
      <c r="V248" s="364"/>
      <c r="W248" s="364"/>
      <c r="X248" s="364"/>
      <c r="Y248" s="364"/>
      <c r="Z248" s="364"/>
      <c r="AA248" s="364" t="str">
        <f aca="false">IFERROR(__xludf.dummyfunction("""COMPUTED_VALUE"""),"")</f>
        <v/>
      </c>
      <c r="AB248" s="364"/>
    </row>
    <row r="249" customFormat="false" ht="15.75" hidden="false" customHeight="false" outlineLevel="0" collapsed="false">
      <c r="A249" s="364"/>
      <c r="B249" s="364"/>
      <c r="C249" s="261"/>
      <c r="D249" s="261"/>
      <c r="E249" s="261"/>
      <c r="F249" s="364"/>
      <c r="G249" s="261"/>
      <c r="H249" s="261"/>
      <c r="I249" s="364"/>
      <c r="J249" s="364"/>
      <c r="K249" s="364"/>
      <c r="L249" s="364"/>
      <c r="M249" s="364"/>
      <c r="N249" s="364"/>
      <c r="O249" s="364"/>
      <c r="P249" s="364"/>
      <c r="Q249" s="364"/>
      <c r="R249" s="364"/>
      <c r="S249" s="364"/>
      <c r="T249" s="364"/>
      <c r="U249" s="364"/>
      <c r="V249" s="364"/>
      <c r="W249" s="364"/>
      <c r="X249" s="364"/>
      <c r="Y249" s="364"/>
      <c r="Z249" s="364"/>
      <c r="AA249" s="364" t="str">
        <f aca="false">IFERROR(__xludf.dummyfunction("""COMPUTED_VALUE"""),"")</f>
        <v/>
      </c>
      <c r="AB249" s="364"/>
    </row>
    <row r="250" customFormat="false" ht="15.75" hidden="false" customHeight="false" outlineLevel="0" collapsed="false">
      <c r="A250" s="364"/>
      <c r="B250" s="364"/>
      <c r="C250" s="261"/>
      <c r="D250" s="261"/>
      <c r="E250" s="261"/>
      <c r="F250" s="261"/>
      <c r="G250" s="261"/>
      <c r="H250" s="261"/>
      <c r="I250" s="364"/>
      <c r="J250" s="364"/>
      <c r="K250" s="364"/>
      <c r="L250" s="364"/>
      <c r="M250" s="364"/>
      <c r="N250" s="364"/>
      <c r="O250" s="364"/>
      <c r="P250" s="364"/>
      <c r="Q250" s="364"/>
      <c r="R250" s="364"/>
      <c r="S250" s="364"/>
      <c r="T250" s="364"/>
      <c r="U250" s="364"/>
      <c r="V250" s="364"/>
      <c r="W250" s="364"/>
      <c r="X250" s="364"/>
      <c r="Y250" s="364"/>
      <c r="Z250" s="364"/>
      <c r="AA250" s="364" t="str">
        <f aca="false">IFERROR(__xludf.dummyfunction("""COMPUTED_VALUE"""),"")</f>
        <v/>
      </c>
      <c r="AB250" s="364"/>
    </row>
    <row r="251" customFormat="false" ht="15.75" hidden="false" customHeight="false" outlineLevel="0" collapsed="false">
      <c r="A251" s="364"/>
      <c r="B251" s="364"/>
      <c r="C251" s="261"/>
      <c r="D251" s="261"/>
      <c r="E251" s="261"/>
      <c r="F251" s="364"/>
      <c r="G251" s="364"/>
      <c r="H251" s="261"/>
      <c r="I251" s="364"/>
      <c r="J251" s="364"/>
      <c r="K251" s="364"/>
      <c r="L251" s="364"/>
      <c r="M251" s="364"/>
      <c r="N251" s="364"/>
      <c r="O251" s="364"/>
      <c r="P251" s="364"/>
      <c r="Q251" s="364"/>
      <c r="R251" s="364"/>
      <c r="S251" s="364"/>
      <c r="T251" s="364"/>
      <c r="U251" s="364"/>
      <c r="V251" s="364"/>
      <c r="W251" s="364"/>
      <c r="X251" s="364"/>
      <c r="Y251" s="364"/>
      <c r="Z251" s="364"/>
      <c r="AA251" s="364" t="str">
        <f aca="false">IFERROR(__xludf.dummyfunction("""COMPUTED_VALUE"""),"")</f>
        <v/>
      </c>
      <c r="AB251" s="364"/>
    </row>
    <row r="252" customFormat="false" ht="15.75" hidden="false" customHeight="false" outlineLevel="0" collapsed="false">
      <c r="A252" s="364"/>
      <c r="B252" s="364"/>
      <c r="C252" s="261"/>
      <c r="D252" s="261"/>
      <c r="E252" s="261"/>
      <c r="F252" s="364"/>
      <c r="G252" s="261"/>
      <c r="H252" s="261"/>
      <c r="I252" s="364"/>
      <c r="J252" s="364"/>
      <c r="K252" s="364"/>
      <c r="L252" s="364"/>
      <c r="M252" s="364"/>
      <c r="N252" s="364"/>
      <c r="O252" s="364"/>
      <c r="P252" s="364"/>
      <c r="Q252" s="364"/>
      <c r="R252" s="364"/>
      <c r="S252" s="364"/>
      <c r="T252" s="364"/>
      <c r="U252" s="364"/>
      <c r="V252" s="364"/>
      <c r="W252" s="364"/>
      <c r="X252" s="364"/>
      <c r="Y252" s="364"/>
      <c r="Z252" s="364"/>
      <c r="AA252" s="364" t="str">
        <f aca="false">IFERROR(__xludf.dummyfunction("""COMPUTED_VALUE"""),"")</f>
        <v/>
      </c>
      <c r="AB252" s="364"/>
    </row>
    <row r="253" customFormat="false" ht="15.75" hidden="false" customHeight="false" outlineLevel="0" collapsed="false">
      <c r="A253" s="364"/>
      <c r="B253" s="364"/>
      <c r="C253" s="261"/>
      <c r="D253" s="261"/>
      <c r="E253" s="261"/>
      <c r="F253" s="364"/>
      <c r="G253" s="261"/>
      <c r="H253" s="261"/>
      <c r="I253" s="364"/>
      <c r="J253" s="364"/>
      <c r="K253" s="364"/>
      <c r="L253" s="364"/>
      <c r="M253" s="364"/>
      <c r="N253" s="364"/>
      <c r="O253" s="364"/>
      <c r="P253" s="364"/>
      <c r="Q253" s="364"/>
      <c r="R253" s="364"/>
      <c r="S253" s="364"/>
      <c r="T253" s="364"/>
      <c r="U253" s="364"/>
      <c r="V253" s="364"/>
      <c r="W253" s="364"/>
      <c r="X253" s="364"/>
      <c r="Y253" s="364"/>
      <c r="Z253" s="364"/>
      <c r="AA253" s="364" t="str">
        <f aca="false">IFERROR(__xludf.dummyfunction("""COMPUTED_VALUE"""),"")</f>
        <v/>
      </c>
      <c r="AB253" s="364"/>
    </row>
    <row r="254" customFormat="false" ht="15.75" hidden="false" customHeight="false" outlineLevel="0" collapsed="false">
      <c r="A254" s="364"/>
      <c r="B254" s="364"/>
      <c r="C254" s="261"/>
      <c r="D254" s="261"/>
      <c r="E254" s="261"/>
      <c r="F254" s="364"/>
      <c r="G254" s="261"/>
      <c r="H254" s="261"/>
      <c r="I254" s="364"/>
      <c r="J254" s="364"/>
      <c r="K254" s="364"/>
      <c r="L254" s="364"/>
      <c r="M254" s="364"/>
      <c r="N254" s="364"/>
      <c r="O254" s="364"/>
      <c r="P254" s="364"/>
      <c r="Q254" s="364"/>
      <c r="R254" s="364"/>
      <c r="S254" s="364"/>
      <c r="T254" s="364"/>
      <c r="U254" s="364"/>
      <c r="V254" s="364"/>
      <c r="W254" s="364"/>
      <c r="X254" s="364"/>
      <c r="Y254" s="364"/>
      <c r="Z254" s="364"/>
      <c r="AA254" s="364" t="str">
        <f aca="false">IFERROR(__xludf.dummyfunction("""COMPUTED_VALUE"""),"")</f>
        <v/>
      </c>
      <c r="AB254" s="364"/>
    </row>
    <row r="255" customFormat="false" ht="15.75" hidden="false" customHeight="false" outlineLevel="0" collapsed="false">
      <c r="A255" s="364"/>
      <c r="B255" s="364"/>
      <c r="C255" s="261"/>
      <c r="D255" s="261"/>
      <c r="E255" s="261"/>
      <c r="F255" s="364"/>
      <c r="G255" s="261"/>
      <c r="H255" s="364"/>
      <c r="I255" s="364"/>
      <c r="J255" s="364"/>
      <c r="K255" s="364"/>
      <c r="L255" s="364"/>
      <c r="M255" s="364"/>
      <c r="N255" s="364"/>
      <c r="O255" s="364"/>
      <c r="P255" s="364"/>
      <c r="Q255" s="364"/>
      <c r="R255" s="364"/>
      <c r="S255" s="364"/>
      <c r="T255" s="364"/>
      <c r="U255" s="364"/>
      <c r="V255" s="364"/>
      <c r="W255" s="364"/>
      <c r="X255" s="364"/>
      <c r="Y255" s="364"/>
      <c r="Z255" s="364"/>
      <c r="AA255" s="364" t="str">
        <f aca="false">IFERROR(__xludf.dummyfunction("""COMPUTED_VALUE"""),"")</f>
        <v/>
      </c>
      <c r="AB255" s="364"/>
    </row>
    <row r="256" customFormat="false" ht="15.75" hidden="false" customHeight="false" outlineLevel="0" collapsed="false">
      <c r="A256" s="364"/>
      <c r="B256" s="364"/>
      <c r="C256" s="261"/>
      <c r="D256" s="261"/>
      <c r="E256" s="261"/>
      <c r="F256" s="364"/>
      <c r="G256" s="261"/>
      <c r="H256" s="261"/>
      <c r="I256" s="364"/>
      <c r="J256" s="364"/>
      <c r="K256" s="364"/>
      <c r="L256" s="364"/>
      <c r="M256" s="364"/>
      <c r="N256" s="364"/>
      <c r="O256" s="364"/>
      <c r="P256" s="364"/>
      <c r="Q256" s="364"/>
      <c r="R256" s="364"/>
      <c r="S256" s="364"/>
      <c r="T256" s="364"/>
      <c r="U256" s="364"/>
      <c r="V256" s="364"/>
      <c r="W256" s="364"/>
      <c r="X256" s="364"/>
      <c r="Y256" s="364"/>
      <c r="Z256" s="364"/>
      <c r="AA256" s="364" t="str">
        <f aca="false">IFERROR(__xludf.dummyfunction("""COMPUTED_VALUE"""),"")</f>
        <v/>
      </c>
      <c r="AB256" s="364"/>
    </row>
    <row r="257" customFormat="false" ht="15.75" hidden="false" customHeight="false" outlineLevel="0" collapsed="false">
      <c r="A257" s="364"/>
      <c r="B257" s="364"/>
      <c r="C257" s="261"/>
      <c r="D257" s="261"/>
      <c r="E257" s="261"/>
      <c r="F257" s="364"/>
      <c r="G257" s="261"/>
      <c r="H257" s="364"/>
      <c r="I257" s="364"/>
      <c r="J257" s="364"/>
      <c r="K257" s="364"/>
      <c r="L257" s="364"/>
      <c r="M257" s="364"/>
      <c r="N257" s="364"/>
      <c r="O257" s="364"/>
      <c r="P257" s="364"/>
      <c r="Q257" s="364"/>
      <c r="R257" s="364"/>
      <c r="S257" s="364"/>
      <c r="T257" s="364"/>
      <c r="U257" s="364"/>
      <c r="V257" s="364"/>
      <c r="W257" s="364"/>
      <c r="X257" s="364"/>
      <c r="Y257" s="364"/>
      <c r="Z257" s="364"/>
      <c r="AA257" s="364" t="str">
        <f aca="false">IFERROR(__xludf.dummyfunction("""COMPUTED_VALUE"""),"")</f>
        <v/>
      </c>
      <c r="AB257" s="364"/>
    </row>
    <row r="258" customFormat="false" ht="15.75" hidden="false" customHeight="false" outlineLevel="0" collapsed="false">
      <c r="A258" s="364"/>
      <c r="B258" s="364"/>
      <c r="C258" s="261"/>
      <c r="D258" s="261"/>
      <c r="E258" s="261"/>
      <c r="F258" s="364"/>
      <c r="G258" s="261"/>
      <c r="H258" s="261"/>
      <c r="I258" s="364"/>
      <c r="J258" s="364"/>
      <c r="K258" s="364"/>
      <c r="L258" s="364"/>
      <c r="M258" s="364"/>
      <c r="N258" s="364"/>
      <c r="O258" s="364"/>
      <c r="P258" s="364"/>
      <c r="Q258" s="364"/>
      <c r="R258" s="364"/>
      <c r="S258" s="364"/>
      <c r="T258" s="364"/>
      <c r="U258" s="364"/>
      <c r="V258" s="364"/>
      <c r="W258" s="364"/>
      <c r="X258" s="364"/>
      <c r="Y258" s="364"/>
      <c r="Z258" s="364"/>
      <c r="AA258" s="364" t="str">
        <f aca="false">IFERROR(__xludf.dummyfunction("""COMPUTED_VALUE"""),"")</f>
        <v/>
      </c>
      <c r="AB258" s="364"/>
    </row>
    <row r="259" customFormat="false" ht="15.75" hidden="false" customHeight="false" outlineLevel="0" collapsed="false">
      <c r="A259" s="364"/>
      <c r="B259" s="364"/>
      <c r="C259" s="261"/>
      <c r="D259" s="261"/>
      <c r="E259" s="261"/>
      <c r="F259" s="364"/>
      <c r="G259" s="261"/>
      <c r="H259" s="261"/>
      <c r="I259" s="364"/>
      <c r="J259" s="364"/>
      <c r="K259" s="364"/>
      <c r="L259" s="364"/>
      <c r="M259" s="364"/>
      <c r="N259" s="364"/>
      <c r="O259" s="364"/>
      <c r="P259" s="364"/>
      <c r="Q259" s="364"/>
      <c r="R259" s="364"/>
      <c r="S259" s="364"/>
      <c r="T259" s="364"/>
      <c r="U259" s="364"/>
      <c r="V259" s="364"/>
      <c r="W259" s="364"/>
      <c r="X259" s="364"/>
      <c r="Y259" s="364"/>
      <c r="Z259" s="364"/>
      <c r="AA259" s="364" t="str">
        <f aca="false">IFERROR(__xludf.dummyfunction("""COMPUTED_VALUE"""),"")</f>
        <v/>
      </c>
      <c r="AB259" s="364"/>
    </row>
    <row r="260" customFormat="false" ht="15.75" hidden="false" customHeight="false" outlineLevel="0" collapsed="false">
      <c r="A260" s="364"/>
      <c r="B260" s="364"/>
      <c r="C260" s="261"/>
      <c r="D260" s="261"/>
      <c r="E260" s="261"/>
      <c r="F260" s="364"/>
      <c r="G260" s="261"/>
      <c r="H260" s="261"/>
      <c r="I260" s="364"/>
      <c r="J260" s="364"/>
      <c r="K260" s="364"/>
      <c r="L260" s="364"/>
      <c r="M260" s="364"/>
      <c r="N260" s="364"/>
      <c r="O260" s="364"/>
      <c r="P260" s="364"/>
      <c r="Q260" s="364"/>
      <c r="R260" s="364"/>
      <c r="S260" s="364"/>
      <c r="T260" s="364"/>
      <c r="U260" s="364"/>
      <c r="V260" s="364"/>
      <c r="W260" s="364"/>
      <c r="X260" s="364"/>
      <c r="Y260" s="364"/>
      <c r="Z260" s="364"/>
      <c r="AA260" s="364" t="str">
        <f aca="false">IFERROR(__xludf.dummyfunction("""COMPUTED_VALUE"""),"")</f>
        <v/>
      </c>
      <c r="AB260" s="364"/>
    </row>
    <row r="261" customFormat="false" ht="15.75" hidden="false" customHeight="false" outlineLevel="0" collapsed="false">
      <c r="A261" s="364"/>
      <c r="B261" s="364"/>
      <c r="C261" s="261"/>
      <c r="D261" s="261"/>
      <c r="E261" s="261"/>
      <c r="F261" s="261"/>
      <c r="G261" s="261"/>
      <c r="H261" s="261"/>
      <c r="I261" s="364"/>
      <c r="J261" s="364"/>
      <c r="K261" s="364"/>
      <c r="L261" s="364"/>
      <c r="M261" s="364"/>
      <c r="N261" s="364"/>
      <c r="O261" s="364"/>
      <c r="P261" s="364"/>
      <c r="Q261" s="364"/>
      <c r="R261" s="364"/>
      <c r="S261" s="364"/>
      <c r="T261" s="364"/>
      <c r="U261" s="364"/>
      <c r="V261" s="364"/>
      <c r="W261" s="364"/>
      <c r="X261" s="364"/>
      <c r="Y261" s="364"/>
      <c r="Z261" s="364"/>
      <c r="AA261" s="364" t="str">
        <f aca="false">IFERROR(__xludf.dummyfunction("""COMPUTED_VALUE"""),"")</f>
        <v/>
      </c>
      <c r="AB261" s="364"/>
    </row>
    <row r="262" customFormat="false" ht="15.75" hidden="false" customHeight="false" outlineLevel="0" collapsed="false">
      <c r="A262" s="364"/>
      <c r="B262" s="364"/>
      <c r="C262" s="261"/>
      <c r="D262" s="261"/>
      <c r="E262" s="261"/>
      <c r="F262" s="364"/>
      <c r="G262" s="261"/>
      <c r="H262" s="261"/>
      <c r="I262" s="364"/>
      <c r="J262" s="364"/>
      <c r="K262" s="364"/>
      <c r="L262" s="364"/>
      <c r="M262" s="364"/>
      <c r="N262" s="364"/>
      <c r="O262" s="364"/>
      <c r="P262" s="364"/>
      <c r="Q262" s="364"/>
      <c r="R262" s="364"/>
      <c r="S262" s="364"/>
      <c r="T262" s="364"/>
      <c r="U262" s="364"/>
      <c r="V262" s="364"/>
      <c r="W262" s="364"/>
      <c r="X262" s="364"/>
      <c r="Y262" s="364"/>
      <c r="Z262" s="364"/>
      <c r="AA262" s="364" t="str">
        <f aca="false">IFERROR(__xludf.dummyfunction("""COMPUTED_VALUE"""),"")</f>
        <v/>
      </c>
      <c r="AB262" s="364"/>
    </row>
    <row r="263" customFormat="false" ht="15.75" hidden="false" customHeight="false" outlineLevel="0" collapsed="false">
      <c r="A263" s="364"/>
      <c r="B263" s="364"/>
      <c r="C263" s="261"/>
      <c r="D263" s="261"/>
      <c r="E263" s="261"/>
      <c r="F263" s="364"/>
      <c r="G263" s="261"/>
      <c r="H263" s="261"/>
      <c r="I263" s="364"/>
      <c r="J263" s="364"/>
      <c r="K263" s="364"/>
      <c r="L263" s="364"/>
      <c r="M263" s="364"/>
      <c r="N263" s="364"/>
      <c r="O263" s="364"/>
      <c r="P263" s="364"/>
      <c r="Q263" s="364"/>
      <c r="R263" s="364"/>
      <c r="S263" s="364"/>
      <c r="T263" s="364"/>
      <c r="U263" s="364"/>
      <c r="V263" s="364"/>
      <c r="W263" s="364"/>
      <c r="X263" s="364"/>
      <c r="Y263" s="364"/>
      <c r="Z263" s="364"/>
      <c r="AA263" s="364" t="str">
        <f aca="false">IFERROR(__xludf.dummyfunction("""COMPUTED_VALUE"""),"")</f>
        <v/>
      </c>
      <c r="AB263" s="364"/>
    </row>
    <row r="264" customFormat="false" ht="15.75" hidden="false" customHeight="false" outlineLevel="0" collapsed="false">
      <c r="A264" s="364"/>
      <c r="B264" s="364"/>
      <c r="C264" s="261"/>
      <c r="D264" s="261"/>
      <c r="E264" s="261"/>
      <c r="F264" s="364"/>
      <c r="G264" s="261"/>
      <c r="H264" s="364"/>
      <c r="I264" s="364"/>
      <c r="J264" s="364"/>
      <c r="K264" s="364"/>
      <c r="L264" s="364"/>
      <c r="M264" s="364"/>
      <c r="N264" s="364"/>
      <c r="O264" s="364"/>
      <c r="P264" s="364"/>
      <c r="Q264" s="364"/>
      <c r="R264" s="364"/>
      <c r="S264" s="364"/>
      <c r="T264" s="364"/>
      <c r="U264" s="364"/>
      <c r="V264" s="364"/>
      <c r="W264" s="364"/>
      <c r="X264" s="364"/>
      <c r="Y264" s="364"/>
      <c r="Z264" s="364"/>
      <c r="AA264" s="364" t="str">
        <f aca="false">IFERROR(__xludf.dummyfunction("""COMPUTED_VALUE"""),"")</f>
        <v/>
      </c>
      <c r="AB264" s="364"/>
    </row>
    <row r="265" customFormat="false" ht="15.75" hidden="false" customHeight="false" outlineLevel="0" collapsed="false">
      <c r="A265" s="364"/>
      <c r="B265" s="364"/>
      <c r="C265" s="261"/>
      <c r="D265" s="261"/>
      <c r="E265" s="261"/>
      <c r="F265" s="364"/>
      <c r="G265" s="364"/>
      <c r="H265" s="261"/>
      <c r="I265" s="364"/>
      <c r="J265" s="364"/>
      <c r="K265" s="364"/>
      <c r="L265" s="364"/>
      <c r="M265" s="364"/>
      <c r="N265" s="364"/>
      <c r="O265" s="364"/>
      <c r="P265" s="364"/>
      <c r="Q265" s="364"/>
      <c r="R265" s="364"/>
      <c r="S265" s="364"/>
      <c r="T265" s="364"/>
      <c r="U265" s="364"/>
      <c r="V265" s="364"/>
      <c r="W265" s="364"/>
      <c r="X265" s="364"/>
      <c r="Y265" s="364"/>
      <c r="Z265" s="364"/>
      <c r="AA265" s="364" t="str">
        <f aca="false">IFERROR(__xludf.dummyfunction("""COMPUTED_VALUE"""),"")</f>
        <v/>
      </c>
      <c r="AB265" s="364"/>
    </row>
    <row r="266" customFormat="false" ht="15.75" hidden="false" customHeight="false" outlineLevel="0" collapsed="false">
      <c r="A266" s="364"/>
      <c r="B266" s="364"/>
      <c r="C266" s="261"/>
      <c r="D266" s="261"/>
      <c r="E266" s="261"/>
      <c r="F266" s="364"/>
      <c r="G266" s="261"/>
      <c r="H266" s="261"/>
      <c r="I266" s="364"/>
      <c r="J266" s="364"/>
      <c r="K266" s="364"/>
      <c r="L266" s="364"/>
      <c r="M266" s="364"/>
      <c r="N266" s="364"/>
      <c r="O266" s="364"/>
      <c r="P266" s="364"/>
      <c r="Q266" s="364"/>
      <c r="R266" s="364"/>
      <c r="S266" s="364"/>
      <c r="T266" s="364"/>
      <c r="U266" s="364"/>
      <c r="V266" s="364"/>
      <c r="W266" s="364"/>
      <c r="X266" s="364"/>
      <c r="Y266" s="364"/>
      <c r="Z266" s="364"/>
      <c r="AA266" s="364" t="str">
        <f aca="false">IFERROR(__xludf.dummyfunction("""COMPUTED_VALUE"""),"")</f>
        <v/>
      </c>
      <c r="AB266" s="364"/>
    </row>
    <row r="267" customFormat="false" ht="15.75" hidden="false" customHeight="false" outlineLevel="0" collapsed="false">
      <c r="A267" s="364"/>
      <c r="B267" s="364"/>
      <c r="C267" s="261"/>
      <c r="D267" s="261"/>
      <c r="E267" s="261"/>
      <c r="F267" s="364"/>
      <c r="G267" s="364"/>
      <c r="H267" s="261"/>
      <c r="I267" s="364"/>
      <c r="J267" s="364"/>
      <c r="K267" s="364"/>
      <c r="L267" s="364"/>
      <c r="M267" s="364"/>
      <c r="N267" s="364"/>
      <c r="O267" s="364"/>
      <c r="P267" s="364"/>
      <c r="Q267" s="364"/>
      <c r="R267" s="364"/>
      <c r="S267" s="364"/>
      <c r="T267" s="364"/>
      <c r="U267" s="364"/>
      <c r="V267" s="364"/>
      <c r="W267" s="364"/>
      <c r="X267" s="364"/>
      <c r="Y267" s="364"/>
      <c r="Z267" s="364"/>
      <c r="AA267" s="364" t="str">
        <f aca="false">IFERROR(__xludf.dummyfunction("""COMPUTED_VALUE"""),"")</f>
        <v/>
      </c>
      <c r="AB267" s="364"/>
    </row>
    <row r="268" customFormat="false" ht="15.75" hidden="false" customHeight="false" outlineLevel="0" collapsed="false">
      <c r="A268" s="364"/>
      <c r="B268" s="364"/>
      <c r="C268" s="261"/>
      <c r="D268" s="261"/>
      <c r="E268" s="261"/>
      <c r="F268" s="364"/>
      <c r="G268" s="261"/>
      <c r="H268" s="364"/>
      <c r="I268" s="364"/>
      <c r="J268" s="364"/>
      <c r="K268" s="364"/>
      <c r="L268" s="364"/>
      <c r="M268" s="364"/>
      <c r="N268" s="364"/>
      <c r="O268" s="364"/>
      <c r="P268" s="364"/>
      <c r="Q268" s="364"/>
      <c r="R268" s="364"/>
      <c r="S268" s="364"/>
      <c r="T268" s="364"/>
      <c r="U268" s="364"/>
      <c r="V268" s="364"/>
      <c r="W268" s="364"/>
      <c r="X268" s="364"/>
      <c r="Y268" s="364"/>
      <c r="Z268" s="364"/>
      <c r="AA268" s="364" t="str">
        <f aca="false">IFERROR(__xludf.dummyfunction("""COMPUTED_VALUE"""),"")</f>
        <v/>
      </c>
      <c r="AB268" s="364"/>
    </row>
    <row r="269" customFormat="false" ht="15.75" hidden="false" customHeight="false" outlineLevel="0" collapsed="false">
      <c r="A269" s="364"/>
      <c r="B269" s="364"/>
      <c r="C269" s="261"/>
      <c r="D269" s="261"/>
      <c r="E269" s="261"/>
      <c r="F269" s="364"/>
      <c r="G269" s="364"/>
      <c r="H269" s="261"/>
      <c r="I269" s="364"/>
      <c r="J269" s="364"/>
      <c r="K269" s="364"/>
      <c r="L269" s="364"/>
      <c r="M269" s="364"/>
      <c r="N269" s="364"/>
      <c r="O269" s="364"/>
      <c r="P269" s="364"/>
      <c r="Q269" s="364"/>
      <c r="R269" s="364"/>
      <c r="S269" s="364"/>
      <c r="T269" s="364"/>
      <c r="U269" s="364"/>
      <c r="V269" s="364"/>
      <c r="W269" s="364"/>
      <c r="X269" s="364"/>
      <c r="Y269" s="364"/>
      <c r="Z269" s="364"/>
      <c r="AA269" s="364" t="str">
        <f aca="false">IFERROR(__xludf.dummyfunction("""COMPUTED_VALUE"""),"")</f>
        <v/>
      </c>
      <c r="AB269" s="364"/>
    </row>
    <row r="270" customFormat="false" ht="15.75" hidden="false" customHeight="false" outlineLevel="0" collapsed="false">
      <c r="A270" s="364"/>
      <c r="B270" s="364"/>
      <c r="C270" s="261"/>
      <c r="D270" s="261"/>
      <c r="E270" s="261"/>
      <c r="F270" s="364"/>
      <c r="G270" s="261"/>
      <c r="H270" s="261"/>
      <c r="I270" s="364"/>
      <c r="J270" s="364"/>
      <c r="K270" s="364"/>
      <c r="L270" s="364"/>
      <c r="M270" s="364"/>
      <c r="N270" s="364"/>
      <c r="O270" s="364"/>
      <c r="P270" s="364"/>
      <c r="Q270" s="364"/>
      <c r="R270" s="364"/>
      <c r="S270" s="364"/>
      <c r="T270" s="364"/>
      <c r="U270" s="364"/>
      <c r="V270" s="364"/>
      <c r="W270" s="364"/>
      <c r="X270" s="364"/>
      <c r="Y270" s="364"/>
      <c r="Z270" s="364"/>
      <c r="AA270" s="364" t="str">
        <f aca="false">IFERROR(__xludf.dummyfunction("""COMPUTED_VALUE"""),"")</f>
        <v/>
      </c>
      <c r="AB270" s="364"/>
    </row>
    <row r="271" customFormat="false" ht="15.75" hidden="false" customHeight="false" outlineLevel="0" collapsed="false">
      <c r="A271" s="364"/>
      <c r="B271" s="364"/>
      <c r="C271" s="261"/>
      <c r="D271" s="261"/>
      <c r="E271" s="261"/>
      <c r="F271" s="364"/>
      <c r="G271" s="261"/>
      <c r="H271" s="261"/>
      <c r="I271" s="364"/>
      <c r="J271" s="364"/>
      <c r="K271" s="364"/>
      <c r="L271" s="364"/>
      <c r="M271" s="364"/>
      <c r="N271" s="364"/>
      <c r="O271" s="364"/>
      <c r="P271" s="364"/>
      <c r="Q271" s="364"/>
      <c r="R271" s="364"/>
      <c r="S271" s="364"/>
      <c r="T271" s="364"/>
      <c r="U271" s="364"/>
      <c r="V271" s="364"/>
      <c r="W271" s="364"/>
      <c r="X271" s="364"/>
      <c r="Y271" s="364"/>
      <c r="Z271" s="364"/>
      <c r="AA271" s="364" t="str">
        <f aca="false">IFERROR(__xludf.dummyfunction("""COMPUTED_VALUE"""),"")</f>
        <v/>
      </c>
      <c r="AB271" s="364"/>
    </row>
    <row r="272" customFormat="false" ht="15.75" hidden="false" customHeight="false" outlineLevel="0" collapsed="false">
      <c r="A272" s="364"/>
      <c r="B272" s="364"/>
      <c r="C272" s="261"/>
      <c r="D272" s="261"/>
      <c r="E272" s="261"/>
      <c r="F272" s="364"/>
      <c r="G272" s="261"/>
      <c r="H272" s="364"/>
      <c r="I272" s="364"/>
      <c r="J272" s="364"/>
      <c r="K272" s="364"/>
      <c r="L272" s="364"/>
      <c r="M272" s="364"/>
      <c r="N272" s="364"/>
      <c r="O272" s="364"/>
      <c r="P272" s="364"/>
      <c r="Q272" s="364"/>
      <c r="R272" s="364"/>
      <c r="S272" s="364"/>
      <c r="T272" s="364"/>
      <c r="U272" s="364"/>
      <c r="V272" s="364"/>
      <c r="W272" s="364"/>
      <c r="X272" s="364"/>
      <c r="Y272" s="364"/>
      <c r="Z272" s="364"/>
      <c r="AA272" s="364" t="str">
        <f aca="false">IFERROR(__xludf.dummyfunction("""COMPUTED_VALUE"""),"")</f>
        <v/>
      </c>
      <c r="AB272" s="364"/>
    </row>
    <row r="273" customFormat="false" ht="15.75" hidden="false" customHeight="false" outlineLevel="0" collapsed="false">
      <c r="A273" s="364"/>
      <c r="B273" s="364"/>
      <c r="C273" s="261"/>
      <c r="D273" s="261"/>
      <c r="E273" s="261"/>
      <c r="F273" s="364"/>
      <c r="G273" s="261"/>
      <c r="H273" s="261"/>
      <c r="I273" s="364"/>
      <c r="J273" s="364"/>
      <c r="K273" s="364"/>
      <c r="L273" s="364"/>
      <c r="M273" s="364"/>
      <c r="N273" s="364"/>
      <c r="O273" s="364"/>
      <c r="P273" s="364"/>
      <c r="Q273" s="364"/>
      <c r="R273" s="364"/>
      <c r="S273" s="364"/>
      <c r="T273" s="364"/>
      <c r="U273" s="364"/>
      <c r="V273" s="364"/>
      <c r="W273" s="364"/>
      <c r="X273" s="364"/>
      <c r="Y273" s="364"/>
      <c r="Z273" s="364"/>
      <c r="AA273" s="364" t="str">
        <f aca="false">IFERROR(__xludf.dummyfunction("""COMPUTED_VALUE"""),"")</f>
        <v/>
      </c>
      <c r="AB273" s="364"/>
    </row>
    <row r="274" customFormat="false" ht="15.75" hidden="false" customHeight="false" outlineLevel="0" collapsed="false">
      <c r="A274" s="364"/>
      <c r="B274" s="364"/>
      <c r="C274" s="261"/>
      <c r="D274" s="261"/>
      <c r="E274" s="261"/>
      <c r="F274" s="261"/>
      <c r="G274" s="261"/>
      <c r="H274" s="261"/>
      <c r="I274" s="364"/>
      <c r="J274" s="364"/>
      <c r="K274" s="364"/>
      <c r="L274" s="364"/>
      <c r="M274" s="364"/>
      <c r="N274" s="364"/>
      <c r="O274" s="364"/>
      <c r="P274" s="364"/>
      <c r="Q274" s="364"/>
      <c r="R274" s="364"/>
      <c r="S274" s="364"/>
      <c r="T274" s="364"/>
      <c r="U274" s="364"/>
      <c r="V274" s="364"/>
      <c r="W274" s="364"/>
      <c r="X274" s="364"/>
      <c r="Y274" s="364"/>
      <c r="Z274" s="364"/>
      <c r="AA274" s="364" t="str">
        <f aca="false">IFERROR(__xludf.dummyfunction("""COMPUTED_VALUE"""),"")</f>
        <v/>
      </c>
      <c r="AB274" s="364"/>
    </row>
    <row r="275" customFormat="false" ht="15.75" hidden="false" customHeight="false" outlineLevel="0" collapsed="false">
      <c r="A275" s="364"/>
      <c r="B275" s="364"/>
      <c r="C275" s="261"/>
      <c r="D275" s="261"/>
      <c r="E275" s="261"/>
      <c r="F275" s="364"/>
      <c r="G275" s="261"/>
      <c r="H275" s="364"/>
      <c r="I275" s="364"/>
      <c r="J275" s="364"/>
      <c r="K275" s="364"/>
      <c r="L275" s="364"/>
      <c r="M275" s="364"/>
      <c r="N275" s="364"/>
      <c r="O275" s="364"/>
      <c r="P275" s="364"/>
      <c r="Q275" s="364"/>
      <c r="R275" s="364"/>
      <c r="S275" s="364"/>
      <c r="T275" s="364"/>
      <c r="U275" s="364"/>
      <c r="V275" s="364"/>
      <c r="W275" s="364"/>
      <c r="X275" s="364"/>
      <c r="Y275" s="364"/>
      <c r="Z275" s="364"/>
      <c r="AA275" s="364" t="str">
        <f aca="false">IFERROR(__xludf.dummyfunction("""COMPUTED_VALUE"""),"")</f>
        <v/>
      </c>
      <c r="AB275" s="364"/>
    </row>
    <row r="276" customFormat="false" ht="15.75" hidden="false" customHeight="false" outlineLevel="0" collapsed="false">
      <c r="A276" s="364"/>
      <c r="B276" s="364"/>
      <c r="C276" s="261"/>
      <c r="D276" s="261"/>
      <c r="E276" s="261"/>
      <c r="F276" s="364"/>
      <c r="G276" s="261"/>
      <c r="H276" s="261"/>
      <c r="I276" s="364"/>
      <c r="J276" s="364"/>
      <c r="K276" s="364"/>
      <c r="L276" s="364"/>
      <c r="M276" s="364"/>
      <c r="N276" s="364"/>
      <c r="O276" s="364"/>
      <c r="P276" s="364"/>
      <c r="Q276" s="364"/>
      <c r="R276" s="364"/>
      <c r="S276" s="364"/>
      <c r="T276" s="364"/>
      <c r="U276" s="364"/>
      <c r="V276" s="364"/>
      <c r="W276" s="364"/>
      <c r="X276" s="364"/>
      <c r="Y276" s="364"/>
      <c r="Z276" s="364"/>
      <c r="AA276" s="364" t="str">
        <f aca="false">IFERROR(__xludf.dummyfunction("""COMPUTED_VALUE"""),"")</f>
        <v/>
      </c>
      <c r="AB276" s="364"/>
    </row>
    <row r="277" customFormat="false" ht="15.75" hidden="false" customHeight="false" outlineLevel="0" collapsed="false">
      <c r="A277" s="364"/>
      <c r="B277" s="364"/>
      <c r="C277" s="261"/>
      <c r="D277" s="261"/>
      <c r="E277" s="261"/>
      <c r="F277" s="364"/>
      <c r="G277" s="261"/>
      <c r="H277" s="261"/>
      <c r="I277" s="364"/>
      <c r="J277" s="364"/>
      <c r="K277" s="364"/>
      <c r="L277" s="364"/>
      <c r="M277" s="364"/>
      <c r="N277" s="364"/>
      <c r="O277" s="364"/>
      <c r="P277" s="364"/>
      <c r="Q277" s="364"/>
      <c r="R277" s="364"/>
      <c r="S277" s="364"/>
      <c r="T277" s="364"/>
      <c r="U277" s="364"/>
      <c r="V277" s="364"/>
      <c r="W277" s="364"/>
      <c r="X277" s="364"/>
      <c r="Y277" s="364"/>
      <c r="Z277" s="364"/>
      <c r="AA277" s="364" t="str">
        <f aca="false">IFERROR(__xludf.dummyfunction("""COMPUTED_VALUE"""),"")</f>
        <v/>
      </c>
      <c r="AB277" s="364"/>
    </row>
    <row r="278" customFormat="false" ht="15.75" hidden="false" customHeight="false" outlineLevel="0" collapsed="false">
      <c r="A278" s="364"/>
      <c r="B278" s="364"/>
      <c r="C278" s="261"/>
      <c r="D278" s="261"/>
      <c r="E278" s="261"/>
      <c r="F278" s="261"/>
      <c r="G278" s="261"/>
      <c r="H278" s="261"/>
      <c r="I278" s="364"/>
      <c r="J278" s="364"/>
      <c r="K278" s="364"/>
      <c r="L278" s="364"/>
      <c r="M278" s="364"/>
      <c r="N278" s="364"/>
      <c r="O278" s="364"/>
      <c r="P278" s="364"/>
      <c r="Q278" s="364"/>
      <c r="R278" s="364"/>
      <c r="S278" s="364"/>
      <c r="T278" s="364"/>
      <c r="U278" s="364"/>
      <c r="V278" s="364"/>
      <c r="W278" s="364"/>
      <c r="X278" s="364"/>
      <c r="Y278" s="364"/>
      <c r="Z278" s="364"/>
      <c r="AA278" s="364" t="str">
        <f aca="false">IFERROR(__xludf.dummyfunction("""COMPUTED_VALUE"""),"")</f>
        <v/>
      </c>
      <c r="AB278" s="364"/>
    </row>
    <row r="279" customFormat="false" ht="15.75" hidden="false" customHeight="false" outlineLevel="0" collapsed="false">
      <c r="A279" s="364"/>
      <c r="B279" s="364"/>
      <c r="C279" s="261"/>
      <c r="D279" s="261"/>
      <c r="E279" s="261"/>
      <c r="F279" s="364"/>
      <c r="G279" s="261"/>
      <c r="H279" s="261"/>
      <c r="I279" s="364"/>
      <c r="J279" s="364"/>
      <c r="K279" s="364"/>
      <c r="L279" s="364"/>
      <c r="M279" s="364"/>
      <c r="N279" s="364"/>
      <c r="O279" s="364"/>
      <c r="P279" s="364"/>
      <c r="Q279" s="364"/>
      <c r="R279" s="364"/>
      <c r="S279" s="364"/>
      <c r="T279" s="364"/>
      <c r="U279" s="364"/>
      <c r="V279" s="364"/>
      <c r="W279" s="364"/>
      <c r="X279" s="364"/>
      <c r="Y279" s="364"/>
      <c r="Z279" s="364"/>
      <c r="AA279" s="364" t="str">
        <f aca="false">IFERROR(__xludf.dummyfunction("""COMPUTED_VALUE"""),"")</f>
        <v/>
      </c>
      <c r="AB279" s="364"/>
    </row>
    <row r="280" customFormat="false" ht="15.75" hidden="false" customHeight="false" outlineLevel="0" collapsed="false">
      <c r="A280" s="364"/>
      <c r="B280" s="364"/>
      <c r="C280" s="261"/>
      <c r="D280" s="261"/>
      <c r="E280" s="261"/>
      <c r="F280" s="364"/>
      <c r="G280" s="261"/>
      <c r="H280" s="364"/>
      <c r="I280" s="364"/>
      <c r="J280" s="364"/>
      <c r="K280" s="364"/>
      <c r="L280" s="364"/>
      <c r="M280" s="364"/>
      <c r="N280" s="364"/>
      <c r="O280" s="364"/>
      <c r="P280" s="364"/>
      <c r="Q280" s="364"/>
      <c r="R280" s="364"/>
      <c r="S280" s="364"/>
      <c r="T280" s="364"/>
      <c r="U280" s="364"/>
      <c r="V280" s="364"/>
      <c r="W280" s="364"/>
      <c r="X280" s="364"/>
      <c r="Y280" s="364"/>
      <c r="Z280" s="364"/>
      <c r="AA280" s="364" t="str">
        <f aca="false">IFERROR(__xludf.dummyfunction("""COMPUTED_VALUE"""),"")</f>
        <v/>
      </c>
      <c r="AB280" s="364"/>
    </row>
    <row r="281" customFormat="false" ht="15.75" hidden="false" customHeight="false" outlineLevel="0" collapsed="false">
      <c r="A281" s="364"/>
      <c r="B281" s="364"/>
      <c r="C281" s="261"/>
      <c r="D281" s="261"/>
      <c r="E281" s="261"/>
      <c r="F281" s="364"/>
      <c r="G281" s="261"/>
      <c r="H281" s="261"/>
      <c r="I281" s="364"/>
      <c r="J281" s="364"/>
      <c r="K281" s="364"/>
      <c r="L281" s="364"/>
      <c r="M281" s="364"/>
      <c r="N281" s="364"/>
      <c r="O281" s="364"/>
      <c r="P281" s="364"/>
      <c r="Q281" s="364"/>
      <c r="R281" s="364"/>
      <c r="S281" s="364"/>
      <c r="T281" s="364"/>
      <c r="U281" s="364"/>
      <c r="V281" s="364"/>
      <c r="W281" s="364"/>
      <c r="X281" s="364"/>
      <c r="Y281" s="364"/>
      <c r="Z281" s="364"/>
      <c r="AA281" s="364" t="str">
        <f aca="false">IFERROR(__xludf.dummyfunction("""COMPUTED_VALUE"""),"")</f>
        <v/>
      </c>
      <c r="AB281" s="364"/>
    </row>
    <row r="282" customFormat="false" ht="15.75" hidden="false" customHeight="false" outlineLevel="0" collapsed="false">
      <c r="A282" s="364"/>
      <c r="B282" s="364"/>
      <c r="C282" s="261"/>
      <c r="D282" s="261"/>
      <c r="E282" s="261"/>
      <c r="F282" s="364"/>
      <c r="G282" s="261"/>
      <c r="H282" s="261"/>
      <c r="I282" s="364"/>
      <c r="J282" s="364"/>
      <c r="K282" s="364"/>
      <c r="L282" s="364"/>
      <c r="M282" s="364"/>
      <c r="N282" s="364"/>
      <c r="O282" s="364"/>
      <c r="P282" s="364"/>
      <c r="Q282" s="364"/>
      <c r="R282" s="364"/>
      <c r="S282" s="364"/>
      <c r="T282" s="364"/>
      <c r="U282" s="364"/>
      <c r="V282" s="364"/>
      <c r="W282" s="364"/>
      <c r="X282" s="364"/>
      <c r="Y282" s="364"/>
      <c r="Z282" s="364"/>
      <c r="AA282" s="364" t="str">
        <f aca="false">IFERROR(__xludf.dummyfunction("""COMPUTED_VALUE"""),"")</f>
        <v/>
      </c>
      <c r="AB282" s="364"/>
    </row>
    <row r="283" customFormat="false" ht="15.75" hidden="false" customHeight="false" outlineLevel="0" collapsed="false">
      <c r="A283" s="364"/>
      <c r="B283" s="364"/>
      <c r="C283" s="261"/>
      <c r="D283" s="261"/>
      <c r="E283" s="261"/>
      <c r="F283" s="364"/>
      <c r="G283" s="261"/>
      <c r="H283" s="261"/>
      <c r="I283" s="364"/>
      <c r="J283" s="364"/>
      <c r="K283" s="364"/>
      <c r="L283" s="364"/>
      <c r="M283" s="364"/>
      <c r="N283" s="364"/>
      <c r="O283" s="364"/>
      <c r="P283" s="364"/>
      <c r="Q283" s="364"/>
      <c r="R283" s="364"/>
      <c r="S283" s="364"/>
      <c r="T283" s="364"/>
      <c r="U283" s="364"/>
      <c r="V283" s="364"/>
      <c r="W283" s="364"/>
      <c r="X283" s="364"/>
      <c r="Y283" s="364"/>
      <c r="Z283" s="364"/>
      <c r="AA283" s="364" t="str">
        <f aca="false">IFERROR(__xludf.dummyfunction("""COMPUTED_VALUE"""),"")</f>
        <v/>
      </c>
      <c r="AB283" s="364"/>
    </row>
    <row r="284" customFormat="false" ht="15.75" hidden="false" customHeight="false" outlineLevel="0" collapsed="false">
      <c r="A284" s="364"/>
      <c r="B284" s="364"/>
      <c r="C284" s="261"/>
      <c r="D284" s="261"/>
      <c r="E284" s="261"/>
      <c r="F284" s="364"/>
      <c r="G284" s="261"/>
      <c r="H284" s="261"/>
      <c r="I284" s="364"/>
      <c r="J284" s="364"/>
      <c r="K284" s="364"/>
      <c r="L284" s="364"/>
      <c r="M284" s="364"/>
      <c r="N284" s="364"/>
      <c r="O284" s="364"/>
      <c r="P284" s="364"/>
      <c r="Q284" s="364"/>
      <c r="R284" s="364"/>
      <c r="S284" s="364"/>
      <c r="T284" s="364"/>
      <c r="U284" s="364"/>
      <c r="V284" s="364"/>
      <c r="W284" s="364"/>
      <c r="X284" s="364"/>
      <c r="Y284" s="364"/>
      <c r="Z284" s="364"/>
      <c r="AA284" s="364" t="str">
        <f aca="false">IFERROR(__xludf.dummyfunction("""COMPUTED_VALUE"""),"")</f>
        <v/>
      </c>
      <c r="AB284" s="364"/>
    </row>
    <row r="285" customFormat="false" ht="15.75" hidden="false" customHeight="false" outlineLevel="0" collapsed="false">
      <c r="A285" s="364"/>
      <c r="B285" s="364"/>
      <c r="C285" s="261"/>
      <c r="D285" s="261"/>
      <c r="E285" s="261"/>
      <c r="F285" s="364"/>
      <c r="G285" s="261"/>
      <c r="H285" s="261"/>
      <c r="I285" s="364"/>
      <c r="J285" s="364"/>
      <c r="K285" s="364"/>
      <c r="L285" s="364"/>
      <c r="M285" s="364"/>
      <c r="N285" s="364"/>
      <c r="O285" s="364"/>
      <c r="P285" s="364"/>
      <c r="Q285" s="364"/>
      <c r="R285" s="364"/>
      <c r="S285" s="364"/>
      <c r="T285" s="364"/>
      <c r="U285" s="364"/>
      <c r="V285" s="364"/>
      <c r="W285" s="364"/>
      <c r="X285" s="364"/>
      <c r="Y285" s="364"/>
      <c r="Z285" s="364"/>
      <c r="AA285" s="364" t="str">
        <f aca="false">IFERROR(__xludf.dummyfunction("""COMPUTED_VALUE"""),"")</f>
        <v/>
      </c>
      <c r="AB285" s="364"/>
    </row>
    <row r="286" customFormat="false" ht="15.75" hidden="false" customHeight="false" outlineLevel="0" collapsed="false">
      <c r="A286" s="364"/>
      <c r="B286" s="364"/>
      <c r="C286" s="261"/>
      <c r="D286" s="261"/>
      <c r="E286" s="261"/>
      <c r="F286" s="364"/>
      <c r="G286" s="261"/>
      <c r="H286" s="261"/>
      <c r="I286" s="364"/>
      <c r="J286" s="364"/>
      <c r="K286" s="364"/>
      <c r="L286" s="364"/>
      <c r="M286" s="364"/>
      <c r="N286" s="364"/>
      <c r="O286" s="364"/>
      <c r="P286" s="364"/>
      <c r="Q286" s="364"/>
      <c r="R286" s="364"/>
      <c r="S286" s="364"/>
      <c r="T286" s="364"/>
      <c r="U286" s="364"/>
      <c r="V286" s="364"/>
      <c r="W286" s="364"/>
      <c r="X286" s="364"/>
      <c r="Y286" s="364"/>
      <c r="Z286" s="364"/>
      <c r="AA286" s="364" t="str">
        <f aca="false">IFERROR(__xludf.dummyfunction("""COMPUTED_VALUE"""),"")</f>
        <v/>
      </c>
      <c r="AB286" s="364"/>
    </row>
    <row r="287" customFormat="false" ht="15.75" hidden="false" customHeight="false" outlineLevel="0" collapsed="false">
      <c r="A287" s="364"/>
      <c r="B287" s="364"/>
      <c r="C287" s="261"/>
      <c r="D287" s="261"/>
      <c r="E287" s="261"/>
      <c r="F287" s="364"/>
      <c r="G287" s="261"/>
      <c r="H287" s="261"/>
      <c r="I287" s="364"/>
      <c r="J287" s="364"/>
      <c r="K287" s="364"/>
      <c r="L287" s="364"/>
      <c r="M287" s="364"/>
      <c r="N287" s="364"/>
      <c r="O287" s="364"/>
      <c r="P287" s="364"/>
      <c r="Q287" s="364"/>
      <c r="R287" s="364"/>
      <c r="S287" s="364"/>
      <c r="T287" s="364"/>
      <c r="U287" s="364"/>
      <c r="V287" s="364"/>
      <c r="W287" s="364"/>
      <c r="X287" s="364"/>
      <c r="Y287" s="364"/>
      <c r="Z287" s="364"/>
      <c r="AA287" s="364" t="str">
        <f aca="false">IFERROR(__xludf.dummyfunction("""COMPUTED_VALUE"""),"")</f>
        <v/>
      </c>
      <c r="AB287" s="364"/>
    </row>
    <row r="288" customFormat="false" ht="15.75" hidden="false" customHeight="false" outlineLevel="0" collapsed="false">
      <c r="A288" s="364"/>
      <c r="B288" s="364"/>
      <c r="C288" s="261"/>
      <c r="D288" s="261"/>
      <c r="E288" s="261"/>
      <c r="F288" s="364"/>
      <c r="G288" s="261"/>
      <c r="H288" s="261"/>
      <c r="I288" s="364"/>
      <c r="J288" s="364"/>
      <c r="K288" s="364"/>
      <c r="L288" s="364"/>
      <c r="M288" s="364"/>
      <c r="N288" s="364"/>
      <c r="O288" s="364"/>
      <c r="P288" s="364"/>
      <c r="Q288" s="364"/>
      <c r="R288" s="364"/>
      <c r="S288" s="364"/>
      <c r="T288" s="364"/>
      <c r="U288" s="364"/>
      <c r="V288" s="364"/>
      <c r="W288" s="364"/>
      <c r="X288" s="364"/>
      <c r="Y288" s="364"/>
      <c r="Z288" s="364"/>
      <c r="AA288" s="364" t="str">
        <f aca="false">IFERROR(__xludf.dummyfunction("""COMPUTED_VALUE"""),"")</f>
        <v/>
      </c>
      <c r="AB288" s="364"/>
    </row>
    <row r="289" customFormat="false" ht="15.75" hidden="false" customHeight="false" outlineLevel="0" collapsed="false">
      <c r="A289" s="364"/>
      <c r="B289" s="364"/>
      <c r="C289" s="261"/>
      <c r="D289" s="261"/>
      <c r="E289" s="261"/>
      <c r="F289" s="364"/>
      <c r="G289" s="261"/>
      <c r="H289" s="261"/>
      <c r="I289" s="364"/>
      <c r="J289" s="364"/>
      <c r="K289" s="364"/>
      <c r="L289" s="364"/>
      <c r="M289" s="364"/>
      <c r="N289" s="364"/>
      <c r="O289" s="364"/>
      <c r="P289" s="364"/>
      <c r="Q289" s="364"/>
      <c r="R289" s="364"/>
      <c r="S289" s="364"/>
      <c r="T289" s="364"/>
      <c r="U289" s="364"/>
      <c r="V289" s="364"/>
      <c r="W289" s="364"/>
      <c r="X289" s="364"/>
      <c r="Y289" s="364"/>
      <c r="Z289" s="364"/>
      <c r="AA289" s="364" t="str">
        <f aca="false">IFERROR(__xludf.dummyfunction("""COMPUTED_VALUE"""),"")</f>
        <v/>
      </c>
      <c r="AB289" s="364"/>
    </row>
    <row r="290" customFormat="false" ht="15.75" hidden="false" customHeight="false" outlineLevel="0" collapsed="false">
      <c r="A290" s="364"/>
      <c r="B290" s="364"/>
      <c r="C290" s="261"/>
      <c r="D290" s="261"/>
      <c r="E290" s="261"/>
      <c r="F290" s="364"/>
      <c r="G290" s="261"/>
      <c r="H290" s="364"/>
      <c r="I290" s="364"/>
      <c r="J290" s="364"/>
      <c r="K290" s="364"/>
      <c r="L290" s="364"/>
      <c r="M290" s="364"/>
      <c r="N290" s="364"/>
      <c r="O290" s="364"/>
      <c r="P290" s="364"/>
      <c r="Q290" s="364"/>
      <c r="R290" s="364"/>
      <c r="S290" s="364"/>
      <c r="T290" s="364"/>
      <c r="U290" s="364"/>
      <c r="V290" s="364"/>
      <c r="W290" s="364"/>
      <c r="X290" s="364"/>
      <c r="Y290" s="364"/>
      <c r="Z290" s="364"/>
      <c r="AA290" s="364" t="str">
        <f aca="false">IFERROR(__xludf.dummyfunction("""COMPUTED_VALUE"""),"")</f>
        <v/>
      </c>
      <c r="AB290" s="364"/>
    </row>
    <row r="291" customFormat="false" ht="15.75" hidden="false" customHeight="false" outlineLevel="0" collapsed="false">
      <c r="A291" s="364"/>
      <c r="B291" s="364"/>
      <c r="C291" s="261"/>
      <c r="D291" s="261"/>
      <c r="E291" s="261"/>
      <c r="F291" s="364"/>
      <c r="G291" s="261"/>
      <c r="H291" s="261"/>
      <c r="I291" s="364"/>
      <c r="J291" s="364"/>
      <c r="K291" s="364"/>
      <c r="L291" s="364"/>
      <c r="M291" s="364"/>
      <c r="N291" s="364"/>
      <c r="O291" s="364"/>
      <c r="P291" s="364"/>
      <c r="Q291" s="364"/>
      <c r="R291" s="364"/>
      <c r="S291" s="364"/>
      <c r="T291" s="364"/>
      <c r="U291" s="364"/>
      <c r="V291" s="364"/>
      <c r="W291" s="364"/>
      <c r="X291" s="364"/>
      <c r="Y291" s="364"/>
      <c r="Z291" s="364"/>
      <c r="AA291" s="364" t="str">
        <f aca="false">IFERROR(__xludf.dummyfunction("""COMPUTED_VALUE"""),"")</f>
        <v/>
      </c>
      <c r="AB291" s="364"/>
    </row>
    <row r="292" customFormat="false" ht="15.75" hidden="false" customHeight="false" outlineLevel="0" collapsed="false">
      <c r="A292" s="364"/>
      <c r="B292" s="364"/>
      <c r="C292" s="261"/>
      <c r="D292" s="261"/>
      <c r="E292" s="261"/>
      <c r="F292" s="364"/>
      <c r="G292" s="261"/>
      <c r="H292" s="261"/>
      <c r="I292" s="364"/>
      <c r="J292" s="364"/>
      <c r="K292" s="364"/>
      <c r="L292" s="364"/>
      <c r="M292" s="364"/>
      <c r="N292" s="364"/>
      <c r="O292" s="364"/>
      <c r="P292" s="364"/>
      <c r="Q292" s="364"/>
      <c r="R292" s="364"/>
      <c r="S292" s="364"/>
      <c r="T292" s="364"/>
      <c r="U292" s="364"/>
      <c r="V292" s="364"/>
      <c r="W292" s="364"/>
      <c r="X292" s="364"/>
      <c r="Y292" s="364"/>
      <c r="Z292" s="364"/>
      <c r="AA292" s="364" t="str">
        <f aca="false">IFERROR(__xludf.dummyfunction("""COMPUTED_VALUE"""),"")</f>
        <v/>
      </c>
      <c r="AB292" s="364"/>
    </row>
    <row r="293" customFormat="false" ht="15.75" hidden="false" customHeight="false" outlineLevel="0" collapsed="false">
      <c r="A293" s="364"/>
      <c r="B293" s="364"/>
      <c r="C293" s="261"/>
      <c r="D293" s="261"/>
      <c r="E293" s="261"/>
      <c r="F293" s="364"/>
      <c r="G293" s="261"/>
      <c r="H293" s="261"/>
      <c r="I293" s="364"/>
      <c r="J293" s="364"/>
      <c r="K293" s="364"/>
      <c r="L293" s="364"/>
      <c r="M293" s="364"/>
      <c r="N293" s="364"/>
      <c r="O293" s="364"/>
      <c r="P293" s="364"/>
      <c r="Q293" s="364"/>
      <c r="R293" s="364"/>
      <c r="S293" s="364"/>
      <c r="T293" s="364"/>
      <c r="U293" s="364"/>
      <c r="V293" s="364"/>
      <c r="W293" s="364"/>
      <c r="X293" s="364"/>
      <c r="Y293" s="364"/>
      <c r="Z293" s="364"/>
      <c r="AA293" s="364" t="str">
        <f aca="false">IFERROR(__xludf.dummyfunction("""COMPUTED_VALUE"""),"")</f>
        <v/>
      </c>
      <c r="AB293" s="364"/>
    </row>
    <row r="294" customFormat="false" ht="15.75" hidden="false" customHeight="false" outlineLevel="0" collapsed="false">
      <c r="A294" s="364"/>
      <c r="B294" s="364"/>
      <c r="C294" s="261"/>
      <c r="D294" s="261"/>
      <c r="E294" s="261"/>
      <c r="F294" s="364"/>
      <c r="G294" s="261"/>
      <c r="H294" s="261"/>
      <c r="I294" s="364"/>
      <c r="J294" s="364"/>
      <c r="K294" s="364"/>
      <c r="L294" s="364"/>
      <c r="M294" s="364"/>
      <c r="N294" s="364"/>
      <c r="O294" s="364"/>
      <c r="P294" s="364"/>
      <c r="Q294" s="364"/>
      <c r="R294" s="364"/>
      <c r="S294" s="364"/>
      <c r="T294" s="364"/>
      <c r="U294" s="364"/>
      <c r="V294" s="364"/>
      <c r="W294" s="364"/>
      <c r="X294" s="364"/>
      <c r="Y294" s="364"/>
      <c r="Z294" s="364"/>
      <c r="AA294" s="364" t="str">
        <f aca="false">IFERROR(__xludf.dummyfunction("""COMPUTED_VALUE"""),"")</f>
        <v/>
      </c>
      <c r="AB294" s="364"/>
    </row>
    <row r="295" customFormat="false" ht="15.75" hidden="false" customHeight="false" outlineLevel="0" collapsed="false">
      <c r="A295" s="364"/>
      <c r="B295" s="364"/>
      <c r="C295" s="261"/>
      <c r="D295" s="261"/>
      <c r="E295" s="261"/>
      <c r="F295" s="261"/>
      <c r="G295" s="261"/>
      <c r="H295" s="261"/>
      <c r="I295" s="364"/>
      <c r="J295" s="364"/>
      <c r="K295" s="364"/>
      <c r="L295" s="364"/>
      <c r="M295" s="364"/>
      <c r="N295" s="364"/>
      <c r="O295" s="364"/>
      <c r="P295" s="364"/>
      <c r="Q295" s="364"/>
      <c r="R295" s="364"/>
      <c r="S295" s="364"/>
      <c r="T295" s="364"/>
      <c r="U295" s="364"/>
      <c r="V295" s="364"/>
      <c r="W295" s="364"/>
      <c r="X295" s="364"/>
      <c r="Y295" s="364"/>
      <c r="Z295" s="364"/>
      <c r="AA295" s="364" t="str">
        <f aca="false">IFERROR(__xludf.dummyfunction("""COMPUTED_VALUE"""),"")</f>
        <v/>
      </c>
      <c r="AB295" s="364"/>
    </row>
    <row r="296" customFormat="false" ht="15.75" hidden="false" customHeight="false" outlineLevel="0" collapsed="false">
      <c r="A296" s="364"/>
      <c r="B296" s="364"/>
      <c r="C296" s="261"/>
      <c r="D296" s="261"/>
      <c r="E296" s="261"/>
      <c r="F296" s="364"/>
      <c r="G296" s="261"/>
      <c r="H296" s="261"/>
      <c r="I296" s="364"/>
      <c r="J296" s="364"/>
      <c r="K296" s="364"/>
      <c r="L296" s="364"/>
      <c r="M296" s="364"/>
      <c r="N296" s="364"/>
      <c r="O296" s="364"/>
      <c r="P296" s="364"/>
      <c r="Q296" s="364"/>
      <c r="R296" s="364"/>
      <c r="S296" s="364"/>
      <c r="T296" s="364"/>
      <c r="U296" s="364"/>
      <c r="V296" s="364"/>
      <c r="W296" s="364"/>
      <c r="X296" s="364"/>
      <c r="Y296" s="364"/>
      <c r="Z296" s="364"/>
      <c r="AA296" s="364" t="str">
        <f aca="false">IFERROR(__xludf.dummyfunction("""COMPUTED_VALUE"""),"")</f>
        <v/>
      </c>
      <c r="AB296" s="364"/>
    </row>
    <row r="297" customFormat="false" ht="15.75" hidden="false" customHeight="false" outlineLevel="0" collapsed="false">
      <c r="A297" s="364"/>
      <c r="B297" s="364"/>
      <c r="C297" s="261"/>
      <c r="D297" s="261"/>
      <c r="E297" s="261"/>
      <c r="F297" s="364"/>
      <c r="G297" s="364"/>
      <c r="H297" s="261"/>
      <c r="I297" s="364"/>
      <c r="J297" s="364"/>
      <c r="K297" s="364"/>
      <c r="L297" s="364"/>
      <c r="M297" s="364"/>
      <c r="N297" s="364"/>
      <c r="O297" s="364"/>
      <c r="P297" s="364"/>
      <c r="Q297" s="364"/>
      <c r="R297" s="364"/>
      <c r="S297" s="364"/>
      <c r="T297" s="364"/>
      <c r="U297" s="364"/>
      <c r="V297" s="364"/>
      <c r="W297" s="364"/>
      <c r="X297" s="364"/>
      <c r="Y297" s="364"/>
      <c r="Z297" s="364"/>
      <c r="AA297" s="364" t="str">
        <f aca="false">IFERROR(__xludf.dummyfunction("""COMPUTED_VALUE"""),"")</f>
        <v/>
      </c>
      <c r="AB297" s="364"/>
    </row>
    <row r="298" customFormat="false" ht="15.75" hidden="false" customHeight="false" outlineLevel="0" collapsed="false">
      <c r="A298" s="364"/>
      <c r="B298" s="364"/>
      <c r="C298" s="261"/>
      <c r="D298" s="261"/>
      <c r="E298" s="261"/>
      <c r="F298" s="261"/>
      <c r="G298" s="261"/>
      <c r="H298" s="261"/>
      <c r="I298" s="364"/>
      <c r="J298" s="364"/>
      <c r="K298" s="364"/>
      <c r="L298" s="364"/>
      <c r="M298" s="364"/>
      <c r="N298" s="364"/>
      <c r="O298" s="364"/>
      <c r="P298" s="364"/>
      <c r="Q298" s="364"/>
      <c r="R298" s="364"/>
      <c r="S298" s="364"/>
      <c r="T298" s="364"/>
      <c r="U298" s="364"/>
      <c r="V298" s="364"/>
      <c r="W298" s="364"/>
      <c r="X298" s="364"/>
      <c r="Y298" s="364"/>
      <c r="Z298" s="364"/>
      <c r="AA298" s="364" t="str">
        <f aca="false">IFERROR(__xludf.dummyfunction("""COMPUTED_VALUE"""),"")</f>
        <v/>
      </c>
      <c r="AB298" s="364"/>
    </row>
    <row r="299" customFormat="false" ht="15.75" hidden="false" customHeight="false" outlineLevel="0" collapsed="false">
      <c r="A299" s="364"/>
      <c r="B299" s="364"/>
      <c r="C299" s="261"/>
      <c r="D299" s="261"/>
      <c r="E299" s="261"/>
      <c r="F299" s="364"/>
      <c r="G299" s="261"/>
      <c r="H299" s="261"/>
      <c r="I299" s="364"/>
      <c r="J299" s="364"/>
      <c r="K299" s="364"/>
      <c r="L299" s="364"/>
      <c r="M299" s="364"/>
      <c r="N299" s="364"/>
      <c r="O299" s="364"/>
      <c r="P299" s="364"/>
      <c r="Q299" s="364"/>
      <c r="R299" s="364"/>
      <c r="S299" s="364"/>
      <c r="T299" s="364"/>
      <c r="U299" s="364"/>
      <c r="V299" s="364"/>
      <c r="W299" s="364"/>
      <c r="X299" s="364"/>
      <c r="Y299" s="364"/>
      <c r="Z299" s="364"/>
      <c r="AA299" s="364" t="str">
        <f aca="false">IFERROR(__xludf.dummyfunction("""COMPUTED_VALUE"""),"")</f>
        <v/>
      </c>
      <c r="AB299" s="364"/>
    </row>
    <row r="300" customFormat="false" ht="15.75" hidden="false" customHeight="false" outlineLevel="0" collapsed="false">
      <c r="A300" s="364"/>
      <c r="B300" s="364"/>
      <c r="C300" s="261"/>
      <c r="D300" s="261"/>
      <c r="E300" s="261"/>
      <c r="F300" s="364"/>
      <c r="G300" s="261"/>
      <c r="H300" s="261"/>
      <c r="I300" s="364"/>
      <c r="J300" s="364"/>
      <c r="K300" s="364"/>
      <c r="L300" s="364"/>
      <c r="M300" s="364"/>
      <c r="N300" s="364"/>
      <c r="O300" s="364"/>
      <c r="P300" s="364"/>
      <c r="Q300" s="364"/>
      <c r="R300" s="364"/>
      <c r="S300" s="364"/>
      <c r="T300" s="364"/>
      <c r="U300" s="364"/>
      <c r="V300" s="364"/>
      <c r="W300" s="364"/>
      <c r="X300" s="364"/>
      <c r="Y300" s="364"/>
      <c r="Z300" s="364"/>
      <c r="AA300" s="364" t="str">
        <f aca="false">IFERROR(__xludf.dummyfunction("""COMPUTED_VALUE"""),"")</f>
        <v/>
      </c>
      <c r="AB300" s="364"/>
    </row>
    <row r="301" customFormat="false" ht="15.75" hidden="false" customHeight="false" outlineLevel="0" collapsed="false">
      <c r="A301" s="364"/>
      <c r="B301" s="364"/>
      <c r="C301" s="261"/>
      <c r="D301" s="261"/>
      <c r="E301" s="261"/>
      <c r="F301" s="364"/>
      <c r="G301" s="261"/>
      <c r="H301" s="261"/>
      <c r="I301" s="364"/>
      <c r="J301" s="364"/>
      <c r="K301" s="364"/>
      <c r="L301" s="364"/>
      <c r="M301" s="364"/>
      <c r="N301" s="364"/>
      <c r="O301" s="364"/>
      <c r="P301" s="364"/>
      <c r="Q301" s="364"/>
      <c r="R301" s="364"/>
      <c r="S301" s="364"/>
      <c r="T301" s="364"/>
      <c r="U301" s="364"/>
      <c r="V301" s="364"/>
      <c r="W301" s="364"/>
      <c r="X301" s="364"/>
      <c r="Y301" s="364"/>
      <c r="Z301" s="364"/>
      <c r="AA301" s="364" t="str">
        <f aca="false">IFERROR(__xludf.dummyfunction("""COMPUTED_VALUE"""),"")</f>
        <v/>
      </c>
      <c r="AB301" s="364"/>
    </row>
    <row r="302" customFormat="false" ht="15.75" hidden="false" customHeight="false" outlineLevel="0" collapsed="false">
      <c r="A302" s="364"/>
      <c r="B302" s="364"/>
      <c r="C302" s="261"/>
      <c r="D302" s="261"/>
      <c r="E302" s="261"/>
      <c r="F302" s="261"/>
      <c r="G302" s="261"/>
      <c r="H302" s="261"/>
      <c r="I302" s="364"/>
      <c r="J302" s="364"/>
      <c r="K302" s="364"/>
      <c r="L302" s="364"/>
      <c r="M302" s="364"/>
      <c r="N302" s="364"/>
      <c r="O302" s="364"/>
      <c r="P302" s="364"/>
      <c r="Q302" s="364"/>
      <c r="R302" s="364"/>
      <c r="S302" s="364"/>
      <c r="T302" s="364"/>
      <c r="U302" s="364"/>
      <c r="V302" s="364"/>
      <c r="W302" s="364"/>
      <c r="X302" s="364"/>
      <c r="Y302" s="364"/>
      <c r="Z302" s="364"/>
      <c r="AA302" s="364" t="str">
        <f aca="false">IFERROR(__xludf.dummyfunction("""COMPUTED_VALUE"""),"")</f>
        <v/>
      </c>
      <c r="AB302" s="364"/>
    </row>
    <row r="303" customFormat="false" ht="15.75" hidden="false" customHeight="false" outlineLevel="0" collapsed="false">
      <c r="A303" s="364"/>
      <c r="B303" s="364"/>
      <c r="C303" s="261"/>
      <c r="D303" s="261"/>
      <c r="E303" s="261"/>
      <c r="F303" s="364"/>
      <c r="G303" s="261"/>
      <c r="H303" s="261"/>
      <c r="I303" s="364"/>
      <c r="J303" s="364"/>
      <c r="K303" s="364"/>
      <c r="L303" s="364"/>
      <c r="M303" s="364"/>
      <c r="N303" s="364"/>
      <c r="O303" s="364"/>
      <c r="P303" s="364"/>
      <c r="Q303" s="364"/>
      <c r="R303" s="364"/>
      <c r="S303" s="364"/>
      <c r="T303" s="364"/>
      <c r="U303" s="364"/>
      <c r="V303" s="364"/>
      <c r="W303" s="364"/>
      <c r="X303" s="364"/>
      <c r="Y303" s="364"/>
      <c r="Z303" s="364"/>
      <c r="AA303" s="364" t="str">
        <f aca="false">IFERROR(__xludf.dummyfunction("""COMPUTED_VALUE"""),"")</f>
        <v/>
      </c>
      <c r="AB303" s="364"/>
    </row>
    <row r="304" customFormat="false" ht="15.75" hidden="false" customHeight="false" outlineLevel="0" collapsed="false">
      <c r="A304" s="364"/>
      <c r="B304" s="364"/>
      <c r="C304" s="261"/>
      <c r="D304" s="261"/>
      <c r="E304" s="261"/>
      <c r="F304" s="364"/>
      <c r="G304" s="261"/>
      <c r="H304" s="261"/>
      <c r="I304" s="364"/>
      <c r="J304" s="364"/>
      <c r="K304" s="364"/>
      <c r="L304" s="364"/>
      <c r="M304" s="364"/>
      <c r="N304" s="364"/>
      <c r="O304" s="364"/>
      <c r="P304" s="364"/>
      <c r="Q304" s="364"/>
      <c r="R304" s="364"/>
      <c r="S304" s="364"/>
      <c r="T304" s="364"/>
      <c r="U304" s="364"/>
      <c r="V304" s="364"/>
      <c r="W304" s="364"/>
      <c r="X304" s="364"/>
      <c r="Y304" s="364"/>
      <c r="Z304" s="364"/>
      <c r="AA304" s="364" t="str">
        <f aca="false">IFERROR(__xludf.dummyfunction("""COMPUTED_VALUE"""),"")</f>
        <v/>
      </c>
      <c r="AB304" s="364"/>
    </row>
    <row r="305" customFormat="false" ht="15.75" hidden="false" customHeight="false" outlineLevel="0" collapsed="false">
      <c r="A305" s="364"/>
      <c r="B305" s="364"/>
      <c r="C305" s="261"/>
      <c r="D305" s="261"/>
      <c r="E305" s="261"/>
      <c r="F305" s="364"/>
      <c r="G305" s="261"/>
      <c r="H305" s="261"/>
      <c r="I305" s="364"/>
      <c r="J305" s="364"/>
      <c r="K305" s="364"/>
      <c r="L305" s="364"/>
      <c r="M305" s="364"/>
      <c r="N305" s="364"/>
      <c r="O305" s="364"/>
      <c r="P305" s="364"/>
      <c r="Q305" s="364"/>
      <c r="R305" s="364"/>
      <c r="S305" s="364"/>
      <c r="T305" s="364"/>
      <c r="U305" s="364"/>
      <c r="V305" s="364"/>
      <c r="W305" s="364"/>
      <c r="X305" s="364"/>
      <c r="Y305" s="364"/>
      <c r="Z305" s="364"/>
      <c r="AA305" s="364" t="str">
        <f aca="false">IFERROR(__xludf.dummyfunction("""COMPUTED_VALUE"""),"")</f>
        <v/>
      </c>
      <c r="AB305" s="364"/>
    </row>
    <row r="306" customFormat="false" ht="15.75" hidden="false" customHeight="false" outlineLevel="0" collapsed="false">
      <c r="A306" s="364"/>
      <c r="B306" s="364"/>
      <c r="C306" s="261"/>
      <c r="D306" s="261"/>
      <c r="E306" s="261"/>
      <c r="F306" s="261"/>
      <c r="G306" s="261"/>
      <c r="H306" s="261"/>
      <c r="I306" s="364"/>
      <c r="J306" s="364"/>
      <c r="K306" s="364"/>
      <c r="L306" s="364"/>
      <c r="M306" s="364"/>
      <c r="N306" s="364"/>
      <c r="O306" s="364"/>
      <c r="P306" s="364"/>
      <c r="Q306" s="364"/>
      <c r="R306" s="364"/>
      <c r="S306" s="364"/>
      <c r="T306" s="364"/>
      <c r="U306" s="364"/>
      <c r="V306" s="364"/>
      <c r="W306" s="364"/>
      <c r="X306" s="364"/>
      <c r="Y306" s="364"/>
      <c r="Z306" s="364"/>
      <c r="AA306" s="364" t="str">
        <f aca="false">IFERROR(__xludf.dummyfunction("""COMPUTED_VALUE"""),"")</f>
        <v/>
      </c>
      <c r="AB306" s="364"/>
    </row>
    <row r="307" customFormat="false" ht="15.75" hidden="false" customHeight="false" outlineLevel="0" collapsed="false">
      <c r="A307" s="364"/>
      <c r="B307" s="364"/>
      <c r="C307" s="261"/>
      <c r="D307" s="261"/>
      <c r="E307" s="261"/>
      <c r="F307" s="364"/>
      <c r="G307" s="364"/>
      <c r="H307" s="261"/>
      <c r="I307" s="364"/>
      <c r="J307" s="364"/>
      <c r="K307" s="364"/>
      <c r="L307" s="364"/>
      <c r="M307" s="364"/>
      <c r="N307" s="364"/>
      <c r="O307" s="364"/>
      <c r="P307" s="364"/>
      <c r="Q307" s="364"/>
      <c r="R307" s="364"/>
      <c r="S307" s="364"/>
      <c r="T307" s="364"/>
      <c r="U307" s="364"/>
      <c r="V307" s="364"/>
      <c r="W307" s="364"/>
      <c r="X307" s="364"/>
      <c r="Y307" s="364"/>
      <c r="Z307" s="364"/>
      <c r="AA307" s="364" t="str">
        <f aca="false">IFERROR(__xludf.dummyfunction("""COMPUTED_VALUE"""),"")</f>
        <v/>
      </c>
      <c r="AB307" s="364"/>
    </row>
    <row r="308" customFormat="false" ht="15.75" hidden="false" customHeight="false" outlineLevel="0" collapsed="false">
      <c r="A308" s="364"/>
      <c r="B308" s="364"/>
      <c r="C308" s="261"/>
      <c r="D308" s="261"/>
      <c r="E308" s="261"/>
      <c r="F308" s="364"/>
      <c r="G308" s="261"/>
      <c r="H308" s="261"/>
      <c r="I308" s="364"/>
      <c r="J308" s="364"/>
      <c r="K308" s="364"/>
      <c r="L308" s="364"/>
      <c r="M308" s="364"/>
      <c r="N308" s="364"/>
      <c r="O308" s="364"/>
      <c r="P308" s="364"/>
      <c r="Q308" s="364"/>
      <c r="R308" s="364"/>
      <c r="S308" s="364"/>
      <c r="T308" s="364"/>
      <c r="U308" s="364"/>
      <c r="V308" s="364"/>
      <c r="W308" s="364"/>
      <c r="X308" s="364"/>
      <c r="Y308" s="364"/>
      <c r="Z308" s="364"/>
      <c r="AA308" s="364" t="str">
        <f aca="false">IFERROR(__xludf.dummyfunction("""COMPUTED_VALUE"""),"")</f>
        <v/>
      </c>
      <c r="AB308" s="364"/>
    </row>
    <row r="309" customFormat="false" ht="15.75" hidden="false" customHeight="false" outlineLevel="0" collapsed="false">
      <c r="A309" s="364"/>
      <c r="B309" s="364"/>
      <c r="C309" s="261"/>
      <c r="D309" s="261"/>
      <c r="E309" s="261"/>
      <c r="F309" s="364"/>
      <c r="G309" s="261"/>
      <c r="H309" s="364"/>
      <c r="I309" s="364"/>
      <c r="J309" s="364"/>
      <c r="K309" s="364"/>
      <c r="L309" s="364"/>
      <c r="M309" s="364"/>
      <c r="N309" s="364"/>
      <c r="O309" s="364"/>
      <c r="P309" s="364"/>
      <c r="Q309" s="364"/>
      <c r="R309" s="364"/>
      <c r="S309" s="364"/>
      <c r="T309" s="364"/>
      <c r="U309" s="364"/>
      <c r="V309" s="364"/>
      <c r="W309" s="364"/>
      <c r="X309" s="364"/>
      <c r="Y309" s="364"/>
      <c r="Z309" s="364"/>
      <c r="AA309" s="364" t="str">
        <f aca="false">IFERROR(__xludf.dummyfunction("""COMPUTED_VALUE"""),"")</f>
        <v/>
      </c>
      <c r="AB309" s="364"/>
    </row>
    <row r="310" customFormat="false" ht="15.75" hidden="false" customHeight="false" outlineLevel="0" collapsed="false">
      <c r="A310" s="364"/>
      <c r="B310" s="364"/>
      <c r="C310" s="261"/>
      <c r="D310" s="261"/>
      <c r="E310" s="261"/>
      <c r="F310" s="364"/>
      <c r="G310" s="261"/>
      <c r="H310" s="261"/>
      <c r="I310" s="364"/>
      <c r="J310" s="364"/>
      <c r="K310" s="364"/>
      <c r="L310" s="364"/>
      <c r="M310" s="364"/>
      <c r="N310" s="364"/>
      <c r="O310" s="364"/>
      <c r="P310" s="364"/>
      <c r="Q310" s="364"/>
      <c r="R310" s="364"/>
      <c r="S310" s="364"/>
      <c r="T310" s="364"/>
      <c r="U310" s="364"/>
      <c r="V310" s="364"/>
      <c r="W310" s="364"/>
      <c r="X310" s="364"/>
      <c r="Y310" s="364"/>
      <c r="Z310" s="364"/>
      <c r="AA310" s="364" t="str">
        <f aca="false">IFERROR(__xludf.dummyfunction("""COMPUTED_VALUE"""),"")</f>
        <v/>
      </c>
      <c r="AB310" s="364"/>
    </row>
    <row r="311" customFormat="false" ht="15.75" hidden="false" customHeight="false" outlineLevel="0" collapsed="false">
      <c r="A311" s="364"/>
      <c r="B311" s="364"/>
      <c r="C311" s="261"/>
      <c r="D311" s="261"/>
      <c r="E311" s="261"/>
      <c r="F311" s="364"/>
      <c r="G311" s="261"/>
      <c r="H311" s="261"/>
      <c r="I311" s="364"/>
      <c r="J311" s="364"/>
      <c r="K311" s="364"/>
      <c r="L311" s="364"/>
      <c r="M311" s="364"/>
      <c r="N311" s="364"/>
      <c r="O311" s="364"/>
      <c r="P311" s="364"/>
      <c r="Q311" s="364"/>
      <c r="R311" s="364"/>
      <c r="S311" s="364"/>
      <c r="T311" s="364"/>
      <c r="U311" s="364"/>
      <c r="V311" s="364"/>
      <c r="W311" s="364"/>
      <c r="X311" s="364"/>
      <c r="Y311" s="364"/>
      <c r="Z311" s="364"/>
      <c r="AA311" s="364" t="str">
        <f aca="false">IFERROR(__xludf.dummyfunction("""COMPUTED_VALUE"""),"")</f>
        <v/>
      </c>
      <c r="AB311" s="364"/>
    </row>
    <row r="312" customFormat="false" ht="15.75" hidden="false" customHeight="false" outlineLevel="0" collapsed="false">
      <c r="A312" s="364"/>
      <c r="B312" s="364"/>
      <c r="C312" s="261"/>
      <c r="D312" s="261"/>
      <c r="E312" s="261"/>
      <c r="F312" s="364"/>
      <c r="G312" s="364"/>
      <c r="H312" s="261"/>
      <c r="I312" s="364"/>
      <c r="J312" s="364"/>
      <c r="K312" s="364"/>
      <c r="L312" s="364"/>
      <c r="M312" s="364"/>
      <c r="N312" s="364"/>
      <c r="O312" s="364"/>
      <c r="P312" s="364"/>
      <c r="Q312" s="364"/>
      <c r="R312" s="364"/>
      <c r="S312" s="364"/>
      <c r="T312" s="364"/>
      <c r="U312" s="364"/>
      <c r="V312" s="364"/>
      <c r="W312" s="364"/>
      <c r="X312" s="364"/>
      <c r="Y312" s="364"/>
      <c r="Z312" s="364"/>
      <c r="AA312" s="364" t="str">
        <f aca="false">IFERROR(__xludf.dummyfunction("""COMPUTED_VALUE"""),"")</f>
        <v/>
      </c>
      <c r="AB312" s="364"/>
    </row>
    <row r="313" customFormat="false" ht="15.75" hidden="false" customHeight="false" outlineLevel="0" collapsed="false">
      <c r="A313" s="364"/>
      <c r="B313" s="364"/>
      <c r="C313" s="261"/>
      <c r="D313" s="261"/>
      <c r="E313" s="261"/>
      <c r="F313" s="364"/>
      <c r="G313" s="261"/>
      <c r="H313" s="261"/>
      <c r="I313" s="364"/>
      <c r="J313" s="364"/>
      <c r="K313" s="364"/>
      <c r="L313" s="364"/>
      <c r="M313" s="364"/>
      <c r="N313" s="364"/>
      <c r="O313" s="364"/>
      <c r="P313" s="364"/>
      <c r="Q313" s="364"/>
      <c r="R313" s="364"/>
      <c r="S313" s="364"/>
      <c r="T313" s="364"/>
      <c r="U313" s="364"/>
      <c r="V313" s="364"/>
      <c r="W313" s="364"/>
      <c r="X313" s="364"/>
      <c r="Y313" s="364"/>
      <c r="Z313" s="364"/>
      <c r="AA313" s="364" t="str">
        <f aca="false">IFERROR(__xludf.dummyfunction("""COMPUTED_VALUE"""),"")</f>
        <v/>
      </c>
      <c r="AB313" s="364"/>
    </row>
    <row r="314" customFormat="false" ht="15.75" hidden="false" customHeight="false" outlineLevel="0" collapsed="false">
      <c r="A314" s="364"/>
      <c r="B314" s="364"/>
      <c r="C314" s="261"/>
      <c r="D314" s="261"/>
      <c r="E314" s="261"/>
      <c r="F314" s="364"/>
      <c r="G314" s="261"/>
      <c r="H314" s="261"/>
      <c r="I314" s="364"/>
      <c r="J314" s="364"/>
      <c r="K314" s="364"/>
      <c r="L314" s="364"/>
      <c r="M314" s="364"/>
      <c r="N314" s="364"/>
      <c r="O314" s="364"/>
      <c r="P314" s="364"/>
      <c r="Q314" s="364"/>
      <c r="R314" s="364"/>
      <c r="S314" s="364"/>
      <c r="T314" s="364"/>
      <c r="U314" s="364"/>
      <c r="V314" s="364"/>
      <c r="W314" s="364"/>
      <c r="X314" s="364"/>
      <c r="Y314" s="364"/>
      <c r="Z314" s="364"/>
      <c r="AA314" s="364" t="str">
        <f aca="false">IFERROR(__xludf.dummyfunction("""COMPUTED_VALUE"""),"")</f>
        <v/>
      </c>
      <c r="AB314" s="364"/>
    </row>
    <row r="315" customFormat="false" ht="15.75" hidden="false" customHeight="false" outlineLevel="0" collapsed="false">
      <c r="A315" s="364"/>
      <c r="B315" s="364"/>
      <c r="C315" s="261"/>
      <c r="D315" s="261"/>
      <c r="E315" s="261"/>
      <c r="F315" s="261"/>
      <c r="G315" s="261"/>
      <c r="H315" s="261"/>
      <c r="I315" s="364"/>
      <c r="J315" s="364"/>
      <c r="K315" s="364"/>
      <c r="L315" s="364"/>
      <c r="M315" s="364"/>
      <c r="N315" s="364"/>
      <c r="O315" s="364"/>
      <c r="P315" s="364"/>
      <c r="Q315" s="364"/>
      <c r="R315" s="364"/>
      <c r="S315" s="364"/>
      <c r="T315" s="364"/>
      <c r="U315" s="364"/>
      <c r="V315" s="364"/>
      <c r="W315" s="364"/>
      <c r="X315" s="364"/>
      <c r="Y315" s="364"/>
      <c r="Z315" s="364"/>
      <c r="AA315" s="364" t="str">
        <f aca="false">IFERROR(__xludf.dummyfunction("""COMPUTED_VALUE"""),"")</f>
        <v/>
      </c>
      <c r="AB315" s="364"/>
    </row>
    <row r="316" customFormat="false" ht="15.75" hidden="false" customHeight="false" outlineLevel="0" collapsed="false">
      <c r="A316" s="364"/>
      <c r="B316" s="364"/>
      <c r="C316" s="261"/>
      <c r="D316" s="261"/>
      <c r="E316" s="261"/>
      <c r="F316" s="364"/>
      <c r="G316" s="261"/>
      <c r="H316" s="364"/>
      <c r="I316" s="364"/>
      <c r="J316" s="364"/>
      <c r="K316" s="364"/>
      <c r="L316" s="364"/>
      <c r="M316" s="364"/>
      <c r="N316" s="364"/>
      <c r="O316" s="364"/>
      <c r="P316" s="364"/>
      <c r="Q316" s="364"/>
      <c r="R316" s="364"/>
      <c r="S316" s="364"/>
      <c r="T316" s="364"/>
      <c r="U316" s="364"/>
      <c r="V316" s="364"/>
      <c r="W316" s="364"/>
      <c r="X316" s="364"/>
      <c r="Y316" s="364"/>
      <c r="Z316" s="364"/>
      <c r="AA316" s="364" t="str">
        <f aca="false">IFERROR(__xludf.dummyfunction("""COMPUTED_VALUE"""),"")</f>
        <v/>
      </c>
      <c r="AB316" s="364"/>
    </row>
    <row r="317" customFormat="false" ht="15.75" hidden="false" customHeight="false" outlineLevel="0" collapsed="false">
      <c r="A317" s="364"/>
      <c r="B317" s="364"/>
      <c r="C317" s="261"/>
      <c r="D317" s="261"/>
      <c r="E317" s="261"/>
      <c r="F317" s="261"/>
      <c r="G317" s="261"/>
      <c r="H317" s="261"/>
      <c r="I317" s="364"/>
      <c r="J317" s="364"/>
      <c r="K317" s="364"/>
      <c r="L317" s="364"/>
      <c r="M317" s="364"/>
      <c r="N317" s="364"/>
      <c r="O317" s="364"/>
      <c r="P317" s="364"/>
      <c r="Q317" s="364"/>
      <c r="R317" s="364"/>
      <c r="S317" s="364"/>
      <c r="T317" s="364"/>
      <c r="U317" s="364"/>
      <c r="V317" s="364"/>
      <c r="W317" s="364"/>
      <c r="X317" s="364"/>
      <c r="Y317" s="364"/>
      <c r="Z317" s="364"/>
      <c r="AA317" s="364" t="str">
        <f aca="false">IFERROR(__xludf.dummyfunction("""COMPUTED_VALUE"""),"")</f>
        <v/>
      </c>
      <c r="AB317" s="364"/>
    </row>
    <row r="318" customFormat="false" ht="15.75" hidden="false" customHeight="false" outlineLevel="0" collapsed="false">
      <c r="A318" s="364"/>
      <c r="B318" s="364"/>
      <c r="C318" s="261"/>
      <c r="D318" s="261"/>
      <c r="E318" s="261"/>
      <c r="F318" s="364"/>
      <c r="G318" s="261"/>
      <c r="H318" s="261"/>
      <c r="I318" s="364"/>
      <c r="J318" s="364"/>
      <c r="K318" s="364"/>
      <c r="L318" s="364"/>
      <c r="M318" s="364"/>
      <c r="N318" s="364"/>
      <c r="O318" s="364"/>
      <c r="P318" s="364"/>
      <c r="Q318" s="364"/>
      <c r="R318" s="364"/>
      <c r="S318" s="364"/>
      <c r="T318" s="364"/>
      <c r="U318" s="364"/>
      <c r="V318" s="364"/>
      <c r="W318" s="364"/>
      <c r="X318" s="364"/>
      <c r="Y318" s="364"/>
      <c r="Z318" s="364"/>
      <c r="AA318" s="364" t="str">
        <f aca="false">IFERROR(__xludf.dummyfunction("""COMPUTED_VALUE"""),"")</f>
        <v/>
      </c>
      <c r="AB318" s="364"/>
    </row>
    <row r="319" customFormat="false" ht="15.75" hidden="false" customHeight="false" outlineLevel="0" collapsed="false">
      <c r="A319" s="364"/>
      <c r="B319" s="364"/>
      <c r="C319" s="261"/>
      <c r="D319" s="261"/>
      <c r="E319" s="261"/>
      <c r="F319" s="364"/>
      <c r="G319" s="261"/>
      <c r="H319" s="261"/>
      <c r="I319" s="364"/>
      <c r="J319" s="364"/>
      <c r="K319" s="364"/>
      <c r="L319" s="364"/>
      <c r="M319" s="364"/>
      <c r="N319" s="364"/>
      <c r="O319" s="364"/>
      <c r="P319" s="364"/>
      <c r="Q319" s="364"/>
      <c r="R319" s="364"/>
      <c r="S319" s="364"/>
      <c r="T319" s="364"/>
      <c r="U319" s="364"/>
      <c r="V319" s="364"/>
      <c r="W319" s="364"/>
      <c r="X319" s="364"/>
      <c r="Y319" s="364"/>
      <c r="Z319" s="364"/>
      <c r="AA319" s="364" t="str">
        <f aca="false">IFERROR(__xludf.dummyfunction("""COMPUTED_VALUE"""),"")</f>
        <v/>
      </c>
      <c r="AB319" s="364"/>
    </row>
    <row r="320" customFormat="false" ht="15.75" hidden="false" customHeight="false" outlineLevel="0" collapsed="false">
      <c r="A320" s="364"/>
      <c r="B320" s="364"/>
      <c r="C320" s="261"/>
      <c r="D320" s="261"/>
      <c r="E320" s="261"/>
      <c r="F320" s="364"/>
      <c r="G320" s="261"/>
      <c r="H320" s="261"/>
      <c r="I320" s="364"/>
      <c r="J320" s="364"/>
      <c r="K320" s="364"/>
      <c r="L320" s="364"/>
      <c r="M320" s="364"/>
      <c r="N320" s="364"/>
      <c r="O320" s="364"/>
      <c r="P320" s="364"/>
      <c r="Q320" s="364"/>
      <c r="R320" s="364"/>
      <c r="S320" s="364"/>
      <c r="T320" s="364"/>
      <c r="U320" s="364"/>
      <c r="V320" s="364"/>
      <c r="W320" s="364"/>
      <c r="X320" s="364"/>
      <c r="Y320" s="364"/>
      <c r="Z320" s="364"/>
      <c r="AA320" s="364" t="str">
        <f aca="false">IFERROR(__xludf.dummyfunction("""COMPUTED_VALUE"""),"")</f>
        <v/>
      </c>
      <c r="AB320" s="364"/>
    </row>
    <row r="321" customFormat="false" ht="15.75" hidden="false" customHeight="false" outlineLevel="0" collapsed="false">
      <c r="A321" s="364"/>
      <c r="B321" s="364"/>
      <c r="C321" s="261"/>
      <c r="D321" s="261"/>
      <c r="E321" s="261"/>
      <c r="F321" s="364"/>
      <c r="G321" s="261"/>
      <c r="H321" s="364"/>
      <c r="I321" s="364"/>
      <c r="J321" s="364"/>
      <c r="K321" s="364"/>
      <c r="L321" s="364"/>
      <c r="M321" s="364"/>
      <c r="N321" s="364"/>
      <c r="O321" s="364"/>
      <c r="P321" s="364"/>
      <c r="Q321" s="364"/>
      <c r="R321" s="364"/>
      <c r="S321" s="364"/>
      <c r="T321" s="364"/>
      <c r="U321" s="364"/>
      <c r="V321" s="364"/>
      <c r="W321" s="364"/>
      <c r="X321" s="364"/>
      <c r="Y321" s="364"/>
      <c r="Z321" s="364"/>
      <c r="AA321" s="364" t="str">
        <f aca="false">IFERROR(__xludf.dummyfunction("""COMPUTED_VALUE"""),"")</f>
        <v/>
      </c>
      <c r="AB321" s="364"/>
    </row>
    <row r="322" customFormat="false" ht="15.75" hidden="false" customHeight="false" outlineLevel="0" collapsed="false">
      <c r="A322" s="364"/>
      <c r="B322" s="364"/>
      <c r="C322" s="261"/>
      <c r="D322" s="261"/>
      <c r="E322" s="261"/>
      <c r="F322" s="364"/>
      <c r="G322" s="261"/>
      <c r="H322" s="261"/>
      <c r="I322" s="364"/>
      <c r="J322" s="364"/>
      <c r="K322" s="364"/>
      <c r="L322" s="364"/>
      <c r="M322" s="364"/>
      <c r="N322" s="364"/>
      <c r="O322" s="364"/>
      <c r="P322" s="364"/>
      <c r="Q322" s="364"/>
      <c r="R322" s="364"/>
      <c r="S322" s="364"/>
      <c r="T322" s="364"/>
      <c r="U322" s="364"/>
      <c r="V322" s="364"/>
      <c r="W322" s="364"/>
      <c r="X322" s="364"/>
      <c r="Y322" s="364"/>
      <c r="Z322" s="364"/>
      <c r="AA322" s="364" t="str">
        <f aca="false">IFERROR(__xludf.dummyfunction("""COMPUTED_VALUE"""),"")</f>
        <v/>
      </c>
      <c r="AB322" s="364"/>
    </row>
    <row r="323" customFormat="false" ht="15.75" hidden="false" customHeight="false" outlineLevel="0" collapsed="false">
      <c r="A323" s="364"/>
      <c r="B323" s="364"/>
      <c r="C323" s="261"/>
      <c r="D323" s="261"/>
      <c r="E323" s="261"/>
      <c r="F323" s="364"/>
      <c r="G323" s="261"/>
      <c r="H323" s="261"/>
      <c r="I323" s="364"/>
      <c r="J323" s="364"/>
      <c r="K323" s="364"/>
      <c r="L323" s="364"/>
      <c r="M323" s="364"/>
      <c r="N323" s="364"/>
      <c r="O323" s="364"/>
      <c r="P323" s="364"/>
      <c r="Q323" s="364"/>
      <c r="R323" s="364"/>
      <c r="S323" s="364"/>
      <c r="T323" s="364"/>
      <c r="U323" s="364"/>
      <c r="V323" s="364"/>
      <c r="W323" s="364"/>
      <c r="X323" s="364"/>
      <c r="Y323" s="364"/>
      <c r="Z323" s="364"/>
      <c r="AA323" s="364" t="str">
        <f aca="false">IFERROR(__xludf.dummyfunction("""COMPUTED_VALUE"""),"")</f>
        <v/>
      </c>
      <c r="AB323" s="364"/>
    </row>
    <row r="324" customFormat="false" ht="15.75" hidden="false" customHeight="false" outlineLevel="0" collapsed="false">
      <c r="A324" s="364"/>
      <c r="B324" s="364"/>
      <c r="C324" s="261"/>
      <c r="D324" s="261"/>
      <c r="E324" s="261"/>
      <c r="F324" s="364"/>
      <c r="G324" s="261"/>
      <c r="H324" s="261"/>
      <c r="I324" s="364"/>
      <c r="J324" s="364"/>
      <c r="K324" s="364"/>
      <c r="L324" s="364"/>
      <c r="M324" s="364"/>
      <c r="N324" s="364"/>
      <c r="O324" s="364"/>
      <c r="P324" s="364"/>
      <c r="Q324" s="364"/>
      <c r="R324" s="364"/>
      <c r="S324" s="364"/>
      <c r="T324" s="364"/>
      <c r="U324" s="364"/>
      <c r="V324" s="364"/>
      <c r="W324" s="364"/>
      <c r="X324" s="364"/>
      <c r="Y324" s="364"/>
      <c r="Z324" s="364"/>
      <c r="AA324" s="364" t="str">
        <f aca="false">IFERROR(__xludf.dummyfunction("""COMPUTED_VALUE"""),"")</f>
        <v/>
      </c>
      <c r="AB324" s="364"/>
    </row>
    <row r="325" customFormat="false" ht="15.75" hidden="false" customHeight="false" outlineLevel="0" collapsed="false">
      <c r="A325" s="364"/>
      <c r="B325" s="364"/>
      <c r="C325" s="261"/>
      <c r="D325" s="261"/>
      <c r="E325" s="261"/>
      <c r="F325" s="364"/>
      <c r="G325" s="261"/>
      <c r="H325" s="364"/>
      <c r="I325" s="364"/>
      <c r="J325" s="364"/>
      <c r="K325" s="364"/>
      <c r="L325" s="364"/>
      <c r="M325" s="364"/>
      <c r="N325" s="364"/>
      <c r="O325" s="364"/>
      <c r="P325" s="364"/>
      <c r="Q325" s="364"/>
      <c r="R325" s="364"/>
      <c r="S325" s="364"/>
      <c r="T325" s="364"/>
      <c r="U325" s="364"/>
      <c r="V325" s="364"/>
      <c r="W325" s="364"/>
      <c r="X325" s="364"/>
      <c r="Y325" s="364"/>
      <c r="Z325" s="364"/>
      <c r="AA325" s="364" t="str">
        <f aca="false">IFERROR(__xludf.dummyfunction("""COMPUTED_VALUE"""),"")</f>
        <v/>
      </c>
      <c r="AB325" s="364"/>
    </row>
    <row r="326" customFormat="false" ht="15.75" hidden="false" customHeight="false" outlineLevel="0" collapsed="false">
      <c r="A326" s="364"/>
      <c r="B326" s="364"/>
      <c r="C326" s="261"/>
      <c r="D326" s="261"/>
      <c r="E326" s="261"/>
      <c r="F326" s="364"/>
      <c r="G326" s="261"/>
      <c r="H326" s="261"/>
      <c r="I326" s="364"/>
      <c r="J326" s="364"/>
      <c r="K326" s="364"/>
      <c r="L326" s="364"/>
      <c r="M326" s="364"/>
      <c r="N326" s="364"/>
      <c r="O326" s="364"/>
      <c r="P326" s="364"/>
      <c r="Q326" s="364"/>
      <c r="R326" s="364"/>
      <c r="S326" s="364"/>
      <c r="T326" s="364"/>
      <c r="U326" s="364"/>
      <c r="V326" s="364"/>
      <c r="W326" s="364"/>
      <c r="X326" s="364"/>
      <c r="Y326" s="364"/>
      <c r="Z326" s="364"/>
      <c r="AA326" s="364" t="str">
        <f aca="false">IFERROR(__xludf.dummyfunction("""COMPUTED_VALUE"""),"")</f>
        <v/>
      </c>
      <c r="AB326" s="364"/>
    </row>
    <row r="327" customFormat="false" ht="15.75" hidden="false" customHeight="false" outlineLevel="0" collapsed="false">
      <c r="A327" s="364"/>
      <c r="B327" s="364"/>
      <c r="C327" s="261"/>
      <c r="D327" s="261"/>
      <c r="E327" s="261"/>
      <c r="F327" s="364"/>
      <c r="G327" s="261"/>
      <c r="H327" s="261"/>
      <c r="I327" s="364"/>
      <c r="J327" s="364"/>
      <c r="K327" s="364"/>
      <c r="L327" s="364"/>
      <c r="M327" s="364"/>
      <c r="N327" s="364"/>
      <c r="O327" s="364"/>
      <c r="P327" s="364"/>
      <c r="Q327" s="364"/>
      <c r="R327" s="364"/>
      <c r="S327" s="364"/>
      <c r="T327" s="364"/>
      <c r="U327" s="364"/>
      <c r="V327" s="364"/>
      <c r="W327" s="364"/>
      <c r="X327" s="364"/>
      <c r="Y327" s="364"/>
      <c r="Z327" s="364"/>
      <c r="AA327" s="364" t="str">
        <f aca="false">IFERROR(__xludf.dummyfunction("""COMPUTED_VALUE"""),"")</f>
        <v/>
      </c>
      <c r="AB327" s="364"/>
    </row>
    <row r="328" customFormat="false" ht="15.75" hidden="false" customHeight="false" outlineLevel="0" collapsed="false">
      <c r="A328" s="364"/>
      <c r="B328" s="364"/>
      <c r="C328" s="261"/>
      <c r="D328" s="261"/>
      <c r="E328" s="261"/>
      <c r="F328" s="261"/>
      <c r="G328" s="261"/>
      <c r="H328" s="261"/>
      <c r="I328" s="364"/>
      <c r="J328" s="364"/>
      <c r="K328" s="364"/>
      <c r="L328" s="364"/>
      <c r="M328" s="364"/>
      <c r="N328" s="364"/>
      <c r="O328" s="364"/>
      <c r="P328" s="364"/>
      <c r="Q328" s="364"/>
      <c r="R328" s="364"/>
      <c r="S328" s="364"/>
      <c r="T328" s="364"/>
      <c r="U328" s="364"/>
      <c r="V328" s="364"/>
      <c r="W328" s="364"/>
      <c r="X328" s="364"/>
      <c r="Y328" s="364"/>
      <c r="Z328" s="364"/>
      <c r="AA328" s="364" t="str">
        <f aca="false">IFERROR(__xludf.dummyfunction("""COMPUTED_VALUE"""),"")</f>
        <v/>
      </c>
      <c r="AB328" s="364"/>
    </row>
    <row r="329" customFormat="false" ht="15.75" hidden="false" customHeight="false" outlineLevel="0" collapsed="false">
      <c r="A329" s="364"/>
      <c r="B329" s="364"/>
      <c r="C329" s="261"/>
      <c r="D329" s="261"/>
      <c r="E329" s="261"/>
      <c r="F329" s="364"/>
      <c r="G329" s="261"/>
      <c r="H329" s="261"/>
      <c r="I329" s="364"/>
      <c r="J329" s="364"/>
      <c r="K329" s="364"/>
      <c r="L329" s="364"/>
      <c r="M329" s="364"/>
      <c r="N329" s="364"/>
      <c r="O329" s="364"/>
      <c r="P329" s="364"/>
      <c r="Q329" s="364"/>
      <c r="R329" s="364"/>
      <c r="S329" s="364"/>
      <c r="T329" s="364"/>
      <c r="U329" s="364"/>
      <c r="V329" s="364"/>
      <c r="W329" s="364"/>
      <c r="X329" s="364"/>
      <c r="Y329" s="364"/>
      <c r="Z329" s="364"/>
      <c r="AA329" s="364" t="str">
        <f aca="false">IFERROR(__xludf.dummyfunction("""COMPUTED_VALUE"""),"")</f>
        <v/>
      </c>
      <c r="AB329" s="364"/>
    </row>
    <row r="330" customFormat="false" ht="15.75" hidden="false" customHeight="false" outlineLevel="0" collapsed="false">
      <c r="A330" s="364"/>
      <c r="B330" s="364"/>
      <c r="C330" s="261"/>
      <c r="D330" s="261"/>
      <c r="E330" s="261"/>
      <c r="F330" s="364"/>
      <c r="G330" s="364"/>
      <c r="H330" s="261"/>
      <c r="I330" s="364"/>
      <c r="J330" s="364"/>
      <c r="K330" s="364"/>
      <c r="L330" s="364"/>
      <c r="M330" s="364"/>
      <c r="N330" s="364"/>
      <c r="O330" s="364"/>
      <c r="P330" s="364"/>
      <c r="Q330" s="364"/>
      <c r="R330" s="364"/>
      <c r="S330" s="364"/>
      <c r="T330" s="364"/>
      <c r="U330" s="364"/>
      <c r="V330" s="364"/>
      <c r="W330" s="364"/>
      <c r="X330" s="364"/>
      <c r="Y330" s="364"/>
      <c r="Z330" s="364"/>
      <c r="AA330" s="364" t="str">
        <f aca="false">IFERROR(__xludf.dummyfunction("""COMPUTED_VALUE"""),"")</f>
        <v/>
      </c>
      <c r="AB330" s="364"/>
    </row>
    <row r="331" customFormat="false" ht="15.75" hidden="false" customHeight="false" outlineLevel="0" collapsed="false">
      <c r="A331" s="364"/>
      <c r="B331" s="364"/>
      <c r="C331" s="261"/>
      <c r="D331" s="261"/>
      <c r="E331" s="261"/>
      <c r="F331" s="364"/>
      <c r="G331" s="261"/>
      <c r="H331" s="261"/>
      <c r="I331" s="364"/>
      <c r="J331" s="364"/>
      <c r="K331" s="364"/>
      <c r="L331" s="364"/>
      <c r="M331" s="364"/>
      <c r="N331" s="364"/>
      <c r="O331" s="364"/>
      <c r="P331" s="364"/>
      <c r="Q331" s="364"/>
      <c r="R331" s="364"/>
      <c r="S331" s="364"/>
      <c r="T331" s="364"/>
      <c r="U331" s="364"/>
      <c r="V331" s="364"/>
      <c r="W331" s="364"/>
      <c r="X331" s="364"/>
      <c r="Y331" s="364"/>
      <c r="Z331" s="364"/>
      <c r="AA331" s="364" t="str">
        <f aca="false">IFERROR(__xludf.dummyfunction("""COMPUTED_VALUE"""),"")</f>
        <v/>
      </c>
      <c r="AB331" s="364"/>
    </row>
    <row r="332" customFormat="false" ht="15.75" hidden="false" customHeight="false" outlineLevel="0" collapsed="false">
      <c r="A332" s="364"/>
      <c r="B332" s="364"/>
      <c r="C332" s="261"/>
      <c r="D332" s="261"/>
      <c r="E332" s="261"/>
      <c r="F332" s="364"/>
      <c r="G332" s="261"/>
      <c r="H332" s="261"/>
      <c r="I332" s="364"/>
      <c r="J332" s="364"/>
      <c r="K332" s="364"/>
      <c r="L332" s="364"/>
      <c r="M332" s="364"/>
      <c r="N332" s="364"/>
      <c r="O332" s="364"/>
      <c r="P332" s="364"/>
      <c r="Q332" s="364"/>
      <c r="R332" s="364"/>
      <c r="S332" s="364"/>
      <c r="T332" s="364"/>
      <c r="U332" s="364"/>
      <c r="V332" s="364"/>
      <c r="W332" s="364"/>
      <c r="X332" s="364"/>
      <c r="Y332" s="364"/>
      <c r="Z332" s="364"/>
      <c r="AA332" s="364" t="str">
        <f aca="false">IFERROR(__xludf.dummyfunction("""COMPUTED_VALUE"""),"")</f>
        <v/>
      </c>
      <c r="AB332" s="364"/>
    </row>
    <row r="333" customFormat="false" ht="15.75" hidden="false" customHeight="false" outlineLevel="0" collapsed="false">
      <c r="A333" s="364"/>
      <c r="B333" s="364"/>
      <c r="C333" s="261"/>
      <c r="D333" s="261"/>
      <c r="E333" s="261"/>
      <c r="F333" s="261"/>
      <c r="G333" s="261"/>
      <c r="H333" s="261"/>
      <c r="I333" s="364"/>
      <c r="J333" s="364"/>
      <c r="K333" s="364"/>
      <c r="L333" s="364"/>
      <c r="M333" s="364"/>
      <c r="N333" s="364"/>
      <c r="O333" s="364"/>
      <c r="P333" s="364"/>
      <c r="Q333" s="364"/>
      <c r="R333" s="364"/>
      <c r="S333" s="364"/>
      <c r="T333" s="364"/>
      <c r="U333" s="364"/>
      <c r="V333" s="364"/>
      <c r="W333" s="364"/>
      <c r="X333" s="364"/>
      <c r="Y333" s="364"/>
      <c r="Z333" s="364"/>
      <c r="AA333" s="364" t="str">
        <f aca="false">IFERROR(__xludf.dummyfunction("""COMPUTED_VALUE"""),"")</f>
        <v/>
      </c>
      <c r="AB333" s="364"/>
    </row>
    <row r="334" customFormat="false" ht="15.75" hidden="false" customHeight="false" outlineLevel="0" collapsed="false">
      <c r="A334" s="364"/>
      <c r="B334" s="364"/>
      <c r="C334" s="261"/>
      <c r="D334" s="261"/>
      <c r="E334" s="261"/>
      <c r="F334" s="261"/>
      <c r="G334" s="261"/>
      <c r="H334" s="261"/>
      <c r="I334" s="364"/>
      <c r="J334" s="364"/>
      <c r="K334" s="364"/>
      <c r="L334" s="364"/>
      <c r="M334" s="364"/>
      <c r="N334" s="364"/>
      <c r="O334" s="364"/>
      <c r="P334" s="364"/>
      <c r="Q334" s="364"/>
      <c r="R334" s="364"/>
      <c r="S334" s="364"/>
      <c r="T334" s="364"/>
      <c r="U334" s="364"/>
      <c r="V334" s="364"/>
      <c r="W334" s="364"/>
      <c r="X334" s="364"/>
      <c r="Y334" s="364"/>
      <c r="Z334" s="364"/>
      <c r="AA334" s="364" t="str">
        <f aca="false">IFERROR(__xludf.dummyfunction("""COMPUTED_VALUE"""),"")</f>
        <v/>
      </c>
      <c r="AB334" s="364"/>
    </row>
    <row r="335" customFormat="false" ht="15.75" hidden="false" customHeight="false" outlineLevel="0" collapsed="false">
      <c r="A335" s="364"/>
      <c r="B335" s="364"/>
      <c r="C335" s="261"/>
      <c r="D335" s="261"/>
      <c r="E335" s="261"/>
      <c r="F335" s="261"/>
      <c r="G335" s="261"/>
      <c r="H335" s="261"/>
      <c r="I335" s="364"/>
      <c r="J335" s="364"/>
      <c r="K335" s="364"/>
      <c r="L335" s="364"/>
      <c r="M335" s="364"/>
      <c r="N335" s="364"/>
      <c r="O335" s="364"/>
      <c r="P335" s="364"/>
      <c r="Q335" s="364"/>
      <c r="R335" s="364"/>
      <c r="S335" s="364"/>
      <c r="T335" s="364"/>
      <c r="U335" s="364"/>
      <c r="V335" s="364"/>
      <c r="W335" s="364"/>
      <c r="X335" s="364"/>
      <c r="Y335" s="364"/>
      <c r="Z335" s="364"/>
      <c r="AA335" s="364" t="str">
        <f aca="false">IFERROR(__xludf.dummyfunction("""COMPUTED_VALUE"""),"")</f>
        <v/>
      </c>
      <c r="AB335" s="364"/>
    </row>
    <row r="336" customFormat="false" ht="15.75" hidden="false" customHeight="false" outlineLevel="0" collapsed="false">
      <c r="A336" s="364"/>
      <c r="B336" s="364"/>
      <c r="C336" s="261"/>
      <c r="D336" s="261"/>
      <c r="E336" s="261"/>
      <c r="F336" s="261"/>
      <c r="G336" s="261"/>
      <c r="H336" s="364"/>
      <c r="I336" s="364"/>
      <c r="J336" s="364"/>
      <c r="K336" s="364"/>
      <c r="L336" s="364"/>
      <c r="M336" s="364"/>
      <c r="N336" s="364"/>
      <c r="O336" s="364"/>
      <c r="P336" s="364"/>
      <c r="Q336" s="364"/>
      <c r="R336" s="364"/>
      <c r="S336" s="364"/>
      <c r="T336" s="364"/>
      <c r="U336" s="364"/>
      <c r="V336" s="364"/>
      <c r="W336" s="364"/>
      <c r="X336" s="364"/>
      <c r="Y336" s="364"/>
      <c r="Z336" s="364"/>
      <c r="AA336" s="364" t="str">
        <f aca="false">IFERROR(__xludf.dummyfunction("""COMPUTED_VALUE"""),"")</f>
        <v/>
      </c>
      <c r="AB336" s="364"/>
    </row>
    <row r="337" customFormat="false" ht="15.75" hidden="false" customHeight="false" outlineLevel="0" collapsed="false">
      <c r="A337" s="364"/>
      <c r="B337" s="364"/>
      <c r="C337" s="261"/>
      <c r="D337" s="261"/>
      <c r="E337" s="261"/>
      <c r="F337" s="364"/>
      <c r="G337" s="261"/>
      <c r="H337" s="261"/>
      <c r="I337" s="364"/>
      <c r="J337" s="364"/>
      <c r="K337" s="364"/>
      <c r="L337" s="364"/>
      <c r="M337" s="364"/>
      <c r="N337" s="364"/>
      <c r="O337" s="364"/>
      <c r="P337" s="364"/>
      <c r="Q337" s="364"/>
      <c r="R337" s="364"/>
      <c r="S337" s="364"/>
      <c r="T337" s="364"/>
      <c r="U337" s="364"/>
      <c r="V337" s="364"/>
      <c r="W337" s="364"/>
      <c r="X337" s="364"/>
      <c r="Y337" s="364"/>
      <c r="Z337" s="364"/>
      <c r="AA337" s="364" t="str">
        <f aca="false">IFERROR(__xludf.dummyfunction("""COMPUTED_VALUE"""),"")</f>
        <v/>
      </c>
      <c r="AB337" s="364"/>
    </row>
    <row r="338" customFormat="false" ht="15.75" hidden="false" customHeight="false" outlineLevel="0" collapsed="false">
      <c r="A338" s="364"/>
      <c r="B338" s="364"/>
      <c r="C338" s="261"/>
      <c r="D338" s="261"/>
      <c r="E338" s="261"/>
      <c r="F338" s="364"/>
      <c r="G338" s="261"/>
      <c r="H338" s="261"/>
      <c r="I338" s="364"/>
      <c r="J338" s="364"/>
      <c r="K338" s="364"/>
      <c r="L338" s="364"/>
      <c r="M338" s="364"/>
      <c r="N338" s="364"/>
      <c r="O338" s="364"/>
      <c r="P338" s="364"/>
      <c r="Q338" s="364"/>
      <c r="R338" s="364"/>
      <c r="S338" s="364"/>
      <c r="T338" s="364"/>
      <c r="U338" s="364"/>
      <c r="V338" s="364"/>
      <c r="W338" s="364"/>
      <c r="X338" s="364"/>
      <c r="Y338" s="364"/>
      <c r="Z338" s="364"/>
      <c r="AA338" s="364" t="str">
        <f aca="false">IFERROR(__xludf.dummyfunction("""COMPUTED_VALUE"""),"")</f>
        <v/>
      </c>
      <c r="AB338" s="364"/>
    </row>
    <row r="339" customFormat="false" ht="15.75" hidden="false" customHeight="false" outlineLevel="0" collapsed="false">
      <c r="A339" s="364"/>
      <c r="B339" s="364"/>
      <c r="C339" s="261"/>
      <c r="D339" s="261"/>
      <c r="E339" s="261"/>
      <c r="F339" s="261"/>
      <c r="G339" s="261"/>
      <c r="H339" s="261"/>
      <c r="I339" s="364"/>
      <c r="J339" s="364"/>
      <c r="K339" s="364"/>
      <c r="L339" s="364"/>
      <c r="M339" s="364"/>
      <c r="N339" s="364"/>
      <c r="O339" s="364"/>
      <c r="P339" s="364"/>
      <c r="Q339" s="364"/>
      <c r="R339" s="364"/>
      <c r="S339" s="364"/>
      <c r="T339" s="364"/>
      <c r="U339" s="364"/>
      <c r="V339" s="364"/>
      <c r="W339" s="364"/>
      <c r="X339" s="364"/>
      <c r="Y339" s="364"/>
      <c r="Z339" s="364"/>
      <c r="AA339" s="364" t="str">
        <f aca="false">IFERROR(__xludf.dummyfunction("""COMPUTED_VALUE"""),"")</f>
        <v/>
      </c>
      <c r="AB339" s="364"/>
    </row>
    <row r="340" customFormat="false" ht="15.75" hidden="false" customHeight="false" outlineLevel="0" collapsed="false">
      <c r="A340" s="364"/>
      <c r="B340" s="364"/>
      <c r="C340" s="261"/>
      <c r="D340" s="261"/>
      <c r="E340" s="261"/>
      <c r="F340" s="364"/>
      <c r="G340" s="261"/>
      <c r="H340" s="261"/>
      <c r="I340" s="364"/>
      <c r="J340" s="364"/>
      <c r="K340" s="364"/>
      <c r="L340" s="364"/>
      <c r="M340" s="364"/>
      <c r="N340" s="364"/>
      <c r="O340" s="364"/>
      <c r="P340" s="364"/>
      <c r="Q340" s="364"/>
      <c r="R340" s="364"/>
      <c r="S340" s="364"/>
      <c r="T340" s="364"/>
      <c r="U340" s="364"/>
      <c r="V340" s="364"/>
      <c r="W340" s="364"/>
      <c r="X340" s="364"/>
      <c r="Y340" s="364"/>
      <c r="Z340" s="364"/>
      <c r="AA340" s="364" t="str">
        <f aca="false">IFERROR(__xludf.dummyfunction("""COMPUTED_VALUE"""),"")</f>
        <v/>
      </c>
      <c r="AB340" s="364"/>
    </row>
    <row r="341" customFormat="false" ht="15.75" hidden="false" customHeight="false" outlineLevel="0" collapsed="false">
      <c r="A341" s="364"/>
      <c r="B341" s="364"/>
      <c r="C341" s="261"/>
      <c r="D341" s="261"/>
      <c r="E341" s="261"/>
      <c r="F341" s="261"/>
      <c r="G341" s="261"/>
      <c r="H341" s="261"/>
      <c r="I341" s="364"/>
      <c r="J341" s="364"/>
      <c r="K341" s="364"/>
      <c r="L341" s="364"/>
      <c r="M341" s="364"/>
      <c r="N341" s="364"/>
      <c r="O341" s="364"/>
      <c r="P341" s="364"/>
      <c r="Q341" s="364"/>
      <c r="R341" s="364"/>
      <c r="S341" s="364"/>
      <c r="T341" s="364"/>
      <c r="U341" s="364"/>
      <c r="V341" s="364"/>
      <c r="W341" s="364"/>
      <c r="X341" s="364"/>
      <c r="Y341" s="364"/>
      <c r="Z341" s="364"/>
      <c r="AA341" s="364" t="str">
        <f aca="false">IFERROR(__xludf.dummyfunction("""COMPUTED_VALUE"""),"")</f>
        <v/>
      </c>
      <c r="AB341" s="364"/>
    </row>
    <row r="342" customFormat="false" ht="15.75" hidden="false" customHeight="false" outlineLevel="0" collapsed="false">
      <c r="A342" s="364"/>
      <c r="B342" s="364"/>
      <c r="C342" s="261"/>
      <c r="D342" s="261"/>
      <c r="E342" s="261"/>
      <c r="F342" s="364"/>
      <c r="G342" s="261"/>
      <c r="H342" s="364"/>
      <c r="I342" s="364"/>
      <c r="J342" s="364"/>
      <c r="K342" s="364"/>
      <c r="L342" s="364"/>
      <c r="M342" s="364"/>
      <c r="N342" s="364"/>
      <c r="O342" s="364"/>
      <c r="P342" s="364"/>
      <c r="Q342" s="364"/>
      <c r="R342" s="364"/>
      <c r="S342" s="364"/>
      <c r="T342" s="364"/>
      <c r="U342" s="364"/>
      <c r="V342" s="364"/>
      <c r="W342" s="364"/>
      <c r="X342" s="364"/>
      <c r="Y342" s="364"/>
      <c r="Z342" s="364"/>
      <c r="AA342" s="364" t="str">
        <f aca="false">IFERROR(__xludf.dummyfunction("""COMPUTED_VALUE"""),"")</f>
        <v/>
      </c>
      <c r="AB342" s="364"/>
    </row>
    <row r="343" customFormat="false" ht="15.75" hidden="false" customHeight="false" outlineLevel="0" collapsed="false">
      <c r="A343" s="364"/>
      <c r="B343" s="364"/>
      <c r="C343" s="261"/>
      <c r="D343" s="261"/>
      <c r="E343" s="261"/>
      <c r="F343" s="364"/>
      <c r="G343" s="261"/>
      <c r="H343" s="364"/>
      <c r="I343" s="364"/>
      <c r="J343" s="364"/>
      <c r="K343" s="364"/>
      <c r="L343" s="364"/>
      <c r="M343" s="364"/>
      <c r="N343" s="364"/>
      <c r="O343" s="364"/>
      <c r="P343" s="364"/>
      <c r="Q343" s="364"/>
      <c r="R343" s="364"/>
      <c r="S343" s="364"/>
      <c r="T343" s="364"/>
      <c r="U343" s="364"/>
      <c r="V343" s="364"/>
      <c r="W343" s="364"/>
      <c r="X343" s="364"/>
      <c r="Y343" s="364"/>
      <c r="Z343" s="364"/>
      <c r="AA343" s="364" t="str">
        <f aca="false">IFERROR(__xludf.dummyfunction("""COMPUTED_VALUE"""),"")</f>
        <v/>
      </c>
      <c r="AB343" s="364"/>
    </row>
    <row r="344" customFormat="false" ht="15.75" hidden="false" customHeight="false" outlineLevel="0" collapsed="false">
      <c r="A344" s="364"/>
      <c r="B344" s="364"/>
      <c r="C344" s="261"/>
      <c r="D344" s="261"/>
      <c r="E344" s="261"/>
      <c r="F344" s="364"/>
      <c r="G344" s="261"/>
      <c r="H344" s="261"/>
      <c r="I344" s="364"/>
      <c r="J344" s="364"/>
      <c r="K344" s="364"/>
      <c r="L344" s="364"/>
      <c r="M344" s="364"/>
      <c r="N344" s="364"/>
      <c r="O344" s="364"/>
      <c r="P344" s="364"/>
      <c r="Q344" s="364"/>
      <c r="R344" s="364"/>
      <c r="S344" s="364"/>
      <c r="T344" s="364"/>
      <c r="U344" s="364"/>
      <c r="V344" s="364"/>
      <c r="W344" s="364"/>
      <c r="X344" s="364"/>
      <c r="Y344" s="364"/>
      <c r="Z344" s="364"/>
      <c r="AA344" s="364" t="str">
        <f aca="false">IFERROR(__xludf.dummyfunction("""COMPUTED_VALUE"""),"")</f>
        <v/>
      </c>
      <c r="AB344" s="364"/>
    </row>
    <row r="345" customFormat="false" ht="15.75" hidden="false" customHeight="false" outlineLevel="0" collapsed="false">
      <c r="A345" s="364"/>
      <c r="B345" s="364"/>
      <c r="C345" s="261"/>
      <c r="D345" s="261"/>
      <c r="E345" s="261"/>
      <c r="F345" s="364"/>
      <c r="G345" s="261"/>
      <c r="H345" s="261"/>
      <c r="I345" s="364"/>
      <c r="J345" s="364"/>
      <c r="K345" s="364"/>
      <c r="L345" s="364"/>
      <c r="M345" s="364"/>
      <c r="N345" s="364"/>
      <c r="O345" s="364"/>
      <c r="P345" s="364"/>
      <c r="Q345" s="364"/>
      <c r="R345" s="364"/>
      <c r="S345" s="364"/>
      <c r="T345" s="364"/>
      <c r="U345" s="364"/>
      <c r="V345" s="364"/>
      <c r="W345" s="364"/>
      <c r="X345" s="364"/>
      <c r="Y345" s="364"/>
      <c r="Z345" s="364"/>
      <c r="AA345" s="364" t="str">
        <f aca="false">IFERROR(__xludf.dummyfunction("""COMPUTED_VALUE"""),"")</f>
        <v/>
      </c>
      <c r="AB345" s="364"/>
    </row>
    <row r="346" customFormat="false" ht="15.75" hidden="false" customHeight="false" outlineLevel="0" collapsed="false">
      <c r="A346" s="364"/>
      <c r="B346" s="364"/>
      <c r="C346" s="261"/>
      <c r="D346" s="261"/>
      <c r="E346" s="261"/>
      <c r="F346" s="364"/>
      <c r="G346" s="261"/>
      <c r="H346" s="364"/>
      <c r="I346" s="364"/>
      <c r="J346" s="364"/>
      <c r="K346" s="364"/>
      <c r="L346" s="364"/>
      <c r="M346" s="364"/>
      <c r="N346" s="364"/>
      <c r="O346" s="364"/>
      <c r="P346" s="364"/>
      <c r="Q346" s="364"/>
      <c r="R346" s="364"/>
      <c r="S346" s="364"/>
      <c r="T346" s="364"/>
      <c r="U346" s="364"/>
      <c r="V346" s="364"/>
      <c r="W346" s="364"/>
      <c r="X346" s="364"/>
      <c r="Y346" s="364"/>
      <c r="Z346" s="364"/>
      <c r="AA346" s="364" t="str">
        <f aca="false">IFERROR(__xludf.dummyfunction("""COMPUTED_VALUE"""),"")</f>
        <v/>
      </c>
      <c r="AB346" s="364"/>
    </row>
    <row r="347" customFormat="false" ht="15.75" hidden="false" customHeight="false" outlineLevel="0" collapsed="false">
      <c r="A347" s="364"/>
      <c r="B347" s="364"/>
      <c r="C347" s="261"/>
      <c r="D347" s="261"/>
      <c r="E347" s="261"/>
      <c r="F347" s="364"/>
      <c r="G347" s="261"/>
      <c r="H347" s="364"/>
      <c r="I347" s="364"/>
      <c r="J347" s="364"/>
      <c r="K347" s="364"/>
      <c r="L347" s="364"/>
      <c r="M347" s="364"/>
      <c r="N347" s="364"/>
      <c r="O347" s="364"/>
      <c r="P347" s="364"/>
      <c r="Q347" s="364"/>
      <c r="R347" s="364"/>
      <c r="S347" s="364"/>
      <c r="T347" s="364"/>
      <c r="U347" s="364"/>
      <c r="V347" s="364"/>
      <c r="W347" s="364"/>
      <c r="X347" s="364"/>
      <c r="Y347" s="364"/>
      <c r="Z347" s="364"/>
      <c r="AA347" s="364" t="str">
        <f aca="false">IFERROR(__xludf.dummyfunction("""COMPUTED_VALUE"""),"")</f>
        <v/>
      </c>
      <c r="AB347" s="364"/>
    </row>
    <row r="348" customFormat="false" ht="15.75" hidden="false" customHeight="false" outlineLevel="0" collapsed="false">
      <c r="A348" s="364"/>
      <c r="B348" s="364"/>
      <c r="C348" s="261"/>
      <c r="D348" s="261"/>
      <c r="E348" s="261"/>
      <c r="F348" s="364"/>
      <c r="G348" s="261"/>
      <c r="H348" s="261"/>
      <c r="I348" s="364"/>
      <c r="J348" s="364"/>
      <c r="K348" s="364"/>
      <c r="L348" s="364"/>
      <c r="M348" s="364"/>
      <c r="N348" s="364"/>
      <c r="O348" s="364"/>
      <c r="P348" s="364"/>
      <c r="Q348" s="364"/>
      <c r="R348" s="364"/>
      <c r="S348" s="364"/>
      <c r="T348" s="364"/>
      <c r="U348" s="364"/>
      <c r="V348" s="364"/>
      <c r="W348" s="364"/>
      <c r="X348" s="364"/>
      <c r="Y348" s="364"/>
      <c r="Z348" s="364"/>
      <c r="AA348" s="364" t="str">
        <f aca="false">IFERROR(__xludf.dummyfunction("""COMPUTED_VALUE"""),"")</f>
        <v/>
      </c>
      <c r="AB348" s="364"/>
    </row>
    <row r="349" customFormat="false" ht="15.75" hidden="false" customHeight="false" outlineLevel="0" collapsed="false">
      <c r="A349" s="364"/>
      <c r="B349" s="364"/>
      <c r="C349" s="261"/>
      <c r="D349" s="261"/>
      <c r="E349" s="261"/>
      <c r="F349" s="364"/>
      <c r="G349" s="261"/>
      <c r="H349" s="364"/>
      <c r="I349" s="364"/>
      <c r="J349" s="364"/>
      <c r="K349" s="364"/>
      <c r="L349" s="364"/>
      <c r="M349" s="364"/>
      <c r="N349" s="364"/>
      <c r="O349" s="364"/>
      <c r="P349" s="364"/>
      <c r="Q349" s="364"/>
      <c r="R349" s="364"/>
      <c r="S349" s="364"/>
      <c r="T349" s="364"/>
      <c r="U349" s="364"/>
      <c r="V349" s="364"/>
      <c r="W349" s="364"/>
      <c r="X349" s="364"/>
      <c r="Y349" s="364"/>
      <c r="Z349" s="364"/>
      <c r="AA349" s="364" t="str">
        <f aca="false">IFERROR(__xludf.dummyfunction("""COMPUTED_VALUE"""),"")</f>
        <v/>
      </c>
      <c r="AB349" s="364"/>
    </row>
    <row r="350" customFormat="false" ht="15.75" hidden="false" customHeight="false" outlineLevel="0" collapsed="false">
      <c r="A350" s="364"/>
      <c r="B350" s="364"/>
      <c r="C350" s="261"/>
      <c r="D350" s="261"/>
      <c r="E350" s="261"/>
      <c r="F350" s="364"/>
      <c r="G350" s="261"/>
      <c r="H350" s="364"/>
      <c r="I350" s="364"/>
      <c r="J350" s="364"/>
      <c r="K350" s="364"/>
      <c r="L350" s="364"/>
      <c r="M350" s="364"/>
      <c r="N350" s="364"/>
      <c r="O350" s="364"/>
      <c r="P350" s="364"/>
      <c r="Q350" s="364"/>
      <c r="R350" s="364"/>
      <c r="S350" s="364"/>
      <c r="T350" s="364"/>
      <c r="U350" s="364"/>
      <c r="V350" s="364"/>
      <c r="W350" s="364"/>
      <c r="X350" s="364"/>
      <c r="Y350" s="364"/>
      <c r="Z350" s="364"/>
      <c r="AA350" s="364" t="str">
        <f aca="false">IFERROR(__xludf.dummyfunction("""COMPUTED_VALUE"""),"")</f>
        <v/>
      </c>
      <c r="AB350" s="364"/>
    </row>
    <row r="351" customFormat="false" ht="15.75" hidden="false" customHeight="false" outlineLevel="0" collapsed="false">
      <c r="A351" s="364"/>
      <c r="B351" s="364"/>
      <c r="C351" s="261"/>
      <c r="D351" s="261"/>
      <c r="E351" s="261"/>
      <c r="F351" s="364"/>
      <c r="G351" s="261"/>
      <c r="H351" s="261"/>
      <c r="I351" s="364"/>
      <c r="J351" s="364"/>
      <c r="K351" s="364"/>
      <c r="L351" s="364"/>
      <c r="M351" s="364"/>
      <c r="N351" s="364"/>
      <c r="O351" s="364"/>
      <c r="P351" s="364"/>
      <c r="Q351" s="364"/>
      <c r="R351" s="364"/>
      <c r="S351" s="364"/>
      <c r="T351" s="364"/>
      <c r="U351" s="364"/>
      <c r="V351" s="364"/>
      <c r="W351" s="364"/>
      <c r="X351" s="364"/>
      <c r="Y351" s="364"/>
      <c r="Z351" s="364"/>
      <c r="AA351" s="364" t="str">
        <f aca="false">IFERROR(__xludf.dummyfunction("""COMPUTED_VALUE"""),"")</f>
        <v/>
      </c>
      <c r="AB351" s="364"/>
    </row>
    <row r="352" customFormat="false" ht="15.75" hidden="false" customHeight="false" outlineLevel="0" collapsed="false">
      <c r="A352" s="364"/>
      <c r="B352" s="364"/>
      <c r="C352" s="261"/>
      <c r="D352" s="261"/>
      <c r="E352" s="261"/>
      <c r="F352" s="364"/>
      <c r="G352" s="261"/>
      <c r="H352" s="261"/>
      <c r="I352" s="364"/>
      <c r="J352" s="364"/>
      <c r="K352" s="364"/>
      <c r="L352" s="364"/>
      <c r="M352" s="364"/>
      <c r="N352" s="364"/>
      <c r="O352" s="364"/>
      <c r="P352" s="364"/>
      <c r="Q352" s="364"/>
      <c r="R352" s="364"/>
      <c r="S352" s="364"/>
      <c r="T352" s="364"/>
      <c r="U352" s="364"/>
      <c r="V352" s="364"/>
      <c r="W352" s="364"/>
      <c r="X352" s="364"/>
      <c r="Y352" s="364"/>
      <c r="Z352" s="364"/>
      <c r="AA352" s="364" t="str">
        <f aca="false">IFERROR(__xludf.dummyfunction("""COMPUTED_VALUE"""),"")</f>
        <v/>
      </c>
      <c r="AB352" s="364"/>
    </row>
    <row r="353" customFormat="false" ht="15.75" hidden="false" customHeight="false" outlineLevel="0" collapsed="false">
      <c r="A353" s="364"/>
      <c r="B353" s="364"/>
      <c r="C353" s="261"/>
      <c r="D353" s="261"/>
      <c r="E353" s="261"/>
      <c r="F353" s="261"/>
      <c r="G353" s="261"/>
      <c r="H353" s="261"/>
      <c r="I353" s="364"/>
      <c r="J353" s="364"/>
      <c r="K353" s="364"/>
      <c r="L353" s="364"/>
      <c r="M353" s="364"/>
      <c r="N353" s="364"/>
      <c r="O353" s="364"/>
      <c r="P353" s="364"/>
      <c r="Q353" s="364"/>
      <c r="R353" s="364"/>
      <c r="S353" s="364"/>
      <c r="T353" s="364"/>
      <c r="U353" s="364"/>
      <c r="V353" s="364"/>
      <c r="W353" s="364"/>
      <c r="X353" s="364"/>
      <c r="Y353" s="364"/>
      <c r="Z353" s="364"/>
      <c r="AA353" s="364" t="str">
        <f aca="false">IFERROR(__xludf.dummyfunction("""COMPUTED_VALUE"""),"")</f>
        <v/>
      </c>
      <c r="AB353" s="364"/>
    </row>
    <row r="354" customFormat="false" ht="15.75" hidden="false" customHeight="false" outlineLevel="0" collapsed="false">
      <c r="A354" s="364"/>
      <c r="B354" s="364"/>
      <c r="C354" s="261"/>
      <c r="D354" s="261"/>
      <c r="E354" s="261"/>
      <c r="F354" s="364"/>
      <c r="G354" s="261"/>
      <c r="H354" s="364"/>
      <c r="I354" s="364"/>
      <c r="J354" s="364"/>
      <c r="K354" s="364"/>
      <c r="L354" s="364"/>
      <c r="M354" s="364"/>
      <c r="N354" s="364"/>
      <c r="O354" s="364"/>
      <c r="P354" s="364"/>
      <c r="Q354" s="364"/>
      <c r="R354" s="364"/>
      <c r="S354" s="364"/>
      <c r="T354" s="364"/>
      <c r="U354" s="364"/>
      <c r="V354" s="364"/>
      <c r="W354" s="364"/>
      <c r="X354" s="364"/>
      <c r="Y354" s="364"/>
      <c r="Z354" s="364"/>
      <c r="AA354" s="364" t="str">
        <f aca="false">IFERROR(__xludf.dummyfunction("""COMPUTED_VALUE"""),"")</f>
        <v/>
      </c>
      <c r="AB354" s="364"/>
    </row>
    <row r="355" customFormat="false" ht="15.75" hidden="false" customHeight="false" outlineLevel="0" collapsed="false">
      <c r="A355" s="364"/>
      <c r="B355" s="364"/>
      <c r="C355" s="261"/>
      <c r="D355" s="261"/>
      <c r="E355" s="261"/>
      <c r="F355" s="364"/>
      <c r="G355" s="261"/>
      <c r="H355" s="261"/>
      <c r="I355" s="364"/>
      <c r="J355" s="364"/>
      <c r="K355" s="364"/>
      <c r="L355" s="364"/>
      <c r="M355" s="364"/>
      <c r="N355" s="364"/>
      <c r="O355" s="364"/>
      <c r="P355" s="364"/>
      <c r="Q355" s="364"/>
      <c r="R355" s="364"/>
      <c r="S355" s="364"/>
      <c r="T355" s="364"/>
      <c r="U355" s="364"/>
      <c r="V355" s="364"/>
      <c r="W355" s="364"/>
      <c r="X355" s="364"/>
      <c r="Y355" s="364"/>
      <c r="Z355" s="364"/>
      <c r="AA355" s="364" t="str">
        <f aca="false">IFERROR(__xludf.dummyfunction("""COMPUTED_VALUE"""),"")</f>
        <v/>
      </c>
      <c r="AB355" s="364"/>
    </row>
    <row r="356" customFormat="false" ht="15.75" hidden="false" customHeight="false" outlineLevel="0" collapsed="false">
      <c r="A356" s="364"/>
      <c r="B356" s="364"/>
      <c r="C356" s="261"/>
      <c r="D356" s="261"/>
      <c r="E356" s="261"/>
      <c r="F356" s="364"/>
      <c r="G356" s="261"/>
      <c r="H356" s="364"/>
      <c r="I356" s="364"/>
      <c r="J356" s="364"/>
      <c r="K356" s="364"/>
      <c r="L356" s="364"/>
      <c r="M356" s="364"/>
      <c r="N356" s="364"/>
      <c r="O356" s="364"/>
      <c r="P356" s="364"/>
      <c r="Q356" s="364"/>
      <c r="R356" s="364"/>
      <c r="S356" s="364"/>
      <c r="T356" s="364"/>
      <c r="U356" s="364"/>
      <c r="V356" s="364"/>
      <c r="W356" s="364"/>
      <c r="X356" s="364"/>
      <c r="Y356" s="364"/>
      <c r="Z356" s="364"/>
      <c r="AA356" s="364" t="str">
        <f aca="false">IFERROR(__xludf.dummyfunction("""COMPUTED_VALUE"""),"")</f>
        <v/>
      </c>
      <c r="AB356" s="364"/>
    </row>
    <row r="357" customFormat="false" ht="15.75" hidden="false" customHeight="false" outlineLevel="0" collapsed="false">
      <c r="A357" s="364"/>
      <c r="B357" s="364"/>
      <c r="C357" s="261"/>
      <c r="D357" s="261"/>
      <c r="E357" s="261"/>
      <c r="F357" s="261"/>
      <c r="G357" s="261"/>
      <c r="H357" s="261"/>
      <c r="I357" s="364"/>
      <c r="J357" s="364"/>
      <c r="K357" s="364"/>
      <c r="L357" s="364"/>
      <c r="M357" s="364"/>
      <c r="N357" s="364"/>
      <c r="O357" s="364"/>
      <c r="P357" s="364"/>
      <c r="Q357" s="364"/>
      <c r="R357" s="364"/>
      <c r="S357" s="364"/>
      <c r="T357" s="364"/>
      <c r="U357" s="364"/>
      <c r="V357" s="364"/>
      <c r="W357" s="364"/>
      <c r="X357" s="364"/>
      <c r="Y357" s="364"/>
      <c r="Z357" s="364"/>
      <c r="AA357" s="364" t="str">
        <f aca="false">IFERROR(__xludf.dummyfunction("""COMPUTED_VALUE"""),"")</f>
        <v/>
      </c>
      <c r="AB357" s="364"/>
    </row>
    <row r="358" customFormat="false" ht="15.75" hidden="false" customHeight="false" outlineLevel="0" collapsed="false">
      <c r="A358" s="364"/>
      <c r="B358" s="364"/>
      <c r="C358" s="261"/>
      <c r="D358" s="261"/>
      <c r="E358" s="261"/>
      <c r="F358" s="364"/>
      <c r="G358" s="261"/>
      <c r="H358" s="261"/>
      <c r="I358" s="364"/>
      <c r="J358" s="364"/>
      <c r="K358" s="364"/>
      <c r="L358" s="364"/>
      <c r="M358" s="364"/>
      <c r="N358" s="364"/>
      <c r="O358" s="364"/>
      <c r="P358" s="364"/>
      <c r="Q358" s="364"/>
      <c r="R358" s="364"/>
      <c r="S358" s="364"/>
      <c r="T358" s="364"/>
      <c r="U358" s="364"/>
      <c r="V358" s="364"/>
      <c r="W358" s="364"/>
      <c r="X358" s="364"/>
      <c r="Y358" s="364"/>
      <c r="Z358" s="364"/>
      <c r="AA358" s="364" t="str">
        <f aca="false">IFERROR(__xludf.dummyfunction("""COMPUTED_VALUE"""),"")</f>
        <v/>
      </c>
      <c r="AB358" s="364"/>
    </row>
    <row r="359" customFormat="false" ht="15.75" hidden="false" customHeight="false" outlineLevel="0" collapsed="false">
      <c r="A359" s="364"/>
      <c r="B359" s="364"/>
      <c r="C359" s="261"/>
      <c r="D359" s="261"/>
      <c r="E359" s="261"/>
      <c r="F359" s="364"/>
      <c r="G359" s="261"/>
      <c r="H359" s="261"/>
      <c r="I359" s="364"/>
      <c r="J359" s="364"/>
      <c r="K359" s="364"/>
      <c r="L359" s="364"/>
      <c r="M359" s="364"/>
      <c r="N359" s="364"/>
      <c r="O359" s="364"/>
      <c r="P359" s="364"/>
      <c r="Q359" s="364"/>
      <c r="R359" s="364"/>
      <c r="S359" s="364"/>
      <c r="T359" s="364"/>
      <c r="U359" s="364"/>
      <c r="V359" s="364"/>
      <c r="W359" s="364"/>
      <c r="X359" s="364"/>
      <c r="Y359" s="364"/>
      <c r="Z359" s="364"/>
      <c r="AA359" s="364" t="str">
        <f aca="false">IFERROR(__xludf.dummyfunction("""COMPUTED_VALUE"""),"")</f>
        <v/>
      </c>
      <c r="AB359" s="364"/>
    </row>
    <row r="360" customFormat="false" ht="15.75" hidden="false" customHeight="false" outlineLevel="0" collapsed="false">
      <c r="A360" s="364"/>
      <c r="B360" s="364"/>
      <c r="C360" s="261"/>
      <c r="D360" s="261"/>
      <c r="E360" s="261"/>
      <c r="F360" s="364"/>
      <c r="G360" s="364"/>
      <c r="H360" s="261"/>
      <c r="I360" s="364"/>
      <c r="J360" s="364"/>
      <c r="K360" s="364"/>
      <c r="L360" s="364"/>
      <c r="M360" s="364"/>
      <c r="N360" s="364"/>
      <c r="O360" s="364"/>
      <c r="P360" s="364"/>
      <c r="Q360" s="364"/>
      <c r="R360" s="364"/>
      <c r="S360" s="364"/>
      <c r="T360" s="364"/>
      <c r="U360" s="364"/>
      <c r="V360" s="364"/>
      <c r="W360" s="364"/>
      <c r="X360" s="364"/>
      <c r="Y360" s="364"/>
      <c r="Z360" s="364"/>
      <c r="AA360" s="364" t="str">
        <f aca="false">IFERROR(__xludf.dummyfunction("""COMPUTED_VALUE"""),"")</f>
        <v/>
      </c>
      <c r="AB360" s="364"/>
    </row>
    <row r="361" customFormat="false" ht="15.75" hidden="false" customHeight="false" outlineLevel="0" collapsed="false">
      <c r="A361" s="364"/>
      <c r="B361" s="364"/>
      <c r="C361" s="261"/>
      <c r="D361" s="261"/>
      <c r="E361" s="261"/>
      <c r="F361" s="364"/>
      <c r="G361" s="261"/>
      <c r="H361" s="261"/>
      <c r="I361" s="364"/>
      <c r="J361" s="364"/>
      <c r="K361" s="364"/>
      <c r="L361" s="364"/>
      <c r="M361" s="364"/>
      <c r="N361" s="364"/>
      <c r="O361" s="364"/>
      <c r="P361" s="364"/>
      <c r="Q361" s="364"/>
      <c r="R361" s="364"/>
      <c r="S361" s="364"/>
      <c r="T361" s="364"/>
      <c r="U361" s="364"/>
      <c r="V361" s="364"/>
      <c r="W361" s="364"/>
      <c r="X361" s="364"/>
      <c r="Y361" s="364"/>
      <c r="Z361" s="364"/>
      <c r="AA361" s="364" t="str">
        <f aca="false">IFERROR(__xludf.dummyfunction("""COMPUTED_VALUE"""),"")</f>
        <v/>
      </c>
      <c r="AB361" s="364"/>
    </row>
    <row r="362" customFormat="false" ht="15.75" hidden="false" customHeight="false" outlineLevel="0" collapsed="false">
      <c r="A362" s="364"/>
      <c r="B362" s="364"/>
      <c r="C362" s="261"/>
      <c r="D362" s="261"/>
      <c r="E362" s="261"/>
      <c r="F362" s="364"/>
      <c r="G362" s="261"/>
      <c r="H362" s="261"/>
      <c r="I362" s="364"/>
      <c r="J362" s="364"/>
      <c r="K362" s="364"/>
      <c r="L362" s="364"/>
      <c r="M362" s="364"/>
      <c r="N362" s="364"/>
      <c r="O362" s="364"/>
      <c r="P362" s="364"/>
      <c r="Q362" s="364"/>
      <c r="R362" s="364"/>
      <c r="S362" s="364"/>
      <c r="T362" s="364"/>
      <c r="U362" s="364"/>
      <c r="V362" s="364"/>
      <c r="W362" s="364"/>
      <c r="X362" s="364"/>
      <c r="Y362" s="364"/>
      <c r="Z362" s="364"/>
      <c r="AA362" s="364" t="str">
        <f aca="false">IFERROR(__xludf.dummyfunction("""COMPUTED_VALUE"""),"")</f>
        <v/>
      </c>
      <c r="AB362" s="364"/>
    </row>
    <row r="363" customFormat="false" ht="15.75" hidden="false" customHeight="false" outlineLevel="0" collapsed="false">
      <c r="A363" s="364"/>
      <c r="B363" s="364"/>
      <c r="C363" s="261"/>
      <c r="D363" s="261"/>
      <c r="E363" s="261"/>
      <c r="F363" s="364"/>
      <c r="G363" s="261"/>
      <c r="H363" s="261"/>
      <c r="I363" s="364"/>
      <c r="J363" s="364"/>
      <c r="K363" s="364"/>
      <c r="L363" s="364"/>
      <c r="M363" s="364"/>
      <c r="N363" s="364"/>
      <c r="O363" s="364"/>
      <c r="P363" s="364"/>
      <c r="Q363" s="364"/>
      <c r="R363" s="364"/>
      <c r="S363" s="364"/>
      <c r="T363" s="364"/>
      <c r="U363" s="364"/>
      <c r="V363" s="364"/>
      <c r="W363" s="364"/>
      <c r="X363" s="364"/>
      <c r="Y363" s="364"/>
      <c r="Z363" s="364"/>
      <c r="AA363" s="364" t="str">
        <f aca="false">IFERROR(__xludf.dummyfunction("""COMPUTED_VALUE"""),"")</f>
        <v/>
      </c>
      <c r="AB363" s="364"/>
    </row>
    <row r="364" customFormat="false" ht="15.75" hidden="false" customHeight="false" outlineLevel="0" collapsed="false">
      <c r="A364" s="364"/>
      <c r="B364" s="364"/>
      <c r="C364" s="261"/>
      <c r="D364" s="261"/>
      <c r="E364" s="261"/>
      <c r="F364" s="364"/>
      <c r="G364" s="261"/>
      <c r="H364" s="261"/>
      <c r="I364" s="364"/>
      <c r="J364" s="364"/>
      <c r="K364" s="364"/>
      <c r="L364" s="364"/>
      <c r="M364" s="364"/>
      <c r="N364" s="364"/>
      <c r="O364" s="364"/>
      <c r="P364" s="364"/>
      <c r="Q364" s="364"/>
      <c r="R364" s="364"/>
      <c r="S364" s="364"/>
      <c r="T364" s="364"/>
      <c r="U364" s="364"/>
      <c r="V364" s="364"/>
      <c r="W364" s="364"/>
      <c r="X364" s="364"/>
      <c r="Y364" s="364"/>
      <c r="Z364" s="364"/>
      <c r="AA364" s="364" t="str">
        <f aca="false">IFERROR(__xludf.dummyfunction("""COMPUTED_VALUE"""),"")</f>
        <v/>
      </c>
      <c r="AB364" s="364"/>
    </row>
    <row r="365" customFormat="false" ht="15.75" hidden="false" customHeight="false" outlineLevel="0" collapsed="false">
      <c r="A365" s="364"/>
      <c r="B365" s="364"/>
      <c r="C365" s="261"/>
      <c r="D365" s="261"/>
      <c r="E365" s="261"/>
      <c r="F365" s="364"/>
      <c r="G365" s="261"/>
      <c r="H365" s="364"/>
      <c r="I365" s="364"/>
      <c r="J365" s="364"/>
      <c r="K365" s="364"/>
      <c r="L365" s="364"/>
      <c r="M365" s="364"/>
      <c r="N365" s="364"/>
      <c r="O365" s="364"/>
      <c r="P365" s="364"/>
      <c r="Q365" s="364"/>
      <c r="R365" s="364"/>
      <c r="S365" s="364"/>
      <c r="T365" s="364"/>
      <c r="U365" s="364"/>
      <c r="V365" s="364"/>
      <c r="W365" s="364"/>
      <c r="X365" s="364"/>
      <c r="Y365" s="364"/>
      <c r="Z365" s="364"/>
      <c r="AA365" s="364" t="str">
        <f aca="false">IFERROR(__xludf.dummyfunction("""COMPUTED_VALUE"""),"")</f>
        <v/>
      </c>
      <c r="AB365" s="364"/>
    </row>
    <row r="366" customFormat="false" ht="15.75" hidden="false" customHeight="false" outlineLevel="0" collapsed="false">
      <c r="A366" s="364"/>
      <c r="B366" s="364"/>
      <c r="C366" s="261"/>
      <c r="D366" s="261"/>
      <c r="E366" s="261"/>
      <c r="F366" s="364"/>
      <c r="G366" s="261"/>
      <c r="H366" s="261"/>
      <c r="I366" s="364"/>
      <c r="J366" s="364"/>
      <c r="K366" s="364"/>
      <c r="L366" s="364"/>
      <c r="M366" s="364"/>
      <c r="N366" s="364"/>
      <c r="O366" s="364"/>
      <c r="P366" s="364"/>
      <c r="Q366" s="364"/>
      <c r="R366" s="364"/>
      <c r="S366" s="364"/>
      <c r="T366" s="364"/>
      <c r="U366" s="364"/>
      <c r="V366" s="364"/>
      <c r="W366" s="364"/>
      <c r="X366" s="364"/>
      <c r="Y366" s="364"/>
      <c r="Z366" s="364"/>
      <c r="AA366" s="364" t="str">
        <f aca="false">IFERROR(__xludf.dummyfunction("""COMPUTED_VALUE"""),"")</f>
        <v/>
      </c>
      <c r="AB366" s="364"/>
    </row>
    <row r="367" customFormat="false" ht="15.75" hidden="false" customHeight="false" outlineLevel="0" collapsed="false">
      <c r="A367" s="364"/>
      <c r="B367" s="364"/>
      <c r="C367" s="261"/>
      <c r="D367" s="261"/>
      <c r="E367" s="261"/>
      <c r="F367" s="261"/>
      <c r="G367" s="261"/>
      <c r="H367" s="261"/>
      <c r="I367" s="364"/>
      <c r="J367" s="364"/>
      <c r="K367" s="364"/>
      <c r="L367" s="364"/>
      <c r="M367" s="364"/>
      <c r="N367" s="364"/>
      <c r="O367" s="364"/>
      <c r="P367" s="364"/>
      <c r="Q367" s="364"/>
      <c r="R367" s="364"/>
      <c r="S367" s="364"/>
      <c r="T367" s="364"/>
      <c r="U367" s="364"/>
      <c r="V367" s="364"/>
      <c r="W367" s="364"/>
      <c r="X367" s="364"/>
      <c r="Y367" s="364"/>
      <c r="Z367" s="364"/>
      <c r="AA367" s="364" t="str">
        <f aca="false">IFERROR(__xludf.dummyfunction("""COMPUTED_VALUE"""),"")</f>
        <v/>
      </c>
      <c r="AB367" s="364"/>
    </row>
    <row r="368" customFormat="false" ht="15.75" hidden="false" customHeight="false" outlineLevel="0" collapsed="false">
      <c r="A368" s="364"/>
      <c r="B368" s="364"/>
      <c r="C368" s="261"/>
      <c r="D368" s="261"/>
      <c r="E368" s="261"/>
      <c r="F368" s="364"/>
      <c r="G368" s="261"/>
      <c r="H368" s="261"/>
      <c r="I368" s="364"/>
      <c r="J368" s="364"/>
      <c r="K368" s="364"/>
      <c r="L368" s="364"/>
      <c r="M368" s="364"/>
      <c r="N368" s="364"/>
      <c r="O368" s="364"/>
      <c r="P368" s="364"/>
      <c r="Q368" s="364"/>
      <c r="R368" s="364"/>
      <c r="S368" s="364"/>
      <c r="T368" s="364"/>
      <c r="U368" s="364"/>
      <c r="V368" s="364"/>
      <c r="W368" s="364"/>
      <c r="X368" s="364"/>
      <c r="Y368" s="364"/>
      <c r="Z368" s="364"/>
      <c r="AA368" s="364" t="str">
        <f aca="false">IFERROR(__xludf.dummyfunction("""COMPUTED_VALUE"""),"")</f>
        <v/>
      </c>
      <c r="AB368" s="364"/>
    </row>
    <row r="369" customFormat="false" ht="15.75" hidden="false" customHeight="false" outlineLevel="0" collapsed="false">
      <c r="A369" s="364"/>
      <c r="B369" s="364"/>
      <c r="C369" s="261"/>
      <c r="D369" s="261"/>
      <c r="E369" s="261"/>
      <c r="F369" s="364"/>
      <c r="G369" s="261"/>
      <c r="H369" s="261"/>
      <c r="I369" s="364"/>
      <c r="J369" s="364"/>
      <c r="K369" s="364"/>
      <c r="L369" s="364"/>
      <c r="M369" s="364"/>
      <c r="N369" s="364"/>
      <c r="O369" s="364"/>
      <c r="P369" s="364"/>
      <c r="Q369" s="364"/>
      <c r="R369" s="364"/>
      <c r="S369" s="364"/>
      <c r="T369" s="364"/>
      <c r="U369" s="364"/>
      <c r="V369" s="364"/>
      <c r="W369" s="364"/>
      <c r="X369" s="364"/>
      <c r="Y369" s="364"/>
      <c r="Z369" s="364"/>
      <c r="AA369" s="364" t="str">
        <f aca="false">IFERROR(__xludf.dummyfunction("""COMPUTED_VALUE"""),"")</f>
        <v/>
      </c>
      <c r="AB369" s="364"/>
    </row>
    <row r="370" customFormat="false" ht="15.75" hidden="false" customHeight="false" outlineLevel="0" collapsed="false">
      <c r="A370" s="364"/>
      <c r="B370" s="364"/>
      <c r="C370" s="261"/>
      <c r="D370" s="261"/>
      <c r="E370" s="261"/>
      <c r="F370" s="364"/>
      <c r="G370" s="364"/>
      <c r="H370" s="261"/>
      <c r="I370" s="364"/>
      <c r="J370" s="364"/>
      <c r="K370" s="364"/>
      <c r="L370" s="364"/>
      <c r="M370" s="364"/>
      <c r="N370" s="364"/>
      <c r="O370" s="364"/>
      <c r="P370" s="364"/>
      <c r="Q370" s="364"/>
      <c r="R370" s="364"/>
      <c r="S370" s="364"/>
      <c r="T370" s="364"/>
      <c r="U370" s="364"/>
      <c r="V370" s="364"/>
      <c r="W370" s="364"/>
      <c r="X370" s="364"/>
      <c r="Y370" s="364"/>
      <c r="Z370" s="364"/>
      <c r="AA370" s="364" t="str">
        <f aca="false">IFERROR(__xludf.dummyfunction("""COMPUTED_VALUE"""),"")</f>
        <v/>
      </c>
      <c r="AB370" s="364"/>
    </row>
    <row r="371" customFormat="false" ht="15.75" hidden="false" customHeight="false" outlineLevel="0" collapsed="false">
      <c r="A371" s="364"/>
      <c r="B371" s="364"/>
      <c r="C371" s="261"/>
      <c r="D371" s="261"/>
      <c r="E371" s="261"/>
      <c r="F371" s="364"/>
      <c r="G371" s="261"/>
      <c r="H371" s="261"/>
      <c r="I371" s="364"/>
      <c r="J371" s="364"/>
      <c r="K371" s="364"/>
      <c r="L371" s="364"/>
      <c r="M371" s="364"/>
      <c r="N371" s="364"/>
      <c r="O371" s="364"/>
      <c r="P371" s="364"/>
      <c r="Q371" s="364"/>
      <c r="R371" s="364"/>
      <c r="S371" s="364"/>
      <c r="T371" s="364"/>
      <c r="U371" s="364"/>
      <c r="V371" s="364"/>
      <c r="W371" s="364"/>
      <c r="X371" s="364"/>
      <c r="Y371" s="364"/>
      <c r="Z371" s="364"/>
      <c r="AA371" s="364" t="str">
        <f aca="false">IFERROR(__xludf.dummyfunction("""COMPUTED_VALUE"""),"")</f>
        <v/>
      </c>
      <c r="AB371" s="364"/>
    </row>
    <row r="372" customFormat="false" ht="15.75" hidden="false" customHeight="false" outlineLevel="0" collapsed="false">
      <c r="A372" s="364"/>
      <c r="B372" s="364"/>
      <c r="C372" s="261"/>
      <c r="D372" s="261"/>
      <c r="E372" s="261"/>
      <c r="F372" s="364"/>
      <c r="G372" s="261"/>
      <c r="H372" s="261"/>
      <c r="I372" s="364"/>
      <c r="J372" s="364"/>
      <c r="K372" s="364"/>
      <c r="L372" s="364"/>
      <c r="M372" s="364"/>
      <c r="N372" s="364"/>
      <c r="O372" s="364"/>
      <c r="P372" s="364"/>
      <c r="Q372" s="364"/>
      <c r="R372" s="364"/>
      <c r="S372" s="364"/>
      <c r="T372" s="364"/>
      <c r="U372" s="364"/>
      <c r="V372" s="364"/>
      <c r="W372" s="364"/>
      <c r="X372" s="364"/>
      <c r="Y372" s="364"/>
      <c r="Z372" s="364"/>
      <c r="AA372" s="364" t="str">
        <f aca="false">IFERROR(__xludf.dummyfunction("""COMPUTED_VALUE"""),"")</f>
        <v/>
      </c>
      <c r="AB372" s="364"/>
    </row>
    <row r="373" customFormat="false" ht="15.75" hidden="false" customHeight="false" outlineLevel="0" collapsed="false">
      <c r="A373" s="364"/>
      <c r="B373" s="364"/>
      <c r="C373" s="261"/>
      <c r="D373" s="261"/>
      <c r="E373" s="261"/>
      <c r="F373" s="364"/>
      <c r="G373" s="261"/>
      <c r="H373" s="261"/>
      <c r="I373" s="364"/>
      <c r="J373" s="364"/>
      <c r="K373" s="364"/>
      <c r="L373" s="364"/>
      <c r="M373" s="364"/>
      <c r="N373" s="364"/>
      <c r="O373" s="364"/>
      <c r="P373" s="364"/>
      <c r="Q373" s="364"/>
      <c r="R373" s="364"/>
      <c r="S373" s="364"/>
      <c r="T373" s="364"/>
      <c r="U373" s="364"/>
      <c r="V373" s="364"/>
      <c r="W373" s="364"/>
      <c r="X373" s="364"/>
      <c r="Y373" s="364"/>
      <c r="Z373" s="364"/>
      <c r="AA373" s="364" t="str">
        <f aca="false">IFERROR(__xludf.dummyfunction("""COMPUTED_VALUE"""),"")</f>
        <v/>
      </c>
      <c r="AB373" s="364"/>
    </row>
    <row r="374" customFormat="false" ht="15.75" hidden="false" customHeight="false" outlineLevel="0" collapsed="false">
      <c r="A374" s="364"/>
      <c r="B374" s="364"/>
      <c r="C374" s="261"/>
      <c r="D374" s="261"/>
      <c r="E374" s="261"/>
      <c r="F374" s="261"/>
      <c r="G374" s="261"/>
      <c r="H374" s="261"/>
      <c r="I374" s="364"/>
      <c r="J374" s="364"/>
      <c r="K374" s="364"/>
      <c r="L374" s="364"/>
      <c r="M374" s="364"/>
      <c r="N374" s="364"/>
      <c r="O374" s="364"/>
      <c r="P374" s="364"/>
      <c r="Q374" s="364"/>
      <c r="R374" s="364"/>
      <c r="S374" s="364"/>
      <c r="T374" s="364"/>
      <c r="U374" s="364"/>
      <c r="V374" s="364"/>
      <c r="W374" s="364"/>
      <c r="X374" s="364"/>
      <c r="Y374" s="364"/>
      <c r="Z374" s="364"/>
      <c r="AA374" s="364" t="str">
        <f aca="false">IFERROR(__xludf.dummyfunction("""COMPUTED_VALUE"""),"")</f>
        <v/>
      </c>
      <c r="AB374" s="364"/>
    </row>
    <row r="375" customFormat="false" ht="15.75" hidden="false" customHeight="false" outlineLevel="0" collapsed="false">
      <c r="A375" s="364"/>
      <c r="B375" s="364"/>
      <c r="C375" s="261"/>
      <c r="D375" s="261"/>
      <c r="E375" s="261"/>
      <c r="F375" s="364"/>
      <c r="G375" s="261"/>
      <c r="H375" s="261"/>
      <c r="I375" s="364"/>
      <c r="J375" s="364"/>
      <c r="K375" s="364"/>
      <c r="L375" s="364"/>
      <c r="M375" s="364"/>
      <c r="N375" s="364"/>
      <c r="O375" s="364"/>
      <c r="P375" s="364"/>
      <c r="Q375" s="364"/>
      <c r="R375" s="364"/>
      <c r="S375" s="364"/>
      <c r="T375" s="364"/>
      <c r="U375" s="364"/>
      <c r="V375" s="364"/>
      <c r="W375" s="364"/>
      <c r="X375" s="364"/>
      <c r="Y375" s="364"/>
      <c r="Z375" s="364"/>
      <c r="AA375" s="364" t="str">
        <f aca="false">IFERROR(__xludf.dummyfunction("""COMPUTED_VALUE"""),"")</f>
        <v/>
      </c>
      <c r="AB375" s="364"/>
    </row>
    <row r="376" customFormat="false" ht="15.75" hidden="false" customHeight="false" outlineLevel="0" collapsed="false">
      <c r="A376" s="364"/>
      <c r="B376" s="364"/>
      <c r="C376" s="261"/>
      <c r="D376" s="261"/>
      <c r="E376" s="261"/>
      <c r="F376" s="364"/>
      <c r="G376" s="261"/>
      <c r="H376" s="261"/>
      <c r="I376" s="364"/>
      <c r="J376" s="364"/>
      <c r="K376" s="364"/>
      <c r="L376" s="364"/>
      <c r="M376" s="364"/>
      <c r="N376" s="364"/>
      <c r="O376" s="364"/>
      <c r="P376" s="364"/>
      <c r="Q376" s="364"/>
      <c r="R376" s="364"/>
      <c r="S376" s="364"/>
      <c r="T376" s="364"/>
      <c r="U376" s="364"/>
      <c r="V376" s="364"/>
      <c r="W376" s="364"/>
      <c r="X376" s="364"/>
      <c r="Y376" s="364"/>
      <c r="Z376" s="364"/>
      <c r="AA376" s="364" t="str">
        <f aca="false">IFERROR(__xludf.dummyfunction("""COMPUTED_VALUE"""),"")</f>
        <v/>
      </c>
      <c r="AB376" s="364"/>
    </row>
    <row r="377" customFormat="false" ht="15.75" hidden="false" customHeight="false" outlineLevel="0" collapsed="false">
      <c r="A377" s="364"/>
      <c r="B377" s="364"/>
      <c r="C377" s="261"/>
      <c r="D377" s="261"/>
      <c r="E377" s="261"/>
      <c r="F377" s="364"/>
      <c r="G377" s="261"/>
      <c r="H377" s="261"/>
      <c r="I377" s="364"/>
      <c r="J377" s="364"/>
      <c r="K377" s="364"/>
      <c r="L377" s="364"/>
      <c r="M377" s="364"/>
      <c r="N377" s="364"/>
      <c r="O377" s="364"/>
      <c r="P377" s="364"/>
      <c r="Q377" s="364"/>
      <c r="R377" s="364"/>
      <c r="S377" s="364"/>
      <c r="T377" s="364"/>
      <c r="U377" s="364"/>
      <c r="V377" s="364"/>
      <c r="W377" s="364"/>
      <c r="X377" s="364"/>
      <c r="Y377" s="364"/>
      <c r="Z377" s="364"/>
      <c r="AA377" s="364" t="str">
        <f aca="false">IFERROR(__xludf.dummyfunction("""COMPUTED_VALUE"""),"")</f>
        <v/>
      </c>
      <c r="AB377" s="364"/>
    </row>
    <row r="378" customFormat="false" ht="15.75" hidden="false" customHeight="false" outlineLevel="0" collapsed="false">
      <c r="A378" s="364"/>
      <c r="B378" s="364"/>
      <c r="C378" s="261"/>
      <c r="D378" s="261"/>
      <c r="E378" s="261"/>
      <c r="F378" s="364"/>
      <c r="G378" s="261"/>
      <c r="H378" s="364"/>
      <c r="I378" s="364"/>
      <c r="J378" s="364"/>
      <c r="K378" s="364"/>
      <c r="L378" s="364"/>
      <c r="M378" s="364"/>
      <c r="N378" s="364"/>
      <c r="O378" s="364"/>
      <c r="P378" s="364"/>
      <c r="Q378" s="364"/>
      <c r="R378" s="364"/>
      <c r="S378" s="364"/>
      <c r="T378" s="364"/>
      <c r="U378" s="364"/>
      <c r="V378" s="364"/>
      <c r="W378" s="364"/>
      <c r="X378" s="364"/>
      <c r="Y378" s="364"/>
      <c r="Z378" s="364"/>
      <c r="AA378" s="364" t="str">
        <f aca="false">IFERROR(__xludf.dummyfunction("""COMPUTED_VALUE"""),"")</f>
        <v/>
      </c>
      <c r="AB378" s="364"/>
    </row>
    <row r="379" customFormat="false" ht="15.75" hidden="false" customHeight="false" outlineLevel="0" collapsed="false">
      <c r="A379" s="364"/>
      <c r="B379" s="364"/>
      <c r="C379" s="261"/>
      <c r="D379" s="261"/>
      <c r="E379" s="261"/>
      <c r="F379" s="261"/>
      <c r="G379" s="261"/>
      <c r="H379" s="261"/>
      <c r="I379" s="364"/>
      <c r="J379" s="364"/>
      <c r="K379" s="364"/>
      <c r="L379" s="364"/>
      <c r="M379" s="364"/>
      <c r="N379" s="364"/>
      <c r="O379" s="364"/>
      <c r="P379" s="364"/>
      <c r="Q379" s="364"/>
      <c r="R379" s="364"/>
      <c r="S379" s="364"/>
      <c r="T379" s="364"/>
      <c r="U379" s="364"/>
      <c r="V379" s="364"/>
      <c r="W379" s="364"/>
      <c r="X379" s="364"/>
      <c r="Y379" s="364"/>
      <c r="Z379" s="364"/>
      <c r="AA379" s="364" t="str">
        <f aca="false">IFERROR(__xludf.dummyfunction("""COMPUTED_VALUE"""),"")</f>
        <v/>
      </c>
      <c r="AB379" s="364"/>
    </row>
    <row r="380" customFormat="false" ht="15.75" hidden="false" customHeight="false" outlineLevel="0" collapsed="false">
      <c r="A380" s="364"/>
      <c r="B380" s="364"/>
      <c r="C380" s="261"/>
      <c r="D380" s="261"/>
      <c r="E380" s="261"/>
      <c r="F380" s="364"/>
      <c r="G380" s="261"/>
      <c r="H380" s="261"/>
      <c r="I380" s="364"/>
      <c r="J380" s="364"/>
      <c r="K380" s="364"/>
      <c r="L380" s="364"/>
      <c r="M380" s="364"/>
      <c r="N380" s="364"/>
      <c r="O380" s="364"/>
      <c r="P380" s="364"/>
      <c r="Q380" s="364"/>
      <c r="R380" s="364"/>
      <c r="S380" s="364"/>
      <c r="T380" s="364"/>
      <c r="U380" s="364"/>
      <c r="V380" s="364"/>
      <c r="W380" s="364"/>
      <c r="X380" s="364"/>
      <c r="Y380" s="364"/>
      <c r="Z380" s="364"/>
      <c r="AA380" s="364" t="str">
        <f aca="false">IFERROR(__xludf.dummyfunction("""COMPUTED_VALUE"""),"")</f>
        <v/>
      </c>
      <c r="AB380" s="364"/>
    </row>
    <row r="381" customFormat="false" ht="15.75" hidden="false" customHeight="false" outlineLevel="0" collapsed="false">
      <c r="A381" s="364"/>
      <c r="B381" s="364"/>
      <c r="C381" s="261"/>
      <c r="D381" s="261"/>
      <c r="E381" s="261"/>
      <c r="F381" s="364"/>
      <c r="G381" s="261"/>
      <c r="H381" s="261"/>
      <c r="I381" s="364"/>
      <c r="J381" s="364"/>
      <c r="K381" s="364"/>
      <c r="L381" s="364"/>
      <c r="M381" s="364"/>
      <c r="N381" s="364"/>
      <c r="O381" s="364"/>
      <c r="P381" s="364"/>
      <c r="Q381" s="364"/>
      <c r="R381" s="364"/>
      <c r="S381" s="364"/>
      <c r="T381" s="364"/>
      <c r="U381" s="364"/>
      <c r="V381" s="364"/>
      <c r="W381" s="364"/>
      <c r="X381" s="364"/>
      <c r="Y381" s="364"/>
      <c r="Z381" s="364"/>
      <c r="AA381" s="364" t="str">
        <f aca="false">IFERROR(__xludf.dummyfunction("""COMPUTED_VALUE"""),"")</f>
        <v/>
      </c>
      <c r="AB381" s="364"/>
    </row>
    <row r="382" customFormat="false" ht="15.75" hidden="false" customHeight="false" outlineLevel="0" collapsed="false">
      <c r="A382" s="364"/>
      <c r="B382" s="364"/>
      <c r="C382" s="261"/>
      <c r="D382" s="261"/>
      <c r="E382" s="261"/>
      <c r="F382" s="364"/>
      <c r="G382" s="261"/>
      <c r="H382" s="261"/>
      <c r="I382" s="364"/>
      <c r="J382" s="364"/>
      <c r="K382" s="364"/>
      <c r="L382" s="364"/>
      <c r="M382" s="364"/>
      <c r="N382" s="364"/>
      <c r="O382" s="364"/>
      <c r="P382" s="364"/>
      <c r="Q382" s="364"/>
      <c r="R382" s="364"/>
      <c r="S382" s="364"/>
      <c r="T382" s="364"/>
      <c r="U382" s="364"/>
      <c r="V382" s="364"/>
      <c r="W382" s="364"/>
      <c r="X382" s="364"/>
      <c r="Y382" s="364"/>
      <c r="Z382" s="364"/>
      <c r="AA382" s="364" t="str">
        <f aca="false">IFERROR(__xludf.dummyfunction("""COMPUTED_VALUE"""),"")</f>
        <v/>
      </c>
      <c r="AB382" s="364"/>
    </row>
    <row r="383" customFormat="false" ht="15.75" hidden="false" customHeight="false" outlineLevel="0" collapsed="false">
      <c r="A383" s="364"/>
      <c r="B383" s="364"/>
      <c r="C383" s="261"/>
      <c r="D383" s="261"/>
      <c r="E383" s="261"/>
      <c r="F383" s="261"/>
      <c r="G383" s="261"/>
      <c r="H383" s="261"/>
      <c r="I383" s="364"/>
      <c r="J383" s="364"/>
      <c r="K383" s="364"/>
      <c r="L383" s="364"/>
      <c r="M383" s="364"/>
      <c r="N383" s="364"/>
      <c r="O383" s="364"/>
      <c r="P383" s="364"/>
      <c r="Q383" s="364"/>
      <c r="R383" s="364"/>
      <c r="S383" s="364"/>
      <c r="T383" s="364"/>
      <c r="U383" s="364"/>
      <c r="V383" s="364"/>
      <c r="W383" s="364"/>
      <c r="X383" s="364"/>
      <c r="Y383" s="364"/>
      <c r="Z383" s="364"/>
      <c r="AA383" s="364" t="str">
        <f aca="false">IFERROR(__xludf.dummyfunction("""COMPUTED_VALUE"""),"")</f>
        <v/>
      </c>
      <c r="AB383" s="364"/>
    </row>
    <row r="384" customFormat="false" ht="15.75" hidden="false" customHeight="false" outlineLevel="0" collapsed="false">
      <c r="A384" s="364"/>
      <c r="B384" s="364"/>
      <c r="C384" s="261"/>
      <c r="D384" s="261"/>
      <c r="E384" s="261"/>
      <c r="F384" s="364"/>
      <c r="G384" s="261"/>
      <c r="H384" s="261"/>
      <c r="I384" s="364"/>
      <c r="J384" s="364"/>
      <c r="K384" s="364"/>
      <c r="L384" s="364"/>
      <c r="M384" s="364"/>
      <c r="N384" s="364"/>
      <c r="O384" s="364"/>
      <c r="P384" s="364"/>
      <c r="Q384" s="364"/>
      <c r="R384" s="364"/>
      <c r="S384" s="364"/>
      <c r="T384" s="364"/>
      <c r="U384" s="364"/>
      <c r="V384" s="364"/>
      <c r="W384" s="364"/>
      <c r="X384" s="364"/>
      <c r="Y384" s="364"/>
      <c r="Z384" s="364"/>
      <c r="AA384" s="364" t="str">
        <f aca="false">IFERROR(__xludf.dummyfunction("""COMPUTED_VALUE"""),"")</f>
        <v/>
      </c>
      <c r="AB384" s="364"/>
    </row>
    <row r="385" customFormat="false" ht="15.75" hidden="false" customHeight="false" outlineLevel="0" collapsed="false">
      <c r="A385" s="364"/>
      <c r="B385" s="364"/>
      <c r="C385" s="261"/>
      <c r="D385" s="261"/>
      <c r="E385" s="261"/>
      <c r="F385" s="364"/>
      <c r="G385" s="261"/>
      <c r="H385" s="261"/>
      <c r="I385" s="364"/>
      <c r="J385" s="364"/>
      <c r="K385" s="364"/>
      <c r="L385" s="364"/>
      <c r="M385" s="364"/>
      <c r="N385" s="364"/>
      <c r="O385" s="364"/>
      <c r="P385" s="364"/>
      <c r="Q385" s="364"/>
      <c r="R385" s="364"/>
      <c r="S385" s="364"/>
      <c r="T385" s="364"/>
      <c r="U385" s="364"/>
      <c r="V385" s="364"/>
      <c r="W385" s="364"/>
      <c r="X385" s="364"/>
      <c r="Y385" s="364"/>
      <c r="Z385" s="364"/>
      <c r="AA385" s="364" t="str">
        <f aca="false">IFERROR(__xludf.dummyfunction("""COMPUTED_VALUE"""),"")</f>
        <v/>
      </c>
      <c r="AB385" s="364"/>
    </row>
    <row r="386" customFormat="false" ht="15.75" hidden="false" customHeight="false" outlineLevel="0" collapsed="false">
      <c r="A386" s="364"/>
      <c r="B386" s="364"/>
      <c r="C386" s="261"/>
      <c r="D386" s="261"/>
      <c r="E386" s="261"/>
      <c r="F386" s="364"/>
      <c r="G386" s="261"/>
      <c r="H386" s="364"/>
      <c r="I386" s="364"/>
      <c r="J386" s="364"/>
      <c r="K386" s="364"/>
      <c r="L386" s="364"/>
      <c r="M386" s="364"/>
      <c r="N386" s="364"/>
      <c r="O386" s="364"/>
      <c r="P386" s="364"/>
      <c r="Q386" s="364"/>
      <c r="R386" s="364"/>
      <c r="S386" s="364"/>
      <c r="T386" s="364"/>
      <c r="U386" s="364"/>
      <c r="V386" s="364"/>
      <c r="W386" s="364"/>
      <c r="X386" s="364"/>
      <c r="Y386" s="364"/>
      <c r="Z386" s="364"/>
      <c r="AA386" s="364" t="str">
        <f aca="false">IFERROR(__xludf.dummyfunction("""COMPUTED_VALUE"""),"")</f>
        <v/>
      </c>
      <c r="AB386" s="364"/>
    </row>
    <row r="387" customFormat="false" ht="15.75" hidden="false" customHeight="false" outlineLevel="0" collapsed="false">
      <c r="A387" s="364"/>
      <c r="B387" s="364"/>
      <c r="C387" s="261"/>
      <c r="D387" s="261"/>
      <c r="E387" s="261"/>
      <c r="F387" s="364"/>
      <c r="G387" s="261"/>
      <c r="H387" s="261"/>
      <c r="I387" s="364"/>
      <c r="J387" s="364"/>
      <c r="K387" s="364"/>
      <c r="L387" s="364"/>
      <c r="M387" s="364"/>
      <c r="N387" s="364"/>
      <c r="O387" s="364"/>
      <c r="P387" s="364"/>
      <c r="Q387" s="364"/>
      <c r="R387" s="364"/>
      <c r="S387" s="364"/>
      <c r="T387" s="364"/>
      <c r="U387" s="364"/>
      <c r="V387" s="364"/>
      <c r="W387" s="364"/>
      <c r="X387" s="364"/>
      <c r="Y387" s="364"/>
      <c r="Z387" s="364"/>
      <c r="AA387" s="364" t="str">
        <f aca="false">IFERROR(__xludf.dummyfunction("""COMPUTED_VALUE"""),"")</f>
        <v/>
      </c>
      <c r="AB387" s="364"/>
    </row>
    <row r="388" customFormat="false" ht="15.75" hidden="false" customHeight="false" outlineLevel="0" collapsed="false">
      <c r="A388" s="364"/>
      <c r="B388" s="364"/>
      <c r="C388" s="261"/>
      <c r="D388" s="261"/>
      <c r="E388" s="261"/>
      <c r="F388" s="364"/>
      <c r="G388" s="261"/>
      <c r="H388" s="261"/>
      <c r="I388" s="364"/>
      <c r="J388" s="364"/>
      <c r="K388" s="364"/>
      <c r="L388" s="364"/>
      <c r="M388" s="364"/>
      <c r="N388" s="364"/>
      <c r="O388" s="364"/>
      <c r="P388" s="364"/>
      <c r="Q388" s="364"/>
      <c r="R388" s="364"/>
      <c r="S388" s="364"/>
      <c r="T388" s="364"/>
      <c r="U388" s="364"/>
      <c r="V388" s="364"/>
      <c r="W388" s="364"/>
      <c r="X388" s="364"/>
      <c r="Y388" s="364"/>
      <c r="Z388" s="364"/>
      <c r="AA388" s="364" t="str">
        <f aca="false">IFERROR(__xludf.dummyfunction("""COMPUTED_VALUE"""),"")</f>
        <v/>
      </c>
      <c r="AB388" s="364"/>
    </row>
    <row r="389" customFormat="false" ht="15.75" hidden="false" customHeight="false" outlineLevel="0" collapsed="false">
      <c r="A389" s="364"/>
      <c r="B389" s="364"/>
      <c r="C389" s="261"/>
      <c r="D389" s="261"/>
      <c r="E389" s="261"/>
      <c r="F389" s="261"/>
      <c r="G389" s="261"/>
      <c r="H389" s="261"/>
      <c r="I389" s="364"/>
      <c r="J389" s="364"/>
      <c r="K389" s="364"/>
      <c r="L389" s="364"/>
      <c r="M389" s="364"/>
      <c r="N389" s="364"/>
      <c r="O389" s="364"/>
      <c r="P389" s="364"/>
      <c r="Q389" s="364"/>
      <c r="R389" s="364"/>
      <c r="S389" s="364"/>
      <c r="T389" s="364"/>
      <c r="U389" s="364"/>
      <c r="V389" s="364"/>
      <c r="W389" s="364"/>
      <c r="X389" s="364"/>
      <c r="Y389" s="364"/>
      <c r="Z389" s="364"/>
      <c r="AA389" s="364" t="str">
        <f aca="false">IFERROR(__xludf.dummyfunction("""COMPUTED_VALUE"""),"")</f>
        <v/>
      </c>
      <c r="AB389" s="364"/>
    </row>
    <row r="390" customFormat="false" ht="15.75" hidden="false" customHeight="false" outlineLevel="0" collapsed="false">
      <c r="A390" s="364"/>
      <c r="B390" s="364"/>
      <c r="C390" s="261"/>
      <c r="D390" s="261"/>
      <c r="E390" s="261"/>
      <c r="F390" s="364"/>
      <c r="G390" s="261"/>
      <c r="H390" s="261"/>
      <c r="I390" s="364"/>
      <c r="J390" s="364"/>
      <c r="K390" s="364"/>
      <c r="L390" s="364"/>
      <c r="M390" s="364"/>
      <c r="N390" s="364"/>
      <c r="O390" s="364"/>
      <c r="P390" s="364"/>
      <c r="Q390" s="364"/>
      <c r="R390" s="364"/>
      <c r="S390" s="364"/>
      <c r="T390" s="364"/>
      <c r="U390" s="364"/>
      <c r="V390" s="364"/>
      <c r="W390" s="364"/>
      <c r="X390" s="364"/>
      <c r="Y390" s="364"/>
      <c r="Z390" s="364"/>
      <c r="AA390" s="364" t="str">
        <f aca="false">IFERROR(__xludf.dummyfunction("""COMPUTED_VALUE"""),"")</f>
        <v/>
      </c>
      <c r="AB390" s="364"/>
    </row>
    <row r="391" customFormat="false" ht="15.75" hidden="false" customHeight="false" outlineLevel="0" collapsed="false">
      <c r="A391" s="364"/>
      <c r="B391" s="364"/>
      <c r="C391" s="261"/>
      <c r="D391" s="261"/>
      <c r="E391" s="261"/>
      <c r="F391" s="364"/>
      <c r="G391" s="261"/>
      <c r="H391" s="261"/>
      <c r="I391" s="364"/>
      <c r="J391" s="364"/>
      <c r="K391" s="364"/>
      <c r="L391" s="364"/>
      <c r="M391" s="364"/>
      <c r="N391" s="364"/>
      <c r="O391" s="364"/>
      <c r="P391" s="364"/>
      <c r="Q391" s="364"/>
      <c r="R391" s="364"/>
      <c r="S391" s="364"/>
      <c r="T391" s="364"/>
      <c r="U391" s="364"/>
      <c r="V391" s="364"/>
      <c r="W391" s="364"/>
      <c r="X391" s="364"/>
      <c r="Y391" s="364"/>
      <c r="Z391" s="364"/>
      <c r="AA391" s="364" t="str">
        <f aca="false">IFERROR(__xludf.dummyfunction("""COMPUTED_VALUE"""),"")</f>
        <v/>
      </c>
      <c r="AB391" s="364"/>
    </row>
    <row r="392" customFormat="false" ht="15.75" hidden="false" customHeight="false" outlineLevel="0" collapsed="false">
      <c r="A392" s="364"/>
      <c r="B392" s="364"/>
      <c r="C392" s="261"/>
      <c r="D392" s="261"/>
      <c r="E392" s="261"/>
      <c r="F392" s="364"/>
      <c r="G392" s="261"/>
      <c r="H392" s="261"/>
      <c r="I392" s="364"/>
      <c r="J392" s="364"/>
      <c r="K392" s="364"/>
      <c r="L392" s="364"/>
      <c r="M392" s="364"/>
      <c r="N392" s="364"/>
      <c r="O392" s="364"/>
      <c r="P392" s="364"/>
      <c r="Q392" s="364"/>
      <c r="R392" s="364"/>
      <c r="S392" s="364"/>
      <c r="T392" s="364"/>
      <c r="U392" s="364"/>
      <c r="V392" s="364"/>
      <c r="W392" s="364"/>
      <c r="X392" s="364"/>
      <c r="Y392" s="364"/>
      <c r="Z392" s="364"/>
      <c r="AA392" s="364" t="str">
        <f aca="false">IFERROR(__xludf.dummyfunction("""COMPUTED_VALUE"""),"")</f>
        <v/>
      </c>
      <c r="AB392" s="364"/>
    </row>
    <row r="393" customFormat="false" ht="15.75" hidden="false" customHeight="false" outlineLevel="0" collapsed="false">
      <c r="A393" s="364"/>
      <c r="B393" s="364"/>
      <c r="C393" s="261"/>
      <c r="D393" s="261"/>
      <c r="E393" s="261"/>
      <c r="F393" s="261"/>
      <c r="G393" s="261"/>
      <c r="H393" s="261"/>
      <c r="I393" s="364"/>
      <c r="J393" s="364"/>
      <c r="K393" s="364"/>
      <c r="L393" s="364"/>
      <c r="M393" s="364"/>
      <c r="N393" s="364"/>
      <c r="O393" s="364"/>
      <c r="P393" s="364"/>
      <c r="Q393" s="364"/>
      <c r="R393" s="364"/>
      <c r="S393" s="364"/>
      <c r="T393" s="364"/>
      <c r="U393" s="364"/>
      <c r="V393" s="364"/>
      <c r="W393" s="364"/>
      <c r="X393" s="364"/>
      <c r="Y393" s="364"/>
      <c r="Z393" s="364"/>
      <c r="AA393" s="364" t="str">
        <f aca="false">IFERROR(__xludf.dummyfunction("""COMPUTED_VALUE"""),"")</f>
        <v/>
      </c>
      <c r="AB393" s="364"/>
    </row>
    <row r="394" customFormat="false" ht="15.75" hidden="false" customHeight="false" outlineLevel="0" collapsed="false">
      <c r="A394" s="364"/>
      <c r="B394" s="364"/>
      <c r="C394" s="261"/>
      <c r="D394" s="261"/>
      <c r="E394" s="261"/>
      <c r="F394" s="364"/>
      <c r="G394" s="364"/>
      <c r="H394" s="261"/>
      <c r="I394" s="364"/>
      <c r="J394" s="364"/>
      <c r="K394" s="364"/>
      <c r="L394" s="364"/>
      <c r="M394" s="364"/>
      <c r="N394" s="364"/>
      <c r="O394" s="364"/>
      <c r="P394" s="364"/>
      <c r="Q394" s="364"/>
      <c r="R394" s="364"/>
      <c r="S394" s="364"/>
      <c r="T394" s="364"/>
      <c r="U394" s="364"/>
      <c r="V394" s="364"/>
      <c r="W394" s="364"/>
      <c r="X394" s="364"/>
      <c r="Y394" s="364"/>
      <c r="Z394" s="364"/>
      <c r="AA394" s="364" t="str">
        <f aca="false">IFERROR(__xludf.dummyfunction("""COMPUTED_VALUE"""),"")</f>
        <v/>
      </c>
      <c r="AB394" s="364"/>
    </row>
    <row r="395" customFormat="false" ht="15.75" hidden="false" customHeight="false" outlineLevel="0" collapsed="false">
      <c r="A395" s="364"/>
      <c r="B395" s="364"/>
      <c r="C395" s="261"/>
      <c r="D395" s="261"/>
      <c r="E395" s="261"/>
      <c r="F395" s="364"/>
      <c r="G395" s="364"/>
      <c r="H395" s="261"/>
      <c r="I395" s="364"/>
      <c r="J395" s="364"/>
      <c r="K395" s="364"/>
      <c r="L395" s="364"/>
      <c r="M395" s="364"/>
      <c r="N395" s="364"/>
      <c r="O395" s="364"/>
      <c r="P395" s="364"/>
      <c r="Q395" s="364"/>
      <c r="R395" s="364"/>
      <c r="S395" s="364"/>
      <c r="T395" s="364"/>
      <c r="U395" s="364"/>
      <c r="V395" s="364"/>
      <c r="W395" s="364"/>
      <c r="X395" s="364"/>
      <c r="Y395" s="364"/>
      <c r="Z395" s="364"/>
      <c r="AA395" s="364" t="str">
        <f aca="false">IFERROR(__xludf.dummyfunction("""COMPUTED_VALUE"""),"")</f>
        <v/>
      </c>
      <c r="AB395" s="364"/>
    </row>
    <row r="396" customFormat="false" ht="15.75" hidden="false" customHeight="false" outlineLevel="0" collapsed="false">
      <c r="A396" s="364"/>
      <c r="B396" s="364"/>
      <c r="C396" s="261"/>
      <c r="D396" s="261"/>
      <c r="E396" s="261"/>
      <c r="F396" s="364"/>
      <c r="G396" s="261"/>
      <c r="H396" s="261"/>
      <c r="I396" s="364"/>
      <c r="J396" s="364"/>
      <c r="K396" s="364"/>
      <c r="L396" s="364"/>
      <c r="M396" s="364"/>
      <c r="N396" s="364"/>
      <c r="O396" s="364"/>
      <c r="P396" s="364"/>
      <c r="Q396" s="364"/>
      <c r="R396" s="364"/>
      <c r="S396" s="364"/>
      <c r="T396" s="364"/>
      <c r="U396" s="364"/>
      <c r="V396" s="364"/>
      <c r="W396" s="364"/>
      <c r="X396" s="364"/>
      <c r="Y396" s="364"/>
      <c r="Z396" s="364"/>
      <c r="AA396" s="364" t="str">
        <f aca="false">IFERROR(__xludf.dummyfunction("""COMPUTED_VALUE"""),"")</f>
        <v/>
      </c>
      <c r="AB396" s="364"/>
    </row>
    <row r="397" customFormat="false" ht="15.75" hidden="false" customHeight="false" outlineLevel="0" collapsed="false">
      <c r="A397" s="364"/>
      <c r="B397" s="364"/>
      <c r="C397" s="261"/>
      <c r="D397" s="261"/>
      <c r="E397" s="261"/>
      <c r="F397" s="261"/>
      <c r="G397" s="261"/>
      <c r="H397" s="261"/>
      <c r="I397" s="364"/>
      <c r="J397" s="364"/>
      <c r="K397" s="364"/>
      <c r="L397" s="364"/>
      <c r="M397" s="364"/>
      <c r="N397" s="364"/>
      <c r="O397" s="364"/>
      <c r="P397" s="364"/>
      <c r="Q397" s="364"/>
      <c r="R397" s="364"/>
      <c r="S397" s="364"/>
      <c r="T397" s="364"/>
      <c r="U397" s="364"/>
      <c r="V397" s="364"/>
      <c r="W397" s="364"/>
      <c r="X397" s="364"/>
      <c r="Y397" s="364"/>
      <c r="Z397" s="364"/>
      <c r="AA397" s="364" t="str">
        <f aca="false">IFERROR(__xludf.dummyfunction("""COMPUTED_VALUE"""),"")</f>
        <v/>
      </c>
      <c r="AB397" s="364"/>
    </row>
    <row r="398" customFormat="false" ht="15.75" hidden="false" customHeight="false" outlineLevel="0" collapsed="false">
      <c r="A398" s="364"/>
      <c r="B398" s="364"/>
      <c r="C398" s="261"/>
      <c r="D398" s="261"/>
      <c r="E398" s="261"/>
      <c r="F398" s="364"/>
      <c r="G398" s="261"/>
      <c r="H398" s="261"/>
      <c r="I398" s="364"/>
      <c r="J398" s="364"/>
      <c r="K398" s="364"/>
      <c r="L398" s="364"/>
      <c r="M398" s="364"/>
      <c r="N398" s="364"/>
      <c r="O398" s="364"/>
      <c r="P398" s="364"/>
      <c r="Q398" s="364"/>
      <c r="R398" s="364"/>
      <c r="S398" s="364"/>
      <c r="T398" s="364"/>
      <c r="U398" s="364"/>
      <c r="V398" s="364"/>
      <c r="W398" s="364"/>
      <c r="X398" s="364"/>
      <c r="Y398" s="364"/>
      <c r="Z398" s="364"/>
      <c r="AA398" s="364" t="str">
        <f aca="false">IFERROR(__xludf.dummyfunction("""COMPUTED_VALUE"""),"")</f>
        <v/>
      </c>
      <c r="AB398" s="364"/>
    </row>
    <row r="399" customFormat="false" ht="15.75" hidden="false" customHeight="false" outlineLevel="0" collapsed="false">
      <c r="A399" s="364"/>
      <c r="B399" s="364"/>
      <c r="C399" s="261"/>
      <c r="D399" s="261"/>
      <c r="E399" s="261"/>
      <c r="F399" s="364"/>
      <c r="G399" s="261"/>
      <c r="H399" s="261"/>
      <c r="I399" s="364"/>
      <c r="J399" s="364"/>
      <c r="K399" s="364"/>
      <c r="L399" s="364"/>
      <c r="M399" s="364"/>
      <c r="N399" s="364"/>
      <c r="O399" s="364"/>
      <c r="P399" s="364"/>
      <c r="Q399" s="364"/>
      <c r="R399" s="364"/>
      <c r="S399" s="364"/>
      <c r="T399" s="364"/>
      <c r="U399" s="364"/>
      <c r="V399" s="364"/>
      <c r="W399" s="364"/>
      <c r="X399" s="364"/>
      <c r="Y399" s="364"/>
      <c r="Z399" s="364"/>
      <c r="AA399" s="364" t="str">
        <f aca="false">IFERROR(__xludf.dummyfunction("""COMPUTED_VALUE"""),"")</f>
        <v/>
      </c>
      <c r="AB399" s="364"/>
    </row>
    <row r="400" customFormat="false" ht="15.75" hidden="false" customHeight="false" outlineLevel="0" collapsed="false">
      <c r="A400" s="364"/>
      <c r="B400" s="364"/>
      <c r="C400" s="261"/>
      <c r="D400" s="261"/>
      <c r="E400" s="261"/>
      <c r="F400" s="364"/>
      <c r="G400" s="364"/>
      <c r="H400" s="261"/>
      <c r="I400" s="364"/>
      <c r="J400" s="364"/>
      <c r="K400" s="364"/>
      <c r="L400" s="364"/>
      <c r="M400" s="364"/>
      <c r="N400" s="364"/>
      <c r="O400" s="364"/>
      <c r="P400" s="364"/>
      <c r="Q400" s="364"/>
      <c r="R400" s="364"/>
      <c r="S400" s="364"/>
      <c r="T400" s="364"/>
      <c r="U400" s="364"/>
      <c r="V400" s="364"/>
      <c r="W400" s="364"/>
      <c r="X400" s="364"/>
      <c r="Y400" s="364"/>
      <c r="Z400" s="364"/>
      <c r="AA400" s="364" t="str">
        <f aca="false">IFERROR(__xludf.dummyfunction("""COMPUTED_VALUE"""),"")</f>
        <v/>
      </c>
      <c r="AB400" s="364"/>
    </row>
    <row r="401" customFormat="false" ht="15.75" hidden="false" customHeight="false" outlineLevel="0" collapsed="false">
      <c r="A401" s="364"/>
      <c r="B401" s="364"/>
      <c r="C401" s="261"/>
      <c r="D401" s="261"/>
      <c r="E401" s="261"/>
      <c r="F401" s="364"/>
      <c r="G401" s="261"/>
      <c r="H401" s="261"/>
      <c r="I401" s="364"/>
      <c r="J401" s="364"/>
      <c r="K401" s="364"/>
      <c r="L401" s="364"/>
      <c r="M401" s="364"/>
      <c r="N401" s="364"/>
      <c r="O401" s="364"/>
      <c r="P401" s="364"/>
      <c r="Q401" s="364"/>
      <c r="R401" s="364"/>
      <c r="S401" s="364"/>
      <c r="T401" s="364"/>
      <c r="U401" s="364"/>
      <c r="V401" s="364"/>
      <c r="W401" s="364"/>
      <c r="X401" s="364"/>
      <c r="Y401" s="364"/>
      <c r="Z401" s="364"/>
      <c r="AA401" s="364" t="str">
        <f aca="false">IFERROR(__xludf.dummyfunction("""COMPUTED_VALUE"""),"")</f>
        <v/>
      </c>
      <c r="AB401" s="364"/>
    </row>
    <row r="402" customFormat="false" ht="15.75" hidden="false" customHeight="false" outlineLevel="0" collapsed="false">
      <c r="A402" s="364"/>
      <c r="B402" s="364"/>
      <c r="C402" s="261"/>
      <c r="D402" s="261"/>
      <c r="E402" s="261"/>
      <c r="F402" s="364"/>
      <c r="G402" s="261"/>
      <c r="H402" s="261"/>
      <c r="I402" s="364"/>
      <c r="J402" s="364"/>
      <c r="K402" s="364"/>
      <c r="L402" s="364"/>
      <c r="M402" s="364"/>
      <c r="N402" s="364"/>
      <c r="O402" s="364"/>
      <c r="P402" s="364"/>
      <c r="Q402" s="364"/>
      <c r="R402" s="364"/>
      <c r="S402" s="364"/>
      <c r="T402" s="364"/>
      <c r="U402" s="364"/>
      <c r="V402" s="364"/>
      <c r="W402" s="364"/>
      <c r="X402" s="364"/>
      <c r="Y402" s="364"/>
      <c r="Z402" s="364"/>
      <c r="AA402" s="364" t="str">
        <f aca="false">IFERROR(__xludf.dummyfunction("""COMPUTED_VALUE"""),"")</f>
        <v/>
      </c>
      <c r="AB402" s="364"/>
    </row>
    <row r="403" customFormat="false" ht="15.75" hidden="false" customHeight="false" outlineLevel="0" collapsed="false">
      <c r="A403" s="364"/>
      <c r="B403" s="364"/>
      <c r="C403" s="261"/>
      <c r="D403" s="261"/>
      <c r="E403" s="261"/>
      <c r="F403" s="364"/>
      <c r="G403" s="261"/>
      <c r="H403" s="261"/>
      <c r="I403" s="364"/>
      <c r="J403" s="364"/>
      <c r="K403" s="364"/>
      <c r="L403" s="364"/>
      <c r="M403" s="364"/>
      <c r="N403" s="364"/>
      <c r="O403" s="364"/>
      <c r="P403" s="364"/>
      <c r="Q403" s="364"/>
      <c r="R403" s="364"/>
      <c r="S403" s="364"/>
      <c r="T403" s="364"/>
      <c r="U403" s="364"/>
      <c r="V403" s="364"/>
      <c r="W403" s="364"/>
      <c r="X403" s="364"/>
      <c r="Y403" s="364"/>
      <c r="Z403" s="364"/>
      <c r="AA403" s="364" t="str">
        <f aca="false">IFERROR(__xludf.dummyfunction("""COMPUTED_VALUE"""),"")</f>
        <v/>
      </c>
      <c r="AB403" s="364"/>
    </row>
    <row r="404" customFormat="false" ht="15.75" hidden="false" customHeight="false" outlineLevel="0" collapsed="false">
      <c r="A404" s="364"/>
      <c r="B404" s="364"/>
      <c r="C404" s="261"/>
      <c r="D404" s="261"/>
      <c r="E404" s="261"/>
      <c r="F404" s="364"/>
      <c r="G404" s="261"/>
      <c r="H404" s="261"/>
      <c r="I404" s="364"/>
      <c r="J404" s="364"/>
      <c r="K404" s="364"/>
      <c r="L404" s="364"/>
      <c r="M404" s="364"/>
      <c r="N404" s="364"/>
      <c r="O404" s="364"/>
      <c r="P404" s="364"/>
      <c r="Q404" s="364"/>
      <c r="R404" s="364"/>
      <c r="S404" s="364"/>
      <c r="T404" s="364"/>
      <c r="U404" s="364"/>
      <c r="V404" s="364"/>
      <c r="W404" s="364"/>
      <c r="X404" s="364"/>
      <c r="Y404" s="364"/>
      <c r="Z404" s="364"/>
      <c r="AA404" s="364" t="str">
        <f aca="false">IFERROR(__xludf.dummyfunction("""COMPUTED_VALUE"""),"")</f>
        <v/>
      </c>
      <c r="AB404" s="364"/>
    </row>
    <row r="405" customFormat="false" ht="15.75" hidden="false" customHeight="false" outlineLevel="0" collapsed="false">
      <c r="A405" s="364"/>
      <c r="B405" s="364"/>
      <c r="C405" s="261"/>
      <c r="D405" s="261"/>
      <c r="E405" s="261"/>
      <c r="F405" s="261"/>
      <c r="G405" s="261"/>
      <c r="H405" s="261"/>
      <c r="I405" s="364"/>
      <c r="J405" s="364"/>
      <c r="K405" s="364"/>
      <c r="L405" s="364"/>
      <c r="M405" s="364"/>
      <c r="N405" s="364"/>
      <c r="O405" s="364"/>
      <c r="P405" s="364"/>
      <c r="Q405" s="364"/>
      <c r="R405" s="364"/>
      <c r="S405" s="364"/>
      <c r="T405" s="364"/>
      <c r="U405" s="364"/>
      <c r="V405" s="364"/>
      <c r="W405" s="364"/>
      <c r="X405" s="364"/>
      <c r="Y405" s="364"/>
      <c r="Z405" s="364"/>
      <c r="AA405" s="364" t="str">
        <f aca="false">IFERROR(__xludf.dummyfunction("""COMPUTED_VALUE"""),"")</f>
        <v/>
      </c>
      <c r="AB405" s="364"/>
    </row>
    <row r="406" customFormat="false" ht="15.75" hidden="false" customHeight="false" outlineLevel="0" collapsed="false">
      <c r="A406" s="364"/>
      <c r="B406" s="364"/>
      <c r="C406" s="261"/>
      <c r="D406" s="261"/>
      <c r="E406" s="261"/>
      <c r="F406" s="364"/>
      <c r="G406" s="261"/>
      <c r="H406" s="261"/>
      <c r="I406" s="364"/>
      <c r="J406" s="364"/>
      <c r="K406" s="364"/>
      <c r="L406" s="364"/>
      <c r="M406" s="364"/>
      <c r="N406" s="364"/>
      <c r="O406" s="364"/>
      <c r="P406" s="364"/>
      <c r="Q406" s="364"/>
      <c r="R406" s="364"/>
      <c r="S406" s="364"/>
      <c r="T406" s="364"/>
      <c r="U406" s="364"/>
      <c r="V406" s="364"/>
      <c r="W406" s="364"/>
      <c r="X406" s="364"/>
      <c r="Y406" s="364"/>
      <c r="Z406" s="364"/>
      <c r="AA406" s="364" t="str">
        <f aca="false">IFERROR(__xludf.dummyfunction("""COMPUTED_VALUE"""),"")</f>
        <v/>
      </c>
      <c r="AB406" s="364"/>
    </row>
    <row r="407" customFormat="false" ht="15.75" hidden="false" customHeight="false" outlineLevel="0" collapsed="false">
      <c r="A407" s="364"/>
      <c r="B407" s="364"/>
      <c r="C407" s="261"/>
      <c r="D407" s="261"/>
      <c r="E407" s="261"/>
      <c r="F407" s="364"/>
      <c r="G407" s="261"/>
      <c r="H407" s="261"/>
      <c r="I407" s="364"/>
      <c r="J407" s="364"/>
      <c r="K407" s="364"/>
      <c r="L407" s="364"/>
      <c r="M407" s="364"/>
      <c r="N407" s="364"/>
      <c r="O407" s="364"/>
      <c r="P407" s="364"/>
      <c r="Q407" s="364"/>
      <c r="R407" s="364"/>
      <c r="S407" s="364"/>
      <c r="T407" s="364"/>
      <c r="U407" s="364"/>
      <c r="V407" s="364"/>
      <c r="W407" s="364"/>
      <c r="X407" s="364"/>
      <c r="Y407" s="364"/>
      <c r="Z407" s="364"/>
      <c r="AA407" s="364" t="str">
        <f aca="false">IFERROR(__xludf.dummyfunction("""COMPUTED_VALUE"""),"")</f>
        <v/>
      </c>
      <c r="AB407" s="364"/>
    </row>
    <row r="408" customFormat="false" ht="15.75" hidden="false" customHeight="false" outlineLevel="0" collapsed="false">
      <c r="A408" s="364"/>
      <c r="B408" s="364"/>
      <c r="C408" s="261"/>
      <c r="D408" s="261"/>
      <c r="E408" s="261"/>
      <c r="F408" s="261"/>
      <c r="G408" s="261"/>
      <c r="H408" s="261"/>
      <c r="I408" s="364"/>
      <c r="J408" s="364"/>
      <c r="K408" s="364"/>
      <c r="L408" s="364"/>
      <c r="M408" s="364"/>
      <c r="N408" s="364"/>
      <c r="O408" s="364"/>
      <c r="P408" s="364"/>
      <c r="Q408" s="364"/>
      <c r="R408" s="364"/>
      <c r="S408" s="364"/>
      <c r="T408" s="364"/>
      <c r="U408" s="364"/>
      <c r="V408" s="364"/>
      <c r="W408" s="364"/>
      <c r="X408" s="364"/>
      <c r="Y408" s="364"/>
      <c r="Z408" s="364"/>
      <c r="AA408" s="364" t="str">
        <f aca="false">IFERROR(__xludf.dummyfunction("""COMPUTED_VALUE"""),"")</f>
        <v/>
      </c>
      <c r="AB408" s="364"/>
    </row>
    <row r="409" customFormat="false" ht="15.75" hidden="false" customHeight="false" outlineLevel="0" collapsed="false">
      <c r="A409" s="364"/>
      <c r="B409" s="364"/>
      <c r="C409" s="261"/>
      <c r="D409" s="261"/>
      <c r="E409" s="261"/>
      <c r="F409" s="364"/>
      <c r="G409" s="364"/>
      <c r="H409" s="261"/>
      <c r="I409" s="364"/>
      <c r="J409" s="364"/>
      <c r="K409" s="364"/>
      <c r="L409" s="364"/>
      <c r="M409" s="364"/>
      <c r="N409" s="364"/>
      <c r="O409" s="364"/>
      <c r="P409" s="364"/>
      <c r="Q409" s="364"/>
      <c r="R409" s="364"/>
      <c r="S409" s="364"/>
      <c r="T409" s="364"/>
      <c r="U409" s="364"/>
      <c r="V409" s="364"/>
      <c r="W409" s="364"/>
      <c r="X409" s="364"/>
      <c r="Y409" s="364"/>
      <c r="Z409" s="364"/>
      <c r="AA409" s="364" t="str">
        <f aca="false">IFERROR(__xludf.dummyfunction("""COMPUTED_VALUE"""),"")</f>
        <v/>
      </c>
      <c r="AB409" s="364"/>
    </row>
    <row r="410" customFormat="false" ht="15.75" hidden="false" customHeight="false" outlineLevel="0" collapsed="false">
      <c r="A410" s="364"/>
      <c r="B410" s="364"/>
      <c r="C410" s="261"/>
      <c r="D410" s="261"/>
      <c r="E410" s="261"/>
      <c r="F410" s="364"/>
      <c r="G410" s="261"/>
      <c r="H410" s="261"/>
      <c r="I410" s="364"/>
      <c r="J410" s="364"/>
      <c r="K410" s="364"/>
      <c r="L410" s="364"/>
      <c r="M410" s="364"/>
      <c r="N410" s="364"/>
      <c r="O410" s="364"/>
      <c r="P410" s="364"/>
      <c r="Q410" s="364"/>
      <c r="R410" s="364"/>
      <c r="S410" s="364"/>
      <c r="T410" s="364"/>
      <c r="U410" s="364"/>
      <c r="V410" s="364"/>
      <c r="W410" s="364"/>
      <c r="X410" s="364"/>
      <c r="Y410" s="364"/>
      <c r="Z410" s="364"/>
      <c r="AA410" s="364" t="str">
        <f aca="false">IFERROR(__xludf.dummyfunction("""COMPUTED_VALUE"""),"")</f>
        <v/>
      </c>
      <c r="AB410" s="364"/>
    </row>
    <row r="411" customFormat="false" ht="15.75" hidden="false" customHeight="false" outlineLevel="0" collapsed="false">
      <c r="A411" s="364"/>
      <c r="B411" s="364"/>
      <c r="C411" s="261"/>
      <c r="D411" s="261"/>
      <c r="E411" s="261"/>
      <c r="F411" s="364"/>
      <c r="G411" s="261"/>
      <c r="H411" s="261"/>
      <c r="I411" s="364"/>
      <c r="J411" s="364"/>
      <c r="K411" s="364"/>
      <c r="L411" s="364"/>
      <c r="M411" s="364"/>
      <c r="N411" s="364"/>
      <c r="O411" s="364"/>
      <c r="P411" s="364"/>
      <c r="Q411" s="364"/>
      <c r="R411" s="364"/>
      <c r="S411" s="364"/>
      <c r="T411" s="364"/>
      <c r="U411" s="364"/>
      <c r="V411" s="364"/>
      <c r="W411" s="364"/>
      <c r="X411" s="364"/>
      <c r="Y411" s="364"/>
      <c r="Z411" s="364"/>
      <c r="AA411" s="364" t="str">
        <f aca="false">IFERROR(__xludf.dummyfunction("""COMPUTED_VALUE"""),"")</f>
        <v/>
      </c>
      <c r="AB411" s="364"/>
    </row>
    <row r="412" customFormat="false" ht="15.75" hidden="false" customHeight="false" outlineLevel="0" collapsed="false">
      <c r="A412" s="364"/>
      <c r="B412" s="364"/>
      <c r="C412" s="261"/>
      <c r="D412" s="261"/>
      <c r="E412" s="261"/>
      <c r="F412" s="261"/>
      <c r="G412" s="364"/>
      <c r="H412" s="261"/>
      <c r="I412" s="364"/>
      <c r="J412" s="364"/>
      <c r="K412" s="364"/>
      <c r="L412" s="364"/>
      <c r="M412" s="364"/>
      <c r="N412" s="364"/>
      <c r="O412" s="364"/>
      <c r="P412" s="364"/>
      <c r="Q412" s="364"/>
      <c r="R412" s="364"/>
      <c r="S412" s="364"/>
      <c r="T412" s="364"/>
      <c r="U412" s="364"/>
      <c r="V412" s="364"/>
      <c r="W412" s="364"/>
      <c r="X412" s="364"/>
      <c r="Y412" s="364"/>
      <c r="Z412" s="364"/>
      <c r="AA412" s="364" t="str">
        <f aca="false">IFERROR(__xludf.dummyfunction("""COMPUTED_VALUE"""),"")</f>
        <v/>
      </c>
      <c r="AB412" s="364"/>
    </row>
    <row r="413" customFormat="false" ht="15.75" hidden="false" customHeight="false" outlineLevel="0" collapsed="false">
      <c r="A413" s="364"/>
      <c r="B413" s="364"/>
      <c r="C413" s="261"/>
      <c r="D413" s="261"/>
      <c r="E413" s="261"/>
      <c r="F413" s="364"/>
      <c r="G413" s="261"/>
      <c r="H413" s="261"/>
      <c r="I413" s="364"/>
      <c r="J413" s="364"/>
      <c r="K413" s="364"/>
      <c r="L413" s="364"/>
      <c r="M413" s="364"/>
      <c r="N413" s="364"/>
      <c r="O413" s="364"/>
      <c r="P413" s="364"/>
      <c r="Q413" s="364"/>
      <c r="R413" s="364"/>
      <c r="S413" s="364"/>
      <c r="T413" s="364"/>
      <c r="U413" s="364"/>
      <c r="V413" s="364"/>
      <c r="W413" s="364"/>
      <c r="X413" s="364"/>
      <c r="Y413" s="364"/>
      <c r="Z413" s="364"/>
      <c r="AA413" s="364" t="str">
        <f aca="false">IFERROR(__xludf.dummyfunction("""COMPUTED_VALUE"""),"")</f>
        <v/>
      </c>
      <c r="AB413" s="364"/>
    </row>
    <row r="414" customFormat="false" ht="15.75" hidden="false" customHeight="false" outlineLevel="0" collapsed="false">
      <c r="A414" s="364"/>
      <c r="B414" s="364"/>
      <c r="C414" s="261"/>
      <c r="D414" s="261"/>
      <c r="E414" s="261"/>
      <c r="F414" s="364"/>
      <c r="G414" s="261"/>
      <c r="H414" s="261"/>
      <c r="I414" s="364"/>
      <c r="J414" s="364"/>
      <c r="K414" s="364"/>
      <c r="L414" s="364"/>
      <c r="M414" s="364"/>
      <c r="N414" s="364"/>
      <c r="O414" s="364"/>
      <c r="P414" s="364"/>
      <c r="Q414" s="364"/>
      <c r="R414" s="364"/>
      <c r="S414" s="364"/>
      <c r="T414" s="364"/>
      <c r="U414" s="364"/>
      <c r="V414" s="364"/>
      <c r="W414" s="364"/>
      <c r="X414" s="364"/>
      <c r="Y414" s="364"/>
      <c r="Z414" s="364"/>
      <c r="AA414" s="364" t="str">
        <f aca="false">IFERROR(__xludf.dummyfunction("""COMPUTED_VALUE"""),"")</f>
        <v/>
      </c>
      <c r="AB414" s="364"/>
    </row>
    <row r="415" customFormat="false" ht="15.75" hidden="false" customHeight="false" outlineLevel="0" collapsed="false">
      <c r="A415" s="364"/>
      <c r="B415" s="364"/>
      <c r="C415" s="261"/>
      <c r="D415" s="261"/>
      <c r="E415" s="261"/>
      <c r="F415" s="364"/>
      <c r="G415" s="261"/>
      <c r="H415" s="364"/>
      <c r="I415" s="364"/>
      <c r="J415" s="364"/>
      <c r="K415" s="364"/>
      <c r="L415" s="364"/>
      <c r="M415" s="364"/>
      <c r="N415" s="364"/>
      <c r="O415" s="364"/>
      <c r="P415" s="364"/>
      <c r="Q415" s="364"/>
      <c r="R415" s="364"/>
      <c r="S415" s="364"/>
      <c r="T415" s="364"/>
      <c r="U415" s="364"/>
      <c r="V415" s="364"/>
      <c r="W415" s="364"/>
      <c r="X415" s="364"/>
      <c r="Y415" s="364"/>
      <c r="Z415" s="364"/>
      <c r="AA415" s="364" t="str">
        <f aca="false">IFERROR(__xludf.dummyfunction("""COMPUTED_VALUE"""),"")</f>
        <v/>
      </c>
      <c r="AB415" s="364"/>
    </row>
    <row r="416" customFormat="false" ht="15.75" hidden="false" customHeight="false" outlineLevel="0" collapsed="false">
      <c r="A416" s="364"/>
      <c r="B416" s="364"/>
      <c r="C416" s="261"/>
      <c r="D416" s="261"/>
      <c r="E416" s="261"/>
      <c r="F416" s="364"/>
      <c r="G416" s="261"/>
      <c r="H416" s="261"/>
      <c r="I416" s="364"/>
      <c r="J416" s="364"/>
      <c r="K416" s="364"/>
      <c r="L416" s="364"/>
      <c r="M416" s="364"/>
      <c r="N416" s="364"/>
      <c r="O416" s="364"/>
      <c r="P416" s="364"/>
      <c r="Q416" s="364"/>
      <c r="R416" s="364"/>
      <c r="S416" s="364"/>
      <c r="T416" s="364"/>
      <c r="U416" s="364"/>
      <c r="V416" s="364"/>
      <c r="W416" s="364"/>
      <c r="X416" s="364"/>
      <c r="Y416" s="364"/>
      <c r="Z416" s="364"/>
      <c r="AA416" s="364" t="str">
        <f aca="false">IFERROR(__xludf.dummyfunction("""COMPUTED_VALUE"""),"")</f>
        <v/>
      </c>
      <c r="AB416" s="364"/>
    </row>
    <row r="417" customFormat="false" ht="15.75" hidden="false" customHeight="false" outlineLevel="0" collapsed="false">
      <c r="A417" s="261"/>
      <c r="B417" s="261"/>
      <c r="C417" s="261"/>
      <c r="D417" s="261"/>
      <c r="E417" s="261"/>
      <c r="F417" s="364"/>
      <c r="G417" s="261"/>
      <c r="H417" s="364"/>
      <c r="I417" s="364"/>
      <c r="J417" s="364"/>
      <c r="K417" s="364"/>
      <c r="L417" s="364"/>
      <c r="M417" s="364"/>
      <c r="N417" s="364"/>
      <c r="O417" s="364"/>
      <c r="P417" s="364"/>
      <c r="Q417" s="364"/>
      <c r="R417" s="364"/>
      <c r="S417" s="364"/>
      <c r="T417" s="364"/>
      <c r="U417" s="364"/>
      <c r="V417" s="364"/>
      <c r="W417" s="364"/>
      <c r="X417" s="364"/>
      <c r="Y417" s="364"/>
      <c r="Z417" s="364"/>
      <c r="AA417" s="364" t="str">
        <f aca="false">IFERROR(__xludf.dummyfunction("""COMPUTED_VALUE"""),"")</f>
        <v/>
      </c>
      <c r="AB417" s="364"/>
    </row>
    <row r="418" customFormat="false" ht="15.75" hidden="false" customHeight="false" outlineLevel="0" collapsed="false">
      <c r="A418" s="364"/>
      <c r="B418" s="364"/>
      <c r="C418" s="261"/>
      <c r="D418" s="261"/>
      <c r="E418" s="261"/>
      <c r="F418" s="364"/>
      <c r="G418" s="261"/>
      <c r="H418" s="261"/>
      <c r="I418" s="364"/>
      <c r="J418" s="364"/>
      <c r="K418" s="364"/>
      <c r="L418" s="364"/>
      <c r="M418" s="364"/>
      <c r="N418" s="364"/>
      <c r="O418" s="364"/>
      <c r="P418" s="364"/>
      <c r="Q418" s="364"/>
      <c r="R418" s="364"/>
      <c r="S418" s="364"/>
      <c r="T418" s="364"/>
      <c r="U418" s="364"/>
      <c r="V418" s="364"/>
      <c r="W418" s="364"/>
      <c r="X418" s="364"/>
      <c r="Y418" s="364"/>
      <c r="Z418" s="364"/>
      <c r="AA418" s="364" t="str">
        <f aca="false">IFERROR(__xludf.dummyfunction("""COMPUTED_VALUE"""),"")</f>
        <v/>
      </c>
      <c r="AB418" s="364"/>
    </row>
    <row r="419" customFormat="false" ht="15.75" hidden="false" customHeight="false" outlineLevel="0" collapsed="false">
      <c r="A419" s="364"/>
      <c r="B419" s="364"/>
      <c r="C419" s="261"/>
      <c r="D419" s="261"/>
      <c r="E419" s="261"/>
      <c r="F419" s="364"/>
      <c r="G419" s="261"/>
      <c r="H419" s="261"/>
      <c r="I419" s="364"/>
      <c r="J419" s="364"/>
      <c r="K419" s="364"/>
      <c r="L419" s="364"/>
      <c r="M419" s="364"/>
      <c r="N419" s="364"/>
      <c r="O419" s="364"/>
      <c r="P419" s="364"/>
      <c r="Q419" s="364"/>
      <c r="R419" s="364"/>
      <c r="S419" s="364"/>
      <c r="T419" s="364"/>
      <c r="U419" s="364"/>
      <c r="V419" s="364"/>
      <c r="W419" s="364"/>
      <c r="X419" s="364"/>
      <c r="Y419" s="364"/>
      <c r="Z419" s="364"/>
      <c r="AA419" s="364" t="str">
        <f aca="false">IFERROR(__xludf.dummyfunction("""COMPUTED_VALUE"""),"")</f>
        <v/>
      </c>
      <c r="AB419" s="364"/>
    </row>
    <row r="420" customFormat="false" ht="15.75" hidden="false" customHeight="false" outlineLevel="0" collapsed="false">
      <c r="A420" s="364"/>
      <c r="B420" s="364"/>
      <c r="C420" s="261"/>
      <c r="D420" s="261"/>
      <c r="E420" s="261"/>
      <c r="F420" s="364"/>
      <c r="G420" s="261"/>
      <c r="H420" s="261"/>
      <c r="I420" s="364"/>
      <c r="J420" s="364"/>
      <c r="K420" s="364"/>
      <c r="L420" s="364"/>
      <c r="M420" s="364"/>
      <c r="N420" s="364"/>
      <c r="O420" s="364"/>
      <c r="P420" s="364"/>
      <c r="Q420" s="364"/>
      <c r="R420" s="364"/>
      <c r="S420" s="364"/>
      <c r="T420" s="364"/>
      <c r="U420" s="364"/>
      <c r="V420" s="364"/>
      <c r="W420" s="364"/>
      <c r="X420" s="364"/>
      <c r="Y420" s="364"/>
      <c r="Z420" s="364"/>
      <c r="AA420" s="364" t="str">
        <f aca="false">IFERROR(__xludf.dummyfunction("""COMPUTED_VALUE"""),"")</f>
        <v/>
      </c>
      <c r="AB420" s="364"/>
    </row>
    <row r="421" customFormat="false" ht="15.75" hidden="false" customHeight="false" outlineLevel="0" collapsed="false">
      <c r="A421" s="261"/>
      <c r="B421" s="261"/>
      <c r="C421" s="261"/>
      <c r="D421" s="261"/>
      <c r="E421" s="261"/>
      <c r="F421" s="364"/>
      <c r="G421" s="261"/>
      <c r="H421" s="364"/>
      <c r="I421" s="364"/>
      <c r="J421" s="364"/>
      <c r="K421" s="364"/>
      <c r="L421" s="364"/>
      <c r="M421" s="364"/>
      <c r="N421" s="364"/>
      <c r="O421" s="364"/>
      <c r="P421" s="364"/>
      <c r="Q421" s="364"/>
      <c r="R421" s="364"/>
      <c r="S421" s="364"/>
      <c r="T421" s="364"/>
      <c r="U421" s="364"/>
      <c r="V421" s="364"/>
      <c r="W421" s="364"/>
      <c r="X421" s="364"/>
      <c r="Y421" s="364"/>
      <c r="Z421" s="364"/>
      <c r="AA421" s="364" t="str">
        <f aca="false">IFERROR(__xludf.dummyfunction("""COMPUTED_VALUE"""),"")</f>
        <v/>
      </c>
      <c r="AB421" s="364"/>
    </row>
    <row r="422" customFormat="false" ht="15.75" hidden="false" customHeight="false" outlineLevel="0" collapsed="false">
      <c r="A422" s="364"/>
      <c r="B422" s="364"/>
      <c r="C422" s="261"/>
      <c r="D422" s="261"/>
      <c r="E422" s="261"/>
      <c r="F422" s="364"/>
      <c r="G422" s="261"/>
      <c r="H422" s="261"/>
      <c r="I422" s="364"/>
      <c r="J422" s="364"/>
      <c r="K422" s="364"/>
      <c r="L422" s="364"/>
      <c r="M422" s="364"/>
      <c r="N422" s="364"/>
      <c r="O422" s="364"/>
      <c r="P422" s="364"/>
      <c r="Q422" s="364"/>
      <c r="R422" s="364"/>
      <c r="S422" s="364"/>
      <c r="T422" s="364"/>
      <c r="U422" s="364"/>
      <c r="V422" s="364"/>
      <c r="W422" s="364"/>
      <c r="X422" s="364"/>
      <c r="Y422" s="364"/>
      <c r="Z422" s="364"/>
      <c r="AA422" s="364" t="str">
        <f aca="false">IFERROR(__xludf.dummyfunction("""COMPUTED_VALUE"""),"")</f>
        <v/>
      </c>
      <c r="AB422" s="364"/>
    </row>
    <row r="423" customFormat="false" ht="15.75" hidden="false" customHeight="false" outlineLevel="0" collapsed="false">
      <c r="A423" s="364"/>
      <c r="B423" s="364"/>
      <c r="C423" s="261"/>
      <c r="D423" s="261"/>
      <c r="E423" s="261"/>
      <c r="F423" s="364"/>
      <c r="G423" s="261"/>
      <c r="H423" s="261"/>
      <c r="I423" s="364"/>
      <c r="J423" s="364"/>
      <c r="K423" s="364"/>
      <c r="L423" s="364"/>
      <c r="M423" s="364"/>
      <c r="N423" s="364"/>
      <c r="O423" s="364"/>
      <c r="P423" s="364"/>
      <c r="Q423" s="364"/>
      <c r="R423" s="364"/>
      <c r="S423" s="364"/>
      <c r="T423" s="364"/>
      <c r="U423" s="364"/>
      <c r="V423" s="364"/>
      <c r="W423" s="364"/>
      <c r="X423" s="364"/>
      <c r="Y423" s="364"/>
      <c r="Z423" s="364"/>
      <c r="AA423" s="364" t="str">
        <f aca="false">IFERROR(__xludf.dummyfunction("""COMPUTED_VALUE"""),"")</f>
        <v/>
      </c>
      <c r="AB423" s="364"/>
    </row>
    <row r="424" customFormat="false" ht="15.75" hidden="false" customHeight="false" outlineLevel="0" collapsed="false">
      <c r="A424" s="364"/>
      <c r="B424" s="364"/>
      <c r="C424" s="261"/>
      <c r="D424" s="261"/>
      <c r="E424" s="261"/>
      <c r="F424" s="364"/>
      <c r="G424" s="261"/>
      <c r="H424" s="261"/>
      <c r="I424" s="364"/>
      <c r="J424" s="364"/>
      <c r="K424" s="364"/>
      <c r="L424" s="364"/>
      <c r="M424" s="364"/>
      <c r="N424" s="364"/>
      <c r="O424" s="364"/>
      <c r="P424" s="364"/>
      <c r="Q424" s="364"/>
      <c r="R424" s="364"/>
      <c r="S424" s="364"/>
      <c r="T424" s="364"/>
      <c r="U424" s="364"/>
      <c r="V424" s="364"/>
      <c r="W424" s="364"/>
      <c r="X424" s="364"/>
      <c r="Y424" s="364"/>
      <c r="Z424" s="364"/>
      <c r="AA424" s="364" t="str">
        <f aca="false">IFERROR(__xludf.dummyfunction("""COMPUTED_VALUE"""),"")</f>
        <v/>
      </c>
      <c r="AB424" s="364"/>
    </row>
    <row r="425" customFormat="false" ht="15.75" hidden="false" customHeight="false" outlineLevel="0" collapsed="false">
      <c r="A425" s="364"/>
      <c r="B425" s="364"/>
      <c r="C425" s="261"/>
      <c r="D425" s="261"/>
      <c r="E425" s="261"/>
      <c r="F425" s="364"/>
      <c r="G425" s="261"/>
      <c r="H425" s="261"/>
      <c r="I425" s="364"/>
      <c r="J425" s="364"/>
      <c r="K425" s="364"/>
      <c r="L425" s="364"/>
      <c r="M425" s="364"/>
      <c r="N425" s="364"/>
      <c r="O425" s="364"/>
      <c r="P425" s="364"/>
      <c r="Q425" s="364"/>
      <c r="R425" s="364"/>
      <c r="S425" s="364"/>
      <c r="T425" s="364"/>
      <c r="U425" s="364"/>
      <c r="V425" s="364"/>
      <c r="W425" s="364"/>
      <c r="X425" s="364"/>
      <c r="Y425" s="364"/>
      <c r="Z425" s="364"/>
      <c r="AA425" s="364" t="str">
        <f aca="false">IFERROR(__xludf.dummyfunction("""COMPUTED_VALUE"""),"")</f>
        <v/>
      </c>
      <c r="AB425" s="364"/>
    </row>
    <row r="426" customFormat="false" ht="15.75" hidden="false" customHeight="false" outlineLevel="0" collapsed="false">
      <c r="A426" s="364"/>
      <c r="B426" s="364"/>
      <c r="C426" s="261"/>
      <c r="D426" s="261"/>
      <c r="E426" s="261"/>
      <c r="F426" s="364"/>
      <c r="G426" s="261"/>
      <c r="H426" s="261"/>
      <c r="I426" s="364"/>
      <c r="J426" s="364"/>
      <c r="K426" s="364"/>
      <c r="L426" s="364"/>
      <c r="M426" s="364"/>
      <c r="N426" s="364"/>
      <c r="O426" s="364"/>
      <c r="P426" s="364"/>
      <c r="Q426" s="364"/>
      <c r="R426" s="364"/>
      <c r="S426" s="364"/>
      <c r="T426" s="364"/>
      <c r="U426" s="364"/>
      <c r="V426" s="364"/>
      <c r="W426" s="364"/>
      <c r="X426" s="364"/>
      <c r="Y426" s="364"/>
      <c r="Z426" s="364"/>
      <c r="AA426" s="364" t="str">
        <f aca="false">IFERROR(__xludf.dummyfunction("""COMPUTED_VALUE"""),"")</f>
        <v/>
      </c>
      <c r="AB426" s="364"/>
    </row>
    <row r="427" customFormat="false" ht="15.75" hidden="false" customHeight="false" outlineLevel="0" collapsed="false">
      <c r="A427" s="364"/>
      <c r="B427" s="364"/>
      <c r="C427" s="261"/>
      <c r="D427" s="261"/>
      <c r="E427" s="261"/>
      <c r="F427" s="364"/>
      <c r="G427" s="261"/>
      <c r="H427" s="261"/>
      <c r="I427" s="364"/>
      <c r="J427" s="364"/>
      <c r="K427" s="364"/>
      <c r="L427" s="364"/>
      <c r="M427" s="364"/>
      <c r="N427" s="364"/>
      <c r="O427" s="364"/>
      <c r="P427" s="364"/>
      <c r="Q427" s="364"/>
      <c r="R427" s="364"/>
      <c r="S427" s="364"/>
      <c r="T427" s="364"/>
      <c r="U427" s="364"/>
      <c r="V427" s="364"/>
      <c r="W427" s="364"/>
      <c r="X427" s="364"/>
      <c r="Y427" s="364"/>
      <c r="Z427" s="364"/>
      <c r="AA427" s="364" t="str">
        <f aca="false">IFERROR(__xludf.dummyfunction("""COMPUTED_VALUE"""),"")</f>
        <v/>
      </c>
      <c r="AB427" s="364"/>
    </row>
    <row r="428" customFormat="false" ht="15.75" hidden="false" customHeight="false" outlineLevel="0" collapsed="false">
      <c r="A428" s="364"/>
      <c r="B428" s="364"/>
      <c r="C428" s="261"/>
      <c r="D428" s="261"/>
      <c r="E428" s="261"/>
      <c r="F428" s="261"/>
      <c r="G428" s="261"/>
      <c r="H428" s="261"/>
      <c r="I428" s="364"/>
      <c r="J428" s="364"/>
      <c r="K428" s="364"/>
      <c r="L428" s="364"/>
      <c r="M428" s="364"/>
      <c r="N428" s="364"/>
      <c r="O428" s="364"/>
      <c r="P428" s="364"/>
      <c r="Q428" s="364"/>
      <c r="R428" s="364"/>
      <c r="S428" s="364"/>
      <c r="T428" s="364"/>
      <c r="U428" s="364"/>
      <c r="V428" s="364"/>
      <c r="W428" s="364"/>
      <c r="X428" s="364"/>
      <c r="Y428" s="364"/>
      <c r="Z428" s="364"/>
      <c r="AA428" s="364" t="str">
        <f aca="false">IFERROR(__xludf.dummyfunction("""COMPUTED_VALUE"""),"")</f>
        <v/>
      </c>
      <c r="AB428" s="364"/>
    </row>
    <row r="429" customFormat="false" ht="15.75" hidden="false" customHeight="false" outlineLevel="0" collapsed="false">
      <c r="A429" s="364"/>
      <c r="B429" s="364"/>
      <c r="C429" s="261"/>
      <c r="D429" s="261"/>
      <c r="E429" s="261"/>
      <c r="F429" s="261"/>
      <c r="G429" s="261"/>
      <c r="H429" s="364"/>
      <c r="I429" s="364"/>
      <c r="J429" s="364"/>
      <c r="K429" s="364"/>
      <c r="L429" s="364"/>
      <c r="M429" s="364"/>
      <c r="N429" s="364"/>
      <c r="O429" s="364"/>
      <c r="P429" s="364"/>
      <c r="Q429" s="364"/>
      <c r="R429" s="364"/>
      <c r="S429" s="364"/>
      <c r="T429" s="364"/>
      <c r="U429" s="364"/>
      <c r="V429" s="364"/>
      <c r="W429" s="364"/>
      <c r="X429" s="364"/>
      <c r="Y429" s="364"/>
      <c r="Z429" s="364"/>
      <c r="AA429" s="364" t="str">
        <f aca="false">IFERROR(__xludf.dummyfunction("""COMPUTED_VALUE"""),"")</f>
        <v/>
      </c>
      <c r="AB429" s="364"/>
    </row>
    <row r="430" customFormat="false" ht="15.75" hidden="false" customHeight="false" outlineLevel="0" collapsed="false">
      <c r="A430" s="364"/>
      <c r="B430" s="364"/>
      <c r="C430" s="261"/>
      <c r="D430" s="261"/>
      <c r="E430" s="261"/>
      <c r="F430" s="364"/>
      <c r="G430" s="261"/>
      <c r="H430" s="261"/>
      <c r="I430" s="364"/>
      <c r="J430" s="364"/>
      <c r="K430" s="364"/>
      <c r="L430" s="364"/>
      <c r="M430" s="364"/>
      <c r="N430" s="364"/>
      <c r="O430" s="364"/>
      <c r="P430" s="364"/>
      <c r="Q430" s="364"/>
      <c r="R430" s="364"/>
      <c r="S430" s="364"/>
      <c r="T430" s="364"/>
      <c r="U430" s="364"/>
      <c r="V430" s="364"/>
      <c r="W430" s="364"/>
      <c r="X430" s="364"/>
      <c r="Y430" s="364"/>
      <c r="Z430" s="364"/>
      <c r="AA430" s="364" t="str">
        <f aca="false">IFERROR(__xludf.dummyfunction("""COMPUTED_VALUE"""),"")</f>
        <v/>
      </c>
      <c r="AB430" s="364"/>
    </row>
    <row r="431" customFormat="false" ht="15.75" hidden="false" customHeight="false" outlineLevel="0" collapsed="false">
      <c r="A431" s="364"/>
      <c r="B431" s="364"/>
      <c r="C431" s="261"/>
      <c r="D431" s="261"/>
      <c r="E431" s="261"/>
      <c r="F431" s="364"/>
      <c r="G431" s="261"/>
      <c r="H431" s="261"/>
      <c r="I431" s="364"/>
      <c r="J431" s="364"/>
      <c r="K431" s="364"/>
      <c r="L431" s="364"/>
      <c r="M431" s="364"/>
      <c r="N431" s="364"/>
      <c r="O431" s="364"/>
      <c r="P431" s="364"/>
      <c r="Q431" s="364"/>
      <c r="R431" s="364"/>
      <c r="S431" s="364"/>
      <c r="T431" s="364"/>
      <c r="U431" s="364"/>
      <c r="V431" s="364"/>
      <c r="W431" s="364"/>
      <c r="X431" s="364"/>
      <c r="Y431" s="364"/>
      <c r="Z431" s="364"/>
      <c r="AA431" s="364" t="str">
        <f aca="false">IFERROR(__xludf.dummyfunction("""COMPUTED_VALUE"""),"")</f>
        <v/>
      </c>
      <c r="AB431" s="364"/>
    </row>
    <row r="432" customFormat="false" ht="15.75" hidden="false" customHeight="false" outlineLevel="0" collapsed="false">
      <c r="A432" s="364"/>
      <c r="B432" s="364"/>
      <c r="C432" s="261"/>
      <c r="D432" s="261"/>
      <c r="E432" s="261"/>
      <c r="F432" s="364"/>
      <c r="G432" s="261"/>
      <c r="H432" s="364"/>
      <c r="I432" s="364"/>
      <c r="J432" s="364"/>
      <c r="K432" s="364"/>
      <c r="L432" s="364"/>
      <c r="M432" s="364"/>
      <c r="N432" s="364"/>
      <c r="O432" s="364"/>
      <c r="P432" s="364"/>
      <c r="Q432" s="364"/>
      <c r="R432" s="364"/>
      <c r="S432" s="364"/>
      <c r="T432" s="364"/>
      <c r="U432" s="364"/>
      <c r="V432" s="364"/>
      <c r="W432" s="364"/>
      <c r="X432" s="364"/>
      <c r="Y432" s="364"/>
      <c r="Z432" s="364"/>
      <c r="AA432" s="364" t="str">
        <f aca="false">IFERROR(__xludf.dummyfunction("""COMPUTED_VALUE"""),"")</f>
        <v/>
      </c>
      <c r="AB432" s="364"/>
    </row>
    <row r="433" customFormat="false" ht="15.75" hidden="false" customHeight="false" outlineLevel="0" collapsed="false">
      <c r="A433" s="364"/>
      <c r="B433" s="364"/>
      <c r="C433" s="261"/>
      <c r="D433" s="261"/>
      <c r="E433" s="261"/>
      <c r="F433" s="364"/>
      <c r="G433" s="261"/>
      <c r="H433" s="261"/>
      <c r="I433" s="364"/>
      <c r="J433" s="364"/>
      <c r="K433" s="364"/>
      <c r="L433" s="364"/>
      <c r="M433" s="364"/>
      <c r="N433" s="364"/>
      <c r="O433" s="364"/>
      <c r="P433" s="364"/>
      <c r="Q433" s="364"/>
      <c r="R433" s="364"/>
      <c r="S433" s="364"/>
      <c r="T433" s="364"/>
      <c r="U433" s="364"/>
      <c r="V433" s="364"/>
      <c r="W433" s="364"/>
      <c r="X433" s="364"/>
      <c r="Y433" s="364"/>
      <c r="Z433" s="364"/>
      <c r="AA433" s="364" t="str">
        <f aca="false">IFERROR(__xludf.dummyfunction("""COMPUTED_VALUE"""),"")</f>
        <v/>
      </c>
      <c r="AB433" s="364"/>
    </row>
    <row r="434" customFormat="false" ht="15.75" hidden="false" customHeight="false" outlineLevel="0" collapsed="false">
      <c r="A434" s="364"/>
      <c r="B434" s="364"/>
      <c r="C434" s="261"/>
      <c r="D434" s="261"/>
      <c r="E434" s="261"/>
      <c r="F434" s="364"/>
      <c r="G434" s="261"/>
      <c r="H434" s="261"/>
      <c r="I434" s="364"/>
      <c r="J434" s="364"/>
      <c r="K434" s="364"/>
      <c r="L434" s="364"/>
      <c r="M434" s="364"/>
      <c r="N434" s="364"/>
      <c r="O434" s="364"/>
      <c r="P434" s="364"/>
      <c r="Q434" s="364"/>
      <c r="R434" s="364"/>
      <c r="S434" s="364"/>
      <c r="T434" s="364"/>
      <c r="U434" s="364"/>
      <c r="V434" s="364"/>
      <c r="W434" s="364"/>
      <c r="X434" s="364"/>
      <c r="Y434" s="364"/>
      <c r="Z434" s="364"/>
      <c r="AA434" s="364" t="str">
        <f aca="false">IFERROR(__xludf.dummyfunction("""COMPUTED_VALUE"""),"")</f>
        <v/>
      </c>
      <c r="AB434" s="364"/>
    </row>
    <row r="435" customFormat="false" ht="15.75" hidden="false" customHeight="false" outlineLevel="0" collapsed="false">
      <c r="A435" s="364"/>
      <c r="B435" s="364"/>
      <c r="C435" s="261"/>
      <c r="D435" s="261"/>
      <c r="E435" s="261"/>
      <c r="F435" s="364"/>
      <c r="G435" s="261"/>
      <c r="H435" s="261"/>
      <c r="I435" s="364"/>
      <c r="J435" s="364"/>
      <c r="K435" s="364"/>
      <c r="L435" s="364"/>
      <c r="M435" s="364"/>
      <c r="N435" s="364"/>
      <c r="O435" s="364"/>
      <c r="P435" s="364"/>
      <c r="Q435" s="364"/>
      <c r="R435" s="364"/>
      <c r="S435" s="364"/>
      <c r="T435" s="364"/>
      <c r="U435" s="364"/>
      <c r="V435" s="364"/>
      <c r="W435" s="364"/>
      <c r="X435" s="364"/>
      <c r="Y435" s="364"/>
      <c r="Z435" s="364"/>
      <c r="AA435" s="364" t="str">
        <f aca="false">IFERROR(__xludf.dummyfunction("""COMPUTED_VALUE"""),"")</f>
        <v/>
      </c>
      <c r="AB435" s="364"/>
    </row>
    <row r="436" customFormat="false" ht="15.75" hidden="false" customHeight="false" outlineLevel="0" collapsed="false">
      <c r="A436" s="364"/>
      <c r="B436" s="364"/>
      <c r="C436" s="261"/>
      <c r="D436" s="261"/>
      <c r="E436" s="261"/>
      <c r="F436" s="364"/>
      <c r="G436" s="261"/>
      <c r="H436" s="261"/>
      <c r="I436" s="364"/>
      <c r="J436" s="364"/>
      <c r="K436" s="364"/>
      <c r="L436" s="364"/>
      <c r="M436" s="364"/>
      <c r="N436" s="364"/>
      <c r="O436" s="364"/>
      <c r="P436" s="364"/>
      <c r="Q436" s="364"/>
      <c r="R436" s="364"/>
      <c r="S436" s="364"/>
      <c r="T436" s="364"/>
      <c r="U436" s="364"/>
      <c r="V436" s="364"/>
      <c r="W436" s="364"/>
      <c r="X436" s="364"/>
      <c r="Y436" s="364"/>
      <c r="Z436" s="364"/>
      <c r="AA436" s="364" t="str">
        <f aca="false">IFERROR(__xludf.dummyfunction("""COMPUTED_VALUE"""),"")</f>
        <v/>
      </c>
      <c r="AB436" s="364"/>
    </row>
    <row r="437" customFormat="false" ht="15.75" hidden="false" customHeight="false" outlineLevel="0" collapsed="false">
      <c r="A437" s="364"/>
      <c r="B437" s="364"/>
      <c r="C437" s="261"/>
      <c r="D437" s="261"/>
      <c r="E437" s="261"/>
      <c r="F437" s="364"/>
      <c r="G437" s="261"/>
      <c r="H437" s="261"/>
      <c r="I437" s="364"/>
      <c r="J437" s="364"/>
      <c r="K437" s="364"/>
      <c r="L437" s="364"/>
      <c r="M437" s="364"/>
      <c r="N437" s="364"/>
      <c r="O437" s="364"/>
      <c r="P437" s="364"/>
      <c r="Q437" s="364"/>
      <c r="R437" s="364"/>
      <c r="S437" s="364"/>
      <c r="T437" s="364"/>
      <c r="U437" s="364"/>
      <c r="V437" s="364"/>
      <c r="W437" s="364"/>
      <c r="X437" s="364"/>
      <c r="Y437" s="364"/>
      <c r="Z437" s="364"/>
      <c r="AA437" s="364" t="str">
        <f aca="false">IFERROR(__xludf.dummyfunction("""COMPUTED_VALUE"""),"")</f>
        <v/>
      </c>
      <c r="AB437" s="364"/>
    </row>
    <row r="438" customFormat="false" ht="15.75" hidden="false" customHeight="false" outlineLevel="0" collapsed="false">
      <c r="A438" s="364"/>
      <c r="B438" s="364"/>
      <c r="C438" s="261"/>
      <c r="D438" s="261"/>
      <c r="E438" s="261"/>
      <c r="F438" s="364"/>
      <c r="G438" s="261"/>
      <c r="H438" s="261"/>
      <c r="I438" s="364"/>
      <c r="J438" s="364"/>
      <c r="K438" s="364"/>
      <c r="L438" s="364"/>
      <c r="M438" s="364"/>
      <c r="N438" s="364"/>
      <c r="O438" s="364"/>
      <c r="P438" s="364"/>
      <c r="Q438" s="364"/>
      <c r="R438" s="364"/>
      <c r="S438" s="364"/>
      <c r="T438" s="364"/>
      <c r="U438" s="364"/>
      <c r="V438" s="364"/>
      <c r="W438" s="364"/>
      <c r="X438" s="364"/>
      <c r="Y438" s="364"/>
      <c r="Z438" s="364"/>
      <c r="AA438" s="364" t="str">
        <f aca="false">IFERROR(__xludf.dummyfunction("""COMPUTED_VALUE"""),"")</f>
        <v/>
      </c>
      <c r="AB438" s="364"/>
    </row>
    <row r="439" customFormat="false" ht="15.75" hidden="false" customHeight="false" outlineLevel="0" collapsed="false">
      <c r="A439" s="261"/>
      <c r="B439" s="261"/>
      <c r="C439" s="261"/>
      <c r="D439" s="261"/>
      <c r="E439" s="261"/>
      <c r="F439" s="364"/>
      <c r="G439" s="261"/>
      <c r="H439" s="364"/>
      <c r="I439" s="364"/>
      <c r="J439" s="364"/>
      <c r="K439" s="364"/>
      <c r="L439" s="364"/>
      <c r="M439" s="364"/>
      <c r="N439" s="364"/>
      <c r="O439" s="364"/>
      <c r="P439" s="364"/>
      <c r="Q439" s="364"/>
      <c r="R439" s="364"/>
      <c r="S439" s="364"/>
      <c r="T439" s="364"/>
      <c r="U439" s="364"/>
      <c r="V439" s="364"/>
      <c r="W439" s="364"/>
      <c r="X439" s="364"/>
      <c r="Y439" s="364"/>
      <c r="Z439" s="364"/>
      <c r="AA439" s="364" t="str">
        <f aca="false">IFERROR(__xludf.dummyfunction("""COMPUTED_VALUE"""),"")</f>
        <v/>
      </c>
      <c r="AB439" s="364"/>
    </row>
    <row r="440" customFormat="false" ht="15.75" hidden="false" customHeight="false" outlineLevel="0" collapsed="false">
      <c r="A440" s="364"/>
      <c r="B440" s="364"/>
      <c r="C440" s="261"/>
      <c r="D440" s="261"/>
      <c r="E440" s="261"/>
      <c r="F440" s="364"/>
      <c r="G440" s="261"/>
      <c r="H440" s="261"/>
      <c r="I440" s="364"/>
      <c r="J440" s="364"/>
      <c r="K440" s="364"/>
      <c r="L440" s="364"/>
      <c r="M440" s="364"/>
      <c r="N440" s="364"/>
      <c r="O440" s="364"/>
      <c r="P440" s="364"/>
      <c r="Q440" s="364"/>
      <c r="R440" s="364"/>
      <c r="S440" s="364"/>
      <c r="T440" s="364"/>
      <c r="U440" s="364"/>
      <c r="V440" s="364"/>
      <c r="W440" s="364"/>
      <c r="X440" s="364"/>
      <c r="Y440" s="364"/>
      <c r="Z440" s="364"/>
      <c r="AA440" s="364" t="str">
        <f aca="false">IFERROR(__xludf.dummyfunction("""COMPUTED_VALUE"""),"")</f>
        <v/>
      </c>
      <c r="AB440" s="364"/>
    </row>
    <row r="441" customFormat="false" ht="15.75" hidden="false" customHeight="false" outlineLevel="0" collapsed="false">
      <c r="A441" s="261"/>
      <c r="B441" s="261"/>
      <c r="C441" s="261"/>
      <c r="D441" s="261"/>
      <c r="E441" s="261"/>
      <c r="F441" s="364"/>
      <c r="G441" s="261"/>
      <c r="H441" s="364"/>
      <c r="I441" s="364"/>
      <c r="J441" s="364"/>
      <c r="K441" s="364"/>
      <c r="L441" s="364"/>
      <c r="M441" s="364"/>
      <c r="N441" s="364"/>
      <c r="O441" s="364"/>
      <c r="P441" s="364"/>
      <c r="Q441" s="364"/>
      <c r="R441" s="364"/>
      <c r="S441" s="364"/>
      <c r="T441" s="364"/>
      <c r="U441" s="364"/>
      <c r="V441" s="364"/>
      <c r="W441" s="364"/>
      <c r="X441" s="364"/>
      <c r="Y441" s="364"/>
      <c r="Z441" s="364"/>
      <c r="AA441" s="364" t="str">
        <f aca="false">IFERROR(__xludf.dummyfunction("""COMPUTED_VALUE"""),"")</f>
        <v/>
      </c>
      <c r="AB441" s="364"/>
    </row>
    <row r="442" customFormat="false" ht="15.75" hidden="false" customHeight="false" outlineLevel="0" collapsed="false">
      <c r="A442" s="261"/>
      <c r="B442" s="261"/>
      <c r="C442" s="261"/>
      <c r="D442" s="261"/>
      <c r="E442" s="261"/>
      <c r="F442" s="364"/>
      <c r="G442" s="261"/>
      <c r="H442" s="364"/>
      <c r="I442" s="364"/>
      <c r="J442" s="364"/>
      <c r="K442" s="364"/>
      <c r="L442" s="364"/>
      <c r="M442" s="364"/>
      <c r="N442" s="364"/>
      <c r="O442" s="364"/>
      <c r="P442" s="364"/>
      <c r="Q442" s="364"/>
      <c r="R442" s="364"/>
      <c r="S442" s="364"/>
      <c r="T442" s="364"/>
      <c r="U442" s="364"/>
      <c r="V442" s="364"/>
      <c r="W442" s="364"/>
      <c r="X442" s="364"/>
      <c r="Y442" s="364"/>
      <c r="Z442" s="364"/>
      <c r="AA442" s="364" t="str">
        <f aca="false">IFERROR(__xludf.dummyfunction("""COMPUTED_VALUE"""),"")</f>
        <v/>
      </c>
      <c r="AB442" s="364"/>
    </row>
    <row r="443" customFormat="false" ht="15.75" hidden="false" customHeight="false" outlineLevel="0" collapsed="false">
      <c r="A443" s="364"/>
      <c r="B443" s="364"/>
      <c r="C443" s="261"/>
      <c r="D443" s="261"/>
      <c r="E443" s="261"/>
      <c r="F443" s="261"/>
      <c r="G443" s="261"/>
      <c r="H443" s="261"/>
      <c r="I443" s="364"/>
      <c r="J443" s="364"/>
      <c r="K443" s="364"/>
      <c r="L443" s="364"/>
      <c r="M443" s="364"/>
      <c r="N443" s="364"/>
      <c r="O443" s="364"/>
      <c r="P443" s="364"/>
      <c r="Q443" s="364"/>
      <c r="R443" s="364"/>
      <c r="S443" s="364"/>
      <c r="T443" s="364"/>
      <c r="U443" s="364"/>
      <c r="V443" s="364"/>
      <c r="W443" s="364"/>
      <c r="X443" s="364"/>
      <c r="Y443" s="364"/>
      <c r="Z443" s="364"/>
      <c r="AA443" s="364" t="str">
        <f aca="false">IFERROR(__xludf.dummyfunction("""COMPUTED_VALUE"""),"")</f>
        <v/>
      </c>
      <c r="AB443" s="364"/>
    </row>
    <row r="444" customFormat="false" ht="15.75" hidden="false" customHeight="false" outlineLevel="0" collapsed="false">
      <c r="A444" s="364"/>
      <c r="B444" s="364"/>
      <c r="C444" s="261"/>
      <c r="D444" s="261"/>
      <c r="E444" s="261"/>
      <c r="F444" s="261"/>
      <c r="G444" s="261"/>
      <c r="H444" s="261"/>
      <c r="I444" s="364"/>
      <c r="J444" s="364"/>
      <c r="K444" s="364"/>
      <c r="L444" s="364"/>
      <c r="M444" s="364"/>
      <c r="N444" s="364"/>
      <c r="O444" s="364"/>
      <c r="P444" s="364"/>
      <c r="Q444" s="364"/>
      <c r="R444" s="364"/>
      <c r="S444" s="364"/>
      <c r="T444" s="364"/>
      <c r="U444" s="364"/>
      <c r="V444" s="364"/>
      <c r="W444" s="364"/>
      <c r="X444" s="364"/>
      <c r="Y444" s="364"/>
      <c r="Z444" s="364"/>
      <c r="AA444" s="364" t="str">
        <f aca="false">IFERROR(__xludf.dummyfunction("""COMPUTED_VALUE"""),"")</f>
        <v/>
      </c>
      <c r="AB444" s="364"/>
    </row>
    <row r="445" customFormat="false" ht="15.75" hidden="false" customHeight="false" outlineLevel="0" collapsed="false">
      <c r="A445" s="364"/>
      <c r="B445" s="364"/>
      <c r="C445" s="261"/>
      <c r="D445" s="261"/>
      <c r="E445" s="261"/>
      <c r="F445" s="364"/>
      <c r="G445" s="261"/>
      <c r="H445" s="261"/>
      <c r="I445" s="364"/>
      <c r="J445" s="364"/>
      <c r="K445" s="364"/>
      <c r="L445" s="364"/>
      <c r="M445" s="364"/>
      <c r="N445" s="364"/>
      <c r="O445" s="364"/>
      <c r="P445" s="364"/>
      <c r="Q445" s="364"/>
      <c r="R445" s="364"/>
      <c r="S445" s="364"/>
      <c r="T445" s="364"/>
      <c r="U445" s="364"/>
      <c r="V445" s="364"/>
      <c r="W445" s="364"/>
      <c r="X445" s="364"/>
      <c r="Y445" s="364"/>
      <c r="Z445" s="364"/>
      <c r="AA445" s="364" t="str">
        <f aca="false">IFERROR(__xludf.dummyfunction("""COMPUTED_VALUE"""),"")</f>
        <v/>
      </c>
      <c r="AB445" s="364"/>
    </row>
    <row r="446" customFormat="false" ht="15.75" hidden="false" customHeight="false" outlineLevel="0" collapsed="false">
      <c r="A446" s="364"/>
      <c r="B446" s="364"/>
      <c r="C446" s="261"/>
      <c r="D446" s="261"/>
      <c r="E446" s="261"/>
      <c r="F446" s="364"/>
      <c r="G446" s="261"/>
      <c r="H446" s="261"/>
      <c r="I446" s="364"/>
      <c r="J446" s="364"/>
      <c r="K446" s="364"/>
      <c r="L446" s="364"/>
      <c r="M446" s="364"/>
      <c r="N446" s="364"/>
      <c r="O446" s="364"/>
      <c r="P446" s="364"/>
      <c r="Q446" s="364"/>
      <c r="R446" s="364"/>
      <c r="S446" s="364"/>
      <c r="T446" s="364"/>
      <c r="U446" s="364"/>
      <c r="V446" s="364"/>
      <c r="W446" s="364"/>
      <c r="X446" s="364"/>
      <c r="Y446" s="364"/>
      <c r="Z446" s="364"/>
      <c r="AA446" s="364" t="str">
        <f aca="false">IFERROR(__xludf.dummyfunction("""COMPUTED_VALUE"""),"")</f>
        <v/>
      </c>
      <c r="AB446" s="364"/>
    </row>
    <row r="447" customFormat="false" ht="15.75" hidden="false" customHeight="false" outlineLevel="0" collapsed="false">
      <c r="A447" s="364"/>
      <c r="B447" s="364"/>
      <c r="C447" s="261"/>
      <c r="D447" s="261"/>
      <c r="E447" s="261"/>
      <c r="F447" s="364"/>
      <c r="G447" s="261"/>
      <c r="H447" s="261"/>
      <c r="I447" s="364"/>
      <c r="J447" s="364"/>
      <c r="K447" s="364"/>
      <c r="L447" s="364"/>
      <c r="M447" s="364"/>
      <c r="N447" s="364"/>
      <c r="O447" s="364"/>
      <c r="P447" s="364"/>
      <c r="Q447" s="364"/>
      <c r="R447" s="364"/>
      <c r="S447" s="364"/>
      <c r="T447" s="364"/>
      <c r="U447" s="364"/>
      <c r="V447" s="364"/>
      <c r="W447" s="364"/>
      <c r="X447" s="364"/>
      <c r="Y447" s="364"/>
      <c r="Z447" s="364"/>
      <c r="AA447" s="364" t="str">
        <f aca="false">IFERROR(__xludf.dummyfunction("""COMPUTED_VALUE"""),"")</f>
        <v/>
      </c>
      <c r="AB447" s="364"/>
    </row>
    <row r="448" customFormat="false" ht="15.75" hidden="false" customHeight="false" outlineLevel="0" collapsed="false">
      <c r="A448" s="364"/>
      <c r="B448" s="364"/>
      <c r="C448" s="261"/>
      <c r="D448" s="261"/>
      <c r="E448" s="261"/>
      <c r="F448" s="364"/>
      <c r="G448" s="261"/>
      <c r="H448" s="261"/>
      <c r="I448" s="364"/>
      <c r="J448" s="364"/>
      <c r="K448" s="364"/>
      <c r="L448" s="364"/>
      <c r="M448" s="364"/>
      <c r="N448" s="364"/>
      <c r="O448" s="364"/>
      <c r="P448" s="364"/>
      <c r="Q448" s="364"/>
      <c r="R448" s="364"/>
      <c r="S448" s="364"/>
      <c r="T448" s="364"/>
      <c r="U448" s="364"/>
      <c r="V448" s="364"/>
      <c r="W448" s="364"/>
      <c r="X448" s="364"/>
      <c r="Y448" s="364"/>
      <c r="Z448" s="364"/>
      <c r="AA448" s="364" t="str">
        <f aca="false">IFERROR(__xludf.dummyfunction("""COMPUTED_VALUE"""),"")</f>
        <v/>
      </c>
      <c r="AB448" s="364"/>
    </row>
    <row r="449" customFormat="false" ht="15.75" hidden="false" customHeight="false" outlineLevel="0" collapsed="false">
      <c r="A449" s="364"/>
      <c r="B449" s="364"/>
      <c r="C449" s="261"/>
      <c r="D449" s="261"/>
      <c r="E449" s="261"/>
      <c r="F449" s="364"/>
      <c r="G449" s="261"/>
      <c r="H449" s="261"/>
      <c r="I449" s="364"/>
      <c r="J449" s="364"/>
      <c r="K449" s="364"/>
      <c r="L449" s="364"/>
      <c r="M449" s="364"/>
      <c r="N449" s="364"/>
      <c r="O449" s="364"/>
      <c r="P449" s="364"/>
      <c r="Q449" s="364"/>
      <c r="R449" s="364"/>
      <c r="S449" s="364"/>
      <c r="T449" s="364"/>
      <c r="U449" s="364"/>
      <c r="V449" s="364"/>
      <c r="W449" s="364"/>
      <c r="X449" s="364"/>
      <c r="Y449" s="364"/>
      <c r="Z449" s="364"/>
      <c r="AA449" s="364" t="str">
        <f aca="false">IFERROR(__xludf.dummyfunction("""COMPUTED_VALUE"""),"")</f>
        <v/>
      </c>
      <c r="AB449" s="364"/>
    </row>
    <row r="450" customFormat="false" ht="15.75" hidden="false" customHeight="false" outlineLevel="0" collapsed="false">
      <c r="A450" s="364"/>
      <c r="B450" s="364"/>
      <c r="C450" s="261"/>
      <c r="D450" s="261"/>
      <c r="E450" s="261"/>
      <c r="F450" s="364"/>
      <c r="G450" s="261"/>
      <c r="H450" s="261"/>
      <c r="I450" s="364"/>
      <c r="J450" s="364"/>
      <c r="K450" s="364"/>
      <c r="L450" s="364"/>
      <c r="M450" s="364"/>
      <c r="N450" s="364"/>
      <c r="O450" s="364"/>
      <c r="P450" s="364"/>
      <c r="Q450" s="364"/>
      <c r="R450" s="364"/>
      <c r="S450" s="364"/>
      <c r="T450" s="364"/>
      <c r="U450" s="364"/>
      <c r="V450" s="364"/>
      <c r="W450" s="364"/>
      <c r="X450" s="364"/>
      <c r="Y450" s="364"/>
      <c r="Z450" s="364"/>
      <c r="AA450" s="364" t="str">
        <f aca="false">IFERROR(__xludf.dummyfunction("""COMPUTED_VALUE"""),"")</f>
        <v/>
      </c>
      <c r="AB450" s="364"/>
    </row>
    <row r="451" customFormat="false" ht="15.75" hidden="false" customHeight="false" outlineLevel="0" collapsed="false">
      <c r="A451" s="364"/>
      <c r="B451" s="364"/>
      <c r="C451" s="261"/>
      <c r="D451" s="261"/>
      <c r="E451" s="261"/>
      <c r="F451" s="261"/>
      <c r="G451" s="261"/>
      <c r="H451" s="261"/>
      <c r="I451" s="364"/>
      <c r="J451" s="364"/>
      <c r="K451" s="364"/>
      <c r="L451" s="364"/>
      <c r="M451" s="364"/>
      <c r="N451" s="364"/>
      <c r="O451" s="364"/>
      <c r="P451" s="364"/>
      <c r="Q451" s="364"/>
      <c r="R451" s="364"/>
      <c r="S451" s="364"/>
      <c r="T451" s="364"/>
      <c r="U451" s="364"/>
      <c r="V451" s="364"/>
      <c r="W451" s="364"/>
      <c r="X451" s="364"/>
      <c r="Y451" s="364"/>
      <c r="Z451" s="364"/>
      <c r="AA451" s="364" t="str">
        <f aca="false">IFERROR(__xludf.dummyfunction("""COMPUTED_VALUE"""),"")</f>
        <v/>
      </c>
      <c r="AB451" s="364"/>
    </row>
    <row r="452" customFormat="false" ht="15.75" hidden="false" customHeight="false" outlineLevel="0" collapsed="false">
      <c r="A452" s="364"/>
      <c r="B452" s="364"/>
      <c r="C452" s="261"/>
      <c r="D452" s="261"/>
      <c r="E452" s="261"/>
      <c r="F452" s="364"/>
      <c r="G452" s="261"/>
      <c r="H452" s="261"/>
      <c r="I452" s="364"/>
      <c r="J452" s="364"/>
      <c r="K452" s="364"/>
      <c r="L452" s="364"/>
      <c r="M452" s="364"/>
      <c r="N452" s="364"/>
      <c r="O452" s="364"/>
      <c r="P452" s="364"/>
      <c r="Q452" s="364"/>
      <c r="R452" s="364"/>
      <c r="S452" s="364"/>
      <c r="T452" s="364"/>
      <c r="U452" s="364"/>
      <c r="V452" s="364"/>
      <c r="W452" s="364"/>
      <c r="X452" s="364"/>
      <c r="Y452" s="364"/>
      <c r="Z452" s="364"/>
      <c r="AA452" s="364" t="str">
        <f aca="false">IFERROR(__xludf.dummyfunction("""COMPUTED_VALUE"""),"")</f>
        <v/>
      </c>
      <c r="AB452" s="364"/>
    </row>
    <row r="453" customFormat="false" ht="15.75" hidden="false" customHeight="false" outlineLevel="0" collapsed="false">
      <c r="A453" s="261"/>
      <c r="B453" s="261"/>
      <c r="C453" s="261"/>
      <c r="D453" s="261"/>
      <c r="E453" s="261"/>
      <c r="F453" s="364"/>
      <c r="G453" s="261"/>
      <c r="H453" s="364"/>
      <c r="I453" s="364"/>
      <c r="J453" s="364"/>
      <c r="K453" s="364"/>
      <c r="L453" s="364"/>
      <c r="M453" s="364"/>
      <c r="N453" s="364"/>
      <c r="O453" s="364"/>
      <c r="P453" s="364"/>
      <c r="Q453" s="364"/>
      <c r="R453" s="364"/>
      <c r="S453" s="364"/>
      <c r="T453" s="364"/>
      <c r="U453" s="364"/>
      <c r="V453" s="364"/>
      <c r="W453" s="364"/>
      <c r="X453" s="364"/>
      <c r="Y453" s="364"/>
      <c r="Z453" s="364"/>
      <c r="AA453" s="364" t="str">
        <f aca="false">IFERROR(__xludf.dummyfunction("""COMPUTED_VALUE"""),"")</f>
        <v/>
      </c>
      <c r="AB453" s="364"/>
    </row>
    <row r="454" customFormat="false" ht="15.75" hidden="false" customHeight="false" outlineLevel="0" collapsed="false">
      <c r="A454" s="364"/>
      <c r="B454" s="364"/>
      <c r="C454" s="261"/>
      <c r="D454" s="261"/>
      <c r="E454" s="261"/>
      <c r="F454" s="364"/>
      <c r="G454" s="261"/>
      <c r="H454" s="261"/>
      <c r="I454" s="364"/>
      <c r="J454" s="364"/>
      <c r="K454" s="364"/>
      <c r="L454" s="364"/>
      <c r="M454" s="364"/>
      <c r="N454" s="364"/>
      <c r="O454" s="364"/>
      <c r="P454" s="364"/>
      <c r="Q454" s="364"/>
      <c r="R454" s="364"/>
      <c r="S454" s="364"/>
      <c r="T454" s="364"/>
      <c r="U454" s="364"/>
      <c r="V454" s="364"/>
      <c r="W454" s="364"/>
      <c r="X454" s="364"/>
      <c r="Y454" s="364"/>
      <c r="Z454" s="364"/>
      <c r="AA454" s="364" t="str">
        <f aca="false">IFERROR(__xludf.dummyfunction("""COMPUTED_VALUE"""),"")</f>
        <v/>
      </c>
      <c r="AB454" s="364"/>
    </row>
    <row r="455" customFormat="false" ht="15.75" hidden="false" customHeight="false" outlineLevel="0" collapsed="false">
      <c r="A455" s="364"/>
      <c r="B455" s="364"/>
      <c r="C455" s="261"/>
      <c r="D455" s="261"/>
      <c r="E455" s="261"/>
      <c r="F455" s="364"/>
      <c r="G455" s="261"/>
      <c r="H455" s="261"/>
      <c r="I455" s="364"/>
      <c r="J455" s="364"/>
      <c r="K455" s="364"/>
      <c r="L455" s="364"/>
      <c r="M455" s="364"/>
      <c r="N455" s="364"/>
      <c r="O455" s="364"/>
      <c r="P455" s="364"/>
      <c r="Q455" s="364"/>
      <c r="R455" s="364"/>
      <c r="S455" s="364"/>
      <c r="T455" s="364"/>
      <c r="U455" s="364"/>
      <c r="V455" s="364"/>
      <c r="W455" s="364"/>
      <c r="X455" s="364"/>
      <c r="Y455" s="364"/>
      <c r="Z455" s="364"/>
      <c r="AA455" s="364" t="str">
        <f aca="false">IFERROR(__xludf.dummyfunction("""COMPUTED_VALUE"""),"")</f>
        <v/>
      </c>
      <c r="AB455" s="364"/>
    </row>
    <row r="456" customFormat="false" ht="15.75" hidden="false" customHeight="false" outlineLevel="0" collapsed="false">
      <c r="A456" s="364"/>
      <c r="B456" s="364"/>
      <c r="C456" s="261"/>
      <c r="D456" s="261"/>
      <c r="E456" s="261"/>
      <c r="F456" s="364"/>
      <c r="G456" s="261"/>
      <c r="H456" s="261"/>
      <c r="I456" s="364"/>
      <c r="J456" s="364"/>
      <c r="K456" s="364"/>
      <c r="L456" s="364"/>
      <c r="M456" s="364"/>
      <c r="N456" s="364"/>
      <c r="O456" s="364"/>
      <c r="P456" s="364"/>
      <c r="Q456" s="364"/>
      <c r="R456" s="364"/>
      <c r="S456" s="364"/>
      <c r="T456" s="364"/>
      <c r="U456" s="364"/>
      <c r="V456" s="364"/>
      <c r="W456" s="364"/>
      <c r="X456" s="364"/>
      <c r="Y456" s="364"/>
      <c r="Z456" s="364"/>
      <c r="AA456" s="364" t="str">
        <f aca="false">IFERROR(__xludf.dummyfunction("""COMPUTED_VALUE"""),"")</f>
        <v/>
      </c>
      <c r="AB456" s="364"/>
    </row>
    <row r="457" customFormat="false" ht="15.75" hidden="false" customHeight="false" outlineLevel="0" collapsed="false">
      <c r="A457" s="261"/>
      <c r="B457" s="261"/>
      <c r="C457" s="261"/>
      <c r="D457" s="261"/>
      <c r="E457" s="261"/>
      <c r="F457" s="364"/>
      <c r="G457" s="261"/>
      <c r="H457" s="364"/>
      <c r="I457" s="364"/>
      <c r="J457" s="364"/>
      <c r="K457" s="364"/>
      <c r="L457" s="364"/>
      <c r="M457" s="364"/>
      <c r="N457" s="364"/>
      <c r="O457" s="364"/>
      <c r="P457" s="364"/>
      <c r="Q457" s="364"/>
      <c r="R457" s="364"/>
      <c r="S457" s="364"/>
      <c r="T457" s="364"/>
      <c r="U457" s="364"/>
      <c r="V457" s="364"/>
      <c r="W457" s="364"/>
      <c r="X457" s="364"/>
      <c r="Y457" s="364"/>
      <c r="Z457" s="364"/>
      <c r="AA457" s="364" t="str">
        <f aca="false">IFERROR(__xludf.dummyfunction("""COMPUTED_VALUE"""),"")</f>
        <v/>
      </c>
      <c r="AB457" s="364"/>
    </row>
    <row r="458" customFormat="false" ht="15.75" hidden="false" customHeight="false" outlineLevel="0" collapsed="false">
      <c r="A458" s="364"/>
      <c r="B458" s="364"/>
      <c r="C458" s="261"/>
      <c r="D458" s="261"/>
      <c r="E458" s="261"/>
      <c r="F458" s="364"/>
      <c r="G458" s="261"/>
      <c r="H458" s="261"/>
      <c r="I458" s="364"/>
      <c r="J458" s="364"/>
      <c r="K458" s="364"/>
      <c r="L458" s="364"/>
      <c r="M458" s="364"/>
      <c r="N458" s="364"/>
      <c r="O458" s="364"/>
      <c r="P458" s="364"/>
      <c r="Q458" s="364"/>
      <c r="R458" s="364"/>
      <c r="S458" s="364"/>
      <c r="T458" s="364"/>
      <c r="U458" s="364"/>
      <c r="V458" s="364"/>
      <c r="W458" s="364"/>
      <c r="X458" s="364"/>
      <c r="Y458" s="364"/>
      <c r="Z458" s="364"/>
      <c r="AA458" s="364" t="str">
        <f aca="false">IFERROR(__xludf.dummyfunction("""COMPUTED_VALUE"""),"")</f>
        <v/>
      </c>
      <c r="AB458" s="364"/>
    </row>
    <row r="459" customFormat="false" ht="15.75" hidden="false" customHeight="false" outlineLevel="0" collapsed="false">
      <c r="A459" s="364"/>
      <c r="B459" s="364"/>
      <c r="C459" s="261"/>
      <c r="D459" s="261"/>
      <c r="E459" s="261"/>
      <c r="F459" s="364"/>
      <c r="G459" s="261"/>
      <c r="H459" s="261"/>
      <c r="I459" s="364"/>
      <c r="J459" s="364"/>
      <c r="K459" s="364"/>
      <c r="L459" s="364"/>
      <c r="M459" s="364"/>
      <c r="N459" s="364"/>
      <c r="O459" s="364"/>
      <c r="P459" s="364"/>
      <c r="Q459" s="364"/>
      <c r="R459" s="364"/>
      <c r="S459" s="364"/>
      <c r="T459" s="364"/>
      <c r="U459" s="364"/>
      <c r="V459" s="364"/>
      <c r="W459" s="364"/>
      <c r="X459" s="364"/>
      <c r="Y459" s="364"/>
      <c r="Z459" s="364"/>
      <c r="AA459" s="364" t="str">
        <f aca="false">IFERROR(__xludf.dummyfunction("""COMPUTED_VALUE"""),"")</f>
        <v/>
      </c>
      <c r="AB459" s="364"/>
    </row>
    <row r="460" customFormat="false" ht="15.75" hidden="false" customHeight="false" outlineLevel="0" collapsed="false">
      <c r="A460" s="364"/>
      <c r="B460" s="364"/>
      <c r="C460" s="261"/>
      <c r="D460" s="261"/>
      <c r="E460" s="261"/>
      <c r="F460" s="364"/>
      <c r="G460" s="261"/>
      <c r="H460" s="261"/>
      <c r="I460" s="364"/>
      <c r="J460" s="364"/>
      <c r="K460" s="364"/>
      <c r="L460" s="364"/>
      <c r="M460" s="364"/>
      <c r="N460" s="364"/>
      <c r="O460" s="364"/>
      <c r="P460" s="364"/>
      <c r="Q460" s="364"/>
      <c r="R460" s="364"/>
      <c r="S460" s="364"/>
      <c r="T460" s="364"/>
      <c r="U460" s="364"/>
      <c r="V460" s="364"/>
      <c r="W460" s="364"/>
      <c r="X460" s="364"/>
      <c r="Y460" s="364"/>
      <c r="Z460" s="364"/>
      <c r="AA460" s="364" t="str">
        <f aca="false">IFERROR(__xludf.dummyfunction("""COMPUTED_VALUE"""),"")</f>
        <v/>
      </c>
      <c r="AB460" s="364"/>
    </row>
    <row r="461" customFormat="false" ht="15.75" hidden="false" customHeight="false" outlineLevel="0" collapsed="false">
      <c r="A461" s="364"/>
      <c r="B461" s="364"/>
      <c r="C461" s="261"/>
      <c r="D461" s="261"/>
      <c r="E461" s="261"/>
      <c r="F461" s="364"/>
      <c r="G461" s="261"/>
      <c r="H461" s="261"/>
      <c r="I461" s="364"/>
      <c r="J461" s="364"/>
      <c r="K461" s="364"/>
      <c r="L461" s="364"/>
      <c r="M461" s="364"/>
      <c r="N461" s="364"/>
      <c r="O461" s="364"/>
      <c r="P461" s="364"/>
      <c r="Q461" s="364"/>
      <c r="R461" s="364"/>
      <c r="S461" s="364"/>
      <c r="T461" s="364"/>
      <c r="U461" s="364"/>
      <c r="V461" s="364"/>
      <c r="W461" s="364"/>
      <c r="X461" s="364"/>
      <c r="Y461" s="364"/>
      <c r="Z461" s="364"/>
      <c r="AA461" s="364" t="str">
        <f aca="false">IFERROR(__xludf.dummyfunction("""COMPUTED_VALUE"""),"")</f>
        <v/>
      </c>
      <c r="AB461" s="364"/>
    </row>
    <row r="462" customFormat="false" ht="15.75" hidden="false" customHeight="false" outlineLevel="0" collapsed="false">
      <c r="A462" s="364"/>
      <c r="B462" s="364"/>
      <c r="C462" s="261"/>
      <c r="D462" s="261"/>
      <c r="E462" s="261"/>
      <c r="F462" s="364"/>
      <c r="G462" s="261"/>
      <c r="H462" s="261"/>
      <c r="I462" s="364"/>
      <c r="J462" s="364"/>
      <c r="K462" s="364"/>
      <c r="L462" s="364"/>
      <c r="M462" s="364"/>
      <c r="N462" s="364"/>
      <c r="O462" s="364"/>
      <c r="P462" s="364"/>
      <c r="Q462" s="364"/>
      <c r="R462" s="364"/>
      <c r="S462" s="364"/>
      <c r="T462" s="364"/>
      <c r="U462" s="364"/>
      <c r="V462" s="364"/>
      <c r="W462" s="364"/>
      <c r="X462" s="364"/>
      <c r="Y462" s="364"/>
      <c r="Z462" s="364"/>
      <c r="AA462" s="364" t="str">
        <f aca="false">IFERROR(__xludf.dummyfunction("""COMPUTED_VALUE"""),"")</f>
        <v/>
      </c>
      <c r="AB462" s="364"/>
    </row>
    <row r="463" customFormat="false" ht="15.75" hidden="false" customHeight="false" outlineLevel="0" collapsed="false">
      <c r="A463" s="364"/>
      <c r="B463" s="364"/>
      <c r="C463" s="261"/>
      <c r="D463" s="261"/>
      <c r="E463" s="261"/>
      <c r="F463" s="364"/>
      <c r="G463" s="261"/>
      <c r="H463" s="261"/>
      <c r="I463" s="364"/>
      <c r="J463" s="364"/>
      <c r="K463" s="364"/>
      <c r="L463" s="364"/>
      <c r="M463" s="364"/>
      <c r="N463" s="364"/>
      <c r="O463" s="364"/>
      <c r="P463" s="364"/>
      <c r="Q463" s="364"/>
      <c r="R463" s="364"/>
      <c r="S463" s="364"/>
      <c r="T463" s="364"/>
      <c r="U463" s="364"/>
      <c r="V463" s="364"/>
      <c r="W463" s="364"/>
      <c r="X463" s="364"/>
      <c r="Y463" s="364"/>
      <c r="Z463" s="364"/>
      <c r="AA463" s="364" t="str">
        <f aca="false">IFERROR(__xludf.dummyfunction("""COMPUTED_VALUE"""),"")</f>
        <v/>
      </c>
      <c r="AB463" s="364"/>
    </row>
    <row r="464" customFormat="false" ht="15.75" hidden="false" customHeight="false" outlineLevel="0" collapsed="false">
      <c r="A464" s="364"/>
      <c r="B464" s="364"/>
      <c r="C464" s="261"/>
      <c r="D464" s="261"/>
      <c r="E464" s="261"/>
      <c r="F464" s="364"/>
      <c r="G464" s="261"/>
      <c r="H464" s="261"/>
      <c r="I464" s="364"/>
      <c r="J464" s="364"/>
      <c r="K464" s="364"/>
      <c r="L464" s="364"/>
      <c r="M464" s="364"/>
      <c r="N464" s="364"/>
      <c r="O464" s="364"/>
      <c r="P464" s="364"/>
      <c r="Q464" s="364"/>
      <c r="R464" s="364"/>
      <c r="S464" s="364"/>
      <c r="T464" s="364"/>
      <c r="U464" s="364"/>
      <c r="V464" s="364"/>
      <c r="W464" s="364"/>
      <c r="X464" s="364"/>
      <c r="Y464" s="364"/>
      <c r="Z464" s="364"/>
      <c r="AA464" s="364" t="str">
        <f aca="false">IFERROR(__xludf.dummyfunction("""COMPUTED_VALUE"""),"")</f>
        <v/>
      </c>
      <c r="AB464" s="364"/>
    </row>
    <row r="465" customFormat="false" ht="15.75" hidden="false" customHeight="false" outlineLevel="0" collapsed="false">
      <c r="A465" s="364"/>
      <c r="B465" s="364"/>
      <c r="C465" s="261"/>
      <c r="D465" s="261"/>
      <c r="E465" s="261"/>
      <c r="F465" s="364"/>
      <c r="G465" s="261"/>
      <c r="H465" s="261"/>
      <c r="I465" s="364"/>
      <c r="J465" s="364"/>
      <c r="K465" s="364"/>
      <c r="L465" s="364"/>
      <c r="M465" s="364"/>
      <c r="N465" s="364"/>
      <c r="O465" s="364"/>
      <c r="P465" s="364"/>
      <c r="Q465" s="364"/>
      <c r="R465" s="364"/>
      <c r="S465" s="364"/>
      <c r="T465" s="364"/>
      <c r="U465" s="364"/>
      <c r="V465" s="364"/>
      <c r="W465" s="364"/>
      <c r="X465" s="364"/>
      <c r="Y465" s="364"/>
      <c r="Z465" s="364"/>
      <c r="AA465" s="364" t="str">
        <f aca="false">IFERROR(__xludf.dummyfunction("""COMPUTED_VALUE"""),"")</f>
        <v/>
      </c>
      <c r="AB465" s="364"/>
    </row>
    <row r="466" customFormat="false" ht="15.75" hidden="false" customHeight="false" outlineLevel="0" collapsed="false">
      <c r="A466" s="364"/>
      <c r="B466" s="364"/>
      <c r="C466" s="261"/>
      <c r="D466" s="261"/>
      <c r="E466" s="261"/>
      <c r="F466" s="364"/>
      <c r="G466" s="261"/>
      <c r="H466" s="261"/>
      <c r="I466" s="364"/>
      <c r="J466" s="364"/>
      <c r="K466" s="364"/>
      <c r="L466" s="364"/>
      <c r="M466" s="364"/>
      <c r="N466" s="364"/>
      <c r="O466" s="364"/>
      <c r="P466" s="364"/>
      <c r="Q466" s="364"/>
      <c r="R466" s="364"/>
      <c r="S466" s="364"/>
      <c r="T466" s="364"/>
      <c r="U466" s="364"/>
      <c r="V466" s="364"/>
      <c r="W466" s="364"/>
      <c r="X466" s="364"/>
      <c r="Y466" s="364"/>
      <c r="Z466" s="364"/>
      <c r="AA466" s="364" t="str">
        <f aca="false">IFERROR(__xludf.dummyfunction("""COMPUTED_VALUE"""),"")</f>
        <v/>
      </c>
      <c r="AB466" s="364"/>
    </row>
    <row r="467" customFormat="false" ht="15.75" hidden="false" customHeight="false" outlineLevel="0" collapsed="false">
      <c r="A467" s="364"/>
      <c r="B467" s="364"/>
      <c r="C467" s="261"/>
      <c r="D467" s="261"/>
      <c r="E467" s="261"/>
      <c r="F467" s="364"/>
      <c r="G467" s="261"/>
      <c r="H467" s="261"/>
      <c r="I467" s="364"/>
      <c r="J467" s="364"/>
      <c r="K467" s="364"/>
      <c r="L467" s="364"/>
      <c r="M467" s="364"/>
      <c r="N467" s="364"/>
      <c r="O467" s="364"/>
      <c r="P467" s="364"/>
      <c r="Q467" s="364"/>
      <c r="R467" s="364"/>
      <c r="S467" s="364"/>
      <c r="T467" s="364"/>
      <c r="U467" s="364"/>
      <c r="V467" s="364"/>
      <c r="W467" s="364"/>
      <c r="X467" s="364"/>
      <c r="Y467" s="364"/>
      <c r="Z467" s="364"/>
      <c r="AA467" s="364" t="str">
        <f aca="false">IFERROR(__xludf.dummyfunction("""COMPUTED_VALUE"""),"")</f>
        <v/>
      </c>
      <c r="AB467" s="364"/>
    </row>
    <row r="468" customFormat="false" ht="15.75" hidden="false" customHeight="false" outlineLevel="0" collapsed="false">
      <c r="A468" s="364"/>
      <c r="B468" s="364"/>
      <c r="C468" s="261"/>
      <c r="D468" s="261"/>
      <c r="E468" s="261"/>
      <c r="F468" s="364"/>
      <c r="G468" s="261"/>
      <c r="H468" s="261"/>
      <c r="I468" s="364"/>
      <c r="J468" s="364"/>
      <c r="K468" s="364"/>
      <c r="L468" s="364"/>
      <c r="M468" s="364"/>
      <c r="N468" s="364"/>
      <c r="O468" s="364"/>
      <c r="P468" s="364"/>
      <c r="Q468" s="364"/>
      <c r="R468" s="364"/>
      <c r="S468" s="364"/>
      <c r="T468" s="364"/>
      <c r="U468" s="364"/>
      <c r="V468" s="364"/>
      <c r="W468" s="364"/>
      <c r="X468" s="364"/>
      <c r="Y468" s="364"/>
      <c r="Z468" s="364"/>
      <c r="AA468" s="364" t="str">
        <f aca="false">IFERROR(__xludf.dummyfunction("""COMPUTED_VALUE"""),"")</f>
        <v/>
      </c>
      <c r="AB468" s="364"/>
    </row>
    <row r="469" customFormat="false" ht="15.75" hidden="false" customHeight="false" outlineLevel="0" collapsed="false">
      <c r="A469" s="364"/>
      <c r="B469" s="364"/>
      <c r="C469" s="261"/>
      <c r="D469" s="261"/>
      <c r="E469" s="261"/>
      <c r="F469" s="364"/>
      <c r="G469" s="261"/>
      <c r="H469" s="261"/>
      <c r="I469" s="364"/>
      <c r="J469" s="364"/>
      <c r="K469" s="364"/>
      <c r="L469" s="364"/>
      <c r="M469" s="364"/>
      <c r="N469" s="364"/>
      <c r="O469" s="364"/>
      <c r="P469" s="364"/>
      <c r="Q469" s="364"/>
      <c r="R469" s="364"/>
      <c r="S469" s="364"/>
      <c r="T469" s="364"/>
      <c r="U469" s="364"/>
      <c r="V469" s="364"/>
      <c r="W469" s="364"/>
      <c r="X469" s="364"/>
      <c r="Y469" s="364"/>
      <c r="Z469" s="364"/>
      <c r="AA469" s="364" t="str">
        <f aca="false">IFERROR(__xludf.dummyfunction("""COMPUTED_VALUE"""),"")</f>
        <v/>
      </c>
      <c r="AB469" s="364"/>
    </row>
    <row r="470" customFormat="false" ht="15.75" hidden="false" customHeight="false" outlineLevel="0" collapsed="false">
      <c r="A470" s="364"/>
      <c r="B470" s="364"/>
      <c r="C470" s="261"/>
      <c r="D470" s="261"/>
      <c r="E470" s="261"/>
      <c r="F470" s="364"/>
      <c r="G470" s="261"/>
      <c r="H470" s="261"/>
      <c r="I470" s="364"/>
      <c r="J470" s="364"/>
      <c r="K470" s="364"/>
      <c r="L470" s="364"/>
      <c r="M470" s="364"/>
      <c r="N470" s="364"/>
      <c r="O470" s="364"/>
      <c r="P470" s="364"/>
      <c r="Q470" s="364"/>
      <c r="R470" s="364"/>
      <c r="S470" s="364"/>
      <c r="T470" s="364"/>
      <c r="U470" s="364"/>
      <c r="V470" s="364"/>
      <c r="W470" s="364"/>
      <c r="X470" s="364"/>
      <c r="Y470" s="364"/>
      <c r="Z470" s="364"/>
      <c r="AA470" s="364" t="str">
        <f aca="false">IFERROR(__xludf.dummyfunction("""COMPUTED_VALUE"""),"")</f>
        <v/>
      </c>
      <c r="AB470" s="364"/>
    </row>
    <row r="471" customFormat="false" ht="15.75" hidden="false" customHeight="false" outlineLevel="0" collapsed="false">
      <c r="A471" s="261"/>
      <c r="B471" s="261"/>
      <c r="C471" s="261"/>
      <c r="D471" s="261"/>
      <c r="E471" s="261"/>
      <c r="F471" s="364"/>
      <c r="G471" s="261"/>
      <c r="H471" s="364"/>
      <c r="I471" s="364"/>
      <c r="J471" s="364"/>
      <c r="K471" s="364"/>
      <c r="L471" s="364"/>
      <c r="M471" s="364"/>
      <c r="N471" s="364"/>
      <c r="O471" s="364"/>
      <c r="P471" s="364"/>
      <c r="Q471" s="364"/>
      <c r="R471" s="364"/>
      <c r="S471" s="364"/>
      <c r="T471" s="364"/>
      <c r="U471" s="364"/>
      <c r="V471" s="364"/>
      <c r="W471" s="364"/>
      <c r="X471" s="364"/>
      <c r="Y471" s="364"/>
      <c r="Z471" s="364"/>
      <c r="AA471" s="364" t="str">
        <f aca="false">IFERROR(__xludf.dummyfunction("""COMPUTED_VALUE"""),"")</f>
        <v/>
      </c>
      <c r="AB471" s="364"/>
    </row>
    <row r="472" customFormat="false" ht="15.75" hidden="false" customHeight="false" outlineLevel="0" collapsed="false">
      <c r="A472" s="364"/>
      <c r="B472" s="364"/>
      <c r="C472" s="261"/>
      <c r="D472" s="261"/>
      <c r="E472" s="261"/>
      <c r="F472" s="364"/>
      <c r="G472" s="261"/>
      <c r="H472" s="261"/>
      <c r="I472" s="364"/>
      <c r="J472" s="364"/>
      <c r="K472" s="364"/>
      <c r="L472" s="364"/>
      <c r="M472" s="364"/>
      <c r="N472" s="364"/>
      <c r="O472" s="364"/>
      <c r="P472" s="364"/>
      <c r="Q472" s="364"/>
      <c r="R472" s="364"/>
      <c r="S472" s="364"/>
      <c r="T472" s="364"/>
      <c r="U472" s="364"/>
      <c r="V472" s="364"/>
      <c r="W472" s="364"/>
      <c r="X472" s="364"/>
      <c r="Y472" s="364"/>
      <c r="Z472" s="364"/>
      <c r="AA472" s="364" t="str">
        <f aca="false">IFERROR(__xludf.dummyfunction("""COMPUTED_VALUE"""),"")</f>
        <v/>
      </c>
      <c r="AB472" s="364"/>
    </row>
    <row r="473" customFormat="false" ht="15.75" hidden="false" customHeight="false" outlineLevel="0" collapsed="false">
      <c r="A473" s="364"/>
      <c r="B473" s="364"/>
      <c r="C473" s="261"/>
      <c r="D473" s="261"/>
      <c r="E473" s="261"/>
      <c r="F473" s="261"/>
      <c r="G473" s="261"/>
      <c r="H473" s="261"/>
      <c r="I473" s="364"/>
      <c r="J473" s="364"/>
      <c r="K473" s="364"/>
      <c r="L473" s="364"/>
      <c r="M473" s="364"/>
      <c r="N473" s="364"/>
      <c r="O473" s="364"/>
      <c r="P473" s="364"/>
      <c r="Q473" s="364"/>
      <c r="R473" s="364"/>
      <c r="S473" s="364"/>
      <c r="T473" s="364"/>
      <c r="U473" s="364"/>
      <c r="V473" s="364"/>
      <c r="W473" s="364"/>
      <c r="X473" s="364"/>
      <c r="Y473" s="364"/>
      <c r="Z473" s="364"/>
      <c r="AA473" s="364" t="str">
        <f aca="false">IFERROR(__xludf.dummyfunction("""COMPUTED_VALUE"""),"")</f>
        <v/>
      </c>
      <c r="AB473" s="364"/>
    </row>
    <row r="474" customFormat="false" ht="15.75" hidden="false" customHeight="false" outlineLevel="0" collapsed="false">
      <c r="A474" s="364"/>
      <c r="B474" s="364"/>
      <c r="C474" s="261"/>
      <c r="D474" s="261"/>
      <c r="E474" s="261"/>
      <c r="F474" s="364"/>
      <c r="G474" s="261"/>
      <c r="H474" s="261"/>
      <c r="I474" s="364"/>
      <c r="J474" s="364"/>
      <c r="K474" s="364"/>
      <c r="L474" s="364"/>
      <c r="M474" s="364"/>
      <c r="N474" s="364"/>
      <c r="O474" s="364"/>
      <c r="P474" s="364"/>
      <c r="Q474" s="364"/>
      <c r="R474" s="364"/>
      <c r="S474" s="364"/>
      <c r="T474" s="364"/>
      <c r="U474" s="364"/>
      <c r="V474" s="364"/>
      <c r="W474" s="364"/>
      <c r="X474" s="364"/>
      <c r="Y474" s="364"/>
      <c r="Z474" s="364"/>
      <c r="AA474" s="364" t="str">
        <f aca="false">IFERROR(__xludf.dummyfunction("""COMPUTED_VALUE"""),"")</f>
        <v/>
      </c>
      <c r="AB474" s="364"/>
    </row>
    <row r="475" customFormat="false" ht="15.75" hidden="false" customHeight="false" outlineLevel="0" collapsed="false">
      <c r="A475" s="364"/>
      <c r="B475" s="364"/>
      <c r="C475" s="261"/>
      <c r="D475" s="261"/>
      <c r="E475" s="261"/>
      <c r="F475" s="364"/>
      <c r="G475" s="261"/>
      <c r="H475" s="261"/>
      <c r="I475" s="364"/>
      <c r="J475" s="364"/>
      <c r="K475" s="364"/>
      <c r="L475" s="364"/>
      <c r="M475" s="364"/>
      <c r="N475" s="364"/>
      <c r="O475" s="364"/>
      <c r="P475" s="364"/>
      <c r="Q475" s="364"/>
      <c r="R475" s="364"/>
      <c r="S475" s="364"/>
      <c r="T475" s="364"/>
      <c r="U475" s="364"/>
      <c r="V475" s="364"/>
      <c r="W475" s="364"/>
      <c r="X475" s="364"/>
      <c r="Y475" s="364"/>
      <c r="Z475" s="364"/>
      <c r="AA475" s="364" t="str">
        <f aca="false">IFERROR(__xludf.dummyfunction("""COMPUTED_VALUE"""),"")</f>
        <v/>
      </c>
      <c r="AB475" s="364"/>
    </row>
    <row r="476" customFormat="false" ht="15.75" hidden="false" customHeight="false" outlineLevel="0" collapsed="false">
      <c r="A476" s="364"/>
      <c r="B476" s="364"/>
      <c r="C476" s="261"/>
      <c r="D476" s="261"/>
      <c r="E476" s="261"/>
      <c r="F476" s="364"/>
      <c r="G476" s="261"/>
      <c r="H476" s="261"/>
      <c r="I476" s="364"/>
      <c r="J476" s="364"/>
      <c r="K476" s="364"/>
      <c r="L476" s="364"/>
      <c r="M476" s="364"/>
      <c r="N476" s="364"/>
      <c r="O476" s="364"/>
      <c r="P476" s="364"/>
      <c r="Q476" s="364"/>
      <c r="R476" s="364"/>
      <c r="S476" s="364"/>
      <c r="T476" s="364"/>
      <c r="U476" s="364"/>
      <c r="V476" s="364"/>
      <c r="W476" s="364"/>
      <c r="X476" s="364"/>
      <c r="Y476" s="364"/>
      <c r="Z476" s="364"/>
      <c r="AA476" s="364" t="str">
        <f aca="false">IFERROR(__xludf.dummyfunction("""COMPUTED_VALUE"""),"")</f>
        <v/>
      </c>
      <c r="AB476" s="364"/>
    </row>
    <row r="477" customFormat="false" ht="15.75" hidden="false" customHeight="false" outlineLevel="0" collapsed="false">
      <c r="A477" s="364"/>
      <c r="B477" s="364"/>
      <c r="C477" s="261"/>
      <c r="D477" s="261"/>
      <c r="E477" s="261"/>
      <c r="F477" s="364"/>
      <c r="G477" s="261"/>
      <c r="H477" s="261"/>
      <c r="I477" s="364"/>
      <c r="J477" s="364"/>
      <c r="K477" s="364"/>
      <c r="L477" s="364"/>
      <c r="M477" s="364"/>
      <c r="N477" s="364"/>
      <c r="O477" s="364"/>
      <c r="P477" s="364"/>
      <c r="Q477" s="364"/>
      <c r="R477" s="364"/>
      <c r="S477" s="364"/>
      <c r="T477" s="364"/>
      <c r="U477" s="364"/>
      <c r="V477" s="364"/>
      <c r="W477" s="364"/>
      <c r="X477" s="364"/>
      <c r="Y477" s="364"/>
      <c r="Z477" s="364"/>
      <c r="AA477" s="364" t="str">
        <f aca="false">IFERROR(__xludf.dummyfunction("""COMPUTED_VALUE"""),"")</f>
        <v/>
      </c>
      <c r="AB477" s="364"/>
    </row>
    <row r="478" customFormat="false" ht="15.75" hidden="false" customHeight="false" outlineLevel="0" collapsed="false">
      <c r="A478" s="364"/>
      <c r="B478" s="364"/>
      <c r="C478" s="261"/>
      <c r="D478" s="261"/>
      <c r="E478" s="261"/>
      <c r="F478" s="364"/>
      <c r="G478" s="261"/>
      <c r="H478" s="261"/>
      <c r="I478" s="364"/>
      <c r="J478" s="364"/>
      <c r="K478" s="364"/>
      <c r="L478" s="364"/>
      <c r="M478" s="364"/>
      <c r="N478" s="364"/>
      <c r="O478" s="364"/>
      <c r="P478" s="364"/>
      <c r="Q478" s="364"/>
      <c r="R478" s="364"/>
      <c r="S478" s="364"/>
      <c r="T478" s="364"/>
      <c r="U478" s="364"/>
      <c r="V478" s="364"/>
      <c r="W478" s="364"/>
      <c r="X478" s="364"/>
      <c r="Y478" s="364"/>
      <c r="Z478" s="364"/>
      <c r="AA478" s="364" t="str">
        <f aca="false">IFERROR(__xludf.dummyfunction("""COMPUTED_VALUE"""),"")</f>
        <v/>
      </c>
      <c r="AB478" s="364"/>
    </row>
    <row r="479" customFormat="false" ht="15.75" hidden="false" customHeight="false" outlineLevel="0" collapsed="false">
      <c r="A479" s="364"/>
      <c r="B479" s="364"/>
      <c r="C479" s="261"/>
      <c r="D479" s="261"/>
      <c r="E479" s="261"/>
      <c r="F479" s="364"/>
      <c r="G479" s="261"/>
      <c r="H479" s="261"/>
      <c r="I479" s="364"/>
      <c r="J479" s="364"/>
      <c r="K479" s="364"/>
      <c r="L479" s="364"/>
      <c r="M479" s="364"/>
      <c r="N479" s="364"/>
      <c r="O479" s="364"/>
      <c r="P479" s="364"/>
      <c r="Q479" s="364"/>
      <c r="R479" s="364"/>
      <c r="S479" s="364"/>
      <c r="T479" s="364"/>
      <c r="U479" s="364"/>
      <c r="V479" s="364"/>
      <c r="W479" s="364"/>
      <c r="X479" s="364"/>
      <c r="Y479" s="364"/>
      <c r="Z479" s="364"/>
      <c r="AA479" s="364" t="str">
        <f aca="false">IFERROR(__xludf.dummyfunction("""COMPUTED_VALUE"""),"")</f>
        <v/>
      </c>
      <c r="AB479" s="364"/>
    </row>
    <row r="480" customFormat="false" ht="15.75" hidden="false" customHeight="false" outlineLevel="0" collapsed="false">
      <c r="A480" s="364"/>
      <c r="B480" s="364"/>
      <c r="C480" s="261"/>
      <c r="D480" s="261"/>
      <c r="E480" s="261"/>
      <c r="F480" s="261"/>
      <c r="G480" s="261"/>
      <c r="H480" s="261"/>
      <c r="I480" s="364"/>
      <c r="J480" s="364"/>
      <c r="K480" s="364"/>
      <c r="L480" s="364"/>
      <c r="M480" s="364"/>
      <c r="N480" s="364"/>
      <c r="O480" s="364"/>
      <c r="P480" s="364"/>
      <c r="Q480" s="364"/>
      <c r="R480" s="364"/>
      <c r="S480" s="364"/>
      <c r="T480" s="364"/>
      <c r="U480" s="364"/>
      <c r="V480" s="364"/>
      <c r="W480" s="364"/>
      <c r="X480" s="364"/>
      <c r="Y480" s="364"/>
      <c r="Z480" s="364"/>
      <c r="AA480" s="364" t="str">
        <f aca="false">IFERROR(__xludf.dummyfunction("""COMPUTED_VALUE"""),"")</f>
        <v/>
      </c>
      <c r="AB480" s="364"/>
    </row>
    <row r="481" customFormat="false" ht="15.75" hidden="false" customHeight="false" outlineLevel="0" collapsed="false">
      <c r="A481" s="364"/>
      <c r="B481" s="364"/>
      <c r="C481" s="261"/>
      <c r="D481" s="261"/>
      <c r="E481" s="261"/>
      <c r="F481" s="364"/>
      <c r="G481" s="261"/>
      <c r="H481" s="261"/>
      <c r="I481" s="364"/>
      <c r="J481" s="364"/>
      <c r="K481" s="364"/>
      <c r="L481" s="364"/>
      <c r="M481" s="364"/>
      <c r="N481" s="364"/>
      <c r="O481" s="364"/>
      <c r="P481" s="364"/>
      <c r="Q481" s="364"/>
      <c r="R481" s="364"/>
      <c r="S481" s="364"/>
      <c r="T481" s="364"/>
      <c r="U481" s="364"/>
      <c r="V481" s="364"/>
      <c r="W481" s="364"/>
      <c r="X481" s="364"/>
      <c r="Y481" s="364"/>
      <c r="Z481" s="364"/>
      <c r="AA481" s="364" t="str">
        <f aca="false">IFERROR(__xludf.dummyfunction("""COMPUTED_VALUE"""),"")</f>
        <v/>
      </c>
      <c r="AB481" s="364"/>
    </row>
    <row r="482" customFormat="false" ht="15.75" hidden="false" customHeight="false" outlineLevel="0" collapsed="false">
      <c r="A482" s="364"/>
      <c r="B482" s="364"/>
      <c r="C482" s="261"/>
      <c r="D482" s="261"/>
      <c r="E482" s="261"/>
      <c r="F482" s="364"/>
      <c r="G482" s="261"/>
      <c r="H482" s="261"/>
      <c r="I482" s="364"/>
      <c r="J482" s="364"/>
      <c r="K482" s="364"/>
      <c r="L482" s="364"/>
      <c r="M482" s="364"/>
      <c r="N482" s="364"/>
      <c r="O482" s="364"/>
      <c r="P482" s="364"/>
      <c r="Q482" s="364"/>
      <c r="R482" s="364"/>
      <c r="S482" s="364"/>
      <c r="T482" s="364"/>
      <c r="U482" s="364"/>
      <c r="V482" s="364"/>
      <c r="W482" s="364"/>
      <c r="X482" s="364"/>
      <c r="Y482" s="364"/>
      <c r="Z482" s="364"/>
      <c r="AA482" s="364" t="str">
        <f aca="false">IFERROR(__xludf.dummyfunction("""COMPUTED_VALUE"""),"")</f>
        <v/>
      </c>
      <c r="AB482" s="364"/>
    </row>
    <row r="483" customFormat="false" ht="15.75" hidden="false" customHeight="false" outlineLevel="0" collapsed="false">
      <c r="A483" s="364"/>
      <c r="B483" s="364"/>
      <c r="C483" s="261"/>
      <c r="D483" s="261"/>
      <c r="E483" s="261"/>
      <c r="F483" s="364"/>
      <c r="G483" s="261"/>
      <c r="H483" s="261"/>
      <c r="I483" s="364"/>
      <c r="J483" s="364"/>
      <c r="K483" s="364"/>
      <c r="L483" s="364"/>
      <c r="M483" s="364"/>
      <c r="N483" s="364"/>
      <c r="O483" s="364"/>
      <c r="P483" s="364"/>
      <c r="Q483" s="364"/>
      <c r="R483" s="364"/>
      <c r="S483" s="364"/>
      <c r="T483" s="364"/>
      <c r="U483" s="364"/>
      <c r="V483" s="364"/>
      <c r="W483" s="364"/>
      <c r="X483" s="364"/>
      <c r="Y483" s="364"/>
      <c r="Z483" s="364"/>
      <c r="AA483" s="364" t="str">
        <f aca="false">IFERROR(__xludf.dummyfunction("""COMPUTED_VALUE"""),"")</f>
        <v/>
      </c>
      <c r="AB483" s="364"/>
    </row>
    <row r="484" customFormat="false" ht="15.75" hidden="false" customHeight="false" outlineLevel="0" collapsed="false">
      <c r="A484" s="364"/>
      <c r="B484" s="364"/>
      <c r="C484" s="261"/>
      <c r="D484" s="261"/>
      <c r="E484" s="261"/>
      <c r="F484" s="364"/>
      <c r="G484" s="261"/>
      <c r="H484" s="261"/>
      <c r="I484" s="364"/>
      <c r="J484" s="364"/>
      <c r="K484" s="364"/>
      <c r="L484" s="364"/>
      <c r="M484" s="364"/>
      <c r="N484" s="364"/>
      <c r="O484" s="364"/>
      <c r="P484" s="364"/>
      <c r="Q484" s="364"/>
      <c r="R484" s="364"/>
      <c r="S484" s="364"/>
      <c r="T484" s="364"/>
      <c r="U484" s="364"/>
      <c r="V484" s="364"/>
      <c r="W484" s="364"/>
      <c r="X484" s="364"/>
      <c r="Y484" s="364"/>
      <c r="Z484" s="364"/>
      <c r="AA484" s="364" t="str">
        <f aca="false">IFERROR(__xludf.dummyfunction("""COMPUTED_VALUE"""),"")</f>
        <v/>
      </c>
      <c r="AB484" s="364"/>
    </row>
    <row r="485" customFormat="false" ht="15.75" hidden="false" customHeight="false" outlineLevel="0" collapsed="false">
      <c r="A485" s="364"/>
      <c r="B485" s="364"/>
      <c r="C485" s="261"/>
      <c r="D485" s="261"/>
      <c r="E485" s="261"/>
      <c r="F485" s="364"/>
      <c r="G485" s="261"/>
      <c r="H485" s="364"/>
      <c r="I485" s="364"/>
      <c r="J485" s="364"/>
      <c r="K485" s="364"/>
      <c r="L485" s="364"/>
      <c r="M485" s="364"/>
      <c r="N485" s="364"/>
      <c r="O485" s="364"/>
      <c r="P485" s="364"/>
      <c r="Q485" s="364"/>
      <c r="R485" s="364"/>
      <c r="S485" s="364"/>
      <c r="T485" s="364"/>
      <c r="U485" s="364"/>
      <c r="V485" s="364"/>
      <c r="W485" s="364"/>
      <c r="X485" s="364"/>
      <c r="Y485" s="364"/>
      <c r="Z485" s="364"/>
      <c r="AA485" s="364" t="str">
        <f aca="false">IFERROR(__xludf.dummyfunction("""COMPUTED_VALUE"""),"")</f>
        <v/>
      </c>
      <c r="AB485" s="364"/>
    </row>
    <row r="486" customFormat="false" ht="15.75" hidden="false" customHeight="false" outlineLevel="0" collapsed="false">
      <c r="A486" s="364"/>
      <c r="B486" s="364"/>
      <c r="C486" s="261"/>
      <c r="D486" s="261"/>
      <c r="E486" s="261"/>
      <c r="F486" s="364"/>
      <c r="G486" s="261"/>
      <c r="H486" s="261"/>
      <c r="I486" s="364"/>
      <c r="J486" s="364"/>
      <c r="K486" s="364"/>
      <c r="L486" s="364"/>
      <c r="M486" s="364"/>
      <c r="N486" s="364"/>
      <c r="O486" s="364"/>
      <c r="P486" s="364"/>
      <c r="Q486" s="364"/>
      <c r="R486" s="364"/>
      <c r="S486" s="364"/>
      <c r="T486" s="364"/>
      <c r="U486" s="364"/>
      <c r="V486" s="364"/>
      <c r="W486" s="364"/>
      <c r="X486" s="364"/>
      <c r="Y486" s="364"/>
      <c r="Z486" s="364"/>
      <c r="AA486" s="364" t="str">
        <f aca="false">IFERROR(__xludf.dummyfunction("""COMPUTED_VALUE"""),"")</f>
        <v/>
      </c>
      <c r="AB486" s="364"/>
    </row>
    <row r="487" customFormat="false" ht="15.75" hidden="false" customHeight="false" outlineLevel="0" collapsed="false">
      <c r="A487" s="364"/>
      <c r="B487" s="364"/>
      <c r="C487" s="261"/>
      <c r="D487" s="261"/>
      <c r="E487" s="261"/>
      <c r="F487" s="364"/>
      <c r="G487" s="261"/>
      <c r="H487" s="261"/>
      <c r="I487" s="364"/>
      <c r="J487" s="364"/>
      <c r="K487" s="364"/>
      <c r="L487" s="364"/>
      <c r="M487" s="364"/>
      <c r="N487" s="364"/>
      <c r="O487" s="364"/>
      <c r="P487" s="364"/>
      <c r="Q487" s="364"/>
      <c r="R487" s="364"/>
      <c r="S487" s="364"/>
      <c r="T487" s="364"/>
      <c r="U487" s="364"/>
      <c r="V487" s="364"/>
      <c r="W487" s="364"/>
      <c r="X487" s="364"/>
      <c r="Y487" s="364"/>
      <c r="Z487" s="364"/>
      <c r="AA487" s="364" t="str">
        <f aca="false">IFERROR(__xludf.dummyfunction("""COMPUTED_VALUE"""),"")</f>
        <v/>
      </c>
      <c r="AB487" s="364"/>
    </row>
    <row r="488" customFormat="false" ht="15.75" hidden="false" customHeight="false" outlineLevel="0" collapsed="false">
      <c r="A488" s="364"/>
      <c r="B488" s="364"/>
      <c r="C488" s="261"/>
      <c r="D488" s="261"/>
      <c r="E488" s="261"/>
      <c r="F488" s="364"/>
      <c r="G488" s="261"/>
      <c r="H488" s="261"/>
      <c r="I488" s="364"/>
      <c r="J488" s="364"/>
      <c r="K488" s="364"/>
      <c r="L488" s="364"/>
      <c r="M488" s="364"/>
      <c r="N488" s="364"/>
      <c r="O488" s="364"/>
      <c r="P488" s="364"/>
      <c r="Q488" s="364"/>
      <c r="R488" s="364"/>
      <c r="S488" s="364"/>
      <c r="T488" s="364"/>
      <c r="U488" s="364"/>
      <c r="V488" s="364"/>
      <c r="W488" s="364"/>
      <c r="X488" s="364"/>
      <c r="Y488" s="364"/>
      <c r="Z488" s="364"/>
      <c r="AA488" s="364" t="str">
        <f aca="false">IFERROR(__xludf.dummyfunction("""COMPUTED_VALUE"""),"")</f>
        <v/>
      </c>
      <c r="AB488" s="364"/>
    </row>
    <row r="489" customFormat="false" ht="15.75" hidden="false" customHeight="false" outlineLevel="0" collapsed="false">
      <c r="A489" s="364"/>
      <c r="B489" s="364"/>
      <c r="C489" s="261"/>
      <c r="D489" s="261"/>
      <c r="E489" s="261"/>
      <c r="F489" s="364"/>
      <c r="G489" s="261"/>
      <c r="H489" s="261"/>
      <c r="I489" s="364"/>
      <c r="J489" s="364"/>
      <c r="K489" s="364"/>
      <c r="L489" s="364"/>
      <c r="M489" s="364"/>
      <c r="N489" s="364"/>
      <c r="O489" s="364"/>
      <c r="P489" s="364"/>
      <c r="Q489" s="364"/>
      <c r="R489" s="364"/>
      <c r="S489" s="364"/>
      <c r="T489" s="364"/>
      <c r="U489" s="364"/>
      <c r="V489" s="364"/>
      <c r="W489" s="364"/>
      <c r="X489" s="364"/>
      <c r="Y489" s="364"/>
      <c r="Z489" s="364"/>
      <c r="AA489" s="364" t="str">
        <f aca="false">IFERROR(__xludf.dummyfunction("""COMPUTED_VALUE"""),"")</f>
        <v/>
      </c>
      <c r="AB489" s="364"/>
    </row>
    <row r="490" customFormat="false" ht="15.75" hidden="false" customHeight="false" outlineLevel="0" collapsed="false">
      <c r="A490" s="364"/>
      <c r="B490" s="364"/>
      <c r="C490" s="261"/>
      <c r="D490" s="261"/>
      <c r="E490" s="261"/>
      <c r="F490" s="364"/>
      <c r="G490" s="261"/>
      <c r="H490" s="261"/>
      <c r="I490" s="364"/>
      <c r="J490" s="364"/>
      <c r="K490" s="364"/>
      <c r="L490" s="364"/>
      <c r="M490" s="364"/>
      <c r="N490" s="364"/>
      <c r="O490" s="364"/>
      <c r="P490" s="364"/>
      <c r="Q490" s="364"/>
      <c r="R490" s="364"/>
      <c r="S490" s="364"/>
      <c r="T490" s="364"/>
      <c r="U490" s="364"/>
      <c r="V490" s="364"/>
      <c r="W490" s="364"/>
      <c r="X490" s="364"/>
      <c r="Y490" s="364"/>
      <c r="Z490" s="364"/>
      <c r="AA490" s="364" t="str">
        <f aca="false">IFERROR(__xludf.dummyfunction("""COMPUTED_VALUE"""),"")</f>
        <v/>
      </c>
      <c r="AB490" s="364"/>
    </row>
    <row r="491" customFormat="false" ht="15.75" hidden="false" customHeight="false" outlineLevel="0" collapsed="false">
      <c r="A491" s="364"/>
      <c r="B491" s="364"/>
      <c r="C491" s="261"/>
      <c r="D491" s="261"/>
      <c r="E491" s="261"/>
      <c r="F491" s="364"/>
      <c r="G491" s="261"/>
      <c r="H491" s="261"/>
      <c r="I491" s="364"/>
      <c r="J491" s="364"/>
      <c r="K491" s="364"/>
      <c r="L491" s="364"/>
      <c r="M491" s="364"/>
      <c r="N491" s="364"/>
      <c r="O491" s="364"/>
      <c r="P491" s="364"/>
      <c r="Q491" s="364"/>
      <c r="R491" s="364"/>
      <c r="S491" s="364"/>
      <c r="T491" s="364"/>
      <c r="U491" s="364"/>
      <c r="V491" s="364"/>
      <c r="W491" s="364"/>
      <c r="X491" s="364"/>
      <c r="Y491" s="364"/>
      <c r="Z491" s="364"/>
      <c r="AA491" s="364" t="str">
        <f aca="false">IFERROR(__xludf.dummyfunction("""COMPUTED_VALUE"""),"")</f>
        <v/>
      </c>
      <c r="AB491" s="364"/>
    </row>
    <row r="492" customFormat="false" ht="15.75" hidden="false" customHeight="false" outlineLevel="0" collapsed="false">
      <c r="A492" s="364"/>
      <c r="B492" s="364"/>
      <c r="C492" s="261"/>
      <c r="D492" s="261"/>
      <c r="E492" s="261"/>
      <c r="F492" s="364"/>
      <c r="G492" s="261"/>
      <c r="H492" s="261"/>
      <c r="I492" s="364"/>
      <c r="J492" s="364"/>
      <c r="K492" s="364"/>
      <c r="L492" s="364"/>
      <c r="M492" s="364"/>
      <c r="N492" s="364"/>
      <c r="O492" s="364"/>
      <c r="P492" s="364"/>
      <c r="Q492" s="364"/>
      <c r="R492" s="364"/>
      <c r="S492" s="364"/>
      <c r="T492" s="364"/>
      <c r="U492" s="364"/>
      <c r="V492" s="364"/>
      <c r="W492" s="364"/>
      <c r="X492" s="364"/>
      <c r="Y492" s="364"/>
      <c r="Z492" s="364"/>
      <c r="AA492" s="364" t="str">
        <f aca="false">IFERROR(__xludf.dummyfunction("""COMPUTED_VALUE"""),"")</f>
        <v/>
      </c>
      <c r="AB492" s="364"/>
    </row>
    <row r="493" customFormat="false" ht="15.75" hidden="false" customHeight="false" outlineLevel="0" collapsed="false">
      <c r="A493" s="364"/>
      <c r="B493" s="364"/>
      <c r="C493" s="261"/>
      <c r="D493" s="261"/>
      <c r="E493" s="261"/>
      <c r="F493" s="364"/>
      <c r="G493" s="261"/>
      <c r="H493" s="261"/>
      <c r="I493" s="364"/>
      <c r="J493" s="364"/>
      <c r="K493" s="364"/>
      <c r="L493" s="364"/>
      <c r="M493" s="364"/>
      <c r="N493" s="364"/>
      <c r="O493" s="364"/>
      <c r="P493" s="364"/>
      <c r="Q493" s="364"/>
      <c r="R493" s="364"/>
      <c r="S493" s="364"/>
      <c r="T493" s="364"/>
      <c r="U493" s="364"/>
      <c r="V493" s="364"/>
      <c r="W493" s="364"/>
      <c r="X493" s="364"/>
      <c r="Y493" s="364"/>
      <c r="Z493" s="364"/>
      <c r="AA493" s="364" t="str">
        <f aca="false">IFERROR(__xludf.dummyfunction("""COMPUTED_VALUE"""),"")</f>
        <v/>
      </c>
      <c r="AB493" s="364"/>
    </row>
    <row r="494" customFormat="false" ht="15.75" hidden="false" customHeight="false" outlineLevel="0" collapsed="false">
      <c r="A494" s="364"/>
      <c r="B494" s="364"/>
      <c r="C494" s="261"/>
      <c r="D494" s="261"/>
      <c r="E494" s="261"/>
      <c r="F494" s="261"/>
      <c r="G494" s="261"/>
      <c r="H494" s="261"/>
      <c r="I494" s="364"/>
      <c r="J494" s="364"/>
      <c r="K494" s="364"/>
      <c r="L494" s="364"/>
      <c r="M494" s="364"/>
      <c r="N494" s="364"/>
      <c r="O494" s="364"/>
      <c r="P494" s="364"/>
      <c r="Q494" s="364"/>
      <c r="R494" s="364"/>
      <c r="S494" s="364"/>
      <c r="T494" s="364"/>
      <c r="U494" s="364"/>
      <c r="V494" s="364"/>
      <c r="W494" s="364"/>
      <c r="X494" s="364"/>
      <c r="Y494" s="364"/>
      <c r="Z494" s="364"/>
      <c r="AA494" s="364" t="str">
        <f aca="false">IFERROR(__xludf.dummyfunction("""COMPUTED_VALUE"""),"")</f>
        <v/>
      </c>
      <c r="AB494" s="364"/>
    </row>
    <row r="495" customFormat="false" ht="15.75" hidden="false" customHeight="false" outlineLevel="0" collapsed="false">
      <c r="A495" s="364"/>
      <c r="B495" s="364"/>
      <c r="C495" s="261"/>
      <c r="D495" s="261"/>
      <c r="E495" s="261"/>
      <c r="F495" s="364"/>
      <c r="G495" s="261"/>
      <c r="H495" s="364"/>
      <c r="I495" s="364"/>
      <c r="J495" s="364"/>
      <c r="K495" s="364"/>
      <c r="L495" s="364"/>
      <c r="M495" s="364"/>
      <c r="N495" s="364"/>
      <c r="O495" s="364"/>
      <c r="P495" s="364"/>
      <c r="Q495" s="364"/>
      <c r="R495" s="364"/>
      <c r="S495" s="364"/>
      <c r="T495" s="364"/>
      <c r="U495" s="364"/>
      <c r="V495" s="364"/>
      <c r="W495" s="364"/>
      <c r="X495" s="364"/>
      <c r="Y495" s="364"/>
      <c r="Z495" s="364"/>
      <c r="AA495" s="364" t="str">
        <f aca="false">IFERROR(__xludf.dummyfunction("""COMPUTED_VALUE"""),"")</f>
        <v/>
      </c>
      <c r="AB495" s="364"/>
    </row>
    <row r="496" customFormat="false" ht="15.75" hidden="false" customHeight="false" outlineLevel="0" collapsed="false">
      <c r="A496" s="364"/>
      <c r="B496" s="364"/>
      <c r="C496" s="261"/>
      <c r="D496" s="261"/>
      <c r="E496" s="261"/>
      <c r="F496" s="364"/>
      <c r="G496" s="261"/>
      <c r="H496" s="261"/>
      <c r="I496" s="364"/>
      <c r="J496" s="364"/>
      <c r="K496" s="364"/>
      <c r="L496" s="364"/>
      <c r="M496" s="364"/>
      <c r="N496" s="364"/>
      <c r="O496" s="364"/>
      <c r="P496" s="364"/>
      <c r="Q496" s="364"/>
      <c r="R496" s="364"/>
      <c r="S496" s="364"/>
      <c r="T496" s="364"/>
      <c r="U496" s="364"/>
      <c r="V496" s="364"/>
      <c r="W496" s="364"/>
      <c r="X496" s="364"/>
      <c r="Y496" s="364"/>
      <c r="Z496" s="364"/>
      <c r="AA496" s="364" t="str">
        <f aca="false">IFERROR(__xludf.dummyfunction("""COMPUTED_VALUE"""),"")</f>
        <v/>
      </c>
      <c r="AB496" s="364"/>
    </row>
    <row r="497" customFormat="false" ht="15.75" hidden="false" customHeight="false" outlineLevel="0" collapsed="false">
      <c r="A497" s="364"/>
      <c r="B497" s="364"/>
      <c r="C497" s="261"/>
      <c r="D497" s="261"/>
      <c r="E497" s="261"/>
      <c r="F497" s="364"/>
      <c r="G497" s="261"/>
      <c r="H497" s="261"/>
      <c r="I497" s="364"/>
      <c r="J497" s="364"/>
      <c r="K497" s="364"/>
      <c r="L497" s="364"/>
      <c r="M497" s="364"/>
      <c r="N497" s="364"/>
      <c r="O497" s="364"/>
      <c r="P497" s="364"/>
      <c r="Q497" s="364"/>
      <c r="R497" s="364"/>
      <c r="S497" s="364"/>
      <c r="T497" s="364"/>
      <c r="U497" s="364"/>
      <c r="V497" s="364"/>
      <c r="W497" s="364"/>
      <c r="X497" s="364"/>
      <c r="Y497" s="364"/>
      <c r="Z497" s="364"/>
      <c r="AA497" s="364" t="str">
        <f aca="false">IFERROR(__xludf.dummyfunction("""COMPUTED_VALUE"""),"")</f>
        <v/>
      </c>
      <c r="AB497" s="364"/>
    </row>
    <row r="498" customFormat="false" ht="15.75" hidden="false" customHeight="false" outlineLevel="0" collapsed="false">
      <c r="A498" s="364"/>
      <c r="B498" s="364"/>
      <c r="C498" s="261"/>
      <c r="D498" s="261"/>
      <c r="E498" s="261"/>
      <c r="F498" s="364"/>
      <c r="G498" s="261"/>
      <c r="H498" s="261"/>
      <c r="I498" s="364"/>
      <c r="J498" s="364"/>
      <c r="K498" s="364"/>
      <c r="L498" s="364"/>
      <c r="M498" s="364"/>
      <c r="N498" s="364"/>
      <c r="O498" s="364"/>
      <c r="P498" s="364"/>
      <c r="Q498" s="364"/>
      <c r="R498" s="364"/>
      <c r="S498" s="364"/>
      <c r="T498" s="364"/>
      <c r="U498" s="364"/>
      <c r="V498" s="364"/>
      <c r="W498" s="364"/>
      <c r="X498" s="364"/>
      <c r="Y498" s="364"/>
      <c r="Z498" s="364"/>
      <c r="AA498" s="364" t="str">
        <f aca="false">IFERROR(__xludf.dummyfunction("""COMPUTED_VALUE"""),"")</f>
        <v/>
      </c>
      <c r="AB498" s="364"/>
    </row>
    <row r="499" customFormat="false" ht="15.75" hidden="false" customHeight="false" outlineLevel="0" collapsed="false">
      <c r="A499" s="364"/>
      <c r="B499" s="364"/>
      <c r="C499" s="261"/>
      <c r="D499" s="261"/>
      <c r="E499" s="261"/>
      <c r="F499" s="364"/>
      <c r="G499" s="261"/>
      <c r="H499" s="261"/>
      <c r="I499" s="364"/>
      <c r="J499" s="364"/>
      <c r="K499" s="364"/>
      <c r="L499" s="364"/>
      <c r="M499" s="364"/>
      <c r="N499" s="364"/>
      <c r="O499" s="364"/>
      <c r="P499" s="364"/>
      <c r="Q499" s="364"/>
      <c r="R499" s="364"/>
      <c r="S499" s="364"/>
      <c r="T499" s="364"/>
      <c r="U499" s="364"/>
      <c r="V499" s="364"/>
      <c r="W499" s="364"/>
      <c r="X499" s="364"/>
      <c r="Y499" s="364"/>
      <c r="Z499" s="364"/>
      <c r="AA499" s="364" t="str">
        <f aca="false">IFERROR(__xludf.dummyfunction("""COMPUTED_VALUE"""),"")</f>
        <v/>
      </c>
      <c r="AB499" s="364"/>
    </row>
    <row r="500" customFormat="false" ht="15.75" hidden="false" customHeight="false" outlineLevel="0" collapsed="false">
      <c r="A500" s="364"/>
      <c r="B500" s="364"/>
      <c r="C500" s="261"/>
      <c r="D500" s="261"/>
      <c r="E500" s="261"/>
      <c r="F500" s="364"/>
      <c r="G500" s="261"/>
      <c r="H500" s="261"/>
      <c r="I500" s="364"/>
      <c r="J500" s="364"/>
      <c r="K500" s="364"/>
      <c r="L500" s="364"/>
      <c r="M500" s="364"/>
      <c r="N500" s="364"/>
      <c r="O500" s="364"/>
      <c r="P500" s="364"/>
      <c r="Q500" s="364"/>
      <c r="R500" s="364"/>
      <c r="S500" s="364"/>
      <c r="T500" s="364"/>
      <c r="U500" s="364"/>
      <c r="V500" s="364"/>
      <c r="W500" s="364"/>
      <c r="X500" s="364"/>
      <c r="Y500" s="364"/>
      <c r="Z500" s="364"/>
      <c r="AA500" s="364" t="str">
        <f aca="false">IFERROR(__xludf.dummyfunction("""COMPUTED_VALUE"""),"")</f>
        <v/>
      </c>
      <c r="AB500" s="364"/>
    </row>
    <row r="501" customFormat="false" ht="15.75" hidden="false" customHeight="false" outlineLevel="0" collapsed="false">
      <c r="A501" s="364"/>
      <c r="B501" s="364"/>
      <c r="C501" s="261"/>
      <c r="D501" s="261"/>
      <c r="E501" s="261"/>
      <c r="F501" s="261"/>
      <c r="G501" s="261"/>
      <c r="H501" s="261"/>
      <c r="I501" s="364"/>
      <c r="J501" s="364"/>
      <c r="K501" s="364"/>
      <c r="L501" s="364"/>
      <c r="M501" s="364"/>
      <c r="N501" s="364"/>
      <c r="O501" s="364"/>
      <c r="P501" s="364"/>
      <c r="Q501" s="364"/>
      <c r="R501" s="364"/>
      <c r="S501" s="364"/>
      <c r="T501" s="364"/>
      <c r="U501" s="364"/>
      <c r="V501" s="364"/>
      <c r="W501" s="364"/>
      <c r="X501" s="364"/>
      <c r="Y501" s="364"/>
      <c r="Z501" s="364"/>
      <c r="AA501" s="364" t="str">
        <f aca="false">IFERROR(__xludf.dummyfunction("""COMPUTED_VALUE"""),"")</f>
        <v/>
      </c>
      <c r="AB501" s="364"/>
    </row>
    <row r="502" customFormat="false" ht="15.75" hidden="false" customHeight="false" outlineLevel="0" collapsed="false">
      <c r="A502" s="364"/>
      <c r="B502" s="364"/>
      <c r="C502" s="261"/>
      <c r="D502" s="261"/>
      <c r="E502" s="261"/>
      <c r="F502" s="364"/>
      <c r="G502" s="261"/>
      <c r="H502" s="261"/>
      <c r="I502" s="364"/>
      <c r="J502" s="364"/>
      <c r="K502" s="364"/>
      <c r="L502" s="364"/>
      <c r="M502" s="364"/>
      <c r="N502" s="364"/>
      <c r="O502" s="364"/>
      <c r="P502" s="364"/>
      <c r="Q502" s="364"/>
      <c r="R502" s="364"/>
      <c r="S502" s="364"/>
      <c r="T502" s="364"/>
      <c r="U502" s="364"/>
      <c r="V502" s="364"/>
      <c r="W502" s="364"/>
      <c r="X502" s="364"/>
      <c r="Y502" s="364"/>
      <c r="Z502" s="364"/>
      <c r="AA502" s="364" t="str">
        <f aca="false">IFERROR(__xludf.dummyfunction("""COMPUTED_VALUE"""),"")</f>
        <v/>
      </c>
      <c r="AB502" s="364"/>
    </row>
    <row r="503" customFormat="false" ht="15.75" hidden="false" customHeight="false" outlineLevel="0" collapsed="false">
      <c r="A503" s="364"/>
      <c r="B503" s="364"/>
      <c r="C503" s="261"/>
      <c r="D503" s="261"/>
      <c r="E503" s="261"/>
      <c r="F503" s="364"/>
      <c r="G503" s="261"/>
      <c r="H503" s="364"/>
      <c r="I503" s="364"/>
      <c r="J503" s="364"/>
      <c r="K503" s="364"/>
      <c r="L503" s="364"/>
      <c r="M503" s="364"/>
      <c r="N503" s="364"/>
      <c r="O503" s="364"/>
      <c r="P503" s="364"/>
      <c r="Q503" s="364"/>
      <c r="R503" s="364"/>
      <c r="S503" s="364"/>
      <c r="T503" s="364"/>
      <c r="U503" s="364"/>
      <c r="V503" s="364"/>
      <c r="W503" s="364"/>
      <c r="X503" s="364"/>
      <c r="Y503" s="364"/>
      <c r="Z503" s="364"/>
      <c r="AA503" s="364" t="str">
        <f aca="false">IFERROR(__xludf.dummyfunction("""COMPUTED_VALUE"""),"")</f>
        <v/>
      </c>
      <c r="AB503" s="364"/>
    </row>
    <row r="504" customFormat="false" ht="15.75" hidden="false" customHeight="false" outlineLevel="0" collapsed="false">
      <c r="A504" s="364"/>
      <c r="B504" s="364"/>
      <c r="C504" s="261"/>
      <c r="D504" s="261"/>
      <c r="E504" s="261"/>
      <c r="F504" s="364"/>
      <c r="G504" s="261"/>
      <c r="H504" s="261"/>
      <c r="I504" s="364"/>
      <c r="J504" s="364"/>
      <c r="K504" s="364"/>
      <c r="L504" s="364"/>
      <c r="M504" s="364"/>
      <c r="N504" s="364"/>
      <c r="O504" s="364"/>
      <c r="P504" s="364"/>
      <c r="Q504" s="364"/>
      <c r="R504" s="364"/>
      <c r="S504" s="364"/>
      <c r="T504" s="364"/>
      <c r="U504" s="364"/>
      <c r="V504" s="364"/>
      <c r="W504" s="364"/>
      <c r="X504" s="364"/>
      <c r="Y504" s="364"/>
      <c r="Z504" s="364"/>
      <c r="AA504" s="364" t="str">
        <f aca="false">IFERROR(__xludf.dummyfunction("""COMPUTED_VALUE"""),"")</f>
        <v/>
      </c>
      <c r="AB504" s="364"/>
    </row>
    <row r="505" customFormat="false" ht="15.75" hidden="false" customHeight="false" outlineLevel="0" collapsed="false">
      <c r="A505" s="261"/>
      <c r="B505" s="261"/>
      <c r="C505" s="261"/>
      <c r="D505" s="261"/>
      <c r="E505" s="261"/>
      <c r="F505" s="364"/>
      <c r="G505" s="261"/>
      <c r="H505" s="364"/>
      <c r="I505" s="364"/>
      <c r="J505" s="364"/>
      <c r="K505" s="364"/>
      <c r="L505" s="364"/>
      <c r="M505" s="364"/>
      <c r="N505" s="364"/>
      <c r="O505" s="364"/>
      <c r="P505" s="364"/>
      <c r="Q505" s="364"/>
      <c r="R505" s="364"/>
      <c r="S505" s="364"/>
      <c r="T505" s="364"/>
      <c r="U505" s="364"/>
      <c r="V505" s="364"/>
      <c r="W505" s="364"/>
      <c r="X505" s="364"/>
      <c r="Y505" s="364"/>
      <c r="Z505" s="364"/>
      <c r="AA505" s="364" t="str">
        <f aca="false">IFERROR(__xludf.dummyfunction("""COMPUTED_VALUE"""),"")</f>
        <v/>
      </c>
      <c r="AB505" s="364"/>
    </row>
    <row r="506" customFormat="false" ht="15.75" hidden="false" customHeight="false" outlineLevel="0" collapsed="false">
      <c r="A506" s="364"/>
      <c r="B506" s="364"/>
      <c r="C506" s="261"/>
      <c r="D506" s="261"/>
      <c r="E506" s="261"/>
      <c r="F506" s="364"/>
      <c r="G506" s="261"/>
      <c r="H506" s="261"/>
      <c r="I506" s="364"/>
      <c r="J506" s="364"/>
      <c r="K506" s="364"/>
      <c r="L506" s="364"/>
      <c r="M506" s="364"/>
      <c r="N506" s="364"/>
      <c r="O506" s="364"/>
      <c r="P506" s="364"/>
      <c r="Q506" s="364"/>
      <c r="R506" s="364"/>
      <c r="S506" s="364"/>
      <c r="T506" s="364"/>
      <c r="U506" s="364"/>
      <c r="V506" s="364"/>
      <c r="W506" s="364"/>
      <c r="X506" s="364"/>
      <c r="Y506" s="364"/>
      <c r="Z506" s="364"/>
      <c r="AA506" s="364" t="str">
        <f aca="false">IFERROR(__xludf.dummyfunction("""COMPUTED_VALUE"""),"")</f>
        <v/>
      </c>
      <c r="AB506" s="364"/>
    </row>
    <row r="507" customFormat="false" ht="15.75" hidden="false" customHeight="false" outlineLevel="0" collapsed="false">
      <c r="A507" s="364"/>
      <c r="B507" s="364"/>
      <c r="C507" s="261"/>
      <c r="D507" s="261"/>
      <c r="E507" s="261"/>
      <c r="F507" s="261"/>
      <c r="G507" s="261"/>
      <c r="H507" s="261"/>
      <c r="I507" s="364"/>
      <c r="J507" s="364"/>
      <c r="K507" s="364"/>
      <c r="L507" s="364"/>
      <c r="M507" s="364"/>
      <c r="N507" s="364"/>
      <c r="O507" s="364"/>
      <c r="P507" s="364"/>
      <c r="Q507" s="364"/>
      <c r="R507" s="364"/>
      <c r="S507" s="364"/>
      <c r="T507" s="364"/>
      <c r="U507" s="364"/>
      <c r="V507" s="364"/>
      <c r="W507" s="364"/>
      <c r="X507" s="364"/>
      <c r="Y507" s="364"/>
      <c r="Z507" s="364"/>
      <c r="AA507" s="364" t="str">
        <f aca="false">IFERROR(__xludf.dummyfunction("""COMPUTED_VALUE"""),"")</f>
        <v/>
      </c>
      <c r="AB507" s="364"/>
    </row>
    <row r="508" customFormat="false" ht="15.75" hidden="false" customHeight="false" outlineLevel="0" collapsed="false">
      <c r="A508" s="364"/>
      <c r="B508" s="364"/>
      <c r="C508" s="261"/>
      <c r="D508" s="261"/>
      <c r="E508" s="261"/>
      <c r="F508" s="364"/>
      <c r="G508" s="261"/>
      <c r="H508" s="261"/>
      <c r="I508" s="364"/>
      <c r="J508" s="364"/>
      <c r="K508" s="364"/>
      <c r="L508" s="364"/>
      <c r="M508" s="364"/>
      <c r="N508" s="364"/>
      <c r="O508" s="364"/>
      <c r="P508" s="364"/>
      <c r="Q508" s="364"/>
      <c r="R508" s="364"/>
      <c r="S508" s="364"/>
      <c r="T508" s="364"/>
      <c r="U508" s="364"/>
      <c r="V508" s="364"/>
      <c r="W508" s="364"/>
      <c r="X508" s="364"/>
      <c r="Y508" s="364"/>
      <c r="Z508" s="364"/>
      <c r="AA508" s="364" t="str">
        <f aca="false">IFERROR(__xludf.dummyfunction("""COMPUTED_VALUE"""),"")</f>
        <v/>
      </c>
      <c r="AB508" s="364"/>
    </row>
    <row r="509" customFormat="false" ht="15.75" hidden="false" customHeight="false" outlineLevel="0" collapsed="false">
      <c r="A509" s="364"/>
      <c r="B509" s="364"/>
      <c r="C509" s="261"/>
      <c r="D509" s="261"/>
      <c r="E509" s="261"/>
      <c r="F509" s="364"/>
      <c r="G509" s="261"/>
      <c r="H509" s="261"/>
      <c r="I509" s="364"/>
      <c r="J509" s="364"/>
      <c r="K509" s="364"/>
      <c r="L509" s="364"/>
      <c r="M509" s="364"/>
      <c r="N509" s="364"/>
      <c r="O509" s="364"/>
      <c r="P509" s="364"/>
      <c r="Q509" s="364"/>
      <c r="R509" s="364"/>
      <c r="S509" s="364"/>
      <c r="T509" s="364"/>
      <c r="U509" s="364"/>
      <c r="V509" s="364"/>
      <c r="W509" s="364"/>
      <c r="X509" s="364"/>
      <c r="Y509" s="364"/>
      <c r="Z509" s="364"/>
      <c r="AA509" s="364" t="str">
        <f aca="false">IFERROR(__xludf.dummyfunction("""COMPUTED_VALUE"""),"")</f>
        <v/>
      </c>
      <c r="AB509" s="364"/>
    </row>
    <row r="510" customFormat="false" ht="15.75" hidden="false" customHeight="false" outlineLevel="0" collapsed="false">
      <c r="A510" s="364"/>
      <c r="B510" s="364"/>
      <c r="C510" s="261"/>
      <c r="D510" s="261"/>
      <c r="E510" s="261"/>
      <c r="F510" s="364"/>
      <c r="G510" s="261"/>
      <c r="H510" s="261"/>
      <c r="I510" s="364"/>
      <c r="J510" s="364"/>
      <c r="K510" s="364"/>
      <c r="L510" s="364"/>
      <c r="M510" s="364"/>
      <c r="N510" s="364"/>
      <c r="O510" s="364"/>
      <c r="P510" s="364"/>
      <c r="Q510" s="364"/>
      <c r="R510" s="364"/>
      <c r="S510" s="364"/>
      <c r="T510" s="364"/>
      <c r="U510" s="364"/>
      <c r="V510" s="364"/>
      <c r="W510" s="364"/>
      <c r="X510" s="364"/>
      <c r="Y510" s="364"/>
      <c r="Z510" s="364"/>
      <c r="AA510" s="364" t="str">
        <f aca="false">IFERROR(__xludf.dummyfunction("""COMPUTED_VALUE"""),"")</f>
        <v/>
      </c>
      <c r="AB510" s="364"/>
    </row>
    <row r="511" customFormat="false" ht="15.75" hidden="false" customHeight="false" outlineLevel="0" collapsed="false">
      <c r="A511" s="364"/>
      <c r="B511" s="364"/>
      <c r="C511" s="261"/>
      <c r="D511" s="261"/>
      <c r="E511" s="261"/>
      <c r="F511" s="364"/>
      <c r="G511" s="261"/>
      <c r="H511" s="261"/>
      <c r="I511" s="364"/>
      <c r="J511" s="364"/>
      <c r="K511" s="364"/>
      <c r="L511" s="364"/>
      <c r="M511" s="364"/>
      <c r="N511" s="364"/>
      <c r="O511" s="364"/>
      <c r="P511" s="364"/>
      <c r="Q511" s="364"/>
      <c r="R511" s="364"/>
      <c r="S511" s="364"/>
      <c r="T511" s="364"/>
      <c r="U511" s="364"/>
      <c r="V511" s="364"/>
      <c r="W511" s="364"/>
      <c r="X511" s="364"/>
      <c r="Y511" s="364"/>
      <c r="Z511" s="364"/>
      <c r="AA511" s="364" t="str">
        <f aca="false">IFERROR(__xludf.dummyfunction("""COMPUTED_VALUE"""),"")</f>
        <v/>
      </c>
      <c r="AB511" s="364"/>
    </row>
    <row r="512" customFormat="false" ht="15.75" hidden="false" customHeight="false" outlineLevel="0" collapsed="false">
      <c r="A512" s="364"/>
      <c r="B512" s="364"/>
      <c r="C512" s="261"/>
      <c r="D512" s="261"/>
      <c r="E512" s="261"/>
      <c r="F512" s="364"/>
      <c r="G512" s="261"/>
      <c r="H512" s="261"/>
      <c r="I512" s="364"/>
      <c r="J512" s="364"/>
      <c r="K512" s="364"/>
      <c r="L512" s="364"/>
      <c r="M512" s="364"/>
      <c r="N512" s="364"/>
      <c r="O512" s="364"/>
      <c r="P512" s="364"/>
      <c r="Q512" s="364"/>
      <c r="R512" s="364"/>
      <c r="S512" s="364"/>
      <c r="T512" s="364"/>
      <c r="U512" s="364"/>
      <c r="V512" s="364"/>
      <c r="W512" s="364"/>
      <c r="X512" s="364"/>
      <c r="Y512" s="364"/>
      <c r="Z512" s="364"/>
      <c r="AA512" s="364" t="str">
        <f aca="false">IFERROR(__xludf.dummyfunction("""COMPUTED_VALUE"""),"")</f>
        <v/>
      </c>
      <c r="AB512" s="364"/>
    </row>
    <row r="513" customFormat="false" ht="15.75" hidden="false" customHeight="false" outlineLevel="0" collapsed="false">
      <c r="A513" s="364"/>
      <c r="B513" s="364"/>
      <c r="C513" s="261"/>
      <c r="D513" s="261"/>
      <c r="E513" s="261"/>
      <c r="F513" s="364"/>
      <c r="G513" s="261"/>
      <c r="H513" s="261"/>
      <c r="I513" s="364"/>
      <c r="J513" s="364"/>
      <c r="K513" s="364"/>
      <c r="L513" s="364"/>
      <c r="M513" s="364"/>
      <c r="N513" s="364"/>
      <c r="O513" s="364"/>
      <c r="P513" s="364"/>
      <c r="Q513" s="364"/>
      <c r="R513" s="364"/>
      <c r="S513" s="364"/>
      <c r="T513" s="364"/>
      <c r="U513" s="364"/>
      <c r="V513" s="364"/>
      <c r="W513" s="364"/>
      <c r="X513" s="364"/>
      <c r="Y513" s="364"/>
      <c r="Z513" s="364"/>
      <c r="AA513" s="364" t="str">
        <f aca="false">IFERROR(__xludf.dummyfunction("""COMPUTED_VALUE"""),"")</f>
        <v/>
      </c>
      <c r="AB513" s="364"/>
    </row>
    <row r="514" customFormat="false" ht="15.75" hidden="false" customHeight="false" outlineLevel="0" collapsed="false">
      <c r="A514" s="364"/>
      <c r="B514" s="364"/>
      <c r="C514" s="261"/>
      <c r="D514" s="261"/>
      <c r="E514" s="261"/>
      <c r="F514" s="364"/>
      <c r="G514" s="261"/>
      <c r="H514" s="261"/>
      <c r="I514" s="364"/>
      <c r="J514" s="364"/>
      <c r="K514" s="364"/>
      <c r="L514" s="364"/>
      <c r="M514" s="364"/>
      <c r="N514" s="364"/>
      <c r="O514" s="364"/>
      <c r="P514" s="364"/>
      <c r="Q514" s="364"/>
      <c r="R514" s="364"/>
      <c r="S514" s="364"/>
      <c r="T514" s="364"/>
      <c r="U514" s="364"/>
      <c r="V514" s="364"/>
      <c r="W514" s="364"/>
      <c r="X514" s="364"/>
      <c r="Y514" s="364"/>
      <c r="Z514" s="364"/>
      <c r="AA514" s="364" t="str">
        <f aca="false">IFERROR(__xludf.dummyfunction("""COMPUTED_VALUE"""),"")</f>
        <v/>
      </c>
      <c r="AB514" s="364"/>
    </row>
    <row r="515" customFormat="false" ht="15.75" hidden="false" customHeight="false" outlineLevel="0" collapsed="false">
      <c r="A515" s="364"/>
      <c r="B515" s="364"/>
      <c r="C515" s="261"/>
      <c r="D515" s="261"/>
      <c r="E515" s="261"/>
      <c r="F515" s="364"/>
      <c r="G515" s="261"/>
      <c r="H515" s="261"/>
      <c r="I515" s="364"/>
      <c r="J515" s="364"/>
      <c r="K515" s="364"/>
      <c r="L515" s="364"/>
      <c r="M515" s="364"/>
      <c r="N515" s="364"/>
      <c r="O515" s="364"/>
      <c r="P515" s="364"/>
      <c r="Q515" s="364"/>
      <c r="R515" s="364"/>
      <c r="S515" s="364"/>
      <c r="T515" s="364"/>
      <c r="U515" s="364"/>
      <c r="V515" s="364"/>
      <c r="W515" s="364"/>
      <c r="X515" s="364"/>
      <c r="Y515" s="364"/>
      <c r="Z515" s="364"/>
      <c r="AA515" s="364" t="str">
        <f aca="false">IFERROR(__xludf.dummyfunction("""COMPUTED_VALUE"""),"")</f>
        <v/>
      </c>
      <c r="AB515" s="364"/>
    </row>
    <row r="516" customFormat="false" ht="15.75" hidden="false" customHeight="false" outlineLevel="0" collapsed="false">
      <c r="A516" s="364"/>
      <c r="B516" s="364"/>
      <c r="C516" s="261"/>
      <c r="D516" s="261"/>
      <c r="E516" s="261"/>
      <c r="F516" s="364"/>
      <c r="G516" s="261"/>
      <c r="H516" s="364"/>
      <c r="I516" s="364"/>
      <c r="J516" s="364"/>
      <c r="K516" s="364"/>
      <c r="L516" s="364"/>
      <c r="M516" s="364"/>
      <c r="N516" s="364"/>
      <c r="O516" s="364"/>
      <c r="P516" s="364"/>
      <c r="Q516" s="364"/>
      <c r="R516" s="364"/>
      <c r="S516" s="364"/>
      <c r="T516" s="364"/>
      <c r="U516" s="364"/>
      <c r="V516" s="364"/>
      <c r="W516" s="364"/>
      <c r="X516" s="364"/>
      <c r="Y516" s="364"/>
      <c r="Z516" s="364"/>
      <c r="AA516" s="364" t="str">
        <f aca="false">IFERROR(__xludf.dummyfunction("""COMPUTED_VALUE"""),"")</f>
        <v/>
      </c>
      <c r="AB516" s="364"/>
    </row>
    <row r="517" customFormat="false" ht="15.75" hidden="false" customHeight="false" outlineLevel="0" collapsed="false">
      <c r="A517" s="364"/>
      <c r="B517" s="364"/>
      <c r="C517" s="261"/>
      <c r="D517" s="261"/>
      <c r="E517" s="261"/>
      <c r="F517" s="364"/>
      <c r="G517" s="261"/>
      <c r="H517" s="261"/>
      <c r="I517" s="364"/>
      <c r="J517" s="364"/>
      <c r="K517" s="364"/>
      <c r="L517" s="364"/>
      <c r="M517" s="364"/>
      <c r="N517" s="364"/>
      <c r="O517" s="364"/>
      <c r="P517" s="364"/>
      <c r="Q517" s="364"/>
      <c r="R517" s="364"/>
      <c r="S517" s="364"/>
      <c r="T517" s="364"/>
      <c r="U517" s="364"/>
      <c r="V517" s="364"/>
      <c r="W517" s="364"/>
      <c r="X517" s="364"/>
      <c r="Y517" s="364"/>
      <c r="Z517" s="364"/>
      <c r="AA517" s="364" t="str">
        <f aca="false">IFERROR(__xludf.dummyfunction("""COMPUTED_VALUE"""),"")</f>
        <v/>
      </c>
      <c r="AB517" s="364"/>
    </row>
    <row r="518" customFormat="false" ht="15.75" hidden="false" customHeight="false" outlineLevel="0" collapsed="false">
      <c r="A518" s="364"/>
      <c r="B518" s="364"/>
      <c r="C518" s="261"/>
      <c r="D518" s="261"/>
      <c r="E518" s="261"/>
      <c r="F518" s="261"/>
      <c r="G518" s="261"/>
      <c r="H518" s="261"/>
      <c r="I518" s="364"/>
      <c r="J518" s="364"/>
      <c r="K518" s="364"/>
      <c r="L518" s="364"/>
      <c r="M518" s="364"/>
      <c r="N518" s="364"/>
      <c r="O518" s="364"/>
      <c r="P518" s="364"/>
      <c r="Q518" s="364"/>
      <c r="R518" s="364"/>
      <c r="S518" s="364"/>
      <c r="T518" s="364"/>
      <c r="U518" s="364"/>
      <c r="V518" s="364"/>
      <c r="W518" s="364"/>
      <c r="X518" s="364"/>
      <c r="Y518" s="364"/>
      <c r="Z518" s="364"/>
      <c r="AA518" s="364" t="str">
        <f aca="false">IFERROR(__xludf.dummyfunction("""COMPUTED_VALUE"""),"")</f>
        <v/>
      </c>
      <c r="AB518" s="364"/>
    </row>
    <row r="519" customFormat="false" ht="15.75" hidden="false" customHeight="false" outlineLevel="0" collapsed="false">
      <c r="A519" s="364"/>
      <c r="B519" s="364"/>
      <c r="C519" s="261"/>
      <c r="D519" s="261"/>
      <c r="E519" s="261"/>
      <c r="F519" s="261"/>
      <c r="G519" s="261"/>
      <c r="H519" s="261"/>
      <c r="I519" s="364"/>
      <c r="J519" s="364"/>
      <c r="K519" s="364"/>
      <c r="L519" s="364"/>
      <c r="M519" s="364"/>
      <c r="N519" s="364"/>
      <c r="O519" s="364"/>
      <c r="P519" s="364"/>
      <c r="Q519" s="364"/>
      <c r="R519" s="364"/>
      <c r="S519" s="364"/>
      <c r="T519" s="364"/>
      <c r="U519" s="364"/>
      <c r="V519" s="364"/>
      <c r="W519" s="364"/>
      <c r="X519" s="364"/>
      <c r="Y519" s="364"/>
      <c r="Z519" s="364"/>
      <c r="AA519" s="364" t="str">
        <f aca="false">IFERROR(__xludf.dummyfunction("""COMPUTED_VALUE"""),"")</f>
        <v/>
      </c>
      <c r="AB519" s="364"/>
    </row>
    <row r="520" customFormat="false" ht="15.75" hidden="false" customHeight="false" outlineLevel="0" collapsed="false">
      <c r="A520" s="364"/>
      <c r="B520" s="364"/>
      <c r="C520" s="261"/>
      <c r="D520" s="261"/>
      <c r="E520" s="261"/>
      <c r="F520" s="364"/>
      <c r="G520" s="261"/>
      <c r="H520" s="261"/>
      <c r="I520" s="364"/>
      <c r="J520" s="364"/>
      <c r="K520" s="364"/>
      <c r="L520" s="364"/>
      <c r="M520" s="364"/>
      <c r="N520" s="364"/>
      <c r="O520" s="364"/>
      <c r="P520" s="364"/>
      <c r="Q520" s="364"/>
      <c r="R520" s="364"/>
      <c r="S520" s="364"/>
      <c r="T520" s="364"/>
      <c r="U520" s="364"/>
      <c r="V520" s="364"/>
      <c r="W520" s="364"/>
      <c r="X520" s="364"/>
      <c r="Y520" s="364"/>
      <c r="Z520" s="364"/>
      <c r="AA520" s="364" t="str">
        <f aca="false">IFERROR(__xludf.dummyfunction("""COMPUTED_VALUE"""),"")</f>
        <v/>
      </c>
      <c r="AB520" s="364"/>
    </row>
    <row r="521" customFormat="false" ht="15.75" hidden="false" customHeight="false" outlineLevel="0" collapsed="false">
      <c r="A521" s="364"/>
      <c r="B521" s="364"/>
      <c r="C521" s="261"/>
      <c r="D521" s="261"/>
      <c r="E521" s="261"/>
      <c r="F521" s="364"/>
      <c r="G521" s="261"/>
      <c r="H521" s="261"/>
      <c r="I521" s="364"/>
      <c r="J521" s="364"/>
      <c r="K521" s="364"/>
      <c r="L521" s="364"/>
      <c r="M521" s="364"/>
      <c r="N521" s="364"/>
      <c r="O521" s="364"/>
      <c r="P521" s="364"/>
      <c r="Q521" s="364"/>
      <c r="R521" s="364"/>
      <c r="S521" s="364"/>
      <c r="T521" s="364"/>
      <c r="U521" s="364"/>
      <c r="V521" s="364"/>
      <c r="W521" s="364"/>
      <c r="X521" s="364"/>
      <c r="Y521" s="364"/>
      <c r="Z521" s="364"/>
      <c r="AA521" s="364" t="str">
        <f aca="false">IFERROR(__xludf.dummyfunction("""COMPUTED_VALUE"""),"")</f>
        <v/>
      </c>
      <c r="AB521" s="364"/>
    </row>
    <row r="522" customFormat="false" ht="15.75" hidden="false" customHeight="false" outlineLevel="0" collapsed="false">
      <c r="A522" s="364"/>
      <c r="B522" s="364"/>
      <c r="C522" s="261"/>
      <c r="D522" s="261"/>
      <c r="E522" s="261"/>
      <c r="F522" s="364"/>
      <c r="G522" s="261"/>
      <c r="H522" s="261"/>
      <c r="I522" s="364"/>
      <c r="J522" s="364"/>
      <c r="K522" s="364"/>
      <c r="L522" s="364"/>
      <c r="M522" s="364"/>
      <c r="N522" s="364"/>
      <c r="O522" s="364"/>
      <c r="P522" s="364"/>
      <c r="Q522" s="364"/>
      <c r="R522" s="364"/>
      <c r="S522" s="364"/>
      <c r="T522" s="364"/>
      <c r="U522" s="364"/>
      <c r="V522" s="364"/>
      <c r="W522" s="364"/>
      <c r="X522" s="364"/>
      <c r="Y522" s="364"/>
      <c r="Z522" s="364"/>
      <c r="AA522" s="364" t="str">
        <f aca="false">IFERROR(__xludf.dummyfunction("""COMPUTED_VALUE"""),"")</f>
        <v/>
      </c>
      <c r="AB522" s="364"/>
    </row>
    <row r="523" customFormat="false" ht="15.75" hidden="false" customHeight="false" outlineLevel="0" collapsed="false">
      <c r="A523" s="364"/>
      <c r="B523" s="364"/>
      <c r="C523" s="261"/>
      <c r="D523" s="261"/>
      <c r="E523" s="261"/>
      <c r="F523" s="364"/>
      <c r="G523" s="261"/>
      <c r="H523" s="261"/>
      <c r="I523" s="364"/>
      <c r="J523" s="364"/>
      <c r="K523" s="364"/>
      <c r="L523" s="364"/>
      <c r="M523" s="364"/>
      <c r="N523" s="364"/>
      <c r="O523" s="364"/>
      <c r="P523" s="364"/>
      <c r="Q523" s="364"/>
      <c r="R523" s="364"/>
      <c r="S523" s="364"/>
      <c r="T523" s="364"/>
      <c r="U523" s="364"/>
      <c r="V523" s="364"/>
      <c r="W523" s="364"/>
      <c r="X523" s="364"/>
      <c r="Y523" s="364"/>
      <c r="Z523" s="364"/>
      <c r="AA523" s="364" t="str">
        <f aca="false">IFERROR(__xludf.dummyfunction("""COMPUTED_VALUE"""),"")</f>
        <v/>
      </c>
      <c r="AB523" s="364"/>
    </row>
    <row r="524" customFormat="false" ht="15.75" hidden="false" customHeight="false" outlineLevel="0" collapsed="false">
      <c r="A524" s="364"/>
      <c r="B524" s="364"/>
      <c r="C524" s="261"/>
      <c r="D524" s="261"/>
      <c r="E524" s="261"/>
      <c r="F524" s="364"/>
      <c r="G524" s="261"/>
      <c r="H524" s="261"/>
      <c r="I524" s="364"/>
      <c r="J524" s="364"/>
      <c r="K524" s="364"/>
      <c r="L524" s="364"/>
      <c r="M524" s="364"/>
      <c r="N524" s="364"/>
      <c r="O524" s="364"/>
      <c r="P524" s="364"/>
      <c r="Q524" s="364"/>
      <c r="R524" s="364"/>
      <c r="S524" s="364"/>
      <c r="T524" s="364"/>
      <c r="U524" s="364"/>
      <c r="V524" s="364"/>
      <c r="W524" s="364"/>
      <c r="X524" s="364"/>
      <c r="Y524" s="364"/>
      <c r="Z524" s="364"/>
      <c r="AA524" s="364" t="str">
        <f aca="false">IFERROR(__xludf.dummyfunction("""COMPUTED_VALUE"""),"")</f>
        <v/>
      </c>
      <c r="AB524" s="364"/>
    </row>
    <row r="525" customFormat="false" ht="15.75" hidden="false" customHeight="false" outlineLevel="0" collapsed="false">
      <c r="A525" s="364"/>
      <c r="B525" s="364"/>
      <c r="C525" s="261"/>
      <c r="D525" s="261"/>
      <c r="E525" s="261"/>
      <c r="F525" s="364"/>
      <c r="G525" s="261"/>
      <c r="H525" s="261"/>
      <c r="I525" s="364"/>
      <c r="J525" s="364"/>
      <c r="K525" s="364"/>
      <c r="L525" s="364"/>
      <c r="M525" s="364"/>
      <c r="N525" s="364"/>
      <c r="O525" s="364"/>
      <c r="P525" s="364"/>
      <c r="Q525" s="364"/>
      <c r="R525" s="364"/>
      <c r="S525" s="364"/>
      <c r="T525" s="364"/>
      <c r="U525" s="364"/>
      <c r="V525" s="364"/>
      <c r="W525" s="364"/>
      <c r="X525" s="364"/>
      <c r="Y525" s="364"/>
      <c r="Z525" s="364"/>
      <c r="AA525" s="364" t="str">
        <f aca="false">IFERROR(__xludf.dummyfunction("""COMPUTED_VALUE"""),"")</f>
        <v/>
      </c>
      <c r="AB525" s="364"/>
    </row>
    <row r="526" customFormat="false" ht="15.75" hidden="false" customHeight="false" outlineLevel="0" collapsed="false">
      <c r="A526" s="364"/>
      <c r="B526" s="364"/>
      <c r="C526" s="261"/>
      <c r="D526" s="261"/>
      <c r="E526" s="261"/>
      <c r="F526" s="364"/>
      <c r="G526" s="261"/>
      <c r="H526" s="261"/>
      <c r="I526" s="364"/>
      <c r="J526" s="364"/>
      <c r="K526" s="364"/>
      <c r="L526" s="364"/>
      <c r="M526" s="364"/>
      <c r="N526" s="364"/>
      <c r="O526" s="364"/>
      <c r="P526" s="364"/>
      <c r="Q526" s="364"/>
      <c r="R526" s="364"/>
      <c r="S526" s="364"/>
      <c r="T526" s="364"/>
      <c r="U526" s="364"/>
      <c r="V526" s="364"/>
      <c r="W526" s="364"/>
      <c r="X526" s="364"/>
      <c r="Y526" s="364"/>
      <c r="Z526" s="364"/>
      <c r="AA526" s="364" t="str">
        <f aca="false">IFERROR(__xludf.dummyfunction("""COMPUTED_VALUE"""),"")</f>
        <v/>
      </c>
      <c r="AB526" s="364"/>
    </row>
    <row r="527" customFormat="false" ht="15.75" hidden="false" customHeight="false" outlineLevel="0" collapsed="false">
      <c r="A527" s="364"/>
      <c r="B527" s="364"/>
      <c r="C527" s="261"/>
      <c r="D527" s="261"/>
      <c r="E527" s="261"/>
      <c r="F527" s="364"/>
      <c r="G527" s="261"/>
      <c r="H527" s="261"/>
      <c r="I527" s="364"/>
      <c r="J527" s="364"/>
      <c r="K527" s="364"/>
      <c r="L527" s="364"/>
      <c r="M527" s="364"/>
      <c r="N527" s="364"/>
      <c r="O527" s="364"/>
      <c r="P527" s="364"/>
      <c r="Q527" s="364"/>
      <c r="R527" s="364"/>
      <c r="S527" s="364"/>
      <c r="T527" s="364"/>
      <c r="U527" s="364"/>
      <c r="V527" s="364"/>
      <c r="W527" s="364"/>
      <c r="X527" s="364"/>
      <c r="Y527" s="364"/>
      <c r="Z527" s="364"/>
      <c r="AA527" s="364" t="str">
        <f aca="false">IFERROR(__xludf.dummyfunction("""COMPUTED_VALUE"""),"")</f>
        <v/>
      </c>
      <c r="AB527" s="364"/>
    </row>
    <row r="528" customFormat="false" ht="15.75" hidden="false" customHeight="false" outlineLevel="0" collapsed="false">
      <c r="A528" s="364"/>
      <c r="B528" s="364"/>
      <c r="C528" s="261"/>
      <c r="D528" s="261"/>
      <c r="E528" s="261"/>
      <c r="F528" s="364"/>
      <c r="G528" s="261"/>
      <c r="H528" s="261"/>
      <c r="I528" s="364"/>
      <c r="J528" s="364"/>
      <c r="K528" s="364"/>
      <c r="L528" s="364"/>
      <c r="M528" s="364"/>
      <c r="N528" s="364"/>
      <c r="O528" s="364"/>
      <c r="P528" s="364"/>
      <c r="Q528" s="364"/>
      <c r="R528" s="364"/>
      <c r="S528" s="364"/>
      <c r="T528" s="364"/>
      <c r="U528" s="364"/>
      <c r="V528" s="364"/>
      <c r="W528" s="364"/>
      <c r="X528" s="364"/>
      <c r="Y528" s="364"/>
      <c r="Z528" s="364"/>
      <c r="AA528" s="364" t="str">
        <f aca="false">IFERROR(__xludf.dummyfunction("""COMPUTED_VALUE"""),"")</f>
        <v/>
      </c>
      <c r="AB528" s="364"/>
    </row>
    <row r="529" customFormat="false" ht="15.75" hidden="false" customHeight="false" outlineLevel="0" collapsed="false">
      <c r="A529" s="364"/>
      <c r="B529" s="364"/>
      <c r="C529" s="261"/>
      <c r="D529" s="261"/>
      <c r="E529" s="261"/>
      <c r="F529" s="364"/>
      <c r="G529" s="261"/>
      <c r="H529" s="261"/>
      <c r="I529" s="364"/>
      <c r="J529" s="364"/>
      <c r="K529" s="364"/>
      <c r="L529" s="364"/>
      <c r="M529" s="364"/>
      <c r="N529" s="364"/>
      <c r="O529" s="364"/>
      <c r="P529" s="364"/>
      <c r="Q529" s="364"/>
      <c r="R529" s="364"/>
      <c r="S529" s="364"/>
      <c r="T529" s="364"/>
      <c r="U529" s="364"/>
      <c r="V529" s="364"/>
      <c r="W529" s="364"/>
      <c r="X529" s="364"/>
      <c r="Y529" s="364"/>
      <c r="Z529" s="364"/>
      <c r="AA529" s="364" t="str">
        <f aca="false">IFERROR(__xludf.dummyfunction("""COMPUTED_VALUE"""),"")</f>
        <v/>
      </c>
      <c r="AB529" s="364"/>
    </row>
    <row r="530" customFormat="false" ht="15.75" hidden="false" customHeight="false" outlineLevel="0" collapsed="false">
      <c r="A530" s="364"/>
      <c r="B530" s="364"/>
      <c r="C530" s="261"/>
      <c r="D530" s="261"/>
      <c r="E530" s="261"/>
      <c r="F530" s="364"/>
      <c r="G530" s="261"/>
      <c r="H530" s="261"/>
      <c r="I530" s="364"/>
      <c r="J530" s="364"/>
      <c r="K530" s="364"/>
      <c r="L530" s="364"/>
      <c r="M530" s="364"/>
      <c r="N530" s="364"/>
      <c r="O530" s="364"/>
      <c r="P530" s="364"/>
      <c r="Q530" s="364"/>
      <c r="R530" s="364"/>
      <c r="S530" s="364"/>
      <c r="T530" s="364"/>
      <c r="U530" s="364"/>
      <c r="V530" s="364"/>
      <c r="W530" s="364"/>
      <c r="X530" s="364"/>
      <c r="Y530" s="364"/>
      <c r="Z530" s="364"/>
      <c r="AA530" s="364" t="str">
        <f aca="false">IFERROR(__xludf.dummyfunction("""COMPUTED_VALUE"""),"")</f>
        <v/>
      </c>
      <c r="AB530" s="364"/>
    </row>
    <row r="531" customFormat="false" ht="15.75" hidden="false" customHeight="false" outlineLevel="0" collapsed="false">
      <c r="A531" s="364"/>
      <c r="B531" s="364"/>
      <c r="C531" s="261"/>
      <c r="D531" s="261"/>
      <c r="E531" s="261"/>
      <c r="F531" s="364"/>
      <c r="G531" s="261"/>
      <c r="H531" s="261"/>
      <c r="I531" s="364"/>
      <c r="J531" s="364"/>
      <c r="K531" s="364"/>
      <c r="L531" s="364"/>
      <c r="M531" s="364"/>
      <c r="N531" s="364"/>
      <c r="O531" s="364"/>
      <c r="P531" s="364"/>
      <c r="Q531" s="364"/>
      <c r="R531" s="364"/>
      <c r="S531" s="364"/>
      <c r="T531" s="364"/>
      <c r="U531" s="364"/>
      <c r="V531" s="364"/>
      <c r="W531" s="364"/>
      <c r="X531" s="364"/>
      <c r="Y531" s="364"/>
      <c r="Z531" s="364"/>
      <c r="AA531" s="364" t="str">
        <f aca="false">IFERROR(__xludf.dummyfunction("""COMPUTED_VALUE"""),"")</f>
        <v/>
      </c>
      <c r="AB531" s="364"/>
    </row>
    <row r="532" customFormat="false" ht="15.75" hidden="false" customHeight="false" outlineLevel="0" collapsed="false">
      <c r="A532" s="364"/>
      <c r="B532" s="364"/>
      <c r="C532" s="261"/>
      <c r="D532" s="261"/>
      <c r="E532" s="261"/>
      <c r="F532" s="364"/>
      <c r="G532" s="261"/>
      <c r="H532" s="261"/>
      <c r="I532" s="364"/>
      <c r="J532" s="364"/>
      <c r="K532" s="364"/>
      <c r="L532" s="364"/>
      <c r="M532" s="364"/>
      <c r="N532" s="364"/>
      <c r="O532" s="364"/>
      <c r="P532" s="364"/>
      <c r="Q532" s="364"/>
      <c r="R532" s="364"/>
      <c r="S532" s="364"/>
      <c r="T532" s="364"/>
      <c r="U532" s="364"/>
      <c r="V532" s="364"/>
      <c r="W532" s="364"/>
      <c r="X532" s="364"/>
      <c r="Y532" s="364"/>
      <c r="Z532" s="364"/>
      <c r="AA532" s="364" t="str">
        <f aca="false">IFERROR(__xludf.dummyfunction("""COMPUTED_VALUE"""),"")</f>
        <v/>
      </c>
      <c r="AB532" s="364"/>
    </row>
    <row r="533" customFormat="false" ht="15.75" hidden="false" customHeight="false" outlineLevel="0" collapsed="false">
      <c r="A533" s="364"/>
      <c r="B533" s="364"/>
      <c r="C533" s="261"/>
      <c r="D533" s="261"/>
      <c r="E533" s="261"/>
      <c r="F533" s="364"/>
      <c r="G533" s="261"/>
      <c r="H533" s="261"/>
      <c r="I533" s="364"/>
      <c r="J533" s="364"/>
      <c r="K533" s="364"/>
      <c r="L533" s="364"/>
      <c r="M533" s="364"/>
      <c r="N533" s="364"/>
      <c r="O533" s="364"/>
      <c r="P533" s="364"/>
      <c r="Q533" s="364"/>
      <c r="R533" s="364"/>
      <c r="S533" s="364"/>
      <c r="T533" s="364"/>
      <c r="U533" s="364"/>
      <c r="V533" s="364"/>
      <c r="W533" s="364"/>
      <c r="X533" s="364"/>
      <c r="Y533" s="364"/>
      <c r="Z533" s="364"/>
      <c r="AA533" s="364" t="str">
        <f aca="false">IFERROR(__xludf.dummyfunction("""COMPUTED_VALUE"""),"")</f>
        <v/>
      </c>
      <c r="AB533" s="364"/>
    </row>
    <row r="534" customFormat="false" ht="15.75" hidden="false" customHeight="false" outlineLevel="0" collapsed="false">
      <c r="A534" s="364"/>
      <c r="B534" s="364"/>
      <c r="C534" s="261"/>
      <c r="D534" s="261"/>
      <c r="E534" s="261"/>
      <c r="F534" s="364"/>
      <c r="G534" s="261"/>
      <c r="H534" s="261"/>
      <c r="I534" s="364"/>
      <c r="J534" s="364"/>
      <c r="K534" s="364"/>
      <c r="L534" s="364"/>
      <c r="M534" s="364"/>
      <c r="N534" s="364"/>
      <c r="O534" s="364"/>
      <c r="P534" s="364"/>
      <c r="Q534" s="364"/>
      <c r="R534" s="364"/>
      <c r="S534" s="364"/>
      <c r="T534" s="364"/>
      <c r="U534" s="364"/>
      <c r="V534" s="364"/>
      <c r="W534" s="364"/>
      <c r="X534" s="364"/>
      <c r="Y534" s="364"/>
      <c r="Z534" s="364"/>
      <c r="AA534" s="364" t="str">
        <f aca="false">IFERROR(__xludf.dummyfunction("""COMPUTED_VALUE"""),"")</f>
        <v/>
      </c>
      <c r="AB534" s="364"/>
    </row>
    <row r="535" customFormat="false" ht="15.75" hidden="false" customHeight="false" outlineLevel="0" collapsed="false">
      <c r="A535" s="364"/>
      <c r="B535" s="364"/>
      <c r="C535" s="261"/>
      <c r="D535" s="261"/>
      <c r="E535" s="261"/>
      <c r="F535" s="364"/>
      <c r="G535" s="261"/>
      <c r="H535" s="261"/>
      <c r="I535" s="364"/>
      <c r="J535" s="364"/>
      <c r="K535" s="364"/>
      <c r="L535" s="364"/>
      <c r="M535" s="364"/>
      <c r="N535" s="364"/>
      <c r="O535" s="364"/>
      <c r="P535" s="364"/>
      <c r="Q535" s="364"/>
      <c r="R535" s="364"/>
      <c r="S535" s="364"/>
      <c r="T535" s="364"/>
      <c r="U535" s="364"/>
      <c r="V535" s="364"/>
      <c r="W535" s="364"/>
      <c r="X535" s="364"/>
      <c r="Y535" s="364"/>
      <c r="Z535" s="364"/>
      <c r="AA535" s="364" t="str">
        <f aca="false">IFERROR(__xludf.dummyfunction("""COMPUTED_VALUE"""),"")</f>
        <v/>
      </c>
      <c r="AB535" s="364"/>
    </row>
    <row r="536" customFormat="false" ht="15.75" hidden="false" customHeight="false" outlineLevel="0" collapsed="false">
      <c r="A536" s="261"/>
      <c r="B536" s="261"/>
      <c r="C536" s="261"/>
      <c r="D536" s="261"/>
      <c r="E536" s="261"/>
      <c r="F536" s="364"/>
      <c r="G536" s="261"/>
      <c r="H536" s="364"/>
      <c r="I536" s="364"/>
      <c r="J536" s="364"/>
      <c r="K536" s="364"/>
      <c r="L536" s="364"/>
      <c r="M536" s="364"/>
      <c r="N536" s="364"/>
      <c r="O536" s="364"/>
      <c r="P536" s="364"/>
      <c r="Q536" s="364"/>
      <c r="R536" s="364"/>
      <c r="S536" s="364"/>
      <c r="T536" s="364"/>
      <c r="U536" s="364"/>
      <c r="V536" s="364"/>
      <c r="W536" s="364"/>
      <c r="X536" s="364"/>
      <c r="Y536" s="364"/>
      <c r="Z536" s="364"/>
      <c r="AA536" s="364" t="str">
        <f aca="false">IFERROR(__xludf.dummyfunction("""COMPUTED_VALUE"""),"")</f>
        <v/>
      </c>
      <c r="AB536" s="364"/>
    </row>
    <row r="537" customFormat="false" ht="15.75" hidden="false" customHeight="false" outlineLevel="0" collapsed="false">
      <c r="A537" s="364"/>
      <c r="B537" s="364"/>
      <c r="C537" s="261"/>
      <c r="D537" s="261"/>
      <c r="E537" s="261"/>
      <c r="F537" s="364"/>
      <c r="G537" s="261"/>
      <c r="H537" s="261"/>
      <c r="I537" s="364"/>
      <c r="J537" s="364"/>
      <c r="K537" s="364"/>
      <c r="L537" s="364"/>
      <c r="M537" s="364"/>
      <c r="N537" s="364"/>
      <c r="O537" s="364"/>
      <c r="P537" s="364"/>
      <c r="Q537" s="364"/>
      <c r="R537" s="364"/>
      <c r="S537" s="364"/>
      <c r="T537" s="364"/>
      <c r="U537" s="364"/>
      <c r="V537" s="364"/>
      <c r="W537" s="364"/>
      <c r="X537" s="364"/>
      <c r="Y537" s="364"/>
      <c r="Z537" s="364"/>
      <c r="AA537" s="364" t="str">
        <f aca="false">IFERROR(__xludf.dummyfunction("""COMPUTED_VALUE"""),"")</f>
        <v/>
      </c>
      <c r="AB537" s="364"/>
    </row>
    <row r="538" customFormat="false" ht="15.75" hidden="false" customHeight="false" outlineLevel="0" collapsed="false">
      <c r="A538" s="364"/>
      <c r="B538" s="364"/>
      <c r="C538" s="261"/>
      <c r="D538" s="261"/>
      <c r="E538" s="261"/>
      <c r="F538" s="364"/>
      <c r="G538" s="261"/>
      <c r="H538" s="261"/>
      <c r="I538" s="364"/>
      <c r="J538" s="364"/>
      <c r="K538" s="364"/>
      <c r="L538" s="364"/>
      <c r="M538" s="364"/>
      <c r="N538" s="364"/>
      <c r="O538" s="364"/>
      <c r="P538" s="364"/>
      <c r="Q538" s="364"/>
      <c r="R538" s="364"/>
      <c r="S538" s="364"/>
      <c r="T538" s="364"/>
      <c r="U538" s="364"/>
      <c r="V538" s="364"/>
      <c r="W538" s="364"/>
      <c r="X538" s="364"/>
      <c r="Y538" s="364"/>
      <c r="Z538" s="364"/>
      <c r="AA538" s="364" t="str">
        <f aca="false">IFERROR(__xludf.dummyfunction("""COMPUTED_VALUE"""),"")</f>
        <v/>
      </c>
      <c r="AB538" s="364"/>
    </row>
    <row r="539" customFormat="false" ht="15.75" hidden="false" customHeight="false" outlineLevel="0" collapsed="false">
      <c r="A539" s="261"/>
      <c r="B539" s="261"/>
      <c r="C539" s="261"/>
      <c r="D539" s="261"/>
      <c r="E539" s="261"/>
      <c r="F539" s="364"/>
      <c r="G539" s="261"/>
      <c r="H539" s="364"/>
      <c r="I539" s="364"/>
      <c r="J539" s="364"/>
      <c r="K539" s="364"/>
      <c r="L539" s="364"/>
      <c r="M539" s="364"/>
      <c r="N539" s="364"/>
      <c r="O539" s="364"/>
      <c r="P539" s="364"/>
      <c r="Q539" s="364"/>
      <c r="R539" s="364"/>
      <c r="S539" s="364"/>
      <c r="T539" s="364"/>
      <c r="U539" s="364"/>
      <c r="V539" s="364"/>
      <c r="W539" s="364"/>
      <c r="X539" s="364"/>
      <c r="Y539" s="364"/>
      <c r="Z539" s="364"/>
      <c r="AA539" s="364" t="str">
        <f aca="false">IFERROR(__xludf.dummyfunction("""COMPUTED_VALUE"""),"")</f>
        <v/>
      </c>
      <c r="AB539" s="364"/>
    </row>
    <row r="540" customFormat="false" ht="15.75" hidden="false" customHeight="false" outlineLevel="0" collapsed="false">
      <c r="A540" s="364"/>
      <c r="B540" s="364"/>
      <c r="C540" s="261"/>
      <c r="D540" s="261"/>
      <c r="E540" s="261"/>
      <c r="F540" s="364"/>
      <c r="G540" s="261"/>
      <c r="H540" s="261"/>
      <c r="I540" s="364"/>
      <c r="J540" s="364"/>
      <c r="K540" s="364"/>
      <c r="L540" s="364"/>
      <c r="M540" s="364"/>
      <c r="N540" s="364"/>
      <c r="O540" s="364"/>
      <c r="P540" s="364"/>
      <c r="Q540" s="364"/>
      <c r="R540" s="364"/>
      <c r="S540" s="364"/>
      <c r="T540" s="364"/>
      <c r="U540" s="364"/>
      <c r="V540" s="364"/>
      <c r="W540" s="364"/>
      <c r="X540" s="364"/>
      <c r="Y540" s="364"/>
      <c r="Z540" s="364"/>
      <c r="AA540" s="364" t="str">
        <f aca="false">IFERROR(__xludf.dummyfunction("""COMPUTED_VALUE"""),"")</f>
        <v/>
      </c>
      <c r="AB540" s="364"/>
    </row>
    <row r="541" customFormat="false" ht="15.75" hidden="false" customHeight="false" outlineLevel="0" collapsed="false">
      <c r="A541" s="364"/>
      <c r="B541" s="364"/>
      <c r="C541" s="261"/>
      <c r="D541" s="261"/>
      <c r="E541" s="261"/>
      <c r="F541" s="364"/>
      <c r="G541" s="261"/>
      <c r="H541" s="364"/>
      <c r="I541" s="364"/>
      <c r="J541" s="364"/>
      <c r="K541" s="364"/>
      <c r="L541" s="364"/>
      <c r="M541" s="364"/>
      <c r="N541" s="364"/>
      <c r="O541" s="364"/>
      <c r="P541" s="364"/>
      <c r="Q541" s="364"/>
      <c r="R541" s="364"/>
      <c r="S541" s="364"/>
      <c r="T541" s="364"/>
      <c r="U541" s="364"/>
      <c r="V541" s="364"/>
      <c r="W541" s="364"/>
      <c r="X541" s="364"/>
      <c r="Y541" s="364"/>
      <c r="Z541" s="364"/>
      <c r="AA541" s="364" t="str">
        <f aca="false">IFERROR(__xludf.dummyfunction("""COMPUTED_VALUE"""),"")</f>
        <v/>
      </c>
      <c r="AB541" s="364"/>
    </row>
    <row r="542" customFormat="false" ht="15.75" hidden="false" customHeight="false" outlineLevel="0" collapsed="false">
      <c r="A542" s="364"/>
      <c r="B542" s="364"/>
      <c r="C542" s="261"/>
      <c r="D542" s="261"/>
      <c r="E542" s="261"/>
      <c r="F542" s="364"/>
      <c r="G542" s="261"/>
      <c r="H542" s="261"/>
      <c r="I542" s="364"/>
      <c r="J542" s="364"/>
      <c r="K542" s="364"/>
      <c r="L542" s="364"/>
      <c r="M542" s="364"/>
      <c r="N542" s="364"/>
      <c r="O542" s="364"/>
      <c r="P542" s="364"/>
      <c r="Q542" s="364"/>
      <c r="R542" s="364"/>
      <c r="S542" s="364"/>
      <c r="T542" s="364"/>
      <c r="U542" s="364"/>
      <c r="V542" s="364"/>
      <c r="W542" s="364"/>
      <c r="X542" s="364"/>
      <c r="Y542" s="364"/>
      <c r="Z542" s="364"/>
      <c r="AA542" s="364" t="str">
        <f aca="false">IFERROR(__xludf.dummyfunction("""COMPUTED_VALUE"""),"")</f>
        <v/>
      </c>
      <c r="AB542" s="364"/>
    </row>
    <row r="543" customFormat="false" ht="15.75" hidden="false" customHeight="false" outlineLevel="0" collapsed="false">
      <c r="A543" s="364"/>
      <c r="B543" s="364"/>
      <c r="C543" s="261"/>
      <c r="D543" s="261"/>
      <c r="E543" s="261"/>
      <c r="F543" s="364"/>
      <c r="G543" s="261"/>
      <c r="H543" s="261"/>
      <c r="I543" s="364"/>
      <c r="J543" s="364"/>
      <c r="K543" s="364"/>
      <c r="L543" s="364"/>
      <c r="M543" s="364"/>
      <c r="N543" s="364"/>
      <c r="O543" s="364"/>
      <c r="P543" s="364"/>
      <c r="Q543" s="364"/>
      <c r="R543" s="364"/>
      <c r="S543" s="364"/>
      <c r="T543" s="364"/>
      <c r="U543" s="364"/>
      <c r="V543" s="364"/>
      <c r="W543" s="364"/>
      <c r="X543" s="364"/>
      <c r="Y543" s="364"/>
      <c r="Z543" s="364"/>
      <c r="AA543" s="364" t="str">
        <f aca="false">IFERROR(__xludf.dummyfunction("""COMPUTED_VALUE"""),"")</f>
        <v/>
      </c>
      <c r="AB543" s="364"/>
    </row>
    <row r="544" customFormat="false" ht="15.75" hidden="false" customHeight="false" outlineLevel="0" collapsed="false">
      <c r="A544" s="364"/>
      <c r="B544" s="364"/>
      <c r="C544" s="261"/>
      <c r="D544" s="261"/>
      <c r="E544" s="261"/>
      <c r="F544" s="364"/>
      <c r="G544" s="261"/>
      <c r="H544" s="261"/>
      <c r="I544" s="364"/>
      <c r="J544" s="364"/>
      <c r="K544" s="364"/>
      <c r="L544" s="364"/>
      <c r="M544" s="364"/>
      <c r="N544" s="364"/>
      <c r="O544" s="364"/>
      <c r="P544" s="364"/>
      <c r="Q544" s="364"/>
      <c r="R544" s="364"/>
      <c r="S544" s="364"/>
      <c r="T544" s="364"/>
      <c r="U544" s="364"/>
      <c r="V544" s="364"/>
      <c r="W544" s="364"/>
      <c r="X544" s="364"/>
      <c r="Y544" s="364"/>
      <c r="Z544" s="364"/>
      <c r="AA544" s="364" t="str">
        <f aca="false">IFERROR(__xludf.dummyfunction("""COMPUTED_VALUE"""),"")</f>
        <v/>
      </c>
      <c r="AB544" s="364"/>
    </row>
    <row r="545" customFormat="false" ht="15.75" hidden="false" customHeight="false" outlineLevel="0" collapsed="false">
      <c r="A545" s="364"/>
      <c r="B545" s="364"/>
      <c r="C545" s="261"/>
      <c r="D545" s="261"/>
      <c r="E545" s="261"/>
      <c r="F545" s="364"/>
      <c r="G545" s="261"/>
      <c r="H545" s="261"/>
      <c r="I545" s="364"/>
      <c r="J545" s="364"/>
      <c r="K545" s="364"/>
      <c r="L545" s="364"/>
      <c r="M545" s="364"/>
      <c r="N545" s="364"/>
      <c r="O545" s="364"/>
      <c r="P545" s="364"/>
      <c r="Q545" s="364"/>
      <c r="R545" s="364"/>
      <c r="S545" s="364"/>
      <c r="T545" s="364"/>
      <c r="U545" s="364"/>
      <c r="V545" s="364"/>
      <c r="W545" s="364"/>
      <c r="X545" s="364"/>
      <c r="Y545" s="364"/>
      <c r="Z545" s="364"/>
      <c r="AA545" s="364" t="str">
        <f aca="false">IFERROR(__xludf.dummyfunction("""COMPUTED_VALUE"""),"")</f>
        <v/>
      </c>
      <c r="AB545" s="364"/>
    </row>
    <row r="546" customFormat="false" ht="15.75" hidden="false" customHeight="false" outlineLevel="0" collapsed="false">
      <c r="A546" s="364"/>
      <c r="B546" s="364"/>
      <c r="C546" s="261"/>
      <c r="D546" s="261"/>
      <c r="E546" s="261"/>
      <c r="F546" s="364"/>
      <c r="G546" s="261"/>
      <c r="H546" s="364"/>
      <c r="I546" s="364"/>
      <c r="J546" s="364"/>
      <c r="K546" s="364"/>
      <c r="L546" s="364"/>
      <c r="M546" s="364"/>
      <c r="N546" s="364"/>
      <c r="O546" s="364"/>
      <c r="P546" s="364"/>
      <c r="Q546" s="364"/>
      <c r="R546" s="364"/>
      <c r="S546" s="364"/>
      <c r="T546" s="364"/>
      <c r="U546" s="364"/>
      <c r="V546" s="364"/>
      <c r="W546" s="364"/>
      <c r="X546" s="364"/>
      <c r="Y546" s="364"/>
      <c r="Z546" s="364"/>
      <c r="AA546" s="364" t="str">
        <f aca="false">IFERROR(__xludf.dummyfunction("""COMPUTED_VALUE"""),"")</f>
        <v/>
      </c>
      <c r="AB546" s="364"/>
    </row>
    <row r="547" customFormat="false" ht="15.75" hidden="false" customHeight="false" outlineLevel="0" collapsed="false">
      <c r="A547" s="364"/>
      <c r="B547" s="364"/>
      <c r="C547" s="261"/>
      <c r="D547" s="261"/>
      <c r="E547" s="261"/>
      <c r="F547" s="364"/>
      <c r="G547" s="261"/>
      <c r="H547" s="261"/>
      <c r="I547" s="364"/>
      <c r="J547" s="364"/>
      <c r="K547" s="364"/>
      <c r="L547" s="364"/>
      <c r="M547" s="364"/>
      <c r="N547" s="364"/>
      <c r="O547" s="364"/>
      <c r="P547" s="364"/>
      <c r="Q547" s="364"/>
      <c r="R547" s="364"/>
      <c r="S547" s="364"/>
      <c r="T547" s="364"/>
      <c r="U547" s="364"/>
      <c r="V547" s="364"/>
      <c r="W547" s="364"/>
      <c r="X547" s="364"/>
      <c r="Y547" s="364"/>
      <c r="Z547" s="364"/>
      <c r="AA547" s="364" t="str">
        <f aca="false">IFERROR(__xludf.dummyfunction("""COMPUTED_VALUE"""),"")</f>
        <v/>
      </c>
      <c r="AB547" s="364"/>
    </row>
    <row r="548" customFormat="false" ht="15.75" hidden="false" customHeight="false" outlineLevel="0" collapsed="false">
      <c r="A548" s="364"/>
      <c r="B548" s="364"/>
      <c r="C548" s="261"/>
      <c r="D548" s="261"/>
      <c r="E548" s="261"/>
      <c r="F548" s="364"/>
      <c r="G548" s="261"/>
      <c r="H548" s="261"/>
      <c r="I548" s="364"/>
      <c r="J548" s="364"/>
      <c r="K548" s="364"/>
      <c r="L548" s="364"/>
      <c r="M548" s="364"/>
      <c r="N548" s="364"/>
      <c r="O548" s="364"/>
      <c r="P548" s="364"/>
      <c r="Q548" s="364"/>
      <c r="R548" s="364"/>
      <c r="S548" s="364"/>
      <c r="T548" s="364"/>
      <c r="U548" s="364"/>
      <c r="V548" s="364"/>
      <c r="W548" s="364"/>
      <c r="X548" s="364"/>
      <c r="Y548" s="364"/>
      <c r="Z548" s="364"/>
      <c r="AA548" s="364" t="str">
        <f aca="false">IFERROR(__xludf.dummyfunction("""COMPUTED_VALUE"""),"")</f>
        <v/>
      </c>
      <c r="AB548" s="364"/>
    </row>
    <row r="549" customFormat="false" ht="15.75" hidden="false" customHeight="false" outlineLevel="0" collapsed="false">
      <c r="A549" s="364"/>
      <c r="B549" s="364"/>
      <c r="C549" s="261"/>
      <c r="D549" s="261"/>
      <c r="E549" s="261"/>
      <c r="F549" s="261"/>
      <c r="G549" s="261"/>
      <c r="H549" s="261"/>
      <c r="I549" s="364"/>
      <c r="J549" s="364"/>
      <c r="K549" s="364"/>
      <c r="L549" s="364"/>
      <c r="M549" s="364"/>
      <c r="N549" s="364"/>
      <c r="O549" s="364"/>
      <c r="P549" s="364"/>
      <c r="Q549" s="364"/>
      <c r="R549" s="364"/>
      <c r="S549" s="364"/>
      <c r="T549" s="364"/>
      <c r="U549" s="364"/>
      <c r="V549" s="364"/>
      <c r="W549" s="364"/>
      <c r="X549" s="364"/>
      <c r="Y549" s="364"/>
      <c r="Z549" s="364"/>
      <c r="AA549" s="364" t="str">
        <f aca="false">IFERROR(__xludf.dummyfunction("""COMPUTED_VALUE"""),"")</f>
        <v/>
      </c>
      <c r="AB549" s="364"/>
    </row>
    <row r="550" customFormat="false" ht="15.75" hidden="false" customHeight="false" outlineLevel="0" collapsed="false">
      <c r="A550" s="364"/>
      <c r="B550" s="364"/>
      <c r="C550" s="261"/>
      <c r="D550" s="261"/>
      <c r="E550" s="261"/>
      <c r="F550" s="364"/>
      <c r="G550" s="261"/>
      <c r="H550" s="261"/>
      <c r="I550" s="364"/>
      <c r="J550" s="364"/>
      <c r="K550" s="364"/>
      <c r="L550" s="364"/>
      <c r="M550" s="364"/>
      <c r="N550" s="364"/>
      <c r="O550" s="364"/>
      <c r="P550" s="364"/>
      <c r="Q550" s="364"/>
      <c r="R550" s="364"/>
      <c r="S550" s="364"/>
      <c r="T550" s="364"/>
      <c r="U550" s="364"/>
      <c r="V550" s="364"/>
      <c r="W550" s="364"/>
      <c r="X550" s="364"/>
      <c r="Y550" s="364"/>
      <c r="Z550" s="364"/>
      <c r="AA550" s="364" t="str">
        <f aca="false">IFERROR(__xludf.dummyfunction("""COMPUTED_VALUE"""),"")</f>
        <v/>
      </c>
      <c r="AB550" s="364"/>
    </row>
    <row r="551" customFormat="false" ht="15.75" hidden="false" customHeight="false" outlineLevel="0" collapsed="false">
      <c r="A551" s="364"/>
      <c r="B551" s="364"/>
      <c r="C551" s="261"/>
      <c r="D551" s="261"/>
      <c r="E551" s="261"/>
      <c r="F551" s="364"/>
      <c r="G551" s="261"/>
      <c r="H551" s="261"/>
      <c r="I551" s="364"/>
      <c r="J551" s="364"/>
      <c r="K551" s="364"/>
      <c r="L551" s="364"/>
      <c r="M551" s="364"/>
      <c r="N551" s="364"/>
      <c r="O551" s="364"/>
      <c r="P551" s="364"/>
      <c r="Q551" s="364"/>
      <c r="R551" s="364"/>
      <c r="S551" s="364"/>
      <c r="T551" s="364"/>
      <c r="U551" s="364"/>
      <c r="V551" s="364"/>
      <c r="W551" s="364"/>
      <c r="X551" s="364"/>
      <c r="Y551" s="364"/>
      <c r="Z551" s="364"/>
      <c r="AA551" s="364" t="str">
        <f aca="false">IFERROR(__xludf.dummyfunction("""COMPUTED_VALUE"""),"")</f>
        <v/>
      </c>
      <c r="AB551" s="364"/>
    </row>
    <row r="552" customFormat="false" ht="15.75" hidden="false" customHeight="false" outlineLevel="0" collapsed="false">
      <c r="A552" s="364"/>
      <c r="B552" s="364"/>
      <c r="C552" s="261"/>
      <c r="D552" s="261"/>
      <c r="E552" s="261"/>
      <c r="F552" s="364"/>
      <c r="G552" s="261"/>
      <c r="H552" s="261"/>
      <c r="I552" s="364"/>
      <c r="J552" s="364"/>
      <c r="K552" s="364"/>
      <c r="L552" s="364"/>
      <c r="M552" s="364"/>
      <c r="N552" s="364"/>
      <c r="O552" s="364"/>
      <c r="P552" s="364"/>
      <c r="Q552" s="364"/>
      <c r="R552" s="364"/>
      <c r="S552" s="364"/>
      <c r="T552" s="364"/>
      <c r="U552" s="364"/>
      <c r="V552" s="364"/>
      <c r="W552" s="364"/>
      <c r="X552" s="364"/>
      <c r="Y552" s="364"/>
      <c r="Z552" s="364"/>
      <c r="AA552" s="364" t="str">
        <f aca="false">IFERROR(__xludf.dummyfunction("""COMPUTED_VALUE"""),"")</f>
        <v/>
      </c>
      <c r="AB552" s="364"/>
    </row>
    <row r="553" customFormat="false" ht="15.75" hidden="false" customHeight="false" outlineLevel="0" collapsed="false">
      <c r="A553" s="364"/>
      <c r="B553" s="364"/>
      <c r="C553" s="261"/>
      <c r="D553" s="261"/>
      <c r="E553" s="261"/>
      <c r="F553" s="364"/>
      <c r="G553" s="261"/>
      <c r="H553" s="261"/>
      <c r="I553" s="364"/>
      <c r="J553" s="364"/>
      <c r="K553" s="364"/>
      <c r="L553" s="364"/>
      <c r="M553" s="364"/>
      <c r="N553" s="364"/>
      <c r="O553" s="364"/>
      <c r="P553" s="364"/>
      <c r="Q553" s="364"/>
      <c r="R553" s="364"/>
      <c r="S553" s="364"/>
      <c r="T553" s="364"/>
      <c r="U553" s="364"/>
      <c r="V553" s="364"/>
      <c r="W553" s="364"/>
      <c r="X553" s="364"/>
      <c r="Y553" s="364"/>
      <c r="Z553" s="364"/>
      <c r="AA553" s="364" t="str">
        <f aca="false">IFERROR(__xludf.dummyfunction("""COMPUTED_VALUE"""),"")</f>
        <v/>
      </c>
      <c r="AB553" s="364"/>
    </row>
    <row r="554" customFormat="false" ht="15.75" hidden="false" customHeight="false" outlineLevel="0" collapsed="false">
      <c r="A554" s="364"/>
      <c r="B554" s="364"/>
      <c r="C554" s="261"/>
      <c r="D554" s="261"/>
      <c r="E554" s="261"/>
      <c r="F554" s="364"/>
      <c r="G554" s="261"/>
      <c r="H554" s="261"/>
      <c r="I554" s="364"/>
      <c r="J554" s="364"/>
      <c r="K554" s="364"/>
      <c r="L554" s="364"/>
      <c r="M554" s="364"/>
      <c r="N554" s="364"/>
      <c r="O554" s="364"/>
      <c r="P554" s="364"/>
      <c r="Q554" s="364"/>
      <c r="R554" s="364"/>
      <c r="S554" s="364"/>
      <c r="T554" s="364"/>
      <c r="U554" s="364"/>
      <c r="V554" s="364"/>
      <c r="W554" s="364"/>
      <c r="X554" s="364"/>
      <c r="Y554" s="364"/>
      <c r="Z554" s="364"/>
      <c r="AA554" s="364" t="str">
        <f aca="false">IFERROR(__xludf.dummyfunction("""COMPUTED_VALUE"""),"")</f>
        <v/>
      </c>
      <c r="AB554" s="364"/>
    </row>
    <row r="555" customFormat="false" ht="15.75" hidden="false" customHeight="false" outlineLevel="0" collapsed="false">
      <c r="A555" s="364"/>
      <c r="B555" s="364"/>
      <c r="C555" s="261"/>
      <c r="D555" s="261"/>
      <c r="E555" s="261"/>
      <c r="F555" s="364"/>
      <c r="G555" s="261"/>
      <c r="H555" s="261"/>
      <c r="I555" s="364"/>
      <c r="J555" s="364"/>
      <c r="K555" s="364"/>
      <c r="L555" s="364"/>
      <c r="M555" s="364"/>
      <c r="N555" s="364"/>
      <c r="O555" s="364"/>
      <c r="P555" s="364"/>
      <c r="Q555" s="364"/>
      <c r="R555" s="364"/>
      <c r="S555" s="364"/>
      <c r="T555" s="364"/>
      <c r="U555" s="364"/>
      <c r="V555" s="364"/>
      <c r="W555" s="364"/>
      <c r="X555" s="364"/>
      <c r="Y555" s="364"/>
      <c r="Z555" s="364"/>
      <c r="AA555" s="364" t="str">
        <f aca="false">IFERROR(__xludf.dummyfunction("""COMPUTED_VALUE"""),"")</f>
        <v/>
      </c>
      <c r="AB555" s="364"/>
    </row>
    <row r="556" customFormat="false" ht="15.75" hidden="false" customHeight="false" outlineLevel="0" collapsed="false">
      <c r="A556" s="364"/>
      <c r="B556" s="364"/>
      <c r="C556" s="261"/>
      <c r="D556" s="261"/>
      <c r="E556" s="261"/>
      <c r="F556" s="364"/>
      <c r="G556" s="261"/>
      <c r="H556" s="261"/>
      <c r="I556" s="364"/>
      <c r="J556" s="364"/>
      <c r="K556" s="364"/>
      <c r="L556" s="364"/>
      <c r="M556" s="364"/>
      <c r="N556" s="364"/>
      <c r="O556" s="364"/>
      <c r="P556" s="364"/>
      <c r="Q556" s="364"/>
      <c r="R556" s="364"/>
      <c r="S556" s="364"/>
      <c r="T556" s="364"/>
      <c r="U556" s="364"/>
      <c r="V556" s="364"/>
      <c r="W556" s="364"/>
      <c r="X556" s="364"/>
      <c r="Y556" s="364"/>
      <c r="Z556" s="364"/>
      <c r="AA556" s="364" t="str">
        <f aca="false">IFERROR(__xludf.dummyfunction("""COMPUTED_VALUE"""),"")</f>
        <v/>
      </c>
      <c r="AB556" s="364"/>
    </row>
    <row r="557" customFormat="false" ht="15.75" hidden="false" customHeight="false" outlineLevel="0" collapsed="false">
      <c r="A557" s="364"/>
      <c r="B557" s="364"/>
      <c r="C557" s="261"/>
      <c r="D557" s="261"/>
      <c r="E557" s="261"/>
      <c r="F557" s="364"/>
      <c r="G557" s="261"/>
      <c r="H557" s="261"/>
      <c r="I557" s="364"/>
      <c r="J557" s="364"/>
      <c r="K557" s="364"/>
      <c r="L557" s="364"/>
      <c r="M557" s="364"/>
      <c r="N557" s="364"/>
      <c r="O557" s="364"/>
      <c r="P557" s="364"/>
      <c r="Q557" s="364"/>
      <c r="R557" s="364"/>
      <c r="S557" s="364"/>
      <c r="T557" s="364"/>
      <c r="U557" s="364"/>
      <c r="V557" s="364"/>
      <c r="W557" s="364"/>
      <c r="X557" s="364"/>
      <c r="Y557" s="364"/>
      <c r="Z557" s="364"/>
      <c r="AA557" s="364" t="str">
        <f aca="false">IFERROR(__xludf.dummyfunction("""COMPUTED_VALUE"""),"")</f>
        <v/>
      </c>
      <c r="AB557" s="364"/>
    </row>
    <row r="558" customFormat="false" ht="15.75" hidden="false" customHeight="false" outlineLevel="0" collapsed="false">
      <c r="A558" s="364"/>
      <c r="B558" s="364"/>
      <c r="C558" s="261"/>
      <c r="D558" s="261"/>
      <c r="E558" s="261"/>
      <c r="F558" s="364"/>
      <c r="G558" s="261"/>
      <c r="H558" s="261"/>
      <c r="I558" s="364"/>
      <c r="J558" s="364"/>
      <c r="K558" s="364"/>
      <c r="L558" s="364"/>
      <c r="M558" s="364"/>
      <c r="N558" s="364"/>
      <c r="O558" s="364"/>
      <c r="P558" s="364"/>
      <c r="Q558" s="364"/>
      <c r="R558" s="364"/>
      <c r="S558" s="364"/>
      <c r="T558" s="364"/>
      <c r="U558" s="364"/>
      <c r="V558" s="364"/>
      <c r="W558" s="364"/>
      <c r="X558" s="364"/>
      <c r="Y558" s="364"/>
      <c r="Z558" s="364"/>
      <c r="AA558" s="364" t="str">
        <f aca="false">IFERROR(__xludf.dummyfunction("""COMPUTED_VALUE"""),"")</f>
        <v/>
      </c>
      <c r="AB558" s="364"/>
    </row>
    <row r="559" customFormat="false" ht="15.75" hidden="false" customHeight="false" outlineLevel="0" collapsed="false">
      <c r="A559" s="364"/>
      <c r="B559" s="364"/>
      <c r="C559" s="261"/>
      <c r="D559" s="261"/>
      <c r="E559" s="261"/>
      <c r="F559" s="364"/>
      <c r="G559" s="261"/>
      <c r="H559" s="261"/>
      <c r="I559" s="364"/>
      <c r="J559" s="364"/>
      <c r="K559" s="364"/>
      <c r="L559" s="364"/>
      <c r="M559" s="364"/>
      <c r="N559" s="364"/>
      <c r="O559" s="364"/>
      <c r="P559" s="364"/>
      <c r="Q559" s="364"/>
      <c r="R559" s="364"/>
      <c r="S559" s="364"/>
      <c r="T559" s="364"/>
      <c r="U559" s="364"/>
      <c r="V559" s="364"/>
      <c r="W559" s="364"/>
      <c r="X559" s="364"/>
      <c r="Y559" s="364"/>
      <c r="Z559" s="364"/>
      <c r="AA559" s="364" t="str">
        <f aca="false">IFERROR(__xludf.dummyfunction("""COMPUTED_VALUE"""),"")</f>
        <v/>
      </c>
      <c r="AB559" s="364"/>
    </row>
    <row r="560" customFormat="false" ht="15.75" hidden="false" customHeight="false" outlineLevel="0" collapsed="false">
      <c r="A560" s="364"/>
      <c r="B560" s="364"/>
      <c r="C560" s="261"/>
      <c r="D560" s="261"/>
      <c r="E560" s="261"/>
      <c r="F560" s="364"/>
      <c r="G560" s="261"/>
      <c r="H560" s="261"/>
      <c r="I560" s="364"/>
      <c r="J560" s="364"/>
      <c r="K560" s="364"/>
      <c r="L560" s="364"/>
      <c r="M560" s="364"/>
      <c r="N560" s="364"/>
      <c r="O560" s="364"/>
      <c r="P560" s="364"/>
      <c r="Q560" s="364"/>
      <c r="R560" s="364"/>
      <c r="S560" s="364"/>
      <c r="T560" s="364"/>
      <c r="U560" s="364"/>
      <c r="V560" s="364"/>
      <c r="W560" s="364"/>
      <c r="X560" s="364"/>
      <c r="Y560" s="364"/>
      <c r="Z560" s="364"/>
      <c r="AA560" s="364" t="str">
        <f aca="false">IFERROR(__xludf.dummyfunction("""COMPUTED_VALUE"""),"")</f>
        <v/>
      </c>
      <c r="AB560" s="364"/>
    </row>
    <row r="561" customFormat="false" ht="15.75" hidden="false" customHeight="false" outlineLevel="0" collapsed="false">
      <c r="A561" s="364"/>
      <c r="B561" s="364"/>
      <c r="C561" s="261"/>
      <c r="D561" s="261"/>
      <c r="E561" s="261"/>
      <c r="F561" s="364"/>
      <c r="G561" s="261"/>
      <c r="H561" s="261"/>
      <c r="I561" s="364"/>
      <c r="J561" s="364"/>
      <c r="K561" s="364"/>
      <c r="L561" s="364"/>
      <c r="M561" s="364"/>
      <c r="N561" s="364"/>
      <c r="O561" s="364"/>
      <c r="P561" s="364"/>
      <c r="Q561" s="364"/>
      <c r="R561" s="364"/>
      <c r="S561" s="364"/>
      <c r="T561" s="364"/>
      <c r="U561" s="364"/>
      <c r="V561" s="364"/>
      <c r="W561" s="364"/>
      <c r="X561" s="364"/>
      <c r="Y561" s="364"/>
      <c r="Z561" s="364"/>
      <c r="AA561" s="364" t="str">
        <f aca="false">IFERROR(__xludf.dummyfunction("""COMPUTED_VALUE"""),"")</f>
        <v/>
      </c>
      <c r="AB561" s="364"/>
    </row>
    <row r="562" customFormat="false" ht="15.75" hidden="false" customHeight="false" outlineLevel="0" collapsed="false">
      <c r="A562" s="364"/>
      <c r="B562" s="364"/>
      <c r="C562" s="261"/>
      <c r="D562" s="261"/>
      <c r="E562" s="261"/>
      <c r="F562" s="364"/>
      <c r="G562" s="261"/>
      <c r="H562" s="261"/>
      <c r="I562" s="364"/>
      <c r="J562" s="364"/>
      <c r="K562" s="364"/>
      <c r="L562" s="364"/>
      <c r="M562" s="364"/>
      <c r="N562" s="364"/>
      <c r="O562" s="364"/>
      <c r="P562" s="364"/>
      <c r="Q562" s="364"/>
      <c r="R562" s="364"/>
      <c r="S562" s="364"/>
      <c r="T562" s="364"/>
      <c r="U562" s="364"/>
      <c r="V562" s="364"/>
      <c r="W562" s="364"/>
      <c r="X562" s="364"/>
      <c r="Y562" s="364"/>
      <c r="Z562" s="364"/>
      <c r="AA562" s="364" t="str">
        <f aca="false">IFERROR(__xludf.dummyfunction("""COMPUTED_VALUE"""),"")</f>
        <v/>
      </c>
      <c r="AB562" s="364"/>
    </row>
    <row r="563" customFormat="false" ht="15.75" hidden="false" customHeight="false" outlineLevel="0" collapsed="false">
      <c r="A563" s="364"/>
      <c r="B563" s="364"/>
      <c r="C563" s="261"/>
      <c r="D563" s="261"/>
      <c r="E563" s="261"/>
      <c r="F563" s="364"/>
      <c r="G563" s="261"/>
      <c r="H563" s="261"/>
      <c r="I563" s="364"/>
      <c r="J563" s="364"/>
      <c r="K563" s="364"/>
      <c r="L563" s="364"/>
      <c r="M563" s="364"/>
      <c r="N563" s="364"/>
      <c r="O563" s="364"/>
      <c r="P563" s="364"/>
      <c r="Q563" s="364"/>
      <c r="R563" s="364"/>
      <c r="S563" s="364"/>
      <c r="T563" s="364"/>
      <c r="U563" s="364"/>
      <c r="V563" s="364"/>
      <c r="W563" s="364"/>
      <c r="X563" s="364"/>
      <c r="Y563" s="364"/>
      <c r="Z563" s="364"/>
      <c r="AA563" s="364" t="str">
        <f aca="false">IFERROR(__xludf.dummyfunction("""COMPUTED_VALUE"""),"")</f>
        <v/>
      </c>
      <c r="AB563" s="364"/>
    </row>
    <row r="564" customFormat="false" ht="15.75" hidden="false" customHeight="false" outlineLevel="0" collapsed="false">
      <c r="A564" s="364"/>
      <c r="B564" s="364"/>
      <c r="C564" s="261"/>
      <c r="D564" s="261"/>
      <c r="E564" s="261"/>
      <c r="F564" s="364"/>
      <c r="G564" s="261"/>
      <c r="H564" s="261"/>
      <c r="I564" s="364"/>
      <c r="J564" s="364"/>
      <c r="K564" s="364"/>
      <c r="L564" s="364"/>
      <c r="M564" s="364"/>
      <c r="N564" s="364"/>
      <c r="O564" s="364"/>
      <c r="P564" s="364"/>
      <c r="Q564" s="364"/>
      <c r="R564" s="364"/>
      <c r="S564" s="364"/>
      <c r="T564" s="364"/>
      <c r="U564" s="364"/>
      <c r="V564" s="364"/>
      <c r="W564" s="364"/>
      <c r="X564" s="364"/>
      <c r="Y564" s="364"/>
      <c r="Z564" s="364"/>
      <c r="AA564" s="364" t="str">
        <f aca="false">IFERROR(__xludf.dummyfunction("""COMPUTED_VALUE"""),"")</f>
        <v/>
      </c>
      <c r="AB564" s="364"/>
    </row>
    <row r="565" customFormat="false" ht="15.75" hidden="false" customHeight="false" outlineLevel="0" collapsed="false">
      <c r="A565" s="364"/>
      <c r="B565" s="364"/>
      <c r="C565" s="261"/>
      <c r="D565" s="261"/>
      <c r="E565" s="261"/>
      <c r="F565" s="364"/>
      <c r="G565" s="261"/>
      <c r="H565" s="261"/>
      <c r="I565" s="364"/>
      <c r="J565" s="364"/>
      <c r="K565" s="364"/>
      <c r="L565" s="364"/>
      <c r="M565" s="364"/>
      <c r="N565" s="364"/>
      <c r="O565" s="364"/>
      <c r="P565" s="364"/>
      <c r="Q565" s="364"/>
      <c r="R565" s="364"/>
      <c r="S565" s="364"/>
      <c r="T565" s="364"/>
      <c r="U565" s="364"/>
      <c r="V565" s="364"/>
      <c r="W565" s="364"/>
      <c r="X565" s="364"/>
      <c r="Y565" s="364"/>
      <c r="Z565" s="364"/>
      <c r="AA565" s="364" t="str">
        <f aca="false">IFERROR(__xludf.dummyfunction("""COMPUTED_VALUE"""),"")</f>
        <v/>
      </c>
      <c r="AB565" s="364"/>
    </row>
    <row r="566" customFormat="false" ht="15.75" hidden="false" customHeight="false" outlineLevel="0" collapsed="false">
      <c r="A566" s="364"/>
      <c r="B566" s="364"/>
      <c r="C566" s="261"/>
      <c r="D566" s="261"/>
      <c r="E566" s="261"/>
      <c r="F566" s="364"/>
      <c r="G566" s="261"/>
      <c r="H566" s="261"/>
      <c r="I566" s="364"/>
      <c r="J566" s="364"/>
      <c r="K566" s="364"/>
      <c r="L566" s="364"/>
      <c r="M566" s="364"/>
      <c r="N566" s="364"/>
      <c r="O566" s="364"/>
      <c r="P566" s="364"/>
      <c r="Q566" s="364"/>
      <c r="R566" s="364"/>
      <c r="S566" s="364"/>
      <c r="T566" s="364"/>
      <c r="U566" s="364"/>
      <c r="V566" s="364"/>
      <c r="W566" s="364"/>
      <c r="X566" s="364"/>
      <c r="Y566" s="364"/>
      <c r="Z566" s="364"/>
      <c r="AA566" s="364" t="str">
        <f aca="false">IFERROR(__xludf.dummyfunction("""COMPUTED_VALUE"""),"")</f>
        <v/>
      </c>
      <c r="AB566" s="364"/>
    </row>
    <row r="567" customFormat="false" ht="15.75" hidden="false" customHeight="false" outlineLevel="0" collapsed="false">
      <c r="A567" s="364"/>
      <c r="B567" s="364"/>
      <c r="C567" s="261"/>
      <c r="D567" s="261"/>
      <c r="E567" s="261"/>
      <c r="F567" s="364"/>
      <c r="G567" s="261"/>
      <c r="H567" s="261"/>
      <c r="I567" s="364"/>
      <c r="J567" s="364"/>
      <c r="K567" s="364"/>
      <c r="L567" s="364"/>
      <c r="M567" s="364"/>
      <c r="N567" s="364"/>
      <c r="O567" s="364"/>
      <c r="P567" s="364"/>
      <c r="Q567" s="364"/>
      <c r="R567" s="364"/>
      <c r="S567" s="364"/>
      <c r="T567" s="364"/>
      <c r="U567" s="364"/>
      <c r="V567" s="364"/>
      <c r="W567" s="364"/>
      <c r="X567" s="364"/>
      <c r="Y567" s="364"/>
      <c r="Z567" s="364"/>
      <c r="AA567" s="364" t="str">
        <f aca="false">IFERROR(__xludf.dummyfunction("""COMPUTED_VALUE"""),"")</f>
        <v/>
      </c>
      <c r="AB567" s="364"/>
    </row>
    <row r="568" customFormat="false" ht="15.75" hidden="false" customHeight="false" outlineLevel="0" collapsed="false">
      <c r="A568" s="364"/>
      <c r="B568" s="364"/>
      <c r="C568" s="261"/>
      <c r="D568" s="261"/>
      <c r="E568" s="261"/>
      <c r="F568" s="364"/>
      <c r="G568" s="261"/>
      <c r="H568" s="261"/>
      <c r="I568" s="364"/>
      <c r="J568" s="364"/>
      <c r="K568" s="364"/>
      <c r="L568" s="364"/>
      <c r="M568" s="364"/>
      <c r="N568" s="364"/>
      <c r="O568" s="364"/>
      <c r="P568" s="364"/>
      <c r="Q568" s="364"/>
      <c r="R568" s="364"/>
      <c r="S568" s="364"/>
      <c r="T568" s="364"/>
      <c r="U568" s="364"/>
      <c r="V568" s="364"/>
      <c r="W568" s="364"/>
      <c r="X568" s="364"/>
      <c r="Y568" s="364"/>
      <c r="Z568" s="364"/>
      <c r="AA568" s="364" t="str">
        <f aca="false">IFERROR(__xludf.dummyfunction("""COMPUTED_VALUE"""),"")</f>
        <v/>
      </c>
      <c r="AB568" s="364"/>
    </row>
    <row r="569" customFormat="false" ht="15.75" hidden="false" customHeight="false" outlineLevel="0" collapsed="false">
      <c r="A569" s="364"/>
      <c r="B569" s="364"/>
      <c r="C569" s="261"/>
      <c r="D569" s="261"/>
      <c r="E569" s="261"/>
      <c r="F569" s="364"/>
      <c r="G569" s="261"/>
      <c r="H569" s="261"/>
      <c r="I569" s="364"/>
      <c r="J569" s="364"/>
      <c r="K569" s="364"/>
      <c r="L569" s="364"/>
      <c r="M569" s="364"/>
      <c r="N569" s="364"/>
      <c r="O569" s="364"/>
      <c r="P569" s="364"/>
      <c r="Q569" s="364"/>
      <c r="R569" s="364"/>
      <c r="S569" s="364"/>
      <c r="T569" s="364"/>
      <c r="U569" s="364"/>
      <c r="V569" s="364"/>
      <c r="W569" s="364"/>
      <c r="X569" s="364"/>
      <c r="Y569" s="364"/>
      <c r="Z569" s="364"/>
      <c r="AA569" s="364" t="str">
        <f aca="false">IFERROR(__xludf.dummyfunction("""COMPUTED_VALUE"""),"")</f>
        <v/>
      </c>
      <c r="AB569" s="364"/>
    </row>
    <row r="570" customFormat="false" ht="15.75" hidden="false" customHeight="false" outlineLevel="0" collapsed="false">
      <c r="A570" s="364"/>
      <c r="B570" s="364"/>
      <c r="C570" s="261"/>
      <c r="D570" s="261"/>
      <c r="E570" s="261"/>
      <c r="F570" s="364"/>
      <c r="G570" s="261"/>
      <c r="H570" s="261"/>
      <c r="I570" s="364"/>
      <c r="J570" s="364"/>
      <c r="K570" s="364"/>
      <c r="L570" s="364"/>
      <c r="M570" s="364"/>
      <c r="N570" s="364"/>
      <c r="O570" s="364"/>
      <c r="P570" s="364"/>
      <c r="Q570" s="364"/>
      <c r="R570" s="364"/>
      <c r="S570" s="364"/>
      <c r="T570" s="364"/>
      <c r="U570" s="364"/>
      <c r="V570" s="364"/>
      <c r="W570" s="364"/>
      <c r="X570" s="364"/>
      <c r="Y570" s="364"/>
      <c r="Z570" s="364"/>
      <c r="AA570" s="364" t="str">
        <f aca="false">IFERROR(__xludf.dummyfunction("""COMPUTED_VALUE"""),"")</f>
        <v/>
      </c>
      <c r="AB570" s="364"/>
    </row>
    <row r="571" customFormat="false" ht="15.75" hidden="false" customHeight="false" outlineLevel="0" collapsed="false">
      <c r="A571" s="364"/>
      <c r="B571" s="364"/>
      <c r="C571" s="261"/>
      <c r="D571" s="261"/>
      <c r="E571" s="261"/>
      <c r="F571" s="364"/>
      <c r="G571" s="261"/>
      <c r="H571" s="261"/>
      <c r="I571" s="364"/>
      <c r="J571" s="364"/>
      <c r="K571" s="364"/>
      <c r="L571" s="364"/>
      <c r="M571" s="364"/>
      <c r="N571" s="364"/>
      <c r="O571" s="364"/>
      <c r="P571" s="364"/>
      <c r="Q571" s="364"/>
      <c r="R571" s="364"/>
      <c r="S571" s="364"/>
      <c r="T571" s="364"/>
      <c r="U571" s="364"/>
      <c r="V571" s="364"/>
      <c r="W571" s="364"/>
      <c r="X571" s="364"/>
      <c r="Y571" s="364"/>
      <c r="Z571" s="364"/>
      <c r="AA571" s="364" t="str">
        <f aca="false">IFERROR(__xludf.dummyfunction("""COMPUTED_VALUE"""),"")</f>
        <v/>
      </c>
      <c r="AB571" s="364"/>
    </row>
    <row r="572" customFormat="false" ht="15.75" hidden="false" customHeight="false" outlineLevel="0" collapsed="false">
      <c r="A572" s="364"/>
      <c r="B572" s="364"/>
      <c r="C572" s="261"/>
      <c r="D572" s="261"/>
      <c r="E572" s="261"/>
      <c r="F572" s="364"/>
      <c r="G572" s="261"/>
      <c r="H572" s="261"/>
      <c r="I572" s="364"/>
      <c r="J572" s="364"/>
      <c r="K572" s="364"/>
      <c r="L572" s="364"/>
      <c r="M572" s="364"/>
      <c r="N572" s="364"/>
      <c r="O572" s="364"/>
      <c r="P572" s="364"/>
      <c r="Q572" s="364"/>
      <c r="R572" s="364"/>
      <c r="S572" s="364"/>
      <c r="T572" s="364"/>
      <c r="U572" s="364"/>
      <c r="V572" s="364"/>
      <c r="W572" s="364"/>
      <c r="X572" s="364"/>
      <c r="Y572" s="364"/>
      <c r="Z572" s="364"/>
      <c r="AA572" s="364" t="str">
        <f aca="false">IFERROR(__xludf.dummyfunction("""COMPUTED_VALUE"""),"")</f>
        <v/>
      </c>
      <c r="AB572" s="364"/>
    </row>
    <row r="573" customFormat="false" ht="15.75" hidden="false" customHeight="false" outlineLevel="0" collapsed="false">
      <c r="A573" s="364"/>
      <c r="B573" s="364"/>
      <c r="C573" s="261"/>
      <c r="D573" s="261"/>
      <c r="E573" s="261"/>
      <c r="F573" s="364"/>
      <c r="G573" s="261"/>
      <c r="H573" s="261"/>
      <c r="I573" s="364"/>
      <c r="J573" s="364"/>
      <c r="K573" s="364"/>
      <c r="L573" s="364"/>
      <c r="M573" s="364"/>
      <c r="N573" s="364"/>
      <c r="O573" s="364"/>
      <c r="P573" s="364"/>
      <c r="Q573" s="364"/>
      <c r="R573" s="364"/>
      <c r="S573" s="364"/>
      <c r="T573" s="364"/>
      <c r="U573" s="364"/>
      <c r="V573" s="364"/>
      <c r="W573" s="364"/>
      <c r="X573" s="364"/>
      <c r="Y573" s="364"/>
      <c r="Z573" s="364"/>
      <c r="AA573" s="364" t="str">
        <f aca="false">IFERROR(__xludf.dummyfunction("""COMPUTED_VALUE"""),"")</f>
        <v/>
      </c>
      <c r="AB573" s="364"/>
    </row>
    <row r="574" customFormat="false" ht="15.75" hidden="false" customHeight="false" outlineLevel="0" collapsed="false">
      <c r="A574" s="364"/>
      <c r="B574" s="364"/>
      <c r="C574" s="261"/>
      <c r="D574" s="261"/>
      <c r="E574" s="261"/>
      <c r="F574" s="364"/>
      <c r="G574" s="261"/>
      <c r="H574" s="261"/>
      <c r="I574" s="364"/>
      <c r="J574" s="364"/>
      <c r="K574" s="364"/>
      <c r="L574" s="364"/>
      <c r="M574" s="364"/>
      <c r="N574" s="364"/>
      <c r="O574" s="364"/>
      <c r="P574" s="364"/>
      <c r="Q574" s="364"/>
      <c r="R574" s="364"/>
      <c r="S574" s="364"/>
      <c r="T574" s="364"/>
      <c r="U574" s="364"/>
      <c r="V574" s="364"/>
      <c r="W574" s="364"/>
      <c r="X574" s="364"/>
      <c r="Y574" s="364"/>
      <c r="Z574" s="364"/>
      <c r="AA574" s="364" t="str">
        <f aca="false">IFERROR(__xludf.dummyfunction("""COMPUTED_VALUE"""),"")</f>
        <v/>
      </c>
      <c r="AB574" s="364"/>
    </row>
    <row r="575" customFormat="false" ht="15.75" hidden="false" customHeight="false" outlineLevel="0" collapsed="false">
      <c r="A575" s="364"/>
      <c r="B575" s="364"/>
      <c r="C575" s="261"/>
      <c r="D575" s="261"/>
      <c r="E575" s="261"/>
      <c r="F575" s="364"/>
      <c r="G575" s="261"/>
      <c r="H575" s="261"/>
      <c r="I575" s="364"/>
      <c r="J575" s="364"/>
      <c r="K575" s="364"/>
      <c r="L575" s="364"/>
      <c r="M575" s="364"/>
      <c r="N575" s="364"/>
      <c r="O575" s="364"/>
      <c r="P575" s="364"/>
      <c r="Q575" s="364"/>
      <c r="R575" s="364"/>
      <c r="S575" s="364"/>
      <c r="T575" s="364"/>
      <c r="U575" s="364"/>
      <c r="V575" s="364"/>
      <c r="W575" s="364"/>
      <c r="X575" s="364"/>
      <c r="Y575" s="364"/>
      <c r="Z575" s="364"/>
      <c r="AA575" s="364" t="str">
        <f aca="false">IFERROR(__xludf.dummyfunction("""COMPUTED_VALUE"""),"")</f>
        <v/>
      </c>
      <c r="AB575" s="364"/>
    </row>
    <row r="576" customFormat="false" ht="15.75" hidden="false" customHeight="false" outlineLevel="0" collapsed="false">
      <c r="A576" s="364"/>
      <c r="B576" s="364"/>
      <c r="C576" s="261"/>
      <c r="D576" s="261"/>
      <c r="E576" s="261"/>
      <c r="F576" s="364"/>
      <c r="G576" s="261"/>
      <c r="H576" s="261"/>
      <c r="I576" s="364"/>
      <c r="J576" s="364"/>
      <c r="K576" s="364"/>
      <c r="L576" s="364"/>
      <c r="M576" s="364"/>
      <c r="N576" s="364"/>
      <c r="O576" s="364"/>
      <c r="P576" s="364"/>
      <c r="Q576" s="364"/>
      <c r="R576" s="364"/>
      <c r="S576" s="364"/>
      <c r="T576" s="364"/>
      <c r="U576" s="364"/>
      <c r="V576" s="364"/>
      <c r="W576" s="364"/>
      <c r="X576" s="364"/>
      <c r="Y576" s="364"/>
      <c r="Z576" s="364"/>
      <c r="AA576" s="364" t="str">
        <f aca="false">IFERROR(__xludf.dummyfunction("""COMPUTED_VALUE"""),"")</f>
        <v/>
      </c>
      <c r="AB576" s="364"/>
    </row>
    <row r="577" customFormat="false" ht="15.75" hidden="false" customHeight="false" outlineLevel="0" collapsed="false">
      <c r="A577" s="364"/>
      <c r="B577" s="364"/>
      <c r="C577" s="261"/>
      <c r="D577" s="261"/>
      <c r="E577" s="261"/>
      <c r="F577" s="364"/>
      <c r="G577" s="261"/>
      <c r="H577" s="261"/>
      <c r="I577" s="364"/>
      <c r="J577" s="364"/>
      <c r="K577" s="364"/>
      <c r="L577" s="364"/>
      <c r="M577" s="364"/>
      <c r="N577" s="364"/>
      <c r="O577" s="364"/>
      <c r="P577" s="364"/>
      <c r="Q577" s="364"/>
      <c r="R577" s="364"/>
      <c r="S577" s="364"/>
      <c r="T577" s="364"/>
      <c r="U577" s="364"/>
      <c r="V577" s="364"/>
      <c r="W577" s="364"/>
      <c r="X577" s="364"/>
      <c r="Y577" s="364"/>
      <c r="Z577" s="364"/>
      <c r="AA577" s="364" t="str">
        <f aca="false">IFERROR(__xludf.dummyfunction("""COMPUTED_VALUE"""),"")</f>
        <v/>
      </c>
      <c r="AB577" s="364"/>
    </row>
    <row r="578" customFormat="false" ht="15.75" hidden="false" customHeight="false" outlineLevel="0" collapsed="false">
      <c r="A578" s="364"/>
      <c r="B578" s="364"/>
      <c r="C578" s="261"/>
      <c r="D578" s="261"/>
      <c r="E578" s="261"/>
      <c r="F578" s="364"/>
      <c r="G578" s="261"/>
      <c r="H578" s="261"/>
      <c r="I578" s="364"/>
      <c r="J578" s="364"/>
      <c r="K578" s="364"/>
      <c r="L578" s="364"/>
      <c r="M578" s="364"/>
      <c r="N578" s="364"/>
      <c r="O578" s="364"/>
      <c r="P578" s="364"/>
      <c r="Q578" s="364"/>
      <c r="R578" s="364"/>
      <c r="S578" s="364"/>
      <c r="T578" s="364"/>
      <c r="U578" s="364"/>
      <c r="V578" s="364"/>
      <c r="W578" s="364"/>
      <c r="X578" s="364"/>
      <c r="Y578" s="364"/>
      <c r="Z578" s="364"/>
      <c r="AA578" s="364" t="str">
        <f aca="false">IFERROR(__xludf.dummyfunction("""COMPUTED_VALUE"""),"")</f>
        <v/>
      </c>
      <c r="AB578" s="364"/>
    </row>
    <row r="579" customFormat="false" ht="15.75" hidden="false" customHeight="false" outlineLevel="0" collapsed="false">
      <c r="A579" s="364"/>
      <c r="B579" s="364"/>
      <c r="C579" s="261"/>
      <c r="D579" s="261"/>
      <c r="E579" s="261"/>
      <c r="F579" s="364"/>
      <c r="G579" s="261"/>
      <c r="H579" s="261"/>
      <c r="I579" s="364"/>
      <c r="J579" s="364"/>
      <c r="K579" s="364"/>
      <c r="L579" s="364"/>
      <c r="M579" s="364"/>
      <c r="N579" s="364"/>
      <c r="O579" s="364"/>
      <c r="P579" s="364"/>
      <c r="Q579" s="364"/>
      <c r="R579" s="364"/>
      <c r="S579" s="364"/>
      <c r="T579" s="364"/>
      <c r="U579" s="364"/>
      <c r="V579" s="364"/>
      <c r="W579" s="364"/>
      <c r="X579" s="364"/>
      <c r="Y579" s="364"/>
      <c r="Z579" s="364"/>
      <c r="AA579" s="364" t="str">
        <f aca="false">IFERROR(__xludf.dummyfunction("""COMPUTED_VALUE"""),"")</f>
        <v/>
      </c>
      <c r="AB579" s="364"/>
    </row>
    <row r="580" customFormat="false" ht="15.75" hidden="false" customHeight="false" outlineLevel="0" collapsed="false">
      <c r="A580" s="364"/>
      <c r="B580" s="364"/>
      <c r="C580" s="261"/>
      <c r="D580" s="261"/>
      <c r="E580" s="261"/>
      <c r="F580" s="364"/>
      <c r="G580" s="261"/>
      <c r="H580" s="261"/>
      <c r="I580" s="364"/>
      <c r="J580" s="364"/>
      <c r="K580" s="364"/>
      <c r="L580" s="364"/>
      <c r="M580" s="364"/>
      <c r="N580" s="364"/>
      <c r="O580" s="364"/>
      <c r="P580" s="364"/>
      <c r="Q580" s="364"/>
      <c r="R580" s="364"/>
      <c r="S580" s="364"/>
      <c r="T580" s="364"/>
      <c r="U580" s="364"/>
      <c r="V580" s="364"/>
      <c r="W580" s="364"/>
      <c r="X580" s="364"/>
      <c r="Y580" s="364"/>
      <c r="Z580" s="364"/>
      <c r="AA580" s="364" t="str">
        <f aca="false">IFERROR(__xludf.dummyfunction("""COMPUTED_VALUE"""),"")</f>
        <v/>
      </c>
      <c r="AB580" s="364"/>
    </row>
    <row r="581" customFormat="false" ht="15.75" hidden="false" customHeight="false" outlineLevel="0" collapsed="false">
      <c r="A581" s="364"/>
      <c r="B581" s="364"/>
      <c r="C581" s="261"/>
      <c r="D581" s="261"/>
      <c r="E581" s="261"/>
      <c r="F581" s="364"/>
      <c r="G581" s="261"/>
      <c r="H581" s="261"/>
      <c r="I581" s="364"/>
      <c r="J581" s="364"/>
      <c r="K581" s="364"/>
      <c r="L581" s="364"/>
      <c r="M581" s="364"/>
      <c r="N581" s="364"/>
      <c r="O581" s="364"/>
      <c r="P581" s="364"/>
      <c r="Q581" s="364"/>
      <c r="R581" s="364"/>
      <c r="S581" s="364"/>
      <c r="T581" s="364"/>
      <c r="U581" s="364"/>
      <c r="V581" s="364"/>
      <c r="W581" s="364"/>
      <c r="X581" s="364"/>
      <c r="Y581" s="364"/>
      <c r="Z581" s="364"/>
      <c r="AA581" s="364" t="str">
        <f aca="false">IFERROR(__xludf.dummyfunction("""COMPUTED_VALUE"""),"")</f>
        <v/>
      </c>
      <c r="AB581" s="364"/>
    </row>
    <row r="582" customFormat="false" ht="15.75" hidden="false" customHeight="false" outlineLevel="0" collapsed="false">
      <c r="A582" s="364"/>
      <c r="B582" s="364"/>
      <c r="C582" s="261"/>
      <c r="D582" s="261"/>
      <c r="E582" s="261"/>
      <c r="F582" s="261"/>
      <c r="G582" s="261"/>
      <c r="H582" s="261"/>
      <c r="I582" s="364"/>
      <c r="J582" s="364"/>
      <c r="K582" s="364"/>
      <c r="L582" s="364"/>
      <c r="M582" s="364"/>
      <c r="N582" s="364"/>
      <c r="O582" s="364"/>
      <c r="P582" s="364"/>
      <c r="Q582" s="364"/>
      <c r="R582" s="364"/>
      <c r="S582" s="364"/>
      <c r="T582" s="364"/>
      <c r="U582" s="364"/>
      <c r="V582" s="364"/>
      <c r="W582" s="364"/>
      <c r="X582" s="364"/>
      <c r="Y582" s="364"/>
      <c r="Z582" s="364"/>
      <c r="AA582" s="364" t="str">
        <f aca="false">IFERROR(__xludf.dummyfunction("""COMPUTED_VALUE"""),"")</f>
        <v/>
      </c>
      <c r="AB582" s="364"/>
    </row>
    <row r="583" customFormat="false" ht="15.75" hidden="false" customHeight="false" outlineLevel="0" collapsed="false">
      <c r="A583" s="364"/>
      <c r="B583" s="364"/>
      <c r="C583" s="261"/>
      <c r="D583" s="261"/>
      <c r="E583" s="261"/>
      <c r="F583" s="364"/>
      <c r="G583" s="261"/>
      <c r="H583" s="364"/>
      <c r="I583" s="364"/>
      <c r="J583" s="364"/>
      <c r="K583" s="364"/>
      <c r="L583" s="364"/>
      <c r="M583" s="364"/>
      <c r="N583" s="364"/>
      <c r="O583" s="364"/>
      <c r="P583" s="364"/>
      <c r="Q583" s="364"/>
      <c r="R583" s="364"/>
      <c r="S583" s="364"/>
      <c r="T583" s="364"/>
      <c r="U583" s="364"/>
      <c r="V583" s="364"/>
      <c r="W583" s="364"/>
      <c r="X583" s="364"/>
      <c r="Y583" s="364"/>
      <c r="Z583" s="364"/>
      <c r="AA583" s="364" t="str">
        <f aca="false">IFERROR(__xludf.dummyfunction("""COMPUTED_VALUE"""),"")</f>
        <v/>
      </c>
      <c r="AB583" s="364"/>
    </row>
    <row r="584" customFormat="false" ht="15.75" hidden="false" customHeight="false" outlineLevel="0" collapsed="false">
      <c r="A584" s="261"/>
      <c r="B584" s="261"/>
      <c r="C584" s="261"/>
      <c r="D584" s="261"/>
      <c r="E584" s="261"/>
      <c r="F584" s="364"/>
      <c r="G584" s="261"/>
      <c r="H584" s="364"/>
      <c r="I584" s="364"/>
      <c r="J584" s="364"/>
      <c r="K584" s="364"/>
      <c r="L584" s="364"/>
      <c r="M584" s="364"/>
      <c r="N584" s="364"/>
      <c r="O584" s="364"/>
      <c r="P584" s="364"/>
      <c r="Q584" s="364"/>
      <c r="R584" s="364"/>
      <c r="S584" s="364"/>
      <c r="T584" s="364"/>
      <c r="U584" s="364"/>
      <c r="V584" s="364"/>
      <c r="W584" s="364"/>
      <c r="X584" s="364"/>
      <c r="Y584" s="364"/>
      <c r="Z584" s="364"/>
      <c r="AA584" s="364" t="str">
        <f aca="false">IFERROR(__xludf.dummyfunction("""COMPUTED_VALUE"""),"")</f>
        <v/>
      </c>
      <c r="AB584" s="364"/>
    </row>
    <row r="585" customFormat="false" ht="15.75" hidden="false" customHeight="false" outlineLevel="0" collapsed="false">
      <c r="A585" s="364"/>
      <c r="B585" s="364"/>
      <c r="C585" s="261"/>
      <c r="D585" s="261"/>
      <c r="E585" s="261"/>
      <c r="F585" s="364"/>
      <c r="G585" s="261"/>
      <c r="H585" s="261"/>
      <c r="I585" s="364"/>
      <c r="J585" s="364"/>
      <c r="K585" s="364"/>
      <c r="L585" s="364"/>
      <c r="M585" s="364"/>
      <c r="N585" s="364"/>
      <c r="O585" s="364"/>
      <c r="P585" s="364"/>
      <c r="Q585" s="364"/>
      <c r="R585" s="364"/>
      <c r="S585" s="364"/>
      <c r="T585" s="364"/>
      <c r="U585" s="364"/>
      <c r="V585" s="364"/>
      <c r="W585" s="364"/>
      <c r="X585" s="364"/>
      <c r="Y585" s="364"/>
      <c r="Z585" s="364"/>
      <c r="AA585" s="364" t="str">
        <f aca="false">IFERROR(__xludf.dummyfunction("""COMPUTED_VALUE"""),"")</f>
        <v/>
      </c>
      <c r="AB585" s="364"/>
    </row>
    <row r="586" customFormat="false" ht="15.75" hidden="false" customHeight="false" outlineLevel="0" collapsed="false">
      <c r="A586" s="364"/>
      <c r="B586" s="364"/>
      <c r="C586" s="261"/>
      <c r="D586" s="261"/>
      <c r="E586" s="261"/>
      <c r="F586" s="364"/>
      <c r="G586" s="261"/>
      <c r="H586" s="261"/>
      <c r="I586" s="364"/>
      <c r="J586" s="364"/>
      <c r="K586" s="364"/>
      <c r="L586" s="364"/>
      <c r="M586" s="364"/>
      <c r="N586" s="364"/>
      <c r="O586" s="364"/>
      <c r="P586" s="364"/>
      <c r="Q586" s="364"/>
      <c r="R586" s="364"/>
      <c r="S586" s="364"/>
      <c r="T586" s="364"/>
      <c r="U586" s="364"/>
      <c r="V586" s="364"/>
      <c r="W586" s="364"/>
      <c r="X586" s="364"/>
      <c r="Y586" s="364"/>
      <c r="Z586" s="364"/>
      <c r="AA586" s="364" t="str">
        <f aca="false">IFERROR(__xludf.dummyfunction("""COMPUTED_VALUE"""),"")</f>
        <v/>
      </c>
      <c r="AB586" s="364"/>
    </row>
    <row r="587" customFormat="false" ht="15.75" hidden="false" customHeight="false" outlineLevel="0" collapsed="false">
      <c r="A587" s="364"/>
      <c r="B587" s="364"/>
      <c r="C587" s="261"/>
      <c r="D587" s="261"/>
      <c r="E587" s="261"/>
      <c r="F587" s="364"/>
      <c r="G587" s="261"/>
      <c r="H587" s="261"/>
      <c r="I587" s="364"/>
      <c r="J587" s="364"/>
      <c r="K587" s="364"/>
      <c r="L587" s="364"/>
      <c r="M587" s="364"/>
      <c r="N587" s="364"/>
      <c r="O587" s="364"/>
      <c r="P587" s="364"/>
      <c r="Q587" s="364"/>
      <c r="R587" s="364"/>
      <c r="S587" s="364"/>
      <c r="T587" s="364"/>
      <c r="U587" s="364"/>
      <c r="V587" s="364"/>
      <c r="W587" s="364"/>
      <c r="X587" s="364"/>
      <c r="Y587" s="364"/>
      <c r="Z587" s="364"/>
      <c r="AA587" s="364" t="str">
        <f aca="false">IFERROR(__xludf.dummyfunction("""COMPUTED_VALUE"""),"")</f>
        <v/>
      </c>
      <c r="AB587" s="364"/>
    </row>
    <row r="588" customFormat="false" ht="15.75" hidden="false" customHeight="false" outlineLevel="0" collapsed="false">
      <c r="A588" s="364"/>
      <c r="B588" s="364"/>
      <c r="C588" s="261"/>
      <c r="D588" s="261"/>
      <c r="E588" s="261"/>
      <c r="F588" s="364"/>
      <c r="G588" s="261"/>
      <c r="H588" s="261"/>
      <c r="I588" s="364"/>
      <c r="J588" s="364"/>
      <c r="K588" s="364"/>
      <c r="L588" s="364"/>
      <c r="M588" s="364"/>
      <c r="N588" s="364"/>
      <c r="O588" s="364"/>
      <c r="P588" s="364"/>
      <c r="Q588" s="364"/>
      <c r="R588" s="364"/>
      <c r="S588" s="364"/>
      <c r="T588" s="364"/>
      <c r="U588" s="364"/>
      <c r="V588" s="364"/>
      <c r="W588" s="364"/>
      <c r="X588" s="364"/>
      <c r="Y588" s="364"/>
      <c r="Z588" s="364"/>
      <c r="AA588" s="364" t="str">
        <f aca="false">IFERROR(__xludf.dummyfunction("""COMPUTED_VALUE"""),"")</f>
        <v/>
      </c>
      <c r="AB588" s="364"/>
    </row>
    <row r="589" customFormat="false" ht="15.75" hidden="false" customHeight="false" outlineLevel="0" collapsed="false">
      <c r="A589" s="364"/>
      <c r="B589" s="364"/>
      <c r="C589" s="261"/>
      <c r="D589" s="261"/>
      <c r="E589" s="261"/>
      <c r="F589" s="364"/>
      <c r="G589" s="261"/>
      <c r="H589" s="261"/>
      <c r="I589" s="364"/>
      <c r="J589" s="364"/>
      <c r="K589" s="364"/>
      <c r="L589" s="364"/>
      <c r="M589" s="364"/>
      <c r="N589" s="364"/>
      <c r="O589" s="364"/>
      <c r="P589" s="364"/>
      <c r="Q589" s="364"/>
      <c r="R589" s="364"/>
      <c r="S589" s="364"/>
      <c r="T589" s="364"/>
      <c r="U589" s="364"/>
      <c r="V589" s="364"/>
      <c r="W589" s="364"/>
      <c r="X589" s="364"/>
      <c r="Y589" s="364"/>
      <c r="Z589" s="364"/>
      <c r="AA589" s="364" t="str">
        <f aca="false">IFERROR(__xludf.dummyfunction("""COMPUTED_VALUE"""),"")</f>
        <v/>
      </c>
      <c r="AB589" s="364"/>
    </row>
    <row r="590" customFormat="false" ht="15.75" hidden="false" customHeight="false" outlineLevel="0" collapsed="false">
      <c r="A590" s="364"/>
      <c r="B590" s="364"/>
      <c r="C590" s="261"/>
      <c r="D590" s="261"/>
      <c r="E590" s="261"/>
      <c r="F590" s="364"/>
      <c r="G590" s="261"/>
      <c r="H590" s="261"/>
      <c r="I590" s="364"/>
      <c r="J590" s="364"/>
      <c r="K590" s="364"/>
      <c r="L590" s="364"/>
      <c r="M590" s="364"/>
      <c r="N590" s="364"/>
      <c r="O590" s="364"/>
      <c r="P590" s="364"/>
      <c r="Q590" s="364"/>
      <c r="R590" s="364"/>
      <c r="S590" s="364"/>
      <c r="T590" s="364"/>
      <c r="U590" s="364"/>
      <c r="V590" s="364"/>
      <c r="W590" s="364"/>
      <c r="X590" s="364"/>
      <c r="Y590" s="364"/>
      <c r="Z590" s="364"/>
      <c r="AA590" s="364" t="str">
        <f aca="false">IFERROR(__xludf.dummyfunction("""COMPUTED_VALUE"""),"")</f>
        <v/>
      </c>
      <c r="AB590" s="364"/>
    </row>
    <row r="591" customFormat="false" ht="15.75" hidden="false" customHeight="false" outlineLevel="0" collapsed="false">
      <c r="A591" s="364"/>
      <c r="B591" s="364"/>
      <c r="C591" s="261"/>
      <c r="D591" s="261"/>
      <c r="E591" s="261"/>
      <c r="F591" s="364"/>
      <c r="G591" s="261"/>
      <c r="H591" s="261"/>
      <c r="I591" s="364"/>
      <c r="J591" s="364"/>
      <c r="K591" s="364"/>
      <c r="L591" s="364"/>
      <c r="M591" s="364"/>
      <c r="N591" s="364"/>
      <c r="O591" s="364"/>
      <c r="P591" s="364"/>
      <c r="Q591" s="364"/>
      <c r="R591" s="364"/>
      <c r="S591" s="364"/>
      <c r="T591" s="364"/>
      <c r="U591" s="364"/>
      <c r="V591" s="364"/>
      <c r="W591" s="364"/>
      <c r="X591" s="364"/>
      <c r="Y591" s="364"/>
      <c r="Z591" s="364"/>
      <c r="AA591" s="364" t="str">
        <f aca="false">IFERROR(__xludf.dummyfunction("""COMPUTED_VALUE"""),"")</f>
        <v/>
      </c>
      <c r="AB591" s="364"/>
    </row>
    <row r="592" customFormat="false" ht="15.75" hidden="false" customHeight="false" outlineLevel="0" collapsed="false">
      <c r="A592" s="364"/>
      <c r="B592" s="364"/>
      <c r="C592" s="261"/>
      <c r="D592" s="261"/>
      <c r="E592" s="261"/>
      <c r="F592" s="364"/>
      <c r="G592" s="261"/>
      <c r="H592" s="261"/>
      <c r="I592" s="364"/>
      <c r="J592" s="364"/>
      <c r="K592" s="364"/>
      <c r="L592" s="364"/>
      <c r="M592" s="364"/>
      <c r="N592" s="364"/>
      <c r="O592" s="364"/>
      <c r="P592" s="364"/>
      <c r="Q592" s="364"/>
      <c r="R592" s="364"/>
      <c r="S592" s="364"/>
      <c r="T592" s="364"/>
      <c r="U592" s="364"/>
      <c r="V592" s="364"/>
      <c r="W592" s="364"/>
      <c r="X592" s="364"/>
      <c r="Y592" s="364"/>
      <c r="Z592" s="364"/>
      <c r="AA592" s="364" t="str">
        <f aca="false">IFERROR(__xludf.dummyfunction("""COMPUTED_VALUE"""),"")</f>
        <v/>
      </c>
      <c r="AB592" s="364"/>
    </row>
    <row r="593" customFormat="false" ht="15.75" hidden="false" customHeight="false" outlineLevel="0" collapsed="false">
      <c r="A593" s="364"/>
      <c r="B593" s="364"/>
      <c r="C593" s="261"/>
      <c r="D593" s="261"/>
      <c r="E593" s="261"/>
      <c r="F593" s="364"/>
      <c r="G593" s="261"/>
      <c r="H593" s="261"/>
      <c r="I593" s="364"/>
      <c r="J593" s="364"/>
      <c r="K593" s="364"/>
      <c r="L593" s="364"/>
      <c r="M593" s="364"/>
      <c r="N593" s="364"/>
      <c r="O593" s="364"/>
      <c r="P593" s="364"/>
      <c r="Q593" s="364"/>
      <c r="R593" s="364"/>
      <c r="S593" s="364"/>
      <c r="T593" s="364"/>
      <c r="U593" s="364"/>
      <c r="V593" s="364"/>
      <c r="W593" s="364"/>
      <c r="X593" s="364"/>
      <c r="Y593" s="364"/>
      <c r="Z593" s="364"/>
      <c r="AA593" s="364" t="str">
        <f aca="false">IFERROR(__xludf.dummyfunction("""COMPUTED_VALUE"""),"")</f>
        <v/>
      </c>
      <c r="AB593" s="364"/>
    </row>
    <row r="594" customFormat="false" ht="15.75" hidden="false" customHeight="false" outlineLevel="0" collapsed="false">
      <c r="A594" s="364"/>
      <c r="B594" s="364"/>
      <c r="C594" s="261"/>
      <c r="D594" s="261"/>
      <c r="E594" s="261"/>
      <c r="F594" s="364"/>
      <c r="G594" s="261"/>
      <c r="H594" s="261"/>
      <c r="I594" s="364"/>
      <c r="J594" s="364"/>
      <c r="K594" s="364"/>
      <c r="L594" s="364"/>
      <c r="M594" s="364"/>
      <c r="N594" s="364"/>
      <c r="O594" s="364"/>
      <c r="P594" s="364"/>
      <c r="Q594" s="364"/>
      <c r="R594" s="364"/>
      <c r="S594" s="364"/>
      <c r="T594" s="364"/>
      <c r="U594" s="364"/>
      <c r="V594" s="364"/>
      <c r="W594" s="364"/>
      <c r="X594" s="364"/>
      <c r="Y594" s="364"/>
      <c r="Z594" s="364"/>
      <c r="AA594" s="364" t="str">
        <f aca="false">IFERROR(__xludf.dummyfunction("""COMPUTED_VALUE"""),"")</f>
        <v/>
      </c>
      <c r="AB594" s="364"/>
    </row>
    <row r="595" customFormat="false" ht="15.75" hidden="false" customHeight="false" outlineLevel="0" collapsed="false">
      <c r="A595" s="364"/>
      <c r="B595" s="364"/>
      <c r="C595" s="261"/>
      <c r="D595" s="261"/>
      <c r="E595" s="261"/>
      <c r="F595" s="364"/>
      <c r="G595" s="261"/>
      <c r="H595" s="261"/>
      <c r="I595" s="364"/>
      <c r="J595" s="364"/>
      <c r="K595" s="364"/>
      <c r="L595" s="364"/>
      <c r="M595" s="364"/>
      <c r="N595" s="364"/>
      <c r="O595" s="364"/>
      <c r="P595" s="364"/>
      <c r="Q595" s="364"/>
      <c r="R595" s="364"/>
      <c r="S595" s="364"/>
      <c r="T595" s="364"/>
      <c r="U595" s="364"/>
      <c r="V595" s="364"/>
      <c r="W595" s="364"/>
      <c r="X595" s="364"/>
      <c r="Y595" s="364"/>
      <c r="Z595" s="364"/>
      <c r="AA595" s="364" t="str">
        <f aca="false">IFERROR(__xludf.dummyfunction("""COMPUTED_VALUE"""),"")</f>
        <v/>
      </c>
      <c r="AB595" s="364"/>
    </row>
    <row r="596" customFormat="false" ht="15.75" hidden="false" customHeight="false" outlineLevel="0" collapsed="false">
      <c r="A596" s="364"/>
      <c r="B596" s="364"/>
      <c r="C596" s="261"/>
      <c r="D596" s="261"/>
      <c r="E596" s="261"/>
      <c r="F596" s="364"/>
      <c r="G596" s="261"/>
      <c r="H596" s="261"/>
      <c r="I596" s="364"/>
      <c r="J596" s="364"/>
      <c r="K596" s="364"/>
      <c r="L596" s="364"/>
      <c r="M596" s="364"/>
      <c r="N596" s="364"/>
      <c r="O596" s="364"/>
      <c r="P596" s="364"/>
      <c r="Q596" s="364"/>
      <c r="R596" s="364"/>
      <c r="S596" s="364"/>
      <c r="T596" s="364"/>
      <c r="U596" s="364"/>
      <c r="V596" s="364"/>
      <c r="W596" s="364"/>
      <c r="X596" s="364"/>
      <c r="Y596" s="364"/>
      <c r="Z596" s="364"/>
      <c r="AA596" s="364" t="str">
        <f aca="false">IFERROR(__xludf.dummyfunction("""COMPUTED_VALUE"""),"")</f>
        <v/>
      </c>
      <c r="AB596" s="364"/>
    </row>
    <row r="597" customFormat="false" ht="15.75" hidden="false" customHeight="false" outlineLevel="0" collapsed="false">
      <c r="A597" s="364"/>
      <c r="B597" s="364"/>
      <c r="C597" s="261"/>
      <c r="D597" s="261"/>
      <c r="E597" s="261"/>
      <c r="F597" s="364"/>
      <c r="G597" s="261"/>
      <c r="H597" s="261"/>
      <c r="I597" s="364"/>
      <c r="J597" s="364"/>
      <c r="K597" s="364"/>
      <c r="L597" s="364"/>
      <c r="M597" s="364"/>
      <c r="N597" s="364"/>
      <c r="O597" s="364"/>
      <c r="P597" s="364"/>
      <c r="Q597" s="364"/>
      <c r="R597" s="364"/>
      <c r="S597" s="364"/>
      <c r="T597" s="364"/>
      <c r="U597" s="364"/>
      <c r="V597" s="364"/>
      <c r="W597" s="364"/>
      <c r="X597" s="364"/>
      <c r="Y597" s="364"/>
      <c r="Z597" s="364"/>
      <c r="AA597" s="364" t="str">
        <f aca="false">IFERROR(__xludf.dummyfunction("""COMPUTED_VALUE"""),"")</f>
        <v/>
      </c>
      <c r="AB597" s="364"/>
    </row>
    <row r="598" customFormat="false" ht="15.75" hidden="false" customHeight="false" outlineLevel="0" collapsed="false">
      <c r="A598" s="364"/>
      <c r="B598" s="364"/>
      <c r="C598" s="261"/>
      <c r="D598" s="261"/>
      <c r="E598" s="261"/>
      <c r="F598" s="364"/>
      <c r="G598" s="261"/>
      <c r="H598" s="261"/>
      <c r="I598" s="364"/>
      <c r="J598" s="364"/>
      <c r="K598" s="364"/>
      <c r="L598" s="364"/>
      <c r="M598" s="364"/>
      <c r="N598" s="364"/>
      <c r="O598" s="364"/>
      <c r="P598" s="364"/>
      <c r="Q598" s="364"/>
      <c r="R598" s="364"/>
      <c r="S598" s="364"/>
      <c r="T598" s="364"/>
      <c r="U598" s="364"/>
      <c r="V598" s="364"/>
      <c r="W598" s="364"/>
      <c r="X598" s="364"/>
      <c r="Y598" s="364"/>
      <c r="Z598" s="364"/>
      <c r="AA598" s="364" t="str">
        <f aca="false">IFERROR(__xludf.dummyfunction("""COMPUTED_VALUE"""),"")</f>
        <v/>
      </c>
      <c r="AB598" s="364"/>
    </row>
    <row r="599" customFormat="false" ht="15.75" hidden="false" customHeight="false" outlineLevel="0" collapsed="false">
      <c r="A599" s="364"/>
      <c r="B599" s="364"/>
      <c r="C599" s="261"/>
      <c r="D599" s="261"/>
      <c r="E599" s="261"/>
      <c r="F599" s="364"/>
      <c r="G599" s="261"/>
      <c r="H599" s="261"/>
      <c r="I599" s="364"/>
      <c r="J599" s="364"/>
      <c r="K599" s="364"/>
      <c r="L599" s="364"/>
      <c r="M599" s="364"/>
      <c r="N599" s="364"/>
      <c r="O599" s="364"/>
      <c r="P599" s="364"/>
      <c r="Q599" s="364"/>
      <c r="R599" s="364"/>
      <c r="S599" s="364"/>
      <c r="T599" s="364"/>
      <c r="U599" s="364"/>
      <c r="V599" s="364"/>
      <c r="W599" s="364"/>
      <c r="X599" s="364"/>
      <c r="Y599" s="364"/>
      <c r="Z599" s="364"/>
      <c r="AA599" s="364" t="str">
        <f aca="false">IFERROR(__xludf.dummyfunction("""COMPUTED_VALUE"""),"")</f>
        <v/>
      </c>
      <c r="AB599" s="364"/>
    </row>
    <row r="600" customFormat="false" ht="15.75" hidden="false" customHeight="false" outlineLevel="0" collapsed="false">
      <c r="A600" s="364"/>
      <c r="B600" s="364"/>
      <c r="C600" s="261"/>
      <c r="D600" s="261"/>
      <c r="E600" s="261"/>
      <c r="F600" s="261"/>
      <c r="G600" s="261"/>
      <c r="H600" s="261"/>
      <c r="I600" s="364"/>
      <c r="J600" s="364"/>
      <c r="K600" s="364"/>
      <c r="L600" s="364"/>
      <c r="M600" s="364"/>
      <c r="N600" s="364"/>
      <c r="O600" s="364"/>
      <c r="P600" s="364"/>
      <c r="Q600" s="364"/>
      <c r="R600" s="364"/>
      <c r="S600" s="364"/>
      <c r="T600" s="364"/>
      <c r="U600" s="364"/>
      <c r="V600" s="364"/>
      <c r="W600" s="364"/>
      <c r="X600" s="364"/>
      <c r="Y600" s="364"/>
      <c r="Z600" s="364"/>
      <c r="AA600" s="364" t="str">
        <f aca="false">IFERROR(__xludf.dummyfunction("""COMPUTED_VALUE"""),"")</f>
        <v/>
      </c>
      <c r="AB600" s="364"/>
    </row>
    <row r="601" customFormat="false" ht="15.75" hidden="false" customHeight="false" outlineLevel="0" collapsed="false">
      <c r="A601" s="364"/>
      <c r="B601" s="364"/>
      <c r="C601" s="261"/>
      <c r="D601" s="261"/>
      <c r="E601" s="261"/>
      <c r="F601" s="261"/>
      <c r="G601" s="261"/>
      <c r="H601" s="261"/>
      <c r="I601" s="364"/>
      <c r="J601" s="364"/>
      <c r="K601" s="364"/>
      <c r="L601" s="364"/>
      <c r="M601" s="364"/>
      <c r="N601" s="364"/>
      <c r="O601" s="364"/>
      <c r="P601" s="364"/>
      <c r="Q601" s="364"/>
      <c r="R601" s="364"/>
      <c r="S601" s="364"/>
      <c r="T601" s="364"/>
      <c r="U601" s="364"/>
      <c r="V601" s="364"/>
      <c r="W601" s="364"/>
      <c r="X601" s="364"/>
      <c r="Y601" s="364"/>
      <c r="Z601" s="364"/>
      <c r="AA601" s="364" t="str">
        <f aca="false">IFERROR(__xludf.dummyfunction("""COMPUTED_VALUE"""),"")</f>
        <v/>
      </c>
      <c r="AB601" s="364"/>
    </row>
    <row r="602" customFormat="false" ht="15.75" hidden="false" customHeight="false" outlineLevel="0" collapsed="false">
      <c r="A602" s="364"/>
      <c r="B602" s="364"/>
      <c r="C602" s="261"/>
      <c r="D602" s="261"/>
      <c r="E602" s="261"/>
      <c r="F602" s="364"/>
      <c r="G602" s="261"/>
      <c r="H602" s="261"/>
      <c r="I602" s="364"/>
      <c r="J602" s="364"/>
      <c r="K602" s="364"/>
      <c r="L602" s="364"/>
      <c r="M602" s="364"/>
      <c r="N602" s="364"/>
      <c r="O602" s="364"/>
      <c r="P602" s="364"/>
      <c r="Q602" s="364"/>
      <c r="R602" s="364"/>
      <c r="S602" s="364"/>
      <c r="T602" s="364"/>
      <c r="U602" s="364"/>
      <c r="V602" s="364"/>
      <c r="W602" s="364"/>
      <c r="X602" s="364"/>
      <c r="Y602" s="364"/>
      <c r="Z602" s="364"/>
      <c r="AA602" s="364" t="str">
        <f aca="false">IFERROR(__xludf.dummyfunction("""COMPUTED_VALUE"""),"")</f>
        <v/>
      </c>
      <c r="AB602" s="364"/>
    </row>
    <row r="603" customFormat="false" ht="15.75" hidden="false" customHeight="false" outlineLevel="0" collapsed="false">
      <c r="A603" s="364"/>
      <c r="B603" s="364"/>
      <c r="C603" s="261"/>
      <c r="D603" s="261"/>
      <c r="E603" s="261"/>
      <c r="F603" s="364"/>
      <c r="G603" s="261"/>
      <c r="H603" s="261"/>
      <c r="I603" s="364"/>
      <c r="J603" s="364"/>
      <c r="K603" s="364"/>
      <c r="L603" s="364"/>
      <c r="M603" s="364"/>
      <c r="N603" s="364"/>
      <c r="O603" s="364"/>
      <c r="P603" s="364"/>
      <c r="Q603" s="364"/>
      <c r="R603" s="364"/>
      <c r="S603" s="364"/>
      <c r="T603" s="364"/>
      <c r="U603" s="364"/>
      <c r="V603" s="364"/>
      <c r="W603" s="364"/>
      <c r="X603" s="364"/>
      <c r="Y603" s="364"/>
      <c r="Z603" s="364"/>
      <c r="AA603" s="364" t="str">
        <f aca="false">IFERROR(__xludf.dummyfunction("""COMPUTED_VALUE"""),"")</f>
        <v/>
      </c>
      <c r="AB603" s="364"/>
    </row>
    <row r="604" customFormat="false" ht="15.75" hidden="false" customHeight="false" outlineLevel="0" collapsed="false">
      <c r="A604" s="364"/>
      <c r="B604" s="364"/>
      <c r="C604" s="261"/>
      <c r="D604" s="261"/>
      <c r="E604" s="261"/>
      <c r="F604" s="364"/>
      <c r="G604" s="261"/>
      <c r="H604" s="261"/>
      <c r="I604" s="364"/>
      <c r="J604" s="364"/>
      <c r="K604" s="364"/>
      <c r="L604" s="364"/>
      <c r="M604" s="364"/>
      <c r="N604" s="364"/>
      <c r="O604" s="364"/>
      <c r="P604" s="364"/>
      <c r="Q604" s="364"/>
      <c r="R604" s="364"/>
      <c r="S604" s="364"/>
      <c r="T604" s="364"/>
      <c r="U604" s="364"/>
      <c r="V604" s="364"/>
      <c r="W604" s="364"/>
      <c r="X604" s="364"/>
      <c r="Y604" s="364"/>
      <c r="Z604" s="364"/>
      <c r="AA604" s="364" t="str">
        <f aca="false">IFERROR(__xludf.dummyfunction("""COMPUTED_VALUE"""),"")</f>
        <v/>
      </c>
      <c r="AB604" s="364"/>
    </row>
    <row r="605" customFormat="false" ht="15.75" hidden="false" customHeight="false" outlineLevel="0" collapsed="false">
      <c r="A605" s="364"/>
      <c r="B605" s="364"/>
      <c r="C605" s="261"/>
      <c r="D605" s="261"/>
      <c r="E605" s="261"/>
      <c r="F605" s="364"/>
      <c r="G605" s="261"/>
      <c r="H605" s="261"/>
      <c r="I605" s="364"/>
      <c r="J605" s="364"/>
      <c r="K605" s="364"/>
      <c r="L605" s="364"/>
      <c r="M605" s="364"/>
      <c r="N605" s="364"/>
      <c r="O605" s="364"/>
      <c r="P605" s="364"/>
      <c r="Q605" s="364"/>
      <c r="R605" s="364"/>
      <c r="S605" s="364"/>
      <c r="T605" s="364"/>
      <c r="U605" s="364"/>
      <c r="V605" s="364"/>
      <c r="W605" s="364"/>
      <c r="X605" s="364"/>
      <c r="Y605" s="364"/>
      <c r="Z605" s="364"/>
      <c r="AA605" s="364" t="str">
        <f aca="false">IFERROR(__xludf.dummyfunction("""COMPUTED_VALUE"""),"")</f>
        <v/>
      </c>
      <c r="AB605" s="364"/>
    </row>
    <row r="606" customFormat="false" ht="15.75" hidden="false" customHeight="false" outlineLevel="0" collapsed="false">
      <c r="A606" s="364"/>
      <c r="B606" s="364"/>
      <c r="C606" s="261"/>
      <c r="D606" s="261"/>
      <c r="E606" s="261"/>
      <c r="F606" s="364"/>
      <c r="G606" s="261"/>
      <c r="H606" s="364"/>
      <c r="I606" s="364"/>
      <c r="J606" s="364"/>
      <c r="K606" s="364"/>
      <c r="L606" s="364"/>
      <c r="M606" s="364"/>
      <c r="N606" s="364"/>
      <c r="O606" s="364"/>
      <c r="P606" s="364"/>
      <c r="Q606" s="364"/>
      <c r="R606" s="364"/>
      <c r="S606" s="364"/>
      <c r="T606" s="364"/>
      <c r="U606" s="364"/>
      <c r="V606" s="364"/>
      <c r="W606" s="364"/>
      <c r="X606" s="364"/>
      <c r="Y606" s="364"/>
      <c r="Z606" s="364"/>
      <c r="AA606" s="364" t="str">
        <f aca="false">IFERROR(__xludf.dummyfunction("""COMPUTED_VALUE"""),"")</f>
        <v/>
      </c>
      <c r="AB606" s="364"/>
    </row>
    <row r="607" customFormat="false" ht="15.75" hidden="false" customHeight="false" outlineLevel="0" collapsed="false">
      <c r="A607" s="364"/>
      <c r="B607" s="364"/>
      <c r="C607" s="261"/>
      <c r="D607" s="261"/>
      <c r="E607" s="261"/>
      <c r="F607" s="261"/>
      <c r="G607" s="261"/>
      <c r="H607" s="261"/>
      <c r="I607" s="364"/>
      <c r="J607" s="364"/>
      <c r="K607" s="364"/>
      <c r="L607" s="364"/>
      <c r="M607" s="364"/>
      <c r="N607" s="364"/>
      <c r="O607" s="364"/>
      <c r="P607" s="364"/>
      <c r="Q607" s="364"/>
      <c r="R607" s="364"/>
      <c r="S607" s="364"/>
      <c r="T607" s="364"/>
      <c r="U607" s="364"/>
      <c r="V607" s="364"/>
      <c r="W607" s="364"/>
      <c r="X607" s="364"/>
      <c r="Y607" s="364"/>
      <c r="Z607" s="364"/>
      <c r="AA607" s="364" t="str">
        <f aca="false">IFERROR(__xludf.dummyfunction("""COMPUTED_VALUE"""),"")</f>
        <v/>
      </c>
      <c r="AB607" s="364"/>
    </row>
    <row r="608" customFormat="false" ht="15.75" hidden="false" customHeight="false" outlineLevel="0" collapsed="false">
      <c r="A608" s="364"/>
      <c r="B608" s="364"/>
      <c r="C608" s="261"/>
      <c r="D608" s="261"/>
      <c r="E608" s="261"/>
      <c r="F608" s="364"/>
      <c r="G608" s="261"/>
      <c r="H608" s="261"/>
      <c r="I608" s="364"/>
      <c r="J608" s="364"/>
      <c r="K608" s="364"/>
      <c r="L608" s="364"/>
      <c r="M608" s="364"/>
      <c r="N608" s="364"/>
      <c r="O608" s="364"/>
      <c r="P608" s="364"/>
      <c r="Q608" s="364"/>
      <c r="R608" s="364"/>
      <c r="S608" s="364"/>
      <c r="T608" s="364"/>
      <c r="U608" s="364"/>
      <c r="V608" s="364"/>
      <c r="W608" s="364"/>
      <c r="X608" s="364"/>
      <c r="Y608" s="364"/>
      <c r="Z608" s="364"/>
      <c r="AA608" s="364" t="str">
        <f aca="false">IFERROR(__xludf.dummyfunction("""COMPUTED_VALUE"""),"")</f>
        <v/>
      </c>
      <c r="AB608" s="364"/>
    </row>
    <row r="609" customFormat="false" ht="15.75" hidden="false" customHeight="false" outlineLevel="0" collapsed="false">
      <c r="A609" s="364"/>
      <c r="B609" s="364"/>
      <c r="C609" s="261"/>
      <c r="D609" s="261"/>
      <c r="E609" s="261"/>
      <c r="F609" s="364"/>
      <c r="G609" s="261"/>
      <c r="H609" s="261"/>
      <c r="I609" s="364"/>
      <c r="J609" s="364"/>
      <c r="K609" s="364"/>
      <c r="L609" s="364"/>
      <c r="M609" s="364"/>
      <c r="N609" s="364"/>
      <c r="O609" s="364"/>
      <c r="P609" s="364"/>
      <c r="Q609" s="364"/>
      <c r="R609" s="364"/>
      <c r="S609" s="364"/>
      <c r="T609" s="364"/>
      <c r="U609" s="364"/>
      <c r="V609" s="364"/>
      <c r="W609" s="364"/>
      <c r="X609" s="364"/>
      <c r="Y609" s="364"/>
      <c r="Z609" s="364"/>
      <c r="AA609" s="364" t="str">
        <f aca="false">IFERROR(__xludf.dummyfunction("""COMPUTED_VALUE"""),"")</f>
        <v/>
      </c>
      <c r="AB609" s="364"/>
    </row>
    <row r="610" customFormat="false" ht="15.75" hidden="false" customHeight="false" outlineLevel="0" collapsed="false">
      <c r="A610" s="364"/>
      <c r="B610" s="364"/>
      <c r="C610" s="261"/>
      <c r="D610" s="261"/>
      <c r="E610" s="261"/>
      <c r="F610" s="364"/>
      <c r="G610" s="261"/>
      <c r="H610" s="261"/>
      <c r="I610" s="364"/>
      <c r="J610" s="364"/>
      <c r="K610" s="364"/>
      <c r="L610" s="364"/>
      <c r="M610" s="364"/>
      <c r="N610" s="364"/>
      <c r="O610" s="364"/>
      <c r="P610" s="364"/>
      <c r="Q610" s="364"/>
      <c r="R610" s="364"/>
      <c r="S610" s="364"/>
      <c r="T610" s="364"/>
      <c r="U610" s="364"/>
      <c r="V610" s="364"/>
      <c r="W610" s="364"/>
      <c r="X610" s="364"/>
      <c r="Y610" s="364"/>
      <c r="Z610" s="364"/>
      <c r="AA610" s="364" t="str">
        <f aca="false">IFERROR(__xludf.dummyfunction("""COMPUTED_VALUE"""),"")</f>
        <v/>
      </c>
      <c r="AB610" s="364"/>
    </row>
    <row r="611" customFormat="false" ht="15.75" hidden="false" customHeight="false" outlineLevel="0" collapsed="false">
      <c r="A611" s="364"/>
      <c r="B611" s="364"/>
      <c r="C611" s="261"/>
      <c r="D611" s="261"/>
      <c r="E611" s="261"/>
      <c r="F611" s="261"/>
      <c r="G611" s="261"/>
      <c r="H611" s="261"/>
      <c r="I611" s="364"/>
      <c r="J611" s="364"/>
      <c r="K611" s="364"/>
      <c r="L611" s="364"/>
      <c r="M611" s="364"/>
      <c r="N611" s="364"/>
      <c r="O611" s="364"/>
      <c r="P611" s="364"/>
      <c r="Q611" s="364"/>
      <c r="R611" s="364"/>
      <c r="S611" s="364"/>
      <c r="T611" s="364"/>
      <c r="U611" s="364"/>
      <c r="V611" s="364"/>
      <c r="W611" s="364"/>
      <c r="X611" s="364"/>
      <c r="Y611" s="364"/>
      <c r="Z611" s="364"/>
      <c r="AA611" s="364" t="str">
        <f aca="false">IFERROR(__xludf.dummyfunction("""COMPUTED_VALUE"""),"")</f>
        <v/>
      </c>
      <c r="AB611" s="364"/>
    </row>
    <row r="612" customFormat="false" ht="15.75" hidden="false" customHeight="false" outlineLevel="0" collapsed="false">
      <c r="A612" s="364"/>
      <c r="B612" s="364"/>
      <c r="C612" s="261"/>
      <c r="D612" s="261"/>
      <c r="E612" s="261"/>
      <c r="F612" s="364"/>
      <c r="G612" s="261"/>
      <c r="H612" s="261"/>
      <c r="I612" s="364"/>
      <c r="J612" s="364"/>
      <c r="K612" s="364"/>
      <c r="L612" s="364"/>
      <c r="M612" s="364"/>
      <c r="N612" s="364"/>
      <c r="O612" s="364"/>
      <c r="P612" s="364"/>
      <c r="Q612" s="364"/>
      <c r="R612" s="364"/>
      <c r="S612" s="364"/>
      <c r="T612" s="364"/>
      <c r="U612" s="364"/>
      <c r="V612" s="364"/>
      <c r="W612" s="364"/>
      <c r="X612" s="364"/>
      <c r="Y612" s="364"/>
      <c r="Z612" s="364"/>
      <c r="AA612" s="364" t="str">
        <f aca="false">IFERROR(__xludf.dummyfunction("""COMPUTED_VALUE"""),"")</f>
        <v/>
      </c>
      <c r="AB612" s="364"/>
    </row>
    <row r="613" customFormat="false" ht="15.75" hidden="false" customHeight="false" outlineLevel="0" collapsed="false">
      <c r="A613" s="364"/>
      <c r="B613" s="364"/>
      <c r="C613" s="261"/>
      <c r="D613" s="261"/>
      <c r="E613" s="261"/>
      <c r="F613" s="364"/>
      <c r="G613" s="261"/>
      <c r="H613" s="261"/>
      <c r="I613" s="364"/>
      <c r="J613" s="364"/>
      <c r="K613" s="364"/>
      <c r="L613" s="364"/>
      <c r="M613" s="364"/>
      <c r="N613" s="364"/>
      <c r="O613" s="364"/>
      <c r="P613" s="364"/>
      <c r="Q613" s="364"/>
      <c r="R613" s="364"/>
      <c r="S613" s="364"/>
      <c r="T613" s="364"/>
      <c r="U613" s="364"/>
      <c r="V613" s="364"/>
      <c r="W613" s="364"/>
      <c r="X613" s="364"/>
      <c r="Y613" s="364"/>
      <c r="Z613" s="364"/>
      <c r="AA613" s="364" t="str">
        <f aca="false">IFERROR(__xludf.dummyfunction("""COMPUTED_VALUE"""),"")</f>
        <v/>
      </c>
      <c r="AB613" s="364"/>
    </row>
    <row r="614" customFormat="false" ht="15.75" hidden="false" customHeight="false" outlineLevel="0" collapsed="false">
      <c r="A614" s="364"/>
      <c r="B614" s="364"/>
      <c r="C614" s="261"/>
      <c r="D614" s="261"/>
      <c r="E614" s="261"/>
      <c r="F614" s="261"/>
      <c r="G614" s="261"/>
      <c r="H614" s="261"/>
      <c r="I614" s="364"/>
      <c r="J614" s="364"/>
      <c r="K614" s="364"/>
      <c r="L614" s="364"/>
      <c r="M614" s="364"/>
      <c r="N614" s="364"/>
      <c r="O614" s="364"/>
      <c r="P614" s="364"/>
      <c r="Q614" s="364"/>
      <c r="R614" s="364"/>
      <c r="S614" s="364"/>
      <c r="T614" s="364"/>
      <c r="U614" s="364"/>
      <c r="V614" s="364"/>
      <c r="W614" s="364"/>
      <c r="X614" s="364"/>
      <c r="Y614" s="364"/>
      <c r="Z614" s="364"/>
      <c r="AA614" s="364" t="str">
        <f aca="false">IFERROR(__xludf.dummyfunction("""COMPUTED_VALUE"""),"")</f>
        <v/>
      </c>
      <c r="AB614" s="364"/>
    </row>
    <row r="615" customFormat="false" ht="15.75" hidden="false" customHeight="false" outlineLevel="0" collapsed="false">
      <c r="A615" s="364"/>
      <c r="B615" s="364"/>
      <c r="C615" s="261"/>
      <c r="D615" s="261"/>
      <c r="E615" s="261"/>
      <c r="F615" s="364"/>
      <c r="G615" s="261"/>
      <c r="H615" s="261"/>
      <c r="I615" s="364"/>
      <c r="J615" s="364"/>
      <c r="K615" s="364"/>
      <c r="L615" s="364"/>
      <c r="M615" s="364"/>
      <c r="N615" s="364"/>
      <c r="O615" s="364"/>
      <c r="P615" s="364"/>
      <c r="Q615" s="364"/>
      <c r="R615" s="364"/>
      <c r="S615" s="364"/>
      <c r="T615" s="364"/>
      <c r="U615" s="364"/>
      <c r="V615" s="364"/>
      <c r="W615" s="364"/>
      <c r="X615" s="364"/>
      <c r="Y615" s="364"/>
      <c r="Z615" s="364"/>
      <c r="AA615" s="364" t="str">
        <f aca="false">IFERROR(__xludf.dummyfunction("""COMPUTED_VALUE"""),"")</f>
        <v/>
      </c>
      <c r="AB615" s="364"/>
    </row>
    <row r="616" customFormat="false" ht="15.75" hidden="false" customHeight="false" outlineLevel="0" collapsed="false">
      <c r="A616" s="364"/>
      <c r="B616" s="364"/>
      <c r="C616" s="261"/>
      <c r="D616" s="261"/>
      <c r="E616" s="261"/>
      <c r="F616" s="364"/>
      <c r="G616" s="261"/>
      <c r="H616" s="261"/>
      <c r="I616" s="364"/>
      <c r="J616" s="364"/>
      <c r="K616" s="364"/>
      <c r="L616" s="364"/>
      <c r="M616" s="364"/>
      <c r="N616" s="364"/>
      <c r="O616" s="364"/>
      <c r="P616" s="364"/>
      <c r="Q616" s="364"/>
      <c r="R616" s="364"/>
      <c r="S616" s="364"/>
      <c r="T616" s="364"/>
      <c r="U616" s="364"/>
      <c r="V616" s="364"/>
      <c r="W616" s="364"/>
      <c r="X616" s="364"/>
      <c r="Y616" s="364"/>
      <c r="Z616" s="364"/>
      <c r="AA616" s="364" t="str">
        <f aca="false">IFERROR(__xludf.dummyfunction("""COMPUTED_VALUE"""),"")</f>
        <v/>
      </c>
      <c r="AB616" s="364"/>
    </row>
    <row r="617" customFormat="false" ht="15.75" hidden="false" customHeight="false" outlineLevel="0" collapsed="false">
      <c r="A617" s="364"/>
      <c r="B617" s="364"/>
      <c r="C617" s="261"/>
      <c r="D617" s="261"/>
      <c r="E617" s="261"/>
      <c r="F617" s="261"/>
      <c r="G617" s="261"/>
      <c r="H617" s="261"/>
      <c r="I617" s="364"/>
      <c r="J617" s="364"/>
      <c r="K617" s="364"/>
      <c r="L617" s="364"/>
      <c r="M617" s="364"/>
      <c r="N617" s="364"/>
      <c r="O617" s="364"/>
      <c r="P617" s="364"/>
      <c r="Q617" s="364"/>
      <c r="R617" s="364"/>
      <c r="S617" s="364"/>
      <c r="T617" s="364"/>
      <c r="U617" s="364"/>
      <c r="V617" s="364"/>
      <c r="W617" s="364"/>
      <c r="X617" s="364"/>
      <c r="Y617" s="364"/>
      <c r="Z617" s="364"/>
      <c r="AA617" s="364" t="str">
        <f aca="false">IFERROR(__xludf.dummyfunction("""COMPUTED_VALUE"""),"")</f>
        <v/>
      </c>
      <c r="AB617" s="364"/>
    </row>
    <row r="618" customFormat="false" ht="15.75" hidden="false" customHeight="false" outlineLevel="0" collapsed="false">
      <c r="A618" s="364"/>
      <c r="B618" s="364"/>
      <c r="C618" s="261"/>
      <c r="D618" s="261"/>
      <c r="E618" s="261"/>
      <c r="F618" s="261"/>
      <c r="G618" s="261"/>
      <c r="H618" s="261"/>
      <c r="I618" s="364"/>
      <c r="J618" s="364"/>
      <c r="K618" s="364"/>
      <c r="L618" s="364"/>
      <c r="M618" s="364"/>
      <c r="N618" s="364"/>
      <c r="O618" s="364"/>
      <c r="P618" s="364"/>
      <c r="Q618" s="364"/>
      <c r="R618" s="364"/>
      <c r="S618" s="364"/>
      <c r="T618" s="364"/>
      <c r="U618" s="364"/>
      <c r="V618" s="364"/>
      <c r="W618" s="364"/>
      <c r="X618" s="364"/>
      <c r="Y618" s="364"/>
      <c r="Z618" s="364"/>
      <c r="AA618" s="364" t="str">
        <f aca="false">IFERROR(__xludf.dummyfunction("""COMPUTED_VALUE"""),"")</f>
        <v/>
      </c>
      <c r="AB618" s="364"/>
    </row>
    <row r="619" customFormat="false" ht="15.75" hidden="false" customHeight="false" outlineLevel="0" collapsed="false">
      <c r="A619" s="364"/>
      <c r="B619" s="364"/>
      <c r="C619" s="261"/>
      <c r="D619" s="261"/>
      <c r="E619" s="261"/>
      <c r="F619" s="364"/>
      <c r="G619" s="261"/>
      <c r="H619" s="261"/>
      <c r="I619" s="364"/>
      <c r="J619" s="364"/>
      <c r="K619" s="364"/>
      <c r="L619" s="364"/>
      <c r="M619" s="364"/>
      <c r="N619" s="364"/>
      <c r="O619" s="364"/>
      <c r="P619" s="364"/>
      <c r="Q619" s="364"/>
      <c r="R619" s="364"/>
      <c r="S619" s="364"/>
      <c r="T619" s="364"/>
      <c r="U619" s="364"/>
      <c r="V619" s="364"/>
      <c r="W619" s="364"/>
      <c r="X619" s="364"/>
      <c r="Y619" s="364"/>
      <c r="Z619" s="364"/>
      <c r="AA619" s="364" t="str">
        <f aca="false">IFERROR(__xludf.dummyfunction("""COMPUTED_VALUE"""),"")</f>
        <v/>
      </c>
      <c r="AB619" s="364"/>
    </row>
    <row r="620" customFormat="false" ht="15.75" hidden="false" customHeight="false" outlineLevel="0" collapsed="false">
      <c r="A620" s="364"/>
      <c r="B620" s="364"/>
      <c r="C620" s="261"/>
      <c r="D620" s="261"/>
      <c r="E620" s="261"/>
      <c r="F620" s="261"/>
      <c r="G620" s="261"/>
      <c r="H620" s="261"/>
      <c r="I620" s="364"/>
      <c r="J620" s="364"/>
      <c r="K620" s="364"/>
      <c r="L620" s="364"/>
      <c r="M620" s="364"/>
      <c r="N620" s="364"/>
      <c r="O620" s="364"/>
      <c r="P620" s="364"/>
      <c r="Q620" s="364"/>
      <c r="R620" s="364"/>
      <c r="S620" s="364"/>
      <c r="T620" s="364"/>
      <c r="U620" s="364"/>
      <c r="V620" s="364"/>
      <c r="W620" s="364"/>
      <c r="X620" s="364"/>
      <c r="Y620" s="364"/>
      <c r="Z620" s="364"/>
      <c r="AA620" s="364" t="str">
        <f aca="false">IFERROR(__xludf.dummyfunction("""COMPUTED_VALUE"""),"")</f>
        <v/>
      </c>
      <c r="AB620" s="364"/>
    </row>
    <row r="621" customFormat="false" ht="15.75" hidden="false" customHeight="false" outlineLevel="0" collapsed="false">
      <c r="A621" s="364"/>
      <c r="B621" s="364"/>
      <c r="C621" s="261"/>
      <c r="D621" s="261"/>
      <c r="E621" s="261"/>
      <c r="F621" s="261"/>
      <c r="G621" s="261"/>
      <c r="H621" s="261"/>
      <c r="I621" s="364"/>
      <c r="J621" s="364"/>
      <c r="K621" s="364"/>
      <c r="L621" s="364"/>
      <c r="M621" s="364"/>
      <c r="N621" s="364"/>
      <c r="O621" s="364"/>
      <c r="P621" s="364"/>
      <c r="Q621" s="364"/>
      <c r="R621" s="364"/>
      <c r="S621" s="364"/>
      <c r="T621" s="364"/>
      <c r="U621" s="364"/>
      <c r="V621" s="364"/>
      <c r="W621" s="364"/>
      <c r="X621" s="364"/>
      <c r="Y621" s="364"/>
      <c r="Z621" s="364"/>
      <c r="AA621" s="364" t="str">
        <f aca="false">IFERROR(__xludf.dummyfunction("""COMPUTED_VALUE"""),"")</f>
        <v/>
      </c>
      <c r="AB621" s="364"/>
    </row>
    <row r="622" customFormat="false" ht="15.75" hidden="false" customHeight="false" outlineLevel="0" collapsed="false">
      <c r="A622" s="364"/>
      <c r="B622" s="364"/>
      <c r="C622" s="261"/>
      <c r="D622" s="261"/>
      <c r="E622" s="261"/>
      <c r="F622" s="364"/>
      <c r="G622" s="261"/>
      <c r="H622" s="261"/>
      <c r="I622" s="364"/>
      <c r="J622" s="364"/>
      <c r="K622" s="364"/>
      <c r="L622" s="364"/>
      <c r="M622" s="364"/>
      <c r="N622" s="364"/>
      <c r="O622" s="364"/>
      <c r="P622" s="364"/>
      <c r="Q622" s="364"/>
      <c r="R622" s="364"/>
      <c r="S622" s="364"/>
      <c r="T622" s="364"/>
      <c r="U622" s="364"/>
      <c r="V622" s="364"/>
      <c r="W622" s="364"/>
      <c r="X622" s="364"/>
      <c r="Y622" s="364"/>
      <c r="Z622" s="364"/>
      <c r="AA622" s="364" t="str">
        <f aca="false">IFERROR(__xludf.dummyfunction("""COMPUTED_VALUE"""),"")</f>
        <v/>
      </c>
      <c r="AB622" s="364"/>
    </row>
    <row r="623" customFormat="false" ht="15.75" hidden="false" customHeight="false" outlineLevel="0" collapsed="false">
      <c r="A623" s="364"/>
      <c r="B623" s="364"/>
      <c r="C623" s="261"/>
      <c r="D623" s="261"/>
      <c r="E623" s="261"/>
      <c r="F623" s="261"/>
      <c r="G623" s="261"/>
      <c r="H623" s="261"/>
      <c r="I623" s="364"/>
      <c r="J623" s="364"/>
      <c r="K623" s="364"/>
      <c r="L623" s="364"/>
      <c r="M623" s="364"/>
      <c r="N623" s="364"/>
      <c r="O623" s="364"/>
      <c r="P623" s="364"/>
      <c r="Q623" s="364"/>
      <c r="R623" s="364"/>
      <c r="S623" s="364"/>
      <c r="T623" s="364"/>
      <c r="U623" s="364"/>
      <c r="V623" s="364"/>
      <c r="W623" s="364"/>
      <c r="X623" s="364"/>
      <c r="Y623" s="364"/>
      <c r="Z623" s="364"/>
      <c r="AA623" s="364" t="str">
        <f aca="false">IFERROR(__xludf.dummyfunction("""COMPUTED_VALUE"""),"")</f>
        <v/>
      </c>
      <c r="AB623" s="364"/>
    </row>
    <row r="624" customFormat="false" ht="15.75" hidden="false" customHeight="false" outlineLevel="0" collapsed="false">
      <c r="A624" s="364"/>
      <c r="B624" s="364"/>
      <c r="C624" s="261"/>
      <c r="D624" s="261"/>
      <c r="E624" s="261"/>
      <c r="F624" s="364"/>
      <c r="G624" s="261"/>
      <c r="H624" s="261"/>
      <c r="I624" s="364"/>
      <c r="J624" s="364"/>
      <c r="K624" s="364"/>
      <c r="L624" s="364"/>
      <c r="M624" s="364"/>
      <c r="N624" s="364"/>
      <c r="O624" s="364"/>
      <c r="P624" s="364"/>
      <c r="Q624" s="364"/>
      <c r="R624" s="364"/>
      <c r="S624" s="364"/>
      <c r="T624" s="364"/>
      <c r="U624" s="364"/>
      <c r="V624" s="364"/>
      <c r="W624" s="364"/>
      <c r="X624" s="364"/>
      <c r="Y624" s="364"/>
      <c r="Z624" s="364"/>
      <c r="AA624" s="364" t="str">
        <f aca="false">IFERROR(__xludf.dummyfunction("""COMPUTED_VALUE"""),"")</f>
        <v/>
      </c>
      <c r="AB624" s="364"/>
    </row>
    <row r="625" customFormat="false" ht="15.75" hidden="false" customHeight="false" outlineLevel="0" collapsed="false">
      <c r="A625" s="364"/>
      <c r="B625" s="364"/>
      <c r="C625" s="261"/>
      <c r="D625" s="261"/>
      <c r="E625" s="261"/>
      <c r="F625" s="261"/>
      <c r="G625" s="261"/>
      <c r="H625" s="261"/>
      <c r="I625" s="364"/>
      <c r="J625" s="364"/>
      <c r="K625" s="364"/>
      <c r="L625" s="364"/>
      <c r="M625" s="364"/>
      <c r="N625" s="364"/>
      <c r="O625" s="364"/>
      <c r="P625" s="364"/>
      <c r="Q625" s="364"/>
      <c r="R625" s="364"/>
      <c r="S625" s="364"/>
      <c r="T625" s="364"/>
      <c r="U625" s="364"/>
      <c r="V625" s="364"/>
      <c r="W625" s="364"/>
      <c r="X625" s="364"/>
      <c r="Y625" s="364"/>
      <c r="Z625" s="364"/>
      <c r="AA625" s="364" t="str">
        <f aca="false">IFERROR(__xludf.dummyfunction("""COMPUTED_VALUE"""),"")</f>
        <v/>
      </c>
      <c r="AB625" s="364"/>
    </row>
    <row r="626" customFormat="false" ht="15.75" hidden="false" customHeight="false" outlineLevel="0" collapsed="false">
      <c r="A626" s="364"/>
      <c r="B626" s="364"/>
      <c r="C626" s="261"/>
      <c r="D626" s="261"/>
      <c r="E626" s="261"/>
      <c r="F626" s="364"/>
      <c r="G626" s="261"/>
      <c r="H626" s="261"/>
      <c r="I626" s="364"/>
      <c r="J626" s="364"/>
      <c r="K626" s="364"/>
      <c r="L626" s="364"/>
      <c r="M626" s="364"/>
      <c r="N626" s="364"/>
      <c r="O626" s="364"/>
      <c r="P626" s="364"/>
      <c r="Q626" s="364"/>
      <c r="R626" s="364"/>
      <c r="S626" s="364"/>
      <c r="T626" s="364"/>
      <c r="U626" s="364"/>
      <c r="V626" s="364"/>
      <c r="W626" s="364"/>
      <c r="X626" s="364"/>
      <c r="Y626" s="364"/>
      <c r="Z626" s="364"/>
      <c r="AA626" s="364" t="str">
        <f aca="false">IFERROR(__xludf.dummyfunction("""COMPUTED_VALUE"""),"")</f>
        <v/>
      </c>
      <c r="AB626" s="364"/>
    </row>
    <row r="627" customFormat="false" ht="15.75" hidden="false" customHeight="false" outlineLevel="0" collapsed="false">
      <c r="A627" s="364"/>
      <c r="B627" s="364"/>
      <c r="C627" s="261"/>
      <c r="D627" s="261"/>
      <c r="E627" s="261"/>
      <c r="F627" s="261"/>
      <c r="G627" s="261"/>
      <c r="H627" s="261"/>
      <c r="I627" s="364"/>
      <c r="J627" s="364"/>
      <c r="K627" s="364"/>
      <c r="L627" s="364"/>
      <c r="M627" s="364"/>
      <c r="N627" s="364"/>
      <c r="O627" s="364"/>
      <c r="P627" s="364"/>
      <c r="Q627" s="364"/>
      <c r="R627" s="364"/>
      <c r="S627" s="364"/>
      <c r="T627" s="364"/>
      <c r="U627" s="364"/>
      <c r="V627" s="364"/>
      <c r="W627" s="364"/>
      <c r="X627" s="364"/>
      <c r="Y627" s="364"/>
      <c r="Z627" s="364"/>
      <c r="AA627" s="364" t="str">
        <f aca="false">IFERROR(__xludf.dummyfunction("""COMPUTED_VALUE"""),"")</f>
        <v/>
      </c>
      <c r="AB627" s="364"/>
    </row>
    <row r="628" customFormat="false" ht="15.75" hidden="false" customHeight="false" outlineLevel="0" collapsed="false">
      <c r="A628" s="261"/>
      <c r="B628" s="261"/>
      <c r="C628" s="261"/>
      <c r="D628" s="261"/>
      <c r="E628" s="261"/>
      <c r="F628" s="364"/>
      <c r="G628" s="261"/>
      <c r="H628" s="364"/>
      <c r="I628" s="364"/>
      <c r="J628" s="364"/>
      <c r="K628" s="364"/>
      <c r="L628" s="364"/>
      <c r="M628" s="364"/>
      <c r="N628" s="364"/>
      <c r="O628" s="364"/>
      <c r="P628" s="364"/>
      <c r="Q628" s="364"/>
      <c r="R628" s="364"/>
      <c r="S628" s="364"/>
      <c r="T628" s="364"/>
      <c r="U628" s="364"/>
      <c r="V628" s="364"/>
      <c r="W628" s="364"/>
      <c r="X628" s="364"/>
      <c r="Y628" s="364"/>
      <c r="Z628" s="364"/>
      <c r="AA628" s="364" t="str">
        <f aca="false">IFERROR(__xludf.dummyfunction("""COMPUTED_VALUE"""),"")</f>
        <v/>
      </c>
      <c r="AB628" s="364"/>
    </row>
    <row r="629" customFormat="false" ht="15.75" hidden="false" customHeight="false" outlineLevel="0" collapsed="false">
      <c r="A629" s="364"/>
      <c r="B629" s="364"/>
      <c r="C629" s="261"/>
      <c r="D629" s="261"/>
      <c r="E629" s="261"/>
      <c r="F629" s="364"/>
      <c r="G629" s="261"/>
      <c r="H629" s="261"/>
      <c r="I629" s="364"/>
      <c r="J629" s="364"/>
      <c r="K629" s="364"/>
      <c r="L629" s="364"/>
      <c r="M629" s="364"/>
      <c r="N629" s="364"/>
      <c r="O629" s="364"/>
      <c r="P629" s="364"/>
      <c r="Q629" s="364"/>
      <c r="R629" s="364"/>
      <c r="S629" s="364"/>
      <c r="T629" s="364"/>
      <c r="U629" s="364"/>
      <c r="V629" s="364"/>
      <c r="W629" s="364"/>
      <c r="X629" s="364"/>
      <c r="Y629" s="364"/>
      <c r="Z629" s="364"/>
      <c r="AA629" s="364" t="str">
        <f aca="false">IFERROR(__xludf.dummyfunction("""COMPUTED_VALUE"""),"")</f>
        <v/>
      </c>
      <c r="AB629" s="364"/>
    </row>
    <row r="630" customFormat="false" ht="15.75" hidden="false" customHeight="false" outlineLevel="0" collapsed="false">
      <c r="A630" s="364"/>
      <c r="B630" s="364"/>
      <c r="C630" s="261"/>
      <c r="D630" s="261"/>
      <c r="E630" s="261"/>
      <c r="F630" s="364"/>
      <c r="G630" s="261"/>
      <c r="H630" s="261"/>
      <c r="I630" s="364"/>
      <c r="J630" s="364"/>
      <c r="K630" s="364"/>
      <c r="L630" s="364"/>
      <c r="M630" s="364"/>
      <c r="N630" s="364"/>
      <c r="O630" s="364"/>
      <c r="P630" s="364"/>
      <c r="Q630" s="364"/>
      <c r="R630" s="364"/>
      <c r="S630" s="364"/>
      <c r="T630" s="364"/>
      <c r="U630" s="364"/>
      <c r="V630" s="364"/>
      <c r="W630" s="364"/>
      <c r="X630" s="364"/>
      <c r="Y630" s="364"/>
      <c r="Z630" s="364"/>
      <c r="AA630" s="364" t="str">
        <f aca="false">IFERROR(__xludf.dummyfunction("""COMPUTED_VALUE"""),"")</f>
        <v/>
      </c>
      <c r="AB630" s="364"/>
    </row>
    <row r="631" customFormat="false" ht="15.75" hidden="false" customHeight="false" outlineLevel="0" collapsed="false">
      <c r="A631" s="364"/>
      <c r="B631" s="364"/>
      <c r="C631" s="261"/>
      <c r="D631" s="261"/>
      <c r="E631" s="261"/>
      <c r="F631" s="364"/>
      <c r="G631" s="261"/>
      <c r="H631" s="261"/>
      <c r="I631" s="364"/>
      <c r="J631" s="364"/>
      <c r="K631" s="364"/>
      <c r="L631" s="364"/>
      <c r="M631" s="364"/>
      <c r="N631" s="364"/>
      <c r="O631" s="364"/>
      <c r="P631" s="364"/>
      <c r="Q631" s="364"/>
      <c r="R631" s="364"/>
      <c r="S631" s="364"/>
      <c r="T631" s="364"/>
      <c r="U631" s="364"/>
      <c r="V631" s="364"/>
      <c r="W631" s="364"/>
      <c r="X631" s="364"/>
      <c r="Y631" s="364"/>
      <c r="Z631" s="364"/>
      <c r="AA631" s="364" t="str">
        <f aca="false">IFERROR(__xludf.dummyfunction("""COMPUTED_VALUE"""),"")</f>
        <v/>
      </c>
      <c r="AB631" s="364"/>
    </row>
    <row r="632" customFormat="false" ht="15.75" hidden="false" customHeight="false" outlineLevel="0" collapsed="false">
      <c r="A632" s="364"/>
      <c r="B632" s="364"/>
      <c r="C632" s="261"/>
      <c r="D632" s="261"/>
      <c r="E632" s="261"/>
      <c r="F632" s="364"/>
      <c r="G632" s="261"/>
      <c r="H632" s="261"/>
      <c r="I632" s="364"/>
      <c r="J632" s="364"/>
      <c r="K632" s="364"/>
      <c r="L632" s="364"/>
      <c r="M632" s="364"/>
      <c r="N632" s="364"/>
      <c r="O632" s="364"/>
      <c r="P632" s="364"/>
      <c r="Q632" s="364"/>
      <c r="R632" s="364"/>
      <c r="S632" s="364"/>
      <c r="T632" s="364"/>
      <c r="U632" s="364"/>
      <c r="V632" s="364"/>
      <c r="W632" s="364"/>
      <c r="X632" s="364"/>
      <c r="Y632" s="364"/>
      <c r="Z632" s="364"/>
      <c r="AA632" s="364" t="str">
        <f aca="false">IFERROR(__xludf.dummyfunction("""COMPUTED_VALUE"""),"")</f>
        <v/>
      </c>
      <c r="AB632" s="364"/>
    </row>
    <row r="633" customFormat="false" ht="15.75" hidden="false" customHeight="false" outlineLevel="0" collapsed="false">
      <c r="A633" s="261"/>
      <c r="B633" s="261"/>
      <c r="C633" s="261"/>
      <c r="D633" s="261"/>
      <c r="E633" s="261"/>
      <c r="F633" s="364"/>
      <c r="G633" s="261"/>
      <c r="H633" s="364"/>
      <c r="I633" s="364"/>
      <c r="J633" s="364"/>
      <c r="K633" s="364"/>
      <c r="L633" s="364"/>
      <c r="M633" s="364"/>
      <c r="N633" s="364"/>
      <c r="O633" s="364"/>
      <c r="P633" s="364"/>
      <c r="Q633" s="364"/>
      <c r="R633" s="364"/>
      <c r="S633" s="364"/>
      <c r="T633" s="364"/>
      <c r="U633" s="364"/>
      <c r="V633" s="364"/>
      <c r="W633" s="364"/>
      <c r="X633" s="364"/>
      <c r="Y633" s="364"/>
      <c r="Z633" s="364"/>
      <c r="AA633" s="364" t="str">
        <f aca="false">IFERROR(__xludf.dummyfunction("""COMPUTED_VALUE"""),"")</f>
        <v/>
      </c>
      <c r="AB633" s="364"/>
    </row>
    <row r="634" customFormat="false" ht="15.75" hidden="false" customHeight="false" outlineLevel="0" collapsed="false">
      <c r="A634" s="364"/>
      <c r="B634" s="364"/>
      <c r="C634" s="261"/>
      <c r="D634" s="261"/>
      <c r="E634" s="261"/>
      <c r="F634" s="364"/>
      <c r="G634" s="261"/>
      <c r="H634" s="261"/>
      <c r="I634" s="364"/>
      <c r="J634" s="364"/>
      <c r="K634" s="364"/>
      <c r="L634" s="364"/>
      <c r="M634" s="364"/>
      <c r="N634" s="364"/>
      <c r="O634" s="364"/>
      <c r="P634" s="364"/>
      <c r="Q634" s="364"/>
      <c r="R634" s="364"/>
      <c r="S634" s="364"/>
      <c r="T634" s="364"/>
      <c r="U634" s="364"/>
      <c r="V634" s="364"/>
      <c r="W634" s="364"/>
      <c r="X634" s="364"/>
      <c r="Y634" s="364"/>
      <c r="Z634" s="364"/>
      <c r="AA634" s="364" t="str">
        <f aca="false">IFERROR(__xludf.dummyfunction("""COMPUTED_VALUE"""),"")</f>
        <v/>
      </c>
      <c r="AB634" s="364"/>
    </row>
    <row r="635" customFormat="false" ht="15.75" hidden="false" customHeight="false" outlineLevel="0" collapsed="false">
      <c r="A635" s="364"/>
      <c r="B635" s="364"/>
      <c r="C635" s="261"/>
      <c r="D635" s="261"/>
      <c r="E635" s="261"/>
      <c r="F635" s="364"/>
      <c r="G635" s="261"/>
      <c r="H635" s="261"/>
      <c r="I635" s="364"/>
      <c r="J635" s="364"/>
      <c r="K635" s="364"/>
      <c r="L635" s="364"/>
      <c r="M635" s="364"/>
      <c r="N635" s="364"/>
      <c r="O635" s="364"/>
      <c r="P635" s="364"/>
      <c r="Q635" s="364"/>
      <c r="R635" s="364"/>
      <c r="S635" s="364"/>
      <c r="T635" s="364"/>
      <c r="U635" s="364"/>
      <c r="V635" s="364"/>
      <c r="W635" s="364"/>
      <c r="X635" s="364"/>
      <c r="Y635" s="364"/>
      <c r="Z635" s="364"/>
      <c r="AA635" s="364" t="str">
        <f aca="false">IFERROR(__xludf.dummyfunction("""COMPUTED_VALUE"""),"")</f>
        <v/>
      </c>
      <c r="AB635" s="364"/>
    </row>
    <row r="636" customFormat="false" ht="15.75" hidden="false" customHeight="false" outlineLevel="0" collapsed="false">
      <c r="A636" s="364"/>
      <c r="B636" s="364"/>
      <c r="C636" s="261"/>
      <c r="D636" s="261"/>
      <c r="E636" s="261"/>
      <c r="F636" s="364"/>
      <c r="G636" s="261"/>
      <c r="H636" s="261"/>
      <c r="I636" s="364"/>
      <c r="J636" s="364"/>
      <c r="K636" s="364"/>
      <c r="L636" s="364"/>
      <c r="M636" s="364"/>
      <c r="N636" s="364"/>
      <c r="O636" s="364"/>
      <c r="P636" s="364"/>
      <c r="Q636" s="364"/>
      <c r="R636" s="364"/>
      <c r="S636" s="364"/>
      <c r="T636" s="364"/>
      <c r="U636" s="364"/>
      <c r="V636" s="364"/>
      <c r="W636" s="364"/>
      <c r="X636" s="364"/>
      <c r="Y636" s="364"/>
      <c r="Z636" s="364"/>
      <c r="AA636" s="364" t="str">
        <f aca="false">IFERROR(__xludf.dummyfunction("""COMPUTED_VALUE"""),"")</f>
        <v/>
      </c>
      <c r="AB636" s="364"/>
    </row>
    <row r="637" customFormat="false" ht="15.75" hidden="false" customHeight="false" outlineLevel="0" collapsed="false">
      <c r="A637" s="364"/>
      <c r="B637" s="364"/>
      <c r="C637" s="261"/>
      <c r="D637" s="261"/>
      <c r="E637" s="261"/>
      <c r="F637" s="364"/>
      <c r="G637" s="261"/>
      <c r="H637" s="364"/>
      <c r="I637" s="364"/>
      <c r="J637" s="364"/>
      <c r="K637" s="364"/>
      <c r="L637" s="364"/>
      <c r="M637" s="364"/>
      <c r="N637" s="364"/>
      <c r="O637" s="364"/>
      <c r="P637" s="364"/>
      <c r="Q637" s="364"/>
      <c r="R637" s="364"/>
      <c r="S637" s="364"/>
      <c r="T637" s="364"/>
      <c r="U637" s="364"/>
      <c r="V637" s="364"/>
      <c r="W637" s="364"/>
      <c r="X637" s="364"/>
      <c r="Y637" s="364"/>
      <c r="Z637" s="364"/>
      <c r="AA637" s="364" t="str">
        <f aca="false">IFERROR(__xludf.dummyfunction("""COMPUTED_VALUE"""),"")</f>
        <v/>
      </c>
      <c r="AB637" s="364"/>
    </row>
    <row r="638" customFormat="false" ht="15.75" hidden="false" customHeight="false" outlineLevel="0" collapsed="false">
      <c r="A638" s="364"/>
      <c r="B638" s="364"/>
      <c r="C638" s="261"/>
      <c r="D638" s="261"/>
      <c r="E638" s="261"/>
      <c r="F638" s="364"/>
      <c r="G638" s="261"/>
      <c r="H638" s="261"/>
      <c r="I638" s="364"/>
      <c r="J638" s="364"/>
      <c r="K638" s="364"/>
      <c r="L638" s="364"/>
      <c r="M638" s="364"/>
      <c r="N638" s="364"/>
      <c r="O638" s="364"/>
      <c r="P638" s="364"/>
      <c r="Q638" s="364"/>
      <c r="R638" s="364"/>
      <c r="S638" s="364"/>
      <c r="T638" s="364"/>
      <c r="U638" s="364"/>
      <c r="V638" s="364"/>
      <c r="W638" s="364"/>
      <c r="X638" s="364"/>
      <c r="Y638" s="364"/>
      <c r="Z638" s="364"/>
      <c r="AA638" s="364" t="str">
        <f aca="false">IFERROR(__xludf.dummyfunction("""COMPUTED_VALUE"""),"")</f>
        <v/>
      </c>
      <c r="AB638" s="364"/>
    </row>
    <row r="639" customFormat="false" ht="15.75" hidden="false" customHeight="false" outlineLevel="0" collapsed="false">
      <c r="A639" s="364"/>
      <c r="B639" s="364"/>
      <c r="C639" s="261"/>
      <c r="D639" s="261"/>
      <c r="E639" s="261"/>
      <c r="F639" s="364"/>
      <c r="G639" s="261"/>
      <c r="H639" s="261"/>
      <c r="I639" s="364"/>
      <c r="J639" s="364"/>
      <c r="K639" s="364"/>
      <c r="L639" s="364"/>
      <c r="M639" s="364"/>
      <c r="N639" s="364"/>
      <c r="O639" s="364"/>
      <c r="P639" s="364"/>
      <c r="Q639" s="364"/>
      <c r="R639" s="364"/>
      <c r="S639" s="364"/>
      <c r="T639" s="364"/>
      <c r="U639" s="364"/>
      <c r="V639" s="364"/>
      <c r="W639" s="364"/>
      <c r="X639" s="364"/>
      <c r="Y639" s="364"/>
      <c r="Z639" s="364"/>
      <c r="AA639" s="364" t="str">
        <f aca="false">IFERROR(__xludf.dummyfunction("""COMPUTED_VALUE"""),"")</f>
        <v/>
      </c>
      <c r="AB639" s="364"/>
    </row>
    <row r="640" customFormat="false" ht="15.75" hidden="false" customHeight="false" outlineLevel="0" collapsed="false">
      <c r="A640" s="364"/>
      <c r="B640" s="364"/>
      <c r="C640" s="261"/>
      <c r="D640" s="261"/>
      <c r="E640" s="261"/>
      <c r="F640" s="364"/>
      <c r="G640" s="261"/>
      <c r="H640" s="261"/>
      <c r="I640" s="364"/>
      <c r="J640" s="364"/>
      <c r="K640" s="364"/>
      <c r="L640" s="364"/>
      <c r="M640" s="364"/>
      <c r="N640" s="364"/>
      <c r="O640" s="364"/>
      <c r="P640" s="364"/>
      <c r="Q640" s="364"/>
      <c r="R640" s="364"/>
      <c r="S640" s="364"/>
      <c r="T640" s="364"/>
      <c r="U640" s="364"/>
      <c r="V640" s="364"/>
      <c r="W640" s="364"/>
      <c r="X640" s="364"/>
      <c r="Y640" s="364"/>
      <c r="Z640" s="364"/>
      <c r="AA640" s="364" t="str">
        <f aca="false">IFERROR(__xludf.dummyfunction("""COMPUTED_VALUE"""),"")</f>
        <v/>
      </c>
      <c r="AB640" s="364"/>
    </row>
    <row r="641" customFormat="false" ht="15.75" hidden="false" customHeight="false" outlineLevel="0" collapsed="false">
      <c r="A641" s="364"/>
      <c r="B641" s="364"/>
      <c r="C641" s="261"/>
      <c r="D641" s="261"/>
      <c r="E641" s="261"/>
      <c r="F641" s="364"/>
      <c r="G641" s="261"/>
      <c r="H641" s="261"/>
      <c r="I641" s="364"/>
      <c r="J641" s="364"/>
      <c r="K641" s="364"/>
      <c r="L641" s="364"/>
      <c r="M641" s="364"/>
      <c r="N641" s="364"/>
      <c r="O641" s="364"/>
      <c r="P641" s="364"/>
      <c r="Q641" s="364"/>
      <c r="R641" s="364"/>
      <c r="S641" s="364"/>
      <c r="T641" s="364"/>
      <c r="U641" s="364"/>
      <c r="V641" s="364"/>
      <c r="W641" s="364"/>
      <c r="X641" s="364"/>
      <c r="Y641" s="364"/>
      <c r="Z641" s="364"/>
      <c r="AA641" s="364" t="str">
        <f aca="false">IFERROR(__xludf.dummyfunction("""COMPUTED_VALUE"""),"")</f>
        <v/>
      </c>
      <c r="AB641" s="364"/>
    </row>
    <row r="642" customFormat="false" ht="15.75" hidden="false" customHeight="false" outlineLevel="0" collapsed="false">
      <c r="A642" s="364"/>
      <c r="B642" s="364"/>
      <c r="C642" s="261"/>
      <c r="D642" s="261"/>
      <c r="E642" s="261"/>
      <c r="F642" s="364"/>
      <c r="G642" s="261"/>
      <c r="H642" s="261"/>
      <c r="I642" s="364"/>
      <c r="J642" s="364"/>
      <c r="K642" s="364"/>
      <c r="L642" s="364"/>
      <c r="M642" s="364"/>
      <c r="N642" s="364"/>
      <c r="O642" s="364"/>
      <c r="P642" s="364"/>
      <c r="Q642" s="364"/>
      <c r="R642" s="364"/>
      <c r="S642" s="364"/>
      <c r="T642" s="364"/>
      <c r="U642" s="364"/>
      <c r="V642" s="364"/>
      <c r="W642" s="364"/>
      <c r="X642" s="364"/>
      <c r="Y642" s="364"/>
      <c r="Z642" s="364"/>
      <c r="AA642" s="364" t="str">
        <f aca="false">IFERROR(__xludf.dummyfunction("""COMPUTED_VALUE"""),"")</f>
        <v/>
      </c>
      <c r="AB642" s="364"/>
    </row>
    <row r="643" customFormat="false" ht="15.75" hidden="false" customHeight="false" outlineLevel="0" collapsed="false">
      <c r="A643" s="364"/>
      <c r="B643" s="364"/>
      <c r="C643" s="261"/>
      <c r="D643" s="261"/>
      <c r="E643" s="261"/>
      <c r="F643" s="364"/>
      <c r="G643" s="261"/>
      <c r="H643" s="261"/>
      <c r="I643" s="364"/>
      <c r="J643" s="364"/>
      <c r="K643" s="364"/>
      <c r="L643" s="364"/>
      <c r="M643" s="364"/>
      <c r="N643" s="364"/>
      <c r="O643" s="364"/>
      <c r="P643" s="364"/>
      <c r="Q643" s="364"/>
      <c r="R643" s="364"/>
      <c r="S643" s="364"/>
      <c r="T643" s="364"/>
      <c r="U643" s="364"/>
      <c r="V643" s="364"/>
      <c r="W643" s="364"/>
      <c r="X643" s="364"/>
      <c r="Y643" s="364"/>
      <c r="Z643" s="364"/>
      <c r="AA643" s="364" t="str">
        <f aca="false">IFERROR(__xludf.dummyfunction("""COMPUTED_VALUE"""),"")</f>
        <v/>
      </c>
      <c r="AB643" s="364"/>
    </row>
    <row r="644" customFormat="false" ht="15.75" hidden="false" customHeight="false" outlineLevel="0" collapsed="false">
      <c r="A644" s="364"/>
      <c r="B644" s="364"/>
      <c r="C644" s="261"/>
      <c r="D644" s="261"/>
      <c r="E644" s="261"/>
      <c r="F644" s="261"/>
      <c r="G644" s="261"/>
      <c r="H644" s="261"/>
      <c r="I644" s="364"/>
      <c r="J644" s="364"/>
      <c r="K644" s="364"/>
      <c r="L644" s="364"/>
      <c r="M644" s="364"/>
      <c r="N644" s="364"/>
      <c r="O644" s="364"/>
      <c r="P644" s="364"/>
      <c r="Q644" s="364"/>
      <c r="R644" s="364"/>
      <c r="S644" s="364"/>
      <c r="T644" s="364"/>
      <c r="U644" s="364"/>
      <c r="V644" s="364"/>
      <c r="W644" s="364"/>
      <c r="X644" s="364"/>
      <c r="Y644" s="364"/>
      <c r="Z644" s="364"/>
      <c r="AA644" s="364" t="str">
        <f aca="false">IFERROR(__xludf.dummyfunction("""COMPUTED_VALUE"""),"")</f>
        <v/>
      </c>
      <c r="AB644" s="364"/>
    </row>
    <row r="645" customFormat="false" ht="15.75" hidden="false" customHeight="false" outlineLevel="0" collapsed="false">
      <c r="A645" s="364"/>
      <c r="B645" s="364"/>
      <c r="C645" s="261"/>
      <c r="D645" s="261"/>
      <c r="E645" s="261"/>
      <c r="F645" s="364"/>
      <c r="G645" s="261"/>
      <c r="H645" s="261"/>
      <c r="I645" s="364"/>
      <c r="J645" s="364"/>
      <c r="K645" s="364"/>
      <c r="L645" s="364"/>
      <c r="M645" s="364"/>
      <c r="N645" s="364"/>
      <c r="O645" s="364"/>
      <c r="P645" s="364"/>
      <c r="Q645" s="364"/>
      <c r="R645" s="364"/>
      <c r="S645" s="364"/>
      <c r="T645" s="364"/>
      <c r="U645" s="364"/>
      <c r="V645" s="364"/>
      <c r="W645" s="364"/>
      <c r="X645" s="364"/>
      <c r="Y645" s="364"/>
      <c r="Z645" s="364"/>
      <c r="AA645" s="364" t="str">
        <f aca="false">IFERROR(__xludf.dummyfunction("""COMPUTED_VALUE"""),"")</f>
        <v/>
      </c>
      <c r="AB645" s="364"/>
    </row>
    <row r="646" customFormat="false" ht="15.75" hidden="false" customHeight="false" outlineLevel="0" collapsed="false">
      <c r="A646" s="364"/>
      <c r="B646" s="364"/>
      <c r="C646" s="261"/>
      <c r="D646" s="261"/>
      <c r="E646" s="261"/>
      <c r="F646" s="364"/>
      <c r="G646" s="261"/>
      <c r="H646" s="261"/>
      <c r="I646" s="364"/>
      <c r="J646" s="364"/>
      <c r="K646" s="364"/>
      <c r="L646" s="364"/>
      <c r="M646" s="364"/>
      <c r="N646" s="364"/>
      <c r="O646" s="364"/>
      <c r="P646" s="364"/>
      <c r="Q646" s="364"/>
      <c r="R646" s="364"/>
      <c r="S646" s="364"/>
      <c r="T646" s="364"/>
      <c r="U646" s="364"/>
      <c r="V646" s="364"/>
      <c r="W646" s="364"/>
      <c r="X646" s="364"/>
      <c r="Y646" s="364"/>
      <c r="Z646" s="364"/>
      <c r="AA646" s="364" t="str">
        <f aca="false">IFERROR(__xludf.dummyfunction("""COMPUTED_VALUE"""),"")</f>
        <v/>
      </c>
      <c r="AB646" s="364"/>
    </row>
    <row r="647" customFormat="false" ht="15.75" hidden="false" customHeight="false" outlineLevel="0" collapsed="false">
      <c r="A647" s="364"/>
      <c r="B647" s="364"/>
      <c r="C647" s="261"/>
      <c r="D647" s="261"/>
      <c r="E647" s="261"/>
      <c r="F647" s="364"/>
      <c r="G647" s="261"/>
      <c r="H647" s="261"/>
      <c r="I647" s="364"/>
      <c r="J647" s="364"/>
      <c r="K647" s="364"/>
      <c r="L647" s="364"/>
      <c r="M647" s="364"/>
      <c r="N647" s="364"/>
      <c r="O647" s="364"/>
      <c r="P647" s="364"/>
      <c r="Q647" s="364"/>
      <c r="R647" s="364"/>
      <c r="S647" s="364"/>
      <c r="T647" s="364"/>
      <c r="U647" s="364"/>
      <c r="V647" s="364"/>
      <c r="W647" s="364"/>
      <c r="X647" s="364"/>
      <c r="Y647" s="364"/>
      <c r="Z647" s="364"/>
      <c r="AA647" s="364" t="str">
        <f aca="false">IFERROR(__xludf.dummyfunction("""COMPUTED_VALUE"""),"")</f>
        <v/>
      </c>
      <c r="AB647" s="364"/>
    </row>
    <row r="648" customFormat="false" ht="15.75" hidden="false" customHeight="false" outlineLevel="0" collapsed="false">
      <c r="A648" s="364"/>
      <c r="B648" s="364"/>
      <c r="C648" s="261"/>
      <c r="D648" s="261"/>
      <c r="E648" s="261"/>
      <c r="F648" s="364"/>
      <c r="G648" s="261"/>
      <c r="H648" s="261"/>
      <c r="I648" s="364"/>
      <c r="J648" s="364"/>
      <c r="K648" s="364"/>
      <c r="L648" s="364"/>
      <c r="M648" s="364"/>
      <c r="N648" s="364"/>
      <c r="O648" s="364"/>
      <c r="P648" s="364"/>
      <c r="Q648" s="364"/>
      <c r="R648" s="364"/>
      <c r="S648" s="364"/>
      <c r="T648" s="364"/>
      <c r="U648" s="364"/>
      <c r="V648" s="364"/>
      <c r="W648" s="364"/>
      <c r="X648" s="364"/>
      <c r="Y648" s="364"/>
      <c r="Z648" s="364"/>
      <c r="AA648" s="364" t="str">
        <f aca="false">IFERROR(__xludf.dummyfunction("""COMPUTED_VALUE"""),"")</f>
        <v/>
      </c>
      <c r="AB648" s="364"/>
    </row>
    <row r="649" customFormat="false" ht="15.75" hidden="false" customHeight="false" outlineLevel="0" collapsed="false">
      <c r="A649" s="364"/>
      <c r="B649" s="364"/>
      <c r="C649" s="261"/>
      <c r="D649" s="261"/>
      <c r="E649" s="261"/>
      <c r="F649" s="364"/>
      <c r="G649" s="261"/>
      <c r="H649" s="261"/>
      <c r="I649" s="364"/>
      <c r="J649" s="364"/>
      <c r="K649" s="364"/>
      <c r="L649" s="364"/>
      <c r="M649" s="364"/>
      <c r="N649" s="364"/>
      <c r="O649" s="364"/>
      <c r="P649" s="364"/>
      <c r="Q649" s="364"/>
      <c r="R649" s="364"/>
      <c r="S649" s="364"/>
      <c r="T649" s="364"/>
      <c r="U649" s="364"/>
      <c r="V649" s="364"/>
      <c r="W649" s="364"/>
      <c r="X649" s="364"/>
      <c r="Y649" s="364"/>
      <c r="Z649" s="364"/>
      <c r="AA649" s="364" t="str">
        <f aca="false">IFERROR(__xludf.dummyfunction("""COMPUTED_VALUE"""),"")</f>
        <v/>
      </c>
      <c r="AB649" s="364"/>
    </row>
    <row r="650" customFormat="false" ht="15.75" hidden="false" customHeight="false" outlineLevel="0" collapsed="false">
      <c r="A650" s="364"/>
      <c r="B650" s="364"/>
      <c r="C650" s="261"/>
      <c r="D650" s="261"/>
      <c r="E650" s="261"/>
      <c r="F650" s="364"/>
      <c r="G650" s="261"/>
      <c r="H650" s="364"/>
      <c r="I650" s="364"/>
      <c r="J650" s="364"/>
      <c r="K650" s="364"/>
      <c r="L650" s="364"/>
      <c r="M650" s="364"/>
      <c r="N650" s="364"/>
      <c r="O650" s="364"/>
      <c r="P650" s="364"/>
      <c r="Q650" s="364"/>
      <c r="R650" s="364"/>
      <c r="S650" s="364"/>
      <c r="T650" s="364"/>
      <c r="U650" s="364"/>
      <c r="V650" s="364"/>
      <c r="W650" s="364"/>
      <c r="X650" s="364"/>
      <c r="Y650" s="364"/>
      <c r="Z650" s="364"/>
      <c r="AA650" s="364" t="str">
        <f aca="false">IFERROR(__xludf.dummyfunction("""COMPUTED_VALUE"""),"")</f>
        <v/>
      </c>
      <c r="AB650" s="364"/>
    </row>
    <row r="651" customFormat="false" ht="15.75" hidden="false" customHeight="false" outlineLevel="0" collapsed="false">
      <c r="A651" s="364"/>
      <c r="B651" s="364"/>
      <c r="C651" s="261"/>
      <c r="D651" s="261"/>
      <c r="E651" s="261"/>
      <c r="F651" s="364"/>
      <c r="G651" s="261"/>
      <c r="H651" s="261"/>
      <c r="I651" s="364"/>
      <c r="J651" s="364"/>
      <c r="K651" s="364"/>
      <c r="L651" s="364"/>
      <c r="M651" s="364"/>
      <c r="N651" s="364"/>
      <c r="O651" s="364"/>
      <c r="P651" s="364"/>
      <c r="Q651" s="364"/>
      <c r="R651" s="364"/>
      <c r="S651" s="364"/>
      <c r="T651" s="364"/>
      <c r="U651" s="364"/>
      <c r="V651" s="364"/>
      <c r="W651" s="364"/>
      <c r="X651" s="364"/>
      <c r="Y651" s="364"/>
      <c r="Z651" s="364"/>
      <c r="AA651" s="364" t="str">
        <f aca="false">IFERROR(__xludf.dummyfunction("""COMPUTED_VALUE"""),"")</f>
        <v/>
      </c>
      <c r="AB651" s="364"/>
    </row>
    <row r="652" customFormat="false" ht="15.75" hidden="false" customHeight="false" outlineLevel="0" collapsed="false">
      <c r="A652" s="364"/>
      <c r="B652" s="364"/>
      <c r="C652" s="261"/>
      <c r="D652" s="261"/>
      <c r="E652" s="261"/>
      <c r="F652" s="364"/>
      <c r="G652" s="261"/>
      <c r="H652" s="261"/>
      <c r="I652" s="364"/>
      <c r="J652" s="364"/>
      <c r="K652" s="364"/>
      <c r="L652" s="364"/>
      <c r="M652" s="364"/>
      <c r="N652" s="364"/>
      <c r="O652" s="364"/>
      <c r="P652" s="364"/>
      <c r="Q652" s="364"/>
      <c r="R652" s="364"/>
      <c r="S652" s="364"/>
      <c r="T652" s="364"/>
      <c r="U652" s="364"/>
      <c r="V652" s="364"/>
      <c r="W652" s="364"/>
      <c r="X652" s="364"/>
      <c r="Y652" s="364"/>
      <c r="Z652" s="364"/>
      <c r="AA652" s="364" t="str">
        <f aca="false">IFERROR(__xludf.dummyfunction("""COMPUTED_VALUE"""),"")</f>
        <v/>
      </c>
      <c r="AB652" s="364"/>
    </row>
    <row r="653" customFormat="false" ht="15.75" hidden="false" customHeight="false" outlineLevel="0" collapsed="false">
      <c r="A653" s="364"/>
      <c r="B653" s="364"/>
      <c r="C653" s="261"/>
      <c r="D653" s="261"/>
      <c r="E653" s="261"/>
      <c r="F653" s="364"/>
      <c r="G653" s="261"/>
      <c r="H653" s="261"/>
      <c r="I653" s="364"/>
      <c r="J653" s="364"/>
      <c r="K653" s="364"/>
      <c r="L653" s="364"/>
      <c r="M653" s="364"/>
      <c r="N653" s="364"/>
      <c r="O653" s="364"/>
      <c r="P653" s="364"/>
      <c r="Q653" s="364"/>
      <c r="R653" s="364"/>
      <c r="S653" s="364"/>
      <c r="T653" s="364"/>
      <c r="U653" s="364"/>
      <c r="V653" s="364"/>
      <c r="W653" s="364"/>
      <c r="X653" s="364"/>
      <c r="Y653" s="364"/>
      <c r="Z653" s="364"/>
      <c r="AA653" s="364" t="str">
        <f aca="false">IFERROR(__xludf.dummyfunction("""COMPUTED_VALUE"""),"")</f>
        <v/>
      </c>
      <c r="AB653" s="364"/>
    </row>
    <row r="654" customFormat="false" ht="15.75" hidden="false" customHeight="false" outlineLevel="0" collapsed="false">
      <c r="A654" s="364"/>
      <c r="B654" s="364"/>
      <c r="C654" s="261"/>
      <c r="D654" s="261"/>
      <c r="E654" s="261"/>
      <c r="F654" s="364"/>
      <c r="G654" s="261"/>
      <c r="H654" s="261"/>
      <c r="I654" s="364"/>
      <c r="J654" s="364"/>
      <c r="K654" s="364"/>
      <c r="L654" s="364"/>
      <c r="M654" s="364"/>
      <c r="N654" s="364"/>
      <c r="O654" s="364"/>
      <c r="P654" s="364"/>
      <c r="Q654" s="364"/>
      <c r="R654" s="364"/>
      <c r="S654" s="364"/>
      <c r="T654" s="364"/>
      <c r="U654" s="364"/>
      <c r="V654" s="364"/>
      <c r="W654" s="364"/>
      <c r="X654" s="364"/>
      <c r="Y654" s="364"/>
      <c r="Z654" s="364"/>
      <c r="AA654" s="364" t="str">
        <f aca="false">IFERROR(__xludf.dummyfunction("""COMPUTED_VALUE"""),"")</f>
        <v/>
      </c>
      <c r="AB654" s="364"/>
    </row>
    <row r="655" customFormat="false" ht="15.75" hidden="false" customHeight="false" outlineLevel="0" collapsed="false">
      <c r="A655" s="364"/>
      <c r="B655" s="364"/>
      <c r="C655" s="261"/>
      <c r="D655" s="261"/>
      <c r="E655" s="261"/>
      <c r="F655" s="364"/>
      <c r="G655" s="261"/>
      <c r="H655" s="261"/>
      <c r="I655" s="364"/>
      <c r="J655" s="364"/>
      <c r="K655" s="364"/>
      <c r="L655" s="364"/>
      <c r="M655" s="364"/>
      <c r="N655" s="364"/>
      <c r="O655" s="364"/>
      <c r="P655" s="364"/>
      <c r="Q655" s="364"/>
      <c r="R655" s="364"/>
      <c r="S655" s="364"/>
      <c r="T655" s="364"/>
      <c r="U655" s="364"/>
      <c r="V655" s="364"/>
      <c r="W655" s="364"/>
      <c r="X655" s="364"/>
      <c r="Y655" s="364"/>
      <c r="Z655" s="364"/>
      <c r="AA655" s="364" t="str">
        <f aca="false">IFERROR(__xludf.dummyfunction("""COMPUTED_VALUE"""),"")</f>
        <v/>
      </c>
      <c r="AB655" s="364"/>
    </row>
    <row r="656" customFormat="false" ht="15.75" hidden="false" customHeight="false" outlineLevel="0" collapsed="false">
      <c r="A656" s="364"/>
      <c r="B656" s="364"/>
      <c r="C656" s="261"/>
      <c r="D656" s="261"/>
      <c r="E656" s="261"/>
      <c r="F656" s="364"/>
      <c r="G656" s="261"/>
      <c r="H656" s="261"/>
      <c r="I656" s="364"/>
      <c r="J656" s="364"/>
      <c r="K656" s="364"/>
      <c r="L656" s="364"/>
      <c r="M656" s="364"/>
      <c r="N656" s="364"/>
      <c r="O656" s="364"/>
      <c r="P656" s="364"/>
      <c r="Q656" s="364"/>
      <c r="R656" s="364"/>
      <c r="S656" s="364"/>
      <c r="T656" s="364"/>
      <c r="U656" s="364"/>
      <c r="V656" s="364"/>
      <c r="W656" s="364"/>
      <c r="X656" s="364"/>
      <c r="Y656" s="364"/>
      <c r="Z656" s="364"/>
      <c r="AA656" s="364" t="str">
        <f aca="false">IFERROR(__xludf.dummyfunction("""COMPUTED_VALUE"""),"")</f>
        <v/>
      </c>
      <c r="AB656" s="364"/>
    </row>
    <row r="657" customFormat="false" ht="15.75" hidden="false" customHeight="false" outlineLevel="0" collapsed="false">
      <c r="A657" s="364"/>
      <c r="B657" s="364"/>
      <c r="C657" s="261"/>
      <c r="D657" s="261"/>
      <c r="E657" s="261"/>
      <c r="F657" s="364"/>
      <c r="G657" s="261"/>
      <c r="H657" s="261"/>
      <c r="I657" s="364"/>
      <c r="J657" s="364"/>
      <c r="K657" s="364"/>
      <c r="L657" s="364"/>
      <c r="M657" s="364"/>
      <c r="N657" s="364"/>
      <c r="O657" s="364"/>
      <c r="P657" s="364"/>
      <c r="Q657" s="364"/>
      <c r="R657" s="364"/>
      <c r="S657" s="364"/>
      <c r="T657" s="364"/>
      <c r="U657" s="364"/>
      <c r="V657" s="364"/>
      <c r="W657" s="364"/>
      <c r="X657" s="364"/>
      <c r="Y657" s="364"/>
      <c r="Z657" s="364"/>
      <c r="AA657" s="364" t="str">
        <f aca="false">IFERROR(__xludf.dummyfunction("""COMPUTED_VALUE"""),"")</f>
        <v/>
      </c>
      <c r="AB657" s="364"/>
    </row>
    <row r="658" customFormat="false" ht="15.75" hidden="false" customHeight="false" outlineLevel="0" collapsed="false">
      <c r="A658" s="364"/>
      <c r="B658" s="364"/>
      <c r="C658" s="261"/>
      <c r="D658" s="261"/>
      <c r="E658" s="261"/>
      <c r="F658" s="364"/>
      <c r="G658" s="261"/>
      <c r="H658" s="364"/>
      <c r="I658" s="364"/>
      <c r="J658" s="364"/>
      <c r="K658" s="364"/>
      <c r="L658" s="364"/>
      <c r="M658" s="364"/>
      <c r="N658" s="364"/>
      <c r="O658" s="364"/>
      <c r="P658" s="364"/>
      <c r="Q658" s="364"/>
      <c r="R658" s="364"/>
      <c r="S658" s="364"/>
      <c r="T658" s="364"/>
      <c r="U658" s="364"/>
      <c r="V658" s="364"/>
      <c r="W658" s="364"/>
      <c r="X658" s="364"/>
      <c r="Y658" s="364"/>
      <c r="Z658" s="364"/>
      <c r="AA658" s="364" t="str">
        <f aca="false">IFERROR(__xludf.dummyfunction("""COMPUTED_VALUE"""),"")</f>
        <v/>
      </c>
      <c r="AB658" s="364"/>
    </row>
    <row r="659" customFormat="false" ht="15.75" hidden="false" customHeight="false" outlineLevel="0" collapsed="false">
      <c r="A659" s="364"/>
      <c r="B659" s="364"/>
      <c r="C659" s="261"/>
      <c r="D659" s="261"/>
      <c r="E659" s="261"/>
      <c r="F659" s="364"/>
      <c r="G659" s="261"/>
      <c r="H659" s="261"/>
      <c r="I659" s="364"/>
      <c r="J659" s="364"/>
      <c r="K659" s="364"/>
      <c r="L659" s="364"/>
      <c r="M659" s="364"/>
      <c r="N659" s="364"/>
      <c r="O659" s="364"/>
      <c r="P659" s="364"/>
      <c r="Q659" s="364"/>
      <c r="R659" s="364"/>
      <c r="S659" s="364"/>
      <c r="T659" s="364"/>
      <c r="U659" s="364"/>
      <c r="V659" s="364"/>
      <c r="W659" s="364"/>
      <c r="X659" s="364"/>
      <c r="Y659" s="364"/>
      <c r="Z659" s="364"/>
      <c r="AA659" s="364" t="str">
        <f aca="false">IFERROR(__xludf.dummyfunction("""COMPUTED_VALUE"""),"")</f>
        <v/>
      </c>
      <c r="AB659" s="364"/>
    </row>
    <row r="660" customFormat="false" ht="15.75" hidden="false" customHeight="false" outlineLevel="0" collapsed="false">
      <c r="A660" s="364"/>
      <c r="B660" s="364"/>
      <c r="C660" s="261"/>
      <c r="D660" s="261"/>
      <c r="E660" s="261"/>
      <c r="F660" s="364"/>
      <c r="G660" s="261"/>
      <c r="H660" s="261"/>
      <c r="I660" s="364"/>
      <c r="J660" s="364"/>
      <c r="K660" s="364"/>
      <c r="L660" s="364"/>
      <c r="M660" s="364"/>
      <c r="N660" s="364"/>
      <c r="O660" s="364"/>
      <c r="P660" s="364"/>
      <c r="Q660" s="364"/>
      <c r="R660" s="364"/>
      <c r="S660" s="364"/>
      <c r="T660" s="364"/>
      <c r="U660" s="364"/>
      <c r="V660" s="364"/>
      <c r="W660" s="364"/>
      <c r="X660" s="364"/>
      <c r="Y660" s="364"/>
      <c r="Z660" s="364"/>
      <c r="AA660" s="364" t="str">
        <f aca="false">IFERROR(__xludf.dummyfunction("""COMPUTED_VALUE"""),"")</f>
        <v/>
      </c>
      <c r="AB660" s="364"/>
    </row>
    <row r="661" customFormat="false" ht="15.75" hidden="false" customHeight="false" outlineLevel="0" collapsed="false">
      <c r="A661" s="364"/>
      <c r="B661" s="364"/>
      <c r="C661" s="261"/>
      <c r="D661" s="261"/>
      <c r="E661" s="261"/>
      <c r="F661" s="364"/>
      <c r="G661" s="261"/>
      <c r="H661" s="261"/>
      <c r="I661" s="364"/>
      <c r="J661" s="364"/>
      <c r="K661" s="364"/>
      <c r="L661" s="364"/>
      <c r="M661" s="364"/>
      <c r="N661" s="364"/>
      <c r="O661" s="364"/>
      <c r="P661" s="364"/>
      <c r="Q661" s="364"/>
      <c r="R661" s="364"/>
      <c r="S661" s="364"/>
      <c r="T661" s="364"/>
      <c r="U661" s="364"/>
      <c r="V661" s="364"/>
      <c r="W661" s="364"/>
      <c r="X661" s="364"/>
      <c r="Y661" s="364"/>
      <c r="Z661" s="364"/>
      <c r="AA661" s="364" t="str">
        <f aca="false">IFERROR(__xludf.dummyfunction("""COMPUTED_VALUE"""),"")</f>
        <v/>
      </c>
      <c r="AB661" s="364"/>
    </row>
    <row r="662" customFormat="false" ht="15.75" hidden="false" customHeight="false" outlineLevel="0" collapsed="false">
      <c r="A662" s="364"/>
      <c r="B662" s="364"/>
      <c r="C662" s="261"/>
      <c r="D662" s="261"/>
      <c r="E662" s="261"/>
      <c r="F662" s="364"/>
      <c r="G662" s="261"/>
      <c r="H662" s="364"/>
      <c r="I662" s="364"/>
      <c r="J662" s="364"/>
      <c r="K662" s="364"/>
      <c r="L662" s="364"/>
      <c r="M662" s="364"/>
      <c r="N662" s="364"/>
      <c r="O662" s="364"/>
      <c r="P662" s="364"/>
      <c r="Q662" s="364"/>
      <c r="R662" s="364"/>
      <c r="S662" s="364"/>
      <c r="T662" s="364"/>
      <c r="U662" s="364"/>
      <c r="V662" s="364"/>
      <c r="W662" s="364"/>
      <c r="X662" s="364"/>
      <c r="Y662" s="364"/>
      <c r="Z662" s="364"/>
      <c r="AA662" s="364" t="str">
        <f aca="false">IFERROR(__xludf.dummyfunction("""COMPUTED_VALUE"""),"")</f>
        <v/>
      </c>
      <c r="AB662" s="364"/>
    </row>
    <row r="663" customFormat="false" ht="15.75" hidden="false" customHeight="false" outlineLevel="0" collapsed="false">
      <c r="A663" s="364"/>
      <c r="B663" s="364"/>
      <c r="C663" s="261"/>
      <c r="D663" s="261"/>
      <c r="E663" s="261"/>
      <c r="F663" s="364"/>
      <c r="G663" s="261"/>
      <c r="H663" s="261"/>
      <c r="I663" s="364"/>
      <c r="J663" s="364"/>
      <c r="K663" s="364"/>
      <c r="L663" s="364"/>
      <c r="M663" s="364"/>
      <c r="N663" s="364"/>
      <c r="O663" s="364"/>
      <c r="P663" s="364"/>
      <c r="Q663" s="364"/>
      <c r="R663" s="364"/>
      <c r="S663" s="364"/>
      <c r="T663" s="364"/>
      <c r="U663" s="364"/>
      <c r="V663" s="364"/>
      <c r="W663" s="364"/>
      <c r="X663" s="364"/>
      <c r="Y663" s="364"/>
      <c r="Z663" s="364"/>
      <c r="AA663" s="364" t="str">
        <f aca="false">IFERROR(__xludf.dummyfunction("""COMPUTED_VALUE"""),"")</f>
        <v/>
      </c>
      <c r="AB663" s="364"/>
    </row>
    <row r="664" customFormat="false" ht="15.75" hidden="false" customHeight="false" outlineLevel="0" collapsed="false">
      <c r="A664" s="364"/>
      <c r="B664" s="364"/>
      <c r="C664" s="261"/>
      <c r="D664" s="261"/>
      <c r="E664" s="261"/>
      <c r="F664" s="364"/>
      <c r="G664" s="261"/>
      <c r="H664" s="261"/>
      <c r="I664" s="364"/>
      <c r="J664" s="364"/>
      <c r="K664" s="364"/>
      <c r="L664" s="364"/>
      <c r="M664" s="364"/>
      <c r="N664" s="364"/>
      <c r="O664" s="364"/>
      <c r="P664" s="364"/>
      <c r="Q664" s="364"/>
      <c r="R664" s="364"/>
      <c r="S664" s="364"/>
      <c r="T664" s="364"/>
      <c r="U664" s="364"/>
      <c r="V664" s="364"/>
      <c r="W664" s="364"/>
      <c r="X664" s="364"/>
      <c r="Y664" s="364"/>
      <c r="Z664" s="364"/>
      <c r="AA664" s="364" t="str">
        <f aca="false">IFERROR(__xludf.dummyfunction("""COMPUTED_VALUE"""),"")</f>
        <v/>
      </c>
      <c r="AB664" s="364"/>
    </row>
    <row r="665" customFormat="false" ht="15.75" hidden="false" customHeight="false" outlineLevel="0" collapsed="false">
      <c r="A665" s="364"/>
      <c r="B665" s="364"/>
      <c r="C665" s="261"/>
      <c r="D665" s="261"/>
      <c r="E665" s="261"/>
      <c r="F665" s="261"/>
      <c r="G665" s="261"/>
      <c r="H665" s="261"/>
      <c r="I665" s="364"/>
      <c r="J665" s="364"/>
      <c r="K665" s="364"/>
      <c r="L665" s="364"/>
      <c r="M665" s="364"/>
      <c r="N665" s="364"/>
      <c r="O665" s="364"/>
      <c r="P665" s="364"/>
      <c r="Q665" s="364"/>
      <c r="R665" s="364"/>
      <c r="S665" s="364"/>
      <c r="T665" s="364"/>
      <c r="U665" s="364"/>
      <c r="V665" s="364"/>
      <c r="W665" s="364"/>
      <c r="X665" s="364"/>
      <c r="Y665" s="364"/>
      <c r="Z665" s="364"/>
      <c r="AA665" s="364" t="str">
        <f aca="false">IFERROR(__xludf.dummyfunction("""COMPUTED_VALUE"""),"")</f>
        <v/>
      </c>
      <c r="AB665" s="364"/>
    </row>
    <row r="666" customFormat="false" ht="15.75" hidden="false" customHeight="false" outlineLevel="0" collapsed="false">
      <c r="A666" s="261"/>
      <c r="B666" s="261"/>
      <c r="C666" s="261"/>
      <c r="D666" s="261"/>
      <c r="E666" s="261"/>
      <c r="F666" s="364"/>
      <c r="G666" s="261"/>
      <c r="H666" s="364"/>
      <c r="I666" s="364"/>
      <c r="J666" s="364"/>
      <c r="K666" s="364"/>
      <c r="L666" s="364"/>
      <c r="M666" s="364"/>
      <c r="N666" s="364"/>
      <c r="O666" s="364"/>
      <c r="P666" s="364"/>
      <c r="Q666" s="364"/>
      <c r="R666" s="364"/>
      <c r="S666" s="364"/>
      <c r="T666" s="364"/>
      <c r="U666" s="364"/>
      <c r="V666" s="364"/>
      <c r="W666" s="364"/>
      <c r="X666" s="364"/>
      <c r="Y666" s="364"/>
      <c r="Z666" s="364"/>
      <c r="AA666" s="364" t="str">
        <f aca="false">IFERROR(__xludf.dummyfunction("""COMPUTED_VALUE"""),"")</f>
        <v/>
      </c>
      <c r="AB666" s="364"/>
    </row>
    <row r="667" customFormat="false" ht="15.75" hidden="false" customHeight="false" outlineLevel="0" collapsed="false">
      <c r="A667" s="364"/>
      <c r="B667" s="364"/>
      <c r="C667" s="261"/>
      <c r="D667" s="261"/>
      <c r="E667" s="261"/>
      <c r="F667" s="261"/>
      <c r="G667" s="261"/>
      <c r="H667" s="261"/>
      <c r="I667" s="364"/>
      <c r="J667" s="364"/>
      <c r="K667" s="364"/>
      <c r="L667" s="364"/>
      <c r="M667" s="364"/>
      <c r="N667" s="364"/>
      <c r="O667" s="364"/>
      <c r="P667" s="364"/>
      <c r="Q667" s="364"/>
      <c r="R667" s="364"/>
      <c r="S667" s="364"/>
      <c r="T667" s="364"/>
      <c r="U667" s="364"/>
      <c r="V667" s="364"/>
      <c r="W667" s="364"/>
      <c r="X667" s="364"/>
      <c r="Y667" s="364"/>
      <c r="Z667" s="364"/>
      <c r="AA667" s="364" t="str">
        <f aca="false">IFERROR(__xludf.dummyfunction("""COMPUTED_VALUE"""),"")</f>
        <v/>
      </c>
      <c r="AB667" s="364"/>
    </row>
    <row r="668" customFormat="false" ht="15.75" hidden="false" customHeight="false" outlineLevel="0" collapsed="false">
      <c r="A668" s="364"/>
      <c r="B668" s="364"/>
      <c r="C668" s="261"/>
      <c r="D668" s="261"/>
      <c r="E668" s="261"/>
      <c r="F668" s="364"/>
      <c r="G668" s="261"/>
      <c r="H668" s="261"/>
      <c r="I668" s="364"/>
      <c r="J668" s="364"/>
      <c r="K668" s="364"/>
      <c r="L668" s="364"/>
      <c r="M668" s="364"/>
      <c r="N668" s="364"/>
      <c r="O668" s="364"/>
      <c r="P668" s="364"/>
      <c r="Q668" s="364"/>
      <c r="R668" s="364"/>
      <c r="S668" s="364"/>
      <c r="T668" s="364"/>
      <c r="U668" s="364"/>
      <c r="V668" s="364"/>
      <c r="W668" s="364"/>
      <c r="X668" s="364"/>
      <c r="Y668" s="364"/>
      <c r="Z668" s="364"/>
      <c r="AA668" s="364" t="str">
        <f aca="false">IFERROR(__xludf.dummyfunction("""COMPUTED_VALUE"""),"")</f>
        <v/>
      </c>
      <c r="AB668" s="364"/>
    </row>
    <row r="669" customFormat="false" ht="15.75" hidden="false" customHeight="false" outlineLevel="0" collapsed="false">
      <c r="A669" s="364"/>
      <c r="B669" s="364"/>
      <c r="C669" s="261"/>
      <c r="D669" s="261"/>
      <c r="E669" s="261"/>
      <c r="F669" s="364"/>
      <c r="G669" s="261"/>
      <c r="H669" s="261"/>
      <c r="I669" s="364"/>
      <c r="J669" s="364"/>
      <c r="K669" s="364"/>
      <c r="L669" s="364"/>
      <c r="M669" s="364"/>
      <c r="N669" s="364"/>
      <c r="O669" s="364"/>
      <c r="P669" s="364"/>
      <c r="Q669" s="364"/>
      <c r="R669" s="364"/>
      <c r="S669" s="364"/>
      <c r="T669" s="364"/>
      <c r="U669" s="364"/>
      <c r="V669" s="364"/>
      <c r="W669" s="364"/>
      <c r="X669" s="364"/>
      <c r="Y669" s="364"/>
      <c r="Z669" s="364"/>
      <c r="AA669" s="364" t="str">
        <f aca="false">IFERROR(__xludf.dummyfunction("""COMPUTED_VALUE"""),"")</f>
        <v/>
      </c>
      <c r="AB669" s="364"/>
    </row>
    <row r="670" customFormat="false" ht="15.75" hidden="false" customHeight="false" outlineLevel="0" collapsed="false">
      <c r="A670" s="261"/>
      <c r="B670" s="261"/>
      <c r="C670" s="261"/>
      <c r="D670" s="261"/>
      <c r="E670" s="261"/>
      <c r="F670" s="364"/>
      <c r="G670" s="261"/>
      <c r="H670" s="364"/>
      <c r="I670" s="364"/>
      <c r="J670" s="364"/>
      <c r="K670" s="364"/>
      <c r="L670" s="364"/>
      <c r="M670" s="364"/>
      <c r="N670" s="364"/>
      <c r="O670" s="364"/>
      <c r="P670" s="364"/>
      <c r="Q670" s="364"/>
      <c r="R670" s="364"/>
      <c r="S670" s="364"/>
      <c r="T670" s="364"/>
      <c r="U670" s="364"/>
      <c r="V670" s="364"/>
      <c r="W670" s="364"/>
      <c r="X670" s="364"/>
      <c r="Y670" s="364"/>
      <c r="Z670" s="364"/>
      <c r="AA670" s="364" t="str">
        <f aca="false">IFERROR(__xludf.dummyfunction("""COMPUTED_VALUE"""),"")</f>
        <v/>
      </c>
      <c r="AB670" s="364"/>
    </row>
    <row r="671" customFormat="false" ht="15.75" hidden="false" customHeight="false" outlineLevel="0" collapsed="false">
      <c r="A671" s="364"/>
      <c r="B671" s="364"/>
      <c r="C671" s="261"/>
      <c r="D671" s="261"/>
      <c r="E671" s="261"/>
      <c r="F671" s="261"/>
      <c r="G671" s="261"/>
      <c r="H671" s="261"/>
      <c r="I671" s="364"/>
      <c r="J671" s="364"/>
      <c r="K671" s="364"/>
      <c r="L671" s="364"/>
      <c r="M671" s="364"/>
      <c r="N671" s="364"/>
      <c r="O671" s="364"/>
      <c r="P671" s="364"/>
      <c r="Q671" s="364"/>
      <c r="R671" s="364"/>
      <c r="S671" s="364"/>
      <c r="T671" s="364"/>
      <c r="U671" s="364"/>
      <c r="V671" s="364"/>
      <c r="W671" s="364"/>
      <c r="X671" s="364"/>
      <c r="Y671" s="364"/>
      <c r="Z671" s="364"/>
      <c r="AA671" s="364" t="str">
        <f aca="false">IFERROR(__xludf.dummyfunction("""COMPUTED_VALUE"""),"")</f>
        <v/>
      </c>
      <c r="AB671" s="364"/>
    </row>
    <row r="672" customFormat="false" ht="15.75" hidden="false" customHeight="false" outlineLevel="0" collapsed="false">
      <c r="A672" s="364"/>
      <c r="B672" s="364"/>
      <c r="C672" s="261"/>
      <c r="D672" s="261"/>
      <c r="E672" s="261"/>
      <c r="F672" s="364"/>
      <c r="G672" s="261"/>
      <c r="H672" s="261"/>
      <c r="I672" s="364"/>
      <c r="J672" s="364"/>
      <c r="K672" s="364"/>
      <c r="L672" s="364"/>
      <c r="M672" s="364"/>
      <c r="N672" s="364"/>
      <c r="O672" s="364"/>
      <c r="P672" s="364"/>
      <c r="Q672" s="364"/>
      <c r="R672" s="364"/>
      <c r="S672" s="364"/>
      <c r="T672" s="364"/>
      <c r="U672" s="364"/>
      <c r="V672" s="364"/>
      <c r="W672" s="364"/>
      <c r="X672" s="364"/>
      <c r="Y672" s="364"/>
      <c r="Z672" s="364"/>
      <c r="AA672" s="364" t="str">
        <f aca="false">IFERROR(__xludf.dummyfunction("""COMPUTED_VALUE"""),"")</f>
        <v/>
      </c>
      <c r="AB672" s="364"/>
    </row>
    <row r="673" customFormat="false" ht="15.75" hidden="false" customHeight="false" outlineLevel="0" collapsed="false">
      <c r="A673" s="364"/>
      <c r="B673" s="364"/>
      <c r="C673" s="261"/>
      <c r="D673" s="261"/>
      <c r="E673" s="261"/>
      <c r="F673" s="364"/>
      <c r="G673" s="261"/>
      <c r="H673" s="261"/>
      <c r="I673" s="364"/>
      <c r="J673" s="364"/>
      <c r="K673" s="364"/>
      <c r="L673" s="364"/>
      <c r="M673" s="364"/>
      <c r="N673" s="364"/>
      <c r="O673" s="364"/>
      <c r="P673" s="364"/>
      <c r="Q673" s="364"/>
      <c r="R673" s="364"/>
      <c r="S673" s="364"/>
      <c r="T673" s="364"/>
      <c r="U673" s="364"/>
      <c r="V673" s="364"/>
      <c r="W673" s="364"/>
      <c r="X673" s="364"/>
      <c r="Y673" s="364"/>
      <c r="Z673" s="364"/>
      <c r="AA673" s="364" t="str">
        <f aca="false">IFERROR(__xludf.dummyfunction("""COMPUTED_VALUE"""),"")</f>
        <v/>
      </c>
      <c r="AB673" s="364"/>
    </row>
    <row r="674" customFormat="false" ht="15.75" hidden="false" customHeight="false" outlineLevel="0" collapsed="false">
      <c r="A674" s="364"/>
      <c r="B674" s="364"/>
      <c r="C674" s="261"/>
      <c r="D674" s="261"/>
      <c r="E674" s="261"/>
      <c r="F674" s="364"/>
      <c r="G674" s="261"/>
      <c r="H674" s="261"/>
      <c r="I674" s="364"/>
      <c r="J674" s="364"/>
      <c r="K674" s="364"/>
      <c r="L674" s="364"/>
      <c r="M674" s="364"/>
      <c r="N674" s="364"/>
      <c r="O674" s="364"/>
      <c r="P674" s="364"/>
      <c r="Q674" s="364"/>
      <c r="R674" s="364"/>
      <c r="S674" s="364"/>
      <c r="T674" s="364"/>
      <c r="U674" s="364"/>
      <c r="V674" s="364"/>
      <c r="W674" s="364"/>
      <c r="X674" s="364"/>
      <c r="Y674" s="364"/>
      <c r="Z674" s="364"/>
      <c r="AA674" s="364" t="str">
        <f aca="false">IFERROR(__xludf.dummyfunction("""COMPUTED_VALUE"""),"")</f>
        <v/>
      </c>
      <c r="AB674" s="364"/>
    </row>
    <row r="675" customFormat="false" ht="15.75" hidden="false" customHeight="false" outlineLevel="0" collapsed="false">
      <c r="A675" s="364"/>
      <c r="B675" s="364"/>
      <c r="C675" s="261"/>
      <c r="D675" s="261"/>
      <c r="E675" s="261"/>
      <c r="F675" s="364"/>
      <c r="G675" s="261"/>
      <c r="H675" s="261"/>
      <c r="I675" s="364"/>
      <c r="J675" s="364"/>
      <c r="K675" s="364"/>
      <c r="L675" s="364"/>
      <c r="M675" s="364"/>
      <c r="N675" s="364"/>
      <c r="O675" s="364"/>
      <c r="P675" s="364"/>
      <c r="Q675" s="364"/>
      <c r="R675" s="364"/>
      <c r="S675" s="364"/>
      <c r="T675" s="364"/>
      <c r="U675" s="364"/>
      <c r="V675" s="364"/>
      <c r="W675" s="364"/>
      <c r="X675" s="364"/>
      <c r="Y675" s="364"/>
      <c r="Z675" s="364"/>
      <c r="AA675" s="364" t="str">
        <f aca="false">IFERROR(__xludf.dummyfunction("""COMPUTED_VALUE"""),"")</f>
        <v/>
      </c>
      <c r="AB675" s="364"/>
    </row>
    <row r="676" customFormat="false" ht="15.75" hidden="false" customHeight="false" outlineLevel="0" collapsed="false">
      <c r="A676" s="364"/>
      <c r="B676" s="364"/>
      <c r="C676" s="261"/>
      <c r="D676" s="261"/>
      <c r="E676" s="261"/>
      <c r="F676" s="261"/>
      <c r="G676" s="261"/>
      <c r="H676" s="261"/>
      <c r="I676" s="364"/>
      <c r="J676" s="364"/>
      <c r="K676" s="364"/>
      <c r="L676" s="364"/>
      <c r="M676" s="364"/>
      <c r="N676" s="364"/>
      <c r="O676" s="364"/>
      <c r="P676" s="364"/>
      <c r="Q676" s="364"/>
      <c r="R676" s="364"/>
      <c r="S676" s="364"/>
      <c r="T676" s="364"/>
      <c r="U676" s="364"/>
      <c r="V676" s="364"/>
      <c r="W676" s="364"/>
      <c r="X676" s="364"/>
      <c r="Y676" s="364"/>
      <c r="Z676" s="364"/>
      <c r="AA676" s="364" t="str">
        <f aca="false">IFERROR(__xludf.dummyfunction("""COMPUTED_VALUE"""),"")</f>
        <v/>
      </c>
      <c r="AB676" s="364"/>
    </row>
    <row r="677" customFormat="false" ht="15.75" hidden="false" customHeight="false" outlineLevel="0" collapsed="false">
      <c r="A677" s="364"/>
      <c r="B677" s="364"/>
      <c r="C677" s="261"/>
      <c r="D677" s="261"/>
      <c r="E677" s="261"/>
      <c r="F677" s="364"/>
      <c r="G677" s="261"/>
      <c r="H677" s="261"/>
      <c r="I677" s="364"/>
      <c r="J677" s="364"/>
      <c r="K677" s="364"/>
      <c r="L677" s="364"/>
      <c r="M677" s="364"/>
      <c r="N677" s="364"/>
      <c r="O677" s="364"/>
      <c r="P677" s="364"/>
      <c r="Q677" s="364"/>
      <c r="R677" s="364"/>
      <c r="S677" s="364"/>
      <c r="T677" s="364"/>
      <c r="U677" s="364"/>
      <c r="V677" s="364"/>
      <c r="W677" s="364"/>
      <c r="X677" s="364"/>
      <c r="Y677" s="364"/>
      <c r="Z677" s="364"/>
      <c r="AA677" s="364" t="str">
        <f aca="false">IFERROR(__xludf.dummyfunction("""COMPUTED_VALUE"""),"")</f>
        <v/>
      </c>
      <c r="AB677" s="364"/>
    </row>
    <row r="678" customFormat="false" ht="15.75" hidden="false" customHeight="false" outlineLevel="0" collapsed="false">
      <c r="A678" s="364"/>
      <c r="B678" s="364"/>
      <c r="C678" s="261"/>
      <c r="D678" s="261"/>
      <c r="E678" s="261"/>
      <c r="F678" s="364"/>
      <c r="G678" s="261"/>
      <c r="H678" s="261"/>
      <c r="I678" s="364"/>
      <c r="J678" s="364"/>
      <c r="K678" s="364"/>
      <c r="L678" s="364"/>
      <c r="M678" s="364"/>
      <c r="N678" s="364"/>
      <c r="O678" s="364"/>
      <c r="P678" s="364"/>
      <c r="Q678" s="364"/>
      <c r="R678" s="364"/>
      <c r="S678" s="364"/>
      <c r="T678" s="364"/>
      <c r="U678" s="364"/>
      <c r="V678" s="364"/>
      <c r="W678" s="364"/>
      <c r="X678" s="364"/>
      <c r="Y678" s="364"/>
      <c r="Z678" s="364"/>
      <c r="AA678" s="364" t="str">
        <f aca="false">IFERROR(__xludf.dummyfunction("""COMPUTED_VALUE"""),"")</f>
        <v/>
      </c>
      <c r="AB678" s="364"/>
    </row>
    <row r="679" customFormat="false" ht="15.75" hidden="false" customHeight="false" outlineLevel="0" collapsed="false">
      <c r="A679" s="364"/>
      <c r="B679" s="364"/>
      <c r="C679" s="261"/>
      <c r="D679" s="261"/>
      <c r="E679" s="261"/>
      <c r="F679" s="364"/>
      <c r="G679" s="261"/>
      <c r="H679" s="261"/>
      <c r="I679" s="364"/>
      <c r="J679" s="364"/>
      <c r="K679" s="364"/>
      <c r="L679" s="364"/>
      <c r="M679" s="364"/>
      <c r="N679" s="364"/>
      <c r="O679" s="364"/>
      <c r="P679" s="364"/>
      <c r="Q679" s="364"/>
      <c r="R679" s="364"/>
      <c r="S679" s="364"/>
      <c r="T679" s="364"/>
      <c r="U679" s="364"/>
      <c r="V679" s="364"/>
      <c r="W679" s="364"/>
      <c r="X679" s="364"/>
      <c r="Y679" s="364"/>
      <c r="Z679" s="364"/>
      <c r="AA679" s="364" t="str">
        <f aca="false">IFERROR(__xludf.dummyfunction("""COMPUTED_VALUE"""),"")</f>
        <v/>
      </c>
      <c r="AB679" s="364"/>
    </row>
    <row r="680" customFormat="false" ht="15.75" hidden="false" customHeight="false" outlineLevel="0" collapsed="false">
      <c r="A680" s="364"/>
      <c r="B680" s="364"/>
      <c r="C680" s="261"/>
      <c r="D680" s="261"/>
      <c r="E680" s="261"/>
      <c r="F680" s="364"/>
      <c r="G680" s="261"/>
      <c r="H680" s="261"/>
      <c r="I680" s="364"/>
      <c r="J680" s="364"/>
      <c r="K680" s="364"/>
      <c r="L680" s="364"/>
      <c r="M680" s="364"/>
      <c r="N680" s="364"/>
      <c r="O680" s="364"/>
      <c r="P680" s="364"/>
      <c r="Q680" s="364"/>
      <c r="R680" s="364"/>
      <c r="S680" s="364"/>
      <c r="T680" s="364"/>
      <c r="U680" s="364"/>
      <c r="V680" s="364"/>
      <c r="W680" s="364"/>
      <c r="X680" s="364"/>
      <c r="Y680" s="364"/>
      <c r="Z680" s="364"/>
      <c r="AA680" s="364" t="str">
        <f aca="false">IFERROR(__xludf.dummyfunction("""COMPUTED_VALUE"""),"")</f>
        <v/>
      </c>
      <c r="AB680" s="364"/>
    </row>
    <row r="681" customFormat="false" ht="15.75" hidden="false" customHeight="false" outlineLevel="0" collapsed="false">
      <c r="A681" s="364"/>
      <c r="B681" s="364"/>
      <c r="C681" s="261"/>
      <c r="D681" s="261"/>
      <c r="E681" s="261"/>
      <c r="F681" s="261"/>
      <c r="G681" s="261"/>
      <c r="H681" s="261"/>
      <c r="I681" s="364"/>
      <c r="J681" s="364"/>
      <c r="K681" s="364"/>
      <c r="L681" s="364"/>
      <c r="M681" s="364"/>
      <c r="N681" s="364"/>
      <c r="O681" s="364"/>
      <c r="P681" s="364"/>
      <c r="Q681" s="364"/>
      <c r="R681" s="364"/>
      <c r="S681" s="364"/>
      <c r="T681" s="364"/>
      <c r="U681" s="364"/>
      <c r="V681" s="364"/>
      <c r="W681" s="364"/>
      <c r="X681" s="364"/>
      <c r="Y681" s="364"/>
      <c r="Z681" s="364"/>
      <c r="AA681" s="364" t="str">
        <f aca="false">IFERROR(__xludf.dummyfunction("""COMPUTED_VALUE"""),"")</f>
        <v/>
      </c>
      <c r="AB681" s="364"/>
    </row>
    <row r="682" customFormat="false" ht="15.75" hidden="false" customHeight="false" outlineLevel="0" collapsed="false">
      <c r="A682" s="364"/>
      <c r="B682" s="364"/>
      <c r="C682" s="261"/>
      <c r="D682" s="261"/>
      <c r="E682" s="261"/>
      <c r="F682" s="364"/>
      <c r="G682" s="261"/>
      <c r="H682" s="364"/>
      <c r="I682" s="364"/>
      <c r="J682" s="364"/>
      <c r="K682" s="364"/>
      <c r="L682" s="364"/>
      <c r="M682" s="364"/>
      <c r="N682" s="364"/>
      <c r="O682" s="364"/>
      <c r="P682" s="364"/>
      <c r="Q682" s="364"/>
      <c r="R682" s="364"/>
      <c r="S682" s="364"/>
      <c r="T682" s="364"/>
      <c r="U682" s="364"/>
      <c r="V682" s="364"/>
      <c r="W682" s="364"/>
      <c r="X682" s="364"/>
      <c r="Y682" s="364"/>
      <c r="Z682" s="364"/>
      <c r="AA682" s="364" t="str">
        <f aca="false">IFERROR(__xludf.dummyfunction("""COMPUTED_VALUE"""),"")</f>
        <v/>
      </c>
      <c r="AB682" s="364"/>
    </row>
    <row r="683" customFormat="false" ht="15.75" hidden="false" customHeight="false" outlineLevel="0" collapsed="false">
      <c r="A683" s="261"/>
      <c r="B683" s="261"/>
      <c r="C683" s="261"/>
      <c r="D683" s="261"/>
      <c r="E683" s="261"/>
      <c r="F683" s="364"/>
      <c r="G683" s="261"/>
      <c r="H683" s="364"/>
      <c r="I683" s="364"/>
      <c r="J683" s="364"/>
      <c r="K683" s="364"/>
      <c r="L683" s="364"/>
      <c r="M683" s="364"/>
      <c r="N683" s="364"/>
      <c r="O683" s="364"/>
      <c r="P683" s="364"/>
      <c r="Q683" s="364"/>
      <c r="R683" s="364"/>
      <c r="S683" s="364"/>
      <c r="T683" s="364"/>
      <c r="U683" s="364"/>
      <c r="V683" s="364"/>
      <c r="W683" s="364"/>
      <c r="X683" s="364"/>
      <c r="Y683" s="364"/>
      <c r="Z683" s="364"/>
      <c r="AA683" s="364" t="str">
        <f aca="false">IFERROR(__xludf.dummyfunction("""COMPUTED_VALUE"""),"")</f>
        <v/>
      </c>
      <c r="AB683" s="364"/>
    </row>
    <row r="684" customFormat="false" ht="15.75" hidden="false" customHeight="false" outlineLevel="0" collapsed="false">
      <c r="A684" s="364"/>
      <c r="B684" s="364"/>
      <c r="C684" s="261"/>
      <c r="D684" s="261"/>
      <c r="E684" s="261"/>
      <c r="F684" s="364"/>
      <c r="G684" s="261"/>
      <c r="H684" s="261"/>
      <c r="I684" s="364"/>
      <c r="J684" s="364"/>
      <c r="K684" s="364"/>
      <c r="L684" s="364"/>
      <c r="M684" s="364"/>
      <c r="N684" s="364"/>
      <c r="O684" s="364"/>
      <c r="P684" s="364"/>
      <c r="Q684" s="364"/>
      <c r="R684" s="364"/>
      <c r="S684" s="364"/>
      <c r="T684" s="364"/>
      <c r="U684" s="364"/>
      <c r="V684" s="364"/>
      <c r="W684" s="364"/>
      <c r="X684" s="364"/>
      <c r="Y684" s="364"/>
      <c r="Z684" s="364"/>
      <c r="AA684" s="364" t="str">
        <f aca="false">IFERROR(__xludf.dummyfunction("""COMPUTED_VALUE"""),"")</f>
        <v/>
      </c>
      <c r="AB684" s="364"/>
    </row>
    <row r="685" customFormat="false" ht="15.75" hidden="false" customHeight="false" outlineLevel="0" collapsed="false">
      <c r="A685" s="364"/>
      <c r="B685" s="364"/>
      <c r="C685" s="261"/>
      <c r="D685" s="261"/>
      <c r="E685" s="261"/>
      <c r="F685" s="364"/>
      <c r="G685" s="261"/>
      <c r="H685" s="261"/>
      <c r="I685" s="364"/>
      <c r="J685" s="364"/>
      <c r="K685" s="364"/>
      <c r="L685" s="364"/>
      <c r="M685" s="364"/>
      <c r="N685" s="364"/>
      <c r="O685" s="364"/>
      <c r="P685" s="364"/>
      <c r="Q685" s="364"/>
      <c r="R685" s="364"/>
      <c r="S685" s="364"/>
      <c r="T685" s="364"/>
      <c r="U685" s="364"/>
      <c r="V685" s="364"/>
      <c r="W685" s="364"/>
      <c r="X685" s="364"/>
      <c r="Y685" s="364"/>
      <c r="Z685" s="364"/>
      <c r="AA685" s="364" t="str">
        <f aca="false">IFERROR(__xludf.dummyfunction("""COMPUTED_VALUE"""),"")</f>
        <v/>
      </c>
      <c r="AB685" s="364"/>
    </row>
    <row r="686" customFormat="false" ht="15.75" hidden="false" customHeight="false" outlineLevel="0" collapsed="false">
      <c r="A686" s="364"/>
      <c r="B686" s="364"/>
      <c r="C686" s="261"/>
      <c r="D686" s="261"/>
      <c r="E686" s="261"/>
      <c r="F686" s="364"/>
      <c r="G686" s="261"/>
      <c r="H686" s="261"/>
      <c r="I686" s="364"/>
      <c r="J686" s="364"/>
      <c r="K686" s="364"/>
      <c r="L686" s="364"/>
      <c r="M686" s="364"/>
      <c r="N686" s="364"/>
      <c r="O686" s="364"/>
      <c r="P686" s="364"/>
      <c r="Q686" s="364"/>
      <c r="R686" s="364"/>
      <c r="S686" s="364"/>
      <c r="T686" s="364"/>
      <c r="U686" s="364"/>
      <c r="V686" s="364"/>
      <c r="W686" s="364"/>
      <c r="X686" s="364"/>
      <c r="Y686" s="364"/>
      <c r="Z686" s="364"/>
      <c r="AA686" s="364" t="str">
        <f aca="false">IFERROR(__xludf.dummyfunction("""COMPUTED_VALUE"""),"")</f>
        <v/>
      </c>
      <c r="AB686" s="364"/>
    </row>
    <row r="687" customFormat="false" ht="15.75" hidden="false" customHeight="false" outlineLevel="0" collapsed="false">
      <c r="A687" s="364"/>
      <c r="B687" s="364"/>
      <c r="C687" s="261"/>
      <c r="D687" s="261"/>
      <c r="E687" s="261"/>
      <c r="F687" s="261"/>
      <c r="G687" s="261"/>
      <c r="H687" s="261"/>
      <c r="I687" s="364"/>
      <c r="J687" s="364"/>
      <c r="K687" s="364"/>
      <c r="L687" s="364"/>
      <c r="M687" s="364"/>
      <c r="N687" s="364"/>
      <c r="O687" s="364"/>
      <c r="P687" s="364"/>
      <c r="Q687" s="364"/>
      <c r="R687" s="364"/>
      <c r="S687" s="364"/>
      <c r="T687" s="364"/>
      <c r="U687" s="364"/>
      <c r="V687" s="364"/>
      <c r="W687" s="364"/>
      <c r="X687" s="364"/>
      <c r="Y687" s="364"/>
      <c r="Z687" s="364"/>
      <c r="AA687" s="364" t="str">
        <f aca="false">IFERROR(__xludf.dummyfunction("""COMPUTED_VALUE"""),"")</f>
        <v/>
      </c>
      <c r="AB687" s="364"/>
    </row>
    <row r="688" customFormat="false" ht="15.75" hidden="false" customHeight="false" outlineLevel="0" collapsed="false">
      <c r="A688" s="364"/>
      <c r="B688" s="364"/>
      <c r="C688" s="261"/>
      <c r="D688" s="261"/>
      <c r="E688" s="261"/>
      <c r="F688" s="364"/>
      <c r="G688" s="261"/>
      <c r="H688" s="261"/>
      <c r="I688" s="364"/>
      <c r="J688" s="364"/>
      <c r="K688" s="364"/>
      <c r="L688" s="364"/>
      <c r="M688" s="364"/>
      <c r="N688" s="364"/>
      <c r="O688" s="364"/>
      <c r="P688" s="364"/>
      <c r="Q688" s="364"/>
      <c r="R688" s="364"/>
      <c r="S688" s="364"/>
      <c r="T688" s="364"/>
      <c r="U688" s="364"/>
      <c r="V688" s="364"/>
      <c r="W688" s="364"/>
      <c r="X688" s="364"/>
      <c r="Y688" s="364"/>
      <c r="Z688" s="364"/>
      <c r="AA688" s="364" t="str">
        <f aca="false">IFERROR(__xludf.dummyfunction("""COMPUTED_VALUE"""),"")</f>
        <v/>
      </c>
      <c r="AB688" s="364"/>
    </row>
    <row r="689" customFormat="false" ht="15.75" hidden="false" customHeight="false" outlineLevel="0" collapsed="false">
      <c r="A689" s="364"/>
      <c r="B689" s="364"/>
      <c r="C689" s="261"/>
      <c r="D689" s="261"/>
      <c r="E689" s="261"/>
      <c r="F689" s="364"/>
      <c r="G689" s="261"/>
      <c r="H689" s="261"/>
      <c r="I689" s="364"/>
      <c r="J689" s="364"/>
      <c r="K689" s="364"/>
      <c r="L689" s="364"/>
      <c r="M689" s="364"/>
      <c r="N689" s="364"/>
      <c r="O689" s="364"/>
      <c r="P689" s="364"/>
      <c r="Q689" s="364"/>
      <c r="R689" s="364"/>
      <c r="S689" s="364"/>
      <c r="T689" s="364"/>
      <c r="U689" s="364"/>
      <c r="V689" s="364"/>
      <c r="W689" s="364"/>
      <c r="X689" s="364"/>
      <c r="Y689" s="364"/>
      <c r="Z689" s="364"/>
      <c r="AA689" s="364" t="str">
        <f aca="false">IFERROR(__xludf.dummyfunction("""COMPUTED_VALUE"""),"")</f>
        <v/>
      </c>
      <c r="AB689" s="364"/>
    </row>
    <row r="690" customFormat="false" ht="15.75" hidden="false" customHeight="false" outlineLevel="0" collapsed="false">
      <c r="A690" s="364"/>
      <c r="B690" s="364"/>
      <c r="C690" s="261"/>
      <c r="D690" s="261"/>
      <c r="E690" s="261"/>
      <c r="F690" s="261"/>
      <c r="G690" s="261"/>
      <c r="H690" s="261"/>
      <c r="I690" s="364"/>
      <c r="J690" s="364"/>
      <c r="K690" s="364"/>
      <c r="L690" s="364"/>
      <c r="M690" s="364"/>
      <c r="N690" s="364"/>
      <c r="O690" s="364"/>
      <c r="P690" s="364"/>
      <c r="Q690" s="364"/>
      <c r="R690" s="364"/>
      <c r="S690" s="364"/>
      <c r="T690" s="364"/>
      <c r="U690" s="364"/>
      <c r="V690" s="364"/>
      <c r="W690" s="364"/>
      <c r="X690" s="364"/>
      <c r="Y690" s="364"/>
      <c r="Z690" s="364"/>
      <c r="AA690" s="364" t="str">
        <f aca="false">IFERROR(__xludf.dummyfunction("""COMPUTED_VALUE"""),"")</f>
        <v/>
      </c>
      <c r="AB690" s="364"/>
    </row>
    <row r="691" customFormat="false" ht="15.75" hidden="false" customHeight="false" outlineLevel="0" collapsed="false">
      <c r="A691" s="364"/>
      <c r="B691" s="364"/>
      <c r="C691" s="261"/>
      <c r="D691" s="261"/>
      <c r="E691" s="261"/>
      <c r="F691" s="261"/>
      <c r="G691" s="261"/>
      <c r="H691" s="261"/>
      <c r="I691" s="364"/>
      <c r="J691" s="364"/>
      <c r="K691" s="364"/>
      <c r="L691" s="364"/>
      <c r="M691" s="364"/>
      <c r="N691" s="364"/>
      <c r="O691" s="364"/>
      <c r="P691" s="364"/>
      <c r="Q691" s="364"/>
      <c r="R691" s="364"/>
      <c r="S691" s="364"/>
      <c r="T691" s="364"/>
      <c r="U691" s="364"/>
      <c r="V691" s="364"/>
      <c r="W691" s="364"/>
      <c r="X691" s="364"/>
      <c r="Y691" s="364"/>
      <c r="Z691" s="364"/>
      <c r="AA691" s="364" t="str">
        <f aca="false">IFERROR(__xludf.dummyfunction("""COMPUTED_VALUE"""),"")</f>
        <v/>
      </c>
      <c r="AB691" s="364"/>
    </row>
    <row r="692" customFormat="false" ht="15.75" hidden="false" customHeight="false" outlineLevel="0" collapsed="false">
      <c r="A692" s="364"/>
      <c r="B692" s="364"/>
      <c r="C692" s="261"/>
      <c r="D692" s="261"/>
      <c r="E692" s="261"/>
      <c r="F692" s="364"/>
      <c r="G692" s="261"/>
      <c r="H692" s="261"/>
      <c r="I692" s="364"/>
      <c r="J692" s="364"/>
      <c r="K692" s="364"/>
      <c r="L692" s="364"/>
      <c r="M692" s="364"/>
      <c r="N692" s="364"/>
      <c r="O692" s="364"/>
      <c r="P692" s="364"/>
      <c r="Q692" s="364"/>
      <c r="R692" s="364"/>
      <c r="S692" s="364"/>
      <c r="T692" s="364"/>
      <c r="U692" s="364"/>
      <c r="V692" s="364"/>
      <c r="W692" s="364"/>
      <c r="X692" s="364"/>
      <c r="Y692" s="364"/>
      <c r="Z692" s="364"/>
      <c r="AA692" s="364" t="str">
        <f aca="false">IFERROR(__xludf.dummyfunction("""COMPUTED_VALUE"""),"")</f>
        <v/>
      </c>
      <c r="AB692" s="364"/>
    </row>
    <row r="693" customFormat="false" ht="15.75" hidden="false" customHeight="false" outlineLevel="0" collapsed="false">
      <c r="A693" s="364"/>
      <c r="B693" s="364"/>
      <c r="C693" s="261"/>
      <c r="D693" s="261"/>
      <c r="E693" s="261"/>
      <c r="F693" s="364"/>
      <c r="G693" s="261"/>
      <c r="H693" s="364"/>
      <c r="I693" s="364"/>
      <c r="J693" s="364"/>
      <c r="K693" s="364"/>
      <c r="L693" s="364"/>
      <c r="M693" s="364"/>
      <c r="N693" s="364"/>
      <c r="O693" s="364"/>
      <c r="P693" s="364"/>
      <c r="Q693" s="364"/>
      <c r="R693" s="364"/>
      <c r="S693" s="364"/>
      <c r="T693" s="364"/>
      <c r="U693" s="364"/>
      <c r="V693" s="364"/>
      <c r="W693" s="364"/>
      <c r="X693" s="364"/>
      <c r="Y693" s="364"/>
      <c r="Z693" s="364"/>
      <c r="AA693" s="364" t="str">
        <f aca="false">IFERROR(__xludf.dummyfunction("""COMPUTED_VALUE"""),"")</f>
        <v/>
      </c>
      <c r="AB693" s="364"/>
    </row>
    <row r="694" customFormat="false" ht="15.75" hidden="false" customHeight="false" outlineLevel="0" collapsed="false">
      <c r="A694" s="364"/>
      <c r="B694" s="364"/>
      <c r="C694" s="261"/>
      <c r="D694" s="261"/>
      <c r="E694" s="261"/>
      <c r="F694" s="364"/>
      <c r="G694" s="261"/>
      <c r="H694" s="261"/>
      <c r="I694" s="364"/>
      <c r="J694" s="364"/>
      <c r="K694" s="364"/>
      <c r="L694" s="364"/>
      <c r="M694" s="364"/>
      <c r="N694" s="364"/>
      <c r="O694" s="364"/>
      <c r="P694" s="364"/>
      <c r="Q694" s="364"/>
      <c r="R694" s="364"/>
      <c r="S694" s="364"/>
      <c r="T694" s="364"/>
      <c r="U694" s="364"/>
      <c r="V694" s="364"/>
      <c r="W694" s="364"/>
      <c r="X694" s="364"/>
      <c r="Y694" s="364"/>
      <c r="Z694" s="364"/>
      <c r="AA694" s="364" t="str">
        <f aca="false">IFERROR(__xludf.dummyfunction("""COMPUTED_VALUE"""),"")</f>
        <v/>
      </c>
      <c r="AB694" s="364"/>
    </row>
    <row r="695" customFormat="false" ht="15.75" hidden="false" customHeight="false" outlineLevel="0" collapsed="false">
      <c r="A695" s="364"/>
      <c r="B695" s="364"/>
      <c r="C695" s="261"/>
      <c r="D695" s="261"/>
      <c r="E695" s="261"/>
      <c r="F695" s="364"/>
      <c r="G695" s="261"/>
      <c r="H695" s="261"/>
      <c r="I695" s="364"/>
      <c r="J695" s="364"/>
      <c r="K695" s="364"/>
      <c r="L695" s="364"/>
      <c r="M695" s="364"/>
      <c r="N695" s="364"/>
      <c r="O695" s="364"/>
      <c r="P695" s="364"/>
      <c r="Q695" s="364"/>
      <c r="R695" s="364"/>
      <c r="S695" s="364"/>
      <c r="T695" s="364"/>
      <c r="U695" s="364"/>
      <c r="V695" s="364"/>
      <c r="W695" s="364"/>
      <c r="X695" s="364"/>
      <c r="Y695" s="364"/>
      <c r="Z695" s="364"/>
      <c r="AA695" s="364" t="str">
        <f aca="false">IFERROR(__xludf.dummyfunction("""COMPUTED_VALUE"""),"")</f>
        <v/>
      </c>
      <c r="AB695" s="364"/>
    </row>
    <row r="696" customFormat="false" ht="15.75" hidden="false" customHeight="false" outlineLevel="0" collapsed="false">
      <c r="A696" s="364"/>
      <c r="B696" s="364"/>
      <c r="C696" s="261"/>
      <c r="D696" s="261"/>
      <c r="E696" s="261"/>
      <c r="F696" s="261"/>
      <c r="G696" s="261"/>
      <c r="H696" s="261"/>
      <c r="I696" s="364"/>
      <c r="J696" s="364"/>
      <c r="K696" s="364"/>
      <c r="L696" s="364"/>
      <c r="M696" s="364"/>
      <c r="N696" s="364"/>
      <c r="O696" s="364"/>
      <c r="P696" s="364"/>
      <c r="Q696" s="364"/>
      <c r="R696" s="364"/>
      <c r="S696" s="364"/>
      <c r="T696" s="364"/>
      <c r="U696" s="364"/>
      <c r="V696" s="364"/>
      <c r="W696" s="364"/>
      <c r="X696" s="364"/>
      <c r="Y696" s="364"/>
      <c r="Z696" s="364"/>
      <c r="AA696" s="364" t="str">
        <f aca="false">IFERROR(__xludf.dummyfunction("""COMPUTED_VALUE"""),"")</f>
        <v/>
      </c>
      <c r="AB696" s="364"/>
    </row>
    <row r="697" customFormat="false" ht="15.75" hidden="false" customHeight="false" outlineLevel="0" collapsed="false">
      <c r="A697" s="364"/>
      <c r="B697" s="364"/>
      <c r="C697" s="261"/>
      <c r="D697" s="261"/>
      <c r="E697" s="261"/>
      <c r="F697" s="364"/>
      <c r="G697" s="261"/>
      <c r="H697" s="261"/>
      <c r="I697" s="364"/>
      <c r="J697" s="364"/>
      <c r="K697" s="364"/>
      <c r="L697" s="364"/>
      <c r="M697" s="364"/>
      <c r="N697" s="364"/>
      <c r="O697" s="364"/>
      <c r="P697" s="364"/>
      <c r="Q697" s="364"/>
      <c r="R697" s="364"/>
      <c r="S697" s="364"/>
      <c r="T697" s="364"/>
      <c r="U697" s="364"/>
      <c r="V697" s="364"/>
      <c r="W697" s="364"/>
      <c r="X697" s="364"/>
      <c r="Y697" s="364"/>
      <c r="Z697" s="364"/>
      <c r="AA697" s="364" t="str">
        <f aca="false">IFERROR(__xludf.dummyfunction("""COMPUTED_VALUE"""),"")</f>
        <v/>
      </c>
      <c r="AB697" s="364"/>
    </row>
    <row r="698" customFormat="false" ht="15.75" hidden="false" customHeight="false" outlineLevel="0" collapsed="false">
      <c r="A698" s="364"/>
      <c r="B698" s="364"/>
      <c r="C698" s="261"/>
      <c r="D698" s="261"/>
      <c r="E698" s="261"/>
      <c r="F698" s="364"/>
      <c r="G698" s="261"/>
      <c r="H698" s="261"/>
      <c r="I698" s="364"/>
      <c r="J698" s="364"/>
      <c r="K698" s="364"/>
      <c r="L698" s="364"/>
      <c r="M698" s="364"/>
      <c r="N698" s="364"/>
      <c r="O698" s="364"/>
      <c r="P698" s="364"/>
      <c r="Q698" s="364"/>
      <c r="R698" s="364"/>
      <c r="S698" s="364"/>
      <c r="T698" s="364"/>
      <c r="U698" s="364"/>
      <c r="V698" s="364"/>
      <c r="W698" s="364"/>
      <c r="X698" s="364"/>
      <c r="Y698" s="364"/>
      <c r="Z698" s="364"/>
      <c r="AA698" s="364" t="str">
        <f aca="false">IFERROR(__xludf.dummyfunction("""COMPUTED_VALUE"""),"")</f>
        <v/>
      </c>
      <c r="AB698" s="364"/>
    </row>
    <row r="699" customFormat="false" ht="15.75" hidden="false" customHeight="false" outlineLevel="0" collapsed="false">
      <c r="A699" s="261"/>
      <c r="B699" s="261"/>
      <c r="C699" s="261"/>
      <c r="D699" s="261"/>
      <c r="E699" s="261"/>
      <c r="F699" s="364"/>
      <c r="G699" s="261"/>
      <c r="H699" s="364"/>
      <c r="I699" s="364"/>
      <c r="J699" s="364"/>
      <c r="K699" s="364"/>
      <c r="L699" s="364"/>
      <c r="M699" s="364"/>
      <c r="N699" s="364"/>
      <c r="O699" s="364"/>
      <c r="P699" s="364"/>
      <c r="Q699" s="364"/>
      <c r="R699" s="364"/>
      <c r="S699" s="364"/>
      <c r="T699" s="364"/>
      <c r="U699" s="364"/>
      <c r="V699" s="364"/>
      <c r="W699" s="364"/>
      <c r="X699" s="364"/>
      <c r="Y699" s="364"/>
      <c r="Z699" s="364"/>
      <c r="AA699" s="364" t="str">
        <f aca="false">IFERROR(__xludf.dummyfunction("""COMPUTED_VALUE"""),"")</f>
        <v/>
      </c>
      <c r="AB699" s="364"/>
    </row>
    <row r="700" customFormat="false" ht="15.75" hidden="false" customHeight="false" outlineLevel="0" collapsed="false">
      <c r="A700" s="364"/>
      <c r="B700" s="364"/>
      <c r="C700" s="261"/>
      <c r="D700" s="261"/>
      <c r="E700" s="261"/>
      <c r="F700" s="364"/>
      <c r="G700" s="261"/>
      <c r="H700" s="261"/>
      <c r="I700" s="364"/>
      <c r="J700" s="364"/>
      <c r="K700" s="364"/>
      <c r="L700" s="364"/>
      <c r="M700" s="364"/>
      <c r="N700" s="364"/>
      <c r="O700" s="364"/>
      <c r="P700" s="364"/>
      <c r="Q700" s="364"/>
      <c r="R700" s="364"/>
      <c r="S700" s="364"/>
      <c r="T700" s="364"/>
      <c r="U700" s="364"/>
      <c r="V700" s="364"/>
      <c r="W700" s="364"/>
      <c r="X700" s="364"/>
      <c r="Y700" s="364"/>
      <c r="Z700" s="364"/>
      <c r="AA700" s="364" t="str">
        <f aca="false">IFERROR(__xludf.dummyfunction("""COMPUTED_VALUE"""),"")</f>
        <v/>
      </c>
      <c r="AB700" s="364"/>
    </row>
    <row r="701" customFormat="false" ht="15.75" hidden="false" customHeight="false" outlineLevel="0" collapsed="false">
      <c r="A701" s="364"/>
      <c r="B701" s="364"/>
      <c r="C701" s="261"/>
      <c r="D701" s="261"/>
      <c r="E701" s="261"/>
      <c r="F701" s="364"/>
      <c r="G701" s="261"/>
      <c r="H701" s="261"/>
      <c r="I701" s="364"/>
      <c r="J701" s="364"/>
      <c r="K701" s="364"/>
      <c r="L701" s="364"/>
      <c r="M701" s="364"/>
      <c r="N701" s="364"/>
      <c r="O701" s="364"/>
      <c r="P701" s="364"/>
      <c r="Q701" s="364"/>
      <c r="R701" s="364"/>
      <c r="S701" s="364"/>
      <c r="T701" s="364"/>
      <c r="U701" s="364"/>
      <c r="V701" s="364"/>
      <c r="W701" s="364"/>
      <c r="X701" s="364"/>
      <c r="Y701" s="364"/>
      <c r="Z701" s="364"/>
      <c r="AA701" s="364" t="str">
        <f aca="false">IFERROR(__xludf.dummyfunction("""COMPUTED_VALUE"""),"")</f>
        <v/>
      </c>
      <c r="AB701" s="364"/>
    </row>
    <row r="702" customFormat="false" ht="15.75" hidden="false" customHeight="false" outlineLevel="0" collapsed="false">
      <c r="A702" s="364"/>
      <c r="B702" s="364"/>
      <c r="C702" s="261"/>
      <c r="D702" s="261"/>
      <c r="E702" s="261"/>
      <c r="F702" s="364"/>
      <c r="G702" s="261"/>
      <c r="H702" s="261"/>
      <c r="I702" s="364"/>
      <c r="J702" s="364"/>
      <c r="K702" s="364"/>
      <c r="L702" s="364"/>
      <c r="M702" s="364"/>
      <c r="N702" s="364"/>
      <c r="O702" s="364"/>
      <c r="P702" s="364"/>
      <c r="Q702" s="364"/>
      <c r="R702" s="364"/>
      <c r="S702" s="364"/>
      <c r="T702" s="364"/>
      <c r="U702" s="364"/>
      <c r="V702" s="364"/>
      <c r="W702" s="364"/>
      <c r="X702" s="364"/>
      <c r="Y702" s="364"/>
      <c r="Z702" s="364"/>
      <c r="AA702" s="364" t="str">
        <f aca="false">IFERROR(__xludf.dummyfunction("""COMPUTED_VALUE"""),"")</f>
        <v/>
      </c>
      <c r="AB702" s="364"/>
    </row>
    <row r="703" customFormat="false" ht="15.75" hidden="false" customHeight="false" outlineLevel="0" collapsed="false">
      <c r="A703" s="364"/>
      <c r="B703" s="364"/>
      <c r="C703" s="261"/>
      <c r="D703" s="261"/>
      <c r="E703" s="261"/>
      <c r="F703" s="364"/>
      <c r="G703" s="261"/>
      <c r="H703" s="261"/>
      <c r="I703" s="364"/>
      <c r="J703" s="364"/>
      <c r="K703" s="364"/>
      <c r="L703" s="364"/>
      <c r="M703" s="364"/>
      <c r="N703" s="364"/>
      <c r="O703" s="364"/>
      <c r="P703" s="364"/>
      <c r="Q703" s="364"/>
      <c r="R703" s="364"/>
      <c r="S703" s="364"/>
      <c r="T703" s="364"/>
      <c r="U703" s="364"/>
      <c r="V703" s="364"/>
      <c r="W703" s="364"/>
      <c r="X703" s="364"/>
      <c r="Y703" s="364"/>
      <c r="Z703" s="364"/>
      <c r="AA703" s="364" t="str">
        <f aca="false">IFERROR(__xludf.dummyfunction("""COMPUTED_VALUE"""),"")</f>
        <v/>
      </c>
      <c r="AB703" s="364"/>
    </row>
    <row r="704" customFormat="false" ht="15.75" hidden="false" customHeight="false" outlineLevel="0" collapsed="false">
      <c r="A704" s="364"/>
      <c r="B704" s="364"/>
      <c r="C704" s="261"/>
      <c r="D704" s="261"/>
      <c r="E704" s="261"/>
      <c r="F704" s="261"/>
      <c r="G704" s="261"/>
      <c r="H704" s="261"/>
      <c r="I704" s="364"/>
      <c r="J704" s="364"/>
      <c r="K704" s="364"/>
      <c r="L704" s="364"/>
      <c r="M704" s="364"/>
      <c r="N704" s="364"/>
      <c r="O704" s="364"/>
      <c r="P704" s="364"/>
      <c r="Q704" s="364"/>
      <c r="R704" s="364"/>
      <c r="S704" s="364"/>
      <c r="T704" s="364"/>
      <c r="U704" s="364"/>
      <c r="V704" s="364"/>
      <c r="W704" s="364"/>
      <c r="X704" s="364"/>
      <c r="Y704" s="364"/>
      <c r="Z704" s="364"/>
      <c r="AA704" s="364" t="str">
        <f aca="false">IFERROR(__xludf.dummyfunction("""COMPUTED_VALUE"""),"")</f>
        <v/>
      </c>
      <c r="AB704" s="364"/>
    </row>
    <row r="705" customFormat="false" ht="15.75" hidden="false" customHeight="false" outlineLevel="0" collapsed="false">
      <c r="A705" s="364"/>
      <c r="B705" s="364"/>
      <c r="C705" s="261"/>
      <c r="D705" s="261"/>
      <c r="E705" s="261"/>
      <c r="F705" s="364"/>
      <c r="G705" s="261"/>
      <c r="H705" s="261"/>
      <c r="I705" s="364"/>
      <c r="J705" s="364"/>
      <c r="K705" s="364"/>
      <c r="L705" s="364"/>
      <c r="M705" s="364"/>
      <c r="N705" s="364"/>
      <c r="O705" s="364"/>
      <c r="P705" s="364"/>
      <c r="Q705" s="364"/>
      <c r="R705" s="364"/>
      <c r="S705" s="364"/>
      <c r="T705" s="364"/>
      <c r="U705" s="364"/>
      <c r="V705" s="364"/>
      <c r="W705" s="364"/>
      <c r="X705" s="364"/>
      <c r="Y705" s="364"/>
      <c r="Z705" s="364"/>
      <c r="AA705" s="364" t="str">
        <f aca="false">IFERROR(__xludf.dummyfunction("""COMPUTED_VALUE"""),"")</f>
        <v/>
      </c>
      <c r="AB705" s="364"/>
    </row>
    <row r="706" customFormat="false" ht="15.75" hidden="false" customHeight="false" outlineLevel="0" collapsed="false">
      <c r="A706" s="364"/>
      <c r="B706" s="364"/>
      <c r="C706" s="261"/>
      <c r="D706" s="261"/>
      <c r="E706" s="261"/>
      <c r="F706" s="364"/>
      <c r="G706" s="261"/>
      <c r="H706" s="261"/>
      <c r="I706" s="364"/>
      <c r="J706" s="364"/>
      <c r="K706" s="364"/>
      <c r="L706" s="364"/>
      <c r="M706" s="364"/>
      <c r="N706" s="364"/>
      <c r="O706" s="364"/>
      <c r="P706" s="364"/>
      <c r="Q706" s="364"/>
      <c r="R706" s="364"/>
      <c r="S706" s="364"/>
      <c r="T706" s="364"/>
      <c r="U706" s="364"/>
      <c r="V706" s="364"/>
      <c r="W706" s="364"/>
      <c r="X706" s="364"/>
      <c r="Y706" s="364"/>
      <c r="Z706" s="364"/>
      <c r="AA706" s="364" t="str">
        <f aca="false">IFERROR(__xludf.dummyfunction("""COMPUTED_VALUE"""),"")</f>
        <v/>
      </c>
      <c r="AB706" s="364"/>
    </row>
    <row r="707" customFormat="false" ht="15.75" hidden="false" customHeight="false" outlineLevel="0" collapsed="false">
      <c r="A707" s="364"/>
      <c r="B707" s="364"/>
      <c r="C707" s="261"/>
      <c r="D707" s="261"/>
      <c r="E707" s="261"/>
      <c r="F707" s="364"/>
      <c r="G707" s="261"/>
      <c r="H707" s="261"/>
      <c r="I707" s="364"/>
      <c r="J707" s="364"/>
      <c r="K707" s="364"/>
      <c r="L707" s="364"/>
      <c r="M707" s="364"/>
      <c r="N707" s="364"/>
      <c r="O707" s="364"/>
      <c r="P707" s="364"/>
      <c r="Q707" s="364"/>
      <c r="R707" s="364"/>
      <c r="S707" s="364"/>
      <c r="T707" s="364"/>
      <c r="U707" s="364"/>
      <c r="V707" s="364"/>
      <c r="W707" s="364"/>
      <c r="X707" s="364"/>
      <c r="Y707" s="364"/>
      <c r="Z707" s="364"/>
      <c r="AA707" s="364" t="str">
        <f aca="false">IFERROR(__xludf.dummyfunction("""COMPUTED_VALUE"""),"")</f>
        <v/>
      </c>
      <c r="AB707" s="364"/>
    </row>
    <row r="708" customFormat="false" ht="15.75" hidden="false" customHeight="false" outlineLevel="0" collapsed="false">
      <c r="A708" s="364"/>
      <c r="B708" s="364"/>
      <c r="C708" s="261"/>
      <c r="D708" s="261"/>
      <c r="E708" s="261"/>
      <c r="F708" s="261"/>
      <c r="G708" s="261"/>
      <c r="H708" s="261"/>
      <c r="I708" s="364"/>
      <c r="J708" s="364"/>
      <c r="K708" s="364"/>
      <c r="L708" s="364"/>
      <c r="M708" s="364"/>
      <c r="N708" s="364"/>
      <c r="O708" s="364"/>
      <c r="P708" s="364"/>
      <c r="Q708" s="364"/>
      <c r="R708" s="364"/>
      <c r="S708" s="364"/>
      <c r="T708" s="364"/>
      <c r="U708" s="364"/>
      <c r="V708" s="364"/>
      <c r="W708" s="364"/>
      <c r="X708" s="364"/>
      <c r="Y708" s="364"/>
      <c r="Z708" s="364"/>
      <c r="AA708" s="364" t="str">
        <f aca="false">IFERROR(__xludf.dummyfunction("""COMPUTED_VALUE"""),"")</f>
        <v/>
      </c>
      <c r="AB708" s="364"/>
    </row>
    <row r="709" customFormat="false" ht="15.75" hidden="false" customHeight="false" outlineLevel="0" collapsed="false">
      <c r="A709" s="364"/>
      <c r="B709" s="364"/>
      <c r="C709" s="261"/>
      <c r="D709" s="261"/>
      <c r="E709" s="261"/>
      <c r="F709" s="364"/>
      <c r="G709" s="261"/>
      <c r="H709" s="261"/>
      <c r="I709" s="364"/>
      <c r="J709" s="364"/>
      <c r="K709" s="364"/>
      <c r="L709" s="364"/>
      <c r="M709" s="364"/>
      <c r="N709" s="364"/>
      <c r="O709" s="364"/>
      <c r="P709" s="364"/>
      <c r="Q709" s="364"/>
      <c r="R709" s="364"/>
      <c r="S709" s="364"/>
      <c r="T709" s="364"/>
      <c r="U709" s="364"/>
      <c r="V709" s="364"/>
      <c r="W709" s="364"/>
      <c r="X709" s="364"/>
      <c r="Y709" s="364"/>
      <c r="Z709" s="364"/>
      <c r="AA709" s="364" t="str">
        <f aca="false">IFERROR(__xludf.dummyfunction("""COMPUTED_VALUE"""),"")</f>
        <v/>
      </c>
      <c r="AB709" s="364"/>
    </row>
    <row r="710" customFormat="false" ht="15.75" hidden="false" customHeight="false" outlineLevel="0" collapsed="false">
      <c r="A710" s="364"/>
      <c r="B710" s="364"/>
      <c r="C710" s="261"/>
      <c r="D710" s="261"/>
      <c r="E710" s="261"/>
      <c r="F710" s="364"/>
      <c r="G710" s="261"/>
      <c r="H710" s="261"/>
      <c r="I710" s="364"/>
      <c r="J710" s="364"/>
      <c r="K710" s="364"/>
      <c r="L710" s="364"/>
      <c r="M710" s="364"/>
      <c r="N710" s="364"/>
      <c r="O710" s="364"/>
      <c r="P710" s="364"/>
      <c r="Q710" s="364"/>
      <c r="R710" s="364"/>
      <c r="S710" s="364"/>
      <c r="T710" s="364"/>
      <c r="U710" s="364"/>
      <c r="V710" s="364"/>
      <c r="W710" s="364"/>
      <c r="X710" s="364"/>
      <c r="Y710" s="364"/>
      <c r="Z710" s="364"/>
      <c r="AA710" s="364" t="str">
        <f aca="false">IFERROR(__xludf.dummyfunction("""COMPUTED_VALUE"""),"")</f>
        <v/>
      </c>
      <c r="AB710" s="364"/>
    </row>
    <row r="711" customFormat="false" ht="15.75" hidden="false" customHeight="false" outlineLevel="0" collapsed="false">
      <c r="A711" s="364"/>
      <c r="B711" s="364"/>
      <c r="C711" s="261"/>
      <c r="D711" s="261"/>
      <c r="E711" s="261"/>
      <c r="F711" s="364"/>
      <c r="G711" s="261"/>
      <c r="H711" s="261"/>
      <c r="I711" s="364"/>
      <c r="J711" s="364"/>
      <c r="K711" s="364"/>
      <c r="L711" s="364"/>
      <c r="M711" s="364"/>
      <c r="N711" s="364"/>
      <c r="O711" s="364"/>
      <c r="P711" s="364"/>
      <c r="Q711" s="364"/>
      <c r="R711" s="364"/>
      <c r="S711" s="364"/>
      <c r="T711" s="364"/>
      <c r="U711" s="364"/>
      <c r="V711" s="364"/>
      <c r="W711" s="364"/>
      <c r="X711" s="364"/>
      <c r="Y711" s="364"/>
      <c r="Z711" s="364"/>
      <c r="AA711" s="364" t="str">
        <f aca="false">IFERROR(__xludf.dummyfunction("""COMPUTED_VALUE"""),"")</f>
        <v/>
      </c>
      <c r="AB711" s="364"/>
    </row>
    <row r="712" customFormat="false" ht="15.75" hidden="false" customHeight="false" outlineLevel="0" collapsed="false">
      <c r="A712" s="364"/>
      <c r="B712" s="364"/>
      <c r="C712" s="364"/>
      <c r="D712" s="364"/>
      <c r="E712" s="364"/>
      <c r="F712" s="364"/>
      <c r="G712" s="364"/>
      <c r="H712" s="364"/>
      <c r="I712" s="364"/>
      <c r="J712" s="364"/>
      <c r="K712" s="364"/>
      <c r="L712" s="364"/>
      <c r="M712" s="364"/>
      <c r="N712" s="364"/>
      <c r="O712" s="364"/>
      <c r="P712" s="364"/>
      <c r="Q712" s="364"/>
      <c r="R712" s="364"/>
      <c r="S712" s="364"/>
      <c r="T712" s="364"/>
      <c r="U712" s="364"/>
      <c r="V712" s="364"/>
      <c r="W712" s="364"/>
      <c r="X712" s="364"/>
      <c r="Y712" s="364"/>
      <c r="Z712" s="364"/>
      <c r="AA712" s="364" t="str">
        <f aca="false">IFERROR(__xludf.dummyfunction("""COMPUTED_VALUE"""),"")</f>
        <v/>
      </c>
      <c r="AB712" s="364"/>
    </row>
    <row r="713" customFormat="false" ht="15.75" hidden="false" customHeight="false" outlineLevel="0" collapsed="false">
      <c r="A713" s="364"/>
      <c r="B713" s="364"/>
      <c r="C713" s="364"/>
      <c r="D713" s="364"/>
      <c r="E713" s="364"/>
      <c r="F713" s="364"/>
      <c r="G713" s="364"/>
      <c r="H713" s="364"/>
      <c r="I713" s="364"/>
      <c r="J713" s="364"/>
      <c r="K713" s="364"/>
      <c r="L713" s="364"/>
      <c r="M713" s="364"/>
      <c r="N713" s="364"/>
      <c r="O713" s="364"/>
      <c r="P713" s="364"/>
      <c r="Q713" s="364"/>
      <c r="R713" s="364"/>
      <c r="S713" s="364"/>
      <c r="T713" s="364"/>
      <c r="U713" s="364"/>
      <c r="V713" s="364"/>
      <c r="W713" s="364"/>
      <c r="X713" s="364"/>
      <c r="Y713" s="364"/>
      <c r="Z713" s="364"/>
      <c r="AA713" s="364" t="str">
        <f aca="false">IFERROR(__xludf.dummyfunction("""COMPUTED_VALUE"""),"")</f>
        <v/>
      </c>
      <c r="AB713" s="364"/>
    </row>
    <row r="714" customFormat="false" ht="15.75" hidden="false" customHeight="false" outlineLevel="0" collapsed="false">
      <c r="A714" s="364"/>
      <c r="B714" s="364"/>
      <c r="C714" s="364"/>
      <c r="D714" s="364"/>
      <c r="E714" s="364"/>
      <c r="F714" s="364"/>
      <c r="G714" s="364"/>
      <c r="H714" s="364"/>
      <c r="I714" s="364"/>
      <c r="J714" s="364"/>
      <c r="K714" s="364"/>
      <c r="L714" s="364"/>
      <c r="M714" s="364"/>
      <c r="N714" s="364"/>
      <c r="O714" s="364"/>
      <c r="P714" s="364"/>
      <c r="Q714" s="364"/>
      <c r="R714" s="364"/>
      <c r="S714" s="364"/>
      <c r="T714" s="364"/>
      <c r="U714" s="364"/>
      <c r="V714" s="364"/>
      <c r="W714" s="364"/>
      <c r="X714" s="364"/>
      <c r="Y714" s="364"/>
      <c r="Z714" s="364"/>
      <c r="AA714" s="364" t="str">
        <f aca="false">IFERROR(__xludf.dummyfunction("""COMPUTED_VALUE"""),"")</f>
        <v/>
      </c>
      <c r="AB714" s="364"/>
    </row>
    <row r="715" customFormat="false" ht="15.75" hidden="false" customHeight="false" outlineLevel="0" collapsed="false">
      <c r="A715" s="364"/>
      <c r="B715" s="364"/>
      <c r="C715" s="364"/>
      <c r="D715" s="364"/>
      <c r="E715" s="364"/>
      <c r="F715" s="364"/>
      <c r="G715" s="364"/>
      <c r="H715" s="364"/>
      <c r="I715" s="364"/>
      <c r="J715" s="364"/>
      <c r="K715" s="364"/>
      <c r="L715" s="364"/>
      <c r="M715" s="364"/>
      <c r="N715" s="364"/>
      <c r="O715" s="364"/>
      <c r="P715" s="364"/>
      <c r="Q715" s="364"/>
      <c r="R715" s="364"/>
      <c r="S715" s="364"/>
      <c r="T715" s="364"/>
      <c r="U715" s="364"/>
      <c r="V715" s="364"/>
      <c r="W715" s="364"/>
      <c r="X715" s="364"/>
      <c r="Y715" s="364"/>
      <c r="Z715" s="364"/>
      <c r="AA715" s="364" t="str">
        <f aca="false">IFERROR(__xludf.dummyfunction("""COMPUTED_VALUE"""),"")</f>
        <v/>
      </c>
      <c r="AB715" s="364"/>
    </row>
    <row r="716" customFormat="false" ht="15.75" hidden="false" customHeight="false" outlineLevel="0" collapsed="false">
      <c r="A716" s="364"/>
      <c r="B716" s="364"/>
      <c r="C716" s="364"/>
      <c r="D716" s="364"/>
      <c r="E716" s="364"/>
      <c r="F716" s="364"/>
      <c r="G716" s="364"/>
      <c r="H716" s="364"/>
      <c r="I716" s="364"/>
      <c r="J716" s="364"/>
      <c r="K716" s="364"/>
      <c r="L716" s="364"/>
      <c r="M716" s="364"/>
      <c r="N716" s="364"/>
      <c r="O716" s="364"/>
      <c r="P716" s="364"/>
      <c r="Q716" s="364"/>
      <c r="R716" s="364"/>
      <c r="S716" s="364"/>
      <c r="T716" s="364"/>
      <c r="U716" s="364"/>
      <c r="V716" s="364"/>
      <c r="W716" s="364"/>
      <c r="X716" s="364"/>
      <c r="Y716" s="364"/>
      <c r="Z716" s="364"/>
      <c r="AA716" s="364" t="str">
        <f aca="false">IFERROR(__xludf.dummyfunction("""COMPUTED_VALUE"""),"")</f>
        <v/>
      </c>
      <c r="AB716" s="364"/>
    </row>
    <row r="717" customFormat="false" ht="15.75" hidden="false" customHeight="false" outlineLevel="0" collapsed="false">
      <c r="A717" s="364"/>
      <c r="B717" s="364"/>
      <c r="C717" s="364"/>
      <c r="D717" s="364"/>
      <c r="E717" s="364"/>
      <c r="F717" s="364"/>
      <c r="G717" s="364"/>
      <c r="H717" s="364"/>
      <c r="I717" s="364"/>
      <c r="J717" s="364"/>
      <c r="K717" s="364"/>
      <c r="L717" s="364"/>
      <c r="M717" s="364"/>
      <c r="N717" s="364"/>
      <c r="O717" s="364"/>
      <c r="P717" s="364"/>
      <c r="Q717" s="364"/>
      <c r="R717" s="364"/>
      <c r="S717" s="364"/>
      <c r="T717" s="364"/>
      <c r="U717" s="364"/>
      <c r="V717" s="364"/>
      <c r="W717" s="364"/>
      <c r="X717" s="364"/>
      <c r="Y717" s="364"/>
      <c r="Z717" s="364"/>
      <c r="AA717" s="364" t="str">
        <f aca="false">IFERROR(__xludf.dummyfunction("""COMPUTED_VALUE"""),"")</f>
        <v/>
      </c>
      <c r="AB717" s="364"/>
    </row>
    <row r="718" customFormat="false" ht="15.75" hidden="false" customHeight="false" outlineLevel="0" collapsed="false">
      <c r="A718" s="364"/>
      <c r="B718" s="364"/>
      <c r="C718" s="364"/>
      <c r="D718" s="364"/>
      <c r="E718" s="364"/>
      <c r="F718" s="364"/>
      <c r="G718" s="364"/>
      <c r="H718" s="364"/>
      <c r="I718" s="364"/>
      <c r="J718" s="364"/>
      <c r="K718" s="364"/>
      <c r="L718" s="364"/>
      <c r="M718" s="364"/>
      <c r="N718" s="364"/>
      <c r="O718" s="364"/>
      <c r="P718" s="364"/>
      <c r="Q718" s="364"/>
      <c r="R718" s="364"/>
      <c r="S718" s="364"/>
      <c r="T718" s="364"/>
      <c r="U718" s="364"/>
      <c r="V718" s="364"/>
      <c r="W718" s="364"/>
      <c r="X718" s="364"/>
      <c r="Y718" s="364"/>
      <c r="Z718" s="364"/>
      <c r="AA718" s="364" t="str">
        <f aca="false">IFERROR(__xludf.dummyfunction("""COMPUTED_VALUE"""),"")</f>
        <v/>
      </c>
      <c r="AB718" s="364"/>
    </row>
    <row r="719" customFormat="false" ht="15.75" hidden="false" customHeight="false" outlineLevel="0" collapsed="false">
      <c r="A719" s="364"/>
      <c r="B719" s="364"/>
      <c r="C719" s="364"/>
      <c r="D719" s="364"/>
      <c r="E719" s="364"/>
      <c r="F719" s="364"/>
      <c r="G719" s="364"/>
      <c r="H719" s="364"/>
      <c r="I719" s="364"/>
      <c r="J719" s="364"/>
      <c r="K719" s="364"/>
      <c r="L719" s="364"/>
      <c r="M719" s="364"/>
      <c r="N719" s="364"/>
      <c r="O719" s="364"/>
      <c r="P719" s="364"/>
      <c r="Q719" s="364"/>
      <c r="R719" s="364"/>
      <c r="S719" s="364"/>
      <c r="T719" s="364"/>
      <c r="U719" s="364"/>
      <c r="V719" s="364"/>
      <c r="W719" s="364"/>
      <c r="X719" s="364"/>
      <c r="Y719" s="364"/>
      <c r="Z719" s="364"/>
      <c r="AA719" s="364" t="str">
        <f aca="false">IFERROR(__xludf.dummyfunction("""COMPUTED_VALUE"""),"")</f>
        <v/>
      </c>
      <c r="AB719" s="364"/>
    </row>
    <row r="720" customFormat="false" ht="15.75" hidden="false" customHeight="false" outlineLevel="0" collapsed="false">
      <c r="A720" s="364"/>
      <c r="B720" s="364"/>
      <c r="C720" s="364"/>
      <c r="D720" s="364"/>
      <c r="E720" s="364"/>
      <c r="F720" s="364"/>
      <c r="G720" s="364"/>
      <c r="H720" s="364"/>
      <c r="I720" s="364"/>
      <c r="J720" s="364"/>
      <c r="K720" s="364"/>
      <c r="L720" s="364"/>
      <c r="M720" s="364"/>
      <c r="N720" s="364"/>
      <c r="O720" s="364"/>
      <c r="P720" s="364"/>
      <c r="Q720" s="364"/>
      <c r="R720" s="364"/>
      <c r="S720" s="364"/>
      <c r="T720" s="364"/>
      <c r="U720" s="364"/>
      <c r="V720" s="364"/>
      <c r="W720" s="364"/>
      <c r="X720" s="364"/>
      <c r="Y720" s="364"/>
      <c r="Z720" s="364"/>
      <c r="AA720" s="364" t="str">
        <f aca="false">IFERROR(__xludf.dummyfunction("""COMPUTED_VALUE"""),"")</f>
        <v/>
      </c>
      <c r="AB720" s="364"/>
    </row>
    <row r="721" customFormat="false" ht="15.75" hidden="false" customHeight="false" outlineLevel="0" collapsed="false">
      <c r="A721" s="364"/>
      <c r="B721" s="364"/>
      <c r="C721" s="364"/>
      <c r="D721" s="364"/>
      <c r="E721" s="364"/>
      <c r="F721" s="364"/>
      <c r="G721" s="364"/>
      <c r="H721" s="364"/>
      <c r="I721" s="364"/>
      <c r="J721" s="364"/>
      <c r="K721" s="364"/>
      <c r="L721" s="364"/>
      <c r="M721" s="364"/>
      <c r="N721" s="364"/>
      <c r="O721" s="364"/>
      <c r="P721" s="364"/>
      <c r="Q721" s="364"/>
      <c r="R721" s="364"/>
      <c r="S721" s="364"/>
      <c r="T721" s="364"/>
      <c r="U721" s="364"/>
      <c r="V721" s="364"/>
      <c r="W721" s="364"/>
      <c r="X721" s="364"/>
      <c r="Y721" s="364"/>
      <c r="Z721" s="364"/>
      <c r="AA721" s="364" t="str">
        <f aca="false">IFERROR(__xludf.dummyfunction("""COMPUTED_VALUE"""),"")</f>
        <v/>
      </c>
      <c r="AB721" s="364"/>
    </row>
    <row r="722" customFormat="false" ht="15.75" hidden="false" customHeight="false" outlineLevel="0" collapsed="false">
      <c r="A722" s="364"/>
      <c r="B722" s="364"/>
      <c r="C722" s="364"/>
      <c r="D722" s="364"/>
      <c r="E722" s="364"/>
      <c r="F722" s="364"/>
      <c r="G722" s="364"/>
      <c r="H722" s="364"/>
      <c r="I722" s="364"/>
      <c r="J722" s="364"/>
      <c r="K722" s="364"/>
      <c r="L722" s="364"/>
      <c r="M722" s="364"/>
      <c r="N722" s="364"/>
      <c r="O722" s="364"/>
      <c r="P722" s="364"/>
      <c r="Q722" s="364"/>
      <c r="R722" s="364"/>
      <c r="S722" s="364"/>
      <c r="T722" s="364"/>
      <c r="U722" s="364"/>
      <c r="V722" s="364"/>
      <c r="W722" s="364"/>
      <c r="X722" s="364"/>
      <c r="Y722" s="364"/>
      <c r="Z722" s="364"/>
      <c r="AA722" s="364" t="str">
        <f aca="false">IFERROR(__xludf.dummyfunction("""COMPUTED_VALUE"""),"")</f>
        <v/>
      </c>
      <c r="AB722" s="364"/>
    </row>
    <row r="723" customFormat="false" ht="15.75" hidden="false" customHeight="false" outlineLevel="0" collapsed="false">
      <c r="A723" s="364"/>
      <c r="B723" s="364"/>
      <c r="C723" s="364"/>
      <c r="D723" s="364"/>
      <c r="E723" s="364"/>
      <c r="F723" s="364"/>
      <c r="G723" s="364"/>
      <c r="H723" s="364"/>
      <c r="I723" s="364"/>
      <c r="J723" s="364"/>
      <c r="K723" s="364"/>
      <c r="L723" s="364"/>
      <c r="M723" s="364"/>
      <c r="N723" s="364"/>
      <c r="O723" s="364"/>
      <c r="P723" s="364"/>
      <c r="Q723" s="364"/>
      <c r="R723" s="364"/>
      <c r="S723" s="364"/>
      <c r="T723" s="364"/>
      <c r="U723" s="364"/>
      <c r="V723" s="364"/>
      <c r="W723" s="364"/>
      <c r="X723" s="364"/>
      <c r="Y723" s="364"/>
      <c r="Z723" s="364"/>
      <c r="AA723" s="364" t="str">
        <f aca="false">IFERROR(__xludf.dummyfunction("""COMPUTED_VALUE"""),"")</f>
        <v/>
      </c>
      <c r="AB723" s="364"/>
    </row>
    <row r="724" customFormat="false" ht="15.75" hidden="false" customHeight="false" outlineLevel="0" collapsed="false">
      <c r="A724" s="364"/>
      <c r="B724" s="364"/>
      <c r="C724" s="364"/>
      <c r="D724" s="364"/>
      <c r="E724" s="364"/>
      <c r="F724" s="364"/>
      <c r="G724" s="364"/>
      <c r="H724" s="364"/>
      <c r="I724" s="364"/>
      <c r="J724" s="364"/>
      <c r="K724" s="364"/>
      <c r="L724" s="364"/>
      <c r="M724" s="364"/>
      <c r="N724" s="364"/>
      <c r="O724" s="364"/>
      <c r="P724" s="364"/>
      <c r="Q724" s="364"/>
      <c r="R724" s="364"/>
      <c r="S724" s="364"/>
      <c r="T724" s="364"/>
      <c r="U724" s="364"/>
      <c r="V724" s="364"/>
      <c r="W724" s="364"/>
      <c r="X724" s="364"/>
      <c r="Y724" s="364"/>
      <c r="Z724" s="364"/>
      <c r="AA724" s="364" t="str">
        <f aca="false">IFERROR(__xludf.dummyfunction("""COMPUTED_VALUE"""),"")</f>
        <v/>
      </c>
      <c r="AB724" s="364"/>
    </row>
    <row r="725" customFormat="false" ht="15.75" hidden="false" customHeight="false" outlineLevel="0" collapsed="false">
      <c r="A725" s="364"/>
      <c r="B725" s="364"/>
      <c r="C725" s="364"/>
      <c r="D725" s="364"/>
      <c r="E725" s="364"/>
      <c r="F725" s="364"/>
      <c r="G725" s="364"/>
      <c r="H725" s="364"/>
      <c r="I725" s="364"/>
      <c r="J725" s="364"/>
      <c r="K725" s="364"/>
      <c r="L725" s="364"/>
      <c r="M725" s="364"/>
      <c r="N725" s="364"/>
      <c r="O725" s="364"/>
      <c r="P725" s="364"/>
      <c r="Q725" s="364"/>
      <c r="R725" s="364"/>
      <c r="S725" s="364"/>
      <c r="T725" s="364"/>
      <c r="U725" s="364"/>
      <c r="V725" s="364"/>
      <c r="W725" s="364"/>
      <c r="X725" s="364"/>
      <c r="Y725" s="364"/>
      <c r="Z725" s="364"/>
      <c r="AA725" s="364" t="str">
        <f aca="false">IFERROR(__xludf.dummyfunction("""COMPUTED_VALUE"""),"")</f>
        <v/>
      </c>
      <c r="AB725" s="364"/>
    </row>
    <row r="726" customFormat="false" ht="15.75" hidden="false" customHeight="false" outlineLevel="0" collapsed="false">
      <c r="A726" s="364"/>
      <c r="B726" s="364"/>
      <c r="C726" s="364"/>
      <c r="D726" s="364"/>
      <c r="E726" s="364"/>
      <c r="F726" s="364"/>
      <c r="G726" s="364"/>
      <c r="H726" s="364"/>
      <c r="I726" s="364"/>
      <c r="J726" s="364"/>
      <c r="K726" s="364"/>
      <c r="L726" s="364"/>
      <c r="M726" s="364"/>
      <c r="N726" s="364"/>
      <c r="O726" s="364"/>
      <c r="P726" s="364"/>
      <c r="Q726" s="364"/>
      <c r="R726" s="364"/>
      <c r="S726" s="364"/>
      <c r="T726" s="364"/>
      <c r="U726" s="364"/>
      <c r="V726" s="364"/>
      <c r="W726" s="364"/>
      <c r="X726" s="364"/>
      <c r="Y726" s="364"/>
      <c r="Z726" s="364"/>
      <c r="AA726" s="364" t="str">
        <f aca="false">IFERROR(__xludf.dummyfunction("""COMPUTED_VALUE"""),"")</f>
        <v/>
      </c>
      <c r="AB726" s="364"/>
    </row>
    <row r="727" customFormat="false" ht="15.75" hidden="false" customHeight="false" outlineLevel="0" collapsed="false">
      <c r="A727" s="364"/>
      <c r="B727" s="364"/>
      <c r="C727" s="364"/>
      <c r="D727" s="364"/>
      <c r="E727" s="364"/>
      <c r="F727" s="364"/>
      <c r="G727" s="364"/>
      <c r="H727" s="364"/>
      <c r="I727" s="364"/>
      <c r="J727" s="364"/>
      <c r="K727" s="364"/>
      <c r="L727" s="364"/>
      <c r="M727" s="364"/>
      <c r="N727" s="364"/>
      <c r="O727" s="364"/>
      <c r="P727" s="364"/>
      <c r="Q727" s="364"/>
      <c r="R727" s="364"/>
      <c r="S727" s="364"/>
      <c r="T727" s="364"/>
      <c r="U727" s="364"/>
      <c r="V727" s="364"/>
      <c r="W727" s="364"/>
      <c r="X727" s="364"/>
      <c r="Y727" s="364"/>
      <c r="Z727" s="364"/>
      <c r="AA727" s="364" t="str">
        <f aca="false">IFERROR(__xludf.dummyfunction("""COMPUTED_VALUE"""),"")</f>
        <v/>
      </c>
      <c r="AB727" s="364"/>
    </row>
    <row r="728" customFormat="false" ht="15.75" hidden="false" customHeight="false" outlineLevel="0" collapsed="false">
      <c r="A728" s="364"/>
      <c r="B728" s="364"/>
      <c r="C728" s="364"/>
      <c r="D728" s="364"/>
      <c r="E728" s="364"/>
      <c r="F728" s="364"/>
      <c r="G728" s="364"/>
      <c r="H728" s="364"/>
      <c r="I728" s="364"/>
      <c r="J728" s="364"/>
      <c r="K728" s="364"/>
      <c r="L728" s="364"/>
      <c r="M728" s="364"/>
      <c r="N728" s="364"/>
      <c r="O728" s="364"/>
      <c r="P728" s="364"/>
      <c r="Q728" s="364"/>
      <c r="R728" s="364"/>
      <c r="S728" s="364"/>
      <c r="T728" s="364"/>
      <c r="U728" s="364"/>
      <c r="V728" s="364"/>
      <c r="W728" s="364"/>
      <c r="X728" s="364"/>
      <c r="Y728" s="364"/>
      <c r="Z728" s="364"/>
      <c r="AA728" s="364" t="str">
        <f aca="false">IFERROR(__xludf.dummyfunction("""COMPUTED_VALUE"""),"")</f>
        <v/>
      </c>
      <c r="AB728" s="364"/>
    </row>
    <row r="729" customFormat="false" ht="15.75" hidden="false" customHeight="false" outlineLevel="0" collapsed="false">
      <c r="A729" s="364"/>
      <c r="B729" s="364"/>
      <c r="C729" s="364"/>
      <c r="D729" s="364"/>
      <c r="E729" s="364"/>
      <c r="F729" s="364"/>
      <c r="G729" s="364"/>
      <c r="H729" s="364"/>
      <c r="I729" s="364"/>
      <c r="J729" s="364"/>
      <c r="K729" s="364"/>
      <c r="L729" s="364"/>
      <c r="M729" s="364"/>
      <c r="N729" s="364"/>
      <c r="O729" s="364"/>
      <c r="P729" s="364"/>
      <c r="Q729" s="364"/>
      <c r="R729" s="364"/>
      <c r="S729" s="364"/>
      <c r="T729" s="364"/>
      <c r="U729" s="364"/>
      <c r="V729" s="364"/>
      <c r="W729" s="364"/>
      <c r="X729" s="364"/>
      <c r="Y729" s="364"/>
      <c r="Z729" s="364"/>
      <c r="AA729" s="364" t="str">
        <f aca="false">IFERROR(__xludf.dummyfunction("""COMPUTED_VALUE"""),"")</f>
        <v/>
      </c>
      <c r="AB729" s="364"/>
    </row>
    <row r="730" customFormat="false" ht="15.75" hidden="false" customHeight="false" outlineLevel="0" collapsed="false">
      <c r="A730" s="364"/>
      <c r="B730" s="364"/>
      <c r="C730" s="364"/>
      <c r="D730" s="364"/>
      <c r="E730" s="364"/>
      <c r="F730" s="364"/>
      <c r="G730" s="364"/>
      <c r="H730" s="364"/>
      <c r="I730" s="364"/>
      <c r="J730" s="364"/>
      <c r="K730" s="364"/>
      <c r="L730" s="364"/>
      <c r="M730" s="364"/>
      <c r="N730" s="364"/>
      <c r="O730" s="364"/>
      <c r="P730" s="364"/>
      <c r="Q730" s="364"/>
      <c r="R730" s="364"/>
      <c r="S730" s="364"/>
      <c r="T730" s="364"/>
      <c r="U730" s="364"/>
      <c r="V730" s="364"/>
      <c r="W730" s="364"/>
      <c r="X730" s="364"/>
      <c r="Y730" s="364"/>
      <c r="Z730" s="364"/>
      <c r="AA730" s="364" t="str">
        <f aca="false">IFERROR(__xludf.dummyfunction("""COMPUTED_VALUE"""),"")</f>
        <v/>
      </c>
      <c r="AB730" s="364"/>
    </row>
    <row r="731" customFormat="false" ht="15.75" hidden="false" customHeight="false" outlineLevel="0" collapsed="false">
      <c r="A731" s="364"/>
      <c r="B731" s="364"/>
      <c r="C731" s="364"/>
      <c r="D731" s="364"/>
      <c r="E731" s="364"/>
      <c r="F731" s="364"/>
      <c r="G731" s="364"/>
      <c r="H731" s="364"/>
      <c r="I731" s="364"/>
      <c r="J731" s="364"/>
      <c r="K731" s="364"/>
      <c r="L731" s="364"/>
      <c r="M731" s="364"/>
      <c r="N731" s="364"/>
      <c r="O731" s="364"/>
      <c r="P731" s="364"/>
      <c r="Q731" s="364"/>
      <c r="R731" s="364"/>
      <c r="S731" s="364"/>
      <c r="T731" s="364"/>
      <c r="U731" s="364"/>
      <c r="V731" s="364"/>
      <c r="W731" s="364"/>
      <c r="X731" s="364"/>
      <c r="Y731" s="364"/>
      <c r="Z731" s="364"/>
      <c r="AA731" s="364" t="str">
        <f aca="false">IFERROR(__xludf.dummyfunction("""COMPUTED_VALUE"""),"")</f>
        <v/>
      </c>
      <c r="AB731" s="364"/>
    </row>
    <row r="732" customFormat="false" ht="15.75" hidden="false" customHeight="false" outlineLevel="0" collapsed="false">
      <c r="A732" s="364"/>
      <c r="B732" s="364"/>
      <c r="C732" s="364"/>
      <c r="D732" s="364"/>
      <c r="E732" s="364"/>
      <c r="F732" s="364"/>
      <c r="G732" s="364"/>
      <c r="H732" s="364"/>
      <c r="I732" s="364"/>
      <c r="J732" s="364"/>
      <c r="K732" s="364"/>
      <c r="L732" s="364"/>
      <c r="M732" s="364"/>
      <c r="N732" s="364"/>
      <c r="O732" s="364"/>
      <c r="P732" s="364"/>
      <c r="Q732" s="364"/>
      <c r="R732" s="364"/>
      <c r="S732" s="364"/>
      <c r="T732" s="364"/>
      <c r="U732" s="364"/>
      <c r="V732" s="364"/>
      <c r="W732" s="364"/>
      <c r="X732" s="364"/>
      <c r="Y732" s="364"/>
      <c r="Z732" s="364"/>
      <c r="AA732" s="364" t="str">
        <f aca="false">IFERROR(__xludf.dummyfunction("""COMPUTED_VALUE"""),"")</f>
        <v/>
      </c>
      <c r="AB732" s="364"/>
    </row>
    <row r="733" customFormat="false" ht="15.75" hidden="false" customHeight="false" outlineLevel="0" collapsed="false">
      <c r="A733" s="364"/>
      <c r="B733" s="364"/>
      <c r="C733" s="364"/>
      <c r="D733" s="364"/>
      <c r="E733" s="364"/>
      <c r="F733" s="364"/>
      <c r="G733" s="364"/>
      <c r="H733" s="364"/>
      <c r="I733" s="364"/>
      <c r="J733" s="364"/>
      <c r="K733" s="364"/>
      <c r="L733" s="364"/>
      <c r="M733" s="364"/>
      <c r="N733" s="364"/>
      <c r="O733" s="364"/>
      <c r="P733" s="364"/>
      <c r="Q733" s="364"/>
      <c r="R733" s="364"/>
      <c r="S733" s="364"/>
      <c r="T733" s="364"/>
      <c r="U733" s="364"/>
      <c r="V733" s="364"/>
      <c r="W733" s="364"/>
      <c r="X733" s="364"/>
      <c r="Y733" s="364"/>
      <c r="Z733" s="364"/>
      <c r="AA733" s="364" t="str">
        <f aca="false">IFERROR(__xludf.dummyfunction("""COMPUTED_VALUE"""),"")</f>
        <v/>
      </c>
      <c r="AB733" s="364"/>
    </row>
    <row r="734" customFormat="false" ht="15.75" hidden="false" customHeight="false" outlineLevel="0" collapsed="false">
      <c r="A734" s="364"/>
      <c r="B734" s="364"/>
      <c r="C734" s="364"/>
      <c r="D734" s="364"/>
      <c r="E734" s="364"/>
      <c r="F734" s="364"/>
      <c r="G734" s="364"/>
      <c r="H734" s="364"/>
      <c r="I734" s="364"/>
      <c r="J734" s="364"/>
      <c r="K734" s="364"/>
      <c r="L734" s="364"/>
      <c r="M734" s="364"/>
      <c r="N734" s="364"/>
      <c r="O734" s="364"/>
      <c r="P734" s="364"/>
      <c r="Q734" s="364"/>
      <c r="R734" s="364"/>
      <c r="S734" s="364"/>
      <c r="T734" s="364"/>
      <c r="U734" s="364"/>
      <c r="V734" s="364"/>
      <c r="W734" s="364"/>
      <c r="X734" s="364"/>
      <c r="Y734" s="364"/>
      <c r="Z734" s="364"/>
      <c r="AA734" s="364" t="str">
        <f aca="false">IFERROR(__xludf.dummyfunction("""COMPUTED_VALUE"""),"")</f>
        <v/>
      </c>
      <c r="AB734" s="364"/>
    </row>
    <row r="735" customFormat="false" ht="15.75" hidden="false" customHeight="false" outlineLevel="0" collapsed="false">
      <c r="A735" s="364"/>
      <c r="B735" s="364"/>
      <c r="C735" s="364"/>
      <c r="D735" s="364"/>
      <c r="E735" s="364"/>
      <c r="F735" s="364"/>
      <c r="G735" s="364"/>
      <c r="H735" s="364"/>
      <c r="I735" s="364"/>
      <c r="J735" s="364"/>
      <c r="K735" s="364"/>
      <c r="L735" s="364"/>
      <c r="M735" s="364"/>
      <c r="N735" s="364"/>
      <c r="O735" s="364"/>
      <c r="P735" s="364"/>
      <c r="Q735" s="364"/>
      <c r="R735" s="364"/>
      <c r="S735" s="364"/>
      <c r="T735" s="364"/>
      <c r="U735" s="364"/>
      <c r="V735" s="364"/>
      <c r="W735" s="364"/>
      <c r="X735" s="364"/>
      <c r="Y735" s="364"/>
      <c r="Z735" s="364"/>
      <c r="AA735" s="364" t="str">
        <f aca="false">IFERROR(__xludf.dummyfunction("""COMPUTED_VALUE"""),"")</f>
        <v/>
      </c>
      <c r="AB735" s="364"/>
    </row>
    <row r="736" customFormat="false" ht="15.75" hidden="false" customHeight="false" outlineLevel="0" collapsed="false">
      <c r="A736" s="364"/>
      <c r="B736" s="364"/>
      <c r="C736" s="364"/>
      <c r="D736" s="364"/>
      <c r="E736" s="364"/>
      <c r="F736" s="364"/>
      <c r="G736" s="364"/>
      <c r="H736" s="364"/>
      <c r="I736" s="364"/>
      <c r="J736" s="364"/>
      <c r="K736" s="364"/>
      <c r="L736" s="364"/>
      <c r="M736" s="364"/>
      <c r="N736" s="364"/>
      <c r="O736" s="364"/>
      <c r="P736" s="364"/>
      <c r="Q736" s="364"/>
      <c r="R736" s="364"/>
      <c r="S736" s="364"/>
      <c r="T736" s="364"/>
      <c r="U736" s="364"/>
      <c r="V736" s="364"/>
      <c r="W736" s="364"/>
      <c r="X736" s="364"/>
      <c r="Y736" s="364"/>
      <c r="Z736" s="364"/>
      <c r="AA736" s="364" t="str">
        <f aca="false">IFERROR(__xludf.dummyfunction("""COMPUTED_VALUE"""),"")</f>
        <v/>
      </c>
      <c r="AB736" s="364"/>
    </row>
    <row r="737" customFormat="false" ht="15.75" hidden="false" customHeight="false" outlineLevel="0" collapsed="false">
      <c r="A737" s="364"/>
      <c r="B737" s="364"/>
      <c r="C737" s="364"/>
      <c r="D737" s="364"/>
      <c r="E737" s="364"/>
      <c r="F737" s="364"/>
      <c r="G737" s="364"/>
      <c r="H737" s="364"/>
      <c r="I737" s="364"/>
      <c r="J737" s="364"/>
      <c r="K737" s="364"/>
      <c r="L737" s="364"/>
      <c r="M737" s="364"/>
      <c r="N737" s="364"/>
      <c r="O737" s="364"/>
      <c r="P737" s="364"/>
      <c r="Q737" s="364"/>
      <c r="R737" s="364"/>
      <c r="S737" s="364"/>
      <c r="T737" s="364"/>
      <c r="U737" s="364"/>
      <c r="V737" s="364"/>
      <c r="W737" s="364"/>
      <c r="X737" s="364"/>
      <c r="Y737" s="364"/>
      <c r="Z737" s="364"/>
      <c r="AA737" s="364" t="str">
        <f aca="false">IFERROR(__xludf.dummyfunction("""COMPUTED_VALUE"""),"")</f>
        <v/>
      </c>
      <c r="AB737" s="364"/>
    </row>
    <row r="738" customFormat="false" ht="15.75" hidden="false" customHeight="false" outlineLevel="0" collapsed="false">
      <c r="A738" s="364"/>
      <c r="B738" s="364"/>
      <c r="C738" s="364"/>
      <c r="D738" s="364"/>
      <c r="E738" s="364"/>
      <c r="F738" s="364"/>
      <c r="G738" s="364"/>
      <c r="H738" s="364"/>
      <c r="I738" s="364"/>
      <c r="J738" s="364"/>
      <c r="K738" s="364"/>
      <c r="L738" s="364"/>
      <c r="M738" s="364"/>
      <c r="N738" s="364"/>
      <c r="O738" s="364"/>
      <c r="P738" s="364"/>
      <c r="Q738" s="364"/>
      <c r="R738" s="364"/>
      <c r="S738" s="364"/>
      <c r="T738" s="364"/>
      <c r="U738" s="364"/>
      <c r="V738" s="364"/>
      <c r="W738" s="364"/>
      <c r="X738" s="364"/>
      <c r="Y738" s="364"/>
      <c r="Z738" s="364"/>
      <c r="AA738" s="364" t="str">
        <f aca="false">IFERROR(__xludf.dummyfunction("""COMPUTED_VALUE"""),"")</f>
        <v/>
      </c>
      <c r="AB738" s="364"/>
    </row>
    <row r="739" customFormat="false" ht="15.75" hidden="false" customHeight="false" outlineLevel="0" collapsed="false">
      <c r="A739" s="364"/>
      <c r="B739" s="364"/>
      <c r="C739" s="364"/>
      <c r="D739" s="364"/>
      <c r="E739" s="364"/>
      <c r="F739" s="364"/>
      <c r="G739" s="364"/>
      <c r="H739" s="364"/>
      <c r="I739" s="364"/>
      <c r="J739" s="364"/>
      <c r="K739" s="364"/>
      <c r="L739" s="364"/>
      <c r="M739" s="364"/>
      <c r="N739" s="364"/>
      <c r="O739" s="364"/>
      <c r="P739" s="364"/>
      <c r="Q739" s="364"/>
      <c r="R739" s="364"/>
      <c r="S739" s="364"/>
      <c r="T739" s="364"/>
      <c r="U739" s="364"/>
      <c r="V739" s="364"/>
      <c r="W739" s="364"/>
      <c r="X739" s="364"/>
      <c r="Y739" s="364"/>
      <c r="Z739" s="364"/>
      <c r="AA739" s="364" t="str">
        <f aca="false">IFERROR(__xludf.dummyfunction("""COMPUTED_VALUE"""),"")</f>
        <v/>
      </c>
      <c r="AB739" s="364"/>
    </row>
    <row r="740" customFormat="false" ht="15.75" hidden="false" customHeight="false" outlineLevel="0" collapsed="false">
      <c r="A740" s="364"/>
      <c r="B740" s="364"/>
      <c r="C740" s="364"/>
      <c r="D740" s="364"/>
      <c r="E740" s="364"/>
      <c r="F740" s="364"/>
      <c r="G740" s="364"/>
      <c r="H740" s="364"/>
      <c r="I740" s="364"/>
      <c r="J740" s="364"/>
      <c r="K740" s="364"/>
      <c r="L740" s="364"/>
      <c r="M740" s="364"/>
      <c r="N740" s="364"/>
      <c r="O740" s="364"/>
      <c r="P740" s="364"/>
      <c r="Q740" s="364"/>
      <c r="R740" s="364"/>
      <c r="S740" s="364"/>
      <c r="T740" s="364"/>
      <c r="U740" s="364"/>
      <c r="V740" s="364"/>
      <c r="W740" s="364"/>
      <c r="X740" s="364"/>
      <c r="Y740" s="364"/>
      <c r="Z740" s="364"/>
      <c r="AA740" s="364" t="str">
        <f aca="false">IFERROR(__xludf.dummyfunction("""COMPUTED_VALUE"""),"")</f>
        <v/>
      </c>
      <c r="AB740" s="364"/>
    </row>
    <row r="741" customFormat="false" ht="15.75" hidden="false" customHeight="false" outlineLevel="0" collapsed="false">
      <c r="A741" s="364"/>
      <c r="B741" s="364"/>
      <c r="C741" s="364"/>
      <c r="D741" s="364"/>
      <c r="E741" s="364"/>
      <c r="F741" s="364"/>
      <c r="G741" s="364"/>
      <c r="H741" s="364"/>
      <c r="I741" s="364"/>
      <c r="J741" s="364"/>
      <c r="K741" s="364"/>
      <c r="L741" s="364"/>
      <c r="M741" s="364"/>
      <c r="N741" s="364"/>
      <c r="O741" s="364"/>
      <c r="P741" s="364"/>
      <c r="Q741" s="364"/>
      <c r="R741" s="364"/>
      <c r="S741" s="364"/>
      <c r="T741" s="364"/>
      <c r="U741" s="364"/>
      <c r="V741" s="364"/>
      <c r="W741" s="364"/>
      <c r="X741" s="364"/>
      <c r="Y741" s="364"/>
      <c r="Z741" s="364"/>
      <c r="AA741" s="364" t="str">
        <f aca="false">IFERROR(__xludf.dummyfunction("""COMPUTED_VALUE"""),"")</f>
        <v/>
      </c>
      <c r="AB741" s="364"/>
    </row>
    <row r="742" customFormat="false" ht="15.75" hidden="false" customHeight="false" outlineLevel="0" collapsed="false">
      <c r="A742" s="364"/>
      <c r="B742" s="364"/>
      <c r="C742" s="364"/>
      <c r="D742" s="364"/>
      <c r="E742" s="364"/>
      <c r="F742" s="364"/>
      <c r="G742" s="364"/>
      <c r="H742" s="364"/>
      <c r="I742" s="364"/>
      <c r="J742" s="364"/>
      <c r="K742" s="364"/>
      <c r="L742" s="364"/>
      <c r="M742" s="364"/>
      <c r="N742" s="364"/>
      <c r="O742" s="364"/>
      <c r="P742" s="364"/>
      <c r="Q742" s="364"/>
      <c r="R742" s="364"/>
      <c r="S742" s="364"/>
      <c r="T742" s="364"/>
      <c r="U742" s="364"/>
      <c r="V742" s="364"/>
      <c r="W742" s="364"/>
      <c r="X742" s="364"/>
      <c r="Y742" s="364"/>
      <c r="Z742" s="364"/>
      <c r="AA742" s="364" t="str">
        <f aca="false">IFERROR(__xludf.dummyfunction("""COMPUTED_VALUE"""),"")</f>
        <v/>
      </c>
      <c r="AB742" s="364"/>
    </row>
    <row r="743" customFormat="false" ht="15.75" hidden="false" customHeight="false" outlineLevel="0" collapsed="false">
      <c r="A743" s="364"/>
      <c r="B743" s="364"/>
      <c r="C743" s="364"/>
      <c r="D743" s="364"/>
      <c r="E743" s="364"/>
      <c r="F743" s="364"/>
      <c r="G743" s="364"/>
      <c r="H743" s="364"/>
      <c r="I743" s="364"/>
      <c r="J743" s="364"/>
      <c r="K743" s="364"/>
      <c r="L743" s="364"/>
      <c r="M743" s="364"/>
      <c r="N743" s="364"/>
      <c r="O743" s="364"/>
      <c r="P743" s="364"/>
      <c r="Q743" s="364"/>
      <c r="R743" s="364"/>
      <c r="S743" s="364"/>
      <c r="T743" s="364"/>
      <c r="U743" s="364"/>
      <c r="V743" s="364"/>
      <c r="W743" s="364"/>
      <c r="X743" s="364"/>
      <c r="Y743" s="364"/>
      <c r="Z743" s="364"/>
      <c r="AA743" s="364" t="str">
        <f aca="false">IFERROR(__xludf.dummyfunction("""COMPUTED_VALUE"""),"")</f>
        <v/>
      </c>
      <c r="AB743" s="364"/>
    </row>
    <row r="744" customFormat="false" ht="15.75" hidden="false" customHeight="false" outlineLevel="0" collapsed="false">
      <c r="A744" s="364"/>
      <c r="B744" s="364"/>
      <c r="C744" s="364"/>
      <c r="D744" s="364"/>
      <c r="E744" s="364"/>
      <c r="F744" s="364"/>
      <c r="G744" s="364"/>
      <c r="H744" s="364"/>
      <c r="I744" s="364"/>
      <c r="J744" s="364"/>
      <c r="K744" s="364"/>
      <c r="L744" s="364"/>
      <c r="M744" s="364"/>
      <c r="N744" s="364"/>
      <c r="O744" s="364"/>
      <c r="P744" s="364"/>
      <c r="Q744" s="364"/>
      <c r="R744" s="364"/>
      <c r="S744" s="364"/>
      <c r="T744" s="364"/>
      <c r="U744" s="364"/>
      <c r="V744" s="364"/>
      <c r="W744" s="364"/>
      <c r="X744" s="364"/>
      <c r="Y744" s="364"/>
      <c r="Z744" s="364"/>
      <c r="AA744" s="364" t="str">
        <f aca="false">IFERROR(__xludf.dummyfunction("""COMPUTED_VALUE"""),"")</f>
        <v/>
      </c>
      <c r="AB744" s="364"/>
    </row>
    <row r="745" customFormat="false" ht="15.75" hidden="false" customHeight="false" outlineLevel="0" collapsed="false">
      <c r="A745" s="364"/>
      <c r="B745" s="364"/>
      <c r="C745" s="364"/>
      <c r="D745" s="364"/>
      <c r="E745" s="364"/>
      <c r="F745" s="364"/>
      <c r="G745" s="364"/>
      <c r="H745" s="364"/>
      <c r="I745" s="364"/>
      <c r="J745" s="364"/>
      <c r="K745" s="364"/>
      <c r="L745" s="364"/>
      <c r="M745" s="364"/>
      <c r="N745" s="364"/>
      <c r="O745" s="364"/>
      <c r="P745" s="364"/>
      <c r="Q745" s="364"/>
      <c r="R745" s="364"/>
      <c r="S745" s="364"/>
      <c r="T745" s="364"/>
      <c r="U745" s="364"/>
      <c r="V745" s="364"/>
      <c r="W745" s="364"/>
      <c r="X745" s="364"/>
      <c r="Y745" s="364"/>
      <c r="Z745" s="364"/>
      <c r="AA745" s="364" t="str">
        <f aca="false">IFERROR(__xludf.dummyfunction("""COMPUTED_VALUE"""),"")</f>
        <v/>
      </c>
      <c r="AB745" s="364"/>
    </row>
    <row r="746" customFormat="false" ht="15.75" hidden="false" customHeight="false" outlineLevel="0" collapsed="false">
      <c r="A746" s="364"/>
      <c r="B746" s="364"/>
      <c r="C746" s="364"/>
      <c r="D746" s="364"/>
      <c r="E746" s="364"/>
      <c r="F746" s="364"/>
      <c r="G746" s="364"/>
      <c r="H746" s="364"/>
      <c r="I746" s="364"/>
      <c r="J746" s="364"/>
      <c r="K746" s="364"/>
      <c r="L746" s="364"/>
      <c r="M746" s="364"/>
      <c r="N746" s="364"/>
      <c r="O746" s="364"/>
      <c r="P746" s="364"/>
      <c r="Q746" s="364"/>
      <c r="R746" s="364"/>
      <c r="S746" s="364"/>
      <c r="T746" s="364"/>
      <c r="U746" s="364"/>
      <c r="V746" s="364"/>
      <c r="W746" s="364"/>
      <c r="X746" s="364"/>
      <c r="Y746" s="364"/>
      <c r="Z746" s="364"/>
      <c r="AA746" s="364" t="str">
        <f aca="false">IFERROR(__xludf.dummyfunction("""COMPUTED_VALUE"""),"")</f>
        <v/>
      </c>
      <c r="AB746" s="364"/>
    </row>
    <row r="747" customFormat="false" ht="15.75" hidden="false" customHeight="false" outlineLevel="0" collapsed="false">
      <c r="A747" s="364"/>
      <c r="B747" s="364"/>
      <c r="C747" s="364"/>
      <c r="D747" s="364"/>
      <c r="E747" s="364"/>
      <c r="F747" s="364"/>
      <c r="G747" s="364"/>
      <c r="H747" s="364"/>
      <c r="I747" s="364"/>
      <c r="J747" s="364"/>
      <c r="K747" s="364"/>
      <c r="L747" s="364"/>
      <c r="M747" s="364"/>
      <c r="N747" s="364"/>
      <c r="O747" s="364"/>
      <c r="P747" s="364"/>
      <c r="Q747" s="364"/>
      <c r="R747" s="364"/>
      <c r="S747" s="364"/>
      <c r="T747" s="364"/>
      <c r="U747" s="364"/>
      <c r="V747" s="364"/>
      <c r="W747" s="364"/>
      <c r="X747" s="364"/>
      <c r="Y747" s="364"/>
      <c r="Z747" s="364"/>
      <c r="AA747" s="364" t="str">
        <f aca="false">IFERROR(__xludf.dummyfunction("""COMPUTED_VALUE"""),"")</f>
        <v/>
      </c>
      <c r="AB747" s="364"/>
    </row>
    <row r="748" customFormat="false" ht="15.75" hidden="false" customHeight="false" outlineLevel="0" collapsed="false">
      <c r="A748" s="364"/>
      <c r="B748" s="364"/>
      <c r="C748" s="364"/>
      <c r="D748" s="364"/>
      <c r="E748" s="364"/>
      <c r="F748" s="364"/>
      <c r="G748" s="364"/>
      <c r="H748" s="364"/>
      <c r="I748" s="364"/>
      <c r="J748" s="364"/>
      <c r="K748" s="364"/>
      <c r="L748" s="364"/>
      <c r="M748" s="364"/>
      <c r="N748" s="364"/>
      <c r="O748" s="364"/>
      <c r="P748" s="364"/>
      <c r="Q748" s="364"/>
      <c r="R748" s="364"/>
      <c r="S748" s="364"/>
      <c r="T748" s="364"/>
      <c r="U748" s="364"/>
      <c r="V748" s="364"/>
      <c r="W748" s="364"/>
      <c r="X748" s="364"/>
      <c r="Y748" s="364"/>
      <c r="Z748" s="364"/>
      <c r="AA748" s="364" t="str">
        <f aca="false">IFERROR(__xludf.dummyfunction("""COMPUTED_VALUE"""),"")</f>
        <v/>
      </c>
      <c r="AB748" s="364"/>
    </row>
    <row r="749" customFormat="false" ht="15.75" hidden="false" customHeight="false" outlineLevel="0" collapsed="false">
      <c r="A749" s="364"/>
      <c r="B749" s="364"/>
      <c r="C749" s="364"/>
      <c r="D749" s="364"/>
      <c r="E749" s="364"/>
      <c r="F749" s="364"/>
      <c r="G749" s="364"/>
      <c r="H749" s="364"/>
      <c r="I749" s="364"/>
      <c r="J749" s="364"/>
      <c r="K749" s="364"/>
      <c r="L749" s="364"/>
      <c r="M749" s="364"/>
      <c r="N749" s="364"/>
      <c r="O749" s="364"/>
      <c r="P749" s="364"/>
      <c r="Q749" s="364"/>
      <c r="R749" s="364"/>
      <c r="S749" s="364"/>
      <c r="T749" s="364"/>
      <c r="U749" s="364"/>
      <c r="V749" s="364"/>
      <c r="W749" s="364"/>
      <c r="X749" s="364"/>
      <c r="Y749" s="364"/>
      <c r="Z749" s="364"/>
      <c r="AA749" s="364" t="str">
        <f aca="false">IFERROR(__xludf.dummyfunction("""COMPUTED_VALUE"""),"")</f>
        <v/>
      </c>
      <c r="AB749" s="364"/>
    </row>
    <row r="750" customFormat="false" ht="15.75" hidden="false" customHeight="false" outlineLevel="0" collapsed="false">
      <c r="A750" s="364"/>
      <c r="B750" s="364"/>
      <c r="C750" s="364"/>
      <c r="D750" s="364"/>
      <c r="E750" s="364"/>
      <c r="F750" s="364"/>
      <c r="G750" s="364"/>
      <c r="H750" s="364"/>
      <c r="I750" s="364"/>
      <c r="J750" s="364"/>
      <c r="K750" s="364"/>
      <c r="L750" s="364"/>
      <c r="M750" s="364"/>
      <c r="N750" s="364"/>
      <c r="O750" s="364"/>
      <c r="P750" s="364"/>
      <c r="Q750" s="364"/>
      <c r="R750" s="364"/>
      <c r="S750" s="364"/>
      <c r="T750" s="364"/>
      <c r="U750" s="364"/>
      <c r="V750" s="364"/>
      <c r="W750" s="364"/>
      <c r="X750" s="364"/>
      <c r="Y750" s="364"/>
      <c r="Z750" s="364"/>
      <c r="AA750" s="364" t="str">
        <f aca="false">IFERROR(__xludf.dummyfunction("""COMPUTED_VALUE"""),"")</f>
        <v/>
      </c>
      <c r="AB750" s="364"/>
    </row>
    <row r="751" customFormat="false" ht="15.75" hidden="false" customHeight="false" outlineLevel="0" collapsed="false">
      <c r="A751" s="364"/>
      <c r="B751" s="364"/>
      <c r="C751" s="364"/>
      <c r="D751" s="364"/>
      <c r="E751" s="364"/>
      <c r="F751" s="364"/>
      <c r="G751" s="364"/>
      <c r="H751" s="364"/>
      <c r="I751" s="364"/>
      <c r="J751" s="364"/>
      <c r="K751" s="364"/>
      <c r="L751" s="364"/>
      <c r="M751" s="364"/>
      <c r="N751" s="364"/>
      <c r="O751" s="364"/>
      <c r="P751" s="364"/>
      <c r="Q751" s="364"/>
      <c r="R751" s="364"/>
      <c r="S751" s="364"/>
      <c r="T751" s="364"/>
      <c r="U751" s="364"/>
      <c r="V751" s="364"/>
      <c r="W751" s="364"/>
      <c r="X751" s="364"/>
      <c r="Y751" s="364"/>
      <c r="Z751" s="364"/>
      <c r="AA751" s="364" t="str">
        <f aca="false">IFERROR(__xludf.dummyfunction("""COMPUTED_VALUE"""),"")</f>
        <v/>
      </c>
      <c r="AB751" s="364"/>
    </row>
    <row r="752" customFormat="false" ht="15.75" hidden="false" customHeight="false" outlineLevel="0" collapsed="false">
      <c r="A752" s="364"/>
      <c r="B752" s="364"/>
      <c r="C752" s="364"/>
      <c r="D752" s="364"/>
      <c r="E752" s="364"/>
      <c r="F752" s="364"/>
      <c r="G752" s="364"/>
      <c r="H752" s="364"/>
      <c r="I752" s="364"/>
      <c r="J752" s="364"/>
      <c r="K752" s="364"/>
      <c r="L752" s="364"/>
      <c r="M752" s="364"/>
      <c r="N752" s="364"/>
      <c r="O752" s="364"/>
      <c r="P752" s="364"/>
      <c r="Q752" s="364"/>
      <c r="R752" s="364"/>
      <c r="S752" s="364"/>
      <c r="T752" s="364"/>
      <c r="U752" s="364"/>
      <c r="V752" s="364"/>
      <c r="W752" s="364"/>
      <c r="X752" s="364"/>
      <c r="Y752" s="364"/>
      <c r="Z752" s="364"/>
      <c r="AA752" s="364" t="str">
        <f aca="false">IFERROR(__xludf.dummyfunction("""COMPUTED_VALUE"""),"")</f>
        <v/>
      </c>
      <c r="AB752" s="364"/>
    </row>
    <row r="753" customFormat="false" ht="15.75" hidden="false" customHeight="false" outlineLevel="0" collapsed="false">
      <c r="A753" s="364"/>
      <c r="B753" s="364"/>
      <c r="C753" s="364"/>
      <c r="D753" s="364"/>
      <c r="E753" s="364"/>
      <c r="F753" s="364"/>
      <c r="G753" s="364"/>
      <c r="H753" s="364"/>
      <c r="I753" s="364"/>
      <c r="J753" s="364"/>
      <c r="K753" s="364"/>
      <c r="L753" s="364"/>
      <c r="M753" s="364"/>
      <c r="N753" s="364"/>
      <c r="O753" s="364"/>
      <c r="P753" s="364"/>
      <c r="Q753" s="364"/>
      <c r="R753" s="364"/>
      <c r="S753" s="364"/>
      <c r="T753" s="364"/>
      <c r="U753" s="364"/>
      <c r="V753" s="364"/>
      <c r="W753" s="364"/>
      <c r="X753" s="364"/>
      <c r="Y753" s="364"/>
      <c r="Z753" s="364"/>
      <c r="AA753" s="364" t="str">
        <f aca="false">IFERROR(__xludf.dummyfunction("""COMPUTED_VALUE"""),"")</f>
        <v/>
      </c>
      <c r="AB753" s="364"/>
    </row>
    <row r="754" customFormat="false" ht="15.75" hidden="false" customHeight="false" outlineLevel="0" collapsed="false">
      <c r="A754" s="364"/>
      <c r="B754" s="364"/>
      <c r="C754" s="364"/>
      <c r="D754" s="364"/>
      <c r="E754" s="364"/>
      <c r="F754" s="364"/>
      <c r="G754" s="364"/>
      <c r="H754" s="364"/>
      <c r="I754" s="364"/>
      <c r="J754" s="364"/>
      <c r="K754" s="364"/>
      <c r="L754" s="364"/>
      <c r="M754" s="364"/>
      <c r="N754" s="364"/>
      <c r="O754" s="364"/>
      <c r="P754" s="364"/>
      <c r="Q754" s="364"/>
      <c r="R754" s="364"/>
      <c r="S754" s="364"/>
      <c r="T754" s="364"/>
      <c r="U754" s="364"/>
      <c r="V754" s="364"/>
      <c r="W754" s="364"/>
      <c r="X754" s="364"/>
      <c r="Y754" s="364"/>
      <c r="Z754" s="364"/>
      <c r="AA754" s="364" t="str">
        <f aca="false">IFERROR(__xludf.dummyfunction("""COMPUTED_VALUE"""),"")</f>
        <v/>
      </c>
      <c r="AB754" s="364"/>
    </row>
    <row r="755" customFormat="false" ht="15.75" hidden="false" customHeight="false" outlineLevel="0" collapsed="false">
      <c r="A755" s="364"/>
      <c r="B755" s="364"/>
      <c r="C755" s="364"/>
      <c r="D755" s="364"/>
      <c r="E755" s="364"/>
      <c r="F755" s="364"/>
      <c r="G755" s="364"/>
      <c r="H755" s="364"/>
      <c r="I755" s="364"/>
      <c r="J755" s="364"/>
      <c r="K755" s="364"/>
      <c r="L755" s="364"/>
      <c r="M755" s="364"/>
      <c r="N755" s="364"/>
      <c r="O755" s="364"/>
      <c r="P755" s="364"/>
      <c r="Q755" s="364"/>
      <c r="R755" s="364"/>
      <c r="S755" s="364"/>
      <c r="T755" s="364"/>
      <c r="U755" s="364"/>
      <c r="V755" s="364"/>
      <c r="W755" s="364"/>
      <c r="X755" s="364"/>
      <c r="Y755" s="364"/>
      <c r="Z755" s="364"/>
      <c r="AA755" s="364" t="str">
        <f aca="false">IFERROR(__xludf.dummyfunction("""COMPUTED_VALUE"""),"")</f>
        <v/>
      </c>
      <c r="AB755" s="364"/>
    </row>
    <row r="756" customFormat="false" ht="15.75" hidden="false" customHeight="false" outlineLevel="0" collapsed="false">
      <c r="A756" s="364"/>
      <c r="B756" s="364"/>
      <c r="C756" s="364"/>
      <c r="D756" s="364"/>
      <c r="E756" s="364"/>
      <c r="F756" s="364"/>
      <c r="G756" s="364"/>
      <c r="H756" s="364"/>
      <c r="I756" s="364"/>
      <c r="J756" s="364"/>
      <c r="K756" s="364"/>
      <c r="L756" s="364"/>
      <c r="M756" s="364"/>
      <c r="N756" s="364"/>
      <c r="O756" s="364"/>
      <c r="P756" s="364"/>
      <c r="Q756" s="364"/>
      <c r="R756" s="364"/>
      <c r="S756" s="364"/>
      <c r="T756" s="364"/>
      <c r="U756" s="364"/>
      <c r="V756" s="364"/>
      <c r="W756" s="364"/>
      <c r="X756" s="364"/>
      <c r="Y756" s="364"/>
      <c r="Z756" s="364"/>
      <c r="AA756" s="364" t="str">
        <f aca="false">IFERROR(__xludf.dummyfunction("""COMPUTED_VALUE"""),"")</f>
        <v/>
      </c>
      <c r="AB756" s="364"/>
    </row>
    <row r="757" customFormat="false" ht="15.75" hidden="false" customHeight="false" outlineLevel="0" collapsed="false">
      <c r="A757" s="364"/>
      <c r="B757" s="364"/>
      <c r="C757" s="364"/>
      <c r="D757" s="364"/>
      <c r="E757" s="364"/>
      <c r="F757" s="364"/>
      <c r="G757" s="364"/>
      <c r="H757" s="364"/>
      <c r="I757" s="364"/>
      <c r="J757" s="364"/>
      <c r="K757" s="364"/>
      <c r="L757" s="364"/>
      <c r="M757" s="364"/>
      <c r="N757" s="364"/>
      <c r="O757" s="364"/>
      <c r="P757" s="364"/>
      <c r="Q757" s="364"/>
      <c r="R757" s="364"/>
      <c r="S757" s="364"/>
      <c r="T757" s="364"/>
      <c r="U757" s="364"/>
      <c r="V757" s="364"/>
      <c r="W757" s="364"/>
      <c r="X757" s="364"/>
      <c r="Y757" s="364"/>
      <c r="Z757" s="364"/>
      <c r="AA757" s="364" t="str">
        <f aca="false">IFERROR(__xludf.dummyfunction("""COMPUTED_VALUE"""),"")</f>
        <v/>
      </c>
      <c r="AB757" s="364"/>
    </row>
    <row r="758" customFormat="false" ht="15.75" hidden="false" customHeight="false" outlineLevel="0" collapsed="false">
      <c r="A758" s="364"/>
      <c r="B758" s="364"/>
      <c r="C758" s="364"/>
      <c r="D758" s="364"/>
      <c r="E758" s="364"/>
      <c r="F758" s="364"/>
      <c r="G758" s="364"/>
      <c r="H758" s="364"/>
      <c r="I758" s="364"/>
      <c r="J758" s="364"/>
      <c r="K758" s="364"/>
      <c r="L758" s="364"/>
      <c r="M758" s="364"/>
      <c r="N758" s="364"/>
      <c r="O758" s="364"/>
      <c r="P758" s="364"/>
      <c r="Q758" s="364"/>
      <c r="R758" s="364"/>
      <c r="S758" s="364"/>
      <c r="T758" s="364"/>
      <c r="U758" s="364"/>
      <c r="V758" s="364"/>
      <c r="W758" s="364"/>
      <c r="X758" s="364"/>
      <c r="Y758" s="364"/>
      <c r="Z758" s="364"/>
      <c r="AA758" s="364" t="str">
        <f aca="false">IFERROR(__xludf.dummyfunction("""COMPUTED_VALUE"""),"")</f>
        <v/>
      </c>
      <c r="AB758" s="364"/>
    </row>
    <row r="759" customFormat="false" ht="15.75" hidden="false" customHeight="false" outlineLevel="0" collapsed="false">
      <c r="A759" s="364"/>
      <c r="B759" s="364"/>
      <c r="C759" s="364"/>
      <c r="D759" s="364"/>
      <c r="E759" s="364"/>
      <c r="F759" s="364"/>
      <c r="G759" s="364"/>
      <c r="H759" s="364"/>
      <c r="I759" s="364"/>
      <c r="J759" s="364"/>
      <c r="K759" s="364"/>
      <c r="L759" s="364"/>
      <c r="M759" s="364"/>
      <c r="N759" s="364"/>
      <c r="O759" s="364"/>
      <c r="P759" s="364"/>
      <c r="Q759" s="364"/>
      <c r="R759" s="364"/>
      <c r="S759" s="364"/>
      <c r="T759" s="364"/>
      <c r="U759" s="364"/>
      <c r="V759" s="364"/>
      <c r="W759" s="364"/>
      <c r="X759" s="364"/>
      <c r="Y759" s="364"/>
      <c r="Z759" s="364"/>
      <c r="AA759" s="364" t="str">
        <f aca="false">IFERROR(__xludf.dummyfunction("""COMPUTED_VALUE"""),"")</f>
        <v/>
      </c>
      <c r="AB759" s="364"/>
    </row>
    <row r="760" customFormat="false" ht="15.75" hidden="false" customHeight="false" outlineLevel="0" collapsed="false">
      <c r="A760" s="364"/>
      <c r="B760" s="364"/>
      <c r="C760" s="364"/>
      <c r="D760" s="364"/>
      <c r="E760" s="364"/>
      <c r="F760" s="364"/>
      <c r="G760" s="364"/>
      <c r="H760" s="364"/>
      <c r="I760" s="364"/>
      <c r="J760" s="364"/>
      <c r="K760" s="364"/>
      <c r="L760" s="364"/>
      <c r="M760" s="364"/>
      <c r="N760" s="364"/>
      <c r="O760" s="364"/>
      <c r="P760" s="364"/>
      <c r="Q760" s="364"/>
      <c r="R760" s="364"/>
      <c r="S760" s="364"/>
      <c r="T760" s="364"/>
      <c r="U760" s="364"/>
      <c r="V760" s="364"/>
      <c r="W760" s="364"/>
      <c r="X760" s="364"/>
      <c r="Y760" s="364"/>
      <c r="Z760" s="364"/>
      <c r="AA760" s="364" t="str">
        <f aca="false">IFERROR(__xludf.dummyfunction("""COMPUTED_VALUE"""),"")</f>
        <v/>
      </c>
      <c r="AB760" s="364"/>
    </row>
    <row r="761" customFormat="false" ht="15.75" hidden="false" customHeight="false" outlineLevel="0" collapsed="false">
      <c r="A761" s="364"/>
      <c r="B761" s="364"/>
      <c r="C761" s="364"/>
      <c r="D761" s="364"/>
      <c r="E761" s="364"/>
      <c r="F761" s="364"/>
      <c r="G761" s="364"/>
      <c r="H761" s="364"/>
      <c r="I761" s="364"/>
      <c r="J761" s="364"/>
      <c r="K761" s="364"/>
      <c r="L761" s="364"/>
      <c r="M761" s="364"/>
      <c r="N761" s="364"/>
      <c r="O761" s="364"/>
      <c r="P761" s="364"/>
      <c r="Q761" s="364"/>
      <c r="R761" s="364"/>
      <c r="S761" s="364"/>
      <c r="T761" s="364"/>
      <c r="U761" s="364"/>
      <c r="V761" s="364"/>
      <c r="W761" s="364"/>
      <c r="X761" s="364"/>
      <c r="Y761" s="364"/>
      <c r="Z761" s="364"/>
      <c r="AA761" s="364" t="str">
        <f aca="false">IFERROR(__xludf.dummyfunction("""COMPUTED_VALUE"""),"")</f>
        <v/>
      </c>
      <c r="AB761" s="364"/>
    </row>
    <row r="762" customFormat="false" ht="15.75" hidden="false" customHeight="false" outlineLevel="0" collapsed="false">
      <c r="A762" s="364"/>
      <c r="B762" s="364"/>
      <c r="C762" s="364"/>
      <c r="D762" s="364"/>
      <c r="E762" s="364"/>
      <c r="F762" s="364"/>
      <c r="G762" s="364"/>
      <c r="H762" s="364"/>
      <c r="I762" s="364"/>
      <c r="J762" s="364"/>
      <c r="K762" s="364"/>
      <c r="L762" s="364"/>
      <c r="M762" s="364"/>
      <c r="N762" s="364"/>
      <c r="O762" s="364"/>
      <c r="P762" s="364"/>
      <c r="Q762" s="364"/>
      <c r="R762" s="364"/>
      <c r="S762" s="364"/>
      <c r="T762" s="364"/>
      <c r="U762" s="364"/>
      <c r="V762" s="364"/>
      <c r="W762" s="364"/>
      <c r="X762" s="364"/>
      <c r="Y762" s="364"/>
      <c r="Z762" s="364"/>
      <c r="AA762" s="364" t="str">
        <f aca="false">IFERROR(__xludf.dummyfunction("""COMPUTED_VALUE"""),"")</f>
        <v/>
      </c>
      <c r="AB762" s="364"/>
    </row>
    <row r="763" customFormat="false" ht="15.75" hidden="false" customHeight="false" outlineLevel="0" collapsed="false">
      <c r="A763" s="364"/>
      <c r="B763" s="364"/>
      <c r="C763" s="364"/>
      <c r="D763" s="364"/>
      <c r="E763" s="364"/>
      <c r="F763" s="364"/>
      <c r="G763" s="364"/>
      <c r="H763" s="364"/>
      <c r="I763" s="364"/>
      <c r="J763" s="364"/>
      <c r="K763" s="364"/>
      <c r="L763" s="364"/>
      <c r="M763" s="364"/>
      <c r="N763" s="364"/>
      <c r="O763" s="364"/>
      <c r="P763" s="364"/>
      <c r="Q763" s="364"/>
      <c r="R763" s="364"/>
      <c r="S763" s="364"/>
      <c r="T763" s="364"/>
      <c r="U763" s="364"/>
      <c r="V763" s="364"/>
      <c r="W763" s="364"/>
      <c r="X763" s="364"/>
      <c r="Y763" s="364"/>
      <c r="Z763" s="364"/>
      <c r="AA763" s="364" t="str">
        <f aca="false">IFERROR(__xludf.dummyfunction("""COMPUTED_VALUE"""),"")</f>
        <v/>
      </c>
      <c r="AB763" s="364"/>
    </row>
    <row r="764" customFormat="false" ht="15.75" hidden="false" customHeight="false" outlineLevel="0" collapsed="false">
      <c r="A764" s="364"/>
      <c r="B764" s="364"/>
      <c r="C764" s="364"/>
      <c r="D764" s="364"/>
      <c r="E764" s="364"/>
      <c r="F764" s="364"/>
      <c r="G764" s="364"/>
      <c r="H764" s="364"/>
      <c r="I764" s="364"/>
      <c r="J764" s="364"/>
      <c r="K764" s="364"/>
      <c r="L764" s="364"/>
      <c r="M764" s="364"/>
      <c r="N764" s="364"/>
      <c r="O764" s="364"/>
      <c r="P764" s="364"/>
      <c r="Q764" s="364"/>
      <c r="R764" s="364"/>
      <c r="S764" s="364"/>
      <c r="T764" s="364"/>
      <c r="U764" s="364"/>
      <c r="V764" s="364"/>
      <c r="W764" s="364"/>
      <c r="X764" s="364"/>
      <c r="Y764" s="364"/>
      <c r="Z764" s="364"/>
      <c r="AA764" s="364" t="str">
        <f aca="false">IFERROR(__xludf.dummyfunction("""COMPUTED_VALUE"""),"")</f>
        <v/>
      </c>
      <c r="AB764" s="364"/>
    </row>
    <row r="765" customFormat="false" ht="15.75" hidden="false" customHeight="false" outlineLevel="0" collapsed="false">
      <c r="A765" s="364"/>
      <c r="B765" s="364"/>
      <c r="C765" s="364"/>
      <c r="D765" s="364"/>
      <c r="E765" s="364"/>
      <c r="F765" s="364"/>
      <c r="G765" s="364"/>
      <c r="H765" s="364"/>
      <c r="I765" s="364"/>
      <c r="J765" s="364"/>
      <c r="K765" s="364"/>
      <c r="L765" s="364"/>
      <c r="M765" s="364"/>
      <c r="N765" s="364"/>
      <c r="O765" s="364"/>
      <c r="P765" s="364"/>
      <c r="Q765" s="364"/>
      <c r="R765" s="364"/>
      <c r="S765" s="364"/>
      <c r="T765" s="364"/>
      <c r="U765" s="364"/>
      <c r="V765" s="364"/>
      <c r="W765" s="364"/>
      <c r="X765" s="364"/>
      <c r="Y765" s="364"/>
      <c r="Z765" s="364"/>
      <c r="AA765" s="364" t="str">
        <f aca="false">IFERROR(__xludf.dummyfunction("""COMPUTED_VALUE"""),"")</f>
        <v/>
      </c>
      <c r="AB765" s="364"/>
    </row>
    <row r="766" customFormat="false" ht="15.75" hidden="false" customHeight="false" outlineLevel="0" collapsed="false">
      <c r="A766" s="364"/>
      <c r="B766" s="364"/>
      <c r="C766" s="364"/>
      <c r="D766" s="364"/>
      <c r="E766" s="364"/>
      <c r="F766" s="364"/>
      <c r="G766" s="364"/>
      <c r="H766" s="364"/>
      <c r="I766" s="364"/>
      <c r="J766" s="364"/>
      <c r="K766" s="364"/>
      <c r="L766" s="364"/>
      <c r="M766" s="364"/>
      <c r="N766" s="364"/>
      <c r="O766" s="364"/>
      <c r="P766" s="364"/>
      <c r="Q766" s="364"/>
      <c r="R766" s="364"/>
      <c r="S766" s="364"/>
      <c r="T766" s="364"/>
      <c r="U766" s="364"/>
      <c r="V766" s="364"/>
      <c r="W766" s="364"/>
      <c r="X766" s="364"/>
      <c r="Y766" s="364"/>
      <c r="Z766" s="364"/>
      <c r="AA766" s="364" t="str">
        <f aca="false">IFERROR(__xludf.dummyfunction("""COMPUTED_VALUE"""),"")</f>
        <v/>
      </c>
      <c r="AB766" s="364"/>
    </row>
    <row r="767" customFormat="false" ht="15.75" hidden="false" customHeight="false" outlineLevel="0" collapsed="false">
      <c r="A767" s="364"/>
      <c r="B767" s="364"/>
      <c r="C767" s="364"/>
      <c r="D767" s="364"/>
      <c r="E767" s="364"/>
      <c r="F767" s="364"/>
      <c r="G767" s="364"/>
      <c r="H767" s="364"/>
      <c r="I767" s="364"/>
      <c r="J767" s="364"/>
      <c r="K767" s="364"/>
      <c r="L767" s="364"/>
      <c r="M767" s="364"/>
      <c r="N767" s="364"/>
      <c r="O767" s="364"/>
      <c r="P767" s="364"/>
      <c r="Q767" s="364"/>
      <c r="R767" s="364"/>
      <c r="S767" s="364"/>
      <c r="T767" s="364"/>
      <c r="U767" s="364"/>
      <c r="V767" s="364"/>
      <c r="W767" s="364"/>
      <c r="X767" s="364"/>
      <c r="Y767" s="364"/>
      <c r="Z767" s="364"/>
      <c r="AA767" s="364" t="str">
        <f aca="false">IFERROR(__xludf.dummyfunction("""COMPUTED_VALUE"""),"")</f>
        <v/>
      </c>
      <c r="AB767" s="364"/>
    </row>
    <row r="768" customFormat="false" ht="15.75" hidden="false" customHeight="false" outlineLevel="0" collapsed="false">
      <c r="A768" s="364"/>
      <c r="B768" s="364"/>
      <c r="C768" s="364"/>
      <c r="D768" s="364"/>
      <c r="E768" s="364"/>
      <c r="F768" s="364"/>
      <c r="G768" s="364"/>
      <c r="H768" s="364"/>
      <c r="I768" s="364"/>
      <c r="J768" s="364"/>
      <c r="K768" s="364"/>
      <c r="L768" s="364"/>
      <c r="M768" s="364"/>
      <c r="N768" s="364"/>
      <c r="O768" s="364"/>
      <c r="P768" s="364"/>
      <c r="Q768" s="364"/>
      <c r="R768" s="364"/>
      <c r="S768" s="364"/>
      <c r="T768" s="364"/>
      <c r="U768" s="364"/>
      <c r="V768" s="364"/>
      <c r="W768" s="364"/>
      <c r="X768" s="364"/>
      <c r="Y768" s="364"/>
      <c r="Z768" s="364"/>
      <c r="AA768" s="364" t="str">
        <f aca="false">IFERROR(__xludf.dummyfunction("""COMPUTED_VALUE"""),"")</f>
        <v/>
      </c>
      <c r="AB768" s="364"/>
    </row>
    <row r="769" customFormat="false" ht="15.75" hidden="false" customHeight="false" outlineLevel="0" collapsed="false">
      <c r="A769" s="364"/>
      <c r="B769" s="364"/>
      <c r="C769" s="364"/>
      <c r="D769" s="364"/>
      <c r="E769" s="364"/>
      <c r="F769" s="364"/>
      <c r="G769" s="364"/>
      <c r="H769" s="364"/>
      <c r="I769" s="364"/>
      <c r="J769" s="364"/>
      <c r="K769" s="364"/>
      <c r="L769" s="364"/>
      <c r="M769" s="364"/>
      <c r="N769" s="364"/>
      <c r="O769" s="364"/>
      <c r="P769" s="364"/>
      <c r="Q769" s="364"/>
      <c r="R769" s="364"/>
      <c r="S769" s="364"/>
      <c r="T769" s="364"/>
      <c r="U769" s="364"/>
      <c r="V769" s="364"/>
      <c r="W769" s="364"/>
      <c r="X769" s="364"/>
      <c r="Y769" s="364"/>
      <c r="Z769" s="364"/>
      <c r="AA769" s="364" t="str">
        <f aca="false">IFERROR(__xludf.dummyfunction("""COMPUTED_VALUE"""),"")</f>
        <v/>
      </c>
      <c r="AB769" s="364"/>
    </row>
    <row r="770" customFormat="false" ht="15.75" hidden="false" customHeight="false" outlineLevel="0" collapsed="false">
      <c r="A770" s="364"/>
      <c r="B770" s="364"/>
      <c r="C770" s="364"/>
      <c r="D770" s="364"/>
      <c r="E770" s="364"/>
      <c r="F770" s="364"/>
      <c r="G770" s="364"/>
      <c r="H770" s="364"/>
      <c r="I770" s="364"/>
      <c r="J770" s="364"/>
      <c r="K770" s="364"/>
      <c r="L770" s="364"/>
      <c r="M770" s="364"/>
      <c r="N770" s="364"/>
      <c r="O770" s="364"/>
      <c r="P770" s="364"/>
      <c r="Q770" s="364"/>
      <c r="R770" s="364"/>
      <c r="S770" s="364"/>
      <c r="T770" s="364"/>
      <c r="U770" s="364"/>
      <c r="V770" s="364"/>
      <c r="W770" s="364"/>
      <c r="X770" s="364"/>
      <c r="Y770" s="364"/>
      <c r="Z770" s="364"/>
      <c r="AA770" s="364" t="str">
        <f aca="false">IFERROR(__xludf.dummyfunction("""COMPUTED_VALUE"""),"")</f>
        <v/>
      </c>
      <c r="AB770" s="364"/>
    </row>
    <row r="771" customFormat="false" ht="15.75" hidden="false" customHeight="false" outlineLevel="0" collapsed="false">
      <c r="A771" s="364"/>
      <c r="B771" s="364"/>
      <c r="C771" s="364"/>
      <c r="D771" s="364"/>
      <c r="E771" s="364"/>
      <c r="F771" s="364"/>
      <c r="G771" s="364"/>
      <c r="H771" s="364"/>
      <c r="I771" s="364"/>
      <c r="J771" s="364"/>
      <c r="K771" s="364"/>
      <c r="L771" s="364"/>
      <c r="M771" s="364"/>
      <c r="N771" s="364"/>
      <c r="O771" s="364"/>
      <c r="P771" s="364"/>
      <c r="Q771" s="364"/>
      <c r="R771" s="364"/>
      <c r="S771" s="364"/>
      <c r="T771" s="364"/>
      <c r="U771" s="364"/>
      <c r="V771" s="364"/>
      <c r="W771" s="364"/>
      <c r="X771" s="364"/>
      <c r="Y771" s="364"/>
      <c r="Z771" s="364"/>
      <c r="AA771" s="364" t="str">
        <f aca="false">IFERROR(__xludf.dummyfunction("""COMPUTED_VALUE"""),"")</f>
        <v/>
      </c>
      <c r="AB771" s="364"/>
    </row>
    <row r="772" customFormat="false" ht="15.75" hidden="false" customHeight="false" outlineLevel="0" collapsed="false">
      <c r="A772" s="364"/>
      <c r="B772" s="364"/>
      <c r="C772" s="364"/>
      <c r="D772" s="364"/>
      <c r="E772" s="364"/>
      <c r="F772" s="364"/>
      <c r="G772" s="364"/>
      <c r="H772" s="364"/>
      <c r="I772" s="364"/>
      <c r="J772" s="364"/>
      <c r="K772" s="364"/>
      <c r="L772" s="364"/>
      <c r="M772" s="364"/>
      <c r="N772" s="364"/>
      <c r="O772" s="364"/>
      <c r="P772" s="364"/>
      <c r="Q772" s="364"/>
      <c r="R772" s="364"/>
      <c r="S772" s="364"/>
      <c r="T772" s="364"/>
      <c r="U772" s="364"/>
      <c r="V772" s="364"/>
      <c r="W772" s="364"/>
      <c r="X772" s="364"/>
      <c r="Y772" s="364"/>
      <c r="Z772" s="364"/>
      <c r="AA772" s="364" t="str">
        <f aca="false">IFERROR(__xludf.dummyfunction("""COMPUTED_VALUE"""),"")</f>
        <v/>
      </c>
      <c r="AB772" s="364"/>
    </row>
    <row r="773" customFormat="false" ht="15.75" hidden="false" customHeight="false" outlineLevel="0" collapsed="false">
      <c r="A773" s="364"/>
      <c r="B773" s="364"/>
      <c r="C773" s="364"/>
      <c r="D773" s="364"/>
      <c r="E773" s="364"/>
      <c r="F773" s="364"/>
      <c r="G773" s="364"/>
      <c r="H773" s="364"/>
      <c r="I773" s="364"/>
      <c r="J773" s="364"/>
      <c r="K773" s="364"/>
      <c r="L773" s="364"/>
      <c r="M773" s="364"/>
      <c r="N773" s="364"/>
      <c r="O773" s="364"/>
      <c r="P773" s="364"/>
      <c r="Q773" s="364"/>
      <c r="R773" s="364"/>
      <c r="S773" s="364"/>
      <c r="T773" s="364"/>
      <c r="U773" s="364"/>
      <c r="V773" s="364"/>
      <c r="W773" s="364"/>
      <c r="X773" s="364"/>
      <c r="Y773" s="364"/>
      <c r="Z773" s="364"/>
      <c r="AA773" s="364" t="str">
        <f aca="false">IFERROR(__xludf.dummyfunction("""COMPUTED_VALUE"""),"")</f>
        <v/>
      </c>
      <c r="AB773" s="364"/>
    </row>
    <row r="774" customFormat="false" ht="15.75" hidden="false" customHeight="false" outlineLevel="0" collapsed="false">
      <c r="A774" s="364"/>
      <c r="B774" s="364"/>
      <c r="C774" s="364"/>
      <c r="D774" s="364"/>
      <c r="E774" s="364"/>
      <c r="F774" s="364"/>
      <c r="G774" s="364"/>
      <c r="H774" s="364"/>
      <c r="I774" s="364"/>
      <c r="J774" s="364"/>
      <c r="K774" s="364"/>
      <c r="L774" s="364"/>
      <c r="M774" s="364"/>
      <c r="N774" s="364"/>
      <c r="O774" s="364"/>
      <c r="P774" s="364"/>
      <c r="Q774" s="364"/>
      <c r="R774" s="364"/>
      <c r="S774" s="364"/>
      <c r="T774" s="364"/>
      <c r="U774" s="364"/>
      <c r="V774" s="364"/>
      <c r="W774" s="364"/>
      <c r="X774" s="364"/>
      <c r="Y774" s="364"/>
      <c r="Z774" s="364"/>
      <c r="AA774" s="364" t="str">
        <f aca="false">IFERROR(__xludf.dummyfunction("""COMPUTED_VALUE"""),"")</f>
        <v/>
      </c>
      <c r="AB774" s="364"/>
    </row>
    <row r="775" customFormat="false" ht="15.75" hidden="false" customHeight="false" outlineLevel="0" collapsed="false">
      <c r="A775" s="364"/>
      <c r="B775" s="364"/>
      <c r="C775" s="364"/>
      <c r="D775" s="364"/>
      <c r="E775" s="364"/>
      <c r="F775" s="364"/>
      <c r="G775" s="364"/>
      <c r="H775" s="364"/>
      <c r="I775" s="364"/>
      <c r="J775" s="364"/>
      <c r="K775" s="364"/>
      <c r="L775" s="364"/>
      <c r="M775" s="364"/>
      <c r="N775" s="364"/>
      <c r="O775" s="364"/>
      <c r="P775" s="364"/>
      <c r="Q775" s="364"/>
      <c r="R775" s="364"/>
      <c r="S775" s="364"/>
      <c r="T775" s="364"/>
      <c r="U775" s="364"/>
      <c r="V775" s="364"/>
      <c r="W775" s="364"/>
      <c r="X775" s="364"/>
      <c r="Y775" s="364"/>
      <c r="Z775" s="364"/>
      <c r="AA775" s="364" t="str">
        <f aca="false">IFERROR(__xludf.dummyfunction("""COMPUTED_VALUE"""),"")</f>
        <v/>
      </c>
      <c r="AB775" s="364"/>
    </row>
    <row r="776" customFormat="false" ht="15.75" hidden="false" customHeight="false" outlineLevel="0" collapsed="false">
      <c r="A776" s="364"/>
      <c r="B776" s="364"/>
      <c r="C776" s="364"/>
      <c r="D776" s="364"/>
      <c r="E776" s="364"/>
      <c r="F776" s="364"/>
      <c r="G776" s="364"/>
      <c r="H776" s="364"/>
      <c r="I776" s="364"/>
      <c r="J776" s="364"/>
      <c r="K776" s="364"/>
      <c r="L776" s="364"/>
      <c r="M776" s="364"/>
      <c r="N776" s="364"/>
      <c r="O776" s="364"/>
      <c r="P776" s="364"/>
      <c r="Q776" s="364"/>
      <c r="R776" s="364"/>
      <c r="S776" s="364"/>
      <c r="T776" s="364"/>
      <c r="U776" s="364"/>
      <c r="V776" s="364"/>
      <c r="W776" s="364"/>
      <c r="X776" s="364"/>
      <c r="Y776" s="364"/>
      <c r="Z776" s="364"/>
      <c r="AA776" s="364" t="str">
        <f aca="false">IFERROR(__xludf.dummyfunction("""COMPUTED_VALUE"""),"")</f>
        <v/>
      </c>
      <c r="AB776" s="364"/>
    </row>
    <row r="777" customFormat="false" ht="15.75" hidden="false" customHeight="false" outlineLevel="0" collapsed="false">
      <c r="A777" s="364"/>
      <c r="B777" s="364"/>
      <c r="C777" s="364"/>
      <c r="D777" s="364"/>
      <c r="E777" s="364"/>
      <c r="F777" s="364"/>
      <c r="G777" s="364"/>
      <c r="H777" s="364"/>
      <c r="I777" s="364"/>
      <c r="J777" s="364"/>
      <c r="K777" s="364"/>
      <c r="L777" s="364"/>
      <c r="M777" s="364"/>
      <c r="N777" s="364"/>
      <c r="O777" s="364"/>
      <c r="P777" s="364"/>
      <c r="Q777" s="364"/>
      <c r="R777" s="364"/>
      <c r="S777" s="364"/>
      <c r="T777" s="364"/>
      <c r="U777" s="364"/>
      <c r="V777" s="364"/>
      <c r="W777" s="364"/>
      <c r="X777" s="364"/>
      <c r="Y777" s="364"/>
      <c r="Z777" s="364"/>
      <c r="AA777" s="364" t="str">
        <f aca="false">IFERROR(__xludf.dummyfunction("""COMPUTED_VALUE"""),"")</f>
        <v/>
      </c>
      <c r="AB777" s="364"/>
    </row>
    <row r="778" customFormat="false" ht="15.75" hidden="false" customHeight="false" outlineLevel="0" collapsed="false">
      <c r="A778" s="364"/>
      <c r="B778" s="364"/>
      <c r="C778" s="364"/>
      <c r="D778" s="364"/>
      <c r="E778" s="364"/>
      <c r="F778" s="364"/>
      <c r="G778" s="364"/>
      <c r="H778" s="364"/>
      <c r="I778" s="364"/>
      <c r="J778" s="364"/>
      <c r="K778" s="364"/>
      <c r="L778" s="364"/>
      <c r="M778" s="364"/>
      <c r="N778" s="364"/>
      <c r="O778" s="364"/>
      <c r="P778" s="364"/>
      <c r="Q778" s="364"/>
      <c r="R778" s="364"/>
      <c r="S778" s="364"/>
      <c r="T778" s="364"/>
      <c r="U778" s="364"/>
      <c r="V778" s="364"/>
      <c r="W778" s="364"/>
      <c r="X778" s="364"/>
      <c r="Y778" s="364"/>
      <c r="Z778" s="364"/>
      <c r="AA778" s="364" t="str">
        <f aca="false">IFERROR(__xludf.dummyfunction("""COMPUTED_VALUE"""),"")</f>
        <v/>
      </c>
      <c r="AB778" s="364"/>
    </row>
    <row r="779" customFormat="false" ht="15.75" hidden="false" customHeight="false" outlineLevel="0" collapsed="false">
      <c r="A779" s="364"/>
      <c r="B779" s="364"/>
      <c r="C779" s="364"/>
      <c r="D779" s="364"/>
      <c r="E779" s="364"/>
      <c r="F779" s="364"/>
      <c r="G779" s="364"/>
      <c r="H779" s="364"/>
      <c r="I779" s="364"/>
      <c r="J779" s="364"/>
      <c r="K779" s="364"/>
      <c r="L779" s="364"/>
      <c r="M779" s="364"/>
      <c r="N779" s="364"/>
      <c r="O779" s="364"/>
      <c r="P779" s="364"/>
      <c r="Q779" s="364"/>
      <c r="R779" s="364"/>
      <c r="S779" s="364"/>
      <c r="T779" s="364"/>
      <c r="U779" s="364"/>
      <c r="V779" s="364"/>
      <c r="W779" s="364"/>
      <c r="X779" s="364"/>
      <c r="Y779" s="364"/>
      <c r="Z779" s="364"/>
      <c r="AA779" s="364" t="str">
        <f aca="false">IFERROR(__xludf.dummyfunction("""COMPUTED_VALUE"""),"")</f>
        <v/>
      </c>
      <c r="AB779" s="364"/>
    </row>
    <row r="780" customFormat="false" ht="15.75" hidden="false" customHeight="false" outlineLevel="0" collapsed="false">
      <c r="A780" s="364"/>
      <c r="B780" s="364"/>
      <c r="C780" s="364"/>
      <c r="D780" s="364"/>
      <c r="E780" s="364"/>
      <c r="F780" s="364"/>
      <c r="G780" s="364"/>
      <c r="H780" s="364"/>
      <c r="I780" s="364"/>
      <c r="J780" s="364"/>
      <c r="K780" s="364"/>
      <c r="L780" s="364"/>
      <c r="M780" s="364"/>
      <c r="N780" s="364"/>
      <c r="O780" s="364"/>
      <c r="P780" s="364"/>
      <c r="Q780" s="364"/>
      <c r="R780" s="364"/>
      <c r="S780" s="364"/>
      <c r="T780" s="364"/>
      <c r="U780" s="364"/>
      <c r="V780" s="364"/>
      <c r="W780" s="364"/>
      <c r="X780" s="364"/>
      <c r="Y780" s="364"/>
      <c r="Z780" s="364"/>
      <c r="AA780" s="364" t="str">
        <f aca="false">IFERROR(__xludf.dummyfunction("""COMPUTED_VALUE"""),"")</f>
        <v/>
      </c>
      <c r="AB780" s="364"/>
    </row>
    <row r="781" customFormat="false" ht="15.75" hidden="false" customHeight="false" outlineLevel="0" collapsed="false">
      <c r="A781" s="364"/>
      <c r="B781" s="364"/>
      <c r="C781" s="364"/>
      <c r="D781" s="364"/>
      <c r="E781" s="364"/>
      <c r="F781" s="364"/>
      <c r="G781" s="364"/>
      <c r="H781" s="364"/>
      <c r="I781" s="364"/>
      <c r="J781" s="364"/>
      <c r="K781" s="364"/>
      <c r="L781" s="364"/>
      <c r="M781" s="364"/>
      <c r="N781" s="364"/>
      <c r="O781" s="364"/>
      <c r="P781" s="364"/>
      <c r="Q781" s="364"/>
      <c r="R781" s="364"/>
      <c r="S781" s="364"/>
      <c r="T781" s="364"/>
      <c r="U781" s="364"/>
      <c r="V781" s="364"/>
      <c r="W781" s="364"/>
      <c r="X781" s="364"/>
      <c r="Y781" s="364"/>
      <c r="Z781" s="364"/>
      <c r="AA781" s="364" t="str">
        <f aca="false">IFERROR(__xludf.dummyfunction("""COMPUTED_VALUE"""),"")</f>
        <v/>
      </c>
      <c r="AB781" s="364"/>
    </row>
    <row r="782" customFormat="false" ht="15.75" hidden="false" customHeight="false" outlineLevel="0" collapsed="false">
      <c r="A782" s="364"/>
      <c r="B782" s="364"/>
      <c r="C782" s="364"/>
      <c r="D782" s="364"/>
      <c r="E782" s="364"/>
      <c r="F782" s="364"/>
      <c r="G782" s="364"/>
      <c r="H782" s="364"/>
      <c r="I782" s="364"/>
      <c r="J782" s="364"/>
      <c r="K782" s="364"/>
      <c r="L782" s="364"/>
      <c r="M782" s="364"/>
      <c r="N782" s="364"/>
      <c r="O782" s="364"/>
      <c r="P782" s="364"/>
      <c r="Q782" s="364"/>
      <c r="R782" s="364"/>
      <c r="S782" s="364"/>
      <c r="T782" s="364"/>
      <c r="U782" s="364"/>
      <c r="V782" s="364"/>
      <c r="W782" s="364"/>
      <c r="X782" s="364"/>
      <c r="Y782" s="364"/>
      <c r="Z782" s="364"/>
      <c r="AA782" s="364" t="str">
        <f aca="false">IFERROR(__xludf.dummyfunction("""COMPUTED_VALUE"""),"")</f>
        <v/>
      </c>
      <c r="AB782" s="364"/>
    </row>
    <row r="783" customFormat="false" ht="15.75" hidden="false" customHeight="false" outlineLevel="0" collapsed="false">
      <c r="A783" s="364"/>
      <c r="B783" s="364"/>
      <c r="C783" s="364"/>
      <c r="D783" s="364"/>
      <c r="E783" s="364"/>
      <c r="F783" s="364"/>
      <c r="G783" s="364"/>
      <c r="H783" s="364"/>
      <c r="I783" s="364"/>
      <c r="J783" s="364"/>
      <c r="K783" s="364"/>
      <c r="L783" s="364"/>
      <c r="M783" s="364"/>
      <c r="N783" s="364"/>
      <c r="O783" s="364"/>
      <c r="P783" s="364"/>
      <c r="Q783" s="364"/>
      <c r="R783" s="364"/>
      <c r="S783" s="364"/>
      <c r="T783" s="364"/>
      <c r="U783" s="364"/>
      <c r="V783" s="364"/>
      <c r="W783" s="364"/>
      <c r="X783" s="364"/>
      <c r="Y783" s="364"/>
      <c r="Z783" s="364"/>
      <c r="AA783" s="364" t="str">
        <f aca="false">IFERROR(__xludf.dummyfunction("""COMPUTED_VALUE"""),"")</f>
        <v/>
      </c>
      <c r="AB783" s="364"/>
    </row>
    <row r="784" customFormat="false" ht="15.75" hidden="false" customHeight="false" outlineLevel="0" collapsed="false">
      <c r="A784" s="364"/>
      <c r="B784" s="364"/>
      <c r="C784" s="364"/>
      <c r="D784" s="364"/>
      <c r="E784" s="364"/>
      <c r="F784" s="364"/>
      <c r="G784" s="364"/>
      <c r="H784" s="364"/>
      <c r="I784" s="364"/>
      <c r="J784" s="364"/>
      <c r="K784" s="364"/>
      <c r="L784" s="364"/>
      <c r="M784" s="364"/>
      <c r="N784" s="364"/>
      <c r="O784" s="364"/>
      <c r="P784" s="364"/>
      <c r="Q784" s="364"/>
      <c r="R784" s="364"/>
      <c r="S784" s="364"/>
      <c r="T784" s="364"/>
      <c r="U784" s="364"/>
      <c r="V784" s="364"/>
      <c r="W784" s="364"/>
      <c r="X784" s="364"/>
      <c r="Y784" s="364"/>
      <c r="Z784" s="364"/>
      <c r="AA784" s="364" t="str">
        <f aca="false">IFERROR(__xludf.dummyfunction("""COMPUTED_VALUE"""),"")</f>
        <v/>
      </c>
      <c r="AB784" s="364"/>
    </row>
    <row r="785" customFormat="false" ht="15.75" hidden="false" customHeight="false" outlineLevel="0" collapsed="false">
      <c r="A785" s="364"/>
      <c r="B785" s="364"/>
      <c r="C785" s="364"/>
      <c r="D785" s="364"/>
      <c r="E785" s="364"/>
      <c r="F785" s="364"/>
      <c r="G785" s="364"/>
      <c r="H785" s="364"/>
      <c r="I785" s="364"/>
      <c r="J785" s="364"/>
      <c r="K785" s="364"/>
      <c r="L785" s="364"/>
      <c r="M785" s="364"/>
      <c r="N785" s="364"/>
      <c r="O785" s="364"/>
      <c r="P785" s="364"/>
      <c r="Q785" s="364"/>
      <c r="R785" s="364"/>
      <c r="S785" s="364"/>
      <c r="T785" s="364"/>
      <c r="U785" s="364"/>
      <c r="V785" s="364"/>
      <c r="W785" s="364"/>
      <c r="X785" s="364"/>
      <c r="Y785" s="364"/>
      <c r="Z785" s="364"/>
      <c r="AA785" s="364" t="str">
        <f aca="false">IFERROR(__xludf.dummyfunction("""COMPUTED_VALUE"""),"")</f>
        <v/>
      </c>
      <c r="AB785" s="364"/>
    </row>
    <row r="786" customFormat="false" ht="15.75" hidden="false" customHeight="false" outlineLevel="0" collapsed="false">
      <c r="A786" s="364"/>
      <c r="B786" s="364"/>
      <c r="C786" s="364"/>
      <c r="D786" s="364"/>
      <c r="E786" s="364"/>
      <c r="F786" s="364"/>
      <c r="G786" s="364"/>
      <c r="H786" s="364"/>
      <c r="I786" s="364"/>
      <c r="J786" s="364"/>
      <c r="K786" s="364"/>
      <c r="L786" s="364"/>
      <c r="M786" s="364"/>
      <c r="N786" s="364"/>
      <c r="O786" s="364"/>
      <c r="P786" s="364"/>
      <c r="Q786" s="364"/>
      <c r="R786" s="364"/>
      <c r="S786" s="364"/>
      <c r="T786" s="364"/>
      <c r="U786" s="364"/>
      <c r="V786" s="364"/>
      <c r="W786" s="364"/>
      <c r="X786" s="364"/>
      <c r="Y786" s="364"/>
      <c r="Z786" s="364"/>
      <c r="AA786" s="364" t="str">
        <f aca="false">IFERROR(__xludf.dummyfunction("""COMPUTED_VALUE"""),"")</f>
        <v/>
      </c>
      <c r="AB786" s="364"/>
    </row>
    <row r="787" customFormat="false" ht="15.75" hidden="false" customHeight="false" outlineLevel="0" collapsed="false">
      <c r="A787" s="364"/>
      <c r="B787" s="364"/>
      <c r="C787" s="364"/>
      <c r="D787" s="364"/>
      <c r="E787" s="364"/>
      <c r="F787" s="364"/>
      <c r="G787" s="364"/>
      <c r="H787" s="364"/>
      <c r="I787" s="364"/>
      <c r="J787" s="364"/>
      <c r="K787" s="364"/>
      <c r="L787" s="364"/>
      <c r="M787" s="364"/>
      <c r="N787" s="364"/>
      <c r="O787" s="364"/>
      <c r="P787" s="364"/>
      <c r="Q787" s="364"/>
      <c r="R787" s="364"/>
      <c r="S787" s="364"/>
      <c r="T787" s="364"/>
      <c r="U787" s="364"/>
      <c r="V787" s="364"/>
      <c r="W787" s="364"/>
      <c r="X787" s="364"/>
      <c r="Y787" s="364"/>
      <c r="Z787" s="364"/>
      <c r="AA787" s="364" t="str">
        <f aca="false">IFERROR(__xludf.dummyfunction("""COMPUTED_VALUE"""),"")</f>
        <v/>
      </c>
      <c r="AB787" s="364"/>
    </row>
    <row r="788" customFormat="false" ht="15.75" hidden="false" customHeight="false" outlineLevel="0" collapsed="false">
      <c r="A788" s="364"/>
      <c r="B788" s="364"/>
      <c r="C788" s="364"/>
      <c r="D788" s="364"/>
      <c r="E788" s="364"/>
      <c r="F788" s="364"/>
      <c r="G788" s="364"/>
      <c r="H788" s="364"/>
      <c r="I788" s="364"/>
      <c r="J788" s="364"/>
      <c r="K788" s="364"/>
      <c r="L788" s="364"/>
      <c r="M788" s="364"/>
      <c r="N788" s="364"/>
      <c r="O788" s="364"/>
      <c r="P788" s="364"/>
      <c r="Q788" s="364"/>
      <c r="R788" s="364"/>
      <c r="S788" s="364"/>
      <c r="T788" s="364"/>
      <c r="U788" s="364"/>
      <c r="V788" s="364"/>
      <c r="W788" s="364"/>
      <c r="X788" s="364"/>
      <c r="Y788" s="364"/>
      <c r="Z788" s="364"/>
      <c r="AA788" s="364" t="str">
        <f aca="false">IFERROR(__xludf.dummyfunction("""COMPUTED_VALUE"""),"")</f>
        <v/>
      </c>
      <c r="AB788" s="364"/>
    </row>
    <row r="789" customFormat="false" ht="15.75" hidden="false" customHeight="false" outlineLevel="0" collapsed="false">
      <c r="A789" s="364"/>
      <c r="B789" s="364"/>
      <c r="C789" s="364"/>
      <c r="D789" s="364"/>
      <c r="E789" s="364"/>
      <c r="F789" s="364"/>
      <c r="G789" s="364"/>
      <c r="H789" s="364"/>
      <c r="I789" s="364"/>
      <c r="J789" s="364"/>
      <c r="K789" s="364"/>
      <c r="L789" s="364"/>
      <c r="M789" s="364"/>
      <c r="N789" s="364"/>
      <c r="O789" s="364"/>
      <c r="P789" s="364"/>
      <c r="Q789" s="364"/>
      <c r="R789" s="364"/>
      <c r="S789" s="364"/>
      <c r="T789" s="364"/>
      <c r="U789" s="364"/>
      <c r="V789" s="364"/>
      <c r="W789" s="364"/>
      <c r="X789" s="364"/>
      <c r="Y789" s="364"/>
      <c r="Z789" s="364"/>
      <c r="AA789" s="364" t="str">
        <f aca="false">IFERROR(__xludf.dummyfunction("""COMPUTED_VALUE"""),"")</f>
        <v/>
      </c>
      <c r="AB789" s="364"/>
    </row>
    <row r="790" customFormat="false" ht="15.75" hidden="false" customHeight="false" outlineLevel="0" collapsed="false">
      <c r="A790" s="364"/>
      <c r="B790" s="364"/>
      <c r="C790" s="364"/>
      <c r="D790" s="364"/>
      <c r="E790" s="364"/>
      <c r="F790" s="364"/>
      <c r="G790" s="364"/>
      <c r="H790" s="364"/>
      <c r="I790" s="364"/>
      <c r="J790" s="364"/>
      <c r="K790" s="364"/>
      <c r="L790" s="364"/>
      <c r="M790" s="364"/>
      <c r="N790" s="364"/>
      <c r="O790" s="364"/>
      <c r="P790" s="364"/>
      <c r="Q790" s="364"/>
      <c r="R790" s="364"/>
      <c r="S790" s="364"/>
      <c r="T790" s="364"/>
      <c r="U790" s="364"/>
      <c r="V790" s="364"/>
      <c r="W790" s="364"/>
      <c r="X790" s="364"/>
      <c r="Y790" s="364"/>
      <c r="Z790" s="364"/>
      <c r="AA790" s="364" t="str">
        <f aca="false">IFERROR(__xludf.dummyfunction("""COMPUTED_VALUE"""),"")</f>
        <v/>
      </c>
      <c r="AB790" s="364"/>
    </row>
    <row r="791" customFormat="false" ht="15.75" hidden="false" customHeight="false" outlineLevel="0" collapsed="false">
      <c r="A791" s="364"/>
      <c r="B791" s="364"/>
      <c r="C791" s="364"/>
      <c r="D791" s="364"/>
      <c r="E791" s="364"/>
      <c r="F791" s="364"/>
      <c r="G791" s="364"/>
      <c r="H791" s="364"/>
      <c r="I791" s="364"/>
      <c r="J791" s="364"/>
      <c r="K791" s="364"/>
      <c r="L791" s="364"/>
      <c r="M791" s="364"/>
      <c r="N791" s="364"/>
      <c r="O791" s="364"/>
      <c r="P791" s="364"/>
      <c r="Q791" s="364"/>
      <c r="R791" s="364"/>
      <c r="S791" s="364"/>
      <c r="T791" s="364"/>
      <c r="U791" s="364"/>
      <c r="V791" s="364"/>
      <c r="W791" s="364"/>
      <c r="X791" s="364"/>
      <c r="Y791" s="364"/>
      <c r="Z791" s="364"/>
      <c r="AA791" s="364" t="str">
        <f aca="false">IFERROR(__xludf.dummyfunction("""COMPUTED_VALUE"""),"")</f>
        <v/>
      </c>
      <c r="AB791" s="364"/>
    </row>
    <row r="792" customFormat="false" ht="15.75" hidden="false" customHeight="false" outlineLevel="0" collapsed="false">
      <c r="A792" s="364"/>
      <c r="B792" s="364"/>
      <c r="C792" s="364"/>
      <c r="D792" s="364"/>
      <c r="E792" s="364"/>
      <c r="F792" s="364"/>
      <c r="G792" s="364"/>
      <c r="H792" s="364"/>
      <c r="I792" s="364"/>
      <c r="J792" s="364"/>
      <c r="K792" s="364"/>
      <c r="L792" s="364"/>
      <c r="M792" s="364"/>
      <c r="N792" s="364"/>
      <c r="O792" s="364"/>
      <c r="P792" s="364"/>
      <c r="Q792" s="364"/>
      <c r="R792" s="364"/>
      <c r="S792" s="364"/>
      <c r="T792" s="364"/>
      <c r="U792" s="364"/>
      <c r="V792" s="364"/>
      <c r="W792" s="364"/>
      <c r="X792" s="364"/>
      <c r="Y792" s="364"/>
      <c r="Z792" s="364"/>
      <c r="AA792" s="364" t="str">
        <f aca="false">IFERROR(__xludf.dummyfunction("""COMPUTED_VALUE"""),"")</f>
        <v/>
      </c>
      <c r="AB792" s="364"/>
    </row>
    <row r="793" customFormat="false" ht="15.75" hidden="false" customHeight="false" outlineLevel="0" collapsed="false">
      <c r="A793" s="364"/>
      <c r="B793" s="364"/>
      <c r="C793" s="364"/>
      <c r="D793" s="364"/>
      <c r="E793" s="364"/>
      <c r="F793" s="364"/>
      <c r="G793" s="364"/>
      <c r="H793" s="364"/>
      <c r="I793" s="364"/>
      <c r="J793" s="364"/>
      <c r="K793" s="364"/>
      <c r="L793" s="364"/>
      <c r="M793" s="364"/>
      <c r="N793" s="364"/>
      <c r="O793" s="364"/>
      <c r="P793" s="364"/>
      <c r="Q793" s="364"/>
      <c r="R793" s="364"/>
      <c r="S793" s="364"/>
      <c r="T793" s="364"/>
      <c r="U793" s="364"/>
      <c r="V793" s="364"/>
      <c r="W793" s="364"/>
      <c r="X793" s="364"/>
      <c r="Y793" s="364"/>
      <c r="Z793" s="364"/>
      <c r="AA793" s="364" t="str">
        <f aca="false">IFERROR(__xludf.dummyfunction("""COMPUTED_VALUE"""),"")</f>
        <v/>
      </c>
      <c r="AB793" s="364"/>
    </row>
    <row r="794" customFormat="false" ht="15.75" hidden="false" customHeight="false" outlineLevel="0" collapsed="false">
      <c r="A794" s="364"/>
      <c r="B794" s="364"/>
      <c r="C794" s="364"/>
      <c r="D794" s="364"/>
      <c r="E794" s="364"/>
      <c r="F794" s="364"/>
      <c r="G794" s="364"/>
      <c r="H794" s="364"/>
      <c r="I794" s="364"/>
      <c r="J794" s="364"/>
      <c r="K794" s="364"/>
      <c r="L794" s="364"/>
      <c r="M794" s="364"/>
      <c r="N794" s="364"/>
      <c r="O794" s="364"/>
      <c r="P794" s="364"/>
      <c r="Q794" s="364"/>
      <c r="R794" s="364"/>
      <c r="S794" s="364"/>
      <c r="T794" s="364"/>
      <c r="U794" s="364"/>
      <c r="V794" s="364"/>
      <c r="W794" s="364"/>
      <c r="X794" s="364"/>
      <c r="Y794" s="364"/>
      <c r="Z794" s="364"/>
      <c r="AA794" s="364" t="str">
        <f aca="false">IFERROR(__xludf.dummyfunction("""COMPUTED_VALUE"""),"")</f>
        <v/>
      </c>
      <c r="AB794" s="364"/>
    </row>
    <row r="795" customFormat="false" ht="15.75" hidden="false" customHeight="false" outlineLevel="0" collapsed="false">
      <c r="A795" s="364"/>
      <c r="B795" s="364"/>
      <c r="C795" s="364"/>
      <c r="D795" s="364"/>
      <c r="E795" s="364"/>
      <c r="F795" s="364"/>
      <c r="G795" s="364"/>
      <c r="H795" s="364"/>
      <c r="I795" s="364"/>
      <c r="J795" s="364"/>
      <c r="K795" s="364"/>
      <c r="L795" s="364"/>
      <c r="M795" s="364"/>
      <c r="N795" s="364"/>
      <c r="O795" s="364"/>
      <c r="P795" s="364"/>
      <c r="Q795" s="364"/>
      <c r="R795" s="364"/>
      <c r="S795" s="364"/>
      <c r="T795" s="364"/>
      <c r="U795" s="364"/>
      <c r="V795" s="364"/>
      <c r="W795" s="364"/>
      <c r="X795" s="364"/>
      <c r="Y795" s="364"/>
      <c r="Z795" s="364"/>
      <c r="AA795" s="364" t="str">
        <f aca="false">IFERROR(__xludf.dummyfunction("""COMPUTED_VALUE"""),"")</f>
        <v/>
      </c>
      <c r="AB795" s="364"/>
    </row>
    <row r="796" customFormat="false" ht="15.75" hidden="false" customHeight="false" outlineLevel="0" collapsed="false">
      <c r="A796" s="364"/>
      <c r="B796" s="364"/>
      <c r="C796" s="364"/>
      <c r="D796" s="364"/>
      <c r="E796" s="364"/>
      <c r="F796" s="364"/>
      <c r="G796" s="364"/>
      <c r="H796" s="364"/>
      <c r="I796" s="364"/>
      <c r="J796" s="364"/>
      <c r="K796" s="364"/>
      <c r="L796" s="364"/>
      <c r="M796" s="364"/>
      <c r="N796" s="364"/>
      <c r="O796" s="364"/>
      <c r="P796" s="364"/>
      <c r="Q796" s="364"/>
      <c r="R796" s="364"/>
      <c r="S796" s="364"/>
      <c r="T796" s="364"/>
      <c r="U796" s="364"/>
      <c r="V796" s="364"/>
      <c r="W796" s="364"/>
      <c r="X796" s="364"/>
      <c r="Y796" s="364"/>
      <c r="Z796" s="364"/>
      <c r="AA796" s="364" t="str">
        <f aca="false">IFERROR(__xludf.dummyfunction("""COMPUTED_VALUE"""),"")</f>
        <v/>
      </c>
      <c r="AB796" s="364"/>
    </row>
    <row r="797" customFormat="false" ht="15.75" hidden="false" customHeight="false" outlineLevel="0" collapsed="false">
      <c r="A797" s="364"/>
      <c r="B797" s="364"/>
      <c r="C797" s="364"/>
      <c r="D797" s="364"/>
      <c r="E797" s="364"/>
      <c r="F797" s="364"/>
      <c r="G797" s="364"/>
      <c r="H797" s="364"/>
      <c r="I797" s="364"/>
      <c r="J797" s="364"/>
      <c r="K797" s="364"/>
      <c r="L797" s="364"/>
      <c r="M797" s="364"/>
      <c r="N797" s="364"/>
      <c r="O797" s="364"/>
      <c r="P797" s="364"/>
      <c r="Q797" s="364"/>
      <c r="R797" s="364"/>
      <c r="S797" s="364"/>
      <c r="T797" s="364"/>
      <c r="U797" s="364"/>
      <c r="V797" s="364"/>
      <c r="W797" s="364"/>
      <c r="X797" s="364"/>
      <c r="Y797" s="364"/>
      <c r="Z797" s="364"/>
      <c r="AA797" s="364" t="str">
        <f aca="false">IFERROR(__xludf.dummyfunction("""COMPUTED_VALUE"""),"")</f>
        <v/>
      </c>
      <c r="AB797" s="364"/>
    </row>
    <row r="798" customFormat="false" ht="15.75" hidden="false" customHeight="false" outlineLevel="0" collapsed="false">
      <c r="A798" s="364"/>
      <c r="B798" s="364"/>
      <c r="C798" s="364"/>
      <c r="D798" s="364"/>
      <c r="E798" s="364"/>
      <c r="F798" s="364"/>
      <c r="G798" s="364"/>
      <c r="H798" s="364"/>
      <c r="I798" s="364"/>
      <c r="J798" s="364"/>
      <c r="K798" s="364"/>
      <c r="L798" s="364"/>
      <c r="M798" s="364"/>
      <c r="N798" s="364"/>
      <c r="O798" s="364"/>
      <c r="P798" s="364"/>
      <c r="Q798" s="364"/>
      <c r="R798" s="364"/>
      <c r="S798" s="364"/>
      <c r="T798" s="364"/>
      <c r="U798" s="364"/>
      <c r="V798" s="364"/>
      <c r="W798" s="364"/>
      <c r="X798" s="364"/>
      <c r="Y798" s="364"/>
      <c r="Z798" s="364"/>
      <c r="AA798" s="364" t="str">
        <f aca="false">IFERROR(__xludf.dummyfunction("""COMPUTED_VALUE"""),"")</f>
        <v/>
      </c>
      <c r="AB798" s="364"/>
    </row>
    <row r="799" customFormat="false" ht="15.75" hidden="false" customHeight="false" outlineLevel="0" collapsed="false">
      <c r="A799" s="364"/>
      <c r="B799" s="364"/>
      <c r="C799" s="364"/>
      <c r="D799" s="364"/>
      <c r="E799" s="364"/>
      <c r="F799" s="364"/>
      <c r="G799" s="364"/>
      <c r="H799" s="364"/>
      <c r="I799" s="364"/>
      <c r="J799" s="364"/>
      <c r="K799" s="364"/>
      <c r="L799" s="364"/>
      <c r="M799" s="364"/>
      <c r="N799" s="364"/>
      <c r="O799" s="364"/>
      <c r="P799" s="364"/>
      <c r="Q799" s="364"/>
      <c r="R799" s="364"/>
      <c r="S799" s="364"/>
      <c r="T799" s="364"/>
      <c r="U799" s="364"/>
      <c r="V799" s="364"/>
      <c r="W799" s="364"/>
      <c r="X799" s="364"/>
      <c r="Y799" s="364"/>
      <c r="Z799" s="364"/>
      <c r="AA799" s="364" t="str">
        <f aca="false">IFERROR(__xludf.dummyfunction("""COMPUTED_VALUE"""),"")</f>
        <v/>
      </c>
      <c r="AB799" s="364"/>
    </row>
    <row r="800" customFormat="false" ht="15.75" hidden="false" customHeight="false" outlineLevel="0" collapsed="false">
      <c r="A800" s="364"/>
      <c r="B800" s="364"/>
      <c r="C800" s="364"/>
      <c r="D800" s="364"/>
      <c r="E800" s="364"/>
      <c r="F800" s="364"/>
      <c r="G800" s="364"/>
      <c r="H800" s="364"/>
      <c r="I800" s="364"/>
      <c r="J800" s="364"/>
      <c r="K800" s="364"/>
      <c r="L800" s="364"/>
      <c r="M800" s="364"/>
      <c r="N800" s="364"/>
      <c r="O800" s="364"/>
      <c r="P800" s="364"/>
      <c r="Q800" s="364"/>
      <c r="R800" s="364"/>
      <c r="S800" s="364"/>
      <c r="T800" s="364"/>
      <c r="U800" s="364"/>
      <c r="V800" s="364"/>
      <c r="W800" s="364"/>
      <c r="X800" s="364"/>
      <c r="Y800" s="364"/>
      <c r="Z800" s="364"/>
      <c r="AA800" s="364" t="str">
        <f aca="false">IFERROR(__xludf.dummyfunction("""COMPUTED_VALUE"""),"")</f>
        <v/>
      </c>
      <c r="AB800" s="364"/>
    </row>
    <row r="801" customFormat="false" ht="15.75" hidden="false" customHeight="false" outlineLevel="0" collapsed="false">
      <c r="A801" s="364"/>
      <c r="B801" s="364"/>
      <c r="C801" s="364"/>
      <c r="D801" s="364"/>
      <c r="E801" s="364"/>
      <c r="F801" s="364"/>
      <c r="G801" s="364"/>
      <c r="H801" s="364"/>
      <c r="I801" s="364"/>
      <c r="J801" s="364"/>
      <c r="K801" s="364"/>
      <c r="L801" s="364"/>
      <c r="M801" s="364"/>
      <c r="N801" s="364"/>
      <c r="O801" s="364"/>
      <c r="P801" s="364"/>
      <c r="Q801" s="364"/>
      <c r="R801" s="364"/>
      <c r="S801" s="364"/>
      <c r="T801" s="364"/>
      <c r="U801" s="364"/>
      <c r="V801" s="364"/>
      <c r="W801" s="364"/>
      <c r="X801" s="364"/>
      <c r="Y801" s="364"/>
      <c r="Z801" s="364"/>
      <c r="AA801" s="364" t="str">
        <f aca="false">IFERROR(__xludf.dummyfunction("""COMPUTED_VALUE"""),"")</f>
        <v/>
      </c>
      <c r="AB801" s="364"/>
    </row>
    <row r="802" customFormat="false" ht="15.75" hidden="false" customHeight="false" outlineLevel="0" collapsed="false">
      <c r="A802" s="364"/>
      <c r="B802" s="364"/>
      <c r="C802" s="364"/>
      <c r="D802" s="364"/>
      <c r="E802" s="364"/>
      <c r="F802" s="364"/>
      <c r="G802" s="364"/>
      <c r="H802" s="364"/>
      <c r="I802" s="364"/>
      <c r="J802" s="364"/>
      <c r="K802" s="364"/>
      <c r="L802" s="364"/>
      <c r="M802" s="364"/>
      <c r="N802" s="364"/>
      <c r="O802" s="364"/>
      <c r="P802" s="364"/>
      <c r="Q802" s="364"/>
      <c r="R802" s="364"/>
      <c r="S802" s="364"/>
      <c r="T802" s="364"/>
      <c r="U802" s="364"/>
      <c r="V802" s="364"/>
      <c r="W802" s="364"/>
      <c r="X802" s="364"/>
      <c r="Y802" s="364"/>
      <c r="Z802" s="364"/>
      <c r="AA802" s="364" t="str">
        <f aca="false">IFERROR(__xludf.dummyfunction("""COMPUTED_VALUE"""),"")</f>
        <v/>
      </c>
      <c r="AB802" s="364"/>
    </row>
    <row r="803" customFormat="false" ht="15.75" hidden="false" customHeight="false" outlineLevel="0" collapsed="false">
      <c r="A803" s="364"/>
      <c r="B803" s="364"/>
      <c r="C803" s="364"/>
      <c r="D803" s="364"/>
      <c r="E803" s="364"/>
      <c r="F803" s="364"/>
      <c r="G803" s="364"/>
      <c r="H803" s="364"/>
      <c r="I803" s="364"/>
      <c r="J803" s="364"/>
      <c r="K803" s="364"/>
      <c r="L803" s="364"/>
      <c r="M803" s="364"/>
      <c r="N803" s="364"/>
      <c r="O803" s="364"/>
      <c r="P803" s="364"/>
      <c r="Q803" s="364"/>
      <c r="R803" s="364"/>
      <c r="S803" s="364"/>
      <c r="T803" s="364"/>
      <c r="U803" s="364"/>
      <c r="V803" s="364"/>
      <c r="W803" s="364"/>
      <c r="X803" s="364"/>
      <c r="Y803" s="364"/>
      <c r="Z803" s="364"/>
      <c r="AA803" s="364" t="str">
        <f aca="false">IFERROR(__xludf.dummyfunction("""COMPUTED_VALUE"""),"")</f>
        <v/>
      </c>
      <c r="AB803" s="364"/>
    </row>
    <row r="804" customFormat="false" ht="15.75" hidden="false" customHeight="false" outlineLevel="0" collapsed="false">
      <c r="A804" s="364"/>
      <c r="B804" s="364"/>
      <c r="C804" s="364"/>
      <c r="D804" s="364"/>
      <c r="E804" s="364"/>
      <c r="F804" s="364"/>
      <c r="G804" s="364"/>
      <c r="H804" s="364"/>
      <c r="I804" s="364"/>
      <c r="J804" s="364"/>
      <c r="K804" s="364"/>
      <c r="L804" s="364"/>
      <c r="M804" s="364"/>
      <c r="N804" s="364"/>
      <c r="O804" s="364"/>
      <c r="P804" s="364"/>
      <c r="Q804" s="364"/>
      <c r="R804" s="364"/>
      <c r="S804" s="364"/>
      <c r="T804" s="364"/>
      <c r="U804" s="364"/>
      <c r="V804" s="364"/>
      <c r="W804" s="364"/>
      <c r="X804" s="364"/>
      <c r="Y804" s="364"/>
      <c r="Z804" s="364"/>
      <c r="AA804" s="364" t="str">
        <f aca="false">IFERROR(__xludf.dummyfunction("""COMPUTED_VALUE"""),"")</f>
        <v/>
      </c>
      <c r="AB804" s="364"/>
    </row>
    <row r="805" customFormat="false" ht="15.75" hidden="false" customHeight="false" outlineLevel="0" collapsed="false">
      <c r="A805" s="364"/>
      <c r="B805" s="364"/>
      <c r="C805" s="364"/>
      <c r="D805" s="364"/>
      <c r="E805" s="364"/>
      <c r="F805" s="364"/>
      <c r="G805" s="364"/>
      <c r="H805" s="364"/>
      <c r="I805" s="364"/>
      <c r="J805" s="364"/>
      <c r="K805" s="364"/>
      <c r="L805" s="364"/>
      <c r="M805" s="364"/>
      <c r="N805" s="364"/>
      <c r="O805" s="364"/>
      <c r="P805" s="364"/>
      <c r="Q805" s="364"/>
      <c r="R805" s="364"/>
      <c r="S805" s="364"/>
      <c r="T805" s="364"/>
      <c r="U805" s="364"/>
      <c r="V805" s="364"/>
      <c r="W805" s="364"/>
      <c r="X805" s="364"/>
      <c r="Y805" s="364"/>
      <c r="Z805" s="364"/>
      <c r="AA805" s="364" t="str">
        <f aca="false">IFERROR(__xludf.dummyfunction("""COMPUTED_VALUE"""),"")</f>
        <v/>
      </c>
      <c r="AB805" s="364"/>
    </row>
    <row r="806" customFormat="false" ht="15.75" hidden="false" customHeight="false" outlineLevel="0" collapsed="false">
      <c r="A806" s="364"/>
      <c r="B806" s="364"/>
      <c r="C806" s="364"/>
      <c r="D806" s="364"/>
      <c r="E806" s="364"/>
      <c r="F806" s="364"/>
      <c r="G806" s="364"/>
      <c r="H806" s="364"/>
      <c r="I806" s="364"/>
      <c r="J806" s="364"/>
      <c r="K806" s="364"/>
      <c r="L806" s="364"/>
      <c r="M806" s="364"/>
      <c r="N806" s="364"/>
      <c r="O806" s="364"/>
      <c r="P806" s="364"/>
      <c r="Q806" s="364"/>
      <c r="R806" s="364"/>
      <c r="S806" s="364"/>
      <c r="T806" s="364"/>
      <c r="U806" s="364"/>
      <c r="V806" s="364"/>
      <c r="W806" s="364"/>
      <c r="X806" s="364"/>
      <c r="Y806" s="364"/>
      <c r="Z806" s="364"/>
      <c r="AA806" s="364" t="str">
        <f aca="false">IFERROR(__xludf.dummyfunction("""COMPUTED_VALUE"""),"")</f>
        <v/>
      </c>
      <c r="AB806" s="364"/>
    </row>
    <row r="807" customFormat="false" ht="15.75" hidden="false" customHeight="false" outlineLevel="0" collapsed="false">
      <c r="A807" s="364"/>
      <c r="B807" s="364"/>
      <c r="C807" s="364"/>
      <c r="D807" s="364"/>
      <c r="E807" s="364"/>
      <c r="F807" s="364"/>
      <c r="G807" s="364"/>
      <c r="H807" s="364"/>
      <c r="I807" s="364"/>
      <c r="J807" s="364"/>
      <c r="K807" s="364"/>
      <c r="L807" s="364"/>
      <c r="M807" s="364"/>
      <c r="N807" s="364"/>
      <c r="O807" s="364"/>
      <c r="P807" s="364"/>
      <c r="Q807" s="364"/>
      <c r="R807" s="364"/>
      <c r="S807" s="364"/>
      <c r="T807" s="364"/>
      <c r="U807" s="364"/>
      <c r="V807" s="364"/>
      <c r="W807" s="364"/>
      <c r="X807" s="364"/>
      <c r="Y807" s="364"/>
      <c r="Z807" s="364"/>
      <c r="AA807" s="364" t="str">
        <f aca="false">IFERROR(__xludf.dummyfunction("""COMPUTED_VALUE"""),"")</f>
        <v/>
      </c>
      <c r="AB807" s="364"/>
    </row>
    <row r="808" customFormat="false" ht="15.75" hidden="false" customHeight="false" outlineLevel="0" collapsed="false">
      <c r="A808" s="364"/>
      <c r="B808" s="364"/>
      <c r="C808" s="364"/>
      <c r="D808" s="364"/>
      <c r="E808" s="364"/>
      <c r="F808" s="364"/>
      <c r="G808" s="364"/>
      <c r="H808" s="364"/>
      <c r="I808" s="364"/>
      <c r="J808" s="364"/>
      <c r="K808" s="364"/>
      <c r="L808" s="364"/>
      <c r="M808" s="364"/>
      <c r="N808" s="364"/>
      <c r="O808" s="364"/>
      <c r="P808" s="364"/>
      <c r="Q808" s="364"/>
      <c r="R808" s="364"/>
      <c r="S808" s="364"/>
      <c r="T808" s="364"/>
      <c r="U808" s="364"/>
      <c r="V808" s="364"/>
      <c r="W808" s="364"/>
      <c r="X808" s="364"/>
      <c r="Y808" s="364"/>
      <c r="Z808" s="364"/>
      <c r="AA808" s="364" t="str">
        <f aca="false">IFERROR(__xludf.dummyfunction("""COMPUTED_VALUE"""),"")</f>
        <v/>
      </c>
      <c r="AB808" s="364"/>
    </row>
    <row r="809" customFormat="false" ht="15.75" hidden="false" customHeight="false" outlineLevel="0" collapsed="false">
      <c r="A809" s="364"/>
      <c r="B809" s="364"/>
      <c r="C809" s="364"/>
      <c r="D809" s="364"/>
      <c r="E809" s="364"/>
      <c r="F809" s="364"/>
      <c r="G809" s="364"/>
      <c r="H809" s="364"/>
      <c r="I809" s="364"/>
      <c r="J809" s="364"/>
      <c r="K809" s="364"/>
      <c r="L809" s="364"/>
      <c r="M809" s="364"/>
      <c r="N809" s="364"/>
      <c r="O809" s="364"/>
      <c r="P809" s="364"/>
      <c r="Q809" s="364"/>
      <c r="R809" s="364"/>
      <c r="S809" s="364"/>
      <c r="T809" s="364"/>
      <c r="U809" s="364"/>
      <c r="V809" s="364"/>
      <c r="W809" s="364"/>
      <c r="X809" s="364"/>
      <c r="Y809" s="364"/>
      <c r="Z809" s="364"/>
      <c r="AA809" s="364" t="str">
        <f aca="false">IFERROR(__xludf.dummyfunction("""COMPUTED_VALUE"""),"")</f>
        <v/>
      </c>
      <c r="AB809" s="364"/>
    </row>
    <row r="810" customFormat="false" ht="15.75" hidden="false" customHeight="false" outlineLevel="0" collapsed="false">
      <c r="A810" s="364"/>
      <c r="B810" s="364"/>
      <c r="C810" s="364"/>
      <c r="D810" s="364"/>
      <c r="E810" s="364"/>
      <c r="F810" s="364"/>
      <c r="G810" s="364"/>
      <c r="H810" s="364"/>
      <c r="I810" s="364"/>
      <c r="J810" s="364"/>
      <c r="K810" s="364"/>
      <c r="L810" s="364"/>
      <c r="M810" s="364"/>
      <c r="N810" s="364"/>
      <c r="O810" s="364"/>
      <c r="P810" s="364"/>
      <c r="Q810" s="364"/>
      <c r="R810" s="364"/>
      <c r="S810" s="364"/>
      <c r="T810" s="364"/>
      <c r="U810" s="364"/>
      <c r="V810" s="364"/>
      <c r="W810" s="364"/>
      <c r="X810" s="364"/>
      <c r="Y810" s="364"/>
      <c r="Z810" s="364"/>
      <c r="AA810" s="364" t="str">
        <f aca="false">IFERROR(__xludf.dummyfunction("""COMPUTED_VALUE"""),"")</f>
        <v/>
      </c>
      <c r="AB810" s="364"/>
    </row>
    <row r="811" customFormat="false" ht="15.75" hidden="false" customHeight="false" outlineLevel="0" collapsed="false">
      <c r="A811" s="364"/>
      <c r="B811" s="364"/>
      <c r="C811" s="364"/>
      <c r="D811" s="364"/>
      <c r="E811" s="364"/>
      <c r="F811" s="364"/>
      <c r="G811" s="364"/>
      <c r="H811" s="364"/>
      <c r="I811" s="364"/>
      <c r="J811" s="364"/>
      <c r="K811" s="364"/>
      <c r="L811" s="364"/>
      <c r="M811" s="364"/>
      <c r="N811" s="364"/>
      <c r="O811" s="364"/>
      <c r="P811" s="364"/>
      <c r="Q811" s="364"/>
      <c r="R811" s="364"/>
      <c r="S811" s="364"/>
      <c r="T811" s="364"/>
      <c r="U811" s="364"/>
      <c r="V811" s="364"/>
      <c r="W811" s="364"/>
      <c r="X811" s="364"/>
      <c r="Y811" s="364"/>
      <c r="Z811" s="364"/>
      <c r="AA811" s="364" t="str">
        <f aca="false">IFERROR(__xludf.dummyfunction("""COMPUTED_VALUE"""),"")</f>
        <v/>
      </c>
      <c r="AB811" s="364"/>
    </row>
    <row r="812" customFormat="false" ht="15.75" hidden="false" customHeight="false" outlineLevel="0" collapsed="false">
      <c r="A812" s="364"/>
      <c r="B812" s="364"/>
      <c r="C812" s="364"/>
      <c r="D812" s="364"/>
      <c r="E812" s="364"/>
      <c r="F812" s="364"/>
      <c r="G812" s="364"/>
      <c r="H812" s="364"/>
      <c r="I812" s="364"/>
      <c r="J812" s="364"/>
      <c r="K812" s="364"/>
      <c r="L812" s="364"/>
      <c r="M812" s="364"/>
      <c r="N812" s="364"/>
      <c r="O812" s="364"/>
      <c r="P812" s="364"/>
      <c r="Q812" s="364"/>
      <c r="R812" s="364"/>
      <c r="S812" s="364"/>
      <c r="T812" s="364"/>
      <c r="U812" s="364"/>
      <c r="V812" s="364"/>
      <c r="W812" s="364"/>
      <c r="X812" s="364"/>
      <c r="Y812" s="364"/>
      <c r="Z812" s="364"/>
      <c r="AA812" s="364" t="str">
        <f aca="false">IFERROR(__xludf.dummyfunction("""COMPUTED_VALUE"""),"")</f>
        <v/>
      </c>
      <c r="AB812" s="364"/>
    </row>
    <row r="813" customFormat="false" ht="15.75" hidden="false" customHeight="false" outlineLevel="0" collapsed="false">
      <c r="A813" s="364"/>
      <c r="B813" s="364"/>
      <c r="C813" s="364"/>
      <c r="D813" s="364"/>
      <c r="E813" s="364"/>
      <c r="F813" s="364"/>
      <c r="G813" s="364"/>
      <c r="H813" s="364"/>
      <c r="I813" s="364"/>
      <c r="J813" s="364"/>
      <c r="K813" s="364"/>
      <c r="L813" s="364"/>
      <c r="M813" s="364"/>
      <c r="N813" s="364"/>
      <c r="O813" s="364"/>
      <c r="P813" s="364"/>
      <c r="Q813" s="364"/>
      <c r="R813" s="364"/>
      <c r="S813" s="364"/>
      <c r="T813" s="364"/>
      <c r="U813" s="364"/>
      <c r="V813" s="364"/>
      <c r="W813" s="364"/>
      <c r="X813" s="364"/>
      <c r="Y813" s="364"/>
      <c r="Z813" s="364"/>
      <c r="AA813" s="364" t="str">
        <f aca="false">IFERROR(__xludf.dummyfunction("""COMPUTED_VALUE"""),"")</f>
        <v/>
      </c>
      <c r="AB813" s="364"/>
    </row>
    <row r="814" customFormat="false" ht="15.75" hidden="false" customHeight="false" outlineLevel="0" collapsed="false">
      <c r="A814" s="364"/>
      <c r="B814" s="364"/>
      <c r="C814" s="364"/>
      <c r="D814" s="364"/>
      <c r="E814" s="364"/>
      <c r="F814" s="364"/>
      <c r="G814" s="364"/>
      <c r="H814" s="364"/>
      <c r="I814" s="364"/>
      <c r="J814" s="364"/>
      <c r="K814" s="364"/>
      <c r="L814" s="364"/>
      <c r="M814" s="364"/>
      <c r="N814" s="364"/>
      <c r="O814" s="364"/>
      <c r="P814" s="364"/>
      <c r="Q814" s="364"/>
      <c r="R814" s="364"/>
      <c r="S814" s="364"/>
      <c r="T814" s="364"/>
      <c r="U814" s="364"/>
      <c r="V814" s="364"/>
      <c r="W814" s="364"/>
      <c r="X814" s="364"/>
      <c r="Y814" s="364"/>
      <c r="Z814" s="364"/>
      <c r="AA814" s="364" t="str">
        <f aca="false">IFERROR(__xludf.dummyfunction("""COMPUTED_VALUE"""),"")</f>
        <v/>
      </c>
      <c r="AB814" s="364"/>
    </row>
    <row r="815" customFormat="false" ht="15.75" hidden="false" customHeight="false" outlineLevel="0" collapsed="false">
      <c r="A815" s="364"/>
      <c r="B815" s="364"/>
      <c r="C815" s="364"/>
      <c r="D815" s="364"/>
      <c r="E815" s="364"/>
      <c r="F815" s="364"/>
      <c r="G815" s="364"/>
      <c r="H815" s="364"/>
      <c r="I815" s="364"/>
      <c r="J815" s="364"/>
      <c r="K815" s="364"/>
      <c r="L815" s="364"/>
      <c r="M815" s="364"/>
      <c r="N815" s="364"/>
      <c r="O815" s="364"/>
      <c r="P815" s="364"/>
      <c r="Q815" s="364"/>
      <c r="R815" s="364"/>
      <c r="S815" s="364"/>
      <c r="T815" s="364"/>
      <c r="U815" s="364"/>
      <c r="V815" s="364"/>
      <c r="W815" s="364"/>
      <c r="X815" s="364"/>
      <c r="Y815" s="364"/>
      <c r="Z815" s="364"/>
      <c r="AA815" s="364" t="str">
        <f aca="false">IFERROR(__xludf.dummyfunction("""COMPUTED_VALUE"""),"")</f>
        <v/>
      </c>
      <c r="AB815" s="364"/>
    </row>
    <row r="816" customFormat="false" ht="15.75" hidden="false" customHeight="false" outlineLevel="0" collapsed="false">
      <c r="A816" s="364"/>
      <c r="B816" s="364"/>
      <c r="C816" s="364"/>
      <c r="D816" s="364"/>
      <c r="E816" s="364"/>
      <c r="F816" s="364"/>
      <c r="G816" s="364"/>
      <c r="H816" s="364"/>
      <c r="I816" s="364"/>
      <c r="J816" s="364"/>
      <c r="K816" s="364"/>
      <c r="L816" s="364"/>
      <c r="M816" s="364"/>
      <c r="N816" s="364"/>
      <c r="O816" s="364"/>
      <c r="P816" s="364"/>
      <c r="Q816" s="364"/>
      <c r="R816" s="364"/>
      <c r="S816" s="364"/>
      <c r="T816" s="364"/>
      <c r="U816" s="364"/>
      <c r="V816" s="364"/>
      <c r="W816" s="364"/>
      <c r="X816" s="364"/>
      <c r="Y816" s="364"/>
      <c r="Z816" s="364"/>
      <c r="AA816" s="364" t="str">
        <f aca="false">IFERROR(__xludf.dummyfunction("""COMPUTED_VALUE"""),"")</f>
        <v/>
      </c>
      <c r="AB816" s="364"/>
    </row>
    <row r="817" customFormat="false" ht="15.75" hidden="false" customHeight="false" outlineLevel="0" collapsed="false">
      <c r="A817" s="364"/>
      <c r="B817" s="364"/>
      <c r="C817" s="364"/>
      <c r="D817" s="364"/>
      <c r="E817" s="364"/>
      <c r="F817" s="364"/>
      <c r="G817" s="364"/>
      <c r="H817" s="364"/>
      <c r="I817" s="364"/>
      <c r="J817" s="364"/>
      <c r="K817" s="364"/>
      <c r="L817" s="364"/>
      <c r="M817" s="364"/>
      <c r="N817" s="364"/>
      <c r="O817" s="364"/>
      <c r="P817" s="364"/>
      <c r="Q817" s="364"/>
      <c r="R817" s="364"/>
      <c r="S817" s="364"/>
      <c r="T817" s="364"/>
      <c r="U817" s="364"/>
      <c r="V817" s="364"/>
      <c r="W817" s="364"/>
      <c r="X817" s="364"/>
      <c r="Y817" s="364"/>
      <c r="Z817" s="364"/>
      <c r="AA817" s="364" t="str">
        <f aca="false">IFERROR(__xludf.dummyfunction("""COMPUTED_VALUE"""),"")</f>
        <v/>
      </c>
      <c r="AB817" s="364"/>
    </row>
    <row r="818" customFormat="false" ht="15.75" hidden="false" customHeight="false" outlineLevel="0" collapsed="false">
      <c r="A818" s="364"/>
      <c r="B818" s="364"/>
      <c r="C818" s="364"/>
      <c r="D818" s="364"/>
      <c r="E818" s="364"/>
      <c r="F818" s="364"/>
      <c r="G818" s="364"/>
      <c r="H818" s="364"/>
      <c r="I818" s="364"/>
      <c r="J818" s="364"/>
      <c r="K818" s="364"/>
      <c r="L818" s="364"/>
      <c r="M818" s="364"/>
      <c r="N818" s="364"/>
      <c r="O818" s="364"/>
      <c r="P818" s="364"/>
      <c r="Q818" s="364"/>
      <c r="R818" s="364"/>
      <c r="S818" s="364"/>
      <c r="T818" s="364"/>
      <c r="U818" s="364"/>
      <c r="V818" s="364"/>
      <c r="W818" s="364"/>
      <c r="X818" s="364"/>
      <c r="Y818" s="364"/>
      <c r="Z818" s="364"/>
      <c r="AA818" s="364" t="str">
        <f aca="false">IFERROR(__xludf.dummyfunction("""COMPUTED_VALUE"""),"")</f>
        <v/>
      </c>
      <c r="AB818" s="364"/>
    </row>
    <row r="819" customFormat="false" ht="15.75" hidden="false" customHeight="false" outlineLevel="0" collapsed="false">
      <c r="A819" s="364"/>
      <c r="B819" s="364"/>
      <c r="C819" s="364"/>
      <c r="D819" s="364"/>
      <c r="E819" s="364"/>
      <c r="F819" s="364"/>
      <c r="G819" s="364"/>
      <c r="H819" s="364"/>
      <c r="I819" s="364"/>
      <c r="J819" s="364"/>
      <c r="K819" s="364"/>
      <c r="L819" s="364"/>
      <c r="M819" s="364"/>
      <c r="N819" s="364"/>
      <c r="O819" s="364"/>
      <c r="P819" s="364"/>
      <c r="Q819" s="364"/>
      <c r="R819" s="364"/>
      <c r="S819" s="364"/>
      <c r="T819" s="364"/>
      <c r="U819" s="364"/>
      <c r="V819" s="364"/>
      <c r="W819" s="364"/>
      <c r="X819" s="364"/>
      <c r="Y819" s="364"/>
      <c r="Z819" s="364"/>
      <c r="AA819" s="364" t="str">
        <f aca="false">IFERROR(__xludf.dummyfunction("""COMPUTED_VALUE"""),"")</f>
        <v/>
      </c>
      <c r="AB819" s="364"/>
    </row>
    <row r="820" customFormat="false" ht="15.75" hidden="false" customHeight="false" outlineLevel="0" collapsed="false">
      <c r="A820" s="364"/>
      <c r="B820" s="364"/>
      <c r="C820" s="364"/>
      <c r="D820" s="364"/>
      <c r="E820" s="364"/>
      <c r="F820" s="364"/>
      <c r="G820" s="364"/>
      <c r="H820" s="364"/>
      <c r="I820" s="364"/>
      <c r="J820" s="364"/>
      <c r="K820" s="364"/>
      <c r="L820" s="364"/>
      <c r="M820" s="364"/>
      <c r="N820" s="364"/>
      <c r="O820" s="364"/>
      <c r="P820" s="364"/>
      <c r="Q820" s="364"/>
      <c r="R820" s="364"/>
      <c r="S820" s="364"/>
      <c r="T820" s="364"/>
      <c r="U820" s="364"/>
      <c r="V820" s="364"/>
      <c r="W820" s="364"/>
      <c r="X820" s="364"/>
      <c r="Y820" s="364"/>
      <c r="Z820" s="364"/>
      <c r="AA820" s="364" t="str">
        <f aca="false">IFERROR(__xludf.dummyfunction("""COMPUTED_VALUE"""),"")</f>
        <v/>
      </c>
      <c r="AB820" s="364"/>
    </row>
    <row r="821" customFormat="false" ht="15.75" hidden="false" customHeight="false" outlineLevel="0" collapsed="false">
      <c r="A821" s="364"/>
      <c r="B821" s="364"/>
      <c r="C821" s="364"/>
      <c r="D821" s="364"/>
      <c r="E821" s="364"/>
      <c r="F821" s="364"/>
      <c r="G821" s="364"/>
      <c r="H821" s="364"/>
      <c r="I821" s="364"/>
      <c r="J821" s="364"/>
      <c r="K821" s="364"/>
      <c r="L821" s="364"/>
      <c r="M821" s="364"/>
      <c r="N821" s="364"/>
      <c r="O821" s="364"/>
      <c r="P821" s="364"/>
      <c r="Q821" s="364"/>
      <c r="R821" s="364"/>
      <c r="S821" s="364"/>
      <c r="T821" s="364"/>
      <c r="U821" s="364"/>
      <c r="V821" s="364"/>
      <c r="W821" s="364"/>
      <c r="X821" s="364"/>
      <c r="Y821" s="364"/>
      <c r="Z821" s="364"/>
      <c r="AA821" s="364" t="str">
        <f aca="false">IFERROR(__xludf.dummyfunction("""COMPUTED_VALUE"""),"")</f>
        <v/>
      </c>
      <c r="AB821" s="364"/>
    </row>
    <row r="822" customFormat="false" ht="15.75" hidden="false" customHeight="false" outlineLevel="0" collapsed="false">
      <c r="A822" s="364"/>
      <c r="B822" s="364"/>
      <c r="C822" s="364"/>
      <c r="D822" s="364"/>
      <c r="E822" s="364"/>
      <c r="F822" s="364"/>
      <c r="G822" s="364"/>
      <c r="H822" s="364"/>
      <c r="I822" s="364"/>
      <c r="J822" s="364"/>
      <c r="K822" s="364"/>
      <c r="L822" s="364"/>
      <c r="M822" s="364"/>
      <c r="N822" s="364"/>
      <c r="O822" s="364"/>
      <c r="P822" s="364"/>
      <c r="Q822" s="364"/>
      <c r="R822" s="364"/>
      <c r="S822" s="364"/>
      <c r="T822" s="364"/>
      <c r="U822" s="364"/>
      <c r="V822" s="364"/>
      <c r="W822" s="364"/>
      <c r="X822" s="364"/>
      <c r="Y822" s="364"/>
      <c r="Z822" s="364"/>
      <c r="AA822" s="364" t="str">
        <f aca="false">IFERROR(__xludf.dummyfunction("""COMPUTED_VALUE"""),"")</f>
        <v/>
      </c>
      <c r="AB822" s="364"/>
    </row>
    <row r="823" customFormat="false" ht="15.75" hidden="false" customHeight="false" outlineLevel="0" collapsed="false">
      <c r="A823" s="364"/>
      <c r="B823" s="364"/>
      <c r="C823" s="364"/>
      <c r="D823" s="364"/>
      <c r="E823" s="364"/>
      <c r="F823" s="364"/>
      <c r="G823" s="364"/>
      <c r="H823" s="364"/>
      <c r="I823" s="364"/>
      <c r="J823" s="364"/>
      <c r="K823" s="364"/>
      <c r="L823" s="364"/>
      <c r="M823" s="364"/>
      <c r="N823" s="364"/>
      <c r="O823" s="364"/>
      <c r="P823" s="364"/>
      <c r="Q823" s="364"/>
      <c r="R823" s="364"/>
      <c r="S823" s="364"/>
      <c r="T823" s="364"/>
      <c r="U823" s="364"/>
      <c r="V823" s="364"/>
      <c r="W823" s="364"/>
      <c r="X823" s="364"/>
      <c r="Y823" s="364"/>
      <c r="Z823" s="364"/>
      <c r="AA823" s="364" t="str">
        <f aca="false">IFERROR(__xludf.dummyfunction("""COMPUTED_VALUE"""),"")</f>
        <v/>
      </c>
      <c r="AB823" s="364"/>
    </row>
    <row r="824" customFormat="false" ht="15.75" hidden="false" customHeight="false" outlineLevel="0" collapsed="false">
      <c r="A824" s="364"/>
      <c r="B824" s="364"/>
      <c r="C824" s="364"/>
      <c r="D824" s="364"/>
      <c r="E824" s="364"/>
      <c r="F824" s="364"/>
      <c r="G824" s="364"/>
      <c r="H824" s="364"/>
      <c r="I824" s="364"/>
      <c r="J824" s="364"/>
      <c r="K824" s="364"/>
      <c r="L824" s="364"/>
      <c r="M824" s="364"/>
      <c r="N824" s="364"/>
      <c r="O824" s="364"/>
      <c r="P824" s="364"/>
      <c r="Q824" s="364"/>
      <c r="R824" s="364"/>
      <c r="S824" s="364"/>
      <c r="T824" s="364"/>
      <c r="U824" s="364"/>
      <c r="V824" s="364"/>
      <c r="W824" s="364"/>
      <c r="X824" s="364"/>
      <c r="Y824" s="364"/>
      <c r="Z824" s="364"/>
      <c r="AA824" s="364" t="str">
        <f aca="false">IFERROR(__xludf.dummyfunction("""COMPUTED_VALUE"""),"")</f>
        <v/>
      </c>
      <c r="AB824" s="364"/>
    </row>
    <row r="825" customFormat="false" ht="15.75" hidden="false" customHeight="false" outlineLevel="0" collapsed="false">
      <c r="A825" s="364"/>
      <c r="B825" s="364"/>
      <c r="C825" s="364"/>
      <c r="D825" s="364"/>
      <c r="E825" s="364"/>
      <c r="F825" s="364"/>
      <c r="G825" s="364"/>
      <c r="H825" s="364"/>
      <c r="I825" s="364"/>
      <c r="J825" s="364"/>
      <c r="K825" s="364"/>
      <c r="L825" s="364"/>
      <c r="M825" s="364"/>
      <c r="N825" s="364"/>
      <c r="O825" s="364"/>
      <c r="P825" s="364"/>
      <c r="Q825" s="364"/>
      <c r="R825" s="364"/>
      <c r="S825" s="364"/>
      <c r="T825" s="364"/>
      <c r="U825" s="364"/>
      <c r="V825" s="364"/>
      <c r="W825" s="364"/>
      <c r="X825" s="364"/>
      <c r="Y825" s="364"/>
      <c r="Z825" s="364"/>
      <c r="AA825" s="364" t="str">
        <f aca="false">IFERROR(__xludf.dummyfunction("""COMPUTED_VALUE"""),"")</f>
        <v/>
      </c>
      <c r="AB825" s="364"/>
    </row>
    <row r="826" customFormat="false" ht="15.75" hidden="false" customHeight="false" outlineLevel="0" collapsed="false">
      <c r="A826" s="364"/>
      <c r="B826" s="364"/>
      <c r="C826" s="364"/>
      <c r="D826" s="364"/>
      <c r="E826" s="364"/>
      <c r="F826" s="364"/>
      <c r="G826" s="364"/>
      <c r="H826" s="364"/>
      <c r="I826" s="364"/>
      <c r="J826" s="364"/>
      <c r="K826" s="364"/>
      <c r="L826" s="364"/>
      <c r="M826" s="364"/>
      <c r="N826" s="364"/>
      <c r="O826" s="364"/>
      <c r="P826" s="364"/>
      <c r="Q826" s="364"/>
      <c r="R826" s="364"/>
      <c r="S826" s="364"/>
      <c r="T826" s="364"/>
      <c r="U826" s="364"/>
      <c r="V826" s="364"/>
      <c r="W826" s="364"/>
      <c r="X826" s="364"/>
      <c r="Y826" s="364"/>
      <c r="Z826" s="364"/>
      <c r="AA826" s="364" t="str">
        <f aca="false">IFERROR(__xludf.dummyfunction("""COMPUTED_VALUE"""),"")</f>
        <v/>
      </c>
      <c r="AB826" s="364"/>
    </row>
    <row r="827" customFormat="false" ht="15.75" hidden="false" customHeight="false" outlineLevel="0" collapsed="false">
      <c r="A827" s="364"/>
      <c r="B827" s="364"/>
      <c r="C827" s="364"/>
      <c r="D827" s="364"/>
      <c r="E827" s="364"/>
      <c r="F827" s="364"/>
      <c r="G827" s="364"/>
      <c r="H827" s="364"/>
      <c r="I827" s="364"/>
      <c r="J827" s="364"/>
      <c r="K827" s="364"/>
      <c r="L827" s="364"/>
      <c r="M827" s="364"/>
      <c r="N827" s="364"/>
      <c r="O827" s="364"/>
      <c r="P827" s="364"/>
      <c r="Q827" s="364"/>
      <c r="R827" s="364"/>
      <c r="S827" s="364"/>
      <c r="T827" s="364"/>
      <c r="U827" s="364"/>
      <c r="V827" s="364"/>
      <c r="W827" s="364"/>
      <c r="X827" s="364"/>
      <c r="Y827" s="364"/>
      <c r="Z827" s="364"/>
      <c r="AA827" s="364" t="str">
        <f aca="false">IFERROR(__xludf.dummyfunction("""COMPUTED_VALUE"""),"")</f>
        <v/>
      </c>
      <c r="AB827" s="364"/>
    </row>
    <row r="828" customFormat="false" ht="15.75" hidden="false" customHeight="false" outlineLevel="0" collapsed="false">
      <c r="A828" s="364"/>
      <c r="B828" s="364"/>
      <c r="C828" s="364"/>
      <c r="D828" s="364"/>
      <c r="E828" s="364"/>
      <c r="F828" s="364"/>
      <c r="G828" s="364"/>
      <c r="H828" s="364"/>
      <c r="I828" s="364"/>
      <c r="J828" s="364"/>
      <c r="K828" s="364"/>
      <c r="L828" s="364"/>
      <c r="M828" s="364"/>
      <c r="N828" s="364"/>
      <c r="O828" s="364"/>
      <c r="P828" s="364"/>
      <c r="Q828" s="364"/>
      <c r="R828" s="364"/>
      <c r="S828" s="364"/>
      <c r="T828" s="364"/>
      <c r="U828" s="364"/>
      <c r="V828" s="364"/>
      <c r="W828" s="364"/>
      <c r="X828" s="364"/>
      <c r="Y828" s="364"/>
      <c r="Z828" s="364"/>
      <c r="AA828" s="364" t="str">
        <f aca="false">IFERROR(__xludf.dummyfunction("""COMPUTED_VALUE"""),"")</f>
        <v/>
      </c>
      <c r="AB828" s="364"/>
    </row>
    <row r="829" customFormat="false" ht="15.75" hidden="false" customHeight="false" outlineLevel="0" collapsed="false">
      <c r="A829" s="364"/>
      <c r="B829" s="364"/>
      <c r="C829" s="364"/>
      <c r="D829" s="364"/>
      <c r="E829" s="364"/>
      <c r="F829" s="364"/>
      <c r="G829" s="364"/>
      <c r="H829" s="364"/>
      <c r="I829" s="364"/>
      <c r="J829" s="364"/>
      <c r="K829" s="364"/>
      <c r="L829" s="364"/>
      <c r="M829" s="364"/>
      <c r="N829" s="364"/>
      <c r="O829" s="364"/>
      <c r="P829" s="364"/>
      <c r="Q829" s="364"/>
      <c r="R829" s="364"/>
      <c r="S829" s="364"/>
      <c r="T829" s="364"/>
      <c r="U829" s="364"/>
      <c r="V829" s="364"/>
      <c r="W829" s="364"/>
      <c r="X829" s="364"/>
      <c r="Y829" s="364"/>
      <c r="Z829" s="364"/>
      <c r="AA829" s="364" t="str">
        <f aca="false">IFERROR(__xludf.dummyfunction("""COMPUTED_VALUE"""),"")</f>
        <v/>
      </c>
      <c r="AB829" s="364"/>
    </row>
    <row r="830" customFormat="false" ht="15.75" hidden="false" customHeight="false" outlineLevel="0" collapsed="false">
      <c r="A830" s="364"/>
      <c r="B830" s="364"/>
      <c r="C830" s="364"/>
      <c r="D830" s="364"/>
      <c r="E830" s="364"/>
      <c r="F830" s="364"/>
      <c r="G830" s="364"/>
      <c r="H830" s="364"/>
      <c r="I830" s="364"/>
      <c r="J830" s="364"/>
      <c r="K830" s="364"/>
      <c r="L830" s="364"/>
      <c r="M830" s="364"/>
      <c r="N830" s="364"/>
      <c r="O830" s="364"/>
      <c r="P830" s="364"/>
      <c r="Q830" s="364"/>
      <c r="R830" s="364"/>
      <c r="S830" s="364"/>
      <c r="T830" s="364"/>
      <c r="U830" s="364"/>
      <c r="V830" s="364"/>
      <c r="W830" s="364"/>
      <c r="X830" s="364"/>
      <c r="Y830" s="364"/>
      <c r="Z830" s="364"/>
      <c r="AA830" s="364" t="str">
        <f aca="false">IFERROR(__xludf.dummyfunction("""COMPUTED_VALUE"""),"")</f>
        <v/>
      </c>
      <c r="AB830" s="364"/>
    </row>
    <row r="831" customFormat="false" ht="15.75" hidden="false" customHeight="false" outlineLevel="0" collapsed="false">
      <c r="A831" s="364"/>
      <c r="B831" s="364"/>
      <c r="C831" s="364"/>
      <c r="D831" s="364"/>
      <c r="E831" s="364"/>
      <c r="F831" s="364"/>
      <c r="G831" s="364"/>
      <c r="H831" s="364"/>
      <c r="I831" s="364"/>
      <c r="J831" s="364"/>
      <c r="K831" s="364"/>
      <c r="L831" s="364"/>
      <c r="M831" s="364"/>
      <c r="N831" s="364"/>
      <c r="O831" s="364"/>
      <c r="P831" s="364"/>
      <c r="Q831" s="364"/>
      <c r="R831" s="364"/>
      <c r="S831" s="364"/>
      <c r="T831" s="364"/>
      <c r="U831" s="364"/>
      <c r="V831" s="364"/>
      <c r="W831" s="364"/>
      <c r="X831" s="364"/>
      <c r="Y831" s="364"/>
      <c r="Z831" s="364"/>
      <c r="AA831" s="364" t="str">
        <f aca="false">IFERROR(__xludf.dummyfunction("""COMPUTED_VALUE"""),"")</f>
        <v/>
      </c>
      <c r="AB831" s="364"/>
    </row>
    <row r="832" customFormat="false" ht="15.75" hidden="false" customHeight="false" outlineLevel="0" collapsed="false">
      <c r="A832" s="364"/>
      <c r="B832" s="364"/>
      <c r="C832" s="364"/>
      <c r="D832" s="364"/>
      <c r="E832" s="364"/>
      <c r="F832" s="364"/>
      <c r="G832" s="364"/>
      <c r="H832" s="364"/>
      <c r="I832" s="364"/>
      <c r="J832" s="364"/>
      <c r="K832" s="364"/>
      <c r="L832" s="364"/>
      <c r="M832" s="364"/>
      <c r="N832" s="364"/>
      <c r="O832" s="364"/>
      <c r="P832" s="364"/>
      <c r="Q832" s="364"/>
      <c r="R832" s="364"/>
      <c r="S832" s="364"/>
      <c r="T832" s="364"/>
      <c r="U832" s="364"/>
      <c r="V832" s="364"/>
      <c r="W832" s="364"/>
      <c r="X832" s="364"/>
      <c r="Y832" s="364"/>
      <c r="Z832" s="364"/>
      <c r="AA832" s="364" t="str">
        <f aca="false">IFERROR(__xludf.dummyfunction("""COMPUTED_VALUE"""),"")</f>
        <v/>
      </c>
      <c r="AB832" s="364"/>
    </row>
    <row r="833" customFormat="false" ht="15.75" hidden="false" customHeight="false" outlineLevel="0" collapsed="false">
      <c r="A833" s="364"/>
      <c r="B833" s="364"/>
      <c r="C833" s="364"/>
      <c r="D833" s="364"/>
      <c r="E833" s="364"/>
      <c r="F833" s="364"/>
      <c r="G833" s="364"/>
      <c r="H833" s="364"/>
      <c r="I833" s="364"/>
      <c r="J833" s="364"/>
      <c r="K833" s="364"/>
      <c r="L833" s="364"/>
      <c r="M833" s="364"/>
      <c r="N833" s="364"/>
      <c r="O833" s="364"/>
      <c r="P833" s="364"/>
      <c r="Q833" s="364"/>
      <c r="R833" s="364"/>
      <c r="S833" s="364"/>
      <c r="T833" s="364"/>
      <c r="U833" s="364"/>
      <c r="V833" s="364"/>
      <c r="W833" s="364"/>
      <c r="X833" s="364"/>
      <c r="Y833" s="364"/>
      <c r="Z833" s="364"/>
      <c r="AA833" s="364" t="str">
        <f aca="false">IFERROR(__xludf.dummyfunction("""COMPUTED_VALUE"""),"")</f>
        <v/>
      </c>
      <c r="AB833" s="364"/>
    </row>
    <row r="834" customFormat="false" ht="15.75" hidden="false" customHeight="false" outlineLevel="0" collapsed="false">
      <c r="A834" s="364"/>
      <c r="B834" s="364"/>
      <c r="C834" s="364"/>
      <c r="D834" s="364"/>
      <c r="E834" s="364"/>
      <c r="F834" s="364"/>
      <c r="G834" s="364"/>
      <c r="H834" s="364"/>
      <c r="I834" s="364"/>
      <c r="J834" s="364"/>
      <c r="K834" s="364"/>
      <c r="L834" s="364"/>
      <c r="M834" s="364"/>
      <c r="N834" s="364"/>
      <c r="O834" s="364"/>
      <c r="P834" s="364"/>
      <c r="Q834" s="364"/>
      <c r="R834" s="364"/>
      <c r="S834" s="364"/>
      <c r="T834" s="364"/>
      <c r="U834" s="364"/>
      <c r="V834" s="364"/>
      <c r="W834" s="364"/>
      <c r="X834" s="364"/>
      <c r="Y834" s="364"/>
      <c r="Z834" s="364"/>
      <c r="AA834" s="364" t="str">
        <f aca="false">IFERROR(__xludf.dummyfunction("""COMPUTED_VALUE"""),"")</f>
        <v/>
      </c>
      <c r="AB834" s="364"/>
    </row>
    <row r="835" customFormat="false" ht="15.75" hidden="false" customHeight="false" outlineLevel="0" collapsed="false">
      <c r="A835" s="364"/>
      <c r="B835" s="364"/>
      <c r="C835" s="364"/>
      <c r="D835" s="364"/>
      <c r="E835" s="364"/>
      <c r="F835" s="364"/>
      <c r="G835" s="364"/>
      <c r="H835" s="364"/>
      <c r="I835" s="364"/>
      <c r="J835" s="364"/>
      <c r="K835" s="364"/>
      <c r="L835" s="364"/>
      <c r="M835" s="364"/>
      <c r="N835" s="364"/>
      <c r="O835" s="364"/>
      <c r="P835" s="364"/>
      <c r="Q835" s="364"/>
      <c r="R835" s="364"/>
      <c r="S835" s="364"/>
      <c r="T835" s="364"/>
      <c r="U835" s="364"/>
      <c r="V835" s="364"/>
      <c r="W835" s="364"/>
      <c r="X835" s="364"/>
      <c r="Y835" s="364"/>
      <c r="Z835" s="364"/>
      <c r="AA835" s="364" t="str">
        <f aca="false">IFERROR(__xludf.dummyfunction("""COMPUTED_VALUE"""),"")</f>
        <v/>
      </c>
      <c r="AB835" s="364"/>
    </row>
    <row r="836" customFormat="false" ht="15.75" hidden="false" customHeight="false" outlineLevel="0" collapsed="false">
      <c r="A836" s="364"/>
      <c r="B836" s="364"/>
      <c r="C836" s="364"/>
      <c r="D836" s="364"/>
      <c r="E836" s="364"/>
      <c r="F836" s="364"/>
      <c r="G836" s="364"/>
      <c r="H836" s="364"/>
      <c r="I836" s="364"/>
      <c r="J836" s="364"/>
      <c r="K836" s="364"/>
      <c r="L836" s="364"/>
      <c r="M836" s="364"/>
      <c r="N836" s="364"/>
      <c r="O836" s="364"/>
      <c r="P836" s="364"/>
      <c r="Q836" s="364"/>
      <c r="R836" s="364"/>
      <c r="S836" s="364"/>
      <c r="T836" s="364"/>
      <c r="U836" s="364"/>
      <c r="V836" s="364"/>
      <c r="W836" s="364"/>
      <c r="X836" s="364"/>
      <c r="Y836" s="364"/>
      <c r="Z836" s="364"/>
      <c r="AA836" s="364" t="str">
        <f aca="false">IFERROR(__xludf.dummyfunction("""COMPUTED_VALUE"""),"")</f>
        <v/>
      </c>
      <c r="AB836" s="364"/>
    </row>
    <row r="837" customFormat="false" ht="15.75" hidden="false" customHeight="false" outlineLevel="0" collapsed="false">
      <c r="A837" s="364"/>
      <c r="B837" s="364"/>
      <c r="C837" s="364"/>
      <c r="D837" s="364"/>
      <c r="E837" s="364"/>
      <c r="F837" s="364"/>
      <c r="G837" s="364"/>
      <c r="H837" s="364"/>
      <c r="I837" s="364"/>
      <c r="J837" s="364"/>
      <c r="K837" s="364"/>
      <c r="L837" s="364"/>
      <c r="M837" s="364"/>
      <c r="N837" s="364"/>
      <c r="O837" s="364"/>
      <c r="P837" s="364"/>
      <c r="Q837" s="364"/>
      <c r="R837" s="364"/>
      <c r="S837" s="364"/>
      <c r="T837" s="364"/>
      <c r="U837" s="364"/>
      <c r="V837" s="364"/>
      <c r="W837" s="364"/>
      <c r="X837" s="364"/>
      <c r="Y837" s="364"/>
      <c r="Z837" s="364"/>
      <c r="AA837" s="364" t="str">
        <f aca="false">IFERROR(__xludf.dummyfunction("""COMPUTED_VALUE"""),"")</f>
        <v/>
      </c>
      <c r="AB837" s="364"/>
    </row>
    <row r="838" customFormat="false" ht="15.75" hidden="false" customHeight="false" outlineLevel="0" collapsed="false">
      <c r="A838" s="364"/>
      <c r="B838" s="364"/>
      <c r="C838" s="364"/>
      <c r="D838" s="364"/>
      <c r="E838" s="364"/>
      <c r="F838" s="364"/>
      <c r="G838" s="364"/>
      <c r="H838" s="364"/>
      <c r="I838" s="364"/>
      <c r="J838" s="364"/>
      <c r="K838" s="364"/>
      <c r="L838" s="364"/>
      <c r="M838" s="364"/>
      <c r="N838" s="364"/>
      <c r="O838" s="364"/>
      <c r="P838" s="364"/>
      <c r="Q838" s="364"/>
      <c r="R838" s="364"/>
      <c r="S838" s="364"/>
      <c r="T838" s="364"/>
      <c r="U838" s="364"/>
      <c r="V838" s="364"/>
      <c r="W838" s="364"/>
      <c r="X838" s="364"/>
      <c r="Y838" s="364"/>
      <c r="Z838" s="364"/>
      <c r="AA838" s="364" t="str">
        <f aca="false">IFERROR(__xludf.dummyfunction("""COMPUTED_VALUE"""),"")</f>
        <v/>
      </c>
      <c r="AB838" s="364"/>
    </row>
    <row r="839" customFormat="false" ht="15.75" hidden="false" customHeight="false" outlineLevel="0" collapsed="false">
      <c r="A839" s="364"/>
      <c r="B839" s="364"/>
      <c r="C839" s="364"/>
      <c r="D839" s="364"/>
      <c r="E839" s="364"/>
      <c r="F839" s="364"/>
      <c r="G839" s="364"/>
      <c r="H839" s="364"/>
      <c r="I839" s="364"/>
      <c r="J839" s="364"/>
      <c r="K839" s="364"/>
      <c r="L839" s="364"/>
      <c r="M839" s="364"/>
      <c r="N839" s="364"/>
      <c r="O839" s="364"/>
      <c r="P839" s="364"/>
      <c r="Q839" s="364"/>
      <c r="R839" s="364"/>
      <c r="S839" s="364"/>
      <c r="T839" s="364"/>
      <c r="U839" s="364"/>
      <c r="V839" s="364"/>
      <c r="W839" s="364"/>
      <c r="X839" s="364"/>
      <c r="Y839" s="364"/>
      <c r="Z839" s="364"/>
      <c r="AA839" s="364" t="str">
        <f aca="false">IFERROR(__xludf.dummyfunction("""COMPUTED_VALUE"""),"")</f>
        <v/>
      </c>
      <c r="AB839" s="364"/>
    </row>
    <row r="840" customFormat="false" ht="15.75" hidden="false" customHeight="false" outlineLevel="0" collapsed="false">
      <c r="A840" s="364"/>
      <c r="B840" s="364"/>
      <c r="C840" s="364"/>
      <c r="D840" s="364"/>
      <c r="E840" s="364"/>
      <c r="F840" s="364"/>
      <c r="G840" s="364"/>
      <c r="H840" s="364"/>
      <c r="I840" s="364"/>
      <c r="J840" s="364"/>
      <c r="K840" s="364"/>
      <c r="L840" s="364"/>
      <c r="M840" s="364"/>
      <c r="N840" s="364"/>
      <c r="O840" s="364"/>
      <c r="P840" s="364"/>
      <c r="Q840" s="364"/>
      <c r="R840" s="364"/>
      <c r="S840" s="364"/>
      <c r="T840" s="364"/>
      <c r="U840" s="364"/>
      <c r="V840" s="364"/>
      <c r="W840" s="364"/>
      <c r="X840" s="364"/>
      <c r="Y840" s="364"/>
      <c r="Z840" s="364"/>
      <c r="AA840" s="364" t="str">
        <f aca="false">IFERROR(__xludf.dummyfunction("""COMPUTED_VALUE"""),"")</f>
        <v/>
      </c>
      <c r="AB840" s="364"/>
    </row>
    <row r="841" customFormat="false" ht="15.75" hidden="false" customHeight="false" outlineLevel="0" collapsed="false">
      <c r="A841" s="364"/>
      <c r="B841" s="364"/>
      <c r="C841" s="364"/>
      <c r="D841" s="364"/>
      <c r="E841" s="364"/>
      <c r="F841" s="364"/>
      <c r="G841" s="364"/>
      <c r="H841" s="364"/>
      <c r="I841" s="364"/>
      <c r="J841" s="364"/>
      <c r="K841" s="364"/>
      <c r="L841" s="364"/>
      <c r="M841" s="364"/>
      <c r="N841" s="364"/>
      <c r="O841" s="364"/>
      <c r="P841" s="364"/>
      <c r="Q841" s="364"/>
      <c r="R841" s="364"/>
      <c r="S841" s="364"/>
      <c r="T841" s="364"/>
      <c r="U841" s="364"/>
      <c r="V841" s="364"/>
      <c r="W841" s="364"/>
      <c r="X841" s="364"/>
      <c r="Y841" s="364"/>
      <c r="Z841" s="364"/>
      <c r="AA841" s="364" t="str">
        <f aca="false">IFERROR(__xludf.dummyfunction("""COMPUTED_VALUE"""),"")</f>
        <v/>
      </c>
      <c r="AB841" s="364"/>
    </row>
    <row r="842" customFormat="false" ht="15.75" hidden="false" customHeight="false" outlineLevel="0" collapsed="false">
      <c r="A842" s="364"/>
      <c r="B842" s="364"/>
      <c r="C842" s="364"/>
      <c r="D842" s="364"/>
      <c r="E842" s="364"/>
      <c r="F842" s="364"/>
      <c r="G842" s="364"/>
      <c r="H842" s="364"/>
      <c r="I842" s="364"/>
      <c r="J842" s="364"/>
      <c r="K842" s="364"/>
      <c r="L842" s="364"/>
      <c r="M842" s="364"/>
      <c r="N842" s="364"/>
      <c r="O842" s="364"/>
      <c r="P842" s="364"/>
      <c r="Q842" s="364"/>
      <c r="R842" s="364"/>
      <c r="S842" s="364"/>
      <c r="T842" s="364"/>
      <c r="U842" s="364"/>
      <c r="V842" s="364"/>
      <c r="W842" s="364"/>
      <c r="X842" s="364"/>
      <c r="Y842" s="364"/>
      <c r="Z842" s="364"/>
      <c r="AA842" s="364" t="str">
        <f aca="false">IFERROR(__xludf.dummyfunction("""COMPUTED_VALUE"""),"")</f>
        <v/>
      </c>
      <c r="AB842" s="364"/>
    </row>
    <row r="843" customFormat="false" ht="15.75" hidden="false" customHeight="false" outlineLevel="0" collapsed="false">
      <c r="A843" s="364"/>
      <c r="B843" s="364"/>
      <c r="C843" s="364"/>
      <c r="D843" s="364"/>
      <c r="E843" s="364"/>
      <c r="F843" s="364"/>
      <c r="G843" s="364"/>
      <c r="H843" s="364"/>
      <c r="I843" s="364"/>
      <c r="J843" s="364"/>
      <c r="K843" s="364"/>
      <c r="L843" s="364"/>
      <c r="M843" s="364"/>
      <c r="N843" s="364"/>
      <c r="O843" s="364"/>
      <c r="P843" s="364"/>
      <c r="Q843" s="364"/>
      <c r="R843" s="364"/>
      <c r="S843" s="364"/>
      <c r="T843" s="364"/>
      <c r="U843" s="364"/>
      <c r="V843" s="364"/>
      <c r="W843" s="364"/>
      <c r="X843" s="364"/>
      <c r="Y843" s="364"/>
      <c r="Z843" s="364"/>
      <c r="AA843" s="364" t="str">
        <f aca="false">IFERROR(__xludf.dummyfunction("""COMPUTED_VALUE"""),"")</f>
        <v/>
      </c>
      <c r="AB843" s="364"/>
    </row>
    <row r="844" customFormat="false" ht="15.75" hidden="false" customHeight="false" outlineLevel="0" collapsed="false">
      <c r="A844" s="364"/>
      <c r="B844" s="364"/>
      <c r="C844" s="364"/>
      <c r="D844" s="364"/>
      <c r="E844" s="364"/>
      <c r="F844" s="364"/>
      <c r="G844" s="364"/>
      <c r="H844" s="364"/>
      <c r="I844" s="364"/>
      <c r="J844" s="364"/>
      <c r="K844" s="364"/>
      <c r="L844" s="364"/>
      <c r="M844" s="364"/>
      <c r="N844" s="364"/>
      <c r="O844" s="364"/>
      <c r="P844" s="364"/>
      <c r="Q844" s="364"/>
      <c r="R844" s="364"/>
      <c r="S844" s="364"/>
      <c r="T844" s="364"/>
      <c r="U844" s="364"/>
      <c r="V844" s="364"/>
      <c r="W844" s="364"/>
      <c r="X844" s="364"/>
      <c r="Y844" s="364"/>
      <c r="Z844" s="364"/>
      <c r="AA844" s="364" t="str">
        <f aca="false">IFERROR(__xludf.dummyfunction("""COMPUTED_VALUE"""),"")</f>
        <v/>
      </c>
      <c r="AB844" s="364"/>
    </row>
    <row r="845" customFormat="false" ht="15.75" hidden="false" customHeight="false" outlineLevel="0" collapsed="false">
      <c r="A845" s="364"/>
      <c r="B845" s="364"/>
      <c r="C845" s="364"/>
      <c r="D845" s="364"/>
      <c r="E845" s="364"/>
      <c r="F845" s="364"/>
      <c r="G845" s="364"/>
      <c r="H845" s="364"/>
      <c r="I845" s="364"/>
      <c r="J845" s="364"/>
      <c r="K845" s="364"/>
      <c r="L845" s="364"/>
      <c r="M845" s="364"/>
      <c r="N845" s="364"/>
      <c r="O845" s="364"/>
      <c r="P845" s="364"/>
      <c r="Q845" s="364"/>
      <c r="R845" s="364"/>
      <c r="S845" s="364"/>
      <c r="T845" s="364"/>
      <c r="U845" s="364"/>
      <c r="V845" s="364"/>
      <c r="W845" s="364"/>
      <c r="X845" s="364"/>
      <c r="Y845" s="364"/>
      <c r="Z845" s="364"/>
      <c r="AA845" s="364" t="str">
        <f aca="false">IFERROR(__xludf.dummyfunction("""COMPUTED_VALUE"""),"")</f>
        <v/>
      </c>
      <c r="AB845" s="364"/>
    </row>
    <row r="846" customFormat="false" ht="15.75" hidden="false" customHeight="false" outlineLevel="0" collapsed="false">
      <c r="A846" s="364"/>
      <c r="B846" s="364"/>
      <c r="C846" s="364"/>
      <c r="D846" s="364"/>
      <c r="E846" s="364"/>
      <c r="F846" s="364"/>
      <c r="G846" s="364"/>
      <c r="H846" s="364"/>
      <c r="I846" s="364"/>
      <c r="J846" s="364"/>
      <c r="K846" s="364"/>
      <c r="L846" s="364"/>
      <c r="M846" s="364"/>
      <c r="N846" s="364"/>
      <c r="O846" s="364"/>
      <c r="P846" s="364"/>
      <c r="Q846" s="364"/>
      <c r="R846" s="364"/>
      <c r="S846" s="364"/>
      <c r="T846" s="364"/>
      <c r="U846" s="364"/>
      <c r="V846" s="364"/>
      <c r="W846" s="364"/>
      <c r="X846" s="364"/>
      <c r="Y846" s="364"/>
      <c r="Z846" s="364"/>
      <c r="AA846" s="364" t="str">
        <f aca="false">IFERROR(__xludf.dummyfunction("""COMPUTED_VALUE"""),"")</f>
        <v/>
      </c>
      <c r="AB846" s="364"/>
    </row>
    <row r="847" customFormat="false" ht="15.75" hidden="false" customHeight="false" outlineLevel="0" collapsed="false">
      <c r="A847" s="364"/>
      <c r="B847" s="364"/>
      <c r="C847" s="364"/>
      <c r="D847" s="364"/>
      <c r="E847" s="364"/>
      <c r="F847" s="364"/>
      <c r="G847" s="364"/>
      <c r="H847" s="364"/>
      <c r="I847" s="364"/>
      <c r="J847" s="364"/>
      <c r="K847" s="364"/>
      <c r="L847" s="364"/>
      <c r="M847" s="364"/>
      <c r="N847" s="364"/>
      <c r="O847" s="364"/>
      <c r="P847" s="364"/>
      <c r="Q847" s="364"/>
      <c r="R847" s="364"/>
      <c r="S847" s="364"/>
      <c r="T847" s="364"/>
      <c r="U847" s="364"/>
      <c r="V847" s="364"/>
      <c r="W847" s="364"/>
      <c r="X847" s="364"/>
      <c r="Y847" s="364"/>
      <c r="Z847" s="364"/>
      <c r="AA847" s="364" t="str">
        <f aca="false">IFERROR(__xludf.dummyfunction("""COMPUTED_VALUE"""),"")</f>
        <v/>
      </c>
      <c r="AB847" s="364"/>
    </row>
    <row r="848" customFormat="false" ht="15.75" hidden="false" customHeight="false" outlineLevel="0" collapsed="false">
      <c r="A848" s="364"/>
      <c r="B848" s="364"/>
      <c r="C848" s="364"/>
      <c r="D848" s="364"/>
      <c r="E848" s="364"/>
      <c r="F848" s="364"/>
      <c r="G848" s="364"/>
      <c r="H848" s="364"/>
      <c r="I848" s="364"/>
      <c r="J848" s="364"/>
      <c r="K848" s="364"/>
      <c r="L848" s="364"/>
      <c r="M848" s="364"/>
      <c r="N848" s="364"/>
      <c r="O848" s="364"/>
      <c r="P848" s="364"/>
      <c r="Q848" s="364"/>
      <c r="R848" s="364"/>
      <c r="S848" s="364"/>
      <c r="T848" s="364"/>
      <c r="U848" s="364"/>
      <c r="V848" s="364"/>
      <c r="W848" s="364"/>
      <c r="X848" s="364"/>
      <c r="Y848" s="364"/>
      <c r="Z848" s="364"/>
      <c r="AA848" s="364" t="str">
        <f aca="false">IFERROR(__xludf.dummyfunction("""COMPUTED_VALUE"""),"")</f>
        <v/>
      </c>
      <c r="AB848" s="364"/>
    </row>
    <row r="849" customFormat="false" ht="15.75" hidden="false" customHeight="false" outlineLevel="0" collapsed="false">
      <c r="A849" s="364"/>
      <c r="B849" s="364"/>
      <c r="C849" s="364"/>
      <c r="D849" s="364"/>
      <c r="E849" s="364"/>
      <c r="F849" s="364"/>
      <c r="G849" s="364"/>
      <c r="H849" s="364"/>
      <c r="I849" s="364"/>
      <c r="J849" s="364"/>
      <c r="K849" s="364"/>
      <c r="L849" s="364"/>
      <c r="M849" s="364"/>
      <c r="N849" s="364"/>
      <c r="O849" s="364"/>
      <c r="P849" s="364"/>
      <c r="Q849" s="364"/>
      <c r="R849" s="364"/>
      <c r="S849" s="364"/>
      <c r="T849" s="364"/>
      <c r="U849" s="364"/>
      <c r="V849" s="364"/>
      <c r="W849" s="364"/>
      <c r="X849" s="364"/>
      <c r="Y849" s="364"/>
      <c r="Z849" s="364"/>
      <c r="AA849" s="364" t="str">
        <f aca="false">IFERROR(__xludf.dummyfunction("""COMPUTED_VALUE"""),"")</f>
        <v/>
      </c>
      <c r="AB849" s="364"/>
    </row>
    <row r="850" customFormat="false" ht="15.75" hidden="false" customHeight="false" outlineLevel="0" collapsed="false">
      <c r="A850" s="364"/>
      <c r="B850" s="364"/>
      <c r="C850" s="364"/>
      <c r="D850" s="364"/>
      <c r="E850" s="364"/>
      <c r="F850" s="364"/>
      <c r="G850" s="364"/>
      <c r="H850" s="364"/>
      <c r="I850" s="364"/>
      <c r="J850" s="364"/>
      <c r="K850" s="364"/>
      <c r="L850" s="364"/>
      <c r="M850" s="364"/>
      <c r="N850" s="364"/>
      <c r="O850" s="364"/>
      <c r="P850" s="364"/>
      <c r="Q850" s="364"/>
      <c r="R850" s="364"/>
      <c r="S850" s="364"/>
      <c r="T850" s="364"/>
      <c r="U850" s="364"/>
      <c r="V850" s="364"/>
      <c r="W850" s="364"/>
      <c r="X850" s="364"/>
      <c r="Y850" s="364"/>
      <c r="Z850" s="364"/>
      <c r="AA850" s="364" t="str">
        <f aca="false">IFERROR(__xludf.dummyfunction("""COMPUTED_VALUE"""),"")</f>
        <v/>
      </c>
      <c r="AB850" s="364"/>
    </row>
    <row r="851" customFormat="false" ht="15.75" hidden="false" customHeight="false" outlineLevel="0" collapsed="false">
      <c r="A851" s="364"/>
      <c r="B851" s="364"/>
      <c r="C851" s="364"/>
      <c r="D851" s="364"/>
      <c r="E851" s="364"/>
      <c r="F851" s="364"/>
      <c r="G851" s="364"/>
      <c r="H851" s="364"/>
      <c r="I851" s="364"/>
      <c r="J851" s="364"/>
      <c r="K851" s="364"/>
      <c r="L851" s="364"/>
      <c r="M851" s="364"/>
      <c r="N851" s="364"/>
      <c r="O851" s="364"/>
      <c r="P851" s="364"/>
      <c r="Q851" s="364"/>
      <c r="R851" s="364"/>
      <c r="S851" s="364"/>
      <c r="T851" s="364"/>
      <c r="U851" s="364"/>
      <c r="V851" s="364"/>
      <c r="W851" s="364"/>
      <c r="X851" s="364"/>
      <c r="Y851" s="364"/>
      <c r="Z851" s="364"/>
      <c r="AA851" s="364" t="str">
        <f aca="false">IFERROR(__xludf.dummyfunction("""COMPUTED_VALUE"""),"")</f>
        <v/>
      </c>
      <c r="AB851" s="364"/>
    </row>
    <row r="852" customFormat="false" ht="15.75" hidden="false" customHeight="false" outlineLevel="0" collapsed="false">
      <c r="A852" s="364"/>
      <c r="B852" s="364"/>
      <c r="C852" s="364"/>
      <c r="D852" s="364"/>
      <c r="E852" s="364"/>
      <c r="F852" s="364"/>
      <c r="G852" s="364"/>
      <c r="H852" s="364"/>
      <c r="I852" s="364"/>
      <c r="J852" s="364"/>
      <c r="K852" s="364"/>
      <c r="L852" s="364"/>
      <c r="M852" s="364"/>
      <c r="N852" s="364"/>
      <c r="O852" s="364"/>
      <c r="P852" s="364"/>
      <c r="Q852" s="364"/>
      <c r="R852" s="364"/>
      <c r="S852" s="364"/>
      <c r="T852" s="364"/>
      <c r="U852" s="364"/>
      <c r="V852" s="364"/>
      <c r="W852" s="364"/>
      <c r="X852" s="364"/>
      <c r="Y852" s="364"/>
      <c r="Z852" s="364"/>
      <c r="AA852" s="364" t="str">
        <f aca="false">IFERROR(__xludf.dummyfunction("""COMPUTED_VALUE"""),"")</f>
        <v/>
      </c>
      <c r="AB852" s="364"/>
    </row>
    <row r="853" customFormat="false" ht="15.75" hidden="false" customHeight="false" outlineLevel="0" collapsed="false">
      <c r="A853" s="364"/>
      <c r="B853" s="364"/>
      <c r="C853" s="364"/>
      <c r="D853" s="364"/>
      <c r="E853" s="364"/>
      <c r="F853" s="364"/>
      <c r="G853" s="364"/>
      <c r="H853" s="364"/>
      <c r="I853" s="364"/>
      <c r="J853" s="364"/>
      <c r="K853" s="364"/>
      <c r="L853" s="364"/>
      <c r="M853" s="364"/>
      <c r="N853" s="364"/>
      <c r="O853" s="364"/>
      <c r="P853" s="364"/>
      <c r="Q853" s="364"/>
      <c r="R853" s="364"/>
      <c r="S853" s="364"/>
      <c r="T853" s="364"/>
      <c r="U853" s="364"/>
      <c r="V853" s="364"/>
      <c r="W853" s="364"/>
      <c r="X853" s="364"/>
      <c r="Y853" s="364"/>
      <c r="Z853" s="364"/>
      <c r="AA853" s="364" t="str">
        <f aca="false">IFERROR(__xludf.dummyfunction("""COMPUTED_VALUE"""),"")</f>
        <v/>
      </c>
      <c r="AB853" s="364"/>
    </row>
    <row r="854" customFormat="false" ht="15.75" hidden="false" customHeight="false" outlineLevel="0" collapsed="false">
      <c r="A854" s="364"/>
      <c r="B854" s="364"/>
      <c r="C854" s="364"/>
      <c r="D854" s="364"/>
      <c r="E854" s="364"/>
      <c r="F854" s="364"/>
      <c r="G854" s="364"/>
      <c r="H854" s="364"/>
      <c r="I854" s="364"/>
      <c r="J854" s="364"/>
      <c r="K854" s="364"/>
      <c r="L854" s="364"/>
      <c r="M854" s="364"/>
      <c r="N854" s="364"/>
      <c r="O854" s="364"/>
      <c r="P854" s="364"/>
      <c r="Q854" s="364"/>
      <c r="R854" s="364"/>
      <c r="S854" s="364"/>
      <c r="T854" s="364"/>
      <c r="U854" s="364"/>
      <c r="V854" s="364"/>
      <c r="W854" s="364"/>
      <c r="X854" s="364"/>
      <c r="Y854" s="364"/>
      <c r="Z854" s="364"/>
      <c r="AA854" s="364" t="str">
        <f aca="false">IFERROR(__xludf.dummyfunction("""COMPUTED_VALUE"""),"")</f>
        <v/>
      </c>
      <c r="AB854" s="364"/>
    </row>
    <row r="855" customFormat="false" ht="15.75" hidden="false" customHeight="false" outlineLevel="0" collapsed="false">
      <c r="A855" s="364"/>
      <c r="B855" s="364"/>
      <c r="C855" s="364"/>
      <c r="D855" s="364"/>
      <c r="E855" s="364"/>
      <c r="F855" s="364"/>
      <c r="G855" s="364"/>
      <c r="H855" s="364"/>
      <c r="I855" s="364"/>
      <c r="J855" s="364"/>
      <c r="K855" s="364"/>
      <c r="L855" s="364"/>
      <c r="M855" s="364"/>
      <c r="N855" s="364"/>
      <c r="O855" s="364"/>
      <c r="P855" s="364"/>
      <c r="Q855" s="364"/>
      <c r="R855" s="364"/>
      <c r="S855" s="364"/>
      <c r="T855" s="364"/>
      <c r="U855" s="364"/>
      <c r="V855" s="364"/>
      <c r="W855" s="364"/>
      <c r="X855" s="364"/>
      <c r="Y855" s="364"/>
      <c r="Z855" s="364"/>
      <c r="AA855" s="364" t="str">
        <f aca="false">IFERROR(__xludf.dummyfunction("""COMPUTED_VALUE"""),"")</f>
        <v/>
      </c>
      <c r="AB855" s="364"/>
    </row>
    <row r="856" customFormat="false" ht="15.75" hidden="false" customHeight="false" outlineLevel="0" collapsed="false">
      <c r="A856" s="364"/>
      <c r="B856" s="364"/>
      <c r="C856" s="364"/>
      <c r="D856" s="364"/>
      <c r="E856" s="364"/>
      <c r="F856" s="364"/>
      <c r="G856" s="364"/>
      <c r="H856" s="364"/>
      <c r="I856" s="364"/>
      <c r="J856" s="364"/>
      <c r="K856" s="364"/>
      <c r="L856" s="364"/>
      <c r="M856" s="364"/>
      <c r="N856" s="364"/>
      <c r="O856" s="364"/>
      <c r="P856" s="364"/>
      <c r="Q856" s="364"/>
      <c r="R856" s="364"/>
      <c r="S856" s="364"/>
      <c r="T856" s="364"/>
      <c r="U856" s="364"/>
      <c r="V856" s="364"/>
      <c r="W856" s="364"/>
      <c r="X856" s="364"/>
      <c r="Y856" s="364"/>
      <c r="Z856" s="364"/>
      <c r="AA856" s="364" t="str">
        <f aca="false">IFERROR(__xludf.dummyfunction("""COMPUTED_VALUE"""),"")</f>
        <v/>
      </c>
      <c r="AB856" s="364"/>
    </row>
    <row r="857" customFormat="false" ht="15.75" hidden="false" customHeight="false" outlineLevel="0" collapsed="false">
      <c r="A857" s="364"/>
      <c r="B857" s="364"/>
      <c r="C857" s="364"/>
      <c r="D857" s="364"/>
      <c r="E857" s="364"/>
      <c r="F857" s="364"/>
      <c r="G857" s="364"/>
      <c r="H857" s="364"/>
      <c r="I857" s="364"/>
      <c r="J857" s="364"/>
      <c r="K857" s="364"/>
      <c r="L857" s="364"/>
      <c r="M857" s="364"/>
      <c r="N857" s="364"/>
      <c r="O857" s="364"/>
      <c r="P857" s="364"/>
      <c r="Q857" s="364"/>
      <c r="R857" s="364"/>
      <c r="S857" s="364"/>
      <c r="T857" s="364"/>
      <c r="U857" s="364"/>
      <c r="V857" s="364"/>
      <c r="W857" s="364"/>
      <c r="X857" s="364"/>
      <c r="Y857" s="364"/>
      <c r="Z857" s="364"/>
      <c r="AA857" s="364" t="str">
        <f aca="false">IFERROR(__xludf.dummyfunction("""COMPUTED_VALUE"""),"")</f>
        <v/>
      </c>
      <c r="AB857" s="364"/>
    </row>
    <row r="858" customFormat="false" ht="15.75" hidden="false" customHeight="false" outlineLevel="0" collapsed="false">
      <c r="A858" s="364"/>
      <c r="B858" s="364"/>
      <c r="C858" s="364"/>
      <c r="D858" s="364"/>
      <c r="E858" s="364"/>
      <c r="F858" s="364"/>
      <c r="G858" s="364"/>
      <c r="H858" s="364"/>
      <c r="I858" s="364"/>
      <c r="J858" s="364"/>
      <c r="K858" s="364"/>
      <c r="L858" s="364"/>
      <c r="M858" s="364"/>
      <c r="N858" s="364"/>
      <c r="O858" s="364"/>
      <c r="P858" s="364"/>
      <c r="Q858" s="364"/>
      <c r="R858" s="364"/>
      <c r="S858" s="364"/>
      <c r="T858" s="364"/>
      <c r="U858" s="364"/>
      <c r="V858" s="364"/>
      <c r="W858" s="364"/>
      <c r="X858" s="364"/>
      <c r="Y858" s="364"/>
      <c r="Z858" s="364"/>
      <c r="AA858" s="364" t="str">
        <f aca="false">IFERROR(__xludf.dummyfunction("""COMPUTED_VALUE"""),"")</f>
        <v/>
      </c>
      <c r="AB858" s="364"/>
    </row>
    <row r="859" customFormat="false" ht="15.75" hidden="false" customHeight="false" outlineLevel="0" collapsed="false">
      <c r="A859" s="364"/>
      <c r="B859" s="364"/>
      <c r="C859" s="364"/>
      <c r="D859" s="364"/>
      <c r="E859" s="364"/>
      <c r="F859" s="364"/>
      <c r="G859" s="364"/>
      <c r="H859" s="364"/>
      <c r="I859" s="364"/>
      <c r="J859" s="364"/>
      <c r="K859" s="364"/>
      <c r="L859" s="364"/>
      <c r="M859" s="364"/>
      <c r="N859" s="364"/>
      <c r="O859" s="364"/>
      <c r="P859" s="364"/>
      <c r="Q859" s="364"/>
      <c r="R859" s="364"/>
      <c r="S859" s="364"/>
      <c r="T859" s="364"/>
      <c r="U859" s="364"/>
      <c r="V859" s="364"/>
      <c r="W859" s="364"/>
      <c r="X859" s="364"/>
      <c r="Y859" s="364"/>
      <c r="Z859" s="364"/>
      <c r="AA859" s="364" t="str">
        <f aca="false">IFERROR(__xludf.dummyfunction("""COMPUTED_VALUE"""),"")</f>
        <v/>
      </c>
      <c r="AB859" s="364"/>
    </row>
    <row r="860" customFormat="false" ht="15.75" hidden="false" customHeight="false" outlineLevel="0" collapsed="false">
      <c r="A860" s="364"/>
      <c r="B860" s="364"/>
      <c r="C860" s="364"/>
      <c r="D860" s="364"/>
      <c r="E860" s="364"/>
      <c r="F860" s="364"/>
      <c r="G860" s="364"/>
      <c r="H860" s="364"/>
      <c r="I860" s="364"/>
      <c r="J860" s="364"/>
      <c r="K860" s="364"/>
      <c r="L860" s="364"/>
      <c r="M860" s="364"/>
      <c r="N860" s="364"/>
      <c r="O860" s="364"/>
      <c r="P860" s="364"/>
      <c r="Q860" s="364"/>
      <c r="R860" s="364"/>
      <c r="S860" s="364"/>
      <c r="T860" s="364"/>
      <c r="U860" s="364"/>
      <c r="V860" s="364"/>
      <c r="W860" s="364"/>
      <c r="X860" s="364"/>
      <c r="Y860" s="364"/>
      <c r="Z860" s="364"/>
      <c r="AA860" s="364" t="str">
        <f aca="false">IFERROR(__xludf.dummyfunction("""COMPUTED_VALUE"""),"")</f>
        <v/>
      </c>
      <c r="AB860" s="364"/>
    </row>
    <row r="861" customFormat="false" ht="15.75" hidden="false" customHeight="false" outlineLevel="0" collapsed="false">
      <c r="A861" s="364"/>
      <c r="B861" s="364"/>
      <c r="C861" s="364"/>
      <c r="D861" s="364"/>
      <c r="E861" s="364"/>
      <c r="F861" s="364"/>
      <c r="G861" s="364"/>
      <c r="H861" s="364"/>
      <c r="I861" s="364"/>
      <c r="J861" s="364"/>
      <c r="K861" s="364"/>
      <c r="L861" s="364"/>
      <c r="M861" s="364"/>
      <c r="N861" s="364"/>
      <c r="O861" s="364"/>
      <c r="P861" s="364"/>
      <c r="Q861" s="364"/>
      <c r="R861" s="364"/>
      <c r="S861" s="364"/>
      <c r="T861" s="364"/>
      <c r="U861" s="364"/>
      <c r="V861" s="364"/>
      <c r="W861" s="364"/>
      <c r="X861" s="364"/>
      <c r="Y861" s="364"/>
      <c r="Z861" s="364"/>
      <c r="AA861" s="364" t="str">
        <f aca="false">IFERROR(__xludf.dummyfunction("""COMPUTED_VALUE"""),"")</f>
        <v/>
      </c>
      <c r="AB861" s="364"/>
    </row>
    <row r="862" customFormat="false" ht="15.75" hidden="false" customHeight="false" outlineLevel="0" collapsed="false">
      <c r="A862" s="364"/>
      <c r="B862" s="364"/>
      <c r="C862" s="364"/>
      <c r="D862" s="364"/>
      <c r="E862" s="364"/>
      <c r="F862" s="364"/>
      <c r="G862" s="364"/>
      <c r="H862" s="364"/>
      <c r="I862" s="364"/>
      <c r="J862" s="364"/>
      <c r="K862" s="364"/>
      <c r="L862" s="364"/>
      <c r="M862" s="364"/>
      <c r="N862" s="364"/>
      <c r="O862" s="364"/>
      <c r="P862" s="364"/>
      <c r="Q862" s="364"/>
      <c r="R862" s="364"/>
      <c r="S862" s="364"/>
      <c r="T862" s="364"/>
      <c r="U862" s="364"/>
      <c r="V862" s="364"/>
      <c r="W862" s="364"/>
      <c r="X862" s="364"/>
      <c r="Y862" s="364"/>
      <c r="Z862" s="364"/>
      <c r="AA862" s="364" t="str">
        <f aca="false">IFERROR(__xludf.dummyfunction("""COMPUTED_VALUE"""),"")</f>
        <v/>
      </c>
      <c r="AB862" s="364"/>
    </row>
    <row r="863" customFormat="false" ht="15.75" hidden="false" customHeight="false" outlineLevel="0" collapsed="false">
      <c r="A863" s="364"/>
      <c r="B863" s="364"/>
      <c r="C863" s="364"/>
      <c r="D863" s="364"/>
      <c r="E863" s="364"/>
      <c r="F863" s="364"/>
      <c r="G863" s="364"/>
      <c r="H863" s="364"/>
      <c r="I863" s="364"/>
      <c r="J863" s="364"/>
      <c r="K863" s="364"/>
      <c r="L863" s="364"/>
      <c r="M863" s="364"/>
      <c r="N863" s="364"/>
      <c r="O863" s="364"/>
      <c r="P863" s="364"/>
      <c r="Q863" s="364"/>
      <c r="R863" s="364"/>
      <c r="S863" s="364"/>
      <c r="T863" s="364"/>
      <c r="U863" s="364"/>
      <c r="V863" s="364"/>
      <c r="W863" s="364"/>
      <c r="X863" s="364"/>
      <c r="Y863" s="364"/>
      <c r="Z863" s="364"/>
      <c r="AA863" s="364" t="str">
        <f aca="false">IFERROR(__xludf.dummyfunction("""COMPUTED_VALUE"""),"")</f>
        <v/>
      </c>
      <c r="AB863" s="364"/>
    </row>
    <row r="864" customFormat="false" ht="15.75" hidden="false" customHeight="false" outlineLevel="0" collapsed="false">
      <c r="A864" s="364"/>
      <c r="B864" s="364"/>
      <c r="C864" s="364"/>
      <c r="D864" s="364"/>
      <c r="E864" s="364"/>
      <c r="F864" s="364"/>
      <c r="G864" s="364"/>
      <c r="H864" s="364"/>
      <c r="I864" s="364"/>
      <c r="J864" s="364"/>
      <c r="K864" s="364"/>
      <c r="L864" s="364"/>
      <c r="M864" s="364"/>
      <c r="N864" s="364"/>
      <c r="O864" s="364"/>
      <c r="P864" s="364"/>
      <c r="Q864" s="364"/>
      <c r="R864" s="364"/>
      <c r="S864" s="364"/>
      <c r="T864" s="364"/>
      <c r="U864" s="364"/>
      <c r="V864" s="364"/>
      <c r="W864" s="364"/>
      <c r="X864" s="364"/>
      <c r="Y864" s="364"/>
      <c r="Z864" s="364"/>
      <c r="AA864" s="364" t="str">
        <f aca="false">IFERROR(__xludf.dummyfunction("""COMPUTED_VALUE"""),"")</f>
        <v/>
      </c>
      <c r="AB864" s="364"/>
    </row>
    <row r="865" customFormat="false" ht="15.75" hidden="false" customHeight="false" outlineLevel="0" collapsed="false">
      <c r="A865" s="364"/>
      <c r="B865" s="364"/>
      <c r="C865" s="364"/>
      <c r="D865" s="364"/>
      <c r="E865" s="364"/>
      <c r="F865" s="364"/>
      <c r="G865" s="364"/>
      <c r="H865" s="364"/>
      <c r="I865" s="364"/>
      <c r="J865" s="364"/>
      <c r="K865" s="364"/>
      <c r="L865" s="364"/>
      <c r="M865" s="364"/>
      <c r="N865" s="364"/>
      <c r="O865" s="364"/>
      <c r="P865" s="364"/>
      <c r="Q865" s="364"/>
      <c r="R865" s="364"/>
      <c r="S865" s="364"/>
      <c r="T865" s="364"/>
      <c r="U865" s="364"/>
      <c r="V865" s="364"/>
      <c r="W865" s="364"/>
      <c r="X865" s="364"/>
      <c r="Y865" s="364"/>
      <c r="Z865" s="364"/>
      <c r="AA865" s="364" t="str">
        <f aca="false">IFERROR(__xludf.dummyfunction("""COMPUTED_VALUE"""),"")</f>
        <v/>
      </c>
      <c r="AB865" s="364"/>
    </row>
    <row r="866" customFormat="false" ht="15.75" hidden="false" customHeight="false" outlineLevel="0" collapsed="false">
      <c r="A866" s="364"/>
      <c r="B866" s="364"/>
      <c r="C866" s="364"/>
      <c r="D866" s="364"/>
      <c r="E866" s="364"/>
      <c r="F866" s="364"/>
      <c r="G866" s="364"/>
      <c r="H866" s="364"/>
      <c r="I866" s="364"/>
      <c r="J866" s="364"/>
      <c r="K866" s="364"/>
      <c r="L866" s="364"/>
      <c r="M866" s="364"/>
      <c r="N866" s="364"/>
      <c r="O866" s="364"/>
      <c r="P866" s="364"/>
      <c r="Q866" s="364"/>
      <c r="R866" s="364"/>
      <c r="S866" s="364"/>
      <c r="T866" s="364"/>
      <c r="U866" s="364"/>
      <c r="V866" s="364"/>
      <c r="W866" s="364"/>
      <c r="X866" s="364"/>
      <c r="Y866" s="364"/>
      <c r="Z866" s="364"/>
      <c r="AA866" s="364" t="str">
        <f aca="false">IFERROR(__xludf.dummyfunction("""COMPUTED_VALUE"""),"")</f>
        <v/>
      </c>
      <c r="AB866" s="364"/>
    </row>
    <row r="867" customFormat="false" ht="15.75" hidden="false" customHeight="false" outlineLevel="0" collapsed="false">
      <c r="A867" s="364"/>
      <c r="B867" s="364"/>
      <c r="C867" s="364"/>
      <c r="D867" s="364"/>
      <c r="E867" s="364"/>
      <c r="F867" s="364"/>
      <c r="G867" s="364"/>
      <c r="H867" s="364"/>
      <c r="I867" s="364"/>
      <c r="J867" s="364"/>
      <c r="K867" s="364"/>
      <c r="L867" s="364"/>
      <c r="M867" s="364"/>
      <c r="N867" s="364"/>
      <c r="O867" s="364"/>
      <c r="P867" s="364"/>
      <c r="Q867" s="364"/>
      <c r="R867" s="364"/>
      <c r="S867" s="364"/>
      <c r="T867" s="364"/>
      <c r="U867" s="364"/>
      <c r="V867" s="364"/>
      <c r="W867" s="364"/>
      <c r="X867" s="364"/>
      <c r="Y867" s="364"/>
      <c r="Z867" s="364"/>
      <c r="AA867" s="364" t="str">
        <f aca="false">IFERROR(__xludf.dummyfunction("""COMPUTED_VALUE"""),"")</f>
        <v/>
      </c>
      <c r="AB867" s="364"/>
    </row>
    <row r="868" customFormat="false" ht="15.75" hidden="false" customHeight="false" outlineLevel="0" collapsed="false">
      <c r="A868" s="364"/>
      <c r="B868" s="364"/>
      <c r="C868" s="364"/>
      <c r="D868" s="364"/>
      <c r="E868" s="364"/>
      <c r="F868" s="364"/>
      <c r="G868" s="364"/>
      <c r="H868" s="364"/>
      <c r="I868" s="364"/>
      <c r="J868" s="364"/>
      <c r="K868" s="364"/>
      <c r="L868" s="364"/>
      <c r="M868" s="364"/>
      <c r="N868" s="364"/>
      <c r="O868" s="364"/>
      <c r="P868" s="364"/>
      <c r="Q868" s="364"/>
      <c r="R868" s="364"/>
      <c r="S868" s="364"/>
      <c r="T868" s="364"/>
      <c r="U868" s="364"/>
      <c r="V868" s="364"/>
      <c r="W868" s="364"/>
      <c r="X868" s="364"/>
      <c r="Y868" s="364"/>
      <c r="Z868" s="364"/>
      <c r="AA868" s="364" t="str">
        <f aca="false">IFERROR(__xludf.dummyfunction("""COMPUTED_VALUE"""),"")</f>
        <v/>
      </c>
      <c r="AB868" s="364"/>
    </row>
    <row r="869" customFormat="false" ht="15.75" hidden="false" customHeight="false" outlineLevel="0" collapsed="false">
      <c r="A869" s="364"/>
      <c r="B869" s="364"/>
      <c r="C869" s="364"/>
      <c r="D869" s="364"/>
      <c r="E869" s="364"/>
      <c r="F869" s="364"/>
      <c r="G869" s="364"/>
      <c r="H869" s="364"/>
      <c r="I869" s="364"/>
      <c r="J869" s="364"/>
      <c r="K869" s="364"/>
      <c r="L869" s="364"/>
      <c r="M869" s="364"/>
      <c r="N869" s="364"/>
      <c r="O869" s="364"/>
      <c r="P869" s="364"/>
      <c r="Q869" s="364"/>
      <c r="R869" s="364"/>
      <c r="S869" s="364"/>
      <c r="T869" s="364"/>
      <c r="U869" s="364"/>
      <c r="V869" s="364"/>
      <c r="W869" s="364"/>
      <c r="X869" s="364"/>
      <c r="Y869" s="364"/>
      <c r="Z869" s="364"/>
      <c r="AA869" s="364" t="str">
        <f aca="false">IFERROR(__xludf.dummyfunction("""COMPUTED_VALUE"""),"")</f>
        <v/>
      </c>
      <c r="AB869" s="364"/>
    </row>
    <row r="870" customFormat="false" ht="15.75" hidden="false" customHeight="false" outlineLevel="0" collapsed="false">
      <c r="A870" s="364"/>
      <c r="B870" s="364"/>
      <c r="C870" s="364"/>
      <c r="D870" s="364"/>
      <c r="E870" s="364"/>
      <c r="F870" s="364"/>
      <c r="G870" s="364"/>
      <c r="H870" s="364"/>
      <c r="I870" s="364"/>
      <c r="J870" s="364"/>
      <c r="K870" s="364"/>
      <c r="L870" s="364"/>
      <c r="M870" s="364"/>
      <c r="N870" s="364"/>
      <c r="O870" s="364"/>
      <c r="P870" s="364"/>
      <c r="Q870" s="364"/>
      <c r="R870" s="364"/>
      <c r="S870" s="364"/>
      <c r="T870" s="364"/>
      <c r="U870" s="364"/>
      <c r="V870" s="364"/>
      <c r="W870" s="364"/>
      <c r="X870" s="364"/>
      <c r="Y870" s="364"/>
      <c r="Z870" s="364"/>
      <c r="AA870" s="364" t="str">
        <f aca="false">IFERROR(__xludf.dummyfunction("""COMPUTED_VALUE"""),"")</f>
        <v/>
      </c>
      <c r="AB870" s="364"/>
    </row>
    <row r="871" customFormat="false" ht="15.75" hidden="false" customHeight="false" outlineLevel="0" collapsed="false">
      <c r="A871" s="364"/>
      <c r="B871" s="364"/>
      <c r="C871" s="364"/>
      <c r="D871" s="364"/>
      <c r="E871" s="364"/>
      <c r="F871" s="364"/>
      <c r="G871" s="364"/>
      <c r="H871" s="364"/>
      <c r="I871" s="364"/>
      <c r="J871" s="364"/>
      <c r="K871" s="364"/>
      <c r="L871" s="364"/>
      <c r="M871" s="364"/>
      <c r="N871" s="364"/>
      <c r="O871" s="364"/>
      <c r="P871" s="364"/>
      <c r="Q871" s="364"/>
      <c r="R871" s="364"/>
      <c r="S871" s="364"/>
      <c r="T871" s="364"/>
      <c r="U871" s="364"/>
      <c r="V871" s="364"/>
      <c r="W871" s="364"/>
      <c r="X871" s="364"/>
      <c r="Y871" s="364"/>
      <c r="Z871" s="364"/>
      <c r="AA871" s="364" t="str">
        <f aca="false">IFERROR(__xludf.dummyfunction("""COMPUTED_VALUE"""),"")</f>
        <v/>
      </c>
      <c r="AB871" s="364"/>
    </row>
    <row r="872" customFormat="false" ht="15.75" hidden="false" customHeight="false" outlineLevel="0" collapsed="false">
      <c r="A872" s="364"/>
      <c r="B872" s="364"/>
      <c r="C872" s="364"/>
      <c r="D872" s="364"/>
      <c r="E872" s="364"/>
      <c r="F872" s="364"/>
      <c r="G872" s="364"/>
      <c r="H872" s="364"/>
      <c r="I872" s="364"/>
      <c r="J872" s="364"/>
      <c r="K872" s="364"/>
      <c r="L872" s="364"/>
      <c r="M872" s="364"/>
      <c r="N872" s="364"/>
      <c r="O872" s="364"/>
      <c r="P872" s="364"/>
      <c r="Q872" s="364"/>
      <c r="R872" s="364"/>
      <c r="S872" s="364"/>
      <c r="T872" s="364"/>
      <c r="U872" s="364"/>
      <c r="V872" s="364"/>
      <c r="W872" s="364"/>
      <c r="X872" s="364"/>
      <c r="Y872" s="364"/>
      <c r="Z872" s="364"/>
      <c r="AA872" s="364" t="str">
        <f aca="false">IFERROR(__xludf.dummyfunction("""COMPUTED_VALUE"""),"")</f>
        <v/>
      </c>
      <c r="AB872" s="364"/>
    </row>
    <row r="873" customFormat="false" ht="15.75" hidden="false" customHeight="false" outlineLevel="0" collapsed="false">
      <c r="A873" s="364"/>
      <c r="B873" s="364"/>
      <c r="C873" s="364"/>
      <c r="D873" s="364"/>
      <c r="E873" s="364"/>
      <c r="F873" s="364"/>
      <c r="G873" s="364"/>
      <c r="H873" s="364"/>
      <c r="I873" s="364"/>
      <c r="J873" s="364"/>
      <c r="K873" s="364"/>
      <c r="L873" s="364"/>
      <c r="M873" s="364"/>
      <c r="N873" s="364"/>
      <c r="O873" s="364"/>
      <c r="P873" s="364"/>
      <c r="Q873" s="364"/>
      <c r="R873" s="364"/>
      <c r="S873" s="364"/>
      <c r="T873" s="364"/>
      <c r="U873" s="364"/>
      <c r="V873" s="364"/>
      <c r="W873" s="364"/>
      <c r="X873" s="364"/>
      <c r="Y873" s="364"/>
      <c r="Z873" s="364"/>
      <c r="AA873" s="364" t="str">
        <f aca="false">IFERROR(__xludf.dummyfunction("""COMPUTED_VALUE"""),"")</f>
        <v/>
      </c>
      <c r="AB873" s="364"/>
    </row>
    <row r="874" customFormat="false" ht="15.75" hidden="false" customHeight="false" outlineLevel="0" collapsed="false">
      <c r="A874" s="364"/>
      <c r="B874" s="364"/>
      <c r="C874" s="364"/>
      <c r="D874" s="364"/>
      <c r="E874" s="364"/>
      <c r="F874" s="364"/>
      <c r="G874" s="364"/>
      <c r="H874" s="364"/>
      <c r="I874" s="364"/>
      <c r="J874" s="364"/>
      <c r="K874" s="364"/>
      <c r="L874" s="364"/>
      <c r="M874" s="364"/>
      <c r="N874" s="364"/>
      <c r="O874" s="364"/>
      <c r="P874" s="364"/>
      <c r="Q874" s="364"/>
      <c r="R874" s="364"/>
      <c r="S874" s="364"/>
      <c r="T874" s="364"/>
      <c r="U874" s="364"/>
      <c r="V874" s="364"/>
      <c r="W874" s="364"/>
      <c r="X874" s="364"/>
      <c r="Y874" s="364"/>
      <c r="Z874" s="364"/>
      <c r="AA874" s="364" t="str">
        <f aca="false">IFERROR(__xludf.dummyfunction("""COMPUTED_VALUE"""),"")</f>
        <v/>
      </c>
      <c r="AB874" s="364"/>
    </row>
    <row r="875" customFormat="false" ht="15.75" hidden="false" customHeight="false" outlineLevel="0" collapsed="false">
      <c r="A875" s="364"/>
      <c r="B875" s="364"/>
      <c r="C875" s="364"/>
      <c r="D875" s="364"/>
      <c r="E875" s="364"/>
      <c r="F875" s="364"/>
      <c r="G875" s="364"/>
      <c r="H875" s="364"/>
      <c r="I875" s="364"/>
      <c r="J875" s="364"/>
      <c r="K875" s="364"/>
      <c r="L875" s="364"/>
      <c r="M875" s="364"/>
      <c r="N875" s="364"/>
      <c r="O875" s="364"/>
      <c r="P875" s="364"/>
      <c r="Q875" s="364"/>
      <c r="R875" s="364"/>
      <c r="S875" s="364"/>
      <c r="T875" s="364"/>
      <c r="U875" s="364"/>
      <c r="V875" s="364"/>
      <c r="W875" s="364"/>
      <c r="X875" s="364"/>
      <c r="Y875" s="364"/>
      <c r="Z875" s="364"/>
      <c r="AA875" s="364" t="str">
        <f aca="false">IFERROR(__xludf.dummyfunction("""COMPUTED_VALUE"""),"")</f>
        <v/>
      </c>
      <c r="AB875" s="364"/>
    </row>
    <row r="876" customFormat="false" ht="15.75" hidden="false" customHeight="false" outlineLevel="0" collapsed="false">
      <c r="A876" s="364"/>
      <c r="B876" s="364"/>
      <c r="C876" s="364"/>
      <c r="D876" s="364"/>
      <c r="E876" s="364"/>
      <c r="F876" s="364"/>
      <c r="G876" s="364"/>
      <c r="H876" s="364"/>
      <c r="I876" s="364"/>
      <c r="J876" s="364"/>
      <c r="K876" s="364"/>
      <c r="L876" s="364"/>
      <c r="M876" s="364"/>
      <c r="N876" s="364"/>
      <c r="O876" s="364"/>
      <c r="P876" s="364"/>
      <c r="Q876" s="364"/>
      <c r="R876" s="364"/>
      <c r="S876" s="364"/>
      <c r="T876" s="364"/>
      <c r="U876" s="364"/>
      <c r="V876" s="364"/>
      <c r="W876" s="364"/>
      <c r="X876" s="364"/>
      <c r="Y876" s="364"/>
      <c r="Z876" s="364"/>
      <c r="AA876" s="364" t="str">
        <f aca="false">IFERROR(__xludf.dummyfunction("""COMPUTED_VALUE"""),"")</f>
        <v/>
      </c>
      <c r="AB876" s="364"/>
    </row>
    <row r="877" customFormat="false" ht="15.75" hidden="false" customHeight="false" outlineLevel="0" collapsed="false">
      <c r="A877" s="364"/>
      <c r="B877" s="364"/>
      <c r="C877" s="364"/>
      <c r="D877" s="364"/>
      <c r="E877" s="364"/>
      <c r="F877" s="364"/>
      <c r="G877" s="364"/>
      <c r="H877" s="364"/>
      <c r="I877" s="364"/>
      <c r="J877" s="364"/>
      <c r="K877" s="364"/>
      <c r="L877" s="364"/>
      <c r="M877" s="364"/>
      <c r="N877" s="364"/>
      <c r="O877" s="364"/>
      <c r="P877" s="364"/>
      <c r="Q877" s="364"/>
      <c r="R877" s="364"/>
      <c r="S877" s="364"/>
      <c r="T877" s="364"/>
      <c r="U877" s="364"/>
      <c r="V877" s="364"/>
      <c r="W877" s="364"/>
      <c r="X877" s="364"/>
      <c r="Y877" s="364"/>
      <c r="Z877" s="364"/>
      <c r="AA877" s="364" t="str">
        <f aca="false">IFERROR(__xludf.dummyfunction("""COMPUTED_VALUE"""),"")</f>
        <v/>
      </c>
      <c r="AB877" s="364"/>
    </row>
    <row r="878" customFormat="false" ht="15.75" hidden="false" customHeight="false" outlineLevel="0" collapsed="false">
      <c r="A878" s="364"/>
      <c r="B878" s="364"/>
      <c r="C878" s="364"/>
      <c r="D878" s="364"/>
      <c r="E878" s="364"/>
      <c r="F878" s="364"/>
      <c r="G878" s="364"/>
      <c r="H878" s="364"/>
      <c r="I878" s="364"/>
      <c r="J878" s="364"/>
      <c r="K878" s="364"/>
      <c r="L878" s="364"/>
      <c r="M878" s="364"/>
      <c r="N878" s="364"/>
      <c r="O878" s="364"/>
      <c r="P878" s="364"/>
      <c r="Q878" s="364"/>
      <c r="R878" s="364"/>
      <c r="S878" s="364"/>
      <c r="T878" s="364"/>
      <c r="U878" s="364"/>
      <c r="V878" s="364"/>
      <c r="W878" s="364"/>
      <c r="X878" s="364"/>
      <c r="Y878" s="364"/>
      <c r="Z878" s="364"/>
      <c r="AA878" s="364" t="str">
        <f aca="false">IFERROR(__xludf.dummyfunction("""COMPUTED_VALUE"""),"")</f>
        <v/>
      </c>
      <c r="AB878" s="364"/>
    </row>
    <row r="879" customFormat="false" ht="15.75" hidden="false" customHeight="false" outlineLevel="0" collapsed="false">
      <c r="A879" s="364"/>
      <c r="B879" s="364"/>
      <c r="C879" s="364"/>
      <c r="D879" s="364"/>
      <c r="E879" s="364"/>
      <c r="F879" s="364"/>
      <c r="G879" s="364"/>
      <c r="H879" s="364"/>
      <c r="I879" s="364"/>
      <c r="J879" s="364"/>
      <c r="K879" s="364"/>
      <c r="L879" s="364"/>
      <c r="M879" s="364"/>
      <c r="N879" s="364"/>
      <c r="O879" s="364"/>
      <c r="P879" s="364"/>
      <c r="Q879" s="364"/>
      <c r="R879" s="364"/>
      <c r="S879" s="364"/>
      <c r="T879" s="364"/>
      <c r="U879" s="364"/>
      <c r="V879" s="364"/>
      <c r="W879" s="364"/>
      <c r="X879" s="364"/>
      <c r="Y879" s="364"/>
      <c r="Z879" s="364"/>
      <c r="AA879" s="364" t="str">
        <f aca="false">IFERROR(__xludf.dummyfunction("""COMPUTED_VALUE"""),"")</f>
        <v/>
      </c>
      <c r="AB879" s="364"/>
    </row>
    <row r="880" customFormat="false" ht="15.75" hidden="false" customHeight="false" outlineLevel="0" collapsed="false">
      <c r="A880" s="364"/>
      <c r="B880" s="364"/>
      <c r="C880" s="364"/>
      <c r="D880" s="364"/>
      <c r="E880" s="364"/>
      <c r="F880" s="364"/>
      <c r="G880" s="364"/>
      <c r="H880" s="364"/>
      <c r="I880" s="364"/>
      <c r="J880" s="364"/>
      <c r="K880" s="364"/>
      <c r="L880" s="364"/>
      <c r="M880" s="364"/>
      <c r="N880" s="364"/>
      <c r="O880" s="364"/>
      <c r="P880" s="364"/>
      <c r="Q880" s="364"/>
      <c r="R880" s="364"/>
      <c r="S880" s="364"/>
      <c r="T880" s="364"/>
      <c r="U880" s="364"/>
      <c r="V880" s="364"/>
      <c r="W880" s="364"/>
      <c r="X880" s="364"/>
      <c r="Y880" s="364"/>
      <c r="Z880" s="364"/>
      <c r="AA880" s="364" t="str">
        <f aca="false">IFERROR(__xludf.dummyfunction("""COMPUTED_VALUE"""),"")</f>
        <v/>
      </c>
      <c r="AB880" s="364"/>
    </row>
    <row r="881" customFormat="false" ht="15.75" hidden="false" customHeight="false" outlineLevel="0" collapsed="false">
      <c r="A881" s="364"/>
      <c r="B881" s="364"/>
      <c r="C881" s="364"/>
      <c r="D881" s="364"/>
      <c r="E881" s="364"/>
      <c r="F881" s="364"/>
      <c r="G881" s="364"/>
      <c r="H881" s="364"/>
      <c r="I881" s="364"/>
      <c r="J881" s="364"/>
      <c r="K881" s="364"/>
      <c r="L881" s="364"/>
      <c r="M881" s="364"/>
      <c r="N881" s="364"/>
      <c r="O881" s="364"/>
      <c r="P881" s="364"/>
      <c r="Q881" s="364"/>
      <c r="R881" s="364"/>
      <c r="S881" s="364"/>
      <c r="T881" s="364"/>
      <c r="U881" s="364"/>
      <c r="V881" s="364"/>
      <c r="W881" s="364"/>
      <c r="X881" s="364"/>
      <c r="Y881" s="364"/>
      <c r="Z881" s="364"/>
      <c r="AA881" s="364" t="str">
        <f aca="false">IFERROR(__xludf.dummyfunction("""COMPUTED_VALUE"""),"")</f>
        <v/>
      </c>
      <c r="AB881" s="364"/>
    </row>
    <row r="882" customFormat="false" ht="15.75" hidden="false" customHeight="false" outlineLevel="0" collapsed="false">
      <c r="A882" s="364"/>
      <c r="B882" s="364"/>
      <c r="C882" s="364"/>
      <c r="D882" s="364"/>
      <c r="E882" s="364"/>
      <c r="F882" s="364"/>
      <c r="G882" s="364"/>
      <c r="H882" s="364"/>
      <c r="I882" s="364"/>
      <c r="J882" s="364"/>
      <c r="K882" s="364"/>
      <c r="L882" s="364"/>
      <c r="M882" s="364"/>
      <c r="N882" s="364"/>
      <c r="O882" s="364"/>
      <c r="P882" s="364"/>
      <c r="Q882" s="364"/>
      <c r="R882" s="364"/>
      <c r="S882" s="364"/>
      <c r="T882" s="364"/>
      <c r="U882" s="364"/>
      <c r="V882" s="364"/>
      <c r="W882" s="364"/>
      <c r="X882" s="364"/>
      <c r="Y882" s="364"/>
      <c r="Z882" s="364"/>
      <c r="AA882" s="364" t="str">
        <f aca="false">IFERROR(__xludf.dummyfunction("""COMPUTED_VALUE"""),"")</f>
        <v/>
      </c>
      <c r="AB882" s="364"/>
    </row>
    <row r="883" customFormat="false" ht="15.75" hidden="false" customHeight="false" outlineLevel="0" collapsed="false">
      <c r="A883" s="364"/>
      <c r="B883" s="364"/>
      <c r="C883" s="364"/>
      <c r="D883" s="364"/>
      <c r="E883" s="364"/>
      <c r="F883" s="364"/>
      <c r="G883" s="364"/>
      <c r="H883" s="364"/>
      <c r="I883" s="364"/>
      <c r="J883" s="364"/>
      <c r="K883" s="364"/>
      <c r="L883" s="364"/>
      <c r="M883" s="364"/>
      <c r="N883" s="364"/>
      <c r="O883" s="364"/>
      <c r="P883" s="364"/>
      <c r="Q883" s="364"/>
      <c r="R883" s="364"/>
      <c r="S883" s="364"/>
      <c r="T883" s="364"/>
      <c r="U883" s="364"/>
      <c r="V883" s="364"/>
      <c r="W883" s="364"/>
      <c r="X883" s="364"/>
      <c r="Y883" s="364"/>
      <c r="Z883" s="364"/>
      <c r="AA883" s="364" t="str">
        <f aca="false">IFERROR(__xludf.dummyfunction("""COMPUTED_VALUE"""),"")</f>
        <v/>
      </c>
      <c r="AB883" s="364"/>
    </row>
    <row r="884" customFormat="false" ht="15.75" hidden="false" customHeight="false" outlineLevel="0" collapsed="false">
      <c r="A884" s="364"/>
      <c r="B884" s="364"/>
      <c r="C884" s="364"/>
      <c r="D884" s="364"/>
      <c r="E884" s="364"/>
      <c r="F884" s="364"/>
      <c r="G884" s="364"/>
      <c r="H884" s="364"/>
      <c r="I884" s="364"/>
      <c r="J884" s="364"/>
      <c r="K884" s="364"/>
      <c r="L884" s="364"/>
      <c r="M884" s="364"/>
      <c r="N884" s="364"/>
      <c r="O884" s="364"/>
      <c r="P884" s="364"/>
      <c r="Q884" s="364"/>
      <c r="R884" s="364"/>
      <c r="S884" s="364"/>
      <c r="T884" s="364"/>
      <c r="U884" s="364"/>
      <c r="V884" s="364"/>
      <c r="W884" s="364"/>
      <c r="X884" s="364"/>
      <c r="Y884" s="364"/>
      <c r="Z884" s="364"/>
      <c r="AA884" s="364" t="str">
        <f aca="false">IFERROR(__xludf.dummyfunction("""COMPUTED_VALUE"""),"")</f>
        <v/>
      </c>
      <c r="AB884" s="364"/>
    </row>
    <row r="885" customFormat="false" ht="15.75" hidden="false" customHeight="false" outlineLevel="0" collapsed="false">
      <c r="A885" s="364"/>
      <c r="B885" s="364"/>
      <c r="C885" s="364"/>
      <c r="D885" s="364"/>
      <c r="E885" s="364"/>
      <c r="F885" s="364"/>
      <c r="G885" s="364"/>
      <c r="H885" s="364"/>
      <c r="I885" s="364"/>
      <c r="J885" s="364"/>
      <c r="K885" s="364"/>
      <c r="L885" s="364"/>
      <c r="M885" s="364"/>
      <c r="N885" s="364"/>
      <c r="O885" s="364"/>
      <c r="P885" s="364"/>
      <c r="Q885" s="364"/>
      <c r="R885" s="364"/>
      <c r="S885" s="364"/>
      <c r="T885" s="364"/>
      <c r="U885" s="364"/>
      <c r="V885" s="364"/>
      <c r="W885" s="364"/>
      <c r="X885" s="364"/>
      <c r="Y885" s="364"/>
      <c r="Z885" s="364"/>
      <c r="AA885" s="364" t="str">
        <f aca="false">IFERROR(__xludf.dummyfunction("""COMPUTED_VALUE"""),"")</f>
        <v/>
      </c>
      <c r="AB885" s="364"/>
    </row>
    <row r="886" customFormat="false" ht="15.75" hidden="false" customHeight="false" outlineLevel="0" collapsed="false">
      <c r="A886" s="364"/>
      <c r="B886" s="364"/>
      <c r="C886" s="364"/>
      <c r="D886" s="364"/>
      <c r="E886" s="364"/>
      <c r="F886" s="364"/>
      <c r="G886" s="364"/>
      <c r="H886" s="364"/>
      <c r="I886" s="364"/>
      <c r="J886" s="364"/>
      <c r="K886" s="364"/>
      <c r="L886" s="364"/>
      <c r="M886" s="364"/>
      <c r="N886" s="364"/>
      <c r="O886" s="364"/>
      <c r="P886" s="364"/>
      <c r="Q886" s="364"/>
      <c r="R886" s="364"/>
      <c r="S886" s="364"/>
      <c r="T886" s="364"/>
      <c r="U886" s="364"/>
      <c r="V886" s="364"/>
      <c r="W886" s="364"/>
      <c r="X886" s="364"/>
      <c r="Y886" s="364"/>
      <c r="Z886" s="364"/>
      <c r="AA886" s="364" t="str">
        <f aca="false">IFERROR(__xludf.dummyfunction("""COMPUTED_VALUE"""),"")</f>
        <v/>
      </c>
      <c r="AB886" s="364"/>
    </row>
    <row r="887" customFormat="false" ht="15.75" hidden="false" customHeight="false" outlineLevel="0" collapsed="false">
      <c r="A887" s="364"/>
      <c r="B887" s="364"/>
      <c r="C887" s="364"/>
      <c r="D887" s="364"/>
      <c r="E887" s="364"/>
      <c r="F887" s="364"/>
      <c r="G887" s="364"/>
      <c r="H887" s="364"/>
      <c r="I887" s="364"/>
      <c r="J887" s="364"/>
      <c r="K887" s="364"/>
      <c r="L887" s="364"/>
      <c r="M887" s="364"/>
      <c r="N887" s="364"/>
      <c r="O887" s="364"/>
      <c r="P887" s="364"/>
      <c r="Q887" s="364"/>
      <c r="R887" s="364"/>
      <c r="S887" s="364"/>
      <c r="T887" s="364"/>
      <c r="U887" s="364"/>
      <c r="V887" s="364"/>
      <c r="W887" s="364"/>
      <c r="X887" s="364"/>
      <c r="Y887" s="364"/>
      <c r="Z887" s="364"/>
      <c r="AA887" s="364" t="str">
        <f aca="false">IFERROR(__xludf.dummyfunction("""COMPUTED_VALUE"""),"")</f>
        <v/>
      </c>
      <c r="AB887" s="364"/>
    </row>
    <row r="888" customFormat="false" ht="15.75" hidden="false" customHeight="false" outlineLevel="0" collapsed="false">
      <c r="A888" s="364"/>
      <c r="B888" s="364"/>
      <c r="C888" s="364"/>
      <c r="D888" s="364"/>
      <c r="E888" s="364"/>
      <c r="F888" s="364"/>
      <c r="G888" s="364"/>
      <c r="H888" s="364"/>
      <c r="I888" s="364"/>
      <c r="J888" s="364"/>
      <c r="K888" s="364"/>
      <c r="L888" s="364"/>
      <c r="M888" s="364"/>
      <c r="N888" s="364"/>
      <c r="O888" s="364"/>
      <c r="P888" s="364"/>
      <c r="Q888" s="364"/>
      <c r="R888" s="364"/>
      <c r="S888" s="364"/>
      <c r="T888" s="364"/>
      <c r="U888" s="364"/>
      <c r="V888" s="364"/>
      <c r="W888" s="364"/>
      <c r="X888" s="364"/>
      <c r="Y888" s="364"/>
      <c r="Z888" s="364"/>
      <c r="AA888" s="364" t="str">
        <f aca="false">IFERROR(__xludf.dummyfunction("""COMPUTED_VALUE"""),"")</f>
        <v/>
      </c>
      <c r="AB888" s="364"/>
    </row>
    <row r="889" customFormat="false" ht="15.75" hidden="false" customHeight="false" outlineLevel="0" collapsed="false">
      <c r="A889" s="364"/>
      <c r="B889" s="364"/>
      <c r="C889" s="364"/>
      <c r="D889" s="364"/>
      <c r="E889" s="364"/>
      <c r="F889" s="364"/>
      <c r="G889" s="364"/>
      <c r="H889" s="364"/>
      <c r="I889" s="364"/>
      <c r="J889" s="364"/>
      <c r="K889" s="364"/>
      <c r="L889" s="364"/>
      <c r="M889" s="364"/>
      <c r="N889" s="364"/>
      <c r="O889" s="364"/>
      <c r="P889" s="364"/>
      <c r="Q889" s="364"/>
      <c r="R889" s="364"/>
      <c r="S889" s="364"/>
      <c r="T889" s="364"/>
      <c r="U889" s="364"/>
      <c r="V889" s="364"/>
      <c r="W889" s="364"/>
      <c r="X889" s="364"/>
      <c r="Y889" s="364"/>
      <c r="Z889" s="364"/>
      <c r="AA889" s="364" t="str">
        <f aca="false">IFERROR(__xludf.dummyfunction("""COMPUTED_VALUE"""),"")</f>
        <v/>
      </c>
      <c r="AB889" s="364"/>
    </row>
    <row r="890" customFormat="false" ht="15.75" hidden="false" customHeight="false" outlineLevel="0" collapsed="false">
      <c r="A890" s="364"/>
      <c r="B890" s="364"/>
      <c r="C890" s="364"/>
      <c r="D890" s="364"/>
      <c r="E890" s="364"/>
      <c r="F890" s="364"/>
      <c r="G890" s="364"/>
      <c r="H890" s="364"/>
      <c r="I890" s="364"/>
      <c r="J890" s="364"/>
      <c r="K890" s="364"/>
      <c r="L890" s="364"/>
      <c r="M890" s="364"/>
      <c r="N890" s="364"/>
      <c r="O890" s="364"/>
      <c r="P890" s="364"/>
      <c r="Q890" s="364"/>
      <c r="R890" s="364"/>
      <c r="S890" s="364"/>
      <c r="T890" s="364"/>
      <c r="U890" s="364"/>
      <c r="V890" s="364"/>
      <c r="W890" s="364"/>
      <c r="X890" s="364"/>
      <c r="Y890" s="364"/>
      <c r="Z890" s="364"/>
      <c r="AA890" s="364" t="str">
        <f aca="false">IFERROR(__xludf.dummyfunction("""COMPUTED_VALUE"""),"")</f>
        <v/>
      </c>
      <c r="AB890" s="364"/>
    </row>
    <row r="891" customFormat="false" ht="15.75" hidden="false" customHeight="false" outlineLevel="0" collapsed="false">
      <c r="A891" s="364"/>
      <c r="B891" s="364"/>
      <c r="C891" s="364"/>
      <c r="D891" s="364"/>
      <c r="E891" s="364"/>
      <c r="F891" s="364"/>
      <c r="G891" s="364"/>
      <c r="H891" s="364"/>
      <c r="I891" s="364"/>
      <c r="J891" s="364"/>
      <c r="K891" s="364"/>
      <c r="L891" s="364"/>
      <c r="M891" s="364"/>
      <c r="N891" s="364"/>
      <c r="O891" s="364"/>
      <c r="P891" s="364"/>
      <c r="Q891" s="364"/>
      <c r="R891" s="364"/>
      <c r="S891" s="364"/>
      <c r="T891" s="364"/>
      <c r="U891" s="364"/>
      <c r="V891" s="364"/>
      <c r="W891" s="364"/>
      <c r="X891" s="364"/>
      <c r="Y891" s="364"/>
      <c r="Z891" s="364"/>
      <c r="AA891" s="364" t="str">
        <f aca="false">IFERROR(__xludf.dummyfunction("""COMPUTED_VALUE"""),"")</f>
        <v/>
      </c>
      <c r="AB891" s="364"/>
    </row>
    <row r="892" customFormat="false" ht="15.75" hidden="false" customHeight="false" outlineLevel="0" collapsed="false">
      <c r="A892" s="364"/>
      <c r="B892" s="364"/>
      <c r="C892" s="364"/>
      <c r="D892" s="364"/>
      <c r="E892" s="364"/>
      <c r="F892" s="364"/>
      <c r="G892" s="364"/>
      <c r="H892" s="364"/>
      <c r="I892" s="364"/>
      <c r="J892" s="364"/>
      <c r="K892" s="364"/>
      <c r="L892" s="364"/>
      <c r="M892" s="364"/>
      <c r="N892" s="364"/>
      <c r="O892" s="364"/>
      <c r="P892" s="364"/>
      <c r="Q892" s="364"/>
      <c r="R892" s="364"/>
      <c r="S892" s="364"/>
      <c r="T892" s="364"/>
      <c r="U892" s="364"/>
      <c r="V892" s="364"/>
      <c r="W892" s="364"/>
      <c r="X892" s="364"/>
      <c r="Y892" s="364"/>
      <c r="Z892" s="364"/>
      <c r="AA892" s="364" t="str">
        <f aca="false">IFERROR(__xludf.dummyfunction("""COMPUTED_VALUE"""),"")</f>
        <v/>
      </c>
      <c r="AB892" s="364"/>
    </row>
    <row r="893" customFormat="false" ht="15.75" hidden="false" customHeight="false" outlineLevel="0" collapsed="false">
      <c r="A893" s="364"/>
      <c r="B893" s="364"/>
      <c r="C893" s="364"/>
      <c r="D893" s="364"/>
      <c r="E893" s="364"/>
      <c r="F893" s="364"/>
      <c r="G893" s="364"/>
      <c r="H893" s="364"/>
      <c r="I893" s="364"/>
      <c r="J893" s="364"/>
      <c r="K893" s="364"/>
      <c r="L893" s="364"/>
      <c r="M893" s="364"/>
      <c r="N893" s="364"/>
      <c r="O893" s="364"/>
      <c r="P893" s="364"/>
      <c r="Q893" s="364"/>
      <c r="R893" s="364"/>
      <c r="S893" s="364"/>
      <c r="T893" s="364"/>
      <c r="U893" s="364"/>
      <c r="V893" s="364"/>
      <c r="W893" s="364"/>
      <c r="X893" s="364"/>
      <c r="Y893" s="364"/>
      <c r="Z893" s="364"/>
      <c r="AA893" s="364" t="str">
        <f aca="false">IFERROR(__xludf.dummyfunction("""COMPUTED_VALUE"""),"")</f>
        <v/>
      </c>
      <c r="AB893" s="364"/>
    </row>
    <row r="894" customFormat="false" ht="15.75" hidden="false" customHeight="false" outlineLevel="0" collapsed="false">
      <c r="A894" s="364"/>
      <c r="B894" s="364"/>
      <c r="C894" s="364"/>
      <c r="D894" s="364"/>
      <c r="E894" s="364"/>
      <c r="F894" s="364"/>
      <c r="G894" s="364"/>
      <c r="H894" s="364"/>
      <c r="I894" s="364"/>
      <c r="J894" s="364"/>
      <c r="K894" s="364"/>
      <c r="L894" s="364"/>
      <c r="M894" s="364"/>
      <c r="N894" s="364"/>
      <c r="O894" s="364"/>
      <c r="P894" s="364"/>
      <c r="Q894" s="364"/>
      <c r="R894" s="364"/>
      <c r="S894" s="364"/>
      <c r="T894" s="364"/>
      <c r="U894" s="364"/>
      <c r="V894" s="364"/>
      <c r="W894" s="364"/>
      <c r="X894" s="364"/>
      <c r="Y894" s="364"/>
      <c r="Z894" s="364"/>
      <c r="AA894" s="364" t="str">
        <f aca="false">IFERROR(__xludf.dummyfunction("""COMPUTED_VALUE"""),"")</f>
        <v/>
      </c>
      <c r="AB894" s="364"/>
    </row>
    <row r="895" customFormat="false" ht="15.75" hidden="false" customHeight="false" outlineLevel="0" collapsed="false">
      <c r="A895" s="364"/>
      <c r="B895" s="364"/>
      <c r="C895" s="364"/>
      <c r="D895" s="364"/>
      <c r="E895" s="364"/>
      <c r="F895" s="364"/>
      <c r="G895" s="364"/>
      <c r="H895" s="364"/>
      <c r="I895" s="364"/>
      <c r="J895" s="364"/>
      <c r="K895" s="364"/>
      <c r="L895" s="364"/>
      <c r="M895" s="364"/>
      <c r="N895" s="364"/>
      <c r="O895" s="364"/>
      <c r="P895" s="364"/>
      <c r="Q895" s="364"/>
      <c r="R895" s="364"/>
      <c r="S895" s="364"/>
      <c r="T895" s="364"/>
      <c r="U895" s="364"/>
      <c r="V895" s="364"/>
      <c r="W895" s="364"/>
      <c r="X895" s="364"/>
      <c r="Y895" s="364"/>
      <c r="Z895" s="364"/>
      <c r="AA895" s="364" t="str">
        <f aca="false">IFERROR(__xludf.dummyfunction("""COMPUTED_VALUE"""),"")</f>
        <v/>
      </c>
      <c r="AB895" s="364"/>
    </row>
    <row r="896" customFormat="false" ht="15.75" hidden="false" customHeight="false" outlineLevel="0" collapsed="false">
      <c r="A896" s="364"/>
      <c r="B896" s="364"/>
      <c r="C896" s="364"/>
      <c r="D896" s="364"/>
      <c r="E896" s="364"/>
      <c r="F896" s="364"/>
      <c r="G896" s="364"/>
      <c r="H896" s="364"/>
      <c r="I896" s="364"/>
      <c r="J896" s="364"/>
      <c r="K896" s="364"/>
      <c r="L896" s="364"/>
      <c r="M896" s="364"/>
      <c r="N896" s="364"/>
      <c r="O896" s="364"/>
      <c r="P896" s="364"/>
      <c r="Q896" s="364"/>
      <c r="R896" s="364"/>
      <c r="S896" s="364"/>
      <c r="T896" s="364"/>
      <c r="U896" s="364"/>
      <c r="V896" s="364"/>
      <c r="W896" s="364"/>
      <c r="X896" s="364"/>
      <c r="Y896" s="364"/>
      <c r="Z896" s="364"/>
      <c r="AA896" s="364" t="str">
        <f aca="false">IFERROR(__xludf.dummyfunction("""COMPUTED_VALUE"""),"")</f>
        <v/>
      </c>
      <c r="AB896" s="364"/>
    </row>
    <row r="897" customFormat="false" ht="15.75" hidden="false" customHeight="false" outlineLevel="0" collapsed="false">
      <c r="A897" s="364"/>
      <c r="B897" s="364"/>
      <c r="C897" s="364"/>
      <c r="D897" s="364"/>
      <c r="E897" s="364"/>
      <c r="F897" s="364"/>
      <c r="G897" s="364"/>
      <c r="H897" s="364"/>
      <c r="I897" s="364"/>
      <c r="J897" s="364"/>
      <c r="K897" s="364"/>
      <c r="L897" s="364"/>
      <c r="M897" s="364"/>
      <c r="N897" s="364"/>
      <c r="O897" s="364"/>
      <c r="P897" s="364"/>
      <c r="Q897" s="364"/>
      <c r="R897" s="364"/>
      <c r="S897" s="364"/>
      <c r="T897" s="364"/>
      <c r="U897" s="364"/>
      <c r="V897" s="364"/>
      <c r="W897" s="364"/>
      <c r="X897" s="364"/>
      <c r="Y897" s="364"/>
      <c r="Z897" s="364"/>
      <c r="AA897" s="364" t="str">
        <f aca="false">IFERROR(__xludf.dummyfunction("""COMPUTED_VALUE"""),"")</f>
        <v/>
      </c>
      <c r="AB897" s="364"/>
    </row>
    <row r="898" customFormat="false" ht="15.75" hidden="false" customHeight="false" outlineLevel="0" collapsed="false">
      <c r="A898" s="364"/>
      <c r="B898" s="364"/>
      <c r="C898" s="364"/>
      <c r="D898" s="364"/>
      <c r="E898" s="364"/>
      <c r="F898" s="364"/>
      <c r="G898" s="364"/>
      <c r="H898" s="364"/>
      <c r="I898" s="364"/>
      <c r="J898" s="364"/>
      <c r="K898" s="364"/>
      <c r="L898" s="364"/>
      <c r="M898" s="364"/>
      <c r="N898" s="364"/>
      <c r="O898" s="364"/>
      <c r="P898" s="364"/>
      <c r="Q898" s="364"/>
      <c r="R898" s="364"/>
      <c r="S898" s="364"/>
      <c r="T898" s="364"/>
      <c r="U898" s="364"/>
      <c r="V898" s="364"/>
      <c r="W898" s="364"/>
      <c r="X898" s="364"/>
      <c r="Y898" s="364"/>
      <c r="Z898" s="364"/>
      <c r="AA898" s="364" t="str">
        <f aca="false">IFERROR(__xludf.dummyfunction("""COMPUTED_VALUE"""),"")</f>
        <v/>
      </c>
      <c r="AB898" s="364"/>
    </row>
    <row r="899" customFormat="false" ht="15.75" hidden="false" customHeight="false" outlineLevel="0" collapsed="false">
      <c r="A899" s="364"/>
      <c r="B899" s="364"/>
      <c r="C899" s="364"/>
      <c r="D899" s="364"/>
      <c r="E899" s="364"/>
      <c r="F899" s="364"/>
      <c r="G899" s="364"/>
      <c r="H899" s="364"/>
      <c r="I899" s="364"/>
      <c r="J899" s="364"/>
      <c r="K899" s="364"/>
      <c r="L899" s="364"/>
      <c r="M899" s="364"/>
      <c r="N899" s="364"/>
      <c r="O899" s="364"/>
      <c r="P899" s="364"/>
      <c r="Q899" s="364"/>
      <c r="R899" s="364"/>
      <c r="S899" s="364"/>
      <c r="T899" s="364"/>
      <c r="U899" s="364"/>
      <c r="V899" s="364"/>
      <c r="W899" s="364"/>
      <c r="X899" s="364"/>
      <c r="Y899" s="364"/>
      <c r="Z899" s="364"/>
      <c r="AA899" s="364" t="str">
        <f aca="false">IFERROR(__xludf.dummyfunction("""COMPUTED_VALUE"""),"")</f>
        <v/>
      </c>
      <c r="AB899" s="364"/>
    </row>
    <row r="900" customFormat="false" ht="15.75" hidden="false" customHeight="false" outlineLevel="0" collapsed="false">
      <c r="A900" s="364"/>
      <c r="B900" s="364"/>
      <c r="C900" s="364"/>
      <c r="D900" s="364"/>
      <c r="E900" s="364"/>
      <c r="F900" s="364"/>
      <c r="G900" s="364"/>
      <c r="H900" s="364"/>
      <c r="I900" s="364"/>
      <c r="J900" s="364"/>
      <c r="K900" s="364"/>
      <c r="L900" s="364"/>
      <c r="M900" s="364"/>
      <c r="N900" s="364"/>
      <c r="O900" s="364"/>
      <c r="P900" s="364"/>
      <c r="Q900" s="364"/>
      <c r="R900" s="364"/>
      <c r="S900" s="364"/>
      <c r="T900" s="364"/>
      <c r="U900" s="364"/>
      <c r="V900" s="364"/>
      <c r="W900" s="364"/>
      <c r="X900" s="364"/>
      <c r="Y900" s="364"/>
      <c r="Z900" s="364"/>
      <c r="AA900" s="364" t="str">
        <f aca="false">IFERROR(__xludf.dummyfunction("""COMPUTED_VALUE"""),"")</f>
        <v/>
      </c>
      <c r="AB900" s="364"/>
    </row>
    <row r="901" customFormat="false" ht="15.75" hidden="false" customHeight="false" outlineLevel="0" collapsed="false">
      <c r="A901" s="364"/>
      <c r="B901" s="364"/>
      <c r="C901" s="364"/>
      <c r="D901" s="364"/>
      <c r="E901" s="364"/>
      <c r="F901" s="364"/>
      <c r="G901" s="364"/>
      <c r="H901" s="364"/>
      <c r="I901" s="364"/>
      <c r="J901" s="364"/>
      <c r="K901" s="364"/>
      <c r="L901" s="364"/>
      <c r="M901" s="364"/>
      <c r="N901" s="364"/>
      <c r="O901" s="364"/>
      <c r="P901" s="364"/>
      <c r="Q901" s="364"/>
      <c r="R901" s="364"/>
      <c r="S901" s="364"/>
      <c r="T901" s="364"/>
      <c r="U901" s="364"/>
      <c r="V901" s="364"/>
      <c r="W901" s="364"/>
      <c r="X901" s="364"/>
      <c r="Y901" s="364"/>
      <c r="Z901" s="364"/>
      <c r="AA901" s="364" t="str">
        <f aca="false">IFERROR(__xludf.dummyfunction("""COMPUTED_VALUE"""),"")</f>
        <v/>
      </c>
      <c r="AB901" s="364"/>
    </row>
    <row r="902" customFormat="false" ht="15.75" hidden="false" customHeight="false" outlineLevel="0" collapsed="false">
      <c r="A902" s="364"/>
      <c r="B902" s="364"/>
      <c r="C902" s="364"/>
      <c r="D902" s="364"/>
      <c r="E902" s="364"/>
      <c r="F902" s="364"/>
      <c r="G902" s="364"/>
      <c r="H902" s="364"/>
      <c r="I902" s="364"/>
      <c r="J902" s="364"/>
      <c r="K902" s="364"/>
      <c r="L902" s="364"/>
      <c r="M902" s="364"/>
      <c r="N902" s="364"/>
      <c r="O902" s="364"/>
      <c r="P902" s="364"/>
      <c r="Q902" s="364"/>
      <c r="R902" s="364"/>
      <c r="S902" s="364"/>
      <c r="T902" s="364"/>
      <c r="U902" s="364"/>
      <c r="V902" s="364"/>
      <c r="W902" s="364"/>
      <c r="X902" s="364"/>
      <c r="Y902" s="364"/>
      <c r="Z902" s="364"/>
      <c r="AA902" s="364" t="str">
        <f aca="false">IFERROR(__xludf.dummyfunction("""COMPUTED_VALUE"""),"")</f>
        <v/>
      </c>
      <c r="AB902" s="364"/>
    </row>
    <row r="903" customFormat="false" ht="15.75" hidden="false" customHeight="false" outlineLevel="0" collapsed="false">
      <c r="A903" s="364"/>
      <c r="B903" s="364"/>
      <c r="C903" s="364"/>
      <c r="D903" s="364"/>
      <c r="E903" s="364"/>
      <c r="F903" s="364"/>
      <c r="G903" s="364"/>
      <c r="H903" s="364"/>
      <c r="I903" s="364"/>
      <c r="J903" s="364"/>
      <c r="K903" s="364"/>
      <c r="L903" s="364"/>
      <c r="M903" s="364"/>
      <c r="N903" s="364"/>
      <c r="O903" s="364"/>
      <c r="P903" s="364"/>
      <c r="Q903" s="364"/>
      <c r="R903" s="364"/>
      <c r="S903" s="364"/>
      <c r="T903" s="364"/>
      <c r="U903" s="364"/>
      <c r="V903" s="364"/>
      <c r="W903" s="364"/>
      <c r="X903" s="364"/>
      <c r="Y903" s="364"/>
      <c r="Z903" s="364"/>
      <c r="AA903" s="364" t="str">
        <f aca="false">IFERROR(__xludf.dummyfunction("""COMPUTED_VALUE"""),"")</f>
        <v/>
      </c>
      <c r="AB903" s="364"/>
    </row>
    <row r="904" customFormat="false" ht="15.75" hidden="false" customHeight="false" outlineLevel="0" collapsed="false">
      <c r="A904" s="364"/>
      <c r="B904" s="364"/>
      <c r="C904" s="364"/>
      <c r="D904" s="364"/>
      <c r="E904" s="364"/>
      <c r="F904" s="364"/>
      <c r="G904" s="364"/>
      <c r="H904" s="364"/>
      <c r="I904" s="364"/>
      <c r="J904" s="364"/>
      <c r="K904" s="364"/>
      <c r="L904" s="364"/>
      <c r="M904" s="364"/>
      <c r="N904" s="364"/>
      <c r="O904" s="364"/>
      <c r="P904" s="364"/>
      <c r="Q904" s="364"/>
      <c r="R904" s="364"/>
      <c r="S904" s="364"/>
      <c r="T904" s="364"/>
      <c r="U904" s="364"/>
      <c r="V904" s="364"/>
      <c r="W904" s="364"/>
      <c r="X904" s="364"/>
      <c r="Y904" s="364"/>
      <c r="Z904" s="364"/>
      <c r="AA904" s="364" t="str">
        <f aca="false">IFERROR(__xludf.dummyfunction("""COMPUTED_VALUE"""),"")</f>
        <v/>
      </c>
      <c r="AB904" s="364"/>
    </row>
    <row r="905" customFormat="false" ht="15.75" hidden="false" customHeight="false" outlineLevel="0" collapsed="false">
      <c r="A905" s="364"/>
      <c r="B905" s="364"/>
      <c r="C905" s="364"/>
      <c r="D905" s="364"/>
      <c r="E905" s="364"/>
      <c r="F905" s="364"/>
      <c r="G905" s="364"/>
      <c r="H905" s="364"/>
      <c r="I905" s="364"/>
      <c r="J905" s="364"/>
      <c r="K905" s="364"/>
      <c r="L905" s="364"/>
      <c r="M905" s="364"/>
      <c r="N905" s="364"/>
      <c r="O905" s="364"/>
      <c r="P905" s="364"/>
      <c r="Q905" s="364"/>
      <c r="R905" s="364"/>
      <c r="S905" s="364"/>
      <c r="T905" s="364"/>
      <c r="U905" s="364"/>
      <c r="V905" s="364"/>
      <c r="W905" s="364"/>
      <c r="X905" s="364"/>
      <c r="Y905" s="364"/>
      <c r="Z905" s="364"/>
      <c r="AA905" s="364" t="str">
        <f aca="false">IFERROR(__xludf.dummyfunction("""COMPUTED_VALUE"""),"")</f>
        <v/>
      </c>
      <c r="AB905" s="364"/>
    </row>
    <row r="906" customFormat="false" ht="15.75" hidden="false" customHeight="false" outlineLevel="0" collapsed="false">
      <c r="A906" s="364"/>
      <c r="B906" s="364"/>
      <c r="C906" s="364"/>
      <c r="D906" s="364"/>
      <c r="E906" s="364"/>
      <c r="F906" s="364"/>
      <c r="G906" s="364"/>
      <c r="H906" s="364"/>
      <c r="I906" s="364"/>
      <c r="J906" s="364"/>
      <c r="K906" s="364"/>
      <c r="L906" s="364"/>
      <c r="M906" s="364"/>
      <c r="N906" s="364"/>
      <c r="O906" s="364"/>
      <c r="P906" s="364"/>
      <c r="Q906" s="364"/>
      <c r="R906" s="364"/>
      <c r="S906" s="364"/>
      <c r="T906" s="364"/>
      <c r="U906" s="364"/>
      <c r="V906" s="364"/>
      <c r="W906" s="364"/>
      <c r="X906" s="364"/>
      <c r="Y906" s="364"/>
      <c r="Z906" s="364"/>
      <c r="AA906" s="364" t="str">
        <f aca="false">IFERROR(__xludf.dummyfunction("""COMPUTED_VALUE"""),"")</f>
        <v/>
      </c>
      <c r="AB906" s="364"/>
    </row>
    <row r="907" customFormat="false" ht="15.75" hidden="false" customHeight="false" outlineLevel="0" collapsed="false">
      <c r="A907" s="364"/>
      <c r="B907" s="364"/>
      <c r="C907" s="364"/>
      <c r="D907" s="364"/>
      <c r="E907" s="364"/>
      <c r="F907" s="364"/>
      <c r="G907" s="364"/>
      <c r="H907" s="364"/>
      <c r="I907" s="364"/>
      <c r="J907" s="364"/>
      <c r="K907" s="364"/>
      <c r="L907" s="364"/>
      <c r="M907" s="364"/>
      <c r="N907" s="364"/>
      <c r="O907" s="364"/>
      <c r="P907" s="364"/>
      <c r="Q907" s="364"/>
      <c r="R907" s="364"/>
      <c r="S907" s="364"/>
      <c r="T907" s="364"/>
      <c r="U907" s="364"/>
      <c r="V907" s="364"/>
      <c r="W907" s="364"/>
      <c r="X907" s="364"/>
      <c r="Y907" s="364"/>
      <c r="Z907" s="364"/>
      <c r="AA907" s="364" t="str">
        <f aca="false">IFERROR(__xludf.dummyfunction("""COMPUTED_VALUE"""),"")</f>
        <v/>
      </c>
      <c r="AB907" s="364"/>
    </row>
    <row r="908" customFormat="false" ht="15.75" hidden="false" customHeight="false" outlineLevel="0" collapsed="false">
      <c r="A908" s="364"/>
      <c r="B908" s="364"/>
      <c r="C908" s="364"/>
      <c r="D908" s="364"/>
      <c r="E908" s="364"/>
      <c r="F908" s="364"/>
      <c r="G908" s="364"/>
      <c r="H908" s="364"/>
      <c r="I908" s="364"/>
      <c r="J908" s="364"/>
      <c r="K908" s="364"/>
      <c r="L908" s="364"/>
      <c r="M908" s="364"/>
      <c r="N908" s="364"/>
      <c r="O908" s="364"/>
      <c r="P908" s="364"/>
      <c r="Q908" s="364"/>
      <c r="R908" s="364"/>
      <c r="S908" s="364"/>
      <c r="T908" s="364"/>
      <c r="U908" s="364"/>
      <c r="V908" s="364"/>
      <c r="W908" s="364"/>
      <c r="X908" s="364"/>
      <c r="Y908" s="364"/>
      <c r="Z908" s="364"/>
      <c r="AA908" s="364" t="str">
        <f aca="false">IFERROR(__xludf.dummyfunction("""COMPUTED_VALUE"""),"")</f>
        <v/>
      </c>
      <c r="AB908" s="364"/>
    </row>
    <row r="909" customFormat="false" ht="15.75" hidden="false" customHeight="false" outlineLevel="0" collapsed="false">
      <c r="A909" s="364"/>
      <c r="B909" s="364"/>
      <c r="C909" s="364"/>
      <c r="D909" s="364"/>
      <c r="E909" s="364"/>
      <c r="F909" s="364"/>
      <c r="G909" s="364"/>
      <c r="H909" s="364"/>
      <c r="I909" s="364"/>
      <c r="J909" s="364"/>
      <c r="K909" s="364"/>
      <c r="L909" s="364"/>
      <c r="M909" s="364"/>
      <c r="N909" s="364"/>
      <c r="O909" s="364"/>
      <c r="P909" s="364"/>
      <c r="Q909" s="364"/>
      <c r="R909" s="364"/>
      <c r="S909" s="364"/>
      <c r="T909" s="364"/>
      <c r="U909" s="364"/>
      <c r="V909" s="364"/>
      <c r="W909" s="364"/>
      <c r="X909" s="364"/>
      <c r="Y909" s="364"/>
      <c r="Z909" s="364"/>
      <c r="AA909" s="364" t="str">
        <f aca="false">IFERROR(__xludf.dummyfunction("""COMPUTED_VALUE"""),"")</f>
        <v/>
      </c>
      <c r="AB909" s="364"/>
    </row>
    <row r="910" customFormat="false" ht="15.75" hidden="false" customHeight="false" outlineLevel="0" collapsed="false">
      <c r="A910" s="364"/>
      <c r="B910" s="364"/>
      <c r="C910" s="364"/>
      <c r="D910" s="364"/>
      <c r="E910" s="364"/>
      <c r="F910" s="364"/>
      <c r="G910" s="364"/>
      <c r="H910" s="364"/>
      <c r="I910" s="364"/>
      <c r="J910" s="364"/>
      <c r="K910" s="364"/>
      <c r="L910" s="364"/>
      <c r="M910" s="364"/>
      <c r="N910" s="364"/>
      <c r="O910" s="364"/>
      <c r="P910" s="364"/>
      <c r="Q910" s="364"/>
      <c r="R910" s="364"/>
      <c r="S910" s="364"/>
      <c r="T910" s="364"/>
      <c r="U910" s="364"/>
      <c r="V910" s="364"/>
      <c r="W910" s="364"/>
      <c r="X910" s="364"/>
      <c r="Y910" s="364"/>
      <c r="Z910" s="364"/>
      <c r="AA910" s="364" t="str">
        <f aca="false">IFERROR(__xludf.dummyfunction("""COMPUTED_VALUE"""),"")</f>
        <v/>
      </c>
      <c r="AB910" s="364"/>
    </row>
    <row r="911" customFormat="false" ht="15.75" hidden="false" customHeight="false" outlineLevel="0" collapsed="false">
      <c r="A911" s="364"/>
      <c r="B911" s="364"/>
      <c r="C911" s="364"/>
      <c r="D911" s="364"/>
      <c r="E911" s="364"/>
      <c r="F911" s="364"/>
      <c r="G911" s="364"/>
      <c r="H911" s="364"/>
      <c r="I911" s="364"/>
      <c r="J911" s="364"/>
      <c r="K911" s="364"/>
      <c r="L911" s="364"/>
      <c r="M911" s="364"/>
      <c r="N911" s="364"/>
      <c r="O911" s="364"/>
      <c r="P911" s="364"/>
      <c r="Q911" s="364"/>
      <c r="R911" s="364"/>
      <c r="S911" s="364"/>
      <c r="T911" s="364"/>
      <c r="U911" s="364"/>
      <c r="V911" s="364"/>
      <c r="W911" s="364"/>
      <c r="X911" s="364"/>
      <c r="Y911" s="364"/>
      <c r="Z911" s="364"/>
      <c r="AA911" s="364" t="str">
        <f aca="false">IFERROR(__xludf.dummyfunction("""COMPUTED_VALUE"""),"")</f>
        <v/>
      </c>
      <c r="AB911" s="364"/>
    </row>
    <row r="912" customFormat="false" ht="15.75" hidden="false" customHeight="false" outlineLevel="0" collapsed="false">
      <c r="A912" s="364"/>
      <c r="B912" s="364"/>
      <c r="C912" s="364"/>
      <c r="D912" s="364"/>
      <c r="E912" s="364"/>
      <c r="F912" s="364"/>
      <c r="G912" s="364"/>
      <c r="H912" s="364"/>
      <c r="I912" s="364"/>
      <c r="J912" s="364"/>
      <c r="K912" s="364"/>
      <c r="L912" s="364"/>
      <c r="M912" s="364"/>
      <c r="N912" s="364"/>
      <c r="O912" s="364"/>
      <c r="P912" s="364"/>
      <c r="Q912" s="364"/>
      <c r="R912" s="364"/>
      <c r="S912" s="364"/>
      <c r="T912" s="364"/>
      <c r="U912" s="364"/>
      <c r="V912" s="364"/>
      <c r="W912" s="364"/>
      <c r="X912" s="364"/>
      <c r="Y912" s="364"/>
      <c r="Z912" s="364"/>
      <c r="AA912" s="364" t="str">
        <f aca="false">IFERROR(__xludf.dummyfunction("""COMPUTED_VALUE"""),"")</f>
        <v/>
      </c>
      <c r="AB912" s="364"/>
    </row>
    <row r="913" customFormat="false" ht="15.75" hidden="false" customHeight="false" outlineLevel="0" collapsed="false">
      <c r="A913" s="364"/>
      <c r="B913" s="364"/>
      <c r="C913" s="364"/>
      <c r="D913" s="364"/>
      <c r="E913" s="364"/>
      <c r="F913" s="364"/>
      <c r="G913" s="364"/>
      <c r="H913" s="364"/>
      <c r="I913" s="364"/>
      <c r="J913" s="364"/>
      <c r="K913" s="364"/>
      <c r="L913" s="364"/>
      <c r="M913" s="364"/>
      <c r="N913" s="364"/>
      <c r="O913" s="364"/>
      <c r="P913" s="364"/>
      <c r="Q913" s="364"/>
      <c r="R913" s="364"/>
      <c r="S913" s="364"/>
      <c r="T913" s="364"/>
      <c r="U913" s="364"/>
      <c r="V913" s="364"/>
      <c r="W913" s="364"/>
      <c r="X913" s="364"/>
      <c r="Y913" s="364"/>
      <c r="Z913" s="364"/>
      <c r="AA913" s="364" t="str">
        <f aca="false">IFERROR(__xludf.dummyfunction("""COMPUTED_VALUE"""),"")</f>
        <v/>
      </c>
      <c r="AB913" s="364"/>
    </row>
    <row r="914" customFormat="false" ht="15.75" hidden="false" customHeight="false" outlineLevel="0" collapsed="false">
      <c r="A914" s="364"/>
      <c r="B914" s="364"/>
      <c r="C914" s="364"/>
      <c r="D914" s="364"/>
      <c r="E914" s="364"/>
      <c r="F914" s="364"/>
      <c r="G914" s="364"/>
      <c r="H914" s="364"/>
      <c r="I914" s="364"/>
      <c r="J914" s="364"/>
      <c r="K914" s="364"/>
      <c r="L914" s="364"/>
      <c r="M914" s="364"/>
      <c r="N914" s="364"/>
      <c r="O914" s="364"/>
      <c r="P914" s="364"/>
      <c r="Q914" s="364"/>
      <c r="R914" s="364"/>
      <c r="S914" s="364"/>
      <c r="T914" s="364"/>
      <c r="U914" s="364"/>
      <c r="V914" s="364"/>
      <c r="W914" s="364"/>
      <c r="X914" s="364"/>
      <c r="Y914" s="364"/>
      <c r="Z914" s="364"/>
      <c r="AA914" s="364" t="str">
        <f aca="false">IFERROR(__xludf.dummyfunction("""COMPUTED_VALUE"""),"")</f>
        <v/>
      </c>
      <c r="AB914" s="364"/>
    </row>
    <row r="915" customFormat="false" ht="15.75" hidden="false" customHeight="false" outlineLevel="0" collapsed="false">
      <c r="A915" s="364"/>
      <c r="B915" s="364"/>
      <c r="C915" s="364"/>
      <c r="D915" s="364"/>
      <c r="E915" s="364"/>
      <c r="F915" s="364"/>
      <c r="G915" s="364"/>
      <c r="H915" s="364"/>
      <c r="I915" s="364"/>
      <c r="J915" s="364"/>
      <c r="K915" s="364"/>
      <c r="L915" s="364"/>
      <c r="M915" s="364"/>
      <c r="N915" s="364"/>
      <c r="O915" s="364"/>
      <c r="P915" s="364"/>
      <c r="Q915" s="364"/>
      <c r="R915" s="364"/>
      <c r="S915" s="364"/>
      <c r="T915" s="364"/>
      <c r="U915" s="364"/>
      <c r="V915" s="364"/>
      <c r="W915" s="364"/>
      <c r="X915" s="364"/>
      <c r="Y915" s="364"/>
      <c r="Z915" s="364"/>
      <c r="AA915" s="364" t="str">
        <f aca="false">IFERROR(__xludf.dummyfunction("""COMPUTED_VALUE"""),"")</f>
        <v/>
      </c>
      <c r="AB915" s="364"/>
    </row>
    <row r="916" customFormat="false" ht="15.75" hidden="false" customHeight="false" outlineLevel="0" collapsed="false">
      <c r="A916" s="364"/>
      <c r="B916" s="364"/>
      <c r="C916" s="364"/>
      <c r="D916" s="364"/>
      <c r="E916" s="364"/>
      <c r="F916" s="364"/>
      <c r="G916" s="364"/>
      <c r="H916" s="364"/>
      <c r="I916" s="364"/>
      <c r="J916" s="364"/>
      <c r="K916" s="364"/>
      <c r="L916" s="364"/>
      <c r="M916" s="364"/>
      <c r="N916" s="364"/>
      <c r="O916" s="364"/>
      <c r="P916" s="364"/>
      <c r="Q916" s="364"/>
      <c r="R916" s="364"/>
      <c r="S916" s="364"/>
      <c r="T916" s="364"/>
      <c r="U916" s="364"/>
      <c r="V916" s="364"/>
      <c r="W916" s="364"/>
      <c r="X916" s="364"/>
      <c r="Y916" s="364"/>
      <c r="Z916" s="364"/>
      <c r="AA916" s="364" t="str">
        <f aca="false">IFERROR(__xludf.dummyfunction("""COMPUTED_VALUE"""),"")</f>
        <v/>
      </c>
      <c r="AB916" s="364"/>
    </row>
    <row r="917" customFormat="false" ht="15.75" hidden="false" customHeight="false" outlineLevel="0" collapsed="false">
      <c r="A917" s="364"/>
      <c r="B917" s="364"/>
      <c r="C917" s="364"/>
      <c r="D917" s="364"/>
      <c r="E917" s="364"/>
      <c r="F917" s="364"/>
      <c r="G917" s="364"/>
      <c r="H917" s="364"/>
      <c r="I917" s="364"/>
      <c r="J917" s="364"/>
      <c r="K917" s="364"/>
      <c r="L917" s="364"/>
      <c r="M917" s="364"/>
      <c r="N917" s="364"/>
      <c r="O917" s="364"/>
      <c r="P917" s="364"/>
      <c r="Q917" s="364"/>
      <c r="R917" s="364"/>
      <c r="S917" s="364"/>
      <c r="T917" s="364"/>
      <c r="U917" s="364"/>
      <c r="V917" s="364"/>
      <c r="W917" s="364"/>
      <c r="X917" s="364"/>
      <c r="Y917" s="364"/>
      <c r="Z917" s="364"/>
      <c r="AA917" s="364" t="str">
        <f aca="false">IFERROR(__xludf.dummyfunction("""COMPUTED_VALUE"""),"")</f>
        <v/>
      </c>
      <c r="AB917" s="364"/>
    </row>
    <row r="918" customFormat="false" ht="15.75" hidden="false" customHeight="false" outlineLevel="0" collapsed="false">
      <c r="A918" s="364"/>
      <c r="B918" s="364"/>
      <c r="C918" s="364"/>
      <c r="D918" s="364"/>
      <c r="E918" s="364"/>
      <c r="F918" s="364"/>
      <c r="G918" s="364"/>
      <c r="H918" s="364"/>
      <c r="I918" s="364"/>
      <c r="J918" s="364"/>
      <c r="K918" s="364"/>
      <c r="L918" s="364"/>
      <c r="M918" s="364"/>
      <c r="N918" s="364"/>
      <c r="O918" s="364"/>
      <c r="P918" s="364"/>
      <c r="Q918" s="364"/>
      <c r="R918" s="364"/>
      <c r="S918" s="364"/>
      <c r="T918" s="364"/>
      <c r="U918" s="364"/>
      <c r="V918" s="364"/>
      <c r="W918" s="364"/>
      <c r="X918" s="364"/>
      <c r="Y918" s="364"/>
      <c r="Z918" s="364"/>
      <c r="AA918" s="364" t="str">
        <f aca="false">IFERROR(__xludf.dummyfunction("""COMPUTED_VALUE"""),"")</f>
        <v/>
      </c>
      <c r="AB918" s="364"/>
    </row>
    <row r="919" customFormat="false" ht="15.75" hidden="false" customHeight="false" outlineLevel="0" collapsed="false">
      <c r="A919" s="364"/>
      <c r="B919" s="364"/>
      <c r="C919" s="364"/>
      <c r="D919" s="364"/>
      <c r="E919" s="364"/>
      <c r="F919" s="364"/>
      <c r="G919" s="364"/>
      <c r="H919" s="364"/>
      <c r="I919" s="364"/>
      <c r="J919" s="364"/>
      <c r="K919" s="364"/>
      <c r="L919" s="364"/>
      <c r="M919" s="364"/>
      <c r="N919" s="364"/>
      <c r="O919" s="364"/>
      <c r="P919" s="364"/>
      <c r="Q919" s="364"/>
      <c r="R919" s="364"/>
      <c r="S919" s="364"/>
      <c r="T919" s="364"/>
      <c r="U919" s="364"/>
      <c r="V919" s="364"/>
      <c r="W919" s="364"/>
      <c r="X919" s="364"/>
      <c r="Y919" s="364"/>
      <c r="Z919" s="364"/>
      <c r="AA919" s="364" t="str">
        <f aca="false">IFERROR(__xludf.dummyfunction("""COMPUTED_VALUE"""),"")</f>
        <v/>
      </c>
      <c r="AB919" s="364"/>
    </row>
    <row r="920" customFormat="false" ht="15.75" hidden="false" customHeight="false" outlineLevel="0" collapsed="false">
      <c r="A920" s="364"/>
      <c r="B920" s="364"/>
      <c r="C920" s="364"/>
      <c r="D920" s="364"/>
      <c r="E920" s="364"/>
      <c r="F920" s="364"/>
      <c r="G920" s="364"/>
      <c r="H920" s="364"/>
      <c r="I920" s="364"/>
      <c r="J920" s="364"/>
      <c r="K920" s="364"/>
      <c r="L920" s="364"/>
      <c r="M920" s="364"/>
      <c r="N920" s="364"/>
      <c r="O920" s="364"/>
      <c r="P920" s="364"/>
      <c r="Q920" s="364"/>
      <c r="R920" s="364"/>
      <c r="S920" s="364"/>
      <c r="T920" s="364"/>
      <c r="U920" s="364"/>
      <c r="V920" s="364"/>
      <c r="W920" s="364"/>
      <c r="X920" s="364"/>
      <c r="Y920" s="364"/>
      <c r="Z920" s="364"/>
      <c r="AA920" s="364" t="str">
        <f aca="false">IFERROR(__xludf.dummyfunction("""COMPUTED_VALUE"""),"")</f>
        <v/>
      </c>
      <c r="AB920" s="364"/>
    </row>
    <row r="921" customFormat="false" ht="15.75" hidden="false" customHeight="false" outlineLevel="0" collapsed="false">
      <c r="A921" s="364"/>
      <c r="B921" s="364"/>
      <c r="C921" s="364"/>
      <c r="D921" s="364"/>
      <c r="E921" s="364"/>
      <c r="F921" s="364"/>
      <c r="G921" s="364"/>
      <c r="H921" s="364"/>
      <c r="I921" s="364"/>
      <c r="J921" s="364"/>
      <c r="K921" s="364"/>
      <c r="L921" s="364"/>
      <c r="M921" s="364"/>
      <c r="N921" s="364"/>
      <c r="O921" s="364"/>
      <c r="P921" s="364"/>
      <c r="Q921" s="364"/>
      <c r="R921" s="364"/>
      <c r="S921" s="364"/>
      <c r="T921" s="364"/>
      <c r="U921" s="364"/>
      <c r="V921" s="364"/>
      <c r="W921" s="364"/>
      <c r="X921" s="364"/>
      <c r="Y921" s="364"/>
      <c r="Z921" s="364"/>
      <c r="AA921" s="364" t="str">
        <f aca="false">IFERROR(__xludf.dummyfunction("""COMPUTED_VALUE"""),"")</f>
        <v/>
      </c>
      <c r="AB921" s="364"/>
    </row>
    <row r="922" customFormat="false" ht="15.75" hidden="false" customHeight="false" outlineLevel="0" collapsed="false">
      <c r="A922" s="364"/>
      <c r="B922" s="364"/>
      <c r="C922" s="364"/>
      <c r="D922" s="364"/>
      <c r="E922" s="364"/>
      <c r="F922" s="364"/>
      <c r="G922" s="364"/>
      <c r="H922" s="364"/>
      <c r="I922" s="364"/>
      <c r="J922" s="364"/>
      <c r="K922" s="364"/>
      <c r="L922" s="364"/>
      <c r="M922" s="364"/>
      <c r="N922" s="364"/>
      <c r="O922" s="364"/>
      <c r="P922" s="364"/>
      <c r="Q922" s="364"/>
      <c r="R922" s="364"/>
      <c r="S922" s="364"/>
      <c r="T922" s="364"/>
      <c r="U922" s="364"/>
      <c r="V922" s="364"/>
      <c r="W922" s="364"/>
      <c r="X922" s="364"/>
      <c r="Y922" s="364"/>
      <c r="Z922" s="364"/>
      <c r="AA922" s="364" t="str">
        <f aca="false">IFERROR(__xludf.dummyfunction("""COMPUTED_VALUE"""),"")</f>
        <v/>
      </c>
      <c r="AB922" s="364"/>
    </row>
    <row r="923" customFormat="false" ht="15.75" hidden="false" customHeight="false" outlineLevel="0" collapsed="false">
      <c r="A923" s="364"/>
      <c r="B923" s="364"/>
      <c r="C923" s="364"/>
      <c r="D923" s="364"/>
      <c r="E923" s="364"/>
      <c r="F923" s="364"/>
      <c r="G923" s="364"/>
      <c r="H923" s="364"/>
      <c r="I923" s="364"/>
      <c r="J923" s="364"/>
      <c r="K923" s="364"/>
      <c r="L923" s="364"/>
      <c r="M923" s="364"/>
      <c r="N923" s="364"/>
      <c r="O923" s="364"/>
      <c r="P923" s="364"/>
      <c r="Q923" s="364"/>
      <c r="R923" s="364"/>
      <c r="S923" s="364"/>
      <c r="T923" s="364"/>
      <c r="U923" s="364"/>
      <c r="V923" s="364"/>
      <c r="W923" s="364"/>
      <c r="X923" s="364"/>
      <c r="Y923" s="364"/>
      <c r="Z923" s="364"/>
      <c r="AA923" s="364" t="str">
        <f aca="false">IFERROR(__xludf.dummyfunction("""COMPUTED_VALUE"""),"")</f>
        <v/>
      </c>
      <c r="AB923" s="364"/>
    </row>
    <row r="924" customFormat="false" ht="15.75" hidden="false" customHeight="false" outlineLevel="0" collapsed="false">
      <c r="A924" s="364"/>
      <c r="B924" s="364"/>
      <c r="C924" s="364"/>
      <c r="D924" s="364"/>
      <c r="E924" s="364"/>
      <c r="F924" s="364"/>
      <c r="G924" s="364"/>
      <c r="H924" s="364"/>
      <c r="I924" s="364"/>
      <c r="J924" s="364"/>
      <c r="K924" s="364"/>
      <c r="L924" s="364"/>
      <c r="M924" s="364"/>
      <c r="N924" s="364"/>
      <c r="O924" s="364"/>
      <c r="P924" s="364"/>
      <c r="Q924" s="364"/>
      <c r="R924" s="364"/>
      <c r="S924" s="364"/>
      <c r="T924" s="364"/>
      <c r="U924" s="364"/>
      <c r="V924" s="364"/>
      <c r="W924" s="364"/>
      <c r="X924" s="364"/>
      <c r="Y924" s="364"/>
      <c r="Z924" s="364"/>
      <c r="AA924" s="364" t="str">
        <f aca="false">IFERROR(__xludf.dummyfunction("""COMPUTED_VALUE"""),"")</f>
        <v/>
      </c>
      <c r="AB924" s="364"/>
    </row>
    <row r="925" customFormat="false" ht="15.75" hidden="false" customHeight="false" outlineLevel="0" collapsed="false">
      <c r="A925" s="364"/>
      <c r="B925" s="364"/>
      <c r="C925" s="364"/>
      <c r="D925" s="364"/>
      <c r="E925" s="364"/>
      <c r="F925" s="364"/>
      <c r="G925" s="364"/>
      <c r="H925" s="364"/>
      <c r="I925" s="364"/>
      <c r="J925" s="364"/>
      <c r="K925" s="364"/>
      <c r="L925" s="364"/>
      <c r="M925" s="364"/>
      <c r="N925" s="364"/>
      <c r="O925" s="364"/>
      <c r="P925" s="364"/>
      <c r="Q925" s="364"/>
      <c r="R925" s="364"/>
      <c r="S925" s="364"/>
      <c r="T925" s="364"/>
      <c r="U925" s="364"/>
      <c r="V925" s="364"/>
      <c r="W925" s="364"/>
      <c r="X925" s="364"/>
      <c r="Y925" s="364"/>
      <c r="Z925" s="364"/>
      <c r="AA925" s="364" t="str">
        <f aca="false">IFERROR(__xludf.dummyfunction("""COMPUTED_VALUE"""),"")</f>
        <v/>
      </c>
      <c r="AB925" s="364"/>
    </row>
    <row r="926" customFormat="false" ht="15.75" hidden="false" customHeight="false" outlineLevel="0" collapsed="false">
      <c r="A926" s="364"/>
      <c r="B926" s="364"/>
      <c r="C926" s="364"/>
      <c r="D926" s="364"/>
      <c r="E926" s="364"/>
      <c r="F926" s="364"/>
      <c r="G926" s="364"/>
      <c r="H926" s="364"/>
      <c r="I926" s="364"/>
      <c r="J926" s="364"/>
      <c r="K926" s="364"/>
      <c r="L926" s="364"/>
      <c r="M926" s="364"/>
      <c r="N926" s="364"/>
      <c r="O926" s="364"/>
      <c r="P926" s="364"/>
      <c r="Q926" s="364"/>
      <c r="R926" s="364"/>
      <c r="S926" s="364"/>
      <c r="T926" s="364"/>
      <c r="U926" s="364"/>
      <c r="V926" s="364"/>
      <c r="W926" s="364"/>
      <c r="X926" s="364"/>
      <c r="Y926" s="364"/>
      <c r="Z926" s="364"/>
      <c r="AA926" s="364" t="str">
        <f aca="false">IFERROR(__xludf.dummyfunction("""COMPUTED_VALUE"""),"")</f>
        <v/>
      </c>
      <c r="AB926" s="364"/>
    </row>
    <row r="927" customFormat="false" ht="15.75" hidden="false" customHeight="false" outlineLevel="0" collapsed="false">
      <c r="A927" s="364"/>
      <c r="B927" s="364"/>
      <c r="C927" s="364"/>
      <c r="D927" s="364"/>
      <c r="E927" s="364"/>
      <c r="F927" s="364"/>
      <c r="G927" s="364"/>
      <c r="H927" s="364"/>
      <c r="I927" s="364"/>
      <c r="J927" s="364"/>
      <c r="K927" s="364"/>
      <c r="L927" s="364"/>
      <c r="M927" s="364"/>
      <c r="N927" s="364"/>
      <c r="O927" s="364"/>
      <c r="P927" s="364"/>
      <c r="Q927" s="364"/>
      <c r="R927" s="364"/>
      <c r="S927" s="364"/>
      <c r="T927" s="364"/>
      <c r="U927" s="364"/>
      <c r="V927" s="364"/>
      <c r="W927" s="364"/>
      <c r="X927" s="364"/>
      <c r="Y927" s="364"/>
      <c r="Z927" s="364"/>
      <c r="AA927" s="364" t="str">
        <f aca="false">IFERROR(__xludf.dummyfunction("""COMPUTED_VALUE"""),"")</f>
        <v/>
      </c>
      <c r="AB927" s="364"/>
    </row>
    <row r="928" customFormat="false" ht="15.75" hidden="false" customHeight="false" outlineLevel="0" collapsed="false">
      <c r="A928" s="364"/>
      <c r="B928" s="364"/>
      <c r="C928" s="364"/>
      <c r="D928" s="364"/>
      <c r="E928" s="364"/>
      <c r="F928" s="364"/>
      <c r="G928" s="364"/>
      <c r="H928" s="364"/>
      <c r="I928" s="364"/>
      <c r="J928" s="364"/>
      <c r="K928" s="364"/>
      <c r="L928" s="364"/>
      <c r="M928" s="364"/>
      <c r="N928" s="364"/>
      <c r="O928" s="364"/>
      <c r="P928" s="364"/>
      <c r="Q928" s="364"/>
      <c r="R928" s="364"/>
      <c r="S928" s="364"/>
      <c r="T928" s="364"/>
      <c r="U928" s="364"/>
      <c r="V928" s="364"/>
      <c r="W928" s="364"/>
      <c r="X928" s="364"/>
      <c r="Y928" s="364"/>
      <c r="Z928" s="364"/>
      <c r="AA928" s="364" t="str">
        <f aca="false">IFERROR(__xludf.dummyfunction("""COMPUTED_VALUE"""),"")</f>
        <v/>
      </c>
      <c r="AB928" s="364"/>
    </row>
    <row r="929" customFormat="false" ht="15.75" hidden="false" customHeight="false" outlineLevel="0" collapsed="false">
      <c r="A929" s="364"/>
      <c r="B929" s="364"/>
      <c r="C929" s="364"/>
      <c r="D929" s="364"/>
      <c r="E929" s="364"/>
      <c r="F929" s="364"/>
      <c r="G929" s="364"/>
      <c r="H929" s="364"/>
      <c r="I929" s="364"/>
      <c r="J929" s="364"/>
      <c r="K929" s="364"/>
      <c r="L929" s="364"/>
      <c r="M929" s="364"/>
      <c r="N929" s="364"/>
      <c r="O929" s="364"/>
      <c r="P929" s="364"/>
      <c r="Q929" s="364"/>
      <c r="R929" s="364"/>
      <c r="S929" s="364"/>
      <c r="T929" s="364"/>
      <c r="U929" s="364"/>
      <c r="V929" s="364"/>
      <c r="W929" s="364"/>
      <c r="X929" s="364"/>
      <c r="Y929" s="364"/>
      <c r="Z929" s="364"/>
      <c r="AA929" s="364" t="str">
        <f aca="false">IFERROR(__xludf.dummyfunction("""COMPUTED_VALUE"""),"")</f>
        <v/>
      </c>
      <c r="AB929" s="364"/>
    </row>
    <row r="930" customFormat="false" ht="15.75" hidden="false" customHeight="false" outlineLevel="0" collapsed="false">
      <c r="A930" s="364"/>
      <c r="B930" s="364"/>
      <c r="C930" s="364"/>
      <c r="D930" s="364"/>
      <c r="E930" s="364"/>
      <c r="F930" s="364"/>
      <c r="G930" s="364"/>
      <c r="H930" s="364"/>
      <c r="I930" s="364"/>
      <c r="J930" s="364"/>
      <c r="K930" s="364"/>
      <c r="L930" s="364"/>
      <c r="M930" s="364"/>
      <c r="N930" s="364"/>
      <c r="O930" s="364"/>
      <c r="P930" s="364"/>
      <c r="Q930" s="364"/>
      <c r="R930" s="364"/>
      <c r="S930" s="364"/>
      <c r="T930" s="364"/>
      <c r="U930" s="364"/>
      <c r="V930" s="364"/>
      <c r="W930" s="364"/>
      <c r="X930" s="364"/>
      <c r="Y930" s="364"/>
      <c r="Z930" s="364"/>
      <c r="AA930" s="364" t="str">
        <f aca="false">IFERROR(__xludf.dummyfunction("""COMPUTED_VALUE"""),"")</f>
        <v/>
      </c>
      <c r="AB930" s="364"/>
    </row>
    <row r="931" customFormat="false" ht="15.75" hidden="false" customHeight="false" outlineLevel="0" collapsed="false">
      <c r="A931" s="364"/>
      <c r="B931" s="364"/>
      <c r="C931" s="364"/>
      <c r="D931" s="364"/>
      <c r="E931" s="364"/>
      <c r="F931" s="364"/>
      <c r="G931" s="364"/>
      <c r="H931" s="364"/>
      <c r="I931" s="364"/>
      <c r="J931" s="364"/>
      <c r="K931" s="364"/>
      <c r="L931" s="364"/>
      <c r="M931" s="364"/>
      <c r="N931" s="364"/>
      <c r="O931" s="364"/>
      <c r="P931" s="364"/>
      <c r="Q931" s="364"/>
      <c r="R931" s="364"/>
      <c r="S931" s="364"/>
      <c r="T931" s="364"/>
      <c r="U931" s="364"/>
      <c r="V931" s="364"/>
      <c r="W931" s="364"/>
      <c r="X931" s="364"/>
      <c r="Y931" s="364"/>
      <c r="Z931" s="364"/>
      <c r="AA931" s="364" t="str">
        <f aca="false">IFERROR(__xludf.dummyfunction("""COMPUTED_VALUE"""),"")</f>
        <v/>
      </c>
      <c r="AB931" s="364"/>
    </row>
    <row r="932" customFormat="false" ht="15.75" hidden="false" customHeight="false" outlineLevel="0" collapsed="false">
      <c r="A932" s="364"/>
      <c r="B932" s="364"/>
      <c r="C932" s="364"/>
      <c r="D932" s="364"/>
      <c r="E932" s="364"/>
      <c r="F932" s="364"/>
      <c r="G932" s="364"/>
      <c r="H932" s="364"/>
      <c r="I932" s="364"/>
      <c r="J932" s="364"/>
      <c r="K932" s="364"/>
      <c r="L932" s="364"/>
      <c r="M932" s="364"/>
      <c r="N932" s="364"/>
      <c r="O932" s="364"/>
      <c r="P932" s="364"/>
      <c r="Q932" s="364"/>
      <c r="R932" s="364"/>
      <c r="S932" s="364"/>
      <c r="T932" s="364"/>
      <c r="U932" s="364"/>
      <c r="V932" s="364"/>
      <c r="W932" s="364"/>
      <c r="X932" s="364"/>
      <c r="Y932" s="364"/>
      <c r="Z932" s="364"/>
      <c r="AA932" s="364" t="str">
        <f aca="false">IFERROR(__xludf.dummyfunction("""COMPUTED_VALUE"""),"")</f>
        <v/>
      </c>
      <c r="AB932" s="364"/>
    </row>
    <row r="933" customFormat="false" ht="15.75" hidden="false" customHeight="false" outlineLevel="0" collapsed="false">
      <c r="A933" s="364"/>
      <c r="B933" s="364"/>
      <c r="C933" s="364"/>
      <c r="D933" s="364"/>
      <c r="E933" s="364"/>
      <c r="F933" s="364"/>
      <c r="G933" s="364"/>
      <c r="H933" s="364"/>
      <c r="I933" s="364"/>
      <c r="J933" s="364"/>
      <c r="K933" s="364"/>
      <c r="L933" s="364"/>
      <c r="M933" s="364"/>
      <c r="N933" s="364"/>
      <c r="O933" s="364"/>
      <c r="P933" s="364"/>
      <c r="Q933" s="364"/>
      <c r="R933" s="364"/>
      <c r="S933" s="364"/>
      <c r="T933" s="364"/>
      <c r="U933" s="364"/>
      <c r="V933" s="364"/>
      <c r="W933" s="364"/>
      <c r="X933" s="364"/>
      <c r="Y933" s="364"/>
      <c r="Z933" s="364"/>
      <c r="AA933" s="364" t="str">
        <f aca="false">IFERROR(__xludf.dummyfunction("""COMPUTED_VALUE"""),"")</f>
        <v/>
      </c>
      <c r="AB933" s="364"/>
    </row>
    <row r="934" customFormat="false" ht="15.75" hidden="false" customHeight="false" outlineLevel="0" collapsed="false">
      <c r="A934" s="364"/>
      <c r="B934" s="364"/>
      <c r="C934" s="364"/>
      <c r="D934" s="364"/>
      <c r="E934" s="364"/>
      <c r="F934" s="364"/>
      <c r="G934" s="364"/>
      <c r="H934" s="364"/>
      <c r="I934" s="364"/>
      <c r="J934" s="364"/>
      <c r="K934" s="364"/>
      <c r="L934" s="364"/>
      <c r="M934" s="364"/>
      <c r="N934" s="364"/>
      <c r="O934" s="364"/>
      <c r="P934" s="364"/>
      <c r="Q934" s="364"/>
      <c r="R934" s="364"/>
      <c r="S934" s="364"/>
      <c r="T934" s="364"/>
      <c r="U934" s="364"/>
      <c r="V934" s="364"/>
      <c r="W934" s="364"/>
      <c r="X934" s="364"/>
      <c r="Y934" s="364"/>
      <c r="Z934" s="364"/>
      <c r="AA934" s="364" t="str">
        <f aca="false">IFERROR(__xludf.dummyfunction("""COMPUTED_VALUE"""),"")</f>
        <v/>
      </c>
      <c r="AB934" s="364"/>
    </row>
    <row r="935" customFormat="false" ht="15.75" hidden="false" customHeight="false" outlineLevel="0" collapsed="false">
      <c r="A935" s="364"/>
      <c r="B935" s="364"/>
      <c r="C935" s="364"/>
      <c r="D935" s="364"/>
      <c r="E935" s="364"/>
      <c r="F935" s="364"/>
      <c r="G935" s="364"/>
      <c r="H935" s="364"/>
      <c r="I935" s="364"/>
      <c r="J935" s="364"/>
      <c r="K935" s="364"/>
      <c r="L935" s="364"/>
      <c r="M935" s="364"/>
      <c r="N935" s="364"/>
      <c r="O935" s="364"/>
      <c r="P935" s="364"/>
      <c r="Q935" s="364"/>
      <c r="R935" s="364"/>
      <c r="S935" s="364"/>
      <c r="T935" s="364"/>
      <c r="U935" s="364"/>
      <c r="V935" s="364"/>
      <c r="W935" s="364"/>
      <c r="X935" s="364"/>
      <c r="Y935" s="364"/>
      <c r="Z935" s="364"/>
      <c r="AA935" s="364" t="str">
        <f aca="false">IFERROR(__xludf.dummyfunction("""COMPUTED_VALUE"""),"")</f>
        <v/>
      </c>
      <c r="AB935" s="364"/>
    </row>
    <row r="936" customFormat="false" ht="15.75" hidden="false" customHeight="false" outlineLevel="0" collapsed="false">
      <c r="A936" s="364"/>
      <c r="B936" s="364"/>
      <c r="C936" s="364"/>
      <c r="D936" s="364"/>
      <c r="E936" s="364"/>
      <c r="F936" s="364"/>
      <c r="G936" s="364"/>
      <c r="H936" s="364"/>
      <c r="I936" s="364"/>
      <c r="J936" s="364"/>
      <c r="K936" s="364"/>
      <c r="L936" s="364"/>
      <c r="M936" s="364"/>
      <c r="N936" s="364"/>
      <c r="O936" s="364"/>
      <c r="P936" s="364"/>
      <c r="Q936" s="364"/>
      <c r="R936" s="364"/>
      <c r="S936" s="364"/>
      <c r="T936" s="364"/>
      <c r="U936" s="364"/>
      <c r="V936" s="364"/>
      <c r="W936" s="364"/>
      <c r="X936" s="364"/>
      <c r="Y936" s="364"/>
      <c r="Z936" s="364"/>
      <c r="AA936" s="364" t="str">
        <f aca="false">IFERROR(__xludf.dummyfunction("""COMPUTED_VALUE"""),"")</f>
        <v/>
      </c>
      <c r="AB936" s="364"/>
    </row>
    <row r="937" customFormat="false" ht="15.75" hidden="false" customHeight="false" outlineLevel="0" collapsed="false">
      <c r="A937" s="364"/>
      <c r="B937" s="364"/>
      <c r="C937" s="364"/>
      <c r="D937" s="364"/>
      <c r="E937" s="364"/>
      <c r="F937" s="364"/>
      <c r="G937" s="364"/>
      <c r="H937" s="364"/>
      <c r="I937" s="364"/>
      <c r="J937" s="364"/>
      <c r="K937" s="364"/>
      <c r="L937" s="364"/>
      <c r="M937" s="364"/>
      <c r="N937" s="364"/>
      <c r="O937" s="364"/>
      <c r="P937" s="364"/>
      <c r="Q937" s="364"/>
      <c r="R937" s="364"/>
      <c r="S937" s="364"/>
      <c r="T937" s="364"/>
      <c r="U937" s="364"/>
      <c r="V937" s="364"/>
      <c r="W937" s="364"/>
      <c r="X937" s="364"/>
      <c r="Y937" s="364"/>
      <c r="Z937" s="364"/>
      <c r="AA937" s="364" t="str">
        <f aca="false">IFERROR(__xludf.dummyfunction("""COMPUTED_VALUE"""),"")</f>
        <v/>
      </c>
      <c r="AB937" s="364"/>
    </row>
    <row r="938" customFormat="false" ht="15.75" hidden="false" customHeight="false" outlineLevel="0" collapsed="false">
      <c r="A938" s="364"/>
      <c r="B938" s="364"/>
      <c r="C938" s="364"/>
      <c r="D938" s="364"/>
      <c r="E938" s="364"/>
      <c r="F938" s="364"/>
      <c r="G938" s="364"/>
      <c r="H938" s="364"/>
      <c r="I938" s="364"/>
      <c r="J938" s="364"/>
      <c r="K938" s="364"/>
      <c r="L938" s="364"/>
      <c r="M938" s="364"/>
      <c r="N938" s="364"/>
      <c r="O938" s="364"/>
      <c r="P938" s="364"/>
      <c r="Q938" s="364"/>
      <c r="R938" s="364"/>
      <c r="S938" s="364"/>
      <c r="T938" s="364"/>
      <c r="U938" s="364"/>
      <c r="V938" s="364"/>
      <c r="W938" s="364"/>
      <c r="X938" s="364"/>
      <c r="Y938" s="364"/>
      <c r="Z938" s="364"/>
      <c r="AA938" s="364" t="str">
        <f aca="false">IFERROR(__xludf.dummyfunction("""COMPUTED_VALUE"""),"")</f>
        <v/>
      </c>
      <c r="AB938" s="364"/>
    </row>
    <row r="939" customFormat="false" ht="15.75" hidden="false" customHeight="false" outlineLevel="0" collapsed="false">
      <c r="A939" s="364"/>
      <c r="B939" s="364"/>
      <c r="C939" s="364"/>
      <c r="D939" s="364"/>
      <c r="E939" s="364"/>
      <c r="F939" s="364"/>
      <c r="G939" s="364"/>
      <c r="H939" s="364"/>
      <c r="I939" s="364"/>
      <c r="J939" s="364"/>
      <c r="K939" s="364"/>
      <c r="L939" s="364"/>
      <c r="M939" s="364"/>
      <c r="N939" s="364"/>
      <c r="O939" s="364"/>
      <c r="P939" s="364"/>
      <c r="Q939" s="364"/>
      <c r="R939" s="364"/>
      <c r="S939" s="364"/>
      <c r="T939" s="364"/>
      <c r="U939" s="364"/>
      <c r="V939" s="364"/>
      <c r="W939" s="364"/>
      <c r="X939" s="364"/>
      <c r="Y939" s="364"/>
      <c r="Z939" s="364"/>
      <c r="AA939" s="364" t="str">
        <f aca="false">IFERROR(__xludf.dummyfunction("""COMPUTED_VALUE"""),"")</f>
        <v/>
      </c>
      <c r="AB939" s="364"/>
    </row>
    <row r="940" customFormat="false" ht="15.75" hidden="false" customHeight="false" outlineLevel="0" collapsed="false">
      <c r="A940" s="364"/>
      <c r="B940" s="364"/>
      <c r="C940" s="364"/>
      <c r="D940" s="364"/>
      <c r="E940" s="364"/>
      <c r="F940" s="364"/>
      <c r="G940" s="364"/>
      <c r="H940" s="364"/>
      <c r="I940" s="364"/>
      <c r="J940" s="364"/>
      <c r="K940" s="364"/>
      <c r="L940" s="364"/>
      <c r="M940" s="364"/>
      <c r="N940" s="364"/>
      <c r="O940" s="364"/>
      <c r="P940" s="364"/>
      <c r="Q940" s="364"/>
      <c r="R940" s="364"/>
      <c r="S940" s="364"/>
      <c r="T940" s="364"/>
      <c r="U940" s="364"/>
      <c r="V940" s="364"/>
      <c r="W940" s="364"/>
      <c r="X940" s="364"/>
      <c r="Y940" s="364"/>
      <c r="Z940" s="364"/>
      <c r="AA940" s="364" t="str">
        <f aca="false">IFERROR(__xludf.dummyfunction("""COMPUTED_VALUE"""),"")</f>
        <v/>
      </c>
      <c r="AB940" s="364"/>
    </row>
    <row r="941" customFormat="false" ht="15.75" hidden="false" customHeight="false" outlineLevel="0" collapsed="false">
      <c r="A941" s="364"/>
      <c r="B941" s="364"/>
      <c r="C941" s="364"/>
      <c r="D941" s="364"/>
      <c r="E941" s="364"/>
      <c r="F941" s="364"/>
      <c r="G941" s="364"/>
      <c r="H941" s="364"/>
      <c r="I941" s="364"/>
      <c r="J941" s="364"/>
      <c r="K941" s="364"/>
      <c r="L941" s="364"/>
      <c r="M941" s="364"/>
      <c r="N941" s="364"/>
      <c r="O941" s="364"/>
      <c r="P941" s="364"/>
      <c r="Q941" s="364"/>
      <c r="R941" s="364"/>
      <c r="S941" s="364"/>
      <c r="T941" s="364"/>
      <c r="U941" s="364"/>
      <c r="V941" s="364"/>
      <c r="W941" s="364"/>
      <c r="X941" s="364"/>
      <c r="Y941" s="364"/>
      <c r="Z941" s="364"/>
      <c r="AA941" s="364" t="str">
        <f aca="false">IFERROR(__xludf.dummyfunction("""COMPUTED_VALUE"""),"")</f>
        <v/>
      </c>
      <c r="AB941" s="364"/>
    </row>
    <row r="942" customFormat="false" ht="15.75" hidden="false" customHeight="false" outlineLevel="0" collapsed="false">
      <c r="A942" s="364"/>
      <c r="B942" s="364"/>
      <c r="C942" s="364"/>
      <c r="D942" s="364"/>
      <c r="E942" s="364"/>
      <c r="F942" s="364"/>
      <c r="G942" s="364"/>
      <c r="H942" s="364"/>
      <c r="I942" s="364"/>
      <c r="J942" s="364"/>
      <c r="K942" s="364"/>
      <c r="L942" s="364"/>
      <c r="M942" s="364"/>
      <c r="N942" s="364"/>
      <c r="O942" s="364"/>
      <c r="P942" s="364"/>
      <c r="Q942" s="364"/>
      <c r="R942" s="364"/>
      <c r="S942" s="364"/>
      <c r="T942" s="364"/>
      <c r="U942" s="364"/>
      <c r="V942" s="364"/>
      <c r="W942" s="364"/>
      <c r="X942" s="364"/>
      <c r="Y942" s="364"/>
      <c r="Z942" s="364"/>
      <c r="AA942" s="364" t="str">
        <f aca="false">IFERROR(__xludf.dummyfunction("""COMPUTED_VALUE"""),"")</f>
        <v/>
      </c>
      <c r="AB942" s="364"/>
    </row>
    <row r="943" customFormat="false" ht="15.75" hidden="false" customHeight="false" outlineLevel="0" collapsed="false">
      <c r="A943" s="364"/>
      <c r="B943" s="364"/>
      <c r="C943" s="364"/>
      <c r="D943" s="364"/>
      <c r="E943" s="364"/>
      <c r="F943" s="364"/>
      <c r="G943" s="364"/>
      <c r="H943" s="364"/>
      <c r="I943" s="364"/>
      <c r="J943" s="364"/>
      <c r="K943" s="364"/>
      <c r="L943" s="364"/>
      <c r="M943" s="364"/>
      <c r="N943" s="364"/>
      <c r="O943" s="364"/>
      <c r="P943" s="364"/>
      <c r="Q943" s="364"/>
      <c r="R943" s="364"/>
      <c r="S943" s="364"/>
      <c r="T943" s="364"/>
      <c r="U943" s="364"/>
      <c r="V943" s="364"/>
      <c r="W943" s="364"/>
      <c r="X943" s="364"/>
      <c r="Y943" s="364"/>
      <c r="Z943" s="364"/>
      <c r="AA943" s="364" t="str">
        <f aca="false">IFERROR(__xludf.dummyfunction("""COMPUTED_VALUE"""),"")</f>
        <v/>
      </c>
      <c r="AB943" s="364"/>
    </row>
    <row r="944" customFormat="false" ht="15.75" hidden="false" customHeight="false" outlineLevel="0" collapsed="false">
      <c r="A944" s="364"/>
      <c r="B944" s="364"/>
      <c r="C944" s="364"/>
      <c r="D944" s="364"/>
      <c r="E944" s="364"/>
      <c r="F944" s="364"/>
      <c r="G944" s="364"/>
      <c r="H944" s="364"/>
      <c r="I944" s="364"/>
      <c r="J944" s="364"/>
      <c r="K944" s="364"/>
      <c r="L944" s="364"/>
      <c r="M944" s="364"/>
      <c r="N944" s="364"/>
      <c r="O944" s="364"/>
      <c r="P944" s="364"/>
      <c r="Q944" s="364"/>
      <c r="R944" s="364"/>
      <c r="S944" s="364"/>
      <c r="T944" s="364"/>
      <c r="U944" s="364"/>
      <c r="V944" s="364"/>
      <c r="W944" s="364"/>
      <c r="X944" s="364"/>
      <c r="Y944" s="364"/>
      <c r="Z944" s="364"/>
      <c r="AA944" s="364" t="str">
        <f aca="false">IFERROR(__xludf.dummyfunction("""COMPUTED_VALUE"""),"")</f>
        <v/>
      </c>
      <c r="AB944" s="364"/>
    </row>
    <row r="945" customFormat="false" ht="15.75" hidden="false" customHeight="false" outlineLevel="0" collapsed="false">
      <c r="A945" s="364"/>
      <c r="B945" s="364"/>
      <c r="C945" s="364"/>
      <c r="D945" s="364"/>
      <c r="E945" s="364"/>
      <c r="F945" s="364"/>
      <c r="G945" s="364"/>
      <c r="H945" s="364"/>
      <c r="I945" s="364"/>
      <c r="J945" s="364"/>
      <c r="K945" s="364"/>
      <c r="L945" s="364"/>
      <c r="M945" s="364"/>
      <c r="N945" s="364"/>
      <c r="O945" s="364"/>
      <c r="P945" s="364"/>
      <c r="Q945" s="364"/>
      <c r="R945" s="364"/>
      <c r="S945" s="364"/>
      <c r="T945" s="364"/>
      <c r="U945" s="364"/>
      <c r="V945" s="364"/>
      <c r="W945" s="364"/>
      <c r="X945" s="364"/>
      <c r="Y945" s="364"/>
      <c r="Z945" s="364"/>
      <c r="AA945" s="364" t="str">
        <f aca="false">IFERROR(__xludf.dummyfunction("""COMPUTED_VALUE"""),"")</f>
        <v/>
      </c>
      <c r="AB945" s="364"/>
    </row>
    <row r="946" customFormat="false" ht="15.75" hidden="false" customHeight="false" outlineLevel="0" collapsed="false">
      <c r="A946" s="364"/>
      <c r="B946" s="364"/>
      <c r="C946" s="364"/>
      <c r="D946" s="364"/>
      <c r="E946" s="364"/>
      <c r="F946" s="364"/>
      <c r="G946" s="364"/>
      <c r="H946" s="364"/>
      <c r="I946" s="364"/>
      <c r="J946" s="364"/>
      <c r="K946" s="364"/>
      <c r="L946" s="364"/>
      <c r="M946" s="364"/>
      <c r="N946" s="364"/>
      <c r="O946" s="364"/>
      <c r="P946" s="364"/>
      <c r="Q946" s="364"/>
      <c r="R946" s="364"/>
      <c r="S946" s="364"/>
      <c r="T946" s="364"/>
      <c r="U946" s="364"/>
      <c r="V946" s="364"/>
      <c r="W946" s="364"/>
      <c r="X946" s="364"/>
      <c r="Y946" s="364"/>
      <c r="Z946" s="364"/>
      <c r="AA946" s="364" t="str">
        <f aca="false">IFERROR(__xludf.dummyfunction("""COMPUTED_VALUE"""),"")</f>
        <v/>
      </c>
      <c r="AB946" s="364"/>
    </row>
    <row r="947" customFormat="false" ht="15.75" hidden="false" customHeight="false" outlineLevel="0" collapsed="false">
      <c r="A947" s="364"/>
      <c r="B947" s="364"/>
      <c r="C947" s="364"/>
      <c r="D947" s="364"/>
      <c r="E947" s="364"/>
      <c r="F947" s="364"/>
      <c r="G947" s="364"/>
      <c r="H947" s="364"/>
      <c r="I947" s="364"/>
      <c r="J947" s="364"/>
      <c r="K947" s="364"/>
      <c r="L947" s="364"/>
      <c r="M947" s="364"/>
      <c r="N947" s="364"/>
      <c r="O947" s="364"/>
      <c r="P947" s="364"/>
      <c r="Q947" s="364"/>
      <c r="R947" s="364"/>
      <c r="S947" s="364"/>
      <c r="T947" s="364"/>
      <c r="U947" s="364"/>
      <c r="V947" s="364"/>
      <c r="W947" s="364"/>
      <c r="X947" s="364"/>
      <c r="Y947" s="364"/>
      <c r="Z947" s="364"/>
      <c r="AA947" s="364" t="str">
        <f aca="false">IFERROR(__xludf.dummyfunction("""COMPUTED_VALUE"""),"")</f>
        <v/>
      </c>
      <c r="AB947" s="364"/>
    </row>
    <row r="948" customFormat="false" ht="15.75" hidden="false" customHeight="false" outlineLevel="0" collapsed="false">
      <c r="A948" s="364"/>
      <c r="B948" s="364"/>
      <c r="C948" s="364"/>
      <c r="D948" s="364"/>
      <c r="E948" s="364"/>
      <c r="F948" s="364"/>
      <c r="G948" s="364"/>
      <c r="H948" s="364"/>
      <c r="I948" s="364"/>
      <c r="J948" s="364"/>
      <c r="K948" s="364"/>
      <c r="L948" s="364"/>
      <c r="M948" s="364"/>
      <c r="N948" s="364"/>
      <c r="O948" s="364"/>
      <c r="P948" s="364"/>
      <c r="Q948" s="364"/>
      <c r="R948" s="364"/>
      <c r="S948" s="364"/>
      <c r="T948" s="364"/>
      <c r="U948" s="364"/>
      <c r="V948" s="364"/>
      <c r="W948" s="364"/>
      <c r="X948" s="364"/>
      <c r="Y948" s="364"/>
      <c r="Z948" s="364"/>
      <c r="AA948" s="364" t="str">
        <f aca="false">IFERROR(__xludf.dummyfunction("""COMPUTED_VALUE"""),"")</f>
        <v/>
      </c>
      <c r="AB948" s="364"/>
    </row>
    <row r="949" customFormat="false" ht="15.75" hidden="false" customHeight="false" outlineLevel="0" collapsed="false">
      <c r="A949" s="364"/>
      <c r="B949" s="364"/>
      <c r="C949" s="364"/>
      <c r="D949" s="364"/>
      <c r="E949" s="364"/>
      <c r="F949" s="364"/>
      <c r="G949" s="364"/>
      <c r="H949" s="364"/>
      <c r="I949" s="364"/>
      <c r="J949" s="364"/>
      <c r="K949" s="364"/>
      <c r="L949" s="364"/>
      <c r="M949" s="364"/>
      <c r="N949" s="364"/>
      <c r="O949" s="364"/>
      <c r="P949" s="364"/>
      <c r="Q949" s="364"/>
      <c r="R949" s="364"/>
      <c r="S949" s="364"/>
      <c r="T949" s="364"/>
      <c r="U949" s="364"/>
      <c r="V949" s="364"/>
      <c r="W949" s="364"/>
      <c r="X949" s="364"/>
      <c r="Y949" s="364"/>
      <c r="Z949" s="364"/>
      <c r="AA949" s="364" t="str">
        <f aca="false">IFERROR(__xludf.dummyfunction("""COMPUTED_VALUE"""),"")</f>
        <v/>
      </c>
      <c r="AB949" s="364"/>
    </row>
    <row r="950" customFormat="false" ht="15.75" hidden="false" customHeight="false" outlineLevel="0" collapsed="false">
      <c r="A950" s="364"/>
      <c r="B950" s="364"/>
      <c r="C950" s="364"/>
      <c r="D950" s="364"/>
      <c r="E950" s="364"/>
      <c r="F950" s="364"/>
      <c r="G950" s="364"/>
      <c r="H950" s="364"/>
      <c r="I950" s="364"/>
      <c r="J950" s="364"/>
      <c r="K950" s="364"/>
      <c r="L950" s="364"/>
      <c r="M950" s="364"/>
      <c r="N950" s="364"/>
      <c r="O950" s="364"/>
      <c r="P950" s="364"/>
      <c r="Q950" s="364"/>
      <c r="R950" s="364"/>
      <c r="S950" s="364"/>
      <c r="T950" s="364"/>
      <c r="U950" s="364"/>
      <c r="V950" s="364"/>
      <c r="W950" s="364"/>
      <c r="X950" s="364"/>
      <c r="Y950" s="364"/>
      <c r="Z950" s="364"/>
      <c r="AA950" s="364" t="str">
        <f aca="false">IFERROR(__xludf.dummyfunction("""COMPUTED_VALUE"""),"")</f>
        <v/>
      </c>
      <c r="AB950" s="364"/>
    </row>
    <row r="951" customFormat="false" ht="15.75" hidden="false" customHeight="false" outlineLevel="0" collapsed="false">
      <c r="A951" s="364"/>
      <c r="B951" s="364"/>
      <c r="C951" s="364"/>
      <c r="D951" s="364"/>
      <c r="E951" s="364"/>
      <c r="F951" s="364"/>
      <c r="G951" s="364"/>
      <c r="H951" s="364"/>
      <c r="I951" s="364"/>
      <c r="J951" s="364"/>
      <c r="K951" s="364"/>
      <c r="L951" s="364"/>
      <c r="M951" s="364"/>
      <c r="N951" s="364"/>
      <c r="O951" s="364"/>
      <c r="P951" s="364"/>
      <c r="Q951" s="364"/>
      <c r="R951" s="364"/>
      <c r="S951" s="364"/>
      <c r="T951" s="364"/>
      <c r="U951" s="364"/>
      <c r="V951" s="364"/>
      <c r="W951" s="364"/>
      <c r="X951" s="364"/>
      <c r="Y951" s="364"/>
      <c r="Z951" s="364"/>
      <c r="AA951" s="364" t="str">
        <f aca="false">IFERROR(__xludf.dummyfunction("""COMPUTED_VALUE"""),"")</f>
        <v/>
      </c>
      <c r="AB951" s="364"/>
    </row>
    <row r="952" customFormat="false" ht="15.75" hidden="false" customHeight="false" outlineLevel="0" collapsed="false">
      <c r="A952" s="364"/>
      <c r="B952" s="364"/>
      <c r="C952" s="364"/>
      <c r="D952" s="364"/>
      <c r="E952" s="364"/>
      <c r="F952" s="364"/>
      <c r="G952" s="364"/>
      <c r="H952" s="364"/>
      <c r="I952" s="364"/>
      <c r="J952" s="364"/>
      <c r="K952" s="364"/>
      <c r="L952" s="364"/>
      <c r="M952" s="364"/>
      <c r="N952" s="364"/>
      <c r="O952" s="364"/>
      <c r="P952" s="364"/>
      <c r="Q952" s="364"/>
      <c r="R952" s="364"/>
      <c r="S952" s="364"/>
      <c r="T952" s="364"/>
      <c r="U952" s="364"/>
      <c r="V952" s="364"/>
      <c r="W952" s="364"/>
      <c r="X952" s="364"/>
      <c r="Y952" s="364"/>
      <c r="Z952" s="364"/>
      <c r="AA952" s="364" t="str">
        <f aca="false">IFERROR(__xludf.dummyfunction("""COMPUTED_VALUE"""),"")</f>
        <v/>
      </c>
      <c r="AB952" s="364"/>
    </row>
    <row r="953" customFormat="false" ht="15.75" hidden="false" customHeight="false" outlineLevel="0" collapsed="false">
      <c r="A953" s="364"/>
      <c r="B953" s="364"/>
      <c r="C953" s="364"/>
      <c r="D953" s="364"/>
      <c r="E953" s="364"/>
      <c r="F953" s="364"/>
      <c r="G953" s="364"/>
      <c r="H953" s="364"/>
      <c r="I953" s="364"/>
      <c r="J953" s="364"/>
      <c r="K953" s="364"/>
      <c r="L953" s="364"/>
      <c r="M953" s="364"/>
      <c r="N953" s="364"/>
      <c r="O953" s="364"/>
      <c r="P953" s="364"/>
      <c r="Q953" s="364"/>
      <c r="R953" s="364"/>
      <c r="S953" s="364"/>
      <c r="T953" s="364"/>
      <c r="U953" s="364"/>
      <c r="V953" s="364"/>
      <c r="W953" s="364"/>
      <c r="X953" s="364"/>
      <c r="Y953" s="364"/>
      <c r="Z953" s="364"/>
      <c r="AA953" s="364" t="str">
        <f aca="false">IFERROR(__xludf.dummyfunction("""COMPUTED_VALUE"""),"")</f>
        <v/>
      </c>
      <c r="AB953" s="364"/>
    </row>
    <row r="954" customFormat="false" ht="15.75" hidden="false" customHeight="false" outlineLevel="0" collapsed="false">
      <c r="A954" s="364"/>
      <c r="B954" s="364"/>
      <c r="C954" s="364"/>
      <c r="D954" s="364"/>
      <c r="E954" s="364"/>
      <c r="F954" s="364"/>
      <c r="G954" s="364"/>
      <c r="H954" s="364"/>
      <c r="I954" s="364"/>
      <c r="J954" s="364"/>
      <c r="K954" s="364"/>
      <c r="L954" s="364"/>
      <c r="M954" s="364"/>
      <c r="N954" s="364"/>
      <c r="O954" s="364"/>
      <c r="P954" s="364"/>
      <c r="Q954" s="364"/>
      <c r="R954" s="364"/>
      <c r="S954" s="364"/>
      <c r="T954" s="364"/>
      <c r="U954" s="364"/>
      <c r="V954" s="364"/>
      <c r="W954" s="364"/>
      <c r="X954" s="364"/>
      <c r="Y954" s="364"/>
      <c r="Z954" s="364"/>
      <c r="AA954" s="364" t="str">
        <f aca="false">IFERROR(__xludf.dummyfunction("""COMPUTED_VALUE"""),"")</f>
        <v/>
      </c>
      <c r="AB954" s="364"/>
    </row>
    <row r="955" customFormat="false" ht="15.75" hidden="false" customHeight="false" outlineLevel="0" collapsed="false">
      <c r="A955" s="364"/>
      <c r="B955" s="364"/>
      <c r="C955" s="364"/>
      <c r="D955" s="364"/>
      <c r="E955" s="364"/>
      <c r="F955" s="364"/>
      <c r="G955" s="364"/>
      <c r="H955" s="364"/>
      <c r="I955" s="364"/>
      <c r="J955" s="364"/>
      <c r="K955" s="364"/>
      <c r="L955" s="364"/>
      <c r="M955" s="364"/>
      <c r="N955" s="364"/>
      <c r="O955" s="364"/>
      <c r="P955" s="364"/>
      <c r="Q955" s="364"/>
      <c r="R955" s="364"/>
      <c r="S955" s="364"/>
      <c r="T955" s="364"/>
      <c r="U955" s="364"/>
      <c r="V955" s="364"/>
      <c r="W955" s="364"/>
      <c r="X955" s="364"/>
      <c r="Y955" s="364"/>
      <c r="Z955" s="364"/>
      <c r="AA955" s="364" t="str">
        <f aca="false">IFERROR(__xludf.dummyfunction("""COMPUTED_VALUE"""),"")</f>
        <v/>
      </c>
      <c r="AB955" s="364"/>
    </row>
    <row r="956" customFormat="false" ht="15.75" hidden="false" customHeight="false" outlineLevel="0" collapsed="false">
      <c r="A956" s="364"/>
      <c r="B956" s="364"/>
      <c r="C956" s="364"/>
      <c r="D956" s="364"/>
      <c r="E956" s="364"/>
      <c r="F956" s="364"/>
      <c r="G956" s="364"/>
      <c r="H956" s="364"/>
      <c r="I956" s="364"/>
      <c r="J956" s="364"/>
      <c r="K956" s="364"/>
      <c r="L956" s="364"/>
      <c r="M956" s="364"/>
      <c r="N956" s="364"/>
      <c r="O956" s="364"/>
      <c r="P956" s="364"/>
      <c r="Q956" s="364"/>
      <c r="R956" s="364"/>
      <c r="S956" s="364"/>
      <c r="T956" s="364"/>
      <c r="U956" s="364"/>
      <c r="V956" s="364"/>
      <c r="W956" s="364"/>
      <c r="X956" s="364"/>
      <c r="Y956" s="364"/>
      <c r="Z956" s="364"/>
      <c r="AA956" s="364" t="str">
        <f aca="false">IFERROR(__xludf.dummyfunction("""COMPUTED_VALUE"""),"")</f>
        <v/>
      </c>
      <c r="AB956" s="364"/>
    </row>
    <row r="957" customFormat="false" ht="15.75" hidden="false" customHeight="false" outlineLevel="0" collapsed="false">
      <c r="A957" s="364"/>
      <c r="B957" s="364"/>
      <c r="C957" s="364"/>
      <c r="D957" s="364"/>
      <c r="E957" s="364"/>
      <c r="F957" s="364"/>
      <c r="G957" s="364"/>
      <c r="H957" s="364"/>
      <c r="I957" s="364"/>
      <c r="J957" s="364"/>
      <c r="K957" s="364"/>
      <c r="L957" s="364"/>
      <c r="M957" s="364"/>
      <c r="N957" s="364"/>
      <c r="O957" s="364"/>
      <c r="P957" s="364"/>
      <c r="Q957" s="364"/>
      <c r="R957" s="364"/>
      <c r="S957" s="364"/>
      <c r="T957" s="364"/>
      <c r="U957" s="364"/>
      <c r="V957" s="364"/>
      <c r="W957" s="364"/>
      <c r="X957" s="364"/>
      <c r="Y957" s="364"/>
      <c r="Z957" s="364"/>
      <c r="AA957" s="364" t="str">
        <f aca="false">IFERROR(__xludf.dummyfunction("""COMPUTED_VALUE"""),"")</f>
        <v/>
      </c>
      <c r="AB957" s="364"/>
    </row>
    <row r="958" customFormat="false" ht="15.75" hidden="false" customHeight="false" outlineLevel="0" collapsed="false">
      <c r="A958" s="364"/>
      <c r="B958" s="364"/>
      <c r="C958" s="364"/>
      <c r="D958" s="364"/>
      <c r="E958" s="364"/>
      <c r="F958" s="364"/>
      <c r="G958" s="364"/>
      <c r="H958" s="364"/>
      <c r="I958" s="364"/>
      <c r="J958" s="364"/>
      <c r="K958" s="364"/>
      <c r="L958" s="364"/>
      <c r="M958" s="364"/>
      <c r="N958" s="364"/>
      <c r="O958" s="364"/>
      <c r="P958" s="364"/>
      <c r="Q958" s="364"/>
      <c r="R958" s="364"/>
      <c r="S958" s="364"/>
      <c r="T958" s="364"/>
      <c r="U958" s="364"/>
      <c r="V958" s="364"/>
      <c r="W958" s="364"/>
      <c r="X958" s="364"/>
      <c r="Y958" s="364"/>
      <c r="Z958" s="364"/>
      <c r="AA958" s="364" t="str">
        <f aca="false">IFERROR(__xludf.dummyfunction("""COMPUTED_VALUE"""),"")</f>
        <v/>
      </c>
      <c r="AB958" s="364"/>
    </row>
    <row r="959" customFormat="false" ht="15.75" hidden="false" customHeight="false" outlineLevel="0" collapsed="false">
      <c r="A959" s="364"/>
      <c r="B959" s="364"/>
      <c r="C959" s="364"/>
      <c r="D959" s="364"/>
      <c r="E959" s="364"/>
      <c r="F959" s="364"/>
      <c r="G959" s="364"/>
      <c r="H959" s="364"/>
      <c r="I959" s="364"/>
      <c r="J959" s="364"/>
      <c r="K959" s="364"/>
      <c r="L959" s="364"/>
      <c r="M959" s="364"/>
      <c r="N959" s="364"/>
      <c r="O959" s="364"/>
      <c r="P959" s="364"/>
      <c r="Q959" s="364"/>
      <c r="R959" s="364"/>
      <c r="S959" s="364"/>
      <c r="T959" s="364"/>
      <c r="U959" s="364"/>
      <c r="V959" s="364"/>
      <c r="W959" s="364"/>
      <c r="X959" s="364"/>
      <c r="Y959" s="364"/>
      <c r="Z959" s="364"/>
      <c r="AA959" s="364" t="str">
        <f aca="false">IFERROR(__xludf.dummyfunction("""COMPUTED_VALUE"""),"")</f>
        <v/>
      </c>
      <c r="AB959" s="364"/>
    </row>
    <row r="960" customFormat="false" ht="15.75" hidden="false" customHeight="false" outlineLevel="0" collapsed="false">
      <c r="A960" s="364"/>
      <c r="B960" s="364"/>
      <c r="C960" s="364"/>
      <c r="D960" s="364"/>
      <c r="E960" s="364"/>
      <c r="F960" s="364"/>
      <c r="G960" s="364"/>
      <c r="H960" s="364"/>
      <c r="I960" s="364"/>
      <c r="J960" s="364"/>
      <c r="K960" s="364"/>
      <c r="L960" s="364"/>
      <c r="M960" s="364"/>
      <c r="N960" s="364"/>
      <c r="O960" s="364"/>
      <c r="P960" s="364"/>
      <c r="Q960" s="364"/>
      <c r="R960" s="364"/>
      <c r="S960" s="364"/>
      <c r="T960" s="364"/>
      <c r="U960" s="364"/>
      <c r="V960" s="364"/>
      <c r="W960" s="364"/>
      <c r="X960" s="364"/>
      <c r="Y960" s="364"/>
      <c r="Z960" s="364"/>
      <c r="AA960" s="364" t="str">
        <f aca="false">IFERROR(__xludf.dummyfunction("""COMPUTED_VALUE"""),"")</f>
        <v/>
      </c>
      <c r="AB960" s="364"/>
    </row>
    <row r="961" customFormat="false" ht="15.75" hidden="false" customHeight="false" outlineLevel="0" collapsed="false">
      <c r="A961" s="364"/>
      <c r="B961" s="364"/>
      <c r="C961" s="364"/>
      <c r="D961" s="364"/>
      <c r="E961" s="364"/>
      <c r="F961" s="364"/>
      <c r="G961" s="364"/>
      <c r="H961" s="364"/>
      <c r="I961" s="364"/>
      <c r="J961" s="364"/>
      <c r="K961" s="364"/>
      <c r="L961" s="364"/>
      <c r="M961" s="364"/>
      <c r="N961" s="364"/>
      <c r="O961" s="364"/>
      <c r="P961" s="364"/>
      <c r="Q961" s="364"/>
      <c r="R961" s="364"/>
      <c r="S961" s="364"/>
      <c r="T961" s="364"/>
      <c r="U961" s="364"/>
      <c r="V961" s="364"/>
      <c r="W961" s="364"/>
      <c r="X961" s="364"/>
      <c r="Y961" s="364"/>
      <c r="Z961" s="364"/>
      <c r="AA961" s="364" t="str">
        <f aca="false">IFERROR(__xludf.dummyfunction("""COMPUTED_VALUE"""),"")</f>
        <v/>
      </c>
      <c r="AB961" s="364"/>
    </row>
    <row r="962" customFormat="false" ht="15.75" hidden="false" customHeight="false" outlineLevel="0" collapsed="false">
      <c r="A962" s="364"/>
      <c r="B962" s="364"/>
      <c r="C962" s="364"/>
      <c r="D962" s="364"/>
      <c r="E962" s="364"/>
      <c r="F962" s="364"/>
      <c r="G962" s="364"/>
      <c r="H962" s="364"/>
      <c r="I962" s="364"/>
      <c r="J962" s="364"/>
      <c r="K962" s="364"/>
      <c r="L962" s="364"/>
      <c r="M962" s="364"/>
      <c r="N962" s="364"/>
      <c r="O962" s="364"/>
      <c r="P962" s="364"/>
      <c r="Q962" s="364"/>
      <c r="R962" s="364"/>
      <c r="S962" s="364"/>
      <c r="T962" s="364"/>
      <c r="U962" s="364"/>
      <c r="V962" s="364"/>
      <c r="W962" s="364"/>
      <c r="X962" s="364"/>
      <c r="Y962" s="364"/>
      <c r="Z962" s="364"/>
      <c r="AA962" s="364" t="str">
        <f aca="false">IFERROR(__xludf.dummyfunction("""COMPUTED_VALUE"""),"")</f>
        <v/>
      </c>
      <c r="AB962" s="364"/>
    </row>
    <row r="963" customFormat="false" ht="15.75" hidden="false" customHeight="false" outlineLevel="0" collapsed="false">
      <c r="A963" s="364"/>
      <c r="B963" s="364"/>
      <c r="C963" s="364"/>
      <c r="D963" s="364"/>
      <c r="E963" s="364"/>
      <c r="F963" s="364"/>
      <c r="G963" s="364"/>
      <c r="H963" s="364"/>
      <c r="I963" s="364"/>
      <c r="J963" s="364"/>
      <c r="K963" s="364"/>
      <c r="L963" s="364"/>
      <c r="M963" s="364"/>
      <c r="N963" s="364"/>
      <c r="O963" s="364"/>
      <c r="P963" s="364"/>
      <c r="Q963" s="364"/>
      <c r="R963" s="364"/>
      <c r="S963" s="364"/>
      <c r="T963" s="364"/>
      <c r="U963" s="364"/>
      <c r="V963" s="364"/>
      <c r="W963" s="364"/>
      <c r="X963" s="364"/>
      <c r="Y963" s="364"/>
      <c r="Z963" s="364"/>
      <c r="AA963" s="364" t="str">
        <f aca="false">IFERROR(__xludf.dummyfunction("""COMPUTED_VALUE"""),"")</f>
        <v/>
      </c>
      <c r="AB963" s="364"/>
    </row>
    <row r="964" customFormat="false" ht="15.75" hidden="false" customHeight="false" outlineLevel="0" collapsed="false">
      <c r="A964" s="364"/>
      <c r="B964" s="364"/>
      <c r="C964" s="364"/>
      <c r="D964" s="364"/>
      <c r="E964" s="364"/>
      <c r="F964" s="364"/>
      <c r="G964" s="364"/>
      <c r="H964" s="364"/>
      <c r="I964" s="364"/>
      <c r="J964" s="364"/>
      <c r="K964" s="364"/>
      <c r="L964" s="364"/>
      <c r="M964" s="364"/>
      <c r="N964" s="364"/>
      <c r="O964" s="364"/>
      <c r="P964" s="364"/>
      <c r="Q964" s="364"/>
      <c r="R964" s="364"/>
      <c r="S964" s="364"/>
      <c r="T964" s="364"/>
      <c r="U964" s="364"/>
      <c r="V964" s="364"/>
      <c r="W964" s="364"/>
      <c r="X964" s="364"/>
      <c r="Y964" s="364"/>
      <c r="Z964" s="364"/>
      <c r="AA964" s="364" t="str">
        <f aca="false">IFERROR(__xludf.dummyfunction("""COMPUTED_VALUE"""),"")</f>
        <v/>
      </c>
      <c r="AB964" s="364"/>
    </row>
    <row r="965" customFormat="false" ht="15.75" hidden="false" customHeight="false" outlineLevel="0" collapsed="false">
      <c r="A965" s="364"/>
      <c r="B965" s="364"/>
      <c r="C965" s="364"/>
      <c r="D965" s="364"/>
      <c r="E965" s="364"/>
      <c r="F965" s="364"/>
      <c r="G965" s="364"/>
      <c r="H965" s="364"/>
      <c r="I965" s="364"/>
      <c r="J965" s="364"/>
      <c r="K965" s="364"/>
      <c r="L965" s="364"/>
      <c r="M965" s="364"/>
      <c r="N965" s="364"/>
      <c r="O965" s="364"/>
      <c r="P965" s="364"/>
      <c r="Q965" s="364"/>
      <c r="R965" s="364"/>
      <c r="S965" s="364"/>
      <c r="T965" s="364"/>
      <c r="U965" s="364"/>
      <c r="V965" s="364"/>
      <c r="W965" s="364"/>
      <c r="X965" s="364"/>
      <c r="Y965" s="364"/>
      <c r="Z965" s="364"/>
      <c r="AA965" s="364" t="str">
        <f aca="false">IFERROR(__xludf.dummyfunction("""COMPUTED_VALUE"""),"")</f>
        <v/>
      </c>
      <c r="AB965" s="364"/>
    </row>
    <row r="966" customFormat="false" ht="15.75" hidden="false" customHeight="false" outlineLevel="0" collapsed="false">
      <c r="A966" s="364"/>
      <c r="B966" s="364"/>
      <c r="C966" s="364"/>
      <c r="D966" s="364"/>
      <c r="E966" s="364"/>
      <c r="F966" s="364"/>
      <c r="G966" s="364"/>
      <c r="H966" s="364"/>
      <c r="I966" s="364"/>
      <c r="J966" s="364"/>
      <c r="K966" s="364"/>
      <c r="L966" s="364"/>
      <c r="M966" s="364"/>
      <c r="N966" s="364"/>
      <c r="O966" s="364"/>
      <c r="P966" s="364"/>
      <c r="Q966" s="364"/>
      <c r="R966" s="364"/>
      <c r="S966" s="364"/>
      <c r="T966" s="364"/>
      <c r="U966" s="364"/>
      <c r="V966" s="364"/>
      <c r="W966" s="364"/>
      <c r="X966" s="364"/>
      <c r="Y966" s="364"/>
      <c r="Z966" s="364"/>
      <c r="AA966" s="364" t="str">
        <f aca="false">IFERROR(__xludf.dummyfunction("""COMPUTED_VALUE"""),"")</f>
        <v/>
      </c>
      <c r="AB966" s="364"/>
    </row>
    <row r="967" customFormat="false" ht="15.75" hidden="false" customHeight="false" outlineLevel="0" collapsed="false">
      <c r="A967" s="364"/>
      <c r="B967" s="364"/>
      <c r="C967" s="364"/>
      <c r="D967" s="364"/>
      <c r="E967" s="364"/>
      <c r="F967" s="364"/>
      <c r="G967" s="364"/>
      <c r="H967" s="364"/>
      <c r="I967" s="364"/>
      <c r="J967" s="364"/>
      <c r="K967" s="364"/>
      <c r="L967" s="364"/>
      <c r="M967" s="364"/>
      <c r="N967" s="364"/>
      <c r="O967" s="364"/>
      <c r="P967" s="364"/>
      <c r="Q967" s="364"/>
      <c r="R967" s="364"/>
      <c r="S967" s="364"/>
      <c r="T967" s="364"/>
      <c r="U967" s="364"/>
      <c r="V967" s="364"/>
      <c r="W967" s="364"/>
      <c r="X967" s="364"/>
      <c r="Y967" s="364"/>
      <c r="Z967" s="364"/>
      <c r="AA967" s="364" t="str">
        <f aca="false">IFERROR(__xludf.dummyfunction("""COMPUTED_VALUE"""),"")</f>
        <v/>
      </c>
      <c r="AB967" s="364"/>
    </row>
    <row r="968" customFormat="false" ht="15.75" hidden="false" customHeight="false" outlineLevel="0" collapsed="false">
      <c r="A968" s="364"/>
      <c r="B968" s="364"/>
      <c r="C968" s="364"/>
      <c r="D968" s="364"/>
      <c r="E968" s="364"/>
      <c r="F968" s="364"/>
      <c r="G968" s="364"/>
      <c r="H968" s="364"/>
      <c r="I968" s="364"/>
      <c r="J968" s="364"/>
      <c r="K968" s="364"/>
      <c r="L968" s="364"/>
      <c r="M968" s="364"/>
      <c r="N968" s="364"/>
      <c r="O968" s="364"/>
      <c r="P968" s="364"/>
      <c r="Q968" s="364"/>
      <c r="R968" s="364"/>
      <c r="S968" s="364"/>
      <c r="T968" s="364"/>
      <c r="U968" s="364"/>
      <c r="V968" s="364"/>
      <c r="W968" s="364"/>
      <c r="X968" s="364"/>
      <c r="Y968" s="364"/>
      <c r="Z968" s="364"/>
      <c r="AA968" s="364" t="str">
        <f aca="false">IFERROR(__xludf.dummyfunction("""COMPUTED_VALUE"""),"")</f>
        <v/>
      </c>
      <c r="AB968" s="364"/>
    </row>
    <row r="969" customFormat="false" ht="15.75" hidden="false" customHeight="false" outlineLevel="0" collapsed="false">
      <c r="A969" s="364"/>
      <c r="B969" s="364"/>
      <c r="C969" s="364"/>
      <c r="D969" s="364"/>
      <c r="E969" s="364"/>
      <c r="F969" s="364"/>
      <c r="G969" s="364"/>
      <c r="H969" s="364"/>
      <c r="I969" s="364"/>
      <c r="J969" s="364"/>
      <c r="K969" s="364"/>
      <c r="L969" s="364"/>
      <c r="M969" s="364"/>
      <c r="N969" s="364"/>
      <c r="O969" s="364"/>
      <c r="P969" s="364"/>
      <c r="Q969" s="364"/>
      <c r="R969" s="364"/>
      <c r="S969" s="364"/>
      <c r="T969" s="364"/>
      <c r="U969" s="364"/>
      <c r="V969" s="364"/>
      <c r="W969" s="364"/>
      <c r="X969" s="364"/>
      <c r="Y969" s="364"/>
      <c r="Z969" s="364"/>
      <c r="AA969" s="364" t="str">
        <f aca="false">IFERROR(__xludf.dummyfunction("""COMPUTED_VALUE"""),"")</f>
        <v/>
      </c>
      <c r="AB969" s="364"/>
    </row>
    <row r="970" customFormat="false" ht="15.75" hidden="false" customHeight="false" outlineLevel="0" collapsed="false">
      <c r="A970" s="364"/>
      <c r="B970" s="364"/>
      <c r="C970" s="364"/>
      <c r="D970" s="364"/>
      <c r="E970" s="364"/>
      <c r="F970" s="364"/>
      <c r="G970" s="364"/>
      <c r="H970" s="364"/>
      <c r="I970" s="364"/>
      <c r="J970" s="364"/>
      <c r="K970" s="364"/>
      <c r="L970" s="364"/>
      <c r="M970" s="364"/>
      <c r="N970" s="364"/>
      <c r="O970" s="364"/>
      <c r="P970" s="364"/>
      <c r="Q970" s="364"/>
      <c r="R970" s="364"/>
      <c r="S970" s="364"/>
      <c r="T970" s="364"/>
      <c r="U970" s="364"/>
      <c r="V970" s="364"/>
      <c r="W970" s="364"/>
      <c r="X970" s="364"/>
      <c r="Y970" s="364"/>
      <c r="Z970" s="364"/>
      <c r="AA970" s="364" t="str">
        <f aca="false">IFERROR(__xludf.dummyfunction("""COMPUTED_VALUE"""),"")</f>
        <v/>
      </c>
      <c r="AB970" s="364"/>
    </row>
    <row r="971" customFormat="false" ht="15.75" hidden="false" customHeight="false" outlineLevel="0" collapsed="false">
      <c r="A971" s="364"/>
      <c r="B971" s="364"/>
      <c r="C971" s="364"/>
      <c r="D971" s="364"/>
      <c r="E971" s="364"/>
      <c r="F971" s="364"/>
      <c r="G971" s="364"/>
      <c r="H971" s="364"/>
      <c r="I971" s="364"/>
      <c r="J971" s="364"/>
      <c r="K971" s="364"/>
      <c r="L971" s="364"/>
      <c r="M971" s="364"/>
      <c r="N971" s="364"/>
      <c r="O971" s="364"/>
      <c r="P971" s="364"/>
      <c r="Q971" s="364"/>
      <c r="R971" s="364"/>
      <c r="S971" s="364"/>
      <c r="T971" s="364"/>
      <c r="U971" s="364"/>
      <c r="V971" s="364"/>
      <c r="W971" s="364"/>
      <c r="X971" s="364"/>
      <c r="Y971" s="364"/>
      <c r="Z971" s="364"/>
      <c r="AA971" s="364" t="str">
        <f aca="false">IFERROR(__xludf.dummyfunction("""COMPUTED_VALUE"""),"")</f>
        <v/>
      </c>
      <c r="AB971" s="364"/>
    </row>
    <row r="972" customFormat="false" ht="15.75" hidden="false" customHeight="false" outlineLevel="0" collapsed="false">
      <c r="A972" s="364"/>
      <c r="B972" s="364"/>
      <c r="C972" s="364"/>
      <c r="D972" s="364"/>
      <c r="E972" s="364"/>
      <c r="F972" s="364"/>
      <c r="G972" s="364"/>
      <c r="H972" s="364"/>
      <c r="I972" s="364"/>
      <c r="J972" s="364"/>
      <c r="K972" s="364"/>
      <c r="L972" s="364"/>
      <c r="M972" s="364"/>
      <c r="N972" s="364"/>
      <c r="O972" s="364"/>
      <c r="P972" s="364"/>
      <c r="Q972" s="364"/>
      <c r="R972" s="364"/>
      <c r="S972" s="364"/>
      <c r="T972" s="364"/>
      <c r="U972" s="364"/>
      <c r="V972" s="364"/>
      <c r="W972" s="364"/>
      <c r="X972" s="364"/>
      <c r="Y972" s="364"/>
      <c r="Z972" s="364"/>
      <c r="AA972" s="364" t="str">
        <f aca="false">IFERROR(__xludf.dummyfunction("""COMPUTED_VALUE"""),"")</f>
        <v/>
      </c>
      <c r="AB972" s="364"/>
    </row>
    <row r="973" customFormat="false" ht="15.75" hidden="false" customHeight="false" outlineLevel="0" collapsed="false">
      <c r="A973" s="364"/>
      <c r="B973" s="364"/>
      <c r="C973" s="364"/>
      <c r="D973" s="364"/>
      <c r="E973" s="364"/>
      <c r="F973" s="364"/>
      <c r="G973" s="364"/>
      <c r="H973" s="364"/>
      <c r="I973" s="364"/>
      <c r="J973" s="364"/>
      <c r="K973" s="364"/>
      <c r="L973" s="364"/>
      <c r="M973" s="364"/>
      <c r="N973" s="364"/>
      <c r="O973" s="364"/>
      <c r="P973" s="364"/>
      <c r="Q973" s="364"/>
      <c r="R973" s="364"/>
      <c r="S973" s="364"/>
      <c r="T973" s="364"/>
      <c r="U973" s="364"/>
      <c r="V973" s="364"/>
      <c r="W973" s="364"/>
      <c r="X973" s="364"/>
      <c r="Y973" s="364"/>
      <c r="Z973" s="364"/>
      <c r="AA973" s="364" t="str">
        <f aca="false">IFERROR(__xludf.dummyfunction("""COMPUTED_VALUE"""),"")</f>
        <v/>
      </c>
      <c r="AB973" s="364"/>
    </row>
    <row r="974" customFormat="false" ht="15.75" hidden="false" customHeight="false" outlineLevel="0" collapsed="false">
      <c r="A974" s="364"/>
      <c r="B974" s="364"/>
      <c r="C974" s="364"/>
      <c r="D974" s="364"/>
      <c r="E974" s="364"/>
      <c r="F974" s="364"/>
      <c r="G974" s="364"/>
      <c r="H974" s="364"/>
      <c r="I974" s="364"/>
      <c r="J974" s="364"/>
      <c r="K974" s="364"/>
      <c r="L974" s="364"/>
      <c r="M974" s="364"/>
      <c r="N974" s="364"/>
      <c r="O974" s="364"/>
      <c r="P974" s="364"/>
      <c r="Q974" s="364"/>
      <c r="R974" s="364"/>
      <c r="S974" s="364"/>
      <c r="T974" s="364"/>
      <c r="U974" s="364"/>
      <c r="V974" s="364"/>
      <c r="W974" s="364"/>
      <c r="X974" s="364"/>
      <c r="Y974" s="364"/>
      <c r="Z974" s="364"/>
      <c r="AA974" s="364" t="str">
        <f aca="false">IFERROR(__xludf.dummyfunction("""COMPUTED_VALUE"""),"")</f>
        <v/>
      </c>
      <c r="AB974" s="364"/>
    </row>
    <row r="975" customFormat="false" ht="15.75" hidden="false" customHeight="false" outlineLevel="0" collapsed="false">
      <c r="A975" s="364"/>
      <c r="B975" s="364"/>
      <c r="C975" s="364"/>
      <c r="D975" s="364"/>
      <c r="E975" s="364"/>
      <c r="F975" s="364"/>
      <c r="G975" s="364"/>
      <c r="H975" s="364"/>
      <c r="I975" s="364"/>
      <c r="J975" s="364"/>
      <c r="K975" s="364"/>
      <c r="L975" s="364"/>
      <c r="M975" s="364"/>
      <c r="N975" s="364"/>
      <c r="O975" s="364"/>
      <c r="P975" s="364"/>
      <c r="Q975" s="364"/>
      <c r="R975" s="364"/>
      <c r="S975" s="364"/>
      <c r="T975" s="364"/>
      <c r="U975" s="364"/>
      <c r="V975" s="364"/>
      <c r="W975" s="364"/>
      <c r="X975" s="364"/>
      <c r="Y975" s="364"/>
      <c r="Z975" s="364"/>
      <c r="AA975" s="364" t="str">
        <f aca="false">IFERROR(__xludf.dummyfunction("""COMPUTED_VALUE"""),"")</f>
        <v/>
      </c>
      <c r="AB975" s="364"/>
    </row>
    <row r="976" customFormat="false" ht="15.75" hidden="false" customHeight="false" outlineLevel="0" collapsed="false">
      <c r="A976" s="364"/>
      <c r="B976" s="364"/>
      <c r="C976" s="364"/>
      <c r="D976" s="364"/>
      <c r="E976" s="364"/>
      <c r="F976" s="364"/>
      <c r="G976" s="364"/>
      <c r="H976" s="364"/>
      <c r="I976" s="364"/>
      <c r="J976" s="364"/>
      <c r="K976" s="364"/>
      <c r="L976" s="364"/>
      <c r="M976" s="364"/>
      <c r="N976" s="364"/>
      <c r="O976" s="364"/>
      <c r="P976" s="364"/>
      <c r="Q976" s="364"/>
      <c r="R976" s="364"/>
      <c r="S976" s="364"/>
      <c r="T976" s="364"/>
      <c r="U976" s="364"/>
      <c r="V976" s="364"/>
      <c r="W976" s="364"/>
      <c r="X976" s="364"/>
      <c r="Y976" s="364"/>
      <c r="Z976" s="364"/>
      <c r="AA976" s="364" t="str">
        <f aca="false">IFERROR(__xludf.dummyfunction("""COMPUTED_VALUE"""),"")</f>
        <v/>
      </c>
      <c r="AB976" s="364"/>
    </row>
    <row r="977" customFormat="false" ht="15.75" hidden="false" customHeight="false" outlineLevel="0" collapsed="false">
      <c r="A977" s="364"/>
      <c r="B977" s="364"/>
      <c r="C977" s="364"/>
      <c r="D977" s="364"/>
      <c r="E977" s="364"/>
      <c r="F977" s="364"/>
      <c r="G977" s="364"/>
      <c r="H977" s="364"/>
      <c r="I977" s="364"/>
      <c r="J977" s="364"/>
      <c r="K977" s="364"/>
      <c r="L977" s="364"/>
      <c r="M977" s="364"/>
      <c r="N977" s="364"/>
      <c r="O977" s="364"/>
      <c r="P977" s="364"/>
      <c r="Q977" s="364"/>
      <c r="R977" s="364"/>
      <c r="S977" s="364"/>
      <c r="T977" s="364"/>
      <c r="U977" s="364"/>
      <c r="V977" s="364"/>
      <c r="W977" s="364"/>
      <c r="X977" s="364"/>
      <c r="Y977" s="364"/>
      <c r="Z977" s="364"/>
      <c r="AA977" s="364" t="str">
        <f aca="false">IFERROR(__xludf.dummyfunction("""COMPUTED_VALUE"""),"")</f>
        <v/>
      </c>
      <c r="AB977" s="364"/>
    </row>
    <row r="978" customFormat="false" ht="15.75" hidden="false" customHeight="false" outlineLevel="0" collapsed="false">
      <c r="A978" s="364"/>
      <c r="B978" s="364"/>
      <c r="C978" s="364"/>
      <c r="D978" s="364"/>
      <c r="E978" s="364"/>
      <c r="F978" s="364"/>
      <c r="G978" s="364"/>
      <c r="H978" s="364"/>
      <c r="I978" s="364"/>
      <c r="J978" s="364"/>
      <c r="K978" s="364"/>
      <c r="L978" s="364"/>
      <c r="M978" s="364"/>
      <c r="N978" s="364"/>
      <c r="O978" s="364"/>
      <c r="P978" s="364"/>
      <c r="Q978" s="364"/>
      <c r="R978" s="364"/>
      <c r="S978" s="364"/>
      <c r="T978" s="364"/>
      <c r="U978" s="364"/>
      <c r="V978" s="364"/>
      <c r="W978" s="364"/>
      <c r="X978" s="364"/>
      <c r="Y978" s="364"/>
      <c r="Z978" s="364"/>
      <c r="AA978" s="364" t="str">
        <f aca="false">IFERROR(__xludf.dummyfunction("""COMPUTED_VALUE"""),"")</f>
        <v/>
      </c>
      <c r="AB978" s="364"/>
    </row>
    <row r="979" customFormat="false" ht="15.75" hidden="false" customHeight="false" outlineLevel="0" collapsed="false">
      <c r="A979" s="364"/>
      <c r="B979" s="364"/>
      <c r="C979" s="364"/>
      <c r="D979" s="364"/>
      <c r="E979" s="364"/>
      <c r="F979" s="364"/>
      <c r="G979" s="364"/>
      <c r="H979" s="364"/>
      <c r="I979" s="364"/>
      <c r="J979" s="364"/>
      <c r="K979" s="364"/>
      <c r="L979" s="364"/>
      <c r="M979" s="364"/>
      <c r="N979" s="364"/>
      <c r="O979" s="364"/>
      <c r="P979" s="364"/>
      <c r="Q979" s="364"/>
      <c r="R979" s="364"/>
      <c r="S979" s="364"/>
      <c r="T979" s="364"/>
      <c r="U979" s="364"/>
      <c r="V979" s="364"/>
      <c r="W979" s="364"/>
      <c r="X979" s="364"/>
      <c r="Y979" s="364"/>
      <c r="Z979" s="364"/>
      <c r="AA979" s="364" t="str">
        <f aca="false">IFERROR(__xludf.dummyfunction("""COMPUTED_VALUE"""),"")</f>
        <v/>
      </c>
      <c r="AB979" s="364"/>
    </row>
    <row r="980" customFormat="false" ht="15.75" hidden="false" customHeight="false" outlineLevel="0" collapsed="false">
      <c r="A980" s="364"/>
      <c r="B980" s="364"/>
      <c r="C980" s="364"/>
      <c r="D980" s="364"/>
      <c r="E980" s="364"/>
      <c r="F980" s="364"/>
      <c r="G980" s="364"/>
      <c r="H980" s="364"/>
      <c r="I980" s="364"/>
      <c r="J980" s="364"/>
      <c r="K980" s="364"/>
      <c r="L980" s="364"/>
      <c r="M980" s="364"/>
      <c r="N980" s="364"/>
      <c r="O980" s="364"/>
      <c r="P980" s="364"/>
      <c r="Q980" s="364"/>
      <c r="R980" s="364"/>
      <c r="S980" s="364"/>
      <c r="T980" s="364"/>
      <c r="U980" s="364"/>
      <c r="V980" s="364"/>
      <c r="W980" s="364"/>
      <c r="X980" s="364"/>
      <c r="Y980" s="364"/>
      <c r="Z980" s="364"/>
      <c r="AA980" s="364" t="str">
        <f aca="false">IFERROR(__xludf.dummyfunction("""COMPUTED_VALUE"""),"")</f>
        <v/>
      </c>
      <c r="AB980" s="364"/>
    </row>
    <row r="981" customFormat="false" ht="15.75" hidden="false" customHeight="false" outlineLevel="0" collapsed="false">
      <c r="A981" s="364"/>
      <c r="B981" s="364"/>
      <c r="C981" s="364"/>
      <c r="D981" s="364"/>
      <c r="E981" s="364"/>
      <c r="F981" s="364"/>
      <c r="G981" s="364"/>
      <c r="H981" s="364"/>
      <c r="I981" s="364"/>
      <c r="J981" s="364"/>
      <c r="K981" s="364"/>
      <c r="L981" s="364"/>
      <c r="M981" s="364"/>
      <c r="N981" s="364"/>
      <c r="O981" s="364"/>
      <c r="P981" s="364"/>
      <c r="Q981" s="364"/>
      <c r="R981" s="364"/>
      <c r="S981" s="364"/>
      <c r="T981" s="364"/>
      <c r="U981" s="364"/>
      <c r="V981" s="364"/>
      <c r="W981" s="364"/>
      <c r="X981" s="364"/>
      <c r="Y981" s="364"/>
      <c r="Z981" s="364"/>
      <c r="AA981" s="364" t="str">
        <f aca="false">IFERROR(__xludf.dummyfunction("""COMPUTED_VALUE"""),"")</f>
        <v/>
      </c>
      <c r="AB981" s="364"/>
    </row>
    <row r="982" customFormat="false" ht="15.75" hidden="false" customHeight="false" outlineLevel="0" collapsed="false">
      <c r="A982" s="364"/>
      <c r="B982" s="364"/>
      <c r="C982" s="364"/>
      <c r="D982" s="364"/>
      <c r="E982" s="364"/>
      <c r="F982" s="364"/>
      <c r="G982" s="364"/>
      <c r="H982" s="364"/>
      <c r="I982" s="364"/>
      <c r="J982" s="364"/>
      <c r="K982" s="364"/>
      <c r="L982" s="364"/>
      <c r="M982" s="364"/>
      <c r="N982" s="364"/>
      <c r="O982" s="364"/>
      <c r="P982" s="364"/>
      <c r="Q982" s="364"/>
      <c r="R982" s="364"/>
      <c r="S982" s="364"/>
      <c r="T982" s="364"/>
      <c r="U982" s="364"/>
      <c r="V982" s="364"/>
      <c r="W982" s="364"/>
      <c r="X982" s="364"/>
      <c r="Y982" s="364"/>
      <c r="Z982" s="364"/>
      <c r="AA982" s="364" t="str">
        <f aca="false">IFERROR(__xludf.dummyfunction("""COMPUTED_VALUE"""),"")</f>
        <v/>
      </c>
      <c r="AB982" s="364"/>
    </row>
    <row r="983" customFormat="false" ht="15.75" hidden="false" customHeight="false" outlineLevel="0" collapsed="false">
      <c r="A983" s="364"/>
      <c r="B983" s="364"/>
      <c r="C983" s="364"/>
      <c r="D983" s="364"/>
      <c r="E983" s="364"/>
      <c r="F983" s="364"/>
      <c r="G983" s="364"/>
      <c r="H983" s="364"/>
      <c r="I983" s="364"/>
      <c r="J983" s="364"/>
      <c r="K983" s="364"/>
      <c r="L983" s="364"/>
      <c r="M983" s="364"/>
      <c r="N983" s="364"/>
      <c r="O983" s="364"/>
      <c r="P983" s="364"/>
      <c r="Q983" s="364"/>
      <c r="R983" s="364"/>
      <c r="S983" s="364"/>
      <c r="T983" s="364"/>
      <c r="U983" s="364"/>
      <c r="V983" s="364"/>
      <c r="W983" s="364"/>
      <c r="X983" s="364"/>
      <c r="Y983" s="364"/>
      <c r="Z983" s="364"/>
      <c r="AA983" s="364" t="str">
        <f aca="false">IFERROR(__xludf.dummyfunction("""COMPUTED_VALUE"""),"")</f>
        <v/>
      </c>
      <c r="AB983" s="364"/>
    </row>
    <row r="984" customFormat="false" ht="15.75" hidden="false" customHeight="false" outlineLevel="0" collapsed="false">
      <c r="A984" s="364"/>
      <c r="B984" s="364"/>
      <c r="C984" s="364"/>
      <c r="D984" s="364"/>
      <c r="E984" s="364"/>
      <c r="F984" s="364"/>
      <c r="G984" s="364"/>
      <c r="H984" s="364"/>
      <c r="I984" s="364"/>
      <c r="J984" s="364"/>
      <c r="K984" s="364"/>
      <c r="L984" s="364"/>
      <c r="M984" s="364"/>
      <c r="N984" s="364"/>
      <c r="O984" s="364"/>
      <c r="P984" s="364"/>
      <c r="Q984" s="364"/>
      <c r="R984" s="364"/>
      <c r="S984" s="364"/>
      <c r="T984" s="364"/>
      <c r="U984" s="364"/>
      <c r="V984" s="364"/>
      <c r="W984" s="364"/>
      <c r="X984" s="364"/>
      <c r="Y984" s="364"/>
      <c r="Z984" s="364"/>
      <c r="AA984" s="364" t="str">
        <f aca="false">IFERROR(__xludf.dummyfunction("""COMPUTED_VALUE"""),"")</f>
        <v/>
      </c>
      <c r="AB984" s="364"/>
    </row>
    <row r="985" customFormat="false" ht="15.75" hidden="false" customHeight="false" outlineLevel="0" collapsed="false">
      <c r="A985" s="364"/>
      <c r="B985" s="364"/>
      <c r="C985" s="364"/>
      <c r="D985" s="364"/>
      <c r="E985" s="364"/>
      <c r="F985" s="364"/>
      <c r="G985" s="364"/>
      <c r="H985" s="364"/>
      <c r="I985" s="364"/>
      <c r="J985" s="364"/>
      <c r="K985" s="364"/>
      <c r="L985" s="364"/>
      <c r="M985" s="364"/>
      <c r="N985" s="364"/>
      <c r="O985" s="364"/>
      <c r="P985" s="364"/>
      <c r="Q985" s="364"/>
      <c r="R985" s="364"/>
      <c r="S985" s="364"/>
      <c r="T985" s="364"/>
      <c r="U985" s="364"/>
      <c r="V985" s="364"/>
      <c r="W985" s="364"/>
      <c r="X985" s="364"/>
      <c r="Y985" s="364"/>
      <c r="Z985" s="364"/>
      <c r="AA985" s="364" t="str">
        <f aca="false">IFERROR(__xludf.dummyfunction("""COMPUTED_VALUE"""),"")</f>
        <v/>
      </c>
      <c r="AB985" s="364"/>
    </row>
    <row r="986" customFormat="false" ht="15.75" hidden="false" customHeight="false" outlineLevel="0" collapsed="false">
      <c r="A986" s="364"/>
      <c r="B986" s="364"/>
      <c r="C986" s="364"/>
      <c r="D986" s="364"/>
      <c r="E986" s="364"/>
      <c r="F986" s="364"/>
      <c r="G986" s="364"/>
      <c r="H986" s="364"/>
      <c r="I986" s="364"/>
      <c r="J986" s="364"/>
      <c r="K986" s="364"/>
      <c r="L986" s="364"/>
      <c r="M986" s="364"/>
      <c r="N986" s="364"/>
      <c r="O986" s="364"/>
      <c r="P986" s="364"/>
      <c r="Q986" s="364"/>
      <c r="R986" s="364"/>
      <c r="S986" s="364"/>
      <c r="T986" s="364"/>
      <c r="U986" s="364"/>
      <c r="V986" s="364"/>
      <c r="W986" s="364"/>
      <c r="X986" s="364"/>
      <c r="Y986" s="364"/>
      <c r="Z986" s="364"/>
      <c r="AA986" s="364" t="str">
        <f aca="false">IFERROR(__xludf.dummyfunction("""COMPUTED_VALUE"""),"")</f>
        <v/>
      </c>
      <c r="AB986" s="364"/>
    </row>
    <row r="987" customFormat="false" ht="15.75" hidden="false" customHeight="false" outlineLevel="0" collapsed="false">
      <c r="A987" s="364"/>
      <c r="B987" s="364"/>
      <c r="C987" s="364"/>
      <c r="D987" s="364"/>
      <c r="E987" s="364"/>
      <c r="F987" s="364"/>
      <c r="G987" s="364"/>
      <c r="H987" s="364"/>
      <c r="I987" s="364"/>
      <c r="J987" s="364"/>
      <c r="K987" s="364"/>
      <c r="L987" s="364"/>
      <c r="M987" s="364"/>
      <c r="N987" s="364"/>
      <c r="O987" s="364"/>
      <c r="P987" s="364"/>
      <c r="Q987" s="364"/>
      <c r="R987" s="364"/>
      <c r="S987" s="364"/>
      <c r="T987" s="364"/>
      <c r="U987" s="364"/>
      <c r="V987" s="364"/>
      <c r="W987" s="364"/>
      <c r="X987" s="364"/>
      <c r="Y987" s="364"/>
      <c r="Z987" s="364"/>
      <c r="AA987" s="364" t="str">
        <f aca="false">IFERROR(__xludf.dummyfunction("""COMPUTED_VALUE"""),"")</f>
        <v/>
      </c>
      <c r="AB987" s="364"/>
    </row>
    <row r="988" customFormat="false" ht="15.75" hidden="false" customHeight="false" outlineLevel="0" collapsed="false">
      <c r="A988" s="364"/>
      <c r="B988" s="364"/>
      <c r="C988" s="364"/>
      <c r="D988" s="364"/>
      <c r="E988" s="364"/>
      <c r="F988" s="364"/>
      <c r="G988" s="364"/>
      <c r="H988" s="364"/>
      <c r="I988" s="364"/>
      <c r="J988" s="364"/>
      <c r="K988" s="364"/>
      <c r="L988" s="364"/>
      <c r="M988" s="364"/>
      <c r="N988" s="364"/>
      <c r="O988" s="364"/>
      <c r="P988" s="364"/>
      <c r="Q988" s="364"/>
      <c r="R988" s="364"/>
      <c r="S988" s="364"/>
      <c r="T988" s="364"/>
      <c r="U988" s="364"/>
      <c r="V988" s="364"/>
      <c r="W988" s="364"/>
      <c r="X988" s="364"/>
      <c r="Y988" s="364"/>
      <c r="Z988" s="364"/>
      <c r="AA988" s="364" t="str">
        <f aca="false">IFERROR(__xludf.dummyfunction("""COMPUTED_VALUE"""),"")</f>
        <v/>
      </c>
      <c r="AB988" s="364"/>
    </row>
    <row r="989" customFormat="false" ht="15.75" hidden="false" customHeight="false" outlineLevel="0" collapsed="false">
      <c r="A989" s="364"/>
      <c r="B989" s="364"/>
      <c r="C989" s="364"/>
      <c r="D989" s="364"/>
      <c r="E989" s="364"/>
      <c r="F989" s="364"/>
      <c r="G989" s="364"/>
      <c r="H989" s="364"/>
      <c r="I989" s="364"/>
      <c r="J989" s="364"/>
      <c r="K989" s="364"/>
      <c r="L989" s="364"/>
      <c r="M989" s="364"/>
      <c r="N989" s="364"/>
      <c r="O989" s="364"/>
      <c r="P989" s="364"/>
      <c r="Q989" s="364"/>
      <c r="R989" s="364"/>
      <c r="S989" s="364"/>
      <c r="T989" s="364"/>
      <c r="U989" s="364"/>
      <c r="V989" s="364"/>
      <c r="W989" s="364"/>
      <c r="X989" s="364"/>
      <c r="Y989" s="364"/>
      <c r="Z989" s="364"/>
      <c r="AA989" s="364" t="str">
        <f aca="false">IFERROR(__xludf.dummyfunction("""COMPUTED_VALUE"""),"")</f>
        <v/>
      </c>
      <c r="AB989" s="364"/>
    </row>
    <row r="990" customFormat="false" ht="15.75" hidden="false" customHeight="false" outlineLevel="0" collapsed="false">
      <c r="A990" s="364"/>
      <c r="B990" s="364"/>
      <c r="C990" s="364"/>
      <c r="D990" s="364"/>
      <c r="E990" s="364"/>
      <c r="F990" s="364"/>
      <c r="G990" s="364"/>
      <c r="H990" s="364"/>
      <c r="I990" s="364"/>
      <c r="J990" s="364"/>
      <c r="K990" s="364"/>
      <c r="L990" s="364"/>
      <c r="M990" s="364"/>
      <c r="N990" s="364"/>
      <c r="O990" s="364"/>
      <c r="P990" s="364"/>
      <c r="Q990" s="364"/>
      <c r="R990" s="364"/>
      <c r="S990" s="364"/>
      <c r="T990" s="364"/>
      <c r="U990" s="364"/>
      <c r="V990" s="364"/>
      <c r="W990" s="364"/>
      <c r="X990" s="364"/>
      <c r="Y990" s="364"/>
      <c r="Z990" s="364"/>
      <c r="AA990" s="364" t="str">
        <f aca="false">IFERROR(__xludf.dummyfunction("""COMPUTED_VALUE"""),"")</f>
        <v/>
      </c>
      <c r="AB990" s="364"/>
    </row>
    <row r="991" customFormat="false" ht="15.75" hidden="false" customHeight="false" outlineLevel="0" collapsed="false">
      <c r="A991" s="364"/>
      <c r="B991" s="364"/>
      <c r="C991" s="364"/>
      <c r="D991" s="364"/>
      <c r="E991" s="364"/>
      <c r="F991" s="364"/>
      <c r="G991" s="364"/>
      <c r="H991" s="364"/>
      <c r="I991" s="364"/>
      <c r="J991" s="364"/>
      <c r="K991" s="364"/>
      <c r="L991" s="364"/>
      <c r="M991" s="364"/>
      <c r="N991" s="364"/>
      <c r="O991" s="364"/>
      <c r="P991" s="364"/>
      <c r="Q991" s="364"/>
      <c r="R991" s="364"/>
      <c r="S991" s="364"/>
      <c r="T991" s="364"/>
      <c r="U991" s="364"/>
      <c r="V991" s="364"/>
      <c r="W991" s="364"/>
      <c r="X991" s="364"/>
      <c r="Y991" s="364"/>
      <c r="Z991" s="364"/>
      <c r="AA991" s="364" t="str">
        <f aca="false">IFERROR(__xludf.dummyfunction("""COMPUTED_VALUE"""),"")</f>
        <v/>
      </c>
      <c r="AB991" s="364"/>
    </row>
    <row r="992" customFormat="false" ht="15.75" hidden="false" customHeight="false" outlineLevel="0" collapsed="false">
      <c r="A992" s="364"/>
      <c r="B992" s="364"/>
      <c r="C992" s="364"/>
      <c r="D992" s="364"/>
      <c r="E992" s="364"/>
      <c r="F992" s="364"/>
      <c r="G992" s="364"/>
      <c r="H992" s="364"/>
      <c r="I992" s="364"/>
      <c r="J992" s="364"/>
      <c r="K992" s="364"/>
      <c r="L992" s="364"/>
      <c r="M992" s="364"/>
      <c r="N992" s="364"/>
      <c r="O992" s="364"/>
      <c r="P992" s="364"/>
      <c r="Q992" s="364"/>
      <c r="R992" s="364"/>
      <c r="S992" s="364"/>
      <c r="T992" s="364"/>
      <c r="U992" s="364"/>
      <c r="V992" s="364"/>
      <c r="W992" s="364"/>
      <c r="X992" s="364"/>
      <c r="Y992" s="364"/>
      <c r="Z992" s="364"/>
      <c r="AA992" s="364" t="str">
        <f aca="false">IFERROR(__xludf.dummyfunction("""COMPUTED_VALUE"""),"")</f>
        <v/>
      </c>
      <c r="AB992" s="364"/>
    </row>
    <row r="993" customFormat="false" ht="15.75" hidden="false" customHeight="false" outlineLevel="0" collapsed="false">
      <c r="A993" s="364"/>
      <c r="B993" s="364"/>
      <c r="C993" s="364"/>
      <c r="D993" s="364"/>
      <c r="E993" s="364"/>
      <c r="F993" s="364"/>
      <c r="G993" s="364"/>
      <c r="H993" s="364"/>
      <c r="I993" s="364"/>
      <c r="J993" s="364"/>
      <c r="K993" s="364"/>
      <c r="L993" s="364"/>
      <c r="M993" s="364"/>
      <c r="N993" s="364"/>
      <c r="O993" s="364"/>
      <c r="P993" s="364"/>
      <c r="Q993" s="364"/>
      <c r="R993" s="364"/>
      <c r="S993" s="364"/>
      <c r="T993" s="364"/>
      <c r="U993" s="364"/>
      <c r="V993" s="364"/>
      <c r="W993" s="364"/>
      <c r="X993" s="364"/>
      <c r="Y993" s="364"/>
      <c r="Z993" s="364"/>
      <c r="AA993" s="364" t="str">
        <f aca="false">IFERROR(__xludf.dummyfunction("""COMPUTED_VALUE"""),"")</f>
        <v/>
      </c>
      <c r="AB993" s="364"/>
    </row>
    <row r="994" customFormat="false" ht="15.75" hidden="false" customHeight="false" outlineLevel="0" collapsed="false">
      <c r="A994" s="364"/>
      <c r="B994" s="364"/>
      <c r="C994" s="364"/>
      <c r="D994" s="364"/>
      <c r="E994" s="364"/>
      <c r="F994" s="364"/>
      <c r="G994" s="364"/>
      <c r="H994" s="364"/>
      <c r="I994" s="364"/>
      <c r="J994" s="364"/>
      <c r="K994" s="364"/>
      <c r="L994" s="364"/>
      <c r="M994" s="364"/>
      <c r="N994" s="364"/>
      <c r="O994" s="364"/>
      <c r="P994" s="364"/>
      <c r="Q994" s="364"/>
      <c r="R994" s="364"/>
      <c r="S994" s="364"/>
      <c r="T994" s="364"/>
      <c r="U994" s="364"/>
      <c r="V994" s="364"/>
      <c r="W994" s="364"/>
      <c r="X994" s="364"/>
      <c r="Y994" s="364"/>
      <c r="Z994" s="364"/>
      <c r="AA994" s="364" t="str">
        <f aca="false">IFERROR(__xludf.dummyfunction("""COMPUTED_VALUE"""),"")</f>
        <v/>
      </c>
      <c r="AB994" s="364"/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2" min="1" style="0" width="14.43"/>
    <col collapsed="false" customWidth="true" hidden="true" outlineLevel="0" max="3" min="3" style="0" width="14.43"/>
    <col collapsed="false" customWidth="true" hidden="false" outlineLevel="0" max="4" min="4" style="0" width="14.43"/>
    <col collapsed="false" customWidth="true" hidden="false" outlineLevel="0" max="5" min="5" style="0" width="8.71"/>
    <col collapsed="false" customWidth="true" hidden="false" outlineLevel="0" max="10" min="6" style="0" width="14.43"/>
    <col collapsed="false" customWidth="true" hidden="true" outlineLevel="0" max="11" min="11" style="0" width="14.43"/>
    <col collapsed="false" customWidth="true" hidden="false" outlineLevel="0" max="1025" min="12" style="0" width="14.43"/>
  </cols>
  <sheetData>
    <row r="1" customFormat="false" ht="15.75" hidden="false" customHeight="false" outlineLevel="0" collapsed="false">
      <c r="A1" s="260" t="s">
        <v>4</v>
      </c>
      <c r="B1" s="0" t="e">
        <f aca="false" t="array" ref="B1:B1">IF(INDEX('0.0.1 Pokémon Dex Data'!H3:H1011,MATCH('1.1 Display Calculations'!D3,'0.0.1 Pokémon Dex Data'!B3:B1011,0))=2,INDEX('0.0.1 Pokémon Dex Data'!B3:B1011,MATCH('1.1 Display Calculations'!D1,'0.0.1 Pokémon Dex Data'!C3:C1011,0)),'1.1 Display Calculations'!D3)</f>
        <v>#N/A</v>
      </c>
      <c r="D1" s="260" t="s">
        <v>2878</v>
      </c>
      <c r="E1" s="0" t="e">
        <f aca="false" t="array" ref="E1:E1">INDEX('0.0.1 Pokémon Dex Data'!J3:J1011,MATCH(B1,'0.0.1 Pokémon Dex Data'!B3:B1011,0))</f>
        <v>#N/A</v>
      </c>
      <c r="H1" s="260" t="s">
        <v>2879</v>
      </c>
      <c r="I1" s="0" t="str">
        <f aca="false">IFERROR(__xludf.dummyfunction("CONCATENATE(FILTER(C9:C1011,(F9:F1011-G9:G1011)&gt;0,H9:H1011=1,E9:E1011=1))"),"#N/A")</f>
        <v>#N/A</v>
      </c>
    </row>
    <row r="2" customFormat="false" ht="15.75" hidden="false" customHeight="false" outlineLevel="0" collapsed="false">
      <c r="A2" s="260" t="s">
        <v>2880</v>
      </c>
      <c r="B2" s="0" t="e">
        <f aca="false">'1.1 Display Calculations'!D5</f>
        <v>#N/A</v>
      </c>
      <c r="D2" s="260" t="s">
        <v>2881</v>
      </c>
      <c r="E2" s="0" t="e">
        <f aca="false">IF(E1=1,MATCH(B1,'0.0.2 Pokémon Learnset (Core)'!A1:A1011,0),)</f>
        <v>#N/A</v>
      </c>
      <c r="H2" s="260" t="s">
        <v>2882</v>
      </c>
      <c r="I2" s="0" t="str">
        <f aca="false">IFERROR(__xludf.dummyfunction("CONCATENATE(FILTER(C9:C1011,(F9:F1011-G9:G1011)&gt;0,H9:H1011=0,E9:E1011=1))"),"#N/A")</f>
        <v>#N/A</v>
      </c>
    </row>
    <row r="3" customFormat="false" ht="15.75" hidden="false" customHeight="false" outlineLevel="0" collapsed="false">
      <c r="A3" s="260" t="s">
        <v>213</v>
      </c>
      <c r="B3" s="0" t="e">
        <f aca="false">'1.1 Display Calculations'!D6</f>
        <v>#N/A</v>
      </c>
      <c r="D3" s="260" t="s">
        <v>2883</v>
      </c>
      <c r="E3" s="0" t="e">
        <f aca="false">IF(E1=1,MATCH(B1,'0.1.1 Pokémon GO Moves'!A1:A1011,0),)</f>
        <v>#N/A</v>
      </c>
      <c r="H3" s="260" t="s">
        <v>2884</v>
      </c>
      <c r="I3" s="0" t="str">
        <f aca="false">IFERROR(__xludf.dummyfunction("CONCATENATE(FILTER(C9:C1011,(F9:F1011-G9:G1011)&gt;0,H9:H1011=1,E9:E1011=0))"),"#N/A")</f>
        <v>#N/A</v>
      </c>
    </row>
    <row r="4" customFormat="false" ht="15.75" hidden="false" customHeight="false" outlineLevel="0" collapsed="false">
      <c r="H4" s="260" t="s">
        <v>2885</v>
      </c>
      <c r="I4" s="0" t="str">
        <f aca="false">IFERROR(__xludf.dummyfunction("CONCATENATE(FILTER(C9:C1011,(F9:F1011-G9:G1011)&gt;0,H9:H1011=0,E9:E1011=0))"),"#N/A")</f>
        <v>#N/A</v>
      </c>
    </row>
    <row r="5" customFormat="false" ht="15.75" hidden="false" customHeight="false" outlineLevel="0" collapsed="false">
      <c r="A5" s="260"/>
      <c r="H5" s="260" t="s">
        <v>2886</v>
      </c>
      <c r="I5" s="0" t="str">
        <f aca="false">IFERROR(__xludf.dummyfunction("CONCATENATE(FILTER(K9:K1011,M9:M1011=1,N9:N1011=1))"),"#N/A")</f>
        <v>#N/A</v>
      </c>
    </row>
    <row r="6" customFormat="false" ht="15.75" hidden="false" customHeight="false" outlineLevel="0" collapsed="false">
      <c r="A6" s="260"/>
      <c r="H6" s="260" t="s">
        <v>2887</v>
      </c>
      <c r="I6" s="0" t="str">
        <f aca="false">IFERROR(__xludf.dummyfunction("CONCATENATE(FILTER(K9:K1011,M9:M1011=1,N9:N1011=0))"),"#N/A")</f>
        <v>#N/A</v>
      </c>
    </row>
    <row r="7" customFormat="false" ht="15.75" hidden="false" customHeight="false" outlineLevel="0" collapsed="false">
      <c r="A7" s="260"/>
    </row>
    <row r="8" customFormat="false" ht="15.75" hidden="false" customHeight="false" outlineLevel="0" collapsed="false">
      <c r="B8" s="260" t="s">
        <v>49</v>
      </c>
      <c r="C8" s="260" t="s">
        <v>2888</v>
      </c>
      <c r="D8" s="260" t="s">
        <v>51</v>
      </c>
      <c r="E8" s="260" t="s">
        <v>2889</v>
      </c>
      <c r="F8" s="260" t="s">
        <v>73</v>
      </c>
      <c r="G8" s="260" t="s">
        <v>2890</v>
      </c>
      <c r="H8" s="260" t="s">
        <v>142</v>
      </c>
      <c r="J8" s="260" t="s">
        <v>2891</v>
      </c>
      <c r="K8" s="260" t="s">
        <v>2888</v>
      </c>
      <c r="L8" s="260" t="s">
        <v>51</v>
      </c>
      <c r="M8" s="260" t="s">
        <v>76</v>
      </c>
      <c r="N8" s="260" t="s">
        <v>142</v>
      </c>
    </row>
    <row r="9" customFormat="false" ht="15.75" hidden="false" customHeight="false" outlineLevel="0" collapsed="false">
      <c r="B9" s="0" t="str">
        <f aca="false" t="array" ref="B9:B1007">'0.2.1 Move Compare'!E2:E1011</f>
        <v>Acid</v>
      </c>
      <c r="C9" s="0" t="str">
        <f aca="false">IF(ISBLANK(B9),,B9&amp;", ")</f>
        <v>Acid,</v>
      </c>
      <c r="D9" s="0" t="str">
        <f aca="false" t="array" ref="D9:D9">IF(ISBLANK(B9),,INDEX('0.2.1 Move Compare'!$B$2:$B1011,MATCH(B9,'0.2.1 Move Compare'!$A$2:$A1011,0)))</f>
        <v>Poison</v>
      </c>
      <c r="E9" s="0" t="n">
        <f aca="false" t="array" ref="E9:E9">IF(ISBLANK(B9),,IF(INDEX('0.1.2 Attack Dex (GO)'!C2:C1011,MATCH(B9,'0.1.2 Attack Dex (GO)'!A2:A1011,0))="Fast",1,0))</f>
        <v>1</v>
      </c>
      <c r="F9" s="0" t="e">
        <f aca="true">IF(OR($E$1=0,ISBLANK(B9)),,COUNTIF(INDIRECT("'0.0.2 Pokémon Learnset (Core)'!D$"&amp;$E$2&amp;":FG$"&amp;$E$2),B9))</f>
        <v>#VALUE!</v>
      </c>
      <c r="G9" s="0" t="e">
        <f aca="true">IF(ISBLANK(F9),,COUNTIF(INDIRECT("'0.1.1 Pokémon GO Moves'!C"&amp;$E$3&amp;":R$"&amp;$E$3),B9))</f>
        <v>#N/A</v>
      </c>
      <c r="H9" s="0" t="e">
        <f aca="false">IF(ISBLANK(F9),,IF(OR(D9=$B$2,D9=$B$3),1,0))</f>
        <v>#N/A</v>
      </c>
      <c r="J9" s="0" t="str">
        <f aca="false" t="array" ref="J9:J1007">'0.2.1 Move Compare'!F2:F1011</f>
        <v>Absorb</v>
      </c>
      <c r="K9" s="0" t="str">
        <f aca="false">IF(ISBLANK(J9),,J9&amp;", ")</f>
        <v>Absorb,</v>
      </c>
      <c r="L9" s="0" t="str">
        <f aca="false" t="array" ref="L9:L9">IF(ISBLANK(J9),,INDEX('0.2.1 Move Compare'!$B$2:$B1011,MATCH(J9,'0.2.1 Move Compare'!$A$2:$A1011,0)))</f>
        <v>Grass</v>
      </c>
      <c r="M9" s="0" t="e">
        <f aca="true">IF(OR($E$1=0,ISBLANK(J9)),,COUNTIF(INDIRECT("'0.0.2 Pokémon Learnset (Core)'!D$"&amp;$E$2&amp;":FG$"&amp;$E$2),J9))</f>
        <v>#VALUE!</v>
      </c>
      <c r="N9" s="0" t="e">
        <f aca="false">IF(ISBLANK(J9),,IF(OR(L9=$B$2,L9=$B$3),1,0))</f>
        <v>#N/A</v>
      </c>
    </row>
    <row r="10" customFormat="false" ht="15.75" hidden="false" customHeight="false" outlineLevel="0" collapsed="false">
      <c r="B10" s="0" t="str">
        <v>Aerial Ace</v>
      </c>
      <c r="C10" s="0" t="str">
        <f aca="false">IF(ISBLANK(B10),,B10&amp;", ")</f>
        <v>Aerial Ace,</v>
      </c>
      <c r="D10" s="0" t="str">
        <f aca="false" t="array" ref="D10:D10">IF(ISBLANK(B10),,INDEX('0.2.1 Move Compare'!$B$2:$B1011,MATCH(B10,'0.2.1 Move Compare'!$A$2:$A1011,0)))</f>
        <v>Flying</v>
      </c>
      <c r="E10" s="0" t="n">
        <f aca="false" t="array" ref="E10:E10">IF(ISBLANK(B10),,IF(INDEX('0.1.2 Attack Dex (GO)'!C3:C1011,MATCH(B10,'0.1.2 Attack Dex (GO)'!A3:A1011,0))="Fast",1,0))</f>
        <v>0</v>
      </c>
      <c r="F10" s="0" t="e">
        <f aca="true">IF(OR($E$1=0,ISBLANK(B10)),,COUNTIF(INDIRECT("'0.0.2 Pokémon Learnset (Core)'!D$"&amp;$E$2&amp;":FG$"&amp;$E$2),B10))</f>
        <v>#VALUE!</v>
      </c>
      <c r="G10" s="0" t="e">
        <f aca="true">IF(ISBLANK(F10),,COUNTIF(INDIRECT("'0.1.1 Pokémon GO Moves'!C"&amp;$E$3&amp;":R$"&amp;$E$3),B10))</f>
        <v>#N/A</v>
      </c>
      <c r="H10" s="0" t="e">
        <f aca="false">IF(ISBLANK(F10),,IF(OR(D10=$B$2,D10=$B$3),1,0))</f>
        <v>#N/A</v>
      </c>
      <c r="J10" s="0" t="str">
        <v>Accelerock</v>
      </c>
      <c r="K10" s="0" t="str">
        <f aca="false">IF(ISBLANK(J10),,J10&amp;", ")</f>
        <v>Accelerock,</v>
      </c>
      <c r="L10" s="0" t="str">
        <f aca="false" t="array" ref="L10:L10">IF(ISBLANK(J10),,INDEX('0.2.1 Move Compare'!$B$2:$B1011,MATCH(J10,'0.2.1 Move Compare'!$A$2:$A1011,0)))</f>
        <v>Rock</v>
      </c>
      <c r="M10" s="0" t="e">
        <f aca="true">IF(OR($E$1=0,ISBLANK(J10)),,COUNTIF(INDIRECT("'0.0.2 Pokémon Learnset (Core)'!D$"&amp;$E$2&amp;":FG$"&amp;$E$2),J10))</f>
        <v>#VALUE!</v>
      </c>
      <c r="N10" s="0" t="e">
        <f aca="false">IF(ISBLANK(J10),,IF(OR(L10=$B$2,L10=$B$3),1,0))</f>
        <v>#N/A</v>
      </c>
    </row>
    <row r="11" customFormat="false" ht="15.75" hidden="false" customHeight="false" outlineLevel="0" collapsed="false">
      <c r="B11" s="0" t="str">
        <v>Air Cutter</v>
      </c>
      <c r="C11" s="0" t="str">
        <f aca="false">IF(ISBLANK(B11),,B11&amp;", ")</f>
        <v>Air Cutter,</v>
      </c>
      <c r="D11" s="0" t="str">
        <f aca="false" t="array" ref="D11:D11">IF(ISBLANK(B11),,INDEX('0.2.1 Move Compare'!$B$2:$B1011,MATCH(B11,'0.2.1 Move Compare'!$A$2:$A1011,0)))</f>
        <v>Flying</v>
      </c>
      <c r="E11" s="0" t="n">
        <f aca="false" t="array" ref="E11:E11">IF(ISBLANK(B11),,IF(INDEX('0.1.2 Attack Dex (GO)'!C4:C1011,MATCH(B11,'0.1.2 Attack Dex (GO)'!A4:A1011,0))="Fast",1,0))</f>
        <v>0</v>
      </c>
      <c r="F11" s="0" t="e">
        <f aca="true">IF(OR($E$1=0,ISBLANK(B11)),,COUNTIF(INDIRECT("'0.0.2 Pokémon Learnset (Core)'!D$"&amp;$E$2&amp;":FG$"&amp;$E$2),B11))</f>
        <v>#VALUE!</v>
      </c>
      <c r="G11" s="0" t="e">
        <f aca="true">IF(ISBLANK(F11),,COUNTIF(INDIRECT("'0.1.1 Pokémon GO Moves'!C"&amp;$E$3&amp;":R$"&amp;$E$3),B11))</f>
        <v>#N/A</v>
      </c>
      <c r="H11" s="0" t="e">
        <f aca="false">IF(ISBLANK(F11),,IF(OR(D11=$B$2,D11=$B$3),1,0))</f>
        <v>#N/A</v>
      </c>
      <c r="J11" s="0" t="str">
        <v>Acid Spray</v>
      </c>
      <c r="K11" s="0" t="str">
        <f aca="false">IF(ISBLANK(J11),,J11&amp;", ")</f>
        <v>Acid Spray,</v>
      </c>
      <c r="L11" s="0" t="str">
        <f aca="false" t="array" ref="L11:L11">IF(ISBLANK(J11),,INDEX('0.2.1 Move Compare'!$B$2:$B1011,MATCH(J11,'0.2.1 Move Compare'!$A$2:$A1011,0)))</f>
        <v>Poison</v>
      </c>
      <c r="M11" s="0" t="e">
        <f aca="true">IF(OR($E$1=0,ISBLANK(J11)),,COUNTIF(INDIRECT("'0.0.2 Pokémon Learnset (Core)'!D$"&amp;$E$2&amp;":FG$"&amp;$E$2),J11))</f>
        <v>#VALUE!</v>
      </c>
      <c r="N11" s="0" t="e">
        <f aca="false">IF(ISBLANK(J11),,IF(OR(L11=$B$2,L11=$B$3),1,0))</f>
        <v>#N/A</v>
      </c>
    </row>
    <row r="12" customFormat="false" ht="15.75" hidden="false" customHeight="false" outlineLevel="0" collapsed="false">
      <c r="B12" s="0" t="str">
        <v>Air Slash</v>
      </c>
      <c r="C12" s="0" t="str">
        <f aca="false">IF(ISBLANK(B12),,B12&amp;", ")</f>
        <v>Air Slash,</v>
      </c>
      <c r="D12" s="0" t="str">
        <f aca="false" t="array" ref="D12:D12">IF(ISBLANK(B12),,INDEX('0.2.1 Move Compare'!$B$2:$B1011,MATCH(B12,'0.2.1 Move Compare'!$A$2:$A1011,0)))</f>
        <v>Flying</v>
      </c>
      <c r="E12" s="0" t="n">
        <f aca="false" t="array" ref="E12:E12">IF(ISBLANK(B12),,IF(INDEX('0.1.2 Attack Dex (GO)'!C5:C1011,MATCH(B12,'0.1.2 Attack Dex (GO)'!A5:A1011,0))="Fast",1,0))</f>
        <v>1</v>
      </c>
      <c r="F12" s="0" t="e">
        <f aca="true">IF(OR($E$1=0,ISBLANK(B12)),,COUNTIF(INDIRECT("'0.0.2 Pokémon Learnset (Core)'!D$"&amp;$E$2&amp;":FG$"&amp;$E$2),B12))</f>
        <v>#VALUE!</v>
      </c>
      <c r="G12" s="0" t="e">
        <f aca="true">IF(ISBLANK(F12),,COUNTIF(INDIRECT("'0.1.1 Pokémon GO Moves'!C"&amp;$E$3&amp;":R$"&amp;$E$3),B12))</f>
        <v>#N/A</v>
      </c>
      <c r="H12" s="0" t="e">
        <f aca="false">IF(ISBLANK(F12),,IF(OR(D12=$B$2,D12=$B$3),1,0))</f>
        <v>#N/A</v>
      </c>
      <c r="J12" s="0" t="str">
        <v>Acrobatics</v>
      </c>
      <c r="K12" s="0" t="str">
        <f aca="false">IF(ISBLANK(J12),,J12&amp;", ")</f>
        <v>Acrobatics,</v>
      </c>
      <c r="L12" s="0" t="str">
        <f aca="false" t="array" ref="L12:L12">IF(ISBLANK(J12),,INDEX('0.2.1 Move Compare'!$B$2:$B1011,MATCH(J12,'0.2.1 Move Compare'!$A$2:$A1011,0)))</f>
        <v>Flying</v>
      </c>
      <c r="M12" s="0" t="e">
        <f aca="true">IF(OR($E$1=0,ISBLANK(J12)),,COUNTIF(INDIRECT("'0.0.2 Pokémon Learnset (Core)'!D$"&amp;$E$2&amp;":FG$"&amp;$E$2),J12))</f>
        <v>#VALUE!</v>
      </c>
      <c r="N12" s="0" t="e">
        <f aca="false">IF(ISBLANK(J12),,IF(OR(L12=$B$2,L12=$B$3),1,0))</f>
        <v>#N/A</v>
      </c>
    </row>
    <row r="13" customFormat="false" ht="15.75" hidden="false" customHeight="false" outlineLevel="0" collapsed="false">
      <c r="B13" s="0" t="str">
        <v>Ancient Power</v>
      </c>
      <c r="C13" s="0" t="str">
        <f aca="false">IF(ISBLANK(B13),,B13&amp;", ")</f>
        <v>Ancient Power,</v>
      </c>
      <c r="D13" s="0" t="str">
        <f aca="false" t="array" ref="D13:D13">IF(ISBLANK(B13),,INDEX('0.2.1 Move Compare'!$B$2:$B1011,MATCH(B13,'0.2.1 Move Compare'!$A$2:$A1011,0)))</f>
        <v>Rock</v>
      </c>
      <c r="E13" s="0" t="n">
        <f aca="false" t="array" ref="E13:E13">IF(ISBLANK(B13),,IF(INDEX('0.1.2 Attack Dex (GO)'!C6:C1011,MATCH(B13,'0.1.2 Attack Dex (GO)'!A6:A1011,0))="Fast",1,0))</f>
        <v>0</v>
      </c>
      <c r="F13" s="0" t="e">
        <f aca="true">IF(OR($E$1=0,ISBLANK(B13)),,COUNTIF(INDIRECT("'0.0.2 Pokémon Learnset (Core)'!D$"&amp;$E$2&amp;":FG$"&amp;$E$2),B13))</f>
        <v>#VALUE!</v>
      </c>
      <c r="G13" s="0" t="e">
        <f aca="true">IF(ISBLANK(F13),,COUNTIF(INDIRECT("'0.1.1 Pokémon GO Moves'!C"&amp;$E$3&amp;":R$"&amp;$E$3),B13))</f>
        <v>#N/A</v>
      </c>
      <c r="H13" s="0" t="e">
        <f aca="false">IF(ISBLANK(F13),,IF(OR(D13=$B$2,D13=$B$3),1,0))</f>
        <v>#N/A</v>
      </c>
      <c r="J13" s="0" t="str">
        <v>Aeroblast</v>
      </c>
      <c r="K13" s="0" t="str">
        <f aca="false">IF(ISBLANK(J13),,J13&amp;", ")</f>
        <v>Aeroblast,</v>
      </c>
      <c r="L13" s="0" t="str">
        <f aca="false" t="array" ref="L13:L13">IF(ISBLANK(J13),,INDEX('0.2.1 Move Compare'!$B$2:$B1011,MATCH(J13,'0.2.1 Move Compare'!$A$2:$A1011,0)))</f>
        <v>Flying</v>
      </c>
      <c r="M13" s="0" t="e">
        <f aca="true">IF(OR($E$1=0,ISBLANK(J13)),,COUNTIF(INDIRECT("'0.0.2 Pokémon Learnset (Core)'!D$"&amp;$E$2&amp;":FG$"&amp;$E$2),J13))</f>
        <v>#VALUE!</v>
      </c>
      <c r="N13" s="0" t="e">
        <f aca="false">IF(ISBLANK(J13),,IF(OR(L13=$B$2,L13=$B$3),1,0))</f>
        <v>#N/A</v>
      </c>
    </row>
    <row r="14" customFormat="false" ht="15.75" hidden="false" customHeight="false" outlineLevel="0" collapsed="false">
      <c r="B14" s="0" t="str">
        <v>Aqua Jet</v>
      </c>
      <c r="C14" s="0" t="str">
        <f aca="false">IF(ISBLANK(B14),,B14&amp;", ")</f>
        <v>Aqua Jet,</v>
      </c>
      <c r="D14" s="0" t="str">
        <f aca="false" t="array" ref="D14:D14">IF(ISBLANK(B14),,INDEX('0.2.1 Move Compare'!$B$2:$B1011,MATCH(B14,'0.2.1 Move Compare'!$A$2:$A1011,0)))</f>
        <v>Water</v>
      </c>
      <c r="E14" s="0" t="n">
        <f aca="false" t="array" ref="E14:E14">IF(ISBLANK(B14),,IF(INDEX('0.1.2 Attack Dex (GO)'!C7:C1011,MATCH(B14,'0.1.2 Attack Dex (GO)'!A7:A1011,0))="Fast",1,0))</f>
        <v>0</v>
      </c>
      <c r="F14" s="0" t="e">
        <f aca="true">IF(OR($E$1=0,ISBLANK(B14)),,COUNTIF(INDIRECT("'0.0.2 Pokémon Learnset (Core)'!D$"&amp;$E$2&amp;":FG$"&amp;$E$2),B14))</f>
        <v>#VALUE!</v>
      </c>
      <c r="G14" s="0" t="e">
        <f aca="true">IF(ISBLANK(F14),,COUNTIF(INDIRECT("'0.1.1 Pokémon GO Moves'!C"&amp;$E$3&amp;":R$"&amp;$E$3),B14))</f>
        <v>#N/A</v>
      </c>
      <c r="H14" s="0" t="e">
        <f aca="false">IF(ISBLANK(F14),,IF(OR(D14=$B$2,D14=$B$3),1,0))</f>
        <v>#N/A</v>
      </c>
      <c r="J14" s="0" t="str">
        <v>Anchor Shot</v>
      </c>
      <c r="K14" s="0" t="str">
        <f aca="false">IF(ISBLANK(J14),,J14&amp;", ")</f>
        <v>Anchor Shot,</v>
      </c>
      <c r="L14" s="0" t="str">
        <f aca="false" t="array" ref="L14:L14">IF(ISBLANK(J14),,INDEX('0.2.1 Move Compare'!$B$2:$B1011,MATCH(J14,'0.2.1 Move Compare'!$A$2:$A1011,0)))</f>
        <v>Steel</v>
      </c>
      <c r="M14" s="0" t="e">
        <f aca="true">IF(OR($E$1=0,ISBLANK(J14)),,COUNTIF(INDIRECT("'0.0.2 Pokémon Learnset (Core)'!D$"&amp;$E$2&amp;":FG$"&amp;$E$2),J14))</f>
        <v>#VALUE!</v>
      </c>
      <c r="N14" s="0" t="e">
        <f aca="false">IF(ISBLANK(J14),,IF(OR(L14=$B$2,L14=$B$3),1,0))</f>
        <v>#N/A</v>
      </c>
    </row>
    <row r="15" customFormat="false" ht="15.75" hidden="false" customHeight="false" outlineLevel="0" collapsed="false">
      <c r="B15" s="0" t="str">
        <v>Aqua Tail</v>
      </c>
      <c r="C15" s="0" t="str">
        <f aca="false">IF(ISBLANK(B15),,B15&amp;", ")</f>
        <v>Aqua Tail,</v>
      </c>
      <c r="D15" s="0" t="str">
        <f aca="false" t="array" ref="D15:D15">IF(ISBLANK(B15),,INDEX('0.2.1 Move Compare'!$B$2:$B1011,MATCH(B15,'0.2.1 Move Compare'!$A$2:$A1011,0)))</f>
        <v>Water</v>
      </c>
      <c r="E15" s="0" t="n">
        <f aca="false" t="array" ref="E15:E15">IF(ISBLANK(B15),,IF(INDEX('0.1.2 Attack Dex (GO)'!C8:C1011,MATCH(B15,'0.1.2 Attack Dex (GO)'!A8:A1011,0))="Fast",1,0))</f>
        <v>0</v>
      </c>
      <c r="F15" s="0" t="e">
        <f aca="true">IF(OR($E$1=0,ISBLANK(B15)),,COUNTIF(INDIRECT("'0.0.2 Pokémon Learnset (Core)'!D$"&amp;$E$2&amp;":FG$"&amp;$E$2),B15))</f>
        <v>#VALUE!</v>
      </c>
      <c r="G15" s="0" t="e">
        <f aca="true">IF(ISBLANK(F15),,COUNTIF(INDIRECT("'0.1.1 Pokémon GO Moves'!C"&amp;$E$3&amp;":R$"&amp;$E$3),B15))</f>
        <v>#N/A</v>
      </c>
      <c r="H15" s="0" t="e">
        <f aca="false">IF(ISBLANK(F15),,IF(OR(D15=$B$2,D15=$B$3),1,0))</f>
        <v>#N/A</v>
      </c>
      <c r="J15" s="0" t="str">
        <v>Arm Thrust</v>
      </c>
      <c r="K15" s="0" t="str">
        <f aca="false">IF(ISBLANK(J15),,J15&amp;", ")</f>
        <v>Arm Thrust,</v>
      </c>
      <c r="L15" s="0" t="str">
        <f aca="false" t="array" ref="L15:L15">IF(ISBLANK(J15),,INDEX('0.2.1 Move Compare'!$B$2:$B1011,MATCH(J15,'0.2.1 Move Compare'!$A$2:$A1011,0)))</f>
        <v>Fighting</v>
      </c>
      <c r="M15" s="0" t="e">
        <f aca="true">IF(OR($E$1=0,ISBLANK(J15)),,COUNTIF(INDIRECT("'0.0.2 Pokémon Learnset (Core)'!D$"&amp;$E$2&amp;":FG$"&amp;$E$2),J15))</f>
        <v>#VALUE!</v>
      </c>
      <c r="N15" s="0" t="e">
        <f aca="false">IF(ISBLANK(J15),,IF(OR(L15=$B$2,L15=$B$3),1,0))</f>
        <v>#N/A</v>
      </c>
    </row>
    <row r="16" customFormat="false" ht="15.75" hidden="false" customHeight="false" outlineLevel="0" collapsed="false">
      <c r="B16" s="0" t="str">
        <v>Astonish</v>
      </c>
      <c r="C16" s="0" t="str">
        <f aca="false">IF(ISBLANK(B16),,B16&amp;", ")</f>
        <v>Astonish,</v>
      </c>
      <c r="D16" s="0" t="str">
        <f aca="false" t="array" ref="D16:D16">IF(ISBLANK(B16),,INDEX('0.2.1 Move Compare'!$B$2:$B1011,MATCH(B16,'0.2.1 Move Compare'!$A$2:$A1011,0)))</f>
        <v>Ghost</v>
      </c>
      <c r="E16" s="0" t="n">
        <f aca="false" t="array" ref="E16:E16">IF(ISBLANK(B16),,IF(INDEX('0.1.2 Attack Dex (GO)'!C9:C1011,MATCH(B16,'0.1.2 Attack Dex (GO)'!A9:A1011,0))="Fast",1,0))</f>
        <v>1</v>
      </c>
      <c r="F16" s="0" t="e">
        <f aca="true">IF(OR($E$1=0,ISBLANK(B16)),,COUNTIF(INDIRECT("'0.0.2 Pokémon Learnset (Core)'!D$"&amp;$E$2&amp;":FG$"&amp;$E$2),B16))</f>
        <v>#VALUE!</v>
      </c>
      <c r="G16" s="0" t="e">
        <f aca="true">IF(ISBLANK(F16),,COUNTIF(INDIRECT("'0.1.1 Pokémon GO Moves'!C"&amp;$E$3&amp;":R$"&amp;$E$3),B16))</f>
        <v>#N/A</v>
      </c>
      <c r="H16" s="0" t="e">
        <f aca="false">IF(ISBLANK(F16),,IF(OR(D16=$B$2,D16=$B$3),1,0))</f>
        <v>#N/A</v>
      </c>
      <c r="J16" s="0" t="str">
        <v>Assurance</v>
      </c>
      <c r="K16" s="0" t="str">
        <f aca="false">IF(ISBLANK(J16),,J16&amp;", ")</f>
        <v>Assurance,</v>
      </c>
      <c r="L16" s="0" t="str">
        <f aca="false" t="array" ref="L16:L16">IF(ISBLANK(J16),,INDEX('0.2.1 Move Compare'!$B$2:$B1011,MATCH(J16,'0.2.1 Move Compare'!$A$2:$A1011,0)))</f>
        <v>Dark</v>
      </c>
      <c r="M16" s="0" t="e">
        <f aca="true">IF(OR($E$1=0,ISBLANK(J16)),,COUNTIF(INDIRECT("'0.0.2 Pokémon Learnset (Core)'!D$"&amp;$E$2&amp;":FG$"&amp;$E$2),J16))</f>
        <v>#VALUE!</v>
      </c>
      <c r="N16" s="0" t="e">
        <f aca="false">IF(ISBLANK(J16),,IF(OR(L16=$B$2,L16=$B$3),1,0))</f>
        <v>#N/A</v>
      </c>
    </row>
    <row r="17" customFormat="false" ht="15.75" hidden="false" customHeight="false" outlineLevel="0" collapsed="false">
      <c r="B17" s="0" t="str">
        <v>Aurora Beam</v>
      </c>
      <c r="C17" s="0" t="str">
        <f aca="false">IF(ISBLANK(B17),,B17&amp;", ")</f>
        <v>Aurora Beam,</v>
      </c>
      <c r="D17" s="0" t="str">
        <f aca="false" t="array" ref="D17:D17">IF(ISBLANK(B17),,INDEX('0.2.1 Move Compare'!$B$2:$B1011,MATCH(B17,'0.2.1 Move Compare'!$A$2:$A1011,0)))</f>
        <v>Ice</v>
      </c>
      <c r="E17" s="0" t="n">
        <f aca="false" t="array" ref="E17:E17">IF(ISBLANK(B17),,IF(INDEX('0.1.2 Attack Dex (GO)'!C10:C1011,MATCH(B17,'0.1.2 Attack Dex (GO)'!A10:A1011,0))="Fast",1,0))</f>
        <v>0</v>
      </c>
      <c r="F17" s="0" t="e">
        <f aca="true">IF(OR($E$1=0,ISBLANK(B17)),,COUNTIF(INDIRECT("'0.0.2 Pokémon Learnset (Core)'!D$"&amp;$E$2&amp;":FG$"&amp;$E$2),B17))</f>
        <v>#VALUE!</v>
      </c>
      <c r="G17" s="0" t="e">
        <f aca="true">IF(ISBLANK(F17),,COUNTIF(INDIRECT("'0.1.1 Pokémon GO Moves'!C"&amp;$E$3&amp;":R$"&amp;$E$3),B17))</f>
        <v>#N/A</v>
      </c>
      <c r="H17" s="0" t="e">
        <f aca="false">IF(ISBLANK(F17),,IF(OR(D17=$B$2,D17=$B$3),1,0))</f>
        <v>#N/A</v>
      </c>
      <c r="J17" s="0" t="str">
        <v>Attack Order</v>
      </c>
      <c r="K17" s="0" t="str">
        <f aca="false">IF(ISBLANK(J17),,J17&amp;", ")</f>
        <v>Attack Order,</v>
      </c>
      <c r="L17" s="0" t="str">
        <f aca="false" t="array" ref="L17:L17">IF(ISBLANK(J17),,INDEX('0.2.1 Move Compare'!$B$2:$B1011,MATCH(J17,'0.2.1 Move Compare'!$A$2:$A1011,0)))</f>
        <v>Bug</v>
      </c>
      <c r="M17" s="0" t="e">
        <f aca="true">IF(OR($E$1=0,ISBLANK(J17)),,COUNTIF(INDIRECT("'0.0.2 Pokémon Learnset (Core)'!D$"&amp;$E$2&amp;":FG$"&amp;$E$2),J17))</f>
        <v>#VALUE!</v>
      </c>
      <c r="N17" s="0" t="e">
        <f aca="false">IF(ISBLANK(J17),,IF(OR(L17=$B$2,L17=$B$3),1,0))</f>
        <v>#N/A</v>
      </c>
    </row>
    <row r="18" customFormat="false" ht="15.75" hidden="false" customHeight="false" outlineLevel="0" collapsed="false">
      <c r="B18" s="0" t="str">
        <v>Avalanche</v>
      </c>
      <c r="C18" s="0" t="str">
        <f aca="false">IF(ISBLANK(B18),,B18&amp;", ")</f>
        <v>Avalanche,</v>
      </c>
      <c r="D18" s="0" t="str">
        <f aca="false" t="array" ref="D18:D18">IF(ISBLANK(B18),,INDEX('0.2.1 Move Compare'!$B$2:$B1011,MATCH(B18,'0.2.1 Move Compare'!$A$2:$A1011,0)))</f>
        <v>Ice</v>
      </c>
      <c r="E18" s="0" t="n">
        <f aca="false" t="array" ref="E18:E18">IF(ISBLANK(B18),,IF(INDEX('0.1.2 Attack Dex (GO)'!C11:C1011,MATCH(B18,'0.1.2 Attack Dex (GO)'!A11:A1011,0))="Fast",1,0))</f>
        <v>0</v>
      </c>
      <c r="F18" s="0" t="e">
        <f aca="true">IF(OR($E$1=0,ISBLANK(B18)),,COUNTIF(INDIRECT("'0.0.2 Pokémon Learnset (Core)'!D$"&amp;$E$2&amp;":FG$"&amp;$E$2),B18))</f>
        <v>#VALUE!</v>
      </c>
      <c r="G18" s="0" t="e">
        <f aca="true">IF(ISBLANK(F18),,COUNTIF(INDIRECT("'0.1.1 Pokémon GO Moves'!C"&amp;$E$3&amp;":R$"&amp;$E$3),B18))</f>
        <v>#N/A</v>
      </c>
      <c r="H18" s="0" t="e">
        <f aca="false">IF(ISBLANK(F18),,IF(OR(D18=$B$2,D18=$B$3),1,0))</f>
        <v>#N/A</v>
      </c>
      <c r="J18" s="0" t="str">
        <v>Aura Sphere</v>
      </c>
      <c r="K18" s="0" t="str">
        <f aca="false">IF(ISBLANK(J18),,J18&amp;", ")</f>
        <v>Aura Sphere,</v>
      </c>
      <c r="L18" s="0" t="str">
        <f aca="false" t="array" ref="L18:L18">IF(ISBLANK(J18),,INDEX('0.2.1 Move Compare'!$B$2:$B1011,MATCH(J18,'0.2.1 Move Compare'!$A$2:$A1011,0)))</f>
        <v>Fighting</v>
      </c>
      <c r="M18" s="0" t="e">
        <f aca="true">IF(OR($E$1=0,ISBLANK(J18)),,COUNTIF(INDIRECT("'0.0.2 Pokémon Learnset (Core)'!D$"&amp;$E$2&amp;":FG$"&amp;$E$2),J18))</f>
        <v>#VALUE!</v>
      </c>
      <c r="N18" s="0" t="e">
        <f aca="false">IF(ISBLANK(J18),,IF(OR(L18=$B$2,L18=$B$3),1,0))</f>
        <v>#N/A</v>
      </c>
    </row>
    <row r="19" customFormat="false" ht="15.75" hidden="false" customHeight="false" outlineLevel="0" collapsed="false">
      <c r="B19" s="0" t="str">
        <v>Bite</v>
      </c>
      <c r="C19" s="0" t="str">
        <f aca="false">IF(ISBLANK(B19),,B19&amp;", ")</f>
        <v>Bite,</v>
      </c>
      <c r="D19" s="0" t="str">
        <f aca="false" t="array" ref="D19:D19">IF(ISBLANK(B19),,INDEX('0.2.1 Move Compare'!$B$2:$B1011,MATCH(B19,'0.2.1 Move Compare'!$A$2:$A1011,0)))</f>
        <v>Dark</v>
      </c>
      <c r="E19" s="0" t="n">
        <f aca="false" t="array" ref="E19:E19">IF(ISBLANK(B19),,IF(INDEX('0.1.2 Attack Dex (GO)'!C12:C1011,MATCH(B19,'0.1.2 Attack Dex (GO)'!A12:A1011,0))="Fast",1,0))</f>
        <v>1</v>
      </c>
      <c r="F19" s="0" t="e">
        <f aca="true">IF(OR($E$1=0,ISBLANK(B19)),,COUNTIF(INDIRECT("'0.0.2 Pokémon Learnset (Core)'!D$"&amp;$E$2&amp;":FG$"&amp;$E$2),B19))</f>
        <v>#VALUE!</v>
      </c>
      <c r="G19" s="0" t="e">
        <f aca="true">IF(ISBLANK(F19),,COUNTIF(INDIRECT("'0.1.1 Pokémon GO Moves'!C"&amp;$E$3&amp;":R$"&amp;$E$3),B19))</f>
        <v>#N/A</v>
      </c>
      <c r="H19" s="0" t="e">
        <f aca="false">IF(ISBLANK(F19),,IF(OR(D19=$B$2,D19=$B$3),1,0))</f>
        <v>#N/A</v>
      </c>
      <c r="J19" s="0" t="str">
        <v>Barrage</v>
      </c>
      <c r="K19" s="0" t="str">
        <f aca="false">IF(ISBLANK(J19),,J19&amp;", ")</f>
        <v>Barrage,</v>
      </c>
      <c r="L19" s="0" t="str">
        <f aca="false" t="array" ref="L19:L19">IF(ISBLANK(J19),,INDEX('0.2.1 Move Compare'!$B$2:$B1011,MATCH(J19,'0.2.1 Move Compare'!$A$2:$A1011,0)))</f>
        <v>Normal</v>
      </c>
      <c r="M19" s="0" t="e">
        <f aca="true">IF(OR($E$1=0,ISBLANK(J19)),,COUNTIF(INDIRECT("'0.0.2 Pokémon Learnset (Core)'!D$"&amp;$E$2&amp;":FG$"&amp;$E$2),J19))</f>
        <v>#VALUE!</v>
      </c>
      <c r="N19" s="0" t="e">
        <f aca="false">IF(ISBLANK(J19),,IF(OR(L19=$B$2,L19=$B$3),1,0))</f>
        <v>#N/A</v>
      </c>
    </row>
    <row r="20" customFormat="false" ht="15.75" hidden="false" customHeight="false" outlineLevel="0" collapsed="false">
      <c r="B20" s="0" t="str">
        <v>Blizzard</v>
      </c>
      <c r="C20" s="0" t="str">
        <f aca="false">IF(ISBLANK(B20),,B20&amp;", ")</f>
        <v>Blizzard,</v>
      </c>
      <c r="D20" s="0" t="str">
        <f aca="false" t="array" ref="D20:D20">IF(ISBLANK(B20),,INDEX('0.2.1 Move Compare'!$B$2:$B1011,MATCH(B20,'0.2.1 Move Compare'!$A$2:$A1011,0)))</f>
        <v>Ice</v>
      </c>
      <c r="E20" s="0" t="n">
        <f aca="false" t="array" ref="E20:E20">IF(ISBLANK(B20),,IF(INDEX('0.1.2 Attack Dex (GO)'!C13:C1011,MATCH(B20,'0.1.2 Attack Dex (GO)'!A13:A1011,0))="Fast",1,0))</f>
        <v>0</v>
      </c>
      <c r="F20" s="0" t="e">
        <f aca="true">IF(OR($E$1=0,ISBLANK(B20)),,COUNTIF(INDIRECT("'0.0.2 Pokémon Learnset (Core)'!D$"&amp;$E$2&amp;":FG$"&amp;$E$2),B20))</f>
        <v>#VALUE!</v>
      </c>
      <c r="G20" s="0" t="e">
        <f aca="true">IF(ISBLANK(F20),,COUNTIF(INDIRECT("'0.1.1 Pokémon GO Moves'!C"&amp;$E$3&amp;":R$"&amp;$E$3),B20))</f>
        <v>#N/A</v>
      </c>
      <c r="H20" s="0" t="e">
        <f aca="false">IF(ISBLANK(F20),,IF(OR(D20=$B$2,D20=$B$3),1,0))</f>
        <v>#N/A</v>
      </c>
      <c r="J20" s="0" t="str">
        <v>Beak Blast</v>
      </c>
      <c r="K20" s="0" t="str">
        <f aca="false">IF(ISBLANK(J20),,J20&amp;", ")</f>
        <v>Beak Blast,</v>
      </c>
      <c r="L20" s="0" t="str">
        <f aca="false" t="array" ref="L20:L20">IF(ISBLANK(J20),,INDEX('0.2.1 Move Compare'!$B$2:$B1011,MATCH(J20,'0.2.1 Move Compare'!$A$2:$A1011,0)))</f>
        <v>Flying</v>
      </c>
      <c r="M20" s="0" t="e">
        <f aca="true">IF(OR($E$1=0,ISBLANK(J20)),,COUNTIF(INDIRECT("'0.0.2 Pokémon Learnset (Core)'!D$"&amp;$E$2&amp;":FG$"&amp;$E$2),J20))</f>
        <v>#VALUE!</v>
      </c>
      <c r="N20" s="0" t="e">
        <f aca="false">IF(ISBLANK(J20),,IF(OR(L20=$B$2,L20=$B$3),1,0))</f>
        <v>#N/A</v>
      </c>
    </row>
    <row r="21" customFormat="false" ht="15.75" hidden="false" customHeight="false" outlineLevel="0" collapsed="false">
      <c r="B21" s="0" t="str">
        <v>Body Slam</v>
      </c>
      <c r="C21" s="0" t="str">
        <f aca="false">IF(ISBLANK(B21),,B21&amp;", ")</f>
        <v>Body Slam,</v>
      </c>
      <c r="D21" s="0" t="str">
        <f aca="false" t="array" ref="D21:D21">IF(ISBLANK(B21),,INDEX('0.2.1 Move Compare'!$B$2:$B1011,MATCH(B21,'0.2.1 Move Compare'!$A$2:$A1011,0)))</f>
        <v>Normal</v>
      </c>
      <c r="E21" s="0" t="n">
        <f aca="false" t="array" ref="E21:E21">IF(ISBLANK(B21),,IF(INDEX('0.1.2 Attack Dex (GO)'!C14:C1011,MATCH(B21,'0.1.2 Attack Dex (GO)'!A14:A1011,0))="Fast",1,0))</f>
        <v>0</v>
      </c>
      <c r="F21" s="0" t="e">
        <f aca="true">IF(OR($E$1=0,ISBLANK(B21)),,COUNTIF(INDIRECT("'0.0.2 Pokémon Learnset (Core)'!D$"&amp;$E$2&amp;":FG$"&amp;$E$2),B21))</f>
        <v>#VALUE!</v>
      </c>
      <c r="G21" s="0" t="e">
        <f aca="true">IF(ISBLANK(F21),,COUNTIF(INDIRECT("'0.1.1 Pokémon GO Moves'!C"&amp;$E$3&amp;":R$"&amp;$E$3),B21))</f>
        <v>#N/A</v>
      </c>
      <c r="H21" s="0" t="e">
        <f aca="false">IF(ISBLANK(F21),,IF(OR(D21=$B$2,D21=$B$3),1,0))</f>
        <v>#N/A</v>
      </c>
      <c r="J21" s="0" t="str">
        <v>Belch</v>
      </c>
      <c r="K21" s="0" t="str">
        <f aca="false">IF(ISBLANK(J21),,J21&amp;", ")</f>
        <v>Belch,</v>
      </c>
      <c r="L21" s="0" t="str">
        <f aca="false" t="array" ref="L21:L21">IF(ISBLANK(J21),,INDEX('0.2.1 Move Compare'!$B$2:$B1011,MATCH(J21,'0.2.1 Move Compare'!$A$2:$A1011,0)))</f>
        <v>Poison</v>
      </c>
      <c r="M21" s="0" t="e">
        <f aca="true">IF(OR($E$1=0,ISBLANK(J21)),,COUNTIF(INDIRECT("'0.0.2 Pokémon Learnset (Core)'!D$"&amp;$E$2&amp;":FG$"&amp;$E$2),J21))</f>
        <v>#VALUE!</v>
      </c>
      <c r="N21" s="0" t="e">
        <f aca="false">IF(ISBLANK(J21),,IF(OR(L21=$B$2,L21=$B$3),1,0))</f>
        <v>#N/A</v>
      </c>
    </row>
    <row r="22" customFormat="false" ht="15.75" hidden="false" customHeight="false" outlineLevel="0" collapsed="false">
      <c r="B22" s="0" t="str">
        <v>Bone Club</v>
      </c>
      <c r="C22" s="0" t="str">
        <f aca="false">IF(ISBLANK(B22),,B22&amp;", ")</f>
        <v>Bone Club,</v>
      </c>
      <c r="D22" s="0" t="str">
        <f aca="false" t="array" ref="D22:D22">IF(ISBLANK(B22),,INDEX('0.2.1 Move Compare'!$B$2:$B1011,MATCH(B22,'0.2.1 Move Compare'!$A$2:$A1011,0)))</f>
        <v>Ground</v>
      </c>
      <c r="E22" s="0" t="n">
        <f aca="false" t="array" ref="E22:E22">IF(ISBLANK(B22),,IF(INDEX('0.1.2 Attack Dex (GO)'!C15:C1011,MATCH(B22,'0.1.2 Attack Dex (GO)'!A15:A1011,0))="Fast",1,0))</f>
        <v>0</v>
      </c>
      <c r="F22" s="0" t="e">
        <f aca="true">IF(OR($E$1=0,ISBLANK(B22)),,COUNTIF(INDIRECT("'0.0.2 Pokémon Learnset (Core)'!D$"&amp;$E$2&amp;":FG$"&amp;$E$2),B22))</f>
        <v>#VALUE!</v>
      </c>
      <c r="G22" s="0" t="e">
        <f aca="true">IF(ISBLANK(F22),,COUNTIF(INDIRECT("'0.1.1 Pokémon GO Moves'!C"&amp;$E$3&amp;":R$"&amp;$E$3),B22))</f>
        <v>#N/A</v>
      </c>
      <c r="H22" s="0" t="e">
        <f aca="false">IF(ISBLANK(F22),,IF(OR(D22=$B$2,D22=$B$3),1,0))</f>
        <v>#N/A</v>
      </c>
      <c r="J22" s="0" t="str">
        <v>Bide</v>
      </c>
      <c r="K22" s="0" t="str">
        <f aca="false">IF(ISBLANK(J22),,J22&amp;", ")</f>
        <v>Bide,</v>
      </c>
      <c r="L22" s="0" t="str">
        <f aca="false" t="array" ref="L22:L22">IF(ISBLANK(J22),,INDEX('0.2.1 Move Compare'!$B$2:$B1011,MATCH(J22,'0.2.1 Move Compare'!$A$2:$A1011,0)))</f>
        <v>Normal</v>
      </c>
      <c r="M22" s="0" t="e">
        <f aca="true">IF(OR($E$1=0,ISBLANK(J22)),,COUNTIF(INDIRECT("'0.0.2 Pokémon Learnset (Core)'!D$"&amp;$E$2&amp;":FG$"&amp;$E$2),J22))</f>
        <v>#VALUE!</v>
      </c>
      <c r="N22" s="0" t="e">
        <f aca="false">IF(ISBLANK(J22),,IF(OR(L22=$B$2,L22=$B$3),1,0))</f>
        <v>#N/A</v>
      </c>
    </row>
    <row r="23" customFormat="false" ht="15.75" hidden="false" customHeight="false" outlineLevel="0" collapsed="false">
      <c r="B23" s="0" t="str">
        <v>Brave Bird</v>
      </c>
      <c r="C23" s="0" t="str">
        <f aca="false">IF(ISBLANK(B23),,B23&amp;", ")</f>
        <v>Brave Bird,</v>
      </c>
      <c r="D23" s="0" t="str">
        <f aca="false" t="array" ref="D23:D23">IF(ISBLANK(B23),,INDEX('0.2.1 Move Compare'!$B$2:$B1011,MATCH(B23,'0.2.1 Move Compare'!$A$2:$A1011,0)))</f>
        <v>Flying</v>
      </c>
      <c r="E23" s="0" t="n">
        <f aca="false" t="array" ref="E23:E23">IF(ISBLANK(B23),,IF(INDEX('0.1.2 Attack Dex (GO)'!C16:C1011,MATCH(B23,'0.1.2 Attack Dex (GO)'!A16:A1011,0))="Fast",1,0))</f>
        <v>0</v>
      </c>
      <c r="F23" s="0" t="e">
        <f aca="true">IF(OR($E$1=0,ISBLANK(B23)),,COUNTIF(INDIRECT("'0.0.2 Pokémon Learnset (Core)'!D$"&amp;$E$2&amp;":FG$"&amp;$E$2),B23))</f>
        <v>#VALUE!</v>
      </c>
      <c r="G23" s="0" t="e">
        <f aca="true">IF(ISBLANK(F23),,COUNTIF(INDIRECT("'0.1.1 Pokémon GO Moves'!C"&amp;$E$3&amp;":R$"&amp;$E$3),B23))</f>
        <v>#N/A</v>
      </c>
      <c r="H23" s="0" t="e">
        <f aca="false">IF(ISBLANK(F23),,IF(OR(D23=$B$2,D23=$B$3),1,0))</f>
        <v>#N/A</v>
      </c>
      <c r="J23" s="0" t="str">
        <v>Bind</v>
      </c>
      <c r="K23" s="0" t="str">
        <f aca="false">IF(ISBLANK(J23),,J23&amp;", ")</f>
        <v>Bind,</v>
      </c>
      <c r="L23" s="0" t="str">
        <f aca="false" t="array" ref="L23:L23">IF(ISBLANK(J23),,INDEX('0.2.1 Move Compare'!$B$2:$B1011,MATCH(J23,'0.2.1 Move Compare'!$A$2:$A1011,0)))</f>
        <v>Normal</v>
      </c>
      <c r="M23" s="0" t="e">
        <f aca="true">IF(OR($E$1=0,ISBLANK(J23)),,COUNTIF(INDIRECT("'0.0.2 Pokémon Learnset (Core)'!D$"&amp;$E$2&amp;":FG$"&amp;$E$2),J23))</f>
        <v>#VALUE!</v>
      </c>
      <c r="N23" s="0" t="e">
        <f aca="false">IF(ISBLANK(J23),,IF(OR(L23=$B$2,L23=$B$3),1,0))</f>
        <v>#N/A</v>
      </c>
    </row>
    <row r="24" customFormat="false" ht="15.75" hidden="false" customHeight="false" outlineLevel="0" collapsed="false">
      <c r="B24" s="0" t="str">
        <v>Brick Break</v>
      </c>
      <c r="C24" s="0" t="str">
        <f aca="false">IF(ISBLANK(B24),,B24&amp;", ")</f>
        <v>Brick Break,</v>
      </c>
      <c r="D24" s="0" t="str">
        <f aca="false" t="array" ref="D24:D24">IF(ISBLANK(B24),,INDEX('0.2.1 Move Compare'!$B$2:$B1011,MATCH(B24,'0.2.1 Move Compare'!$A$2:$A1011,0)))</f>
        <v>Fighting</v>
      </c>
      <c r="E24" s="0" t="n">
        <f aca="false" t="array" ref="E24:E24">IF(ISBLANK(B24),,IF(INDEX('0.1.2 Attack Dex (GO)'!C17:C1011,MATCH(B24,'0.1.2 Attack Dex (GO)'!A17:A1011,0))="Fast",1,0))</f>
        <v>0</v>
      </c>
      <c r="F24" s="0" t="e">
        <f aca="true">IF(OR($E$1=0,ISBLANK(B24)),,COUNTIF(INDIRECT("'0.0.2 Pokémon Learnset (Core)'!D$"&amp;$E$2&amp;":FG$"&amp;$E$2),B24))</f>
        <v>#VALUE!</v>
      </c>
      <c r="G24" s="0" t="e">
        <f aca="true">IF(ISBLANK(F24),,COUNTIF(INDIRECT("'0.1.1 Pokémon GO Moves'!C"&amp;$E$3&amp;":R$"&amp;$E$3),B24))</f>
        <v>#N/A</v>
      </c>
      <c r="H24" s="0" t="e">
        <f aca="false">IF(ISBLANK(F24),,IF(OR(D24=$B$2,D24=$B$3),1,0))</f>
        <v>#N/A</v>
      </c>
      <c r="J24" s="0" t="str">
        <v>Blast Burn</v>
      </c>
      <c r="K24" s="0" t="str">
        <f aca="false">IF(ISBLANK(J24),,J24&amp;", ")</f>
        <v>Blast Burn,</v>
      </c>
      <c r="L24" s="0" t="str">
        <f aca="false" t="array" ref="L24:L24">IF(ISBLANK(J24),,INDEX('0.2.1 Move Compare'!$B$2:$B1011,MATCH(J24,'0.2.1 Move Compare'!$A$2:$A1011,0)))</f>
        <v>Fire</v>
      </c>
      <c r="M24" s="0" t="e">
        <f aca="true">IF(OR($E$1=0,ISBLANK(J24)),,COUNTIF(INDIRECT("'0.0.2 Pokémon Learnset (Core)'!D$"&amp;$E$2&amp;":FG$"&amp;$E$2),J24))</f>
        <v>#VALUE!</v>
      </c>
      <c r="N24" s="0" t="e">
        <f aca="false">IF(ISBLANK(J24),,IF(OR(L24=$B$2,L24=$B$3),1,0))</f>
        <v>#N/A</v>
      </c>
    </row>
    <row r="25" customFormat="false" ht="15.75" hidden="false" customHeight="false" outlineLevel="0" collapsed="false">
      <c r="B25" s="0" t="str">
        <v>Brine</v>
      </c>
      <c r="C25" s="0" t="str">
        <f aca="false">IF(ISBLANK(B25),,B25&amp;", ")</f>
        <v>Brine,</v>
      </c>
      <c r="D25" s="0" t="str">
        <f aca="false" t="array" ref="D25:D25">IF(ISBLANK(B25),,INDEX('0.2.1 Move Compare'!$B$2:$B1011,MATCH(B25,'0.2.1 Move Compare'!$A$2:$A1011,0)))</f>
        <v>Water</v>
      </c>
      <c r="E25" s="0" t="n">
        <f aca="false" t="array" ref="E25:E25">IF(ISBLANK(B25),,IF(INDEX('0.1.2 Attack Dex (GO)'!C18:C1011,MATCH(B25,'0.1.2 Attack Dex (GO)'!A18:A1011,0))="Fast",1,0))</f>
        <v>0</v>
      </c>
      <c r="F25" s="0" t="e">
        <f aca="true">IF(OR($E$1=0,ISBLANK(B25)),,COUNTIF(INDIRECT("'0.0.2 Pokémon Learnset (Core)'!D$"&amp;$E$2&amp;":FG$"&amp;$E$2),B25))</f>
        <v>#VALUE!</v>
      </c>
      <c r="G25" s="0" t="e">
        <f aca="true">IF(ISBLANK(F25),,COUNTIF(INDIRECT("'0.1.1 Pokémon GO Moves'!C"&amp;$E$3&amp;":R$"&amp;$E$3),B25))</f>
        <v>#N/A</v>
      </c>
      <c r="H25" s="0" t="e">
        <f aca="false">IF(ISBLANK(F25),,IF(OR(D25=$B$2,D25=$B$3),1,0))</f>
        <v>#N/A</v>
      </c>
      <c r="J25" s="0" t="str">
        <v>Blaze Kick</v>
      </c>
      <c r="K25" s="0" t="str">
        <f aca="false">IF(ISBLANK(J25),,J25&amp;", ")</f>
        <v>Blaze Kick,</v>
      </c>
      <c r="L25" s="0" t="str">
        <f aca="false" t="array" ref="L25:L25">IF(ISBLANK(J25),,INDEX('0.2.1 Move Compare'!$B$2:$B1011,MATCH(J25,'0.2.1 Move Compare'!$A$2:$A1011,0)))</f>
        <v>Fire</v>
      </c>
      <c r="M25" s="0" t="e">
        <f aca="true">IF(OR($E$1=0,ISBLANK(J25)),,COUNTIF(INDIRECT("'0.0.2 Pokémon Learnset (Core)'!D$"&amp;$E$2&amp;":FG$"&amp;$E$2),J25))</f>
        <v>#VALUE!</v>
      </c>
      <c r="N25" s="0" t="e">
        <f aca="false">IF(ISBLANK(J25),,IF(OR(L25=$B$2,L25=$B$3),1,0))</f>
        <v>#N/A</v>
      </c>
    </row>
    <row r="26" customFormat="false" ht="15.75" hidden="false" customHeight="false" outlineLevel="0" collapsed="false">
      <c r="B26" s="0" t="str">
        <v>Bubble</v>
      </c>
      <c r="C26" s="0" t="str">
        <f aca="false">IF(ISBLANK(B26),,B26&amp;", ")</f>
        <v>Bubble,</v>
      </c>
      <c r="D26" s="0" t="str">
        <f aca="false" t="array" ref="D26:D26">IF(ISBLANK(B26),,INDEX('0.2.1 Move Compare'!$B$2:$B1011,MATCH(B26,'0.2.1 Move Compare'!$A$2:$A1011,0)))</f>
        <v>Water</v>
      </c>
      <c r="E26" s="0" t="n">
        <f aca="false" t="array" ref="E26:E26">IF(ISBLANK(B26),,IF(INDEX('0.1.2 Attack Dex (GO)'!C19:C1011,MATCH(B26,'0.1.2 Attack Dex (GO)'!A19:A1011,0))="Fast",1,0))</f>
        <v>1</v>
      </c>
      <c r="F26" s="0" t="e">
        <f aca="true">IF(OR($E$1=0,ISBLANK(B26)),,COUNTIF(INDIRECT("'0.0.2 Pokémon Learnset (Core)'!D$"&amp;$E$2&amp;":FG$"&amp;$E$2),B26))</f>
        <v>#VALUE!</v>
      </c>
      <c r="G26" s="0" t="e">
        <f aca="true">IF(ISBLANK(F26),,COUNTIF(INDIRECT("'0.1.1 Pokémon GO Moves'!C"&amp;$E$3&amp;":R$"&amp;$E$3),B26))</f>
        <v>#N/A</v>
      </c>
      <c r="H26" s="0" t="e">
        <f aca="false">IF(ISBLANK(F26),,IF(OR(D26=$B$2,D26=$B$3),1,0))</f>
        <v>#N/A</v>
      </c>
      <c r="J26" s="0" t="str">
        <v>Blue Flare</v>
      </c>
      <c r="K26" s="0" t="str">
        <f aca="false">IF(ISBLANK(J26),,J26&amp;", ")</f>
        <v>Blue Flare,</v>
      </c>
      <c r="L26" s="0" t="str">
        <f aca="false" t="array" ref="L26:L26">IF(ISBLANK(J26),,INDEX('0.2.1 Move Compare'!$B$2:$B1011,MATCH(J26,'0.2.1 Move Compare'!$A$2:$A1011,0)))</f>
        <v>Fire</v>
      </c>
      <c r="M26" s="0" t="e">
        <f aca="true">IF(OR($E$1=0,ISBLANK(J26)),,COUNTIF(INDIRECT("'0.0.2 Pokémon Learnset (Core)'!D$"&amp;$E$2&amp;":FG$"&amp;$E$2),J26))</f>
        <v>#VALUE!</v>
      </c>
      <c r="N26" s="0" t="e">
        <f aca="false">IF(ISBLANK(J26),,IF(OR(L26=$B$2,L26=$B$3),1,0))</f>
        <v>#N/A</v>
      </c>
    </row>
    <row r="27" customFormat="false" ht="15.75" hidden="false" customHeight="false" outlineLevel="0" collapsed="false">
      <c r="B27" s="0" t="str">
        <v>Bubble Beam</v>
      </c>
      <c r="C27" s="0" t="str">
        <f aca="false">IF(ISBLANK(B27),,B27&amp;", ")</f>
        <v>Bubble Beam,</v>
      </c>
      <c r="D27" s="0" t="str">
        <f aca="false" t="array" ref="D27:D27">IF(ISBLANK(B27),,INDEX('0.2.1 Move Compare'!$B$2:$B1011,MATCH(B27,'0.2.1 Move Compare'!$A$2:$A1011,0)))</f>
        <v>Water</v>
      </c>
      <c r="E27" s="0" t="n">
        <f aca="false" t="array" ref="E27:E27">IF(ISBLANK(B27),,IF(INDEX('0.1.2 Attack Dex (GO)'!C20:C1011,MATCH(B27,'0.1.2 Attack Dex (GO)'!A20:A1011,0))="Fast",1,0))</f>
        <v>0</v>
      </c>
      <c r="F27" s="0" t="e">
        <f aca="true">IF(OR($E$1=0,ISBLANK(B27)),,COUNTIF(INDIRECT("'0.0.2 Pokémon Learnset (Core)'!D$"&amp;$E$2&amp;":FG$"&amp;$E$2),B27))</f>
        <v>#VALUE!</v>
      </c>
      <c r="G27" s="0" t="e">
        <f aca="true">IF(ISBLANK(F27),,COUNTIF(INDIRECT("'0.1.1 Pokémon GO Moves'!C"&amp;$E$3&amp;":R$"&amp;$E$3),B27))</f>
        <v>#N/A</v>
      </c>
      <c r="H27" s="0" t="e">
        <f aca="false">IF(ISBLANK(F27),,IF(OR(D27=$B$2,D27=$B$3),1,0))</f>
        <v>#N/A</v>
      </c>
      <c r="J27" s="0" t="str">
        <v>Bolt Strike</v>
      </c>
      <c r="K27" s="0" t="str">
        <f aca="false">IF(ISBLANK(J27),,J27&amp;", ")</f>
        <v>Bolt Strike,</v>
      </c>
      <c r="L27" s="0" t="str">
        <f aca="false" t="array" ref="L27:L27">IF(ISBLANK(J27),,INDEX('0.2.1 Move Compare'!$B$2:$B1011,MATCH(J27,'0.2.1 Move Compare'!$A$2:$A1011,0)))</f>
        <v>Electric</v>
      </c>
      <c r="M27" s="0" t="e">
        <f aca="true">IF(OR($E$1=0,ISBLANK(J27)),,COUNTIF(INDIRECT("'0.0.2 Pokémon Learnset (Core)'!D$"&amp;$E$2&amp;":FG$"&amp;$E$2),J27))</f>
        <v>#VALUE!</v>
      </c>
      <c r="N27" s="0" t="e">
        <f aca="false">IF(ISBLANK(J27),,IF(OR(L27=$B$2,L27=$B$3),1,0))</f>
        <v>#N/A</v>
      </c>
    </row>
    <row r="28" customFormat="false" ht="15.75" hidden="false" customHeight="false" outlineLevel="0" collapsed="false">
      <c r="B28" s="0" t="str">
        <v>Bug Bite</v>
      </c>
      <c r="C28" s="0" t="str">
        <f aca="false">IF(ISBLANK(B28),,B28&amp;", ")</f>
        <v>Bug Bite,</v>
      </c>
      <c r="D28" s="0" t="str">
        <f aca="false" t="array" ref="D28:D28">IF(ISBLANK(B28),,INDEX('0.2.1 Move Compare'!$B$2:$B1011,MATCH(B28,'0.2.1 Move Compare'!$A$2:$A1011,0)))</f>
        <v>Bug</v>
      </c>
      <c r="E28" s="0" t="n">
        <f aca="false" t="array" ref="E28:E28">IF(ISBLANK(B28),,IF(INDEX('0.1.2 Attack Dex (GO)'!C21:C1011,MATCH(B28,'0.1.2 Attack Dex (GO)'!A21:A1011,0))="Fast",1,0))</f>
        <v>1</v>
      </c>
      <c r="F28" s="0" t="e">
        <f aca="true">IF(OR($E$1=0,ISBLANK(B28)),,COUNTIF(INDIRECT("'0.0.2 Pokémon Learnset (Core)'!D$"&amp;$E$2&amp;":FG$"&amp;$E$2),B28))</f>
        <v>#VALUE!</v>
      </c>
      <c r="G28" s="0" t="e">
        <f aca="true">IF(ISBLANK(F28),,COUNTIF(INDIRECT("'0.1.1 Pokémon GO Moves'!C"&amp;$E$3&amp;":R$"&amp;$E$3),B28))</f>
        <v>#N/A</v>
      </c>
      <c r="H28" s="0" t="e">
        <f aca="false">IF(ISBLANK(F28),,IF(OR(D28=$B$2,D28=$B$3),1,0))</f>
        <v>#N/A</v>
      </c>
      <c r="J28" s="0" t="str">
        <v>Bone Rush</v>
      </c>
      <c r="K28" s="0" t="str">
        <f aca="false">IF(ISBLANK(J28),,J28&amp;", ")</f>
        <v>Bone Rush,</v>
      </c>
      <c r="L28" s="0" t="str">
        <f aca="false" t="array" ref="L28:L28">IF(ISBLANK(J28),,INDEX('0.2.1 Move Compare'!$B$2:$B1011,MATCH(J28,'0.2.1 Move Compare'!$A$2:$A1011,0)))</f>
        <v>Ground</v>
      </c>
      <c r="M28" s="0" t="e">
        <f aca="true">IF(OR($E$1=0,ISBLANK(J28)),,COUNTIF(INDIRECT("'0.0.2 Pokémon Learnset (Core)'!D$"&amp;$E$2&amp;":FG$"&amp;$E$2),J28))</f>
        <v>#VALUE!</v>
      </c>
      <c r="N28" s="0" t="e">
        <f aca="false">IF(ISBLANK(J28),,IF(OR(L28=$B$2,L28=$B$3),1,0))</f>
        <v>#N/A</v>
      </c>
    </row>
    <row r="29" customFormat="false" ht="15.75" hidden="false" customHeight="false" outlineLevel="0" collapsed="false">
      <c r="B29" s="0" t="str">
        <v>Bug Buzz</v>
      </c>
      <c r="C29" s="0" t="str">
        <f aca="false">IF(ISBLANK(B29),,B29&amp;", ")</f>
        <v>Bug Buzz,</v>
      </c>
      <c r="D29" s="0" t="str">
        <f aca="false" t="array" ref="D29:D29">IF(ISBLANK(B29),,INDEX('0.2.1 Move Compare'!$B$2:$B1011,MATCH(B29,'0.2.1 Move Compare'!$A$2:$A1011,0)))</f>
        <v>Bug</v>
      </c>
      <c r="E29" s="0" t="n">
        <f aca="false" t="array" ref="E29:E29">IF(ISBLANK(B29),,IF(INDEX('0.1.2 Attack Dex (GO)'!C22:C1011,MATCH(B29,'0.1.2 Attack Dex (GO)'!A22:A1011,0))="Fast",1,0))</f>
        <v>0</v>
      </c>
      <c r="F29" s="0" t="e">
        <f aca="true">IF(OR($E$1=0,ISBLANK(B29)),,COUNTIF(INDIRECT("'0.0.2 Pokémon Learnset (Core)'!D$"&amp;$E$2&amp;":FG$"&amp;$E$2),B29))</f>
        <v>#VALUE!</v>
      </c>
      <c r="G29" s="0" t="e">
        <f aca="true">IF(ISBLANK(F29),,COUNTIF(INDIRECT("'0.1.1 Pokémon GO Moves'!C"&amp;$E$3&amp;":R$"&amp;$E$3),B29))</f>
        <v>#N/A</v>
      </c>
      <c r="H29" s="0" t="e">
        <f aca="false">IF(ISBLANK(F29),,IF(OR(D29=$B$2,D29=$B$3),1,0))</f>
        <v>#N/A</v>
      </c>
      <c r="J29" s="0" t="str">
        <v>Bonemerang</v>
      </c>
      <c r="K29" s="0" t="str">
        <f aca="false">IF(ISBLANK(J29),,J29&amp;", ")</f>
        <v>Bonemerang,</v>
      </c>
      <c r="L29" s="0" t="str">
        <f aca="false" t="array" ref="L29:L29">IF(ISBLANK(J29),,INDEX('0.2.1 Move Compare'!$B$2:$B1011,MATCH(J29,'0.2.1 Move Compare'!$A$2:$A1011,0)))</f>
        <v>Ground</v>
      </c>
      <c r="M29" s="0" t="e">
        <f aca="true">IF(OR($E$1=0,ISBLANK(J29)),,COUNTIF(INDIRECT("'0.0.2 Pokémon Learnset (Core)'!D$"&amp;$E$2&amp;":FG$"&amp;$E$2),J29))</f>
        <v>#VALUE!</v>
      </c>
      <c r="N29" s="0" t="e">
        <f aca="false">IF(ISBLANK(J29),,IF(OR(L29=$B$2,L29=$B$3),1,0))</f>
        <v>#N/A</v>
      </c>
    </row>
    <row r="30" customFormat="false" ht="15.75" hidden="false" customHeight="false" outlineLevel="0" collapsed="false">
      <c r="B30" s="0" t="str">
        <v>Bulldoze</v>
      </c>
      <c r="C30" s="0" t="str">
        <f aca="false">IF(ISBLANK(B30),,B30&amp;", ")</f>
        <v>Bulldoze,</v>
      </c>
      <c r="D30" s="0" t="str">
        <f aca="false" t="array" ref="D30:D30">IF(ISBLANK(B30),,INDEX('0.2.1 Move Compare'!$B$2:$B1011,MATCH(B30,'0.2.1 Move Compare'!$A$2:$A1011,0)))</f>
        <v>Ground</v>
      </c>
      <c r="E30" s="0" t="n">
        <f aca="false" t="array" ref="E30:E30">IF(ISBLANK(B30),,IF(INDEX('0.1.2 Attack Dex (GO)'!C23:C1011,MATCH(B30,'0.1.2 Attack Dex (GO)'!A23:A1011,0))="Fast",1,0))</f>
        <v>0</v>
      </c>
      <c r="F30" s="0" t="e">
        <f aca="true">IF(OR($E$1=0,ISBLANK(B30)),,COUNTIF(INDIRECT("'0.0.2 Pokémon Learnset (Core)'!D$"&amp;$E$2&amp;":FG$"&amp;$E$2),B30))</f>
        <v>#VALUE!</v>
      </c>
      <c r="G30" s="0" t="e">
        <f aca="true">IF(ISBLANK(F30),,COUNTIF(INDIRECT("'0.1.1 Pokémon GO Moves'!C"&amp;$E$3&amp;":R$"&amp;$E$3),B30))</f>
        <v>#N/A</v>
      </c>
      <c r="H30" s="0" t="e">
        <f aca="false">IF(ISBLANK(F30),,IF(OR(D30=$B$2,D30=$B$3),1,0))</f>
        <v>#N/A</v>
      </c>
      <c r="J30" s="0" t="str">
        <v>Boomburst</v>
      </c>
      <c r="K30" s="0" t="str">
        <f aca="false">IF(ISBLANK(J30),,J30&amp;", ")</f>
        <v>Boomburst,</v>
      </c>
      <c r="L30" s="0" t="str">
        <f aca="false" t="array" ref="L30:L30">IF(ISBLANK(J30),,INDEX('0.2.1 Move Compare'!$B$2:$B1011,MATCH(J30,'0.2.1 Move Compare'!$A$2:$A1011,0)))</f>
        <v>Normal</v>
      </c>
      <c r="M30" s="0" t="e">
        <f aca="true">IF(OR($E$1=0,ISBLANK(J30)),,COUNTIF(INDIRECT("'0.0.2 Pokémon Learnset (Core)'!D$"&amp;$E$2&amp;":FG$"&amp;$E$2),J30))</f>
        <v>#VALUE!</v>
      </c>
      <c r="N30" s="0" t="e">
        <f aca="false">IF(ISBLANK(J30),,IF(OR(L30=$B$2,L30=$B$3),1,0))</f>
        <v>#N/A</v>
      </c>
    </row>
    <row r="31" customFormat="false" ht="15.75" hidden="false" customHeight="false" outlineLevel="0" collapsed="false">
      <c r="B31" s="0" t="str">
        <v>Bullet Punch</v>
      </c>
      <c r="C31" s="0" t="str">
        <f aca="false">IF(ISBLANK(B31),,B31&amp;", ")</f>
        <v>Bullet Punch,</v>
      </c>
      <c r="D31" s="0" t="str">
        <f aca="false" t="array" ref="D31:D31">IF(ISBLANK(B31),,INDEX('0.2.1 Move Compare'!$B$2:$B1011,MATCH(B31,'0.2.1 Move Compare'!$A$2:$A1011,0)))</f>
        <v>Steel</v>
      </c>
      <c r="E31" s="0" t="n">
        <f aca="false" t="array" ref="E31:E31">IF(ISBLANK(B31),,IF(INDEX('0.1.2 Attack Dex (GO)'!C24:C1011,MATCH(B31,'0.1.2 Attack Dex (GO)'!A24:A1011,0))="Fast",1,0))</f>
        <v>1</v>
      </c>
      <c r="F31" s="0" t="e">
        <f aca="true">IF(OR($E$1=0,ISBLANK(B31)),,COUNTIF(INDIRECT("'0.0.2 Pokémon Learnset (Core)'!D$"&amp;$E$2&amp;":FG$"&amp;$E$2),B31))</f>
        <v>#VALUE!</v>
      </c>
      <c r="G31" s="0" t="e">
        <f aca="true">IF(ISBLANK(F31),,COUNTIF(INDIRECT("'0.1.1 Pokémon GO Moves'!C"&amp;$E$3&amp;":R$"&amp;$E$3),B31))</f>
        <v>#N/A</v>
      </c>
      <c r="H31" s="0" t="e">
        <f aca="false">IF(ISBLANK(F31),,IF(OR(D31=$B$2,D31=$B$3),1,0))</f>
        <v>#N/A</v>
      </c>
      <c r="J31" s="0" t="str">
        <v>Bounce</v>
      </c>
      <c r="K31" s="0" t="str">
        <f aca="false">IF(ISBLANK(J31),,J31&amp;", ")</f>
        <v>Bounce,</v>
      </c>
      <c r="L31" s="0" t="str">
        <f aca="false" t="array" ref="L31:L31">IF(ISBLANK(J31),,INDEX('0.2.1 Move Compare'!$B$2:$B1011,MATCH(J31,'0.2.1 Move Compare'!$A$2:$A1011,0)))</f>
        <v>Flying</v>
      </c>
      <c r="M31" s="0" t="e">
        <f aca="true">IF(OR($E$1=0,ISBLANK(J31)),,COUNTIF(INDIRECT("'0.0.2 Pokémon Learnset (Core)'!D$"&amp;$E$2&amp;":FG$"&amp;$E$2),J31))</f>
        <v>#VALUE!</v>
      </c>
      <c r="N31" s="0" t="e">
        <f aca="false">IF(ISBLANK(J31),,IF(OR(L31=$B$2,L31=$B$3),1,0))</f>
        <v>#N/A</v>
      </c>
    </row>
    <row r="32" customFormat="false" ht="15.75" hidden="false" customHeight="false" outlineLevel="0" collapsed="false">
      <c r="B32" s="0" t="str">
        <v>Bullet Seed</v>
      </c>
      <c r="C32" s="0" t="str">
        <f aca="false">IF(ISBLANK(B32),,B32&amp;", ")</f>
        <v>Bullet Seed,</v>
      </c>
      <c r="D32" s="0" t="str">
        <f aca="false" t="array" ref="D32:D32">IF(ISBLANK(B32),,INDEX('0.2.1 Move Compare'!$B$2:$B1011,MATCH(B32,'0.2.1 Move Compare'!$A$2:$A1011,0)))</f>
        <v>Grass</v>
      </c>
      <c r="E32" s="0" t="n">
        <f aca="false" t="array" ref="E32:E32">IF(ISBLANK(B32),,IF(INDEX('0.1.2 Attack Dex (GO)'!C25:C1011,MATCH(B32,'0.1.2 Attack Dex (GO)'!A25:A1011,0))="Fast",1,0))</f>
        <v>1</v>
      </c>
      <c r="F32" s="0" t="e">
        <f aca="true">IF(OR($E$1=0,ISBLANK(B32)),,COUNTIF(INDIRECT("'0.0.2 Pokémon Learnset (Core)'!D$"&amp;$E$2&amp;":FG$"&amp;$E$2),B32))</f>
        <v>#VALUE!</v>
      </c>
      <c r="G32" s="0" t="e">
        <f aca="true">IF(ISBLANK(F32),,COUNTIF(INDIRECT("'0.1.1 Pokémon GO Moves'!C"&amp;$E$3&amp;":R$"&amp;$E$3),B32))</f>
        <v>#N/A</v>
      </c>
      <c r="H32" s="0" t="e">
        <f aca="false">IF(ISBLANK(F32),,IF(OR(D32=$B$2,D32=$B$3),1,0))</f>
        <v>#N/A</v>
      </c>
      <c r="J32" s="0" t="str">
        <v>Brutal Swing</v>
      </c>
      <c r="K32" s="0" t="str">
        <f aca="false">IF(ISBLANK(J32),,J32&amp;", ")</f>
        <v>Brutal Swing,</v>
      </c>
      <c r="L32" s="0" t="str">
        <f aca="false" t="array" ref="L32:L32">IF(ISBLANK(J32),,INDEX('0.2.1 Move Compare'!$B$2:$B1011,MATCH(J32,'0.2.1 Move Compare'!$A$2:$A1011,0)))</f>
        <v>Dark</v>
      </c>
      <c r="M32" s="0" t="e">
        <f aca="true">IF(OR($E$1=0,ISBLANK(J32)),,COUNTIF(INDIRECT("'0.0.2 Pokémon Learnset (Core)'!D$"&amp;$E$2&amp;":FG$"&amp;$E$2),J32))</f>
        <v>#VALUE!</v>
      </c>
      <c r="N32" s="0" t="e">
        <f aca="false">IF(ISBLANK(J32),,IF(OR(L32=$B$2,L32=$B$3),1,0))</f>
        <v>#N/A</v>
      </c>
    </row>
    <row r="33" customFormat="false" ht="15.75" hidden="false" customHeight="false" outlineLevel="0" collapsed="false">
      <c r="B33" s="0" t="str">
        <v>Charge Beam</v>
      </c>
      <c r="C33" s="0" t="str">
        <f aca="false">IF(ISBLANK(B33),,B33&amp;", ")</f>
        <v>Charge Beam,</v>
      </c>
      <c r="D33" s="0" t="str">
        <f aca="false" t="array" ref="D33:D33">IF(ISBLANK(B33),,INDEX('0.2.1 Move Compare'!$B$2:$B1011,MATCH(B33,'0.2.1 Move Compare'!$A$2:$A1011,0)))</f>
        <v>Electric</v>
      </c>
      <c r="E33" s="0" t="n">
        <f aca="false" t="array" ref="E33:E33">IF(ISBLANK(B33),,IF(INDEX('0.1.2 Attack Dex (GO)'!C26:C1011,MATCH(B33,'0.1.2 Attack Dex (GO)'!A26:A1011,0))="Fast",1,0))</f>
        <v>1</v>
      </c>
      <c r="F33" s="0" t="e">
        <f aca="true">IF(OR($E$1=0,ISBLANK(B33)),,COUNTIF(INDIRECT("'0.0.2 Pokémon Learnset (Core)'!D$"&amp;$E$2&amp;":FG$"&amp;$E$2),B33))</f>
        <v>#VALUE!</v>
      </c>
      <c r="G33" s="0" t="e">
        <f aca="true">IF(ISBLANK(F33),,COUNTIF(INDIRECT("'0.1.1 Pokémon GO Moves'!C"&amp;$E$3&amp;":R$"&amp;$E$3),B33))</f>
        <v>#N/A</v>
      </c>
      <c r="H33" s="0" t="e">
        <f aca="false">IF(ISBLANK(F33),,IF(OR(D33=$B$2,D33=$B$3),1,0))</f>
        <v>#N/A</v>
      </c>
      <c r="J33" s="0" t="str">
        <v>Burn Up</v>
      </c>
      <c r="K33" s="0" t="str">
        <f aca="false">IF(ISBLANK(J33),,J33&amp;", ")</f>
        <v>Burn Up,</v>
      </c>
      <c r="L33" s="0" t="str">
        <f aca="false" t="array" ref="L33:L33">IF(ISBLANK(J33),,INDEX('0.2.1 Move Compare'!$B$2:$B1011,MATCH(J33,'0.2.1 Move Compare'!$A$2:$A1011,0)))</f>
        <v>Fire</v>
      </c>
      <c r="M33" s="0" t="e">
        <f aca="true">IF(OR($E$1=0,ISBLANK(J33)),,COUNTIF(INDIRECT("'0.0.2 Pokémon Learnset (Core)'!D$"&amp;$E$2&amp;":FG$"&amp;$E$2),J33))</f>
        <v>#VALUE!</v>
      </c>
      <c r="N33" s="0" t="e">
        <f aca="false">IF(ISBLANK(J33),,IF(OR(L33=$B$2,L33=$B$3),1,0))</f>
        <v>#N/A</v>
      </c>
    </row>
    <row r="34" customFormat="false" ht="15.75" hidden="false" customHeight="false" outlineLevel="0" collapsed="false">
      <c r="B34" s="0" t="str">
        <v>Close Combat</v>
      </c>
      <c r="C34" s="0" t="str">
        <f aca="false">IF(ISBLANK(B34),,B34&amp;", ")</f>
        <v>Close Combat,</v>
      </c>
      <c r="D34" s="0" t="str">
        <f aca="false" t="array" ref="D34:D34">IF(ISBLANK(B34),,INDEX('0.2.1 Move Compare'!$B$2:$B1011,MATCH(B34,'0.2.1 Move Compare'!$A$2:$A1011,0)))</f>
        <v>Fighting</v>
      </c>
      <c r="E34" s="0" t="n">
        <f aca="false" t="array" ref="E34:E34">IF(ISBLANK(B34),,IF(INDEX('0.1.2 Attack Dex (GO)'!C27:C1011,MATCH(B34,'0.1.2 Attack Dex (GO)'!A27:A1011,0))="Fast",1,0))</f>
        <v>0</v>
      </c>
      <c r="F34" s="0" t="e">
        <f aca="true">IF(OR($E$1=0,ISBLANK(B34)),,COUNTIF(INDIRECT("'0.0.2 Pokémon Learnset (Core)'!D$"&amp;$E$2&amp;":FG$"&amp;$E$2),B34))</f>
        <v>#VALUE!</v>
      </c>
      <c r="G34" s="0" t="e">
        <f aca="true">IF(ISBLANK(F34),,COUNTIF(INDIRECT("'0.1.1 Pokémon GO Moves'!C"&amp;$E$3&amp;":R$"&amp;$E$3),B34))</f>
        <v>#N/A</v>
      </c>
      <c r="H34" s="0" t="e">
        <f aca="false">IF(ISBLANK(F34),,IF(OR(D34=$B$2,D34=$B$3),1,0))</f>
        <v>#N/A</v>
      </c>
      <c r="J34" s="0" t="str">
        <v>Chatter</v>
      </c>
      <c r="K34" s="0" t="str">
        <f aca="false">IF(ISBLANK(J34),,J34&amp;", ")</f>
        <v>Chatter,</v>
      </c>
      <c r="L34" s="0" t="str">
        <f aca="false" t="array" ref="L34:L34">IF(ISBLANK(J34),,INDEX('0.2.1 Move Compare'!$B$2:$B1011,MATCH(J34,'0.2.1 Move Compare'!$A$2:$A1011,0)))</f>
        <v>Flying</v>
      </c>
      <c r="M34" s="0" t="e">
        <f aca="true">IF(OR($E$1=0,ISBLANK(J34)),,COUNTIF(INDIRECT("'0.0.2 Pokémon Learnset (Core)'!D$"&amp;$E$2&amp;":FG$"&amp;$E$2),J34))</f>
        <v>#VALUE!</v>
      </c>
      <c r="N34" s="0" t="e">
        <f aca="false">IF(ISBLANK(J34),,IF(OR(L34=$B$2,L34=$B$3),1,0))</f>
        <v>#N/A</v>
      </c>
    </row>
    <row r="35" customFormat="false" ht="15.75" hidden="false" customHeight="false" outlineLevel="0" collapsed="false">
      <c r="B35" s="0" t="str">
        <v>Confusion</v>
      </c>
      <c r="C35" s="0" t="str">
        <f aca="false">IF(ISBLANK(B35),,B35&amp;", ")</f>
        <v>Confusion,</v>
      </c>
      <c r="D35" s="0" t="str">
        <f aca="false" t="array" ref="D35:D35">IF(ISBLANK(B35),,INDEX('0.2.1 Move Compare'!$B$2:$B1011,MATCH(B35,'0.2.1 Move Compare'!$A$2:$A1011,0)))</f>
        <v>Psychic</v>
      </c>
      <c r="E35" s="0" t="n">
        <f aca="false" t="array" ref="E35:E35">IF(ISBLANK(B35),,IF(INDEX('0.1.2 Attack Dex (GO)'!C28:C1011,MATCH(B35,'0.1.2 Attack Dex (GO)'!A28:A1011,0))="Fast",1,0))</f>
        <v>1</v>
      </c>
      <c r="F35" s="0" t="e">
        <f aca="true">IF(OR($E$1=0,ISBLANK(B35)),,COUNTIF(INDIRECT("'0.0.2 Pokémon Learnset (Core)'!D$"&amp;$E$2&amp;":FG$"&amp;$E$2),B35))</f>
        <v>#VALUE!</v>
      </c>
      <c r="G35" s="0" t="e">
        <f aca="true">IF(ISBLANK(F35),,COUNTIF(INDIRECT("'0.1.1 Pokémon GO Moves'!C"&amp;$E$3&amp;":R$"&amp;$E$3),B35))</f>
        <v>#N/A</v>
      </c>
      <c r="H35" s="0" t="e">
        <f aca="false">IF(ISBLANK(F35),,IF(OR(D35=$B$2,D35=$B$3),1,0))</f>
        <v>#N/A</v>
      </c>
      <c r="J35" s="0" t="str">
        <v>Chip Away</v>
      </c>
      <c r="K35" s="0" t="str">
        <f aca="false">IF(ISBLANK(J35),,J35&amp;", ")</f>
        <v>Chip Away,</v>
      </c>
      <c r="L35" s="0" t="str">
        <f aca="false" t="array" ref="L35:L35">IF(ISBLANK(J35),,INDEX('0.2.1 Move Compare'!$B$2:$B1011,MATCH(J35,'0.2.1 Move Compare'!$A$2:$A1011,0)))</f>
        <v>Normal</v>
      </c>
      <c r="M35" s="0" t="e">
        <f aca="true">IF(OR($E$1=0,ISBLANK(J35)),,COUNTIF(INDIRECT("'0.0.2 Pokémon Learnset (Core)'!D$"&amp;$E$2&amp;":FG$"&amp;$E$2),J35))</f>
        <v>#VALUE!</v>
      </c>
      <c r="N35" s="0" t="e">
        <f aca="false">IF(ISBLANK(J35),,IF(OR(L35=$B$2,L35=$B$3),1,0))</f>
        <v>#N/A</v>
      </c>
    </row>
    <row r="36" customFormat="false" ht="15.75" hidden="false" customHeight="false" outlineLevel="0" collapsed="false">
      <c r="B36" s="0" t="str">
        <v>Counter</v>
      </c>
      <c r="C36" s="0" t="str">
        <f aca="false">IF(ISBLANK(B36),,B36&amp;", ")</f>
        <v>Counter,</v>
      </c>
      <c r="D36" s="0" t="str">
        <f aca="false" t="array" ref="D36:D36">IF(ISBLANK(B36),,INDEX('0.2.1 Move Compare'!$B$2:$B1011,MATCH(B36,'0.2.1 Move Compare'!$A$2:$A1011,0)))</f>
        <v>Fighting</v>
      </c>
      <c r="E36" s="0" t="n">
        <f aca="false" t="array" ref="E36:E36">IF(ISBLANK(B36),,IF(INDEX('0.1.2 Attack Dex (GO)'!C29:C1011,MATCH(B36,'0.1.2 Attack Dex (GO)'!A29:A1011,0))="Fast",1,0))</f>
        <v>1</v>
      </c>
      <c r="F36" s="0" t="e">
        <f aca="true">IF(OR($E$1=0,ISBLANK(B36)),,COUNTIF(INDIRECT("'0.0.2 Pokémon Learnset (Core)'!D$"&amp;$E$2&amp;":FG$"&amp;$E$2),B36))</f>
        <v>#VALUE!</v>
      </c>
      <c r="G36" s="0" t="e">
        <f aca="true">IF(ISBLANK(F36),,COUNTIF(INDIRECT("'0.1.1 Pokémon GO Moves'!C"&amp;$E$3&amp;":R$"&amp;$E$3),B36))</f>
        <v>#N/A</v>
      </c>
      <c r="H36" s="0" t="e">
        <f aca="false">IF(ISBLANK(F36),,IF(OR(D36=$B$2,D36=$B$3),1,0))</f>
        <v>#N/A</v>
      </c>
      <c r="J36" s="0" t="str">
        <v>Circle Throw</v>
      </c>
      <c r="K36" s="0" t="str">
        <f aca="false">IF(ISBLANK(J36),,J36&amp;", ")</f>
        <v>Circle Throw,</v>
      </c>
      <c r="L36" s="0" t="str">
        <f aca="false" t="array" ref="L36:L36">IF(ISBLANK(J36),,INDEX('0.2.1 Move Compare'!$B$2:$B1011,MATCH(J36,'0.2.1 Move Compare'!$A$2:$A1011,0)))</f>
        <v>Fighting</v>
      </c>
      <c r="M36" s="0" t="e">
        <f aca="true">IF(OR($E$1=0,ISBLANK(J36)),,COUNTIF(INDIRECT("'0.0.2 Pokémon Learnset (Core)'!D$"&amp;$E$2&amp;":FG$"&amp;$E$2),J36))</f>
        <v>#VALUE!</v>
      </c>
      <c r="N36" s="0" t="e">
        <f aca="false">IF(ISBLANK(J36),,IF(OR(L36=$B$2,L36=$B$3),1,0))</f>
        <v>#N/A</v>
      </c>
    </row>
    <row r="37" customFormat="false" ht="15.75" hidden="false" customHeight="false" outlineLevel="0" collapsed="false">
      <c r="B37" s="0" t="str">
        <v>Cross Chop</v>
      </c>
      <c r="C37" s="0" t="str">
        <f aca="false">IF(ISBLANK(B37),,B37&amp;", ")</f>
        <v>Cross Chop,</v>
      </c>
      <c r="D37" s="0" t="str">
        <f aca="false" t="array" ref="D37:D37">IF(ISBLANK(B37),,INDEX('0.2.1 Move Compare'!$B$2:$B1011,MATCH(B37,'0.2.1 Move Compare'!$A$2:$A1011,0)))</f>
        <v>Fighting</v>
      </c>
      <c r="E37" s="0" t="n">
        <f aca="false" t="array" ref="E37:E37">IF(ISBLANK(B37),,IF(INDEX('0.1.2 Attack Dex (GO)'!C30:C1011,MATCH(B37,'0.1.2 Attack Dex (GO)'!A30:A1011,0))="Fast",1,0))</f>
        <v>0</v>
      </c>
      <c r="F37" s="0" t="e">
        <f aca="true">IF(OR($E$1=0,ISBLANK(B37)),,COUNTIF(INDIRECT("'0.0.2 Pokémon Learnset (Core)'!D$"&amp;$E$2&amp;":FG$"&amp;$E$2),B37))</f>
        <v>#VALUE!</v>
      </c>
      <c r="G37" s="0" t="e">
        <f aca="true">IF(ISBLANK(F37),,COUNTIF(INDIRECT("'0.1.1 Pokémon GO Moves'!C"&amp;$E$3&amp;":R$"&amp;$E$3),B37))</f>
        <v>#N/A</v>
      </c>
      <c r="H37" s="0" t="e">
        <f aca="false">IF(ISBLANK(F37),,IF(OR(D37=$B$2,D37=$B$3),1,0))</f>
        <v>#N/A</v>
      </c>
      <c r="J37" s="0" t="str">
        <v>Clamp</v>
      </c>
      <c r="K37" s="0" t="str">
        <f aca="false">IF(ISBLANK(J37),,J37&amp;", ")</f>
        <v>Clamp,</v>
      </c>
      <c r="L37" s="0" t="str">
        <f aca="false" t="array" ref="L37:L37">IF(ISBLANK(J37),,INDEX('0.2.1 Move Compare'!$B$2:$B1011,MATCH(J37,'0.2.1 Move Compare'!$A$2:$A1011,0)))</f>
        <v>Water</v>
      </c>
      <c r="M37" s="0" t="e">
        <f aca="true">IF(OR($E$1=0,ISBLANK(J37)),,COUNTIF(INDIRECT("'0.0.2 Pokémon Learnset (Core)'!D$"&amp;$E$2&amp;":FG$"&amp;$E$2),J37))</f>
        <v>#VALUE!</v>
      </c>
      <c r="N37" s="0" t="e">
        <f aca="false">IF(ISBLANK(J37),,IF(OR(L37=$B$2,L37=$B$3),1,0))</f>
        <v>#N/A</v>
      </c>
    </row>
    <row r="38" customFormat="false" ht="15.75" hidden="false" customHeight="false" outlineLevel="0" collapsed="false">
      <c r="B38" s="0" t="str">
        <v>Cross Poison</v>
      </c>
      <c r="C38" s="0" t="str">
        <f aca="false">IF(ISBLANK(B38),,B38&amp;", ")</f>
        <v>Cross Poison,</v>
      </c>
      <c r="D38" s="0" t="str">
        <f aca="false" t="array" ref="D38:D38">IF(ISBLANK(B38),,INDEX('0.2.1 Move Compare'!$B$2:$B1011,MATCH(B38,'0.2.1 Move Compare'!$A$2:$A1011,0)))</f>
        <v>Poison</v>
      </c>
      <c r="E38" s="0" t="n">
        <f aca="false" t="array" ref="E38:E38">IF(ISBLANK(B38),,IF(INDEX('0.1.2 Attack Dex (GO)'!C31:C1011,MATCH(B38,'0.1.2 Attack Dex (GO)'!A31:A1011,0))="Fast",1,0))</f>
        <v>0</v>
      </c>
      <c r="F38" s="0" t="e">
        <f aca="true">IF(OR($E$1=0,ISBLANK(B38)),,COUNTIF(INDIRECT("'0.0.2 Pokémon Learnset (Core)'!D$"&amp;$E$2&amp;":FG$"&amp;$E$2),B38))</f>
        <v>#VALUE!</v>
      </c>
      <c r="G38" s="0" t="e">
        <f aca="true">IF(ISBLANK(F38),,COUNTIF(INDIRECT("'0.1.1 Pokémon GO Moves'!C"&amp;$E$3&amp;":R$"&amp;$E$3),B38))</f>
        <v>#N/A</v>
      </c>
      <c r="H38" s="0" t="e">
        <f aca="false">IF(ISBLANK(F38),,IF(OR(D38=$B$2,D38=$B$3),1,0))</f>
        <v>#N/A</v>
      </c>
      <c r="J38" s="0" t="str">
        <v>Clanging Scales</v>
      </c>
      <c r="K38" s="0" t="str">
        <f aca="false">IF(ISBLANK(J38),,J38&amp;", ")</f>
        <v>Clanging Scales,</v>
      </c>
      <c r="L38" s="0" t="str">
        <f aca="false" t="array" ref="L38:L38">IF(ISBLANK(J38),,INDEX('0.2.1 Move Compare'!$B$2:$B1011,MATCH(J38,'0.2.1 Move Compare'!$A$2:$A1011,0)))</f>
        <v>Dragon</v>
      </c>
      <c r="M38" s="0" t="e">
        <f aca="true">IF(OR($E$1=0,ISBLANK(J38)),,COUNTIF(INDIRECT("'0.0.2 Pokémon Learnset (Core)'!D$"&amp;$E$2&amp;":FG$"&amp;$E$2),J38))</f>
        <v>#VALUE!</v>
      </c>
      <c r="N38" s="0" t="e">
        <f aca="false">IF(ISBLANK(J38),,IF(OR(L38=$B$2,L38=$B$3),1,0))</f>
        <v>#N/A</v>
      </c>
    </row>
    <row r="39" customFormat="false" ht="15.75" hidden="false" customHeight="false" outlineLevel="0" collapsed="false">
      <c r="B39" s="0" t="str">
        <v>Crunch</v>
      </c>
      <c r="C39" s="0" t="str">
        <f aca="false">IF(ISBLANK(B39),,B39&amp;", ")</f>
        <v>Crunch,</v>
      </c>
      <c r="D39" s="0" t="str">
        <f aca="false" t="array" ref="D39:D39">IF(ISBLANK(B39),,INDEX('0.2.1 Move Compare'!$B$2:$B1011,MATCH(B39,'0.2.1 Move Compare'!$A$2:$A1011,0)))</f>
        <v>Dark</v>
      </c>
      <c r="E39" s="0" t="n">
        <f aca="false" t="array" ref="E39:E39">IF(ISBLANK(B39),,IF(INDEX('0.1.2 Attack Dex (GO)'!C32:C1011,MATCH(B39,'0.1.2 Attack Dex (GO)'!A32:A1011,0))="Fast",1,0))</f>
        <v>0</v>
      </c>
      <c r="F39" s="0" t="e">
        <f aca="true">IF(OR($E$1=0,ISBLANK(B39)),,COUNTIF(INDIRECT("'0.0.2 Pokémon Learnset (Core)'!D$"&amp;$E$2&amp;":FG$"&amp;$E$2),B39))</f>
        <v>#VALUE!</v>
      </c>
      <c r="G39" s="0" t="e">
        <f aca="true">IF(ISBLANK(F39),,COUNTIF(INDIRECT("'0.1.1 Pokémon GO Moves'!C"&amp;$E$3&amp;":R$"&amp;$E$3),B39))</f>
        <v>#N/A</v>
      </c>
      <c r="H39" s="0" t="e">
        <f aca="false">IF(ISBLANK(F39),,IF(OR(D39=$B$2,D39=$B$3),1,0))</f>
        <v>#N/A</v>
      </c>
      <c r="J39" s="0" t="str">
        <v>Clear Smog</v>
      </c>
      <c r="K39" s="0" t="str">
        <f aca="false">IF(ISBLANK(J39),,J39&amp;", ")</f>
        <v>Clear Smog,</v>
      </c>
      <c r="L39" s="0" t="str">
        <f aca="false" t="array" ref="L39:L39">IF(ISBLANK(J39),,INDEX('0.2.1 Move Compare'!$B$2:$B1011,MATCH(J39,'0.2.1 Move Compare'!$A$2:$A1011,0)))</f>
        <v>Poison</v>
      </c>
      <c r="M39" s="0" t="e">
        <f aca="true">IF(OR($E$1=0,ISBLANK(J39)),,COUNTIF(INDIRECT("'0.0.2 Pokémon Learnset (Core)'!D$"&amp;$E$2&amp;":FG$"&amp;$E$2),J39))</f>
        <v>#VALUE!</v>
      </c>
      <c r="N39" s="0" t="e">
        <f aca="false">IF(ISBLANK(J39),,IF(OR(L39=$B$2,L39=$B$3),1,0))</f>
        <v>#N/A</v>
      </c>
    </row>
    <row r="40" customFormat="false" ht="15.75" hidden="false" customHeight="false" outlineLevel="0" collapsed="false">
      <c r="B40" s="0" t="str">
        <v>Cut</v>
      </c>
      <c r="C40" s="0" t="str">
        <f aca="false">IF(ISBLANK(B40),,B40&amp;", ")</f>
        <v>Cut,</v>
      </c>
      <c r="D40" s="0" t="str">
        <f aca="false" t="array" ref="D40:D40">IF(ISBLANK(B40),,INDEX('0.2.1 Move Compare'!$B$2:$B1011,MATCH(B40,'0.2.1 Move Compare'!$A$2:$A1011,0)))</f>
        <v>Normal</v>
      </c>
      <c r="E40" s="0" t="n">
        <f aca="false" t="array" ref="E40:E40">IF(ISBLANK(B40),,IF(INDEX('0.1.2 Attack Dex (GO)'!C33:C1011,MATCH(B40,'0.1.2 Attack Dex (GO)'!A33:A1011,0))="Fast",1,0))</f>
        <v>1</v>
      </c>
      <c r="F40" s="0" t="e">
        <f aca="true">IF(OR($E$1=0,ISBLANK(B40)),,COUNTIF(INDIRECT("'0.0.2 Pokémon Learnset (Core)'!D$"&amp;$E$2&amp;":FG$"&amp;$E$2),B40))</f>
        <v>#VALUE!</v>
      </c>
      <c r="G40" s="0" t="e">
        <f aca="true">IF(ISBLANK(F40),,COUNTIF(INDIRECT("'0.1.1 Pokémon GO Moves'!C"&amp;$E$3&amp;":R$"&amp;$E$3),B40))</f>
        <v>#N/A</v>
      </c>
      <c r="H40" s="0" t="e">
        <f aca="false">IF(ISBLANK(F40),,IF(OR(D40=$B$2,D40=$B$3),1,0))</f>
        <v>#N/A</v>
      </c>
      <c r="J40" s="0" t="str">
        <v>Comet Punch</v>
      </c>
      <c r="K40" s="0" t="str">
        <f aca="false">IF(ISBLANK(J40),,J40&amp;", ")</f>
        <v>Comet Punch,</v>
      </c>
      <c r="L40" s="0" t="str">
        <f aca="false" t="array" ref="L40:L40">IF(ISBLANK(J40),,INDEX('0.2.1 Move Compare'!$B$2:$B1011,MATCH(J40,'0.2.1 Move Compare'!$A$2:$A1011,0)))</f>
        <v>Normal</v>
      </c>
      <c r="M40" s="0" t="e">
        <f aca="true">IF(OR($E$1=0,ISBLANK(J40)),,COUNTIF(INDIRECT("'0.0.2 Pokémon Learnset (Core)'!D$"&amp;$E$2&amp;":FG$"&amp;$E$2),J40))</f>
        <v>#VALUE!</v>
      </c>
      <c r="N40" s="0" t="e">
        <f aca="false">IF(ISBLANK(J40),,IF(OR(L40=$B$2,L40=$B$3),1,0))</f>
        <v>#N/A</v>
      </c>
    </row>
    <row r="41" customFormat="false" ht="15.75" hidden="false" customHeight="false" outlineLevel="0" collapsed="false">
      <c r="B41" s="0" t="str">
        <v>Dark Pulse</v>
      </c>
      <c r="C41" s="0" t="str">
        <f aca="false">IF(ISBLANK(B41),,B41&amp;", ")</f>
        <v>Dark Pulse,</v>
      </c>
      <c r="D41" s="0" t="str">
        <f aca="false" t="array" ref="D41:D41">IF(ISBLANK(B41),,INDEX('0.2.1 Move Compare'!$B$2:$B1011,MATCH(B41,'0.2.1 Move Compare'!$A$2:$A1011,0)))</f>
        <v>Dark</v>
      </c>
      <c r="E41" s="0" t="n">
        <f aca="false" t="array" ref="E41:E41">IF(ISBLANK(B41),,IF(INDEX('0.1.2 Attack Dex (GO)'!C34:C1011,MATCH(B41,'0.1.2 Attack Dex (GO)'!A34:A1011,0))="Fast",1,0))</f>
        <v>0</v>
      </c>
      <c r="F41" s="0" t="e">
        <f aca="true">IF(OR($E$1=0,ISBLANK(B41)),,COUNTIF(INDIRECT("'0.0.2 Pokémon Learnset (Core)'!D$"&amp;$E$2&amp;":FG$"&amp;$E$2),B41))</f>
        <v>#VALUE!</v>
      </c>
      <c r="G41" s="0" t="e">
        <f aca="true">IF(ISBLANK(F41),,COUNTIF(INDIRECT("'0.1.1 Pokémon GO Moves'!C"&amp;$E$3&amp;":R$"&amp;$E$3),B41))</f>
        <v>#N/A</v>
      </c>
      <c r="H41" s="0" t="e">
        <f aca="false">IF(ISBLANK(F41),,IF(OR(D41=$B$2,D41=$B$3),1,0))</f>
        <v>#N/A</v>
      </c>
      <c r="J41" s="0" t="str">
        <v>Constrict</v>
      </c>
      <c r="K41" s="0" t="str">
        <f aca="false">IF(ISBLANK(J41),,J41&amp;", ")</f>
        <v>Constrict,</v>
      </c>
      <c r="L41" s="0" t="str">
        <f aca="false" t="array" ref="L41:L41">IF(ISBLANK(J41),,INDEX('0.2.1 Move Compare'!$B$2:$B1011,MATCH(J41,'0.2.1 Move Compare'!$A$2:$A1011,0)))</f>
        <v>Normal</v>
      </c>
      <c r="M41" s="0" t="e">
        <f aca="true">IF(OR($E$1=0,ISBLANK(J41)),,COUNTIF(INDIRECT("'0.0.2 Pokémon Learnset (Core)'!D$"&amp;$E$2&amp;":FG$"&amp;$E$2),J41))</f>
        <v>#VALUE!</v>
      </c>
      <c r="N41" s="0" t="e">
        <f aca="false">IF(ISBLANK(J41),,IF(OR(L41=$B$2,L41=$B$3),1,0))</f>
        <v>#N/A</v>
      </c>
    </row>
    <row r="42" customFormat="false" ht="15.75" hidden="false" customHeight="false" outlineLevel="0" collapsed="false">
      <c r="B42" s="0" t="str">
        <v>Dazzling Gleam</v>
      </c>
      <c r="C42" s="0" t="str">
        <f aca="false">IF(ISBLANK(B42),,B42&amp;", ")</f>
        <v>Dazzling Gleam,</v>
      </c>
      <c r="D42" s="0" t="str">
        <f aca="false" t="array" ref="D42:D42">IF(ISBLANK(B42),,INDEX('0.2.1 Move Compare'!$B$2:$B1011,MATCH(B42,'0.2.1 Move Compare'!$A$2:$A1011,0)))</f>
        <v>Fairy</v>
      </c>
      <c r="E42" s="0" t="n">
        <f aca="false" t="array" ref="E42:E42">IF(ISBLANK(B42),,IF(INDEX('0.1.2 Attack Dex (GO)'!C35:C1011,MATCH(B42,'0.1.2 Attack Dex (GO)'!A35:A1011,0))="Fast",1,0))</f>
        <v>0</v>
      </c>
      <c r="F42" s="0" t="e">
        <f aca="true">IF(OR($E$1=0,ISBLANK(B42)),,COUNTIF(INDIRECT("'0.0.2 Pokémon Learnset (Core)'!D$"&amp;$E$2&amp;":FG$"&amp;$E$2),B42))</f>
        <v>#VALUE!</v>
      </c>
      <c r="G42" s="0" t="e">
        <f aca="true">IF(ISBLANK(F42),,COUNTIF(INDIRECT("'0.1.1 Pokémon GO Moves'!C"&amp;$E$3&amp;":R$"&amp;$E$3),B42))</f>
        <v>#N/A</v>
      </c>
      <c r="H42" s="0" t="e">
        <f aca="false">IF(ISBLANK(F42),,IF(OR(D42=$B$2,D42=$B$3),1,0))</f>
        <v>#N/A</v>
      </c>
      <c r="J42" s="0" t="str">
        <v>Core Enforcer</v>
      </c>
      <c r="K42" s="0" t="str">
        <f aca="false">IF(ISBLANK(J42),,J42&amp;", ")</f>
        <v>Core Enforcer,</v>
      </c>
      <c r="L42" s="0" t="str">
        <f aca="false" t="array" ref="L42:L42">IF(ISBLANK(J42),,INDEX('0.2.1 Move Compare'!$B$2:$B1011,MATCH(J42,'0.2.1 Move Compare'!$A$2:$A1011,0)))</f>
        <v>Dragon</v>
      </c>
      <c r="M42" s="0" t="e">
        <f aca="true">IF(OR($E$1=0,ISBLANK(J42)),,COUNTIF(INDIRECT("'0.0.2 Pokémon Learnset (Core)'!D$"&amp;$E$2&amp;":FG$"&amp;$E$2),J42))</f>
        <v>#VALUE!</v>
      </c>
      <c r="N42" s="0" t="e">
        <f aca="false">IF(ISBLANK(J42),,IF(OR(L42=$B$2,L42=$B$3),1,0))</f>
        <v>#N/A</v>
      </c>
    </row>
    <row r="43" customFormat="false" ht="15.75" hidden="false" customHeight="false" outlineLevel="0" collapsed="false">
      <c r="B43" s="0" t="str">
        <v>Dig</v>
      </c>
      <c r="C43" s="0" t="str">
        <f aca="false">IF(ISBLANK(B43),,B43&amp;", ")</f>
        <v>Dig,</v>
      </c>
      <c r="D43" s="0" t="str">
        <f aca="false" t="array" ref="D43:D43">IF(ISBLANK(B43),,INDEX('0.2.1 Move Compare'!$B$2:$B1011,MATCH(B43,'0.2.1 Move Compare'!$A$2:$A1011,0)))</f>
        <v>Ground</v>
      </c>
      <c r="E43" s="0" t="n">
        <f aca="false" t="array" ref="E43:E43">IF(ISBLANK(B43),,IF(INDEX('0.1.2 Attack Dex (GO)'!C36:C1011,MATCH(B43,'0.1.2 Attack Dex (GO)'!A36:A1011,0))="Fast",1,0))</f>
        <v>0</v>
      </c>
      <c r="F43" s="0" t="e">
        <f aca="true">IF(OR($E$1=0,ISBLANK(B43)),,COUNTIF(INDIRECT("'0.0.2 Pokémon Learnset (Core)'!D$"&amp;$E$2&amp;":FG$"&amp;$E$2),B43))</f>
        <v>#VALUE!</v>
      </c>
      <c r="G43" s="0" t="e">
        <f aca="true">IF(ISBLANK(F43),,COUNTIF(INDIRECT("'0.1.1 Pokémon GO Moves'!C"&amp;$E$3&amp;":R$"&amp;$E$3),B43))</f>
        <v>#N/A</v>
      </c>
      <c r="H43" s="0" t="e">
        <f aca="false">IF(ISBLANK(F43),,IF(OR(D43=$B$2,D43=$B$3),1,0))</f>
        <v>#N/A</v>
      </c>
      <c r="J43" s="0" t="str">
        <v>Covet</v>
      </c>
      <c r="K43" s="0" t="str">
        <f aca="false">IF(ISBLANK(J43),,J43&amp;", ")</f>
        <v>Covet,</v>
      </c>
      <c r="L43" s="0" t="str">
        <f aca="false" t="array" ref="L43:L43">IF(ISBLANK(J43),,INDEX('0.2.1 Move Compare'!$B$2:$B1011,MATCH(J43,'0.2.1 Move Compare'!$A$2:$A1011,0)))</f>
        <v>Normal</v>
      </c>
      <c r="M43" s="0" t="e">
        <f aca="true">IF(OR($E$1=0,ISBLANK(J43)),,COUNTIF(INDIRECT("'0.0.2 Pokémon Learnset (Core)'!D$"&amp;$E$2&amp;":FG$"&amp;$E$2),J43))</f>
        <v>#VALUE!</v>
      </c>
      <c r="N43" s="0" t="e">
        <f aca="false">IF(ISBLANK(J43),,IF(OR(L43=$B$2,L43=$B$3),1,0))</f>
        <v>#N/A</v>
      </c>
    </row>
    <row r="44" customFormat="false" ht="15.75" hidden="false" customHeight="false" outlineLevel="0" collapsed="false">
      <c r="B44" s="0" t="str">
        <v>Disarming Voice</v>
      </c>
      <c r="C44" s="0" t="str">
        <f aca="false">IF(ISBLANK(B44),,B44&amp;", ")</f>
        <v>Disarming Voice,</v>
      </c>
      <c r="D44" s="0" t="str">
        <f aca="false" t="array" ref="D44:D44">IF(ISBLANK(B44),,INDEX('0.2.1 Move Compare'!$B$2:$B1011,MATCH(B44,'0.2.1 Move Compare'!$A$2:$A1011,0)))</f>
        <v>Fairy</v>
      </c>
      <c r="E44" s="0" t="n">
        <f aca="false" t="array" ref="E44:E44">IF(ISBLANK(B44),,IF(INDEX('0.1.2 Attack Dex (GO)'!C37:C1011,MATCH(B44,'0.1.2 Attack Dex (GO)'!A37:A1011,0))="Fast",1,0))</f>
        <v>0</v>
      </c>
      <c r="F44" s="0" t="e">
        <f aca="true">IF(OR($E$1=0,ISBLANK(B44)),,COUNTIF(INDIRECT("'0.0.2 Pokémon Learnset (Core)'!D$"&amp;$E$2&amp;":FG$"&amp;$E$2),B44))</f>
        <v>#VALUE!</v>
      </c>
      <c r="G44" s="0" t="e">
        <f aca="true">IF(ISBLANK(F44),,COUNTIF(INDIRECT("'0.1.1 Pokémon GO Moves'!C"&amp;$E$3&amp;":R$"&amp;$E$3),B44))</f>
        <v>#N/A</v>
      </c>
      <c r="H44" s="0" t="e">
        <f aca="false">IF(ISBLANK(F44),,IF(OR(D44=$B$2,D44=$B$3),1,0))</f>
        <v>#N/A</v>
      </c>
      <c r="J44" s="0" t="str">
        <v>Crabhammer</v>
      </c>
      <c r="K44" s="0" t="str">
        <f aca="false">IF(ISBLANK(J44),,J44&amp;", ")</f>
        <v>Crabhammer,</v>
      </c>
      <c r="L44" s="0" t="str">
        <f aca="false" t="array" ref="L44:L44">IF(ISBLANK(J44),,INDEX('0.2.1 Move Compare'!$B$2:$B1011,MATCH(J44,'0.2.1 Move Compare'!$A$2:$A1011,0)))</f>
        <v>Water</v>
      </c>
      <c r="M44" s="0" t="e">
        <f aca="true">IF(OR($E$1=0,ISBLANK(J44)),,COUNTIF(INDIRECT("'0.0.2 Pokémon Learnset (Core)'!D$"&amp;$E$2&amp;":FG$"&amp;$E$2),J44))</f>
        <v>#VALUE!</v>
      </c>
      <c r="N44" s="0" t="e">
        <f aca="false">IF(ISBLANK(J44),,IF(OR(L44=$B$2,L44=$B$3),1,0))</f>
        <v>#N/A</v>
      </c>
    </row>
    <row r="45" customFormat="false" ht="15.75" hidden="false" customHeight="false" outlineLevel="0" collapsed="false">
      <c r="B45" s="0" t="str">
        <v>Discharge</v>
      </c>
      <c r="C45" s="0" t="str">
        <f aca="false">IF(ISBLANK(B45),,B45&amp;", ")</f>
        <v>Discharge,</v>
      </c>
      <c r="D45" s="0" t="str">
        <f aca="false" t="array" ref="D45:D45">IF(ISBLANK(B45),,INDEX('0.2.1 Move Compare'!$B$2:$B1011,MATCH(B45,'0.2.1 Move Compare'!$A$2:$A1011,0)))</f>
        <v>Electric</v>
      </c>
      <c r="E45" s="0" t="n">
        <f aca="false" t="array" ref="E45:E45">IF(ISBLANK(B45),,IF(INDEX('0.1.2 Attack Dex (GO)'!C38:C1011,MATCH(B45,'0.1.2 Attack Dex (GO)'!A38:A1011,0))="Fast",1,0))</f>
        <v>0</v>
      </c>
      <c r="F45" s="0" t="e">
        <f aca="true">IF(OR($E$1=0,ISBLANK(B45)),,COUNTIF(INDIRECT("'0.0.2 Pokémon Learnset (Core)'!D$"&amp;$E$2&amp;":FG$"&amp;$E$2),B45))</f>
        <v>#VALUE!</v>
      </c>
      <c r="G45" s="0" t="e">
        <f aca="true">IF(ISBLANK(F45),,COUNTIF(INDIRECT("'0.1.1 Pokémon GO Moves'!C"&amp;$E$3&amp;":R$"&amp;$E$3),B45))</f>
        <v>#N/A</v>
      </c>
      <c r="H45" s="0" t="e">
        <f aca="false">IF(ISBLANK(F45),,IF(OR(D45=$B$2,D45=$B$3),1,0))</f>
        <v>#N/A</v>
      </c>
      <c r="J45" s="0" t="str">
        <v>Crush Claw</v>
      </c>
      <c r="K45" s="0" t="str">
        <f aca="false">IF(ISBLANK(J45),,J45&amp;", ")</f>
        <v>Crush Claw,</v>
      </c>
      <c r="L45" s="0" t="str">
        <f aca="false" t="array" ref="L45:L45">IF(ISBLANK(J45),,INDEX('0.2.1 Move Compare'!$B$2:$B1011,MATCH(J45,'0.2.1 Move Compare'!$A$2:$A1011,0)))</f>
        <v>Normal</v>
      </c>
      <c r="M45" s="0" t="e">
        <f aca="true">IF(OR($E$1=0,ISBLANK(J45)),,COUNTIF(INDIRECT("'0.0.2 Pokémon Learnset (Core)'!D$"&amp;$E$2&amp;":FG$"&amp;$E$2),J45))</f>
        <v>#VALUE!</v>
      </c>
      <c r="N45" s="0" t="e">
        <f aca="false">IF(ISBLANK(J45),,IF(OR(L45=$B$2,L45=$B$3),1,0))</f>
        <v>#N/A</v>
      </c>
    </row>
    <row r="46" customFormat="false" ht="15.75" hidden="false" customHeight="false" outlineLevel="0" collapsed="false">
      <c r="B46" s="0" t="str">
        <v>Doom Desire</v>
      </c>
      <c r="C46" s="0" t="str">
        <f aca="false">IF(ISBLANK(B46),,B46&amp;", ")</f>
        <v>Doom Desire,</v>
      </c>
      <c r="D46" s="0" t="str">
        <f aca="false" t="array" ref="D46:D46">IF(ISBLANK(B46),,INDEX('0.2.1 Move Compare'!$B$2:$B1011,MATCH(B46,'0.2.1 Move Compare'!$A$2:$A1011,0)))</f>
        <v>Steel</v>
      </c>
      <c r="E46" s="0" t="n">
        <f aca="false" t="array" ref="E46:E46">IF(ISBLANK(B46),,IF(INDEX('0.1.2 Attack Dex (GO)'!C39:C1011,MATCH(B46,'0.1.2 Attack Dex (GO)'!A39:A1011,0))="Fast",1,0))</f>
        <v>0</v>
      </c>
      <c r="F46" s="0" t="e">
        <f aca="true">IF(OR($E$1=0,ISBLANK(B46)),,COUNTIF(INDIRECT("'0.0.2 Pokémon Learnset (Core)'!D$"&amp;$E$2&amp;":FG$"&amp;$E$2),B46))</f>
        <v>#VALUE!</v>
      </c>
      <c r="G46" s="0" t="e">
        <f aca="true">IF(ISBLANK(F46),,COUNTIF(INDIRECT("'0.1.1 Pokémon GO Moves'!C"&amp;$E$3&amp;":R$"&amp;$E$3),B46))</f>
        <v>#N/A</v>
      </c>
      <c r="H46" s="0" t="e">
        <f aca="false">IF(ISBLANK(F46),,IF(OR(D46=$B$2,D46=$B$3),1,0))</f>
        <v>#N/A</v>
      </c>
      <c r="J46" s="0" t="str">
        <v>Darkest Lariat</v>
      </c>
      <c r="K46" s="0" t="str">
        <f aca="false">IF(ISBLANK(J46),,J46&amp;", ")</f>
        <v>Darkest Lariat,</v>
      </c>
      <c r="L46" s="0" t="str">
        <f aca="false" t="array" ref="L46:L46">IF(ISBLANK(J46),,INDEX('0.2.1 Move Compare'!$B$2:$B1011,MATCH(J46,'0.2.1 Move Compare'!$A$2:$A1011,0)))</f>
        <v>Dark</v>
      </c>
      <c r="M46" s="0" t="e">
        <f aca="true">IF(OR($E$1=0,ISBLANK(J46)),,COUNTIF(INDIRECT("'0.0.2 Pokémon Learnset (Core)'!D$"&amp;$E$2&amp;":FG$"&amp;$E$2),J46))</f>
        <v>#VALUE!</v>
      </c>
      <c r="N46" s="0" t="e">
        <f aca="false">IF(ISBLANK(J46),,IF(OR(L46=$B$2,L46=$B$3),1,0))</f>
        <v>#N/A</v>
      </c>
    </row>
    <row r="47" customFormat="false" ht="15.75" hidden="false" customHeight="false" outlineLevel="0" collapsed="false">
      <c r="B47" s="0" t="str">
        <v>Draco Meteor</v>
      </c>
      <c r="C47" s="0" t="str">
        <f aca="false">IF(ISBLANK(B47),,B47&amp;", ")</f>
        <v>Draco Meteor,</v>
      </c>
      <c r="D47" s="0" t="str">
        <f aca="false" t="array" ref="D47:D47">IF(ISBLANK(B47),,INDEX('0.2.1 Move Compare'!$B$2:$B1011,MATCH(B47,'0.2.1 Move Compare'!$A$2:$A1011,0)))</f>
        <v>Dragon</v>
      </c>
      <c r="E47" s="0" t="n">
        <f aca="false" t="array" ref="E47:E47">IF(ISBLANK(B47),,IF(INDEX('0.1.2 Attack Dex (GO)'!C40:C1011,MATCH(B47,'0.1.2 Attack Dex (GO)'!A40:A1011,0))="Fast",1,0))</f>
        <v>0</v>
      </c>
      <c r="F47" s="0" t="e">
        <f aca="true">IF(OR($E$1=0,ISBLANK(B47)),,COUNTIF(INDIRECT("'0.0.2 Pokémon Learnset (Core)'!D$"&amp;$E$2&amp;":FG$"&amp;$E$2),B47))</f>
        <v>#VALUE!</v>
      </c>
      <c r="G47" s="0" t="e">
        <f aca="true">IF(ISBLANK(F47),,COUNTIF(INDIRECT("'0.1.1 Pokémon GO Moves'!C"&amp;$E$3&amp;":R$"&amp;$E$3),B47))</f>
        <v>#N/A</v>
      </c>
      <c r="H47" s="0" t="e">
        <f aca="false">IF(ISBLANK(F47),,IF(OR(D47=$B$2,D47=$B$3),1,0))</f>
        <v>#N/A</v>
      </c>
      <c r="J47" s="0" t="str">
        <v>Diamond Storm</v>
      </c>
      <c r="K47" s="0" t="str">
        <f aca="false">IF(ISBLANK(J47),,J47&amp;", ")</f>
        <v>Diamond Storm,</v>
      </c>
      <c r="L47" s="0" t="str">
        <f aca="false" t="array" ref="L47:L47">IF(ISBLANK(J47),,INDEX('0.2.1 Move Compare'!$B$2:$B1011,MATCH(J47,'0.2.1 Move Compare'!$A$2:$A1011,0)))</f>
        <v>Rock</v>
      </c>
      <c r="M47" s="0" t="e">
        <f aca="true">IF(OR($E$1=0,ISBLANK(J47)),,COUNTIF(INDIRECT("'0.0.2 Pokémon Learnset (Core)'!D$"&amp;$E$2&amp;":FG$"&amp;$E$2),J47))</f>
        <v>#VALUE!</v>
      </c>
      <c r="N47" s="0" t="e">
        <f aca="false">IF(ISBLANK(J47),,IF(OR(L47=$B$2,L47=$B$3),1,0))</f>
        <v>#N/A</v>
      </c>
    </row>
    <row r="48" customFormat="false" ht="15.75" hidden="false" customHeight="false" outlineLevel="0" collapsed="false">
      <c r="B48" s="0" t="str">
        <v>Dragon Breath</v>
      </c>
      <c r="C48" s="0" t="str">
        <f aca="false">IF(ISBLANK(B48),,B48&amp;", ")</f>
        <v>Dragon Breath,</v>
      </c>
      <c r="D48" s="0" t="str">
        <f aca="false" t="array" ref="D48:D48">IF(ISBLANK(B48),,INDEX('0.2.1 Move Compare'!$B$2:$B1011,MATCH(B48,'0.2.1 Move Compare'!$A$2:$A1011,0)))</f>
        <v>Dragon</v>
      </c>
      <c r="E48" s="0" t="n">
        <f aca="false" t="array" ref="E48:E48">IF(ISBLANK(B48),,IF(INDEX('0.1.2 Attack Dex (GO)'!C41:C1011,MATCH(B48,'0.1.2 Attack Dex (GO)'!A41:A1011,0))="Fast",1,0))</f>
        <v>1</v>
      </c>
      <c r="F48" s="0" t="e">
        <f aca="true">IF(OR($E$1=0,ISBLANK(B48)),,COUNTIF(INDIRECT("'0.0.2 Pokémon Learnset (Core)'!D$"&amp;$E$2&amp;":FG$"&amp;$E$2),B48))</f>
        <v>#VALUE!</v>
      </c>
      <c r="G48" s="0" t="e">
        <f aca="true">IF(ISBLANK(F48),,COUNTIF(INDIRECT("'0.1.1 Pokémon GO Moves'!C"&amp;$E$3&amp;":R$"&amp;$E$3),B48))</f>
        <v>#N/A</v>
      </c>
      <c r="H48" s="0" t="e">
        <f aca="false">IF(ISBLANK(F48),,IF(OR(D48=$B$2,D48=$B$3),1,0))</f>
        <v>#N/A</v>
      </c>
      <c r="J48" s="0" t="str">
        <v>Dive</v>
      </c>
      <c r="K48" s="0" t="str">
        <f aca="false">IF(ISBLANK(J48),,J48&amp;", ")</f>
        <v>Dive,</v>
      </c>
      <c r="L48" s="0" t="str">
        <f aca="false" t="array" ref="L48:L48">IF(ISBLANK(J48),,INDEX('0.2.1 Move Compare'!$B$2:$B1011,MATCH(J48,'0.2.1 Move Compare'!$A$2:$A1011,0)))</f>
        <v>Water</v>
      </c>
      <c r="M48" s="0" t="e">
        <f aca="true">IF(OR($E$1=0,ISBLANK(J48)),,COUNTIF(INDIRECT("'0.0.2 Pokémon Learnset (Core)'!D$"&amp;$E$2&amp;":FG$"&amp;$E$2),J48))</f>
        <v>#VALUE!</v>
      </c>
      <c r="N48" s="0" t="e">
        <f aca="false">IF(ISBLANK(J48),,IF(OR(L48=$B$2,L48=$B$3),1,0))</f>
        <v>#N/A</v>
      </c>
    </row>
    <row r="49" customFormat="false" ht="15.75" hidden="false" customHeight="false" outlineLevel="0" collapsed="false">
      <c r="B49" s="0" t="str">
        <v>Dragon Claw</v>
      </c>
      <c r="C49" s="0" t="str">
        <f aca="false">IF(ISBLANK(B49),,B49&amp;", ")</f>
        <v>Dragon Claw,</v>
      </c>
      <c r="D49" s="0" t="str">
        <f aca="false" t="array" ref="D49:D49">IF(ISBLANK(B49),,INDEX('0.2.1 Move Compare'!$B$2:$B1011,MATCH(B49,'0.2.1 Move Compare'!$A$2:$A1011,0)))</f>
        <v>Dragon</v>
      </c>
      <c r="E49" s="0" t="n">
        <f aca="false" t="array" ref="E49:E49">IF(ISBLANK(B49),,IF(INDEX('0.1.2 Attack Dex (GO)'!C42:C1011,MATCH(B49,'0.1.2 Attack Dex (GO)'!A42:A1011,0))="Fast",1,0))</f>
        <v>0</v>
      </c>
      <c r="F49" s="0" t="e">
        <f aca="true">IF(OR($E$1=0,ISBLANK(B49)),,COUNTIF(INDIRECT("'0.0.2 Pokémon Learnset (Core)'!D$"&amp;$E$2&amp;":FG$"&amp;$E$2),B49))</f>
        <v>#VALUE!</v>
      </c>
      <c r="G49" s="0" t="e">
        <f aca="true">IF(ISBLANK(F49),,COUNTIF(INDIRECT("'0.1.1 Pokémon GO Moves'!C"&amp;$E$3&amp;":R$"&amp;$E$3),B49))</f>
        <v>#N/A</v>
      </c>
      <c r="H49" s="0" t="e">
        <f aca="false">IF(ISBLANK(F49),,IF(OR(D49=$B$2,D49=$B$3),1,0))</f>
        <v>#N/A</v>
      </c>
      <c r="J49" s="0" t="str">
        <v>Dizzy Punch</v>
      </c>
      <c r="K49" s="0" t="str">
        <f aca="false">IF(ISBLANK(J49),,J49&amp;", ")</f>
        <v>Dizzy Punch,</v>
      </c>
      <c r="L49" s="0" t="str">
        <f aca="false" t="array" ref="L49:L49">IF(ISBLANK(J49),,INDEX('0.2.1 Move Compare'!$B$2:$B1011,MATCH(J49,'0.2.1 Move Compare'!$A$2:$A1011,0)))</f>
        <v>Normal</v>
      </c>
      <c r="M49" s="0" t="e">
        <f aca="true">IF(OR($E$1=0,ISBLANK(J49)),,COUNTIF(INDIRECT("'0.0.2 Pokémon Learnset (Core)'!D$"&amp;$E$2&amp;":FG$"&amp;$E$2),J49))</f>
        <v>#VALUE!</v>
      </c>
      <c r="N49" s="0" t="e">
        <f aca="false">IF(ISBLANK(J49),,IF(OR(L49=$B$2,L49=$B$3),1,0))</f>
        <v>#N/A</v>
      </c>
    </row>
    <row r="50" customFormat="false" ht="15.75" hidden="false" customHeight="false" outlineLevel="0" collapsed="false">
      <c r="B50" s="0" t="str">
        <v>Dragon Pulse</v>
      </c>
      <c r="C50" s="0" t="str">
        <f aca="false">IF(ISBLANK(B50),,B50&amp;", ")</f>
        <v>Dragon Pulse,</v>
      </c>
      <c r="D50" s="0" t="str">
        <f aca="false" t="array" ref="D50:D50">IF(ISBLANK(B50),,INDEX('0.2.1 Move Compare'!$B$2:$B1011,MATCH(B50,'0.2.1 Move Compare'!$A$2:$A1011,0)))</f>
        <v>Dragon</v>
      </c>
      <c r="E50" s="0" t="n">
        <f aca="false" t="array" ref="E50:E50">IF(ISBLANK(B50),,IF(INDEX('0.1.2 Attack Dex (GO)'!C43:C1011,MATCH(B50,'0.1.2 Attack Dex (GO)'!A43:A1011,0))="Fast",1,0))</f>
        <v>0</v>
      </c>
      <c r="F50" s="0" t="e">
        <f aca="true">IF(OR($E$1=0,ISBLANK(B50)),,COUNTIF(INDIRECT("'0.0.2 Pokémon Learnset (Core)'!D$"&amp;$E$2&amp;":FG$"&amp;$E$2),B50))</f>
        <v>#VALUE!</v>
      </c>
      <c r="G50" s="0" t="e">
        <f aca="true">IF(ISBLANK(F50),,COUNTIF(INDIRECT("'0.1.1 Pokémon GO Moves'!C"&amp;$E$3&amp;":R$"&amp;$E$3),B50))</f>
        <v>#N/A</v>
      </c>
      <c r="H50" s="0" t="e">
        <f aca="false">IF(ISBLANK(F50),,IF(OR(D50=$B$2,D50=$B$3),1,0))</f>
        <v>#N/A</v>
      </c>
      <c r="J50" s="0" t="str">
        <v>Double Hit</v>
      </c>
      <c r="K50" s="0" t="str">
        <f aca="false">IF(ISBLANK(J50),,J50&amp;", ")</f>
        <v>Double Hit,</v>
      </c>
      <c r="L50" s="0" t="str">
        <f aca="false" t="array" ref="L50:L50">IF(ISBLANK(J50),,INDEX('0.2.1 Move Compare'!$B$2:$B1011,MATCH(J50,'0.2.1 Move Compare'!$A$2:$A1011,0)))</f>
        <v>Normal</v>
      </c>
      <c r="M50" s="0" t="e">
        <f aca="true">IF(OR($E$1=0,ISBLANK(J50)),,COUNTIF(INDIRECT("'0.0.2 Pokémon Learnset (Core)'!D$"&amp;$E$2&amp;":FG$"&amp;$E$2),J50))</f>
        <v>#VALUE!</v>
      </c>
      <c r="N50" s="0" t="e">
        <f aca="false">IF(ISBLANK(J50),,IF(OR(L50=$B$2,L50=$B$3),1,0))</f>
        <v>#N/A</v>
      </c>
    </row>
    <row r="51" customFormat="false" ht="15.75" hidden="false" customHeight="false" outlineLevel="0" collapsed="false">
      <c r="B51" s="0" t="str">
        <v>Dragon Tail</v>
      </c>
      <c r="C51" s="0" t="str">
        <f aca="false">IF(ISBLANK(B51),,B51&amp;", ")</f>
        <v>Dragon Tail,</v>
      </c>
      <c r="D51" s="0" t="str">
        <f aca="false" t="array" ref="D51:D51">IF(ISBLANK(B51),,INDEX('0.2.1 Move Compare'!$B$2:$B1011,MATCH(B51,'0.2.1 Move Compare'!$A$2:$A1011,0)))</f>
        <v>Dragon</v>
      </c>
      <c r="E51" s="0" t="n">
        <f aca="false" t="array" ref="E51:E51">IF(ISBLANK(B51),,IF(INDEX('0.1.2 Attack Dex (GO)'!C44:C1011,MATCH(B51,'0.1.2 Attack Dex (GO)'!A44:A1011,0))="Fast",1,0))</f>
        <v>1</v>
      </c>
      <c r="F51" s="0" t="e">
        <f aca="true">IF(OR($E$1=0,ISBLANK(B51)),,COUNTIF(INDIRECT("'0.0.2 Pokémon Learnset (Core)'!D$"&amp;$E$2&amp;":FG$"&amp;$E$2),B51))</f>
        <v>#VALUE!</v>
      </c>
      <c r="G51" s="0" t="e">
        <f aca="true">IF(ISBLANK(F51),,COUNTIF(INDIRECT("'0.1.1 Pokémon GO Moves'!C"&amp;$E$3&amp;":R$"&amp;$E$3),B51))</f>
        <v>#N/A</v>
      </c>
      <c r="H51" s="0" t="e">
        <f aca="false">IF(ISBLANK(F51),,IF(OR(D51=$B$2,D51=$B$3),1,0))</f>
        <v>#N/A</v>
      </c>
      <c r="J51" s="0" t="str">
        <v>Double Kick</v>
      </c>
      <c r="K51" s="0" t="str">
        <f aca="false">IF(ISBLANK(J51),,J51&amp;", ")</f>
        <v>Double Kick,</v>
      </c>
      <c r="L51" s="0" t="str">
        <f aca="false" t="array" ref="L51:L51">IF(ISBLANK(J51),,INDEX('0.2.1 Move Compare'!$B$2:$B1011,MATCH(J51,'0.2.1 Move Compare'!$A$2:$A1011,0)))</f>
        <v>Fighting</v>
      </c>
      <c r="M51" s="0" t="e">
        <f aca="true">IF(OR($E$1=0,ISBLANK(J51)),,COUNTIF(INDIRECT("'0.0.2 Pokémon Learnset (Core)'!D$"&amp;$E$2&amp;":FG$"&amp;$E$2),J51))</f>
        <v>#VALUE!</v>
      </c>
      <c r="N51" s="0" t="e">
        <f aca="false">IF(ISBLANK(J51),,IF(OR(L51=$B$2,L51=$B$3),1,0))</f>
        <v>#N/A</v>
      </c>
    </row>
    <row r="52" customFormat="false" ht="15.75" hidden="false" customHeight="false" outlineLevel="0" collapsed="false">
      <c r="B52" s="0" t="str">
        <v>Draining Kiss</v>
      </c>
      <c r="C52" s="0" t="str">
        <f aca="false">IF(ISBLANK(B52),,B52&amp;", ")</f>
        <v>Draining Kiss,</v>
      </c>
      <c r="D52" s="0" t="str">
        <f aca="false" t="array" ref="D52:D52">IF(ISBLANK(B52),,INDEX('0.2.1 Move Compare'!$B$2:$B1011,MATCH(B52,'0.2.1 Move Compare'!$A$2:$A1011,0)))</f>
        <v>Fairy</v>
      </c>
      <c r="E52" s="0" t="n">
        <f aca="false" t="array" ref="E52:E52">IF(ISBLANK(B52),,IF(INDEX('0.1.2 Attack Dex (GO)'!C45:C1011,MATCH(B52,'0.1.2 Attack Dex (GO)'!A45:A1011,0))="Fast",1,0))</f>
        <v>0</v>
      </c>
      <c r="F52" s="0" t="e">
        <f aca="true">IF(OR($E$1=0,ISBLANK(B52)),,COUNTIF(INDIRECT("'0.0.2 Pokémon Learnset (Core)'!D$"&amp;$E$2&amp;":FG$"&amp;$E$2),B52))</f>
        <v>#VALUE!</v>
      </c>
      <c r="G52" s="0" t="e">
        <f aca="true">IF(ISBLANK(F52),,COUNTIF(INDIRECT("'0.1.1 Pokémon GO Moves'!C"&amp;$E$3&amp;":R$"&amp;$E$3),B52))</f>
        <v>#N/A</v>
      </c>
      <c r="H52" s="0" t="e">
        <f aca="false">IF(ISBLANK(F52),,IF(OR(D52=$B$2,D52=$B$3),1,0))</f>
        <v>#N/A</v>
      </c>
      <c r="J52" s="0" t="str">
        <v>Double Slap</v>
      </c>
      <c r="K52" s="0" t="str">
        <f aca="false">IF(ISBLANK(J52),,J52&amp;", ")</f>
        <v>Double Slap,</v>
      </c>
      <c r="L52" s="0" t="str">
        <f aca="false" t="array" ref="L52:L52">IF(ISBLANK(J52),,INDEX('0.2.1 Move Compare'!$B$2:$B1011,MATCH(J52,'0.2.1 Move Compare'!$A$2:$A1011,0)))</f>
        <v>Normal</v>
      </c>
      <c r="M52" s="0" t="e">
        <f aca="true">IF(OR($E$1=0,ISBLANK(J52)),,COUNTIF(INDIRECT("'0.0.2 Pokémon Learnset (Core)'!D$"&amp;$E$2&amp;":FG$"&amp;$E$2),J52))</f>
        <v>#VALUE!</v>
      </c>
      <c r="N52" s="0" t="e">
        <f aca="false">IF(ISBLANK(J52),,IF(OR(L52=$B$2,L52=$B$3),1,0))</f>
        <v>#N/A</v>
      </c>
    </row>
    <row r="53" customFormat="false" ht="15.75" hidden="false" customHeight="false" outlineLevel="0" collapsed="false">
      <c r="B53" s="0" t="str">
        <v>Drill Peck</v>
      </c>
      <c r="C53" s="0" t="str">
        <f aca="false">IF(ISBLANK(B53),,B53&amp;", ")</f>
        <v>Drill Peck,</v>
      </c>
      <c r="D53" s="0" t="str">
        <f aca="false" t="array" ref="D53:D53">IF(ISBLANK(B53),,INDEX('0.2.1 Move Compare'!$B$2:$B1011,MATCH(B53,'0.2.1 Move Compare'!$A$2:$A1011,0)))</f>
        <v>Flying</v>
      </c>
      <c r="E53" s="0" t="n">
        <f aca="false" t="array" ref="E53:E53">IF(ISBLANK(B53),,IF(INDEX('0.1.2 Attack Dex (GO)'!C46:C1011,MATCH(B53,'0.1.2 Attack Dex (GO)'!A46:A1011,0))="Fast",1,0))</f>
        <v>0</v>
      </c>
      <c r="F53" s="0" t="e">
        <f aca="true">IF(OR($E$1=0,ISBLANK(B53)),,COUNTIF(INDIRECT("'0.0.2 Pokémon Learnset (Core)'!D$"&amp;$E$2&amp;":FG$"&amp;$E$2),B53))</f>
        <v>#VALUE!</v>
      </c>
      <c r="G53" s="0" t="e">
        <f aca="true">IF(ISBLANK(F53),,COUNTIF(INDIRECT("'0.1.1 Pokémon GO Moves'!C"&amp;$E$3&amp;":R$"&amp;$E$3),B53))</f>
        <v>#N/A</v>
      </c>
      <c r="H53" s="0" t="e">
        <f aca="false">IF(ISBLANK(F53),,IF(OR(D53=$B$2,D53=$B$3),1,0))</f>
        <v>#N/A</v>
      </c>
      <c r="J53" s="0" t="str">
        <v>Double-Edge</v>
      </c>
      <c r="K53" s="0" t="str">
        <f aca="false">IF(ISBLANK(J53),,J53&amp;", ")</f>
        <v>Double-Edge,</v>
      </c>
      <c r="L53" s="0" t="str">
        <f aca="false" t="array" ref="L53:L53">IF(ISBLANK(J53),,INDEX('0.2.1 Move Compare'!$B$2:$B1011,MATCH(J53,'0.2.1 Move Compare'!$A$2:$A1011,0)))</f>
        <v>Normal</v>
      </c>
      <c r="M53" s="0" t="e">
        <f aca="true">IF(OR($E$1=0,ISBLANK(J53)),,COUNTIF(INDIRECT("'0.0.2 Pokémon Learnset (Core)'!D$"&amp;$E$2&amp;":FG$"&amp;$E$2),J53))</f>
        <v>#VALUE!</v>
      </c>
      <c r="N53" s="0" t="e">
        <f aca="false">IF(ISBLANK(J53),,IF(OR(L53=$B$2,L53=$B$3),1,0))</f>
        <v>#N/A</v>
      </c>
    </row>
    <row r="54" customFormat="false" ht="15.75" hidden="false" customHeight="false" outlineLevel="0" collapsed="false">
      <c r="B54" s="0" t="str">
        <v>Drill Run</v>
      </c>
      <c r="C54" s="0" t="str">
        <f aca="false">IF(ISBLANK(B54),,B54&amp;", ")</f>
        <v>Drill Run,</v>
      </c>
      <c r="D54" s="0" t="str">
        <f aca="false" t="array" ref="D54:D54">IF(ISBLANK(B54),,INDEX('0.2.1 Move Compare'!$B$2:$B1011,MATCH(B54,'0.2.1 Move Compare'!$A$2:$A1011,0)))</f>
        <v>Ground</v>
      </c>
      <c r="E54" s="0" t="n">
        <f aca="false" t="array" ref="E54:E54">IF(ISBLANK(B54),,IF(INDEX('0.1.2 Attack Dex (GO)'!C47:C1011,MATCH(B54,'0.1.2 Attack Dex (GO)'!A47:A1011,0))="Fast",1,0))</f>
        <v>0</v>
      </c>
      <c r="F54" s="0" t="e">
        <f aca="true">IF(OR($E$1=0,ISBLANK(B54)),,COUNTIF(INDIRECT("'0.0.2 Pokémon Learnset (Core)'!D$"&amp;$E$2&amp;":FG$"&amp;$E$2),B54))</f>
        <v>#VALUE!</v>
      </c>
      <c r="G54" s="0" t="e">
        <f aca="true">IF(ISBLANK(F54),,COUNTIF(INDIRECT("'0.1.1 Pokémon GO Moves'!C"&amp;$E$3&amp;":R$"&amp;$E$3),B54))</f>
        <v>#N/A</v>
      </c>
      <c r="H54" s="0" t="e">
        <f aca="false">IF(ISBLANK(F54),,IF(OR(D54=$B$2,D54=$B$3),1,0))</f>
        <v>#N/A</v>
      </c>
      <c r="J54" s="0" t="str">
        <v>Dragon Ascent</v>
      </c>
      <c r="K54" s="0" t="str">
        <f aca="false">IF(ISBLANK(J54),,J54&amp;", ")</f>
        <v>Dragon Ascent,</v>
      </c>
      <c r="L54" s="0" t="str">
        <f aca="false" t="array" ref="L54:L54">IF(ISBLANK(J54),,INDEX('0.2.1 Move Compare'!$B$2:$B1011,MATCH(J54,'0.2.1 Move Compare'!$A$2:$A1011,0)))</f>
        <v>Flying</v>
      </c>
      <c r="M54" s="0" t="e">
        <f aca="true">IF(OR($E$1=0,ISBLANK(J54)),,COUNTIF(INDIRECT("'0.0.2 Pokémon Learnset (Core)'!D$"&amp;$E$2&amp;":FG$"&amp;$E$2),J54))</f>
        <v>#VALUE!</v>
      </c>
      <c r="N54" s="0" t="e">
        <f aca="false">IF(ISBLANK(J54),,IF(OR(L54=$B$2,L54=$B$3),1,0))</f>
        <v>#N/A</v>
      </c>
    </row>
    <row r="55" customFormat="false" ht="15.75" hidden="false" customHeight="false" outlineLevel="0" collapsed="false">
      <c r="B55" s="0" t="str">
        <v>Dynamic Punch</v>
      </c>
      <c r="C55" s="0" t="str">
        <f aca="false">IF(ISBLANK(B55),,B55&amp;", ")</f>
        <v>Dynamic Punch,</v>
      </c>
      <c r="D55" s="0" t="str">
        <f aca="false" t="array" ref="D55:D55">IF(ISBLANK(B55),,INDEX('0.2.1 Move Compare'!$B$2:$B1011,MATCH(B55,'0.2.1 Move Compare'!$A$2:$A1011,0)))</f>
        <v>Fighting</v>
      </c>
      <c r="E55" s="0" t="n">
        <f aca="false" t="array" ref="E55:E55">IF(ISBLANK(B55),,IF(INDEX('0.1.2 Attack Dex (GO)'!C48:C1011,MATCH(B55,'0.1.2 Attack Dex (GO)'!A48:A1011,0))="Fast",1,0))</f>
        <v>0</v>
      </c>
      <c r="F55" s="0" t="e">
        <f aca="true">IF(OR($E$1=0,ISBLANK(B55)),,COUNTIF(INDIRECT("'0.0.2 Pokémon Learnset (Core)'!D$"&amp;$E$2&amp;":FG$"&amp;$E$2),B55))</f>
        <v>#VALUE!</v>
      </c>
      <c r="G55" s="0" t="e">
        <f aca="true">IF(ISBLANK(F55),,COUNTIF(INDIRECT("'0.1.1 Pokémon GO Moves'!C"&amp;$E$3&amp;":R$"&amp;$E$3),B55))</f>
        <v>#N/A</v>
      </c>
      <c r="H55" s="0" t="e">
        <f aca="false">IF(ISBLANK(F55),,IF(OR(D55=$B$2,D55=$B$3),1,0))</f>
        <v>#N/A</v>
      </c>
      <c r="J55" s="0" t="str">
        <v>Dragon Hammer</v>
      </c>
      <c r="K55" s="0" t="str">
        <f aca="false">IF(ISBLANK(J55),,J55&amp;", ")</f>
        <v>Dragon Hammer,</v>
      </c>
      <c r="L55" s="0" t="str">
        <f aca="false" t="array" ref="L55:L55">IF(ISBLANK(J55),,INDEX('0.2.1 Move Compare'!$B$2:$B1011,MATCH(J55,'0.2.1 Move Compare'!$A$2:$A1011,0)))</f>
        <v>Dragon</v>
      </c>
      <c r="M55" s="0" t="e">
        <f aca="true">IF(OR($E$1=0,ISBLANK(J55)),,COUNTIF(INDIRECT("'0.0.2 Pokémon Learnset (Core)'!D$"&amp;$E$2&amp;":FG$"&amp;$E$2),J55))</f>
        <v>#VALUE!</v>
      </c>
      <c r="N55" s="0" t="e">
        <f aca="false">IF(ISBLANK(J55),,IF(OR(L55=$B$2,L55=$B$3),1,0))</f>
        <v>#N/A</v>
      </c>
    </row>
    <row r="56" customFormat="false" ht="15.75" hidden="false" customHeight="false" outlineLevel="0" collapsed="false">
      <c r="B56" s="0" t="str">
        <v>Earthquake</v>
      </c>
      <c r="C56" s="0" t="str">
        <f aca="false">IF(ISBLANK(B56),,B56&amp;", ")</f>
        <v>Earthquake,</v>
      </c>
      <c r="D56" s="0" t="str">
        <f aca="false" t="array" ref="D56:D56">IF(ISBLANK(B56),,INDEX('0.2.1 Move Compare'!$B$2:$B1011,MATCH(B56,'0.2.1 Move Compare'!$A$2:$A1011,0)))</f>
        <v>Ground</v>
      </c>
      <c r="E56" s="0" t="n">
        <f aca="false" t="array" ref="E56:E56">IF(ISBLANK(B56),,IF(INDEX('0.1.2 Attack Dex (GO)'!C49:C1011,MATCH(B56,'0.1.2 Attack Dex (GO)'!A49:A1011,0))="Fast",1,0))</f>
        <v>0</v>
      </c>
      <c r="F56" s="0" t="e">
        <f aca="true">IF(OR($E$1=0,ISBLANK(B56)),,COUNTIF(INDIRECT("'0.0.2 Pokémon Learnset (Core)'!D$"&amp;$E$2&amp;":FG$"&amp;$E$2),B56))</f>
        <v>#VALUE!</v>
      </c>
      <c r="G56" s="0" t="e">
        <f aca="true">IF(ISBLANK(F56),,COUNTIF(INDIRECT("'0.1.1 Pokémon GO Moves'!C"&amp;$E$3&amp;":R$"&amp;$E$3),B56))</f>
        <v>#N/A</v>
      </c>
      <c r="H56" s="0" t="e">
        <f aca="false">IF(ISBLANK(F56),,IF(OR(D56=$B$2,D56=$B$3),1,0))</f>
        <v>#N/A</v>
      </c>
      <c r="J56" s="0" t="str">
        <v>Dragon Rage</v>
      </c>
      <c r="K56" s="0" t="str">
        <f aca="false">IF(ISBLANK(J56),,J56&amp;", ")</f>
        <v>Dragon Rage,</v>
      </c>
      <c r="L56" s="0" t="str">
        <f aca="false" t="array" ref="L56:L56">IF(ISBLANK(J56),,INDEX('0.2.1 Move Compare'!$B$2:$B1011,MATCH(J56,'0.2.1 Move Compare'!$A$2:$A1011,0)))</f>
        <v>Dragon</v>
      </c>
      <c r="M56" s="0" t="e">
        <f aca="true">IF(OR($E$1=0,ISBLANK(J56)),,COUNTIF(INDIRECT("'0.0.2 Pokémon Learnset (Core)'!D$"&amp;$E$2&amp;":FG$"&amp;$E$2),J56))</f>
        <v>#VALUE!</v>
      </c>
      <c r="N56" s="0" t="e">
        <f aca="false">IF(ISBLANK(J56),,IF(OR(L56=$B$2,L56=$B$3),1,0))</f>
        <v>#N/A</v>
      </c>
    </row>
    <row r="57" customFormat="false" ht="15.75" hidden="false" customHeight="false" outlineLevel="0" collapsed="false">
      <c r="B57" s="0" t="str">
        <v>Ember</v>
      </c>
      <c r="C57" s="0" t="str">
        <f aca="false">IF(ISBLANK(B57),,B57&amp;", ")</f>
        <v>Ember,</v>
      </c>
      <c r="D57" s="0" t="str">
        <f aca="false" t="array" ref="D57:D57">IF(ISBLANK(B57),,INDEX('0.2.1 Move Compare'!$B$2:$B1011,MATCH(B57,'0.2.1 Move Compare'!$A$2:$A1011,0)))</f>
        <v>Fire</v>
      </c>
      <c r="E57" s="0" t="n">
        <f aca="false" t="array" ref="E57:E57">IF(ISBLANK(B57),,IF(INDEX('0.1.2 Attack Dex (GO)'!C50:C1011,MATCH(B57,'0.1.2 Attack Dex (GO)'!A50:A1011,0))="Fast",1,0))</f>
        <v>1</v>
      </c>
      <c r="F57" s="0" t="e">
        <f aca="true">IF(OR($E$1=0,ISBLANK(B57)),,COUNTIF(INDIRECT("'0.0.2 Pokémon Learnset (Core)'!D$"&amp;$E$2&amp;":FG$"&amp;$E$2),B57))</f>
        <v>#VALUE!</v>
      </c>
      <c r="G57" s="0" t="e">
        <f aca="true">IF(ISBLANK(F57),,COUNTIF(INDIRECT("'0.1.1 Pokémon GO Moves'!C"&amp;$E$3&amp;":R$"&amp;$E$3),B57))</f>
        <v>#N/A</v>
      </c>
      <c r="H57" s="0" t="e">
        <f aca="false">IF(ISBLANK(F57),,IF(OR(D57=$B$2,D57=$B$3),1,0))</f>
        <v>#N/A</v>
      </c>
      <c r="J57" s="0" t="str">
        <v>Dragon Rush</v>
      </c>
      <c r="K57" s="0" t="str">
        <f aca="false">IF(ISBLANK(J57),,J57&amp;", ")</f>
        <v>Dragon Rush,</v>
      </c>
      <c r="L57" s="0" t="str">
        <f aca="false" t="array" ref="L57:L57">IF(ISBLANK(J57),,INDEX('0.2.1 Move Compare'!$B$2:$B1011,MATCH(J57,'0.2.1 Move Compare'!$A$2:$A1011,0)))</f>
        <v>Dragon</v>
      </c>
      <c r="M57" s="0" t="e">
        <f aca="true">IF(OR($E$1=0,ISBLANK(J57)),,COUNTIF(INDIRECT("'0.0.2 Pokémon Learnset (Core)'!D$"&amp;$E$2&amp;":FG$"&amp;$E$2),J57))</f>
        <v>#VALUE!</v>
      </c>
      <c r="N57" s="0" t="e">
        <f aca="false">IF(ISBLANK(J57),,IF(OR(L57=$B$2,L57=$B$3),1,0))</f>
        <v>#N/A</v>
      </c>
    </row>
    <row r="58" customFormat="false" ht="15.75" hidden="false" customHeight="false" outlineLevel="0" collapsed="false">
      <c r="B58" s="0" t="str">
        <v>Energy Ball</v>
      </c>
      <c r="C58" s="0" t="str">
        <f aca="false">IF(ISBLANK(B58),,B58&amp;", ")</f>
        <v>Energy Ball,</v>
      </c>
      <c r="D58" s="0" t="str">
        <f aca="false" t="array" ref="D58:D58">IF(ISBLANK(B58),,INDEX('0.2.1 Move Compare'!$B$2:$B1011,MATCH(B58,'0.2.1 Move Compare'!$A$2:$A1011,0)))</f>
        <v>Grass</v>
      </c>
      <c r="E58" s="0" t="n">
        <f aca="false" t="array" ref="E58:E58">IF(ISBLANK(B58),,IF(INDEX('0.1.2 Attack Dex (GO)'!C51:C1011,MATCH(B58,'0.1.2 Attack Dex (GO)'!A51:A1011,0))="Fast",1,0))</f>
        <v>0</v>
      </c>
      <c r="F58" s="0" t="e">
        <f aca="true">IF(OR($E$1=0,ISBLANK(B58)),,COUNTIF(INDIRECT("'0.0.2 Pokémon Learnset (Core)'!D$"&amp;$E$2&amp;":FG$"&amp;$E$2),B58))</f>
        <v>#VALUE!</v>
      </c>
      <c r="G58" s="0" t="e">
        <f aca="true">IF(ISBLANK(F58),,COUNTIF(INDIRECT("'0.1.1 Pokémon GO Moves'!C"&amp;$E$3&amp;":R$"&amp;$E$3),B58))</f>
        <v>#N/A</v>
      </c>
      <c r="H58" s="0" t="e">
        <f aca="false">IF(ISBLANK(F58),,IF(OR(D58=$B$2,D58=$B$3),1,0))</f>
        <v>#N/A</v>
      </c>
      <c r="J58" s="0" t="str">
        <v>Drain Punch</v>
      </c>
      <c r="K58" s="0" t="str">
        <f aca="false">IF(ISBLANK(J58),,J58&amp;", ")</f>
        <v>Drain Punch,</v>
      </c>
      <c r="L58" s="0" t="str">
        <f aca="false" t="array" ref="L58:L58">IF(ISBLANK(J58),,INDEX('0.2.1 Move Compare'!$B$2:$B1011,MATCH(J58,'0.2.1 Move Compare'!$A$2:$A1011,0)))</f>
        <v>Fighting</v>
      </c>
      <c r="M58" s="0" t="e">
        <f aca="true">IF(OR($E$1=0,ISBLANK(J58)),,COUNTIF(INDIRECT("'0.0.2 Pokémon Learnset (Core)'!D$"&amp;$E$2&amp;":FG$"&amp;$E$2),J58))</f>
        <v>#VALUE!</v>
      </c>
      <c r="N58" s="0" t="e">
        <f aca="false">IF(ISBLANK(J58),,IF(OR(L58=$B$2,L58=$B$3),1,0))</f>
        <v>#N/A</v>
      </c>
    </row>
    <row r="59" customFormat="false" ht="15.75" hidden="false" customHeight="false" outlineLevel="0" collapsed="false">
      <c r="B59" s="0" t="str">
        <v>Extrasensory</v>
      </c>
      <c r="C59" s="0" t="str">
        <f aca="false">IF(ISBLANK(B59),,B59&amp;", ")</f>
        <v>Extrasensory,</v>
      </c>
      <c r="D59" s="0" t="str">
        <f aca="false" t="array" ref="D59:D59">IF(ISBLANK(B59),,INDEX('0.2.1 Move Compare'!$B$2:$B1011,MATCH(B59,'0.2.1 Move Compare'!$A$2:$A1011,0)))</f>
        <v>Psychic</v>
      </c>
      <c r="E59" s="0" t="n">
        <f aca="false" t="array" ref="E59:E59">IF(ISBLANK(B59),,IF(INDEX('0.1.2 Attack Dex (GO)'!C52:C1011,MATCH(B59,'0.1.2 Attack Dex (GO)'!A52:A1011,0))="Fast",1,0))</f>
        <v>1</v>
      </c>
      <c r="F59" s="0" t="e">
        <f aca="true">IF(OR($E$1=0,ISBLANK(B59)),,COUNTIF(INDIRECT("'0.0.2 Pokémon Learnset (Core)'!D$"&amp;$E$2&amp;":FG$"&amp;$E$2),B59))</f>
        <v>#VALUE!</v>
      </c>
      <c r="G59" s="0" t="e">
        <f aca="true">IF(ISBLANK(F59),,COUNTIF(INDIRECT("'0.1.1 Pokémon GO Moves'!C"&amp;$E$3&amp;":R$"&amp;$E$3),B59))</f>
        <v>#N/A</v>
      </c>
      <c r="H59" s="0" t="e">
        <f aca="false">IF(ISBLANK(F59),,IF(OR(D59=$B$2,D59=$B$3),1,0))</f>
        <v>#N/A</v>
      </c>
      <c r="J59" s="0" t="str">
        <v>Dream Eater</v>
      </c>
      <c r="K59" s="0" t="str">
        <f aca="false">IF(ISBLANK(J59),,J59&amp;", ")</f>
        <v>Dream Eater,</v>
      </c>
      <c r="L59" s="0" t="str">
        <f aca="false" t="array" ref="L59:L59">IF(ISBLANK(J59),,INDEX('0.2.1 Move Compare'!$B$2:$B1011,MATCH(J59,'0.2.1 Move Compare'!$A$2:$A1011,0)))</f>
        <v>Psychic</v>
      </c>
      <c r="M59" s="0" t="e">
        <f aca="true">IF(OR($E$1=0,ISBLANK(J59)),,COUNTIF(INDIRECT("'0.0.2 Pokémon Learnset (Core)'!D$"&amp;$E$2&amp;":FG$"&amp;$E$2),J59))</f>
        <v>#VALUE!</v>
      </c>
      <c r="N59" s="0" t="e">
        <f aca="false">IF(ISBLANK(J59),,IF(OR(L59=$B$2,L59=$B$3),1,0))</f>
        <v>#N/A</v>
      </c>
    </row>
    <row r="60" customFormat="false" ht="15.75" hidden="false" customHeight="false" outlineLevel="0" collapsed="false">
      <c r="B60" s="0" t="str">
        <v>Feint Attack</v>
      </c>
      <c r="C60" s="0" t="str">
        <f aca="false">IF(ISBLANK(B60),,B60&amp;", ")</f>
        <v>Feint Attack,</v>
      </c>
      <c r="D60" s="0" t="str">
        <f aca="false" t="array" ref="D60:D60">IF(ISBLANK(B60),,INDEX('0.2.1 Move Compare'!$B$2:$B1011,MATCH(B60,'0.2.1 Move Compare'!$A$2:$A1011,0)))</f>
        <v>Dark</v>
      </c>
      <c r="E60" s="0" t="n">
        <f aca="false" t="array" ref="E60:E60">IF(ISBLANK(B60),,IF(INDEX('0.1.2 Attack Dex (GO)'!C53:C1011,MATCH(B60,'0.1.2 Attack Dex (GO)'!A53:A1011,0))="Fast",1,0))</f>
        <v>1</v>
      </c>
      <c r="F60" s="0" t="e">
        <f aca="true">IF(OR($E$1=0,ISBLANK(B60)),,COUNTIF(INDIRECT("'0.0.2 Pokémon Learnset (Core)'!D$"&amp;$E$2&amp;":FG$"&amp;$E$2),B60))</f>
        <v>#VALUE!</v>
      </c>
      <c r="G60" s="0" t="e">
        <f aca="true">IF(ISBLANK(F60),,COUNTIF(INDIRECT("'0.1.1 Pokémon GO Moves'!C"&amp;$E$3&amp;":R$"&amp;$E$3),B60))</f>
        <v>#N/A</v>
      </c>
      <c r="H60" s="0" t="e">
        <f aca="false">IF(ISBLANK(F60),,IF(OR(D60=$B$2,D60=$B$3),1,0))</f>
        <v>#N/A</v>
      </c>
      <c r="J60" s="0" t="str">
        <v>Dual Chop</v>
      </c>
      <c r="K60" s="0" t="str">
        <f aca="false">IF(ISBLANK(J60),,J60&amp;", ")</f>
        <v>Dual Chop,</v>
      </c>
      <c r="L60" s="0" t="str">
        <f aca="false" t="array" ref="L60:L60">IF(ISBLANK(J60),,INDEX('0.2.1 Move Compare'!$B$2:$B1011,MATCH(J60,'0.2.1 Move Compare'!$A$2:$A1011,0)))</f>
        <v>Dragon</v>
      </c>
      <c r="M60" s="0" t="e">
        <f aca="true">IF(OR($E$1=0,ISBLANK(J60)),,COUNTIF(INDIRECT("'0.0.2 Pokémon Learnset (Core)'!D$"&amp;$E$2&amp;":FG$"&amp;$E$2),J60))</f>
        <v>#VALUE!</v>
      </c>
      <c r="N60" s="0" t="e">
        <f aca="false">IF(ISBLANK(J60),,IF(OR(L60=$B$2,L60=$B$3),1,0))</f>
        <v>#N/A</v>
      </c>
    </row>
    <row r="61" customFormat="false" ht="15.75" hidden="false" customHeight="false" outlineLevel="0" collapsed="false">
      <c r="B61" s="0" t="str">
        <v>Fire Blast</v>
      </c>
      <c r="C61" s="0" t="str">
        <f aca="false">IF(ISBLANK(B61),,B61&amp;", ")</f>
        <v>Fire Blast,</v>
      </c>
      <c r="D61" s="0" t="str">
        <f aca="false" t="array" ref="D61:D61">IF(ISBLANK(B61),,INDEX('0.2.1 Move Compare'!$B$2:$B1011,MATCH(B61,'0.2.1 Move Compare'!$A$2:$A1011,0)))</f>
        <v>Fire</v>
      </c>
      <c r="E61" s="0" t="n">
        <f aca="false" t="array" ref="E61:E61">IF(ISBLANK(B61),,IF(INDEX('0.1.2 Attack Dex (GO)'!C54:C1011,MATCH(B61,'0.1.2 Attack Dex (GO)'!A54:A1011,0))="Fast",1,0))</f>
        <v>0</v>
      </c>
      <c r="F61" s="0" t="e">
        <f aca="true">IF(OR($E$1=0,ISBLANK(B61)),,COUNTIF(INDIRECT("'0.0.2 Pokémon Learnset (Core)'!D$"&amp;$E$2&amp;":FG$"&amp;$E$2),B61))</f>
        <v>#VALUE!</v>
      </c>
      <c r="G61" s="0" t="e">
        <f aca="true">IF(ISBLANK(F61),,COUNTIF(INDIRECT("'0.1.1 Pokémon GO Moves'!C"&amp;$E$3&amp;":R$"&amp;$E$3),B61))</f>
        <v>#N/A</v>
      </c>
      <c r="H61" s="0" t="e">
        <f aca="false">IF(ISBLANK(F61),,IF(OR(D61=$B$2,D61=$B$3),1,0))</f>
        <v>#N/A</v>
      </c>
      <c r="J61" s="0" t="str">
        <v>Earth Power</v>
      </c>
      <c r="K61" s="0" t="str">
        <f aca="false">IF(ISBLANK(J61),,J61&amp;", ")</f>
        <v>Earth Power,</v>
      </c>
      <c r="L61" s="0" t="str">
        <f aca="false" t="array" ref="L61:L61">IF(ISBLANK(J61),,INDEX('0.2.1 Move Compare'!$B$2:$B1011,MATCH(J61,'0.2.1 Move Compare'!$A$2:$A1011,0)))</f>
        <v>Ground</v>
      </c>
      <c r="M61" s="0" t="e">
        <f aca="true">IF(OR($E$1=0,ISBLANK(J61)),,COUNTIF(INDIRECT("'0.0.2 Pokémon Learnset (Core)'!D$"&amp;$E$2&amp;":FG$"&amp;$E$2),J61))</f>
        <v>#VALUE!</v>
      </c>
      <c r="N61" s="0" t="e">
        <f aca="false">IF(ISBLANK(J61),,IF(OR(L61=$B$2,L61=$B$3),1,0))</f>
        <v>#N/A</v>
      </c>
    </row>
    <row r="62" customFormat="false" ht="15.75" hidden="false" customHeight="false" outlineLevel="0" collapsed="false">
      <c r="B62" s="0" t="str">
        <v>Fire Fang</v>
      </c>
      <c r="C62" s="0" t="str">
        <f aca="false">IF(ISBLANK(B62),,B62&amp;", ")</f>
        <v>Fire Fang,</v>
      </c>
      <c r="D62" s="0" t="str">
        <f aca="false" t="array" ref="D62:D62">IF(ISBLANK(B62),,INDEX('0.2.1 Move Compare'!$B$2:$B1011,MATCH(B62,'0.2.1 Move Compare'!$A$2:$A1011,0)))</f>
        <v>Fire</v>
      </c>
      <c r="E62" s="0" t="n">
        <f aca="false" t="array" ref="E62:E62">IF(ISBLANK(B62),,IF(INDEX('0.1.2 Attack Dex (GO)'!C55:C1011,MATCH(B62,'0.1.2 Attack Dex (GO)'!A55:A1011,0))="Fast",1,0))</f>
        <v>1</v>
      </c>
      <c r="F62" s="0" t="e">
        <f aca="true">IF(OR($E$1=0,ISBLANK(B62)),,COUNTIF(INDIRECT("'0.0.2 Pokémon Learnset (Core)'!D$"&amp;$E$2&amp;":FG$"&amp;$E$2),B62))</f>
        <v>#VALUE!</v>
      </c>
      <c r="G62" s="0" t="e">
        <f aca="true">IF(ISBLANK(F62),,COUNTIF(INDIRECT("'0.1.1 Pokémon GO Moves'!C"&amp;$E$3&amp;":R$"&amp;$E$3),B62))</f>
        <v>#N/A</v>
      </c>
      <c r="H62" s="0" t="e">
        <f aca="false">IF(ISBLANK(F62),,IF(OR(D62=$B$2,D62=$B$3),1,0))</f>
        <v>#N/A</v>
      </c>
      <c r="J62" s="0" t="str">
        <v>Echoed Voice</v>
      </c>
      <c r="K62" s="0" t="str">
        <f aca="false">IF(ISBLANK(J62),,J62&amp;", ")</f>
        <v>Echoed Voice,</v>
      </c>
      <c r="L62" s="0" t="str">
        <f aca="false" t="array" ref="L62:L62">IF(ISBLANK(J62),,INDEX('0.2.1 Move Compare'!$B$2:$B1011,MATCH(J62,'0.2.1 Move Compare'!$A$2:$A1011,0)))</f>
        <v>Normal</v>
      </c>
      <c r="M62" s="0" t="e">
        <f aca="true">IF(OR($E$1=0,ISBLANK(J62)),,COUNTIF(INDIRECT("'0.0.2 Pokémon Learnset (Core)'!D$"&amp;$E$2&amp;":FG$"&amp;$E$2),J62))</f>
        <v>#VALUE!</v>
      </c>
      <c r="N62" s="0" t="e">
        <f aca="false">IF(ISBLANK(J62),,IF(OR(L62=$B$2,L62=$B$3),1,0))</f>
        <v>#N/A</v>
      </c>
    </row>
    <row r="63" customFormat="false" ht="15.75" hidden="false" customHeight="false" outlineLevel="0" collapsed="false">
      <c r="B63" s="0" t="str">
        <v>Fire Punch</v>
      </c>
      <c r="C63" s="0" t="str">
        <f aca="false">IF(ISBLANK(B63),,B63&amp;", ")</f>
        <v>Fire Punch,</v>
      </c>
      <c r="D63" s="0" t="str">
        <f aca="false" t="array" ref="D63:D63">IF(ISBLANK(B63),,INDEX('0.2.1 Move Compare'!$B$2:$B1011,MATCH(B63,'0.2.1 Move Compare'!$A$2:$A1011,0)))</f>
        <v>Fire</v>
      </c>
      <c r="E63" s="0" t="n">
        <f aca="false" t="array" ref="E63:E63">IF(ISBLANK(B63),,IF(INDEX('0.1.2 Attack Dex (GO)'!C56:C1011,MATCH(B63,'0.1.2 Attack Dex (GO)'!A56:A1011,0))="Fast",1,0))</f>
        <v>0</v>
      </c>
      <c r="F63" s="0" t="e">
        <f aca="true">IF(OR($E$1=0,ISBLANK(B63)),,COUNTIF(INDIRECT("'0.0.2 Pokémon Learnset (Core)'!D$"&amp;$E$2&amp;":FG$"&amp;$E$2),B63))</f>
        <v>#VALUE!</v>
      </c>
      <c r="G63" s="0" t="e">
        <f aca="true">IF(ISBLANK(F63),,COUNTIF(INDIRECT("'0.1.1 Pokémon GO Moves'!C"&amp;$E$3&amp;":R$"&amp;$E$3),B63))</f>
        <v>#N/A</v>
      </c>
      <c r="H63" s="0" t="e">
        <f aca="false">IF(ISBLANK(F63),,IF(OR(D63=$B$2,D63=$B$3),1,0))</f>
        <v>#N/A</v>
      </c>
      <c r="J63" s="0" t="str">
        <v>Egg Bomb</v>
      </c>
      <c r="K63" s="0" t="str">
        <f aca="false">IF(ISBLANK(J63),,J63&amp;", ")</f>
        <v>Egg Bomb,</v>
      </c>
      <c r="L63" s="0" t="str">
        <f aca="false" t="array" ref="L63:L63">IF(ISBLANK(J63),,INDEX('0.2.1 Move Compare'!$B$2:$B1011,MATCH(J63,'0.2.1 Move Compare'!$A$2:$A1011,0)))</f>
        <v>Normal</v>
      </c>
      <c r="M63" s="0" t="e">
        <f aca="true">IF(OR($E$1=0,ISBLANK(J63)),,COUNTIF(INDIRECT("'0.0.2 Pokémon Learnset (Core)'!D$"&amp;$E$2&amp;":FG$"&amp;$E$2),J63))</f>
        <v>#VALUE!</v>
      </c>
      <c r="N63" s="0" t="e">
        <f aca="false">IF(ISBLANK(J63),,IF(OR(L63=$B$2,L63=$B$3),1,0))</f>
        <v>#N/A</v>
      </c>
    </row>
    <row r="64" customFormat="false" ht="15.75" hidden="false" customHeight="false" outlineLevel="0" collapsed="false">
      <c r="B64" s="0" t="str">
        <v>Fire Spin</v>
      </c>
      <c r="C64" s="0" t="str">
        <f aca="false">IF(ISBLANK(B64),,B64&amp;", ")</f>
        <v>Fire Spin,</v>
      </c>
      <c r="D64" s="0" t="str">
        <f aca="false" t="array" ref="D64:D64">IF(ISBLANK(B64),,INDEX('0.2.1 Move Compare'!$B$2:$B1011,MATCH(B64,'0.2.1 Move Compare'!$A$2:$A1011,0)))</f>
        <v>Fire</v>
      </c>
      <c r="E64" s="0" t="n">
        <f aca="false" t="array" ref="E64:E64">IF(ISBLANK(B64),,IF(INDEX('0.1.2 Attack Dex (GO)'!C57:C1011,MATCH(B64,'0.1.2 Attack Dex (GO)'!A57:A1011,0))="Fast",1,0))</f>
        <v>1</v>
      </c>
      <c r="F64" s="0" t="e">
        <f aca="true">IF(OR($E$1=0,ISBLANK(B64)),,COUNTIF(INDIRECT("'0.0.2 Pokémon Learnset (Core)'!D$"&amp;$E$2&amp;":FG$"&amp;$E$2),B64))</f>
        <v>#VALUE!</v>
      </c>
      <c r="G64" s="0" t="e">
        <f aca="true">IF(ISBLANK(F64),,COUNTIF(INDIRECT("'0.1.1 Pokémon GO Moves'!C"&amp;$E$3&amp;":R$"&amp;$E$3),B64))</f>
        <v>#N/A</v>
      </c>
      <c r="H64" s="0" t="e">
        <f aca="false">IF(ISBLANK(F64),,IF(OR(D64=$B$2,D64=$B$3),1,0))</f>
        <v>#N/A</v>
      </c>
      <c r="J64" s="0" t="str">
        <v>Electroweb</v>
      </c>
      <c r="K64" s="0" t="str">
        <f aca="false">IF(ISBLANK(J64),,J64&amp;", ")</f>
        <v>Electroweb,</v>
      </c>
      <c r="L64" s="0" t="str">
        <f aca="false" t="array" ref="L64:L64">IF(ISBLANK(J64),,INDEX('0.2.1 Move Compare'!$B$2:$B1011,MATCH(J64,'0.2.1 Move Compare'!$A$2:$A1011,0)))</f>
        <v>Electric</v>
      </c>
      <c r="M64" s="0" t="e">
        <f aca="true">IF(OR($E$1=0,ISBLANK(J64)),,COUNTIF(INDIRECT("'0.0.2 Pokémon Learnset (Core)'!D$"&amp;$E$2&amp;":FG$"&amp;$E$2),J64))</f>
        <v>#VALUE!</v>
      </c>
      <c r="N64" s="0" t="e">
        <f aca="false">IF(ISBLANK(J64),,IF(OR(L64=$B$2,L64=$B$3),1,0))</f>
        <v>#N/A</v>
      </c>
    </row>
    <row r="65" customFormat="false" ht="15.75" hidden="false" customHeight="false" outlineLevel="0" collapsed="false">
      <c r="B65" s="0" t="str">
        <v>Flame Burst</v>
      </c>
      <c r="C65" s="0" t="str">
        <f aca="false">IF(ISBLANK(B65),,B65&amp;", ")</f>
        <v>Flame Burst,</v>
      </c>
      <c r="D65" s="0" t="str">
        <f aca="false" t="array" ref="D65:D65">IF(ISBLANK(B65),,INDEX('0.2.1 Move Compare'!$B$2:$B1011,MATCH(B65,'0.2.1 Move Compare'!$A$2:$A1011,0)))</f>
        <v>Fire</v>
      </c>
      <c r="E65" s="0" t="n">
        <f aca="false" t="array" ref="E65:E65">IF(ISBLANK(B65),,IF(INDEX('0.1.2 Attack Dex (GO)'!C58:C1011,MATCH(B65,'0.1.2 Attack Dex (GO)'!A58:A1011,0))="Fast",1,0))</f>
        <v>0</v>
      </c>
      <c r="F65" s="0" t="e">
        <f aca="true">IF(OR($E$1=0,ISBLANK(B65)),,COUNTIF(INDIRECT("'0.0.2 Pokémon Learnset (Core)'!D$"&amp;$E$2&amp;":FG$"&amp;$E$2),B65))</f>
        <v>#VALUE!</v>
      </c>
      <c r="G65" s="0" t="e">
        <f aca="true">IF(ISBLANK(F65),,COUNTIF(INDIRECT("'0.1.1 Pokémon GO Moves'!C"&amp;$E$3&amp;":R$"&amp;$E$3),B65))</f>
        <v>#N/A</v>
      </c>
      <c r="H65" s="0" t="e">
        <f aca="false">IF(ISBLANK(F65),,IF(OR(D65=$B$2,D65=$B$3),1,0))</f>
        <v>#N/A</v>
      </c>
      <c r="J65" s="0" t="str">
        <v>Endeavor</v>
      </c>
      <c r="K65" s="0" t="str">
        <f aca="false">IF(ISBLANK(J65),,J65&amp;", ")</f>
        <v>Endeavor,</v>
      </c>
      <c r="L65" s="0" t="str">
        <f aca="false" t="array" ref="L65:L65">IF(ISBLANK(J65),,INDEX('0.2.1 Move Compare'!$B$2:$B1011,MATCH(J65,'0.2.1 Move Compare'!$A$2:$A1011,0)))</f>
        <v>Normal</v>
      </c>
      <c r="M65" s="0" t="e">
        <f aca="true">IF(OR($E$1=0,ISBLANK(J65)),,COUNTIF(INDIRECT("'0.0.2 Pokémon Learnset (Core)'!D$"&amp;$E$2&amp;":FG$"&amp;$E$2),J65))</f>
        <v>#VALUE!</v>
      </c>
      <c r="N65" s="0" t="e">
        <f aca="false">IF(ISBLANK(J65),,IF(OR(L65=$B$2,L65=$B$3),1,0))</f>
        <v>#N/A</v>
      </c>
    </row>
    <row r="66" customFormat="false" ht="15.75" hidden="false" customHeight="false" outlineLevel="0" collapsed="false">
      <c r="B66" s="0" t="str">
        <v>Flame Charge</v>
      </c>
      <c r="C66" s="0" t="str">
        <f aca="false">IF(ISBLANK(B66),,B66&amp;", ")</f>
        <v>Flame Charge,</v>
      </c>
      <c r="D66" s="0" t="str">
        <f aca="false" t="array" ref="D66:D66">IF(ISBLANK(B66),,INDEX('0.2.1 Move Compare'!$B$2:$B1011,MATCH(B66,'0.2.1 Move Compare'!$A$2:$A1011,0)))</f>
        <v>Fire</v>
      </c>
      <c r="E66" s="0" t="n">
        <f aca="false" t="array" ref="E66:E66">IF(ISBLANK(B66),,IF(INDEX('0.1.2 Attack Dex (GO)'!C59:C1011,MATCH(B66,'0.1.2 Attack Dex (GO)'!A59:A1011,0))="Fast",1,0))</f>
        <v>0</v>
      </c>
      <c r="F66" s="0" t="e">
        <f aca="true">IF(OR($E$1=0,ISBLANK(B66)),,COUNTIF(INDIRECT("'0.0.2 Pokémon Learnset (Core)'!D$"&amp;$E$2&amp;":FG$"&amp;$E$2),B66))</f>
        <v>#VALUE!</v>
      </c>
      <c r="G66" s="0" t="e">
        <f aca="true">IF(ISBLANK(F66),,COUNTIF(INDIRECT("'0.1.1 Pokémon GO Moves'!C"&amp;$E$3&amp;":R$"&amp;$E$3),B66))</f>
        <v>#N/A</v>
      </c>
      <c r="H66" s="0" t="e">
        <f aca="false">IF(ISBLANK(F66),,IF(OR(D66=$B$2,D66=$B$3),1,0))</f>
        <v>#N/A</v>
      </c>
      <c r="J66" s="0" t="str">
        <v>Eruption</v>
      </c>
      <c r="K66" s="0" t="str">
        <f aca="false">IF(ISBLANK(J66),,J66&amp;", ")</f>
        <v>Eruption,</v>
      </c>
      <c r="L66" s="0" t="str">
        <f aca="false" t="array" ref="L66:L66">IF(ISBLANK(J66),,INDEX('0.2.1 Move Compare'!$B$2:$B1011,MATCH(J66,'0.2.1 Move Compare'!$A$2:$A1011,0)))</f>
        <v>Fire</v>
      </c>
      <c r="M66" s="0" t="e">
        <f aca="true">IF(OR($E$1=0,ISBLANK(J66)),,COUNTIF(INDIRECT("'0.0.2 Pokémon Learnset (Core)'!D$"&amp;$E$2&amp;":FG$"&amp;$E$2),J66))</f>
        <v>#VALUE!</v>
      </c>
      <c r="N66" s="0" t="e">
        <f aca="false">IF(ISBLANK(J66),,IF(OR(L66=$B$2,L66=$B$3),1,0))</f>
        <v>#N/A</v>
      </c>
    </row>
    <row r="67" customFormat="false" ht="15.75" hidden="false" customHeight="false" outlineLevel="0" collapsed="false">
      <c r="B67" s="0" t="str">
        <v>Flame Wheel</v>
      </c>
      <c r="C67" s="0" t="str">
        <f aca="false">IF(ISBLANK(B67),,B67&amp;", ")</f>
        <v>Flame Wheel,</v>
      </c>
      <c r="D67" s="0" t="str">
        <f aca="false" t="array" ref="D67:D67">IF(ISBLANK(B67),,INDEX('0.2.1 Move Compare'!$B$2:$B1011,MATCH(B67,'0.2.1 Move Compare'!$A$2:$A1011,0)))</f>
        <v>Fire</v>
      </c>
      <c r="E67" s="0" t="n">
        <f aca="false" t="array" ref="E67:E67">IF(ISBLANK(B67),,IF(INDEX('0.1.2 Attack Dex (GO)'!C60:C1011,MATCH(B67,'0.1.2 Attack Dex (GO)'!A60:A1011,0))="Fast",1,0))</f>
        <v>0</v>
      </c>
      <c r="F67" s="0" t="e">
        <f aca="true">IF(OR($E$1=0,ISBLANK(B67)),,COUNTIF(INDIRECT("'0.0.2 Pokémon Learnset (Core)'!D$"&amp;$E$2&amp;":FG$"&amp;$E$2),B67))</f>
        <v>#VALUE!</v>
      </c>
      <c r="G67" s="0" t="e">
        <f aca="true">IF(ISBLANK(F67),,COUNTIF(INDIRECT("'0.1.1 Pokémon GO Moves'!C"&amp;$E$3&amp;":R$"&amp;$E$3),B67))</f>
        <v>#N/A</v>
      </c>
      <c r="H67" s="0" t="e">
        <f aca="false">IF(ISBLANK(F67),,IF(OR(D67=$B$2,D67=$B$3),1,0))</f>
        <v>#N/A</v>
      </c>
      <c r="J67" s="0" t="str">
        <v>Explosion</v>
      </c>
      <c r="K67" s="0" t="str">
        <f aca="false">IF(ISBLANK(J67),,J67&amp;", ")</f>
        <v>Explosion,</v>
      </c>
      <c r="L67" s="0" t="str">
        <f aca="false" t="array" ref="L67:L67">IF(ISBLANK(J67),,INDEX('0.2.1 Move Compare'!$B$2:$B1011,MATCH(J67,'0.2.1 Move Compare'!$A$2:$A1011,0)))</f>
        <v>Normal</v>
      </c>
      <c r="M67" s="0" t="e">
        <f aca="true">IF(OR($E$1=0,ISBLANK(J67)),,COUNTIF(INDIRECT("'0.0.2 Pokémon Learnset (Core)'!D$"&amp;$E$2&amp;":FG$"&amp;$E$2),J67))</f>
        <v>#VALUE!</v>
      </c>
      <c r="N67" s="0" t="e">
        <f aca="false">IF(ISBLANK(J67),,IF(OR(L67=$B$2,L67=$B$3),1,0))</f>
        <v>#N/A</v>
      </c>
    </row>
    <row r="68" customFormat="false" ht="15.75" hidden="false" customHeight="false" outlineLevel="0" collapsed="false">
      <c r="B68" s="0" t="str">
        <v>Flamethrower</v>
      </c>
      <c r="C68" s="0" t="str">
        <f aca="false">IF(ISBLANK(B68),,B68&amp;", ")</f>
        <v>Flamethrower,</v>
      </c>
      <c r="D68" s="0" t="str">
        <f aca="false" t="array" ref="D68:D68">IF(ISBLANK(B68),,INDEX('0.2.1 Move Compare'!$B$2:$B1011,MATCH(B68,'0.2.1 Move Compare'!$A$2:$A1011,0)))</f>
        <v>Fire</v>
      </c>
      <c r="E68" s="0" t="n">
        <f aca="false" t="array" ref="E68:E68">IF(ISBLANK(B68),,IF(INDEX('0.1.2 Attack Dex (GO)'!C61:C1011,MATCH(B68,'0.1.2 Attack Dex (GO)'!A61:A1011,0))="Fast",1,0))</f>
        <v>0</v>
      </c>
      <c r="F68" s="0" t="e">
        <f aca="true">IF(OR($E$1=0,ISBLANK(B68)),,COUNTIF(INDIRECT("'0.0.2 Pokémon Learnset (Core)'!D$"&amp;$E$2&amp;":FG$"&amp;$E$2),B68))</f>
        <v>#VALUE!</v>
      </c>
      <c r="G68" s="0" t="e">
        <f aca="true">IF(ISBLANK(F68),,COUNTIF(INDIRECT("'0.1.1 Pokémon GO Moves'!C"&amp;$E$3&amp;":R$"&amp;$E$3),B68))</f>
        <v>#N/A</v>
      </c>
      <c r="H68" s="0" t="e">
        <f aca="false">IF(ISBLANK(F68),,IF(OR(D68=$B$2,D68=$B$3),1,0))</f>
        <v>#N/A</v>
      </c>
      <c r="J68" s="0" t="str">
        <v>Extreme Speed</v>
      </c>
      <c r="K68" s="0" t="str">
        <f aca="false">IF(ISBLANK(J68),,J68&amp;", ")</f>
        <v>Extreme Speed,</v>
      </c>
      <c r="L68" s="0" t="str">
        <f aca="false" t="array" ref="L68:L68">IF(ISBLANK(J68),,INDEX('0.2.1 Move Compare'!$B$2:$B1011,MATCH(J68,'0.2.1 Move Compare'!$A$2:$A1011,0)))</f>
        <v>Normal</v>
      </c>
      <c r="M68" s="0" t="e">
        <f aca="true">IF(OR($E$1=0,ISBLANK(J68)),,COUNTIF(INDIRECT("'0.0.2 Pokémon Learnset (Core)'!D$"&amp;$E$2&amp;":FG$"&amp;$E$2),J68))</f>
        <v>#VALUE!</v>
      </c>
      <c r="N68" s="0" t="e">
        <f aca="false">IF(ISBLANK(J68),,IF(OR(L68=$B$2,L68=$B$3),1,0))</f>
        <v>#N/A</v>
      </c>
    </row>
    <row r="69" customFormat="false" ht="15.75" hidden="false" customHeight="false" outlineLevel="0" collapsed="false">
      <c r="B69" s="0" t="str">
        <v>Flash Cannon</v>
      </c>
      <c r="C69" s="0" t="str">
        <f aca="false">IF(ISBLANK(B69),,B69&amp;", ")</f>
        <v>Flash Cannon,</v>
      </c>
      <c r="D69" s="0" t="str">
        <f aca="false" t="array" ref="D69:D69">IF(ISBLANK(B69),,INDEX('0.2.1 Move Compare'!$B$2:$B1011,MATCH(B69,'0.2.1 Move Compare'!$A$2:$A1011,0)))</f>
        <v>Steel</v>
      </c>
      <c r="E69" s="0" t="n">
        <f aca="false" t="array" ref="E69:E69">IF(ISBLANK(B69),,IF(INDEX('0.1.2 Attack Dex (GO)'!C62:C1011,MATCH(B69,'0.1.2 Attack Dex (GO)'!A62:A1011,0))="Fast",1,0))</f>
        <v>0</v>
      </c>
      <c r="F69" s="0" t="e">
        <f aca="true">IF(OR($E$1=0,ISBLANK(B69)),,COUNTIF(INDIRECT("'0.0.2 Pokémon Learnset (Core)'!D$"&amp;$E$2&amp;":FG$"&amp;$E$2),B69))</f>
        <v>#VALUE!</v>
      </c>
      <c r="G69" s="0" t="e">
        <f aca="true">IF(ISBLANK(F69),,COUNTIF(INDIRECT("'0.1.1 Pokémon GO Moves'!C"&amp;$E$3&amp;":R$"&amp;$E$3),B69))</f>
        <v>#N/A</v>
      </c>
      <c r="H69" s="0" t="e">
        <f aca="false">IF(ISBLANK(F69),,IF(OR(D69=$B$2,D69=$B$3),1,0))</f>
        <v>#N/A</v>
      </c>
      <c r="J69" s="0" t="str">
        <v>Facade</v>
      </c>
      <c r="K69" s="0" t="str">
        <f aca="false">IF(ISBLANK(J69),,J69&amp;", ")</f>
        <v>Facade,</v>
      </c>
      <c r="L69" s="0" t="str">
        <f aca="false" t="array" ref="L69:L69">IF(ISBLANK(J69),,INDEX('0.2.1 Move Compare'!$B$2:$B1011,MATCH(J69,'0.2.1 Move Compare'!$A$2:$A1011,0)))</f>
        <v>Normal</v>
      </c>
      <c r="M69" s="0" t="e">
        <f aca="true">IF(OR($E$1=0,ISBLANK(J69)),,COUNTIF(INDIRECT("'0.0.2 Pokémon Learnset (Core)'!D$"&amp;$E$2&amp;":FG$"&amp;$E$2),J69))</f>
        <v>#VALUE!</v>
      </c>
      <c r="N69" s="0" t="e">
        <f aca="false">IF(ISBLANK(J69),,IF(OR(L69=$B$2,L69=$B$3),1,0))</f>
        <v>#N/A</v>
      </c>
    </row>
    <row r="70" customFormat="false" ht="15.75" hidden="false" customHeight="false" outlineLevel="0" collapsed="false">
      <c r="B70" s="0" t="str">
        <v>Focus Blast</v>
      </c>
      <c r="C70" s="0" t="str">
        <f aca="false">IF(ISBLANK(B70),,B70&amp;", ")</f>
        <v>Focus Blast,</v>
      </c>
      <c r="D70" s="0" t="str">
        <f aca="false" t="array" ref="D70:D70">IF(ISBLANK(B70),,INDEX('0.2.1 Move Compare'!$B$2:$B1011,MATCH(B70,'0.2.1 Move Compare'!$A$2:$A1011,0)))</f>
        <v>Fighting</v>
      </c>
      <c r="E70" s="0" t="n">
        <f aca="false" t="array" ref="E70:E70">IF(ISBLANK(B70),,IF(INDEX('0.1.2 Attack Dex (GO)'!C63:C1011,MATCH(B70,'0.1.2 Attack Dex (GO)'!A63:A1011,0))="Fast",1,0))</f>
        <v>0</v>
      </c>
      <c r="F70" s="0" t="e">
        <f aca="true">IF(OR($E$1=0,ISBLANK(B70)),,COUNTIF(INDIRECT("'0.0.2 Pokémon Learnset (Core)'!D$"&amp;$E$2&amp;":FG$"&amp;$E$2),B70))</f>
        <v>#VALUE!</v>
      </c>
      <c r="G70" s="0" t="e">
        <f aca="true">IF(ISBLANK(F70),,COUNTIF(INDIRECT("'0.1.1 Pokémon GO Moves'!C"&amp;$E$3&amp;":R$"&amp;$E$3),B70))</f>
        <v>#N/A</v>
      </c>
      <c r="H70" s="0" t="e">
        <f aca="false">IF(ISBLANK(F70),,IF(OR(D70=$B$2,D70=$B$3),1,0))</f>
        <v>#N/A</v>
      </c>
      <c r="J70" s="0" t="str">
        <v>Fairy Wind</v>
      </c>
      <c r="K70" s="0" t="str">
        <f aca="false">IF(ISBLANK(J70),,J70&amp;", ")</f>
        <v>Fairy Wind,</v>
      </c>
      <c r="L70" s="0" t="str">
        <f aca="false" t="array" ref="L70:L70">IF(ISBLANK(J70),,INDEX('0.2.1 Move Compare'!$B$2:$B1011,MATCH(J70,'0.2.1 Move Compare'!$A$2:$A1011,0)))</f>
        <v>Fairy</v>
      </c>
      <c r="M70" s="0" t="e">
        <f aca="true">IF(OR($E$1=0,ISBLANK(J70)),,COUNTIF(INDIRECT("'0.0.2 Pokémon Learnset (Core)'!D$"&amp;$E$2&amp;":FG$"&amp;$E$2),J70))</f>
        <v>#VALUE!</v>
      </c>
      <c r="N70" s="0" t="e">
        <f aca="false">IF(ISBLANK(J70),,IF(OR(L70=$B$2,L70=$B$3),1,0))</f>
        <v>#N/A</v>
      </c>
    </row>
    <row r="71" customFormat="false" ht="15.75" hidden="false" customHeight="false" outlineLevel="0" collapsed="false">
      <c r="B71" s="0" t="str">
        <v>Foul Play</v>
      </c>
      <c r="C71" s="0" t="str">
        <f aca="false">IF(ISBLANK(B71),,B71&amp;", ")</f>
        <v>Foul Play,</v>
      </c>
      <c r="D71" s="0" t="str">
        <f aca="false" t="array" ref="D71:D71">IF(ISBLANK(B71),,INDEX('0.2.1 Move Compare'!$B$2:$B1011,MATCH(B71,'0.2.1 Move Compare'!$A$2:$A1011,0)))</f>
        <v>Dark</v>
      </c>
      <c r="E71" s="0" t="n">
        <f aca="false" t="array" ref="E71:E71">IF(ISBLANK(B71),,IF(INDEX('0.1.2 Attack Dex (GO)'!C64:C1011,MATCH(B71,'0.1.2 Attack Dex (GO)'!A64:A1011,0))="Fast",1,0))</f>
        <v>0</v>
      </c>
      <c r="F71" s="0" t="e">
        <f aca="true">IF(OR($E$1=0,ISBLANK(B71)),,COUNTIF(INDIRECT("'0.0.2 Pokémon Learnset (Core)'!D$"&amp;$E$2&amp;":FG$"&amp;$E$2),B71))</f>
        <v>#VALUE!</v>
      </c>
      <c r="G71" s="0" t="e">
        <f aca="true">IF(ISBLANK(F71),,COUNTIF(INDIRECT("'0.1.1 Pokémon GO Moves'!C"&amp;$E$3&amp;":R$"&amp;$E$3),B71))</f>
        <v>#N/A</v>
      </c>
      <c r="H71" s="0" t="e">
        <f aca="false">IF(ISBLANK(F71),,IF(OR(D71=$B$2,D71=$B$3),1,0))</f>
        <v>#N/A</v>
      </c>
      <c r="J71" s="0" t="str">
        <v>Fake Out</v>
      </c>
      <c r="K71" s="0" t="str">
        <f aca="false">IF(ISBLANK(J71),,J71&amp;", ")</f>
        <v>Fake Out,</v>
      </c>
      <c r="L71" s="0" t="str">
        <f aca="false" t="array" ref="L71:L71">IF(ISBLANK(J71),,INDEX('0.2.1 Move Compare'!$B$2:$B1011,MATCH(J71,'0.2.1 Move Compare'!$A$2:$A1011,0)))</f>
        <v>Normal</v>
      </c>
      <c r="M71" s="0" t="e">
        <f aca="true">IF(OR($E$1=0,ISBLANK(J71)),,COUNTIF(INDIRECT("'0.0.2 Pokémon Learnset (Core)'!D$"&amp;$E$2&amp;":FG$"&amp;$E$2),J71))</f>
        <v>#VALUE!</v>
      </c>
      <c r="N71" s="0" t="e">
        <f aca="false">IF(ISBLANK(J71),,IF(OR(L71=$B$2,L71=$B$3),1,0))</f>
        <v>#N/A</v>
      </c>
    </row>
    <row r="72" customFormat="false" ht="15.75" hidden="false" customHeight="false" outlineLevel="0" collapsed="false">
      <c r="B72" s="0" t="str">
        <v>Frenzy Plant</v>
      </c>
      <c r="C72" s="0" t="str">
        <f aca="false">IF(ISBLANK(B72),,B72&amp;", ")</f>
        <v>Frenzy Plant,</v>
      </c>
      <c r="D72" s="0" t="str">
        <f aca="false" t="array" ref="D72:D72">IF(ISBLANK(B72),,INDEX('0.2.1 Move Compare'!$B$2:$B1011,MATCH(B72,'0.2.1 Move Compare'!$A$2:$A1011,0)))</f>
        <v>Grass</v>
      </c>
      <c r="E72" s="0" t="n">
        <f aca="false" t="array" ref="E72:E72">IF(ISBLANK(B72),,IF(INDEX('0.1.2 Attack Dex (GO)'!C65:C1011,MATCH(B72,'0.1.2 Attack Dex (GO)'!A65:A1011,0))="Fast",1,0))</f>
        <v>0</v>
      </c>
      <c r="F72" s="0" t="e">
        <f aca="true">IF(OR($E$1=0,ISBLANK(B72)),,COUNTIF(INDIRECT("'0.0.2 Pokémon Learnset (Core)'!D$"&amp;$E$2&amp;":FG$"&amp;$E$2),B72))</f>
        <v>#VALUE!</v>
      </c>
      <c r="G72" s="0" t="e">
        <f aca="true">IF(ISBLANK(F72),,COUNTIF(INDIRECT("'0.1.1 Pokémon GO Moves'!C"&amp;$E$3&amp;":R$"&amp;$E$3),B72))</f>
        <v>#N/A</v>
      </c>
      <c r="H72" s="0" t="e">
        <f aca="false">IF(ISBLANK(F72),,IF(OR(D72=$B$2,D72=$B$3),1,0))</f>
        <v>#N/A</v>
      </c>
      <c r="J72" s="0" t="str">
        <v>False Swipe</v>
      </c>
      <c r="K72" s="0" t="str">
        <f aca="false">IF(ISBLANK(J72),,J72&amp;", ")</f>
        <v>False Swipe,</v>
      </c>
      <c r="L72" s="0" t="str">
        <f aca="false" t="array" ref="L72:L72">IF(ISBLANK(J72),,INDEX('0.2.1 Move Compare'!$B$2:$B1011,MATCH(J72,'0.2.1 Move Compare'!$A$2:$A1011,0)))</f>
        <v>Normal</v>
      </c>
      <c r="M72" s="0" t="e">
        <f aca="true">IF(OR($E$1=0,ISBLANK(J72)),,COUNTIF(INDIRECT("'0.0.2 Pokémon Learnset (Core)'!D$"&amp;$E$2&amp;":FG$"&amp;$E$2),J72))</f>
        <v>#VALUE!</v>
      </c>
      <c r="N72" s="0" t="e">
        <f aca="false">IF(ISBLANK(J72),,IF(OR(L72=$B$2,L72=$B$3),1,0))</f>
        <v>#N/A</v>
      </c>
    </row>
    <row r="73" customFormat="false" ht="15.75" hidden="false" customHeight="false" outlineLevel="0" collapsed="false">
      <c r="B73" s="0" t="str">
        <v>Frost Breath</v>
      </c>
      <c r="C73" s="0" t="str">
        <f aca="false">IF(ISBLANK(B73),,B73&amp;", ")</f>
        <v>Frost Breath,</v>
      </c>
      <c r="D73" s="0" t="str">
        <f aca="false" t="array" ref="D73:D73">IF(ISBLANK(B73),,INDEX('0.2.1 Move Compare'!$B$2:$B1011,MATCH(B73,'0.2.1 Move Compare'!$A$2:$A1011,0)))</f>
        <v>Ice</v>
      </c>
      <c r="E73" s="0" t="n">
        <f aca="false" t="array" ref="E73:E73">IF(ISBLANK(B73),,IF(INDEX('0.1.2 Attack Dex (GO)'!C66:C1011,MATCH(B73,'0.1.2 Attack Dex (GO)'!A66:A1011,0))="Fast",1,0))</f>
        <v>1</v>
      </c>
      <c r="F73" s="0" t="e">
        <f aca="true">IF(OR($E$1=0,ISBLANK(B73)),,COUNTIF(INDIRECT("'0.0.2 Pokémon Learnset (Core)'!D$"&amp;$E$2&amp;":FG$"&amp;$E$2),B73))</f>
        <v>#VALUE!</v>
      </c>
      <c r="G73" s="0" t="e">
        <f aca="true">IF(ISBLANK(F73),,COUNTIF(INDIRECT("'0.1.1 Pokémon GO Moves'!C"&amp;$E$3&amp;":R$"&amp;$E$3),B73))</f>
        <v>#N/A</v>
      </c>
      <c r="H73" s="0" t="e">
        <f aca="false">IF(ISBLANK(F73),,IF(OR(D73=$B$2,D73=$B$3),1,0))</f>
        <v>#N/A</v>
      </c>
      <c r="J73" s="0" t="str">
        <v>Feint</v>
      </c>
      <c r="K73" s="0" t="str">
        <f aca="false">IF(ISBLANK(J73),,J73&amp;", ")</f>
        <v>Feint,</v>
      </c>
      <c r="L73" s="0" t="str">
        <f aca="false" t="array" ref="L73:L73">IF(ISBLANK(J73),,INDEX('0.2.1 Move Compare'!$B$2:$B1011,MATCH(J73,'0.2.1 Move Compare'!$A$2:$A1011,0)))</f>
        <v>Normal</v>
      </c>
      <c r="M73" s="0" t="e">
        <f aca="true">IF(OR($E$1=0,ISBLANK(J73)),,COUNTIF(INDIRECT("'0.0.2 Pokémon Learnset (Core)'!D$"&amp;$E$2&amp;":FG$"&amp;$E$2),J73))</f>
        <v>#VALUE!</v>
      </c>
      <c r="N73" s="0" t="e">
        <f aca="false">IF(ISBLANK(J73),,IF(OR(L73=$B$2,L73=$B$3),1,0))</f>
        <v>#N/A</v>
      </c>
    </row>
    <row r="74" customFormat="false" ht="15.75" hidden="false" customHeight="false" outlineLevel="0" collapsed="false">
      <c r="B74" s="0" t="str">
        <v>Fury Cutter</v>
      </c>
      <c r="C74" s="0" t="str">
        <f aca="false">IF(ISBLANK(B74),,B74&amp;", ")</f>
        <v>Fury Cutter,</v>
      </c>
      <c r="D74" s="0" t="str">
        <f aca="false" t="array" ref="D74:D74">IF(ISBLANK(B74),,INDEX('0.2.1 Move Compare'!$B$2:$B1011,MATCH(B74,'0.2.1 Move Compare'!$A$2:$A1011,0)))</f>
        <v>Bug</v>
      </c>
      <c r="E74" s="0" t="n">
        <f aca="false" t="array" ref="E74:E74">IF(ISBLANK(B74),,IF(INDEX('0.1.2 Attack Dex (GO)'!C67:C1011,MATCH(B74,'0.1.2 Attack Dex (GO)'!A67:A1011,0))="Fast",1,0))</f>
        <v>1</v>
      </c>
      <c r="F74" s="0" t="e">
        <f aca="true">IF(OR($E$1=0,ISBLANK(B74)),,COUNTIF(INDIRECT("'0.0.2 Pokémon Learnset (Core)'!D$"&amp;$E$2&amp;":FG$"&amp;$E$2),B74))</f>
        <v>#VALUE!</v>
      </c>
      <c r="G74" s="0" t="e">
        <f aca="true">IF(ISBLANK(F74),,COUNTIF(INDIRECT("'0.1.1 Pokémon GO Moves'!C"&amp;$E$3&amp;":R$"&amp;$E$3),B74))</f>
        <v>#N/A</v>
      </c>
      <c r="H74" s="0" t="e">
        <f aca="false">IF(ISBLANK(F74),,IF(OR(D74=$B$2,D74=$B$3),1,0))</f>
        <v>#N/A</v>
      </c>
      <c r="J74" s="0" t="str">
        <v>Fell Stinger</v>
      </c>
      <c r="K74" s="0" t="str">
        <f aca="false">IF(ISBLANK(J74),,J74&amp;", ")</f>
        <v>Fell Stinger,</v>
      </c>
      <c r="L74" s="0" t="str">
        <f aca="false" t="array" ref="L74:L74">IF(ISBLANK(J74),,INDEX('0.2.1 Move Compare'!$B$2:$B1011,MATCH(J74,'0.2.1 Move Compare'!$A$2:$A1011,0)))</f>
        <v>Bug</v>
      </c>
      <c r="M74" s="0" t="e">
        <f aca="true">IF(OR($E$1=0,ISBLANK(J74)),,COUNTIF(INDIRECT("'0.0.2 Pokémon Learnset (Core)'!D$"&amp;$E$2&amp;":FG$"&amp;$E$2),J74))</f>
        <v>#VALUE!</v>
      </c>
      <c r="N74" s="0" t="e">
        <f aca="false">IF(ISBLANK(J74),,IF(OR(L74=$B$2,L74=$B$3),1,0))</f>
        <v>#N/A</v>
      </c>
    </row>
    <row r="75" customFormat="false" ht="15.75" hidden="false" customHeight="false" outlineLevel="0" collapsed="false">
      <c r="B75" s="0" t="str">
        <v>Future Sight</v>
      </c>
      <c r="C75" s="0" t="str">
        <f aca="false">IF(ISBLANK(B75),,B75&amp;", ")</f>
        <v>Future Sight,</v>
      </c>
      <c r="D75" s="0" t="str">
        <f aca="false" t="array" ref="D75:D75">IF(ISBLANK(B75),,INDEX('0.2.1 Move Compare'!$B$2:$B1011,MATCH(B75,'0.2.1 Move Compare'!$A$2:$A1011,0)))</f>
        <v>Psychic</v>
      </c>
      <c r="E75" s="0" t="n">
        <f aca="false" t="array" ref="E75:E75">IF(ISBLANK(B75),,IF(INDEX('0.1.2 Attack Dex (GO)'!C68:C1011,MATCH(B75,'0.1.2 Attack Dex (GO)'!A68:A1011,0))="Fast",1,0))</f>
        <v>0</v>
      </c>
      <c r="F75" s="0" t="e">
        <f aca="true">IF(OR($E$1=0,ISBLANK(B75)),,COUNTIF(INDIRECT("'0.0.2 Pokémon Learnset (Core)'!D$"&amp;$E$2&amp;":FG$"&amp;$E$2),B75))</f>
        <v>#VALUE!</v>
      </c>
      <c r="G75" s="0" t="e">
        <f aca="true">IF(ISBLANK(F75),,COUNTIF(INDIRECT("'0.1.1 Pokémon GO Moves'!C"&amp;$E$3&amp;":R$"&amp;$E$3),B75))</f>
        <v>#N/A</v>
      </c>
      <c r="H75" s="0" t="e">
        <f aca="false">IF(ISBLANK(F75),,IF(OR(D75=$B$2,D75=$B$3),1,0))</f>
        <v>#N/A</v>
      </c>
      <c r="J75" s="0" t="str">
        <v>Fiery Dance</v>
      </c>
      <c r="K75" s="0" t="str">
        <f aca="false">IF(ISBLANK(J75),,J75&amp;", ")</f>
        <v>Fiery Dance,</v>
      </c>
      <c r="L75" s="0" t="str">
        <f aca="false" t="array" ref="L75:L75">IF(ISBLANK(J75),,INDEX('0.2.1 Move Compare'!$B$2:$B1011,MATCH(J75,'0.2.1 Move Compare'!$A$2:$A1011,0)))</f>
        <v>Fire</v>
      </c>
      <c r="M75" s="0" t="e">
        <f aca="true">IF(OR($E$1=0,ISBLANK(J75)),,COUNTIF(INDIRECT("'0.0.2 Pokémon Learnset (Core)'!D$"&amp;$E$2&amp;":FG$"&amp;$E$2),J75))</f>
        <v>#VALUE!</v>
      </c>
      <c r="N75" s="0" t="e">
        <f aca="false">IF(ISBLANK(J75),,IF(OR(L75=$B$2,L75=$B$3),1,0))</f>
        <v>#N/A</v>
      </c>
    </row>
    <row r="76" customFormat="false" ht="15.75" hidden="false" customHeight="false" outlineLevel="0" collapsed="false">
      <c r="B76" s="0" t="str">
        <v>Giga Drain</v>
      </c>
      <c r="C76" s="0" t="str">
        <f aca="false">IF(ISBLANK(B76),,B76&amp;", ")</f>
        <v>Giga Drain,</v>
      </c>
      <c r="D76" s="0" t="str">
        <f aca="false" t="array" ref="D76:D76">IF(ISBLANK(B76),,INDEX('0.2.1 Move Compare'!$B$2:$B1011,MATCH(B76,'0.2.1 Move Compare'!$A$2:$A1011,0)))</f>
        <v>Grass</v>
      </c>
      <c r="E76" s="0" t="n">
        <f aca="false" t="array" ref="E76:E76">IF(ISBLANK(B76),,IF(INDEX('0.1.2 Attack Dex (GO)'!C69:C1011,MATCH(B76,'0.1.2 Attack Dex (GO)'!A69:A1011,0))="Fast",1,0))</f>
        <v>0</v>
      </c>
      <c r="F76" s="0" t="e">
        <f aca="true">IF(OR($E$1=0,ISBLANK(B76)),,COUNTIF(INDIRECT("'0.0.2 Pokémon Learnset (Core)'!D$"&amp;$E$2&amp;":FG$"&amp;$E$2),B76))</f>
        <v>#VALUE!</v>
      </c>
      <c r="G76" s="0" t="e">
        <f aca="true">IF(ISBLANK(F76),,COUNTIF(INDIRECT("'0.1.1 Pokémon GO Moves'!C"&amp;$E$3&amp;":R$"&amp;$E$3),B76))</f>
        <v>#N/A</v>
      </c>
      <c r="H76" s="0" t="e">
        <f aca="false">IF(ISBLANK(F76),,IF(OR(D76=$B$2,D76=$B$3),1,0))</f>
        <v>#N/A</v>
      </c>
      <c r="J76" s="0" t="str">
        <v>Final Gambit</v>
      </c>
      <c r="K76" s="0" t="str">
        <f aca="false">IF(ISBLANK(J76),,J76&amp;", ")</f>
        <v>Final Gambit,</v>
      </c>
      <c r="L76" s="0" t="str">
        <f aca="false" t="array" ref="L76:L76">IF(ISBLANK(J76),,INDEX('0.2.1 Move Compare'!$B$2:$B1011,MATCH(J76,'0.2.1 Move Compare'!$A$2:$A1011,0)))</f>
        <v>Fighting</v>
      </c>
      <c r="M76" s="0" t="e">
        <f aca="true">IF(OR($E$1=0,ISBLANK(J76)),,COUNTIF(INDIRECT("'0.0.2 Pokémon Learnset (Core)'!D$"&amp;$E$2&amp;":FG$"&amp;$E$2),J76))</f>
        <v>#VALUE!</v>
      </c>
      <c r="N76" s="0" t="e">
        <f aca="false">IF(ISBLANK(J76),,IF(OR(L76=$B$2,L76=$B$3),1,0))</f>
        <v>#N/A</v>
      </c>
    </row>
    <row r="77" customFormat="false" ht="15.75" hidden="false" customHeight="false" outlineLevel="0" collapsed="false">
      <c r="B77" s="0" t="str">
        <v>Grass Knot</v>
      </c>
      <c r="C77" s="0" t="str">
        <f aca="false">IF(ISBLANK(B77),,B77&amp;", ")</f>
        <v>Grass Knot,</v>
      </c>
      <c r="D77" s="0" t="str">
        <f aca="false" t="array" ref="D77:D77">IF(ISBLANK(B77),,INDEX('0.2.1 Move Compare'!$B$2:$B1011,MATCH(B77,'0.2.1 Move Compare'!$A$2:$A1011,0)))</f>
        <v>Grass</v>
      </c>
      <c r="E77" s="0" t="n">
        <f aca="false" t="array" ref="E77:E77">IF(ISBLANK(B77),,IF(INDEX('0.1.2 Attack Dex (GO)'!C70:C1011,MATCH(B77,'0.1.2 Attack Dex (GO)'!A70:A1011,0))="Fast",1,0))</f>
        <v>0</v>
      </c>
      <c r="F77" s="0" t="e">
        <f aca="true">IF(OR($E$1=0,ISBLANK(B77)),,COUNTIF(INDIRECT("'0.0.2 Pokémon Learnset (Core)'!D$"&amp;$E$2&amp;":FG$"&amp;$E$2),B77))</f>
        <v>#VALUE!</v>
      </c>
      <c r="G77" s="0" t="e">
        <f aca="true">IF(ISBLANK(F77),,COUNTIF(INDIRECT("'0.1.1 Pokémon GO Moves'!C"&amp;$E$3&amp;":R$"&amp;$E$3),B77))</f>
        <v>#N/A</v>
      </c>
      <c r="H77" s="0" t="e">
        <f aca="false">IF(ISBLANK(F77),,IF(OR(D77=$B$2,D77=$B$3),1,0))</f>
        <v>#N/A</v>
      </c>
      <c r="J77" s="0" t="str">
        <v>Fire Lash</v>
      </c>
      <c r="K77" s="0" t="str">
        <f aca="false">IF(ISBLANK(J77),,J77&amp;", ")</f>
        <v>Fire Lash,</v>
      </c>
      <c r="L77" s="0" t="str">
        <f aca="false" t="array" ref="L77:L77">IF(ISBLANK(J77),,INDEX('0.2.1 Move Compare'!$B$2:$B1011,MATCH(J77,'0.2.1 Move Compare'!$A$2:$A1011,0)))</f>
        <v>Fire</v>
      </c>
      <c r="M77" s="0" t="e">
        <f aca="true">IF(OR($E$1=0,ISBLANK(J77)),,COUNTIF(INDIRECT("'0.0.2 Pokémon Learnset (Core)'!D$"&amp;$E$2&amp;":FG$"&amp;$E$2),J77))</f>
        <v>#VALUE!</v>
      </c>
      <c r="N77" s="0" t="e">
        <f aca="false">IF(ISBLANK(J77),,IF(OR(L77=$B$2,L77=$B$3),1,0))</f>
        <v>#N/A</v>
      </c>
    </row>
    <row r="78" customFormat="false" ht="15.75" hidden="false" customHeight="false" outlineLevel="0" collapsed="false">
      <c r="B78" s="0" t="str">
        <v>Gunk Shot</v>
      </c>
      <c r="C78" s="0" t="str">
        <f aca="false">IF(ISBLANK(B78),,B78&amp;", ")</f>
        <v>Gunk Shot,</v>
      </c>
      <c r="D78" s="0" t="str">
        <f aca="false" t="array" ref="D78:D78">IF(ISBLANK(B78),,INDEX('0.2.1 Move Compare'!$B$2:$B1011,MATCH(B78,'0.2.1 Move Compare'!$A$2:$A1011,0)))</f>
        <v>Poison</v>
      </c>
      <c r="E78" s="0" t="n">
        <f aca="false" t="array" ref="E78:E78">IF(ISBLANK(B78),,IF(INDEX('0.1.2 Attack Dex (GO)'!C71:C1011,MATCH(B78,'0.1.2 Attack Dex (GO)'!A71:A1011,0))="Fast",1,0))</f>
        <v>0</v>
      </c>
      <c r="F78" s="0" t="e">
        <f aca="true">IF(OR($E$1=0,ISBLANK(B78)),,COUNTIF(INDIRECT("'0.0.2 Pokémon Learnset (Core)'!D$"&amp;$E$2&amp;":FG$"&amp;$E$2),B78))</f>
        <v>#VALUE!</v>
      </c>
      <c r="G78" s="0" t="e">
        <f aca="true">IF(ISBLANK(F78),,COUNTIF(INDIRECT("'0.1.1 Pokémon GO Moves'!C"&amp;$E$3&amp;":R$"&amp;$E$3),B78))</f>
        <v>#N/A</v>
      </c>
      <c r="H78" s="0" t="e">
        <f aca="false">IF(ISBLANK(F78),,IF(OR(D78=$B$2,D78=$B$3),1,0))</f>
        <v>#N/A</v>
      </c>
      <c r="J78" s="0" t="str">
        <v>Fire Pledge</v>
      </c>
      <c r="K78" s="0" t="str">
        <f aca="false">IF(ISBLANK(J78),,J78&amp;", ")</f>
        <v>Fire Pledge,</v>
      </c>
      <c r="L78" s="0" t="str">
        <f aca="false" t="array" ref="L78:L78">IF(ISBLANK(J78),,INDEX('0.2.1 Move Compare'!$B$2:$B1011,MATCH(J78,'0.2.1 Move Compare'!$A$2:$A1011,0)))</f>
        <v>Fire</v>
      </c>
      <c r="M78" s="0" t="e">
        <f aca="true">IF(OR($E$1=0,ISBLANK(J78)),,COUNTIF(INDIRECT("'0.0.2 Pokémon Learnset (Core)'!D$"&amp;$E$2&amp;":FG$"&amp;$E$2),J78))</f>
        <v>#VALUE!</v>
      </c>
      <c r="N78" s="0" t="e">
        <f aca="false">IF(ISBLANK(J78),,IF(OR(L78=$B$2,L78=$B$3),1,0))</f>
        <v>#N/A</v>
      </c>
    </row>
    <row r="79" customFormat="false" ht="15.75" hidden="false" customHeight="false" outlineLevel="0" collapsed="false">
      <c r="B79" s="0" t="str">
        <v>Gyro Ball</v>
      </c>
      <c r="C79" s="0" t="str">
        <f aca="false">IF(ISBLANK(B79),,B79&amp;", ")</f>
        <v>Gyro Ball,</v>
      </c>
      <c r="D79" s="0" t="str">
        <f aca="false" t="array" ref="D79:D79">IF(ISBLANK(B79),,INDEX('0.2.1 Move Compare'!$B$2:$B1011,MATCH(B79,'0.2.1 Move Compare'!$A$2:$A1011,0)))</f>
        <v>Steel</v>
      </c>
      <c r="E79" s="0" t="n">
        <f aca="false" t="array" ref="E79:E79">IF(ISBLANK(B79),,IF(INDEX('0.1.2 Attack Dex (GO)'!C72:C1011,MATCH(B79,'0.1.2 Attack Dex (GO)'!A72:A1011,0))="Fast",1,0))</f>
        <v>0</v>
      </c>
      <c r="F79" s="0" t="e">
        <f aca="true">IF(OR($E$1=0,ISBLANK(B79)),,COUNTIF(INDIRECT("'0.0.2 Pokémon Learnset (Core)'!D$"&amp;$E$2&amp;":FG$"&amp;$E$2),B79))</f>
        <v>#VALUE!</v>
      </c>
      <c r="G79" s="0" t="e">
        <f aca="true">IF(ISBLANK(F79),,COUNTIF(INDIRECT("'0.1.1 Pokémon GO Moves'!C"&amp;$E$3&amp;":R$"&amp;$E$3),B79))</f>
        <v>#N/A</v>
      </c>
      <c r="H79" s="0" t="e">
        <f aca="false">IF(ISBLANK(F79),,IF(OR(D79=$B$2,D79=$B$3),1,0))</f>
        <v>#N/A</v>
      </c>
      <c r="J79" s="0" t="str">
        <v>First Impression</v>
      </c>
      <c r="K79" s="0" t="str">
        <f aca="false">IF(ISBLANK(J79),,J79&amp;", ")</f>
        <v>First Impression,</v>
      </c>
      <c r="L79" s="0" t="str">
        <f aca="false" t="array" ref="L79:L79">IF(ISBLANK(J79),,INDEX('0.2.1 Move Compare'!$B$2:$B1011,MATCH(J79,'0.2.1 Move Compare'!$A$2:$A1011,0)))</f>
        <v>Bug</v>
      </c>
      <c r="M79" s="0" t="e">
        <f aca="true">IF(OR($E$1=0,ISBLANK(J79)),,COUNTIF(INDIRECT("'0.0.2 Pokémon Learnset (Core)'!D$"&amp;$E$2&amp;":FG$"&amp;$E$2),J79))</f>
        <v>#VALUE!</v>
      </c>
      <c r="N79" s="0" t="e">
        <f aca="false">IF(ISBLANK(J79),,IF(OR(L79=$B$2,L79=$B$3),1,0))</f>
        <v>#N/A</v>
      </c>
    </row>
    <row r="80" customFormat="false" ht="15.75" hidden="false" customHeight="false" outlineLevel="0" collapsed="false">
      <c r="B80" s="0" t="str">
        <v>Heart Stamp</v>
      </c>
      <c r="C80" s="0" t="str">
        <f aca="false">IF(ISBLANK(B80),,B80&amp;", ")</f>
        <v>Heart Stamp,</v>
      </c>
      <c r="D80" s="0" t="str">
        <f aca="false" t="array" ref="D80:D80">IF(ISBLANK(B80),,INDEX('0.2.1 Move Compare'!$B$2:$B1011,MATCH(B80,'0.2.1 Move Compare'!$A$2:$A1011,0)))</f>
        <v>Psychic</v>
      </c>
      <c r="E80" s="0" t="n">
        <f aca="false" t="array" ref="E80:E80">IF(ISBLANK(B80),,IF(INDEX('0.1.2 Attack Dex (GO)'!C73:C1011,MATCH(B80,'0.1.2 Attack Dex (GO)'!A73:A1011,0))="Fast",1,0))</f>
        <v>0</v>
      </c>
      <c r="F80" s="0" t="e">
        <f aca="true">IF(OR($E$1=0,ISBLANK(B80)),,COUNTIF(INDIRECT("'0.0.2 Pokémon Learnset (Core)'!D$"&amp;$E$2&amp;":FG$"&amp;$E$2),B80))</f>
        <v>#VALUE!</v>
      </c>
      <c r="G80" s="0" t="e">
        <f aca="true">IF(ISBLANK(F80),,COUNTIF(INDIRECT("'0.1.1 Pokémon GO Moves'!C"&amp;$E$3&amp;":R$"&amp;$E$3),B80))</f>
        <v>#N/A</v>
      </c>
      <c r="H80" s="0" t="e">
        <f aca="false">IF(ISBLANK(F80),,IF(OR(D80=$B$2,D80=$B$3),1,0))</f>
        <v>#N/A</v>
      </c>
      <c r="J80" s="0" t="str">
        <v>Flare Blitz</v>
      </c>
      <c r="K80" s="0" t="str">
        <f aca="false">IF(ISBLANK(J80),,J80&amp;", ")</f>
        <v>Flare Blitz,</v>
      </c>
      <c r="L80" s="0" t="str">
        <f aca="false" t="array" ref="L80:L80">IF(ISBLANK(J80),,INDEX('0.2.1 Move Compare'!$B$2:$B1011,MATCH(J80,'0.2.1 Move Compare'!$A$2:$A1011,0)))</f>
        <v>Fire</v>
      </c>
      <c r="M80" s="0" t="e">
        <f aca="true">IF(OR($E$1=0,ISBLANK(J80)),,COUNTIF(INDIRECT("'0.0.2 Pokémon Learnset (Core)'!D$"&amp;$E$2&amp;":FG$"&amp;$E$2),J80))</f>
        <v>#VALUE!</v>
      </c>
      <c r="N80" s="0" t="e">
        <f aca="false">IF(ISBLANK(J80),,IF(OR(L80=$B$2,L80=$B$3),1,0))</f>
        <v>#N/A</v>
      </c>
    </row>
    <row r="81" customFormat="false" ht="15.75" hidden="false" customHeight="false" outlineLevel="0" collapsed="false">
      <c r="B81" s="0" t="str">
        <v>Heat Wave</v>
      </c>
      <c r="C81" s="0" t="str">
        <f aca="false">IF(ISBLANK(B81),,B81&amp;", ")</f>
        <v>Heat Wave,</v>
      </c>
      <c r="D81" s="0" t="str">
        <f aca="false" t="array" ref="D81:D81">IF(ISBLANK(B81),,INDEX('0.2.1 Move Compare'!$B$2:$B1011,MATCH(B81,'0.2.1 Move Compare'!$A$2:$A1011,0)))</f>
        <v>Fire</v>
      </c>
      <c r="E81" s="0" t="n">
        <f aca="false" t="array" ref="E81:E81">IF(ISBLANK(B81),,IF(INDEX('0.1.2 Attack Dex (GO)'!C74:C1011,MATCH(B81,'0.1.2 Attack Dex (GO)'!A74:A1011,0))="Fast",1,0))</f>
        <v>0</v>
      </c>
      <c r="F81" s="0" t="e">
        <f aca="true">IF(OR($E$1=0,ISBLANK(B81)),,COUNTIF(INDIRECT("'0.0.2 Pokémon Learnset (Core)'!D$"&amp;$E$2&amp;":FG$"&amp;$E$2),B81))</f>
        <v>#VALUE!</v>
      </c>
      <c r="G81" s="0" t="e">
        <f aca="true">IF(ISBLANK(F81),,COUNTIF(INDIRECT("'0.1.1 Pokémon GO Moves'!C"&amp;$E$3&amp;":R$"&amp;$E$3),B81))</f>
        <v>#N/A</v>
      </c>
      <c r="H81" s="0" t="e">
        <f aca="false">IF(ISBLANK(F81),,IF(OR(D81=$B$2,D81=$B$3),1,0))</f>
        <v>#N/A</v>
      </c>
      <c r="J81" s="0" t="str">
        <v>Fleur Cannon</v>
      </c>
      <c r="K81" s="0" t="str">
        <f aca="false">IF(ISBLANK(J81),,J81&amp;", ")</f>
        <v>Fleur Cannon,</v>
      </c>
      <c r="L81" s="0" t="str">
        <f aca="false" t="array" ref="L81:L81">IF(ISBLANK(J81),,INDEX('0.2.1 Move Compare'!$B$2:$B1011,MATCH(J81,'0.2.1 Move Compare'!$A$2:$A1011,0)))</f>
        <v>Fairy</v>
      </c>
      <c r="M81" s="0" t="e">
        <f aca="true">IF(OR($E$1=0,ISBLANK(J81)),,COUNTIF(INDIRECT("'0.0.2 Pokémon Learnset (Core)'!D$"&amp;$E$2&amp;":FG$"&amp;$E$2),J81))</f>
        <v>#VALUE!</v>
      </c>
      <c r="N81" s="0" t="e">
        <f aca="false">IF(ISBLANK(J81),,IF(OR(L81=$B$2,L81=$B$3),1,0))</f>
        <v>#N/A</v>
      </c>
    </row>
    <row r="82" customFormat="false" ht="15.75" hidden="false" customHeight="false" outlineLevel="0" collapsed="false">
      <c r="B82" s="0" t="str">
        <v>Heavy Slam</v>
      </c>
      <c r="C82" s="0" t="str">
        <f aca="false">IF(ISBLANK(B82),,B82&amp;", ")</f>
        <v>Heavy Slam,</v>
      </c>
      <c r="D82" s="0" t="str">
        <f aca="false" t="array" ref="D82:D82">IF(ISBLANK(B82),,INDEX('0.2.1 Move Compare'!$B$2:$B1011,MATCH(B82,'0.2.1 Move Compare'!$A$2:$A1011,0)))</f>
        <v>Steel</v>
      </c>
      <c r="E82" s="0" t="n">
        <f aca="false" t="array" ref="E82:E82">IF(ISBLANK(B82),,IF(INDEX('0.1.2 Attack Dex (GO)'!C75:C1011,MATCH(B82,'0.1.2 Attack Dex (GO)'!A75:A1011,0))="Fast",1,0))</f>
        <v>0</v>
      </c>
      <c r="F82" s="0" t="e">
        <f aca="true">IF(OR($E$1=0,ISBLANK(B82)),,COUNTIF(INDIRECT("'0.0.2 Pokémon Learnset (Core)'!D$"&amp;$E$2&amp;":FG$"&amp;$E$2),B82))</f>
        <v>#VALUE!</v>
      </c>
      <c r="G82" s="0" t="e">
        <f aca="true">IF(ISBLANK(F82),,COUNTIF(INDIRECT("'0.1.1 Pokémon GO Moves'!C"&amp;$E$3&amp;":R$"&amp;$E$3),B82))</f>
        <v>#N/A</v>
      </c>
      <c r="H82" s="0" t="e">
        <f aca="false">IF(ISBLANK(F82),,IF(OR(D82=$B$2,D82=$B$3),1,0))</f>
        <v>#N/A</v>
      </c>
      <c r="J82" s="0" t="str">
        <v>Fly</v>
      </c>
      <c r="K82" s="0" t="str">
        <f aca="false">IF(ISBLANK(J82),,J82&amp;", ")</f>
        <v>Fly,</v>
      </c>
      <c r="L82" s="0" t="str">
        <f aca="false" t="array" ref="L82:L82">IF(ISBLANK(J82),,INDEX('0.2.1 Move Compare'!$B$2:$B1011,MATCH(J82,'0.2.1 Move Compare'!$A$2:$A1011,0)))</f>
        <v>Flying</v>
      </c>
      <c r="M82" s="0" t="e">
        <f aca="true">IF(OR($E$1=0,ISBLANK(J82)),,COUNTIF(INDIRECT("'0.0.2 Pokémon Learnset (Core)'!D$"&amp;$E$2&amp;":FG$"&amp;$E$2),J82))</f>
        <v>#VALUE!</v>
      </c>
      <c r="N82" s="0" t="e">
        <f aca="false">IF(ISBLANK(J82),,IF(OR(L82=$B$2,L82=$B$3),1,0))</f>
        <v>#N/A</v>
      </c>
    </row>
    <row r="83" customFormat="false" ht="15.75" hidden="false" customHeight="false" outlineLevel="0" collapsed="false">
      <c r="B83" s="0" t="str">
        <v>Hex</v>
      </c>
      <c r="C83" s="0" t="str">
        <f aca="false">IF(ISBLANK(B83),,B83&amp;", ")</f>
        <v>Hex,</v>
      </c>
      <c r="D83" s="0" t="str">
        <f aca="false" t="array" ref="D83:D83">IF(ISBLANK(B83),,INDEX('0.2.1 Move Compare'!$B$2:$B1011,MATCH(B83,'0.2.1 Move Compare'!$A$2:$A1011,0)))</f>
        <v>Ghost</v>
      </c>
      <c r="E83" s="0" t="n">
        <f aca="false" t="array" ref="E83:E83">IF(ISBLANK(B83),,IF(INDEX('0.1.2 Attack Dex (GO)'!C76:C1011,MATCH(B83,'0.1.2 Attack Dex (GO)'!A76:A1011,0))="Fast",1,0))</f>
        <v>1</v>
      </c>
      <c r="F83" s="0" t="e">
        <f aca="true">IF(OR($E$1=0,ISBLANK(B83)),,COUNTIF(INDIRECT("'0.0.2 Pokémon Learnset (Core)'!D$"&amp;$E$2&amp;":FG$"&amp;$E$2),B83))</f>
        <v>#VALUE!</v>
      </c>
      <c r="G83" s="0" t="e">
        <f aca="true">IF(ISBLANK(F83),,COUNTIF(INDIRECT("'0.1.1 Pokémon GO Moves'!C"&amp;$E$3&amp;":R$"&amp;$E$3),B83))</f>
        <v>#N/A</v>
      </c>
      <c r="H83" s="0" t="e">
        <f aca="false">IF(ISBLANK(F83),,IF(OR(D83=$B$2,D83=$B$3),1,0))</f>
        <v>#N/A</v>
      </c>
      <c r="J83" s="0" t="str">
        <v>Flying Press</v>
      </c>
      <c r="K83" s="0" t="str">
        <f aca="false">IF(ISBLANK(J83),,J83&amp;", ")</f>
        <v>Flying Press,</v>
      </c>
      <c r="L83" s="0" t="str">
        <f aca="false" t="array" ref="L83:L83">IF(ISBLANK(J83),,INDEX('0.2.1 Move Compare'!$B$2:$B1011,MATCH(J83,'0.2.1 Move Compare'!$A$2:$A1011,0)))</f>
        <v>Fighting</v>
      </c>
      <c r="M83" s="0" t="e">
        <f aca="true">IF(OR($E$1=0,ISBLANK(J83)),,COUNTIF(INDIRECT("'0.0.2 Pokémon Learnset (Core)'!D$"&amp;$E$2&amp;":FG$"&amp;$E$2),J83))</f>
        <v>#VALUE!</v>
      </c>
      <c r="N83" s="0" t="e">
        <f aca="false">IF(ISBLANK(J83),,IF(OR(L83=$B$2,L83=$B$3),1,0))</f>
        <v>#N/A</v>
      </c>
    </row>
    <row r="84" customFormat="false" ht="15.75" hidden="false" customHeight="false" outlineLevel="0" collapsed="false">
      <c r="B84" s="0" t="str">
        <v>Hidden Power</v>
      </c>
      <c r="C84" s="0" t="str">
        <f aca="false">IF(ISBLANK(B84),,B84&amp;", ")</f>
        <v>Hidden Power,</v>
      </c>
      <c r="D84" s="0" t="str">
        <f aca="false" t="array" ref="D84:D84">IF(ISBLANK(B84),,INDEX('0.2.1 Move Compare'!$B$2:$B1011,MATCH(B84,'0.2.1 Move Compare'!$A$2:$A1011,0)))</f>
        <v>Empty</v>
      </c>
      <c r="E84" s="0" t="n">
        <f aca="false" t="array" ref="E84:E84">IF(ISBLANK(B84),,IF(INDEX('0.1.2 Attack Dex (GO)'!C77:C1011,MATCH(B84,'0.1.2 Attack Dex (GO)'!A77:A1011,0))="Fast",1,0))</f>
        <v>1</v>
      </c>
      <c r="F84" s="0" t="e">
        <f aca="true">IF(OR($E$1=0,ISBLANK(B84)),,COUNTIF(INDIRECT("'0.0.2 Pokémon Learnset (Core)'!D$"&amp;$E$2&amp;":FG$"&amp;$E$2),B84))</f>
        <v>#VALUE!</v>
      </c>
      <c r="G84" s="0" t="e">
        <f aca="true">IF(ISBLANK(F84),,COUNTIF(INDIRECT("'0.1.1 Pokémon GO Moves'!C"&amp;$E$3&amp;":R$"&amp;$E$3),B84))</f>
        <v>#N/A</v>
      </c>
      <c r="H84" s="0" t="e">
        <f aca="false">IF(ISBLANK(F84),,IF(OR(D84=$B$2,D84=$B$3),1,0))</f>
        <v>#N/A</v>
      </c>
      <c r="J84" s="0" t="str">
        <v>Focus Punch</v>
      </c>
      <c r="K84" s="0" t="str">
        <f aca="false">IF(ISBLANK(J84),,J84&amp;", ")</f>
        <v>Focus Punch,</v>
      </c>
      <c r="L84" s="0" t="str">
        <f aca="false" t="array" ref="L84:L84">IF(ISBLANK(J84),,INDEX('0.2.1 Move Compare'!$B$2:$B1011,MATCH(J84,'0.2.1 Move Compare'!$A$2:$A1011,0)))</f>
        <v>Fighting</v>
      </c>
      <c r="M84" s="0" t="e">
        <f aca="true">IF(OR($E$1=0,ISBLANK(J84)),,COUNTIF(INDIRECT("'0.0.2 Pokémon Learnset (Core)'!D$"&amp;$E$2&amp;":FG$"&amp;$E$2),J84))</f>
        <v>#VALUE!</v>
      </c>
      <c r="N84" s="0" t="e">
        <f aca="false">IF(ISBLANK(J84),,IF(OR(L84=$B$2,L84=$B$3),1,0))</f>
        <v>#N/A</v>
      </c>
    </row>
    <row r="85" customFormat="false" ht="15.75" hidden="false" customHeight="false" outlineLevel="0" collapsed="false">
      <c r="B85" s="0" t="str">
        <v>Horn Attack</v>
      </c>
      <c r="C85" s="0" t="str">
        <f aca="false">IF(ISBLANK(B85),,B85&amp;", ")</f>
        <v>Horn Attack,</v>
      </c>
      <c r="D85" s="0" t="str">
        <f aca="false" t="array" ref="D85:D85">IF(ISBLANK(B85),,INDEX('0.2.1 Move Compare'!$B$2:$B1011,MATCH(B85,'0.2.1 Move Compare'!$A$2:$A1011,0)))</f>
        <v>Normal</v>
      </c>
      <c r="E85" s="0" t="n">
        <f aca="false" t="array" ref="E85:E85">IF(ISBLANK(B85),,IF(INDEX('0.1.2 Attack Dex (GO)'!C78:C1011,MATCH(B85,'0.1.2 Attack Dex (GO)'!A78:A1011,0))="Fast",1,0))</f>
        <v>0</v>
      </c>
      <c r="F85" s="0" t="e">
        <f aca="true">IF(OR($E$1=0,ISBLANK(B85)),,COUNTIF(INDIRECT("'0.0.2 Pokémon Learnset (Core)'!D$"&amp;$E$2&amp;":FG$"&amp;$E$2),B85))</f>
        <v>#VALUE!</v>
      </c>
      <c r="G85" s="0" t="e">
        <f aca="true">IF(ISBLANK(F85),,COUNTIF(INDIRECT("'0.1.1 Pokémon GO Moves'!C"&amp;$E$3&amp;":R$"&amp;$E$3),B85))</f>
        <v>#N/A</v>
      </c>
      <c r="H85" s="0" t="e">
        <f aca="false">IF(ISBLANK(F85),,IF(OR(D85=$B$2,D85=$B$3),1,0))</f>
        <v>#N/A</v>
      </c>
      <c r="J85" s="0" t="str">
        <v>Force Palm</v>
      </c>
      <c r="K85" s="0" t="str">
        <f aca="false">IF(ISBLANK(J85),,J85&amp;", ")</f>
        <v>Force Palm,</v>
      </c>
      <c r="L85" s="0" t="str">
        <f aca="false" t="array" ref="L85:L85">IF(ISBLANK(J85),,INDEX('0.2.1 Move Compare'!$B$2:$B1011,MATCH(J85,'0.2.1 Move Compare'!$A$2:$A1011,0)))</f>
        <v>Fighting</v>
      </c>
      <c r="M85" s="0" t="e">
        <f aca="true">IF(OR($E$1=0,ISBLANK(J85)),,COUNTIF(INDIRECT("'0.0.2 Pokémon Learnset (Core)'!D$"&amp;$E$2&amp;":FG$"&amp;$E$2),J85))</f>
        <v>#VALUE!</v>
      </c>
      <c r="N85" s="0" t="e">
        <f aca="false">IF(ISBLANK(J85),,IF(OR(L85=$B$2,L85=$B$3),1,0))</f>
        <v>#N/A</v>
      </c>
    </row>
    <row r="86" customFormat="false" ht="15.75" hidden="false" customHeight="false" outlineLevel="0" collapsed="false">
      <c r="B86" s="0" t="str">
        <v>Hurricane</v>
      </c>
      <c r="C86" s="0" t="str">
        <f aca="false">IF(ISBLANK(B86),,B86&amp;", ")</f>
        <v>Hurricane,</v>
      </c>
      <c r="D86" s="0" t="str">
        <f aca="false" t="array" ref="D86:D86">IF(ISBLANK(B86),,INDEX('0.2.1 Move Compare'!$B$2:$B1011,MATCH(B86,'0.2.1 Move Compare'!$A$2:$A1011,0)))</f>
        <v>Flying</v>
      </c>
      <c r="E86" s="0" t="n">
        <f aca="false" t="array" ref="E86:E86">IF(ISBLANK(B86),,IF(INDEX('0.1.2 Attack Dex (GO)'!C79:C1011,MATCH(B86,'0.1.2 Attack Dex (GO)'!A79:A1011,0))="Fast",1,0))</f>
        <v>0</v>
      </c>
      <c r="F86" s="0" t="e">
        <f aca="true">IF(OR($E$1=0,ISBLANK(B86)),,COUNTIF(INDIRECT("'0.0.2 Pokémon Learnset (Core)'!D$"&amp;$E$2&amp;":FG$"&amp;$E$2),B86))</f>
        <v>#VALUE!</v>
      </c>
      <c r="G86" s="0" t="e">
        <f aca="true">IF(ISBLANK(F86),,COUNTIF(INDIRECT("'0.1.1 Pokémon GO Moves'!C"&amp;$E$3&amp;":R$"&amp;$E$3),B86))</f>
        <v>#N/A</v>
      </c>
      <c r="H86" s="0" t="e">
        <f aca="false">IF(ISBLANK(F86),,IF(OR(D86=$B$2,D86=$B$3),1,0))</f>
        <v>#N/A</v>
      </c>
      <c r="J86" s="0" t="str">
        <v>Freeze Shock</v>
      </c>
      <c r="K86" s="0" t="str">
        <f aca="false">IF(ISBLANK(J86),,J86&amp;", ")</f>
        <v>Freeze Shock,</v>
      </c>
      <c r="L86" s="0" t="str">
        <f aca="false" t="array" ref="L86:L86">IF(ISBLANK(J86),,INDEX('0.2.1 Move Compare'!$B$2:$B1011,MATCH(J86,'0.2.1 Move Compare'!$A$2:$A1011,0)))</f>
        <v>Ice</v>
      </c>
      <c r="M86" s="0" t="e">
        <f aca="true">IF(OR($E$1=0,ISBLANK(J86)),,COUNTIF(INDIRECT("'0.0.2 Pokémon Learnset (Core)'!D$"&amp;$E$2&amp;":FG$"&amp;$E$2),J86))</f>
        <v>#VALUE!</v>
      </c>
      <c r="N86" s="0" t="e">
        <f aca="false">IF(ISBLANK(J86),,IF(OR(L86=$B$2,L86=$B$3),1,0))</f>
        <v>#N/A</v>
      </c>
    </row>
    <row r="87" customFormat="false" ht="15.75" hidden="false" customHeight="false" outlineLevel="0" collapsed="false">
      <c r="B87" s="0" t="str">
        <v>Hydro Pump</v>
      </c>
      <c r="C87" s="0" t="str">
        <f aca="false">IF(ISBLANK(B87),,B87&amp;", ")</f>
        <v>Hydro Pump,</v>
      </c>
      <c r="D87" s="0" t="str">
        <f aca="false" t="array" ref="D87:D87">IF(ISBLANK(B87),,INDEX('0.2.1 Move Compare'!$B$2:$B1011,MATCH(B87,'0.2.1 Move Compare'!$A$2:$A1011,0)))</f>
        <v>Water</v>
      </c>
      <c r="E87" s="0" t="n">
        <f aca="false" t="array" ref="E87:E87">IF(ISBLANK(B87),,IF(INDEX('0.1.2 Attack Dex (GO)'!C80:C1011,MATCH(B87,'0.1.2 Attack Dex (GO)'!A80:A1011,0))="Fast",1,0))</f>
        <v>0</v>
      </c>
      <c r="F87" s="0" t="e">
        <f aca="true">IF(OR($E$1=0,ISBLANK(B87)),,COUNTIF(INDIRECT("'0.0.2 Pokémon Learnset (Core)'!D$"&amp;$E$2&amp;":FG$"&amp;$E$2),B87))</f>
        <v>#VALUE!</v>
      </c>
      <c r="G87" s="0" t="e">
        <f aca="true">IF(ISBLANK(F87),,COUNTIF(INDIRECT("'0.1.1 Pokémon GO Moves'!C"&amp;$E$3&amp;":R$"&amp;$E$3),B87))</f>
        <v>#N/A</v>
      </c>
      <c r="H87" s="0" t="e">
        <f aca="false">IF(ISBLANK(F87),,IF(OR(D87=$B$2,D87=$B$3),1,0))</f>
        <v>#N/A</v>
      </c>
      <c r="J87" s="0" t="str">
        <v>Freeze-Dry</v>
      </c>
      <c r="K87" s="0" t="str">
        <f aca="false">IF(ISBLANK(J87),,J87&amp;", ")</f>
        <v>Freeze-Dry,</v>
      </c>
      <c r="L87" s="0" t="str">
        <f aca="false" t="array" ref="L87:L87">IF(ISBLANK(J87),,INDEX('0.2.1 Move Compare'!$B$2:$B1011,MATCH(J87,'0.2.1 Move Compare'!$A$2:$A1011,0)))</f>
        <v>Ice</v>
      </c>
      <c r="M87" s="0" t="e">
        <f aca="true">IF(OR($E$1=0,ISBLANK(J87)),,COUNTIF(INDIRECT("'0.0.2 Pokémon Learnset (Core)'!D$"&amp;$E$2&amp;":FG$"&amp;$E$2),J87))</f>
        <v>#VALUE!</v>
      </c>
      <c r="N87" s="0" t="e">
        <f aca="false">IF(ISBLANK(J87),,IF(OR(L87=$B$2,L87=$B$3),1,0))</f>
        <v>#N/A</v>
      </c>
    </row>
    <row r="88" customFormat="false" ht="15.75" hidden="false" customHeight="false" outlineLevel="0" collapsed="false">
      <c r="B88" s="0" t="str">
        <v>Hyper Beam</v>
      </c>
      <c r="C88" s="0" t="str">
        <f aca="false">IF(ISBLANK(B88),,B88&amp;", ")</f>
        <v>Hyper Beam,</v>
      </c>
      <c r="D88" s="0" t="str">
        <f aca="false" t="array" ref="D88:D88">IF(ISBLANK(B88),,INDEX('0.2.1 Move Compare'!$B$2:$B1011,MATCH(B88,'0.2.1 Move Compare'!$A$2:$A1011,0)))</f>
        <v>Normal</v>
      </c>
      <c r="E88" s="0" t="n">
        <f aca="false" t="array" ref="E88:E88">IF(ISBLANK(B88),,IF(INDEX('0.1.2 Attack Dex (GO)'!C81:C1011,MATCH(B88,'0.1.2 Attack Dex (GO)'!A81:A1011,0))="Fast",1,0))</f>
        <v>0</v>
      </c>
      <c r="F88" s="0" t="e">
        <f aca="true">IF(OR($E$1=0,ISBLANK(B88)),,COUNTIF(INDIRECT("'0.0.2 Pokémon Learnset (Core)'!D$"&amp;$E$2&amp;":FG$"&amp;$E$2),B88))</f>
        <v>#VALUE!</v>
      </c>
      <c r="G88" s="0" t="e">
        <f aca="true">IF(ISBLANK(F88),,COUNTIF(INDIRECT("'0.1.1 Pokémon GO Moves'!C"&amp;$E$3&amp;":R$"&amp;$E$3),B88))</f>
        <v>#N/A</v>
      </c>
      <c r="H88" s="0" t="e">
        <f aca="false">IF(ISBLANK(F88),,IF(OR(D88=$B$2,D88=$B$3),1,0))</f>
        <v>#N/A</v>
      </c>
      <c r="J88" s="0" t="str">
        <v>Fury Attack</v>
      </c>
      <c r="K88" s="0" t="str">
        <f aca="false">IF(ISBLANK(J88),,J88&amp;", ")</f>
        <v>Fury Attack,</v>
      </c>
      <c r="L88" s="0" t="str">
        <f aca="false" t="array" ref="L88:L88">IF(ISBLANK(J88),,INDEX('0.2.1 Move Compare'!$B$2:$B1011,MATCH(J88,'0.2.1 Move Compare'!$A$2:$A1011,0)))</f>
        <v>Normal</v>
      </c>
      <c r="M88" s="0" t="e">
        <f aca="true">IF(OR($E$1=0,ISBLANK(J88)),,COUNTIF(INDIRECT("'0.0.2 Pokémon Learnset (Core)'!D$"&amp;$E$2&amp;":FG$"&amp;$E$2),J88))</f>
        <v>#VALUE!</v>
      </c>
      <c r="N88" s="0" t="e">
        <f aca="false">IF(ISBLANK(J88),,IF(OR(L88=$B$2,L88=$B$3),1,0))</f>
        <v>#N/A</v>
      </c>
    </row>
    <row r="89" customFormat="false" ht="15.75" hidden="false" customHeight="false" outlineLevel="0" collapsed="false">
      <c r="B89" s="0" t="str">
        <v>Hyper Fang</v>
      </c>
      <c r="C89" s="0" t="str">
        <f aca="false">IF(ISBLANK(B89),,B89&amp;", ")</f>
        <v>Hyper Fang,</v>
      </c>
      <c r="D89" s="0" t="str">
        <f aca="false" t="array" ref="D89:D89">IF(ISBLANK(B89),,INDEX('0.2.1 Move Compare'!$B$2:$B1011,MATCH(B89,'0.2.1 Move Compare'!$A$2:$A1011,0)))</f>
        <v>Normal</v>
      </c>
      <c r="E89" s="0" t="n">
        <f aca="false" t="array" ref="E89:E89">IF(ISBLANK(B89),,IF(INDEX('0.1.2 Attack Dex (GO)'!C82:C1011,MATCH(B89,'0.1.2 Attack Dex (GO)'!A82:A1011,0))="Fast",1,0))</f>
        <v>0</v>
      </c>
      <c r="F89" s="0" t="e">
        <f aca="true">IF(OR($E$1=0,ISBLANK(B89)),,COUNTIF(INDIRECT("'0.0.2 Pokémon Learnset (Core)'!D$"&amp;$E$2&amp;":FG$"&amp;$E$2),B89))</f>
        <v>#VALUE!</v>
      </c>
      <c r="G89" s="0" t="e">
        <f aca="true">IF(ISBLANK(F89),,COUNTIF(INDIRECT("'0.1.1 Pokémon GO Moves'!C"&amp;$E$3&amp;":R$"&amp;$E$3),B89))</f>
        <v>#N/A</v>
      </c>
      <c r="H89" s="0" t="e">
        <f aca="false">IF(ISBLANK(F89),,IF(OR(D89=$B$2,D89=$B$3),1,0))</f>
        <v>#N/A</v>
      </c>
      <c r="J89" s="0" t="str">
        <v>Fury Swipes</v>
      </c>
      <c r="K89" s="0" t="str">
        <f aca="false">IF(ISBLANK(J89),,J89&amp;", ")</f>
        <v>Fury Swipes,</v>
      </c>
      <c r="L89" s="0" t="str">
        <f aca="false" t="array" ref="L89:L89">IF(ISBLANK(J89),,INDEX('0.2.1 Move Compare'!$B$2:$B1011,MATCH(J89,'0.2.1 Move Compare'!$A$2:$A1011,0)))</f>
        <v>Normal</v>
      </c>
      <c r="M89" s="0" t="e">
        <f aca="true">IF(OR($E$1=0,ISBLANK(J89)),,COUNTIF(INDIRECT("'0.0.2 Pokémon Learnset (Core)'!D$"&amp;$E$2&amp;":FG$"&amp;$E$2),J89))</f>
        <v>#VALUE!</v>
      </c>
      <c r="N89" s="0" t="e">
        <f aca="false">IF(ISBLANK(J89),,IF(OR(L89=$B$2,L89=$B$3),1,0))</f>
        <v>#N/A</v>
      </c>
    </row>
    <row r="90" customFormat="false" ht="15.75" hidden="false" customHeight="false" outlineLevel="0" collapsed="false">
      <c r="B90" s="0" t="str">
        <v>Ice Beam</v>
      </c>
      <c r="C90" s="0" t="str">
        <f aca="false">IF(ISBLANK(B90),,B90&amp;", ")</f>
        <v>Ice Beam,</v>
      </c>
      <c r="D90" s="0" t="str">
        <f aca="false" t="array" ref="D90:D90">IF(ISBLANK(B90),,INDEX('0.2.1 Move Compare'!$B$2:$B1011,MATCH(B90,'0.2.1 Move Compare'!$A$2:$A1011,0)))</f>
        <v>Ice</v>
      </c>
      <c r="E90" s="0" t="n">
        <f aca="false" t="array" ref="E90:E90">IF(ISBLANK(B90),,IF(INDEX('0.1.2 Attack Dex (GO)'!C83:C1011,MATCH(B90,'0.1.2 Attack Dex (GO)'!A83:A1011,0))="Fast",1,0))</f>
        <v>0</v>
      </c>
      <c r="F90" s="0" t="e">
        <f aca="true">IF(OR($E$1=0,ISBLANK(B90)),,COUNTIF(INDIRECT("'0.0.2 Pokémon Learnset (Core)'!D$"&amp;$E$2&amp;":FG$"&amp;$E$2),B90))</f>
        <v>#VALUE!</v>
      </c>
      <c r="G90" s="0" t="e">
        <f aca="true">IF(ISBLANK(F90),,COUNTIF(INDIRECT("'0.1.1 Pokémon GO Moves'!C"&amp;$E$3&amp;":R$"&amp;$E$3),B90))</f>
        <v>#N/A</v>
      </c>
      <c r="H90" s="0" t="e">
        <f aca="false">IF(ISBLANK(F90),,IF(OR(D90=$B$2,D90=$B$3),1,0))</f>
        <v>#N/A</v>
      </c>
      <c r="J90" s="0" t="str">
        <v>Fusion Bolt</v>
      </c>
      <c r="K90" s="0" t="str">
        <f aca="false">IF(ISBLANK(J90),,J90&amp;", ")</f>
        <v>Fusion Bolt,</v>
      </c>
      <c r="L90" s="0" t="str">
        <f aca="false" t="array" ref="L90:L90">IF(ISBLANK(J90),,INDEX('0.2.1 Move Compare'!$B$2:$B1011,MATCH(J90,'0.2.1 Move Compare'!$A$2:$A1011,0)))</f>
        <v>Electric</v>
      </c>
      <c r="M90" s="0" t="e">
        <f aca="true">IF(OR($E$1=0,ISBLANK(J90)),,COUNTIF(INDIRECT("'0.0.2 Pokémon Learnset (Core)'!D$"&amp;$E$2&amp;":FG$"&amp;$E$2),J90))</f>
        <v>#VALUE!</v>
      </c>
      <c r="N90" s="0" t="e">
        <f aca="false">IF(ISBLANK(J90),,IF(OR(L90=$B$2,L90=$B$3),1,0))</f>
        <v>#N/A</v>
      </c>
    </row>
    <row r="91" customFormat="false" ht="15.75" hidden="false" customHeight="false" outlineLevel="0" collapsed="false">
      <c r="B91" s="0" t="str">
        <v>Ice Punch</v>
      </c>
      <c r="C91" s="0" t="str">
        <f aca="false">IF(ISBLANK(B91),,B91&amp;", ")</f>
        <v>Ice Punch,</v>
      </c>
      <c r="D91" s="0" t="str">
        <f aca="false" t="array" ref="D91:D91">IF(ISBLANK(B91),,INDEX('0.2.1 Move Compare'!$B$2:$B1011,MATCH(B91,'0.2.1 Move Compare'!$A$2:$A1011,0)))</f>
        <v>Ice</v>
      </c>
      <c r="E91" s="0" t="n">
        <f aca="false" t="array" ref="E91:E91">IF(ISBLANK(B91),,IF(INDEX('0.1.2 Attack Dex (GO)'!C84:C1011,MATCH(B91,'0.1.2 Attack Dex (GO)'!A84:A1011,0))="Fast",1,0))</f>
        <v>0</v>
      </c>
      <c r="F91" s="0" t="e">
        <f aca="true">IF(OR($E$1=0,ISBLANK(B91)),,COUNTIF(INDIRECT("'0.0.2 Pokémon Learnset (Core)'!D$"&amp;$E$2&amp;":FG$"&amp;$E$2),B91))</f>
        <v>#VALUE!</v>
      </c>
      <c r="G91" s="0" t="e">
        <f aca="true">IF(ISBLANK(F91),,COUNTIF(INDIRECT("'0.1.1 Pokémon GO Moves'!C"&amp;$E$3&amp;":R$"&amp;$E$3),B91))</f>
        <v>#N/A</v>
      </c>
      <c r="H91" s="0" t="e">
        <f aca="false">IF(ISBLANK(F91),,IF(OR(D91=$B$2,D91=$B$3),1,0))</f>
        <v>#N/A</v>
      </c>
      <c r="J91" s="0" t="str">
        <v>Fusion Flare</v>
      </c>
      <c r="K91" s="0" t="str">
        <f aca="false">IF(ISBLANK(J91),,J91&amp;", ")</f>
        <v>Fusion Flare,</v>
      </c>
      <c r="L91" s="0" t="str">
        <f aca="false" t="array" ref="L91:L91">IF(ISBLANK(J91),,INDEX('0.2.1 Move Compare'!$B$2:$B1011,MATCH(J91,'0.2.1 Move Compare'!$A$2:$A1011,0)))</f>
        <v>Fire</v>
      </c>
      <c r="M91" s="0" t="e">
        <f aca="true">IF(OR($E$1=0,ISBLANK(J91)),,COUNTIF(INDIRECT("'0.0.2 Pokémon Learnset (Core)'!D$"&amp;$E$2&amp;":FG$"&amp;$E$2),J91))</f>
        <v>#VALUE!</v>
      </c>
      <c r="N91" s="0" t="e">
        <f aca="false">IF(ISBLANK(J91),,IF(OR(L91=$B$2,L91=$B$3),1,0))</f>
        <v>#N/A</v>
      </c>
    </row>
    <row r="92" customFormat="false" ht="15.75" hidden="false" customHeight="false" outlineLevel="0" collapsed="false">
      <c r="B92" s="0" t="str">
        <v>Ice Shard</v>
      </c>
      <c r="C92" s="0" t="str">
        <f aca="false">IF(ISBLANK(B92),,B92&amp;", ")</f>
        <v>Ice Shard,</v>
      </c>
      <c r="D92" s="0" t="str">
        <f aca="false" t="array" ref="D92:D92">IF(ISBLANK(B92),,INDEX('0.2.1 Move Compare'!$B$2:$B1011,MATCH(B92,'0.2.1 Move Compare'!$A$2:$A1011,0)))</f>
        <v>Ice</v>
      </c>
      <c r="E92" s="0" t="n">
        <f aca="false" t="array" ref="E92:E92">IF(ISBLANK(B92),,IF(INDEX('0.1.2 Attack Dex (GO)'!C85:C1011,MATCH(B92,'0.1.2 Attack Dex (GO)'!A85:A1011,0))="Fast",1,0))</f>
        <v>1</v>
      </c>
      <c r="F92" s="0" t="e">
        <f aca="true">IF(OR($E$1=0,ISBLANK(B92)),,COUNTIF(INDIRECT("'0.0.2 Pokémon Learnset (Core)'!D$"&amp;$E$2&amp;":FG$"&amp;$E$2),B92))</f>
        <v>#VALUE!</v>
      </c>
      <c r="G92" s="0" t="e">
        <f aca="true">IF(ISBLANK(F92),,COUNTIF(INDIRECT("'0.1.1 Pokémon GO Moves'!C"&amp;$E$3&amp;":R$"&amp;$E$3),B92))</f>
        <v>#N/A</v>
      </c>
      <c r="H92" s="0" t="e">
        <f aca="false">IF(ISBLANK(F92),,IF(OR(D92=$B$2,D92=$B$3),1,0))</f>
        <v>#N/A</v>
      </c>
      <c r="J92" s="0" t="str">
        <v>Gear Grind</v>
      </c>
      <c r="K92" s="0" t="str">
        <f aca="false">IF(ISBLANK(J92),,J92&amp;", ")</f>
        <v>Gear Grind,</v>
      </c>
      <c r="L92" s="0" t="str">
        <f aca="false" t="array" ref="L92:L92">IF(ISBLANK(J92),,INDEX('0.2.1 Move Compare'!$B$2:$B1011,MATCH(J92,'0.2.1 Move Compare'!$A$2:$A1011,0)))</f>
        <v>Steel</v>
      </c>
      <c r="M92" s="0" t="e">
        <f aca="true">IF(OR($E$1=0,ISBLANK(J92)),,COUNTIF(INDIRECT("'0.0.2 Pokémon Learnset (Core)'!D$"&amp;$E$2&amp;":FG$"&amp;$E$2),J92))</f>
        <v>#VALUE!</v>
      </c>
      <c r="N92" s="0" t="e">
        <f aca="false">IF(ISBLANK(J92),,IF(OR(L92=$B$2,L92=$B$3),1,0))</f>
        <v>#N/A</v>
      </c>
    </row>
    <row r="93" customFormat="false" ht="15.75" hidden="false" customHeight="false" outlineLevel="0" collapsed="false">
      <c r="B93" s="0" t="str">
        <v>Icy Wind</v>
      </c>
      <c r="C93" s="0" t="str">
        <f aca="false">IF(ISBLANK(B93),,B93&amp;", ")</f>
        <v>Icy Wind,</v>
      </c>
      <c r="D93" s="0" t="str">
        <f aca="false" t="array" ref="D93:D93">IF(ISBLANK(B93),,INDEX('0.2.1 Move Compare'!$B$2:$B1011,MATCH(B93,'0.2.1 Move Compare'!$A$2:$A1011,0)))</f>
        <v>Ice</v>
      </c>
      <c r="E93" s="0" t="n">
        <f aca="false" t="array" ref="E93:E93">IF(ISBLANK(B93),,IF(INDEX('0.1.2 Attack Dex (GO)'!C86:C1011,MATCH(B93,'0.1.2 Attack Dex (GO)'!A86:A1011,0))="Fast",1,0))</f>
        <v>0</v>
      </c>
      <c r="F93" s="0" t="e">
        <f aca="true">IF(OR($E$1=0,ISBLANK(B93)),,COUNTIF(INDIRECT("'0.0.2 Pokémon Learnset (Core)'!D$"&amp;$E$2&amp;":FG$"&amp;$E$2),B93))</f>
        <v>#VALUE!</v>
      </c>
      <c r="G93" s="0" t="e">
        <f aca="true">IF(ISBLANK(F93),,COUNTIF(INDIRECT("'0.1.1 Pokémon GO Moves'!C"&amp;$E$3&amp;":R$"&amp;$E$3),B93))</f>
        <v>#N/A</v>
      </c>
      <c r="H93" s="0" t="e">
        <f aca="false">IF(ISBLANK(F93),,IF(OR(D93=$B$2,D93=$B$3),1,0))</f>
        <v>#N/A</v>
      </c>
      <c r="J93" s="0" t="str">
        <v>Giga Impact</v>
      </c>
      <c r="K93" s="0" t="str">
        <f aca="false">IF(ISBLANK(J93),,J93&amp;", ")</f>
        <v>Giga Impact,</v>
      </c>
      <c r="L93" s="0" t="str">
        <f aca="false" t="array" ref="L93:L93">IF(ISBLANK(J93),,INDEX('0.2.1 Move Compare'!$B$2:$B1011,MATCH(J93,'0.2.1 Move Compare'!$A$2:$A1011,0)))</f>
        <v>Normal</v>
      </c>
      <c r="M93" s="0" t="e">
        <f aca="true">IF(OR($E$1=0,ISBLANK(J93)),,COUNTIF(INDIRECT("'0.0.2 Pokémon Learnset (Core)'!D$"&amp;$E$2&amp;":FG$"&amp;$E$2),J93))</f>
        <v>#VALUE!</v>
      </c>
      <c r="N93" s="0" t="e">
        <f aca="false">IF(ISBLANK(J93),,IF(OR(L93=$B$2,L93=$B$3),1,0))</f>
        <v>#N/A</v>
      </c>
    </row>
    <row r="94" customFormat="false" ht="15.75" hidden="false" customHeight="false" outlineLevel="0" collapsed="false">
      <c r="B94" s="0" t="str">
        <v>Infestation</v>
      </c>
      <c r="C94" s="0" t="str">
        <f aca="false">IF(ISBLANK(B94),,B94&amp;", ")</f>
        <v>Infestation,</v>
      </c>
      <c r="D94" s="0" t="str">
        <f aca="false" t="array" ref="D94:D94">IF(ISBLANK(B94),,INDEX('0.2.1 Move Compare'!$B$2:$B1011,MATCH(B94,'0.2.1 Move Compare'!$A$2:$A1011,0)))</f>
        <v>Bug</v>
      </c>
      <c r="E94" s="0" t="n">
        <f aca="false" t="array" ref="E94:E94">IF(ISBLANK(B94),,IF(INDEX('0.1.2 Attack Dex (GO)'!C87:C1011,MATCH(B94,'0.1.2 Attack Dex (GO)'!A87:A1011,0))="Fast",1,0))</f>
        <v>1</v>
      </c>
      <c r="F94" s="0" t="e">
        <f aca="true">IF(OR($E$1=0,ISBLANK(B94)),,COUNTIF(INDIRECT("'0.0.2 Pokémon Learnset (Core)'!D$"&amp;$E$2&amp;":FG$"&amp;$E$2),B94))</f>
        <v>#VALUE!</v>
      </c>
      <c r="G94" s="0" t="e">
        <f aca="true">IF(ISBLANK(F94),,COUNTIF(INDIRECT("'0.1.1 Pokémon GO Moves'!C"&amp;$E$3&amp;":R$"&amp;$E$3),B94))</f>
        <v>#N/A</v>
      </c>
      <c r="H94" s="0" t="e">
        <f aca="false">IF(ISBLANK(F94),,IF(OR(D94=$B$2,D94=$B$3),1,0))</f>
        <v>#N/A</v>
      </c>
      <c r="J94" s="0" t="str">
        <v>Glaciate</v>
      </c>
      <c r="K94" s="0" t="str">
        <f aca="false">IF(ISBLANK(J94),,J94&amp;", ")</f>
        <v>Glaciate,</v>
      </c>
      <c r="L94" s="0" t="str">
        <f aca="false" t="array" ref="L94:L94">IF(ISBLANK(J94),,INDEX('0.2.1 Move Compare'!$B$2:$B1011,MATCH(J94,'0.2.1 Move Compare'!$A$2:$A1011,0)))</f>
        <v>Ice</v>
      </c>
      <c r="M94" s="0" t="e">
        <f aca="true">IF(OR($E$1=0,ISBLANK(J94)),,COUNTIF(INDIRECT("'0.0.2 Pokémon Learnset (Core)'!D$"&amp;$E$2&amp;":FG$"&amp;$E$2),J94))</f>
        <v>#VALUE!</v>
      </c>
      <c r="N94" s="0" t="e">
        <f aca="false">IF(ISBLANK(J94),,IF(OR(L94=$B$2,L94=$B$3),1,0))</f>
        <v>#N/A</v>
      </c>
    </row>
    <row r="95" customFormat="false" ht="15.75" hidden="false" customHeight="false" outlineLevel="0" collapsed="false">
      <c r="B95" s="0" t="str">
        <v>Iron Head</v>
      </c>
      <c r="C95" s="0" t="str">
        <f aca="false">IF(ISBLANK(B95),,B95&amp;", ")</f>
        <v>Iron Head,</v>
      </c>
      <c r="D95" s="0" t="str">
        <f aca="false" t="array" ref="D95:D95">IF(ISBLANK(B95),,INDEX('0.2.1 Move Compare'!$B$2:$B1011,MATCH(B95,'0.2.1 Move Compare'!$A$2:$A1011,0)))</f>
        <v>Steel</v>
      </c>
      <c r="E95" s="0" t="n">
        <f aca="false" t="array" ref="E95:E95">IF(ISBLANK(B95),,IF(INDEX('0.1.2 Attack Dex (GO)'!C88:C1011,MATCH(B95,'0.1.2 Attack Dex (GO)'!A88:A1011,0))="Fast",1,0))</f>
        <v>0</v>
      </c>
      <c r="F95" s="0" t="e">
        <f aca="true">IF(OR($E$1=0,ISBLANK(B95)),,COUNTIF(INDIRECT("'0.0.2 Pokémon Learnset (Core)'!D$"&amp;$E$2&amp;":FG$"&amp;$E$2),B95))</f>
        <v>#VALUE!</v>
      </c>
      <c r="G95" s="0" t="e">
        <f aca="true">IF(ISBLANK(F95),,COUNTIF(INDIRECT("'0.1.1 Pokémon GO Moves'!C"&amp;$E$3&amp;":R$"&amp;$E$3),B95))</f>
        <v>#N/A</v>
      </c>
      <c r="H95" s="0" t="e">
        <f aca="false">IF(ISBLANK(F95),,IF(OR(D95=$B$2,D95=$B$3),1,0))</f>
        <v>#N/A</v>
      </c>
      <c r="J95" s="0" t="str">
        <v>Grass Pledge</v>
      </c>
      <c r="K95" s="0" t="str">
        <f aca="false">IF(ISBLANK(J95),,J95&amp;", ")</f>
        <v>Grass Pledge,</v>
      </c>
      <c r="L95" s="0" t="str">
        <f aca="false" t="array" ref="L95:L95">IF(ISBLANK(J95),,INDEX('0.2.1 Move Compare'!$B$2:$B1011,MATCH(J95,'0.2.1 Move Compare'!$A$2:$A1011,0)))</f>
        <v>Grass</v>
      </c>
      <c r="M95" s="0" t="e">
        <f aca="true">IF(OR($E$1=0,ISBLANK(J95)),,COUNTIF(INDIRECT("'0.0.2 Pokémon Learnset (Core)'!D$"&amp;$E$2&amp;":FG$"&amp;$E$2),J95))</f>
        <v>#VALUE!</v>
      </c>
      <c r="N95" s="0" t="e">
        <f aca="false">IF(ISBLANK(J95),,IF(OR(L95=$B$2,L95=$B$3),1,0))</f>
        <v>#N/A</v>
      </c>
    </row>
    <row r="96" customFormat="false" ht="15.75" hidden="false" customHeight="false" outlineLevel="0" collapsed="false">
      <c r="B96" s="0" t="str">
        <v>Iron Tail</v>
      </c>
      <c r="C96" s="0" t="str">
        <f aca="false">IF(ISBLANK(B96),,B96&amp;", ")</f>
        <v>Iron Tail,</v>
      </c>
      <c r="D96" s="0" t="str">
        <f aca="false" t="array" ref="D96:D96">IF(ISBLANK(B96),,INDEX('0.2.1 Move Compare'!$B$2:$B1011,MATCH(B96,'0.2.1 Move Compare'!$A$2:$A1011,0)))</f>
        <v>Steel</v>
      </c>
      <c r="E96" s="0" t="n">
        <f aca="false" t="array" ref="E96:E96">IF(ISBLANK(B96),,IF(INDEX('0.1.2 Attack Dex (GO)'!C89:C1011,MATCH(B96,'0.1.2 Attack Dex (GO)'!A89:A1011,0))="Fast",1,0))</f>
        <v>1</v>
      </c>
      <c r="F96" s="0" t="e">
        <f aca="true">IF(OR($E$1=0,ISBLANK(B96)),,COUNTIF(INDIRECT("'0.0.2 Pokémon Learnset (Core)'!D$"&amp;$E$2&amp;":FG$"&amp;$E$2),B96))</f>
        <v>#VALUE!</v>
      </c>
      <c r="G96" s="0" t="e">
        <f aca="true">IF(ISBLANK(F96),,COUNTIF(INDIRECT("'0.1.1 Pokémon GO Moves'!C"&amp;$E$3&amp;":R$"&amp;$E$3),B96))</f>
        <v>#N/A</v>
      </c>
      <c r="H96" s="0" t="e">
        <f aca="false">IF(ISBLANK(F96),,IF(OR(D96=$B$2,D96=$B$3),1,0))</f>
        <v>#N/A</v>
      </c>
      <c r="J96" s="0" t="str">
        <v>Gust</v>
      </c>
      <c r="K96" s="0" t="str">
        <f aca="false">IF(ISBLANK(J96),,J96&amp;", ")</f>
        <v>Gust,</v>
      </c>
      <c r="L96" s="0" t="str">
        <f aca="false" t="array" ref="L96:L96">IF(ISBLANK(J96),,INDEX('0.2.1 Move Compare'!$B$2:$B1011,MATCH(J96,'0.2.1 Move Compare'!$A$2:$A1011,0)))</f>
        <v>Flying</v>
      </c>
      <c r="M96" s="0" t="e">
        <f aca="true">IF(OR($E$1=0,ISBLANK(J96)),,COUNTIF(INDIRECT("'0.0.2 Pokémon Learnset (Core)'!D$"&amp;$E$2&amp;":FG$"&amp;$E$2),J96))</f>
        <v>#VALUE!</v>
      </c>
      <c r="N96" s="0" t="e">
        <f aca="false">IF(ISBLANK(J96),,IF(OR(L96=$B$2,L96=$B$3),1,0))</f>
        <v>#N/A</v>
      </c>
    </row>
    <row r="97" customFormat="false" ht="15.75" hidden="false" customHeight="false" outlineLevel="0" collapsed="false">
      <c r="B97" s="0" t="str">
        <v>Karate Chop</v>
      </c>
      <c r="C97" s="0" t="str">
        <f aca="false">IF(ISBLANK(B97),,B97&amp;", ")</f>
        <v>Karate Chop,</v>
      </c>
      <c r="D97" s="0" t="str">
        <f aca="false" t="array" ref="D97:D97">IF(ISBLANK(B97),,INDEX('0.2.1 Move Compare'!$B$2:$B1011,MATCH(B97,'0.2.1 Move Compare'!$A$2:$A1011,0)))</f>
        <v>Fighting</v>
      </c>
      <c r="E97" s="0" t="n">
        <f aca="false" t="array" ref="E97:E97">IF(ISBLANK(B97),,IF(INDEX('0.1.2 Attack Dex (GO)'!C90:C1011,MATCH(B97,'0.1.2 Attack Dex (GO)'!A90:A1011,0))="Fast",1,0))</f>
        <v>1</v>
      </c>
      <c r="F97" s="0" t="e">
        <f aca="true">IF(OR($E$1=0,ISBLANK(B97)),,COUNTIF(INDIRECT("'0.0.2 Pokémon Learnset (Core)'!D$"&amp;$E$2&amp;":FG$"&amp;$E$2),B97))</f>
        <v>#VALUE!</v>
      </c>
      <c r="G97" s="0" t="e">
        <f aca="true">IF(ISBLANK(F97),,COUNTIF(INDIRECT("'0.1.1 Pokémon GO Moves'!C"&amp;$E$3&amp;":R$"&amp;$E$3),B97))</f>
        <v>#N/A</v>
      </c>
      <c r="H97" s="0" t="e">
        <f aca="false">IF(ISBLANK(F97),,IF(OR(D97=$B$2,D97=$B$3),1,0))</f>
        <v>#N/A</v>
      </c>
      <c r="J97" s="0" t="str">
        <v>Hammer Arm</v>
      </c>
      <c r="K97" s="0" t="str">
        <f aca="false">IF(ISBLANK(J97),,J97&amp;", ")</f>
        <v>Hammer Arm,</v>
      </c>
      <c r="L97" s="0" t="str">
        <f aca="false" t="array" ref="L97:L97">IF(ISBLANK(J97),,INDEX('0.2.1 Move Compare'!$B$2:$B1011,MATCH(J97,'0.2.1 Move Compare'!$A$2:$A1011,0)))</f>
        <v>Fighting</v>
      </c>
      <c r="M97" s="0" t="e">
        <f aca="true">IF(OR($E$1=0,ISBLANK(J97)),,COUNTIF(INDIRECT("'0.0.2 Pokémon Learnset (Core)'!D$"&amp;$E$2&amp;":FG$"&amp;$E$2),J97))</f>
        <v>#VALUE!</v>
      </c>
      <c r="N97" s="0" t="e">
        <f aca="false">IF(ISBLANK(J97),,IF(OR(L97=$B$2,L97=$B$3),1,0))</f>
        <v>#N/A</v>
      </c>
    </row>
    <row r="98" customFormat="false" ht="15.75" hidden="false" customHeight="false" outlineLevel="0" collapsed="false">
      <c r="B98" s="0" t="str">
        <v>Leaf Blade</v>
      </c>
      <c r="C98" s="0" t="str">
        <f aca="false">IF(ISBLANK(B98),,B98&amp;", ")</f>
        <v>Leaf Blade,</v>
      </c>
      <c r="D98" s="0" t="str">
        <f aca="false" t="array" ref="D98:D98">IF(ISBLANK(B98),,INDEX('0.2.1 Move Compare'!$B$2:$B1011,MATCH(B98,'0.2.1 Move Compare'!$A$2:$A1011,0)))</f>
        <v>Grass</v>
      </c>
      <c r="E98" s="0" t="n">
        <f aca="false" t="array" ref="E98:E98">IF(ISBLANK(B98),,IF(INDEX('0.1.2 Attack Dex (GO)'!C91:C1011,MATCH(B98,'0.1.2 Attack Dex (GO)'!A91:A1011,0))="Fast",1,0))</f>
        <v>0</v>
      </c>
      <c r="F98" s="0" t="e">
        <f aca="true">IF(OR($E$1=0,ISBLANK(B98)),,COUNTIF(INDIRECT("'0.0.2 Pokémon Learnset (Core)'!D$"&amp;$E$2&amp;":FG$"&amp;$E$2),B98))</f>
        <v>#VALUE!</v>
      </c>
      <c r="G98" s="0" t="e">
        <f aca="true">IF(ISBLANK(F98),,COUNTIF(INDIRECT("'0.1.1 Pokémon GO Moves'!C"&amp;$E$3&amp;":R$"&amp;$E$3),B98))</f>
        <v>#N/A</v>
      </c>
      <c r="H98" s="0" t="e">
        <f aca="false">IF(ISBLANK(F98),,IF(OR(D98=$B$2,D98=$B$3),1,0))</f>
        <v>#N/A</v>
      </c>
      <c r="J98" s="0" t="str">
        <v>Head Charge</v>
      </c>
      <c r="K98" s="0" t="str">
        <f aca="false">IF(ISBLANK(J98),,J98&amp;", ")</f>
        <v>Head Charge,</v>
      </c>
      <c r="L98" s="0" t="str">
        <f aca="false" t="array" ref="L98:L98">IF(ISBLANK(J98),,INDEX('0.2.1 Move Compare'!$B$2:$B1011,MATCH(J98,'0.2.1 Move Compare'!$A$2:$A1011,0)))</f>
        <v>Normal</v>
      </c>
      <c r="M98" s="0" t="e">
        <f aca="true">IF(OR($E$1=0,ISBLANK(J98)),,COUNTIF(INDIRECT("'0.0.2 Pokémon Learnset (Core)'!D$"&amp;$E$2&amp;":FG$"&amp;$E$2),J98))</f>
        <v>#VALUE!</v>
      </c>
      <c r="N98" s="0" t="e">
        <f aca="false">IF(ISBLANK(J98),,IF(OR(L98=$B$2,L98=$B$3),1,0))</f>
        <v>#N/A</v>
      </c>
    </row>
    <row r="99" customFormat="false" ht="15.75" hidden="false" customHeight="false" outlineLevel="0" collapsed="false">
      <c r="B99" s="0" t="str">
        <v>Lick</v>
      </c>
      <c r="C99" s="0" t="str">
        <f aca="false">IF(ISBLANK(B99),,B99&amp;", ")</f>
        <v>Lick,</v>
      </c>
      <c r="D99" s="0" t="str">
        <f aca="false" t="array" ref="D99:D99">IF(ISBLANK(B99),,INDEX('0.2.1 Move Compare'!$B$2:$B1011,MATCH(B99,'0.2.1 Move Compare'!$A$2:$A1011,0)))</f>
        <v>Ghost</v>
      </c>
      <c r="E99" s="0" t="n">
        <f aca="false" t="array" ref="E99:E99">IF(ISBLANK(B99),,IF(INDEX('0.1.2 Attack Dex (GO)'!C92:C1011,MATCH(B99,'0.1.2 Attack Dex (GO)'!A92:A1011,0))="Fast",1,0))</f>
        <v>1</v>
      </c>
      <c r="F99" s="0" t="e">
        <f aca="true">IF(OR($E$1=0,ISBLANK(B99)),,COUNTIF(INDIRECT("'0.0.2 Pokémon Learnset (Core)'!D$"&amp;$E$2&amp;":FG$"&amp;$E$2),B99))</f>
        <v>#VALUE!</v>
      </c>
      <c r="G99" s="0" t="e">
        <f aca="true">IF(ISBLANK(F99),,COUNTIF(INDIRECT("'0.1.1 Pokémon GO Moves'!C"&amp;$E$3&amp;":R$"&amp;$E$3),B99))</f>
        <v>#N/A</v>
      </c>
      <c r="H99" s="0" t="e">
        <f aca="false">IF(ISBLANK(F99),,IF(OR(D99=$B$2,D99=$B$3),1,0))</f>
        <v>#N/A</v>
      </c>
      <c r="J99" s="0" t="str">
        <v>Head Smash</v>
      </c>
      <c r="K99" s="0" t="str">
        <f aca="false">IF(ISBLANK(J99),,J99&amp;", ")</f>
        <v>Head Smash,</v>
      </c>
      <c r="L99" s="0" t="str">
        <f aca="false" t="array" ref="L99:L99">IF(ISBLANK(J99),,INDEX('0.2.1 Move Compare'!$B$2:$B1011,MATCH(J99,'0.2.1 Move Compare'!$A$2:$A1011,0)))</f>
        <v>Rock</v>
      </c>
      <c r="M99" s="0" t="e">
        <f aca="true">IF(OR($E$1=0,ISBLANK(J99)),,COUNTIF(INDIRECT("'0.0.2 Pokémon Learnset (Core)'!D$"&amp;$E$2&amp;":FG$"&amp;$E$2),J99))</f>
        <v>#VALUE!</v>
      </c>
      <c r="N99" s="0" t="e">
        <f aca="false">IF(ISBLANK(J99),,IF(OR(L99=$B$2,L99=$B$3),1,0))</f>
        <v>#N/A</v>
      </c>
    </row>
    <row r="100" customFormat="false" ht="15.75" hidden="false" customHeight="false" outlineLevel="0" collapsed="false">
      <c r="B100" s="0" t="str">
        <v>Low Kick</v>
      </c>
      <c r="C100" s="0" t="str">
        <f aca="false">IF(ISBLANK(B100),,B100&amp;", ")</f>
        <v>Low Kick,</v>
      </c>
      <c r="D100" s="0" t="str">
        <f aca="false" t="array" ref="D100:D100">IF(ISBLANK(B100),,INDEX('0.2.1 Move Compare'!$B$2:$B1011,MATCH(B100,'0.2.1 Move Compare'!$A$2:$A1011,0)))</f>
        <v>Fighting</v>
      </c>
      <c r="E100" s="0" t="n">
        <f aca="false" t="array" ref="E100:E100">IF(ISBLANK(B100),,IF(INDEX('0.1.2 Attack Dex (GO)'!C93:C1011,MATCH(B100,'0.1.2 Attack Dex (GO)'!A93:A1011,0))="Fast",1,0))</f>
        <v>1</v>
      </c>
      <c r="F100" s="0" t="e">
        <f aca="true">IF(OR($E$1=0,ISBLANK(B100)),,COUNTIF(INDIRECT("'0.0.2 Pokémon Learnset (Core)'!D$"&amp;$E$2&amp;":FG$"&amp;$E$2),B100))</f>
        <v>#VALUE!</v>
      </c>
      <c r="G100" s="0" t="e">
        <f aca="true">IF(ISBLANK(F100),,COUNTIF(INDIRECT("'0.1.1 Pokémon GO Moves'!C"&amp;$E$3&amp;":R$"&amp;$E$3),B100))</f>
        <v>#N/A</v>
      </c>
      <c r="H100" s="0" t="e">
        <f aca="false">IF(ISBLANK(F100),,IF(OR(D100=$B$2,D100=$B$3),1,0))</f>
        <v>#N/A</v>
      </c>
      <c r="J100" s="0" t="str">
        <v>Headbutt</v>
      </c>
      <c r="K100" s="0" t="str">
        <f aca="false">IF(ISBLANK(J100),,J100&amp;", ")</f>
        <v>Headbutt,</v>
      </c>
      <c r="L100" s="0" t="str">
        <f aca="false" t="array" ref="L100:L100">IF(ISBLANK(J100),,INDEX('0.2.1 Move Compare'!$B$2:$B1011,MATCH(J100,'0.2.1 Move Compare'!$A$2:$A1011,0)))</f>
        <v>Normal</v>
      </c>
      <c r="M100" s="0" t="e">
        <f aca="true">IF(OR($E$1=0,ISBLANK(J100)),,COUNTIF(INDIRECT("'0.0.2 Pokémon Learnset (Core)'!D$"&amp;$E$2&amp;":FG$"&amp;$E$2),J100))</f>
        <v>#VALUE!</v>
      </c>
      <c r="N100" s="0" t="e">
        <f aca="false">IF(ISBLANK(J100),,IF(OR(L100=$B$2,L100=$B$3),1,0))</f>
        <v>#N/A</v>
      </c>
    </row>
    <row r="101" customFormat="false" ht="15.75" hidden="false" customHeight="false" outlineLevel="0" collapsed="false">
      <c r="B101" s="0" t="str">
        <v>Low Sweep</v>
      </c>
      <c r="C101" s="0" t="str">
        <f aca="false">IF(ISBLANK(B101),,B101&amp;", ")</f>
        <v>Low Sweep,</v>
      </c>
      <c r="D101" s="0" t="str">
        <f aca="false" t="array" ref="D101:D101">IF(ISBLANK(B101),,INDEX('0.2.1 Move Compare'!$B$2:$B1011,MATCH(B101,'0.2.1 Move Compare'!$A$2:$A1011,0)))</f>
        <v>Fighting</v>
      </c>
      <c r="E101" s="0" t="n">
        <f aca="false" t="array" ref="E101:E101">IF(ISBLANK(B101),,IF(INDEX('0.1.2 Attack Dex (GO)'!C94:C1011,MATCH(B101,'0.1.2 Attack Dex (GO)'!A94:A1011,0))="Fast",1,0))</f>
        <v>0</v>
      </c>
      <c r="F101" s="0" t="e">
        <f aca="true">IF(OR($E$1=0,ISBLANK(B101)),,COUNTIF(INDIRECT("'0.0.2 Pokémon Learnset (Core)'!D$"&amp;$E$2&amp;":FG$"&amp;$E$2),B101))</f>
        <v>#VALUE!</v>
      </c>
      <c r="G101" s="0" t="e">
        <f aca="true">IF(ISBLANK(F101),,COUNTIF(INDIRECT("'0.1.1 Pokémon GO Moves'!C"&amp;$E$3&amp;":R$"&amp;$E$3),B101))</f>
        <v>#N/A</v>
      </c>
      <c r="H101" s="0" t="e">
        <f aca="false">IF(ISBLANK(F101),,IF(OR(D101=$B$2,D101=$B$3),1,0))</f>
        <v>#N/A</v>
      </c>
      <c r="J101" s="0" t="str">
        <v>High Horsepower</v>
      </c>
      <c r="K101" s="0" t="str">
        <f aca="false">IF(ISBLANK(J101),,J101&amp;", ")</f>
        <v>High Horsepower,</v>
      </c>
      <c r="L101" s="0" t="str">
        <f aca="false" t="array" ref="L101:L101">IF(ISBLANK(J101),,INDEX('0.2.1 Move Compare'!$B$2:$B1011,MATCH(J101,'0.2.1 Move Compare'!$A$2:$A1011,0)))</f>
        <v>Ground</v>
      </c>
      <c r="M101" s="0" t="e">
        <f aca="true">IF(OR($E$1=0,ISBLANK(J101)),,COUNTIF(INDIRECT("'0.0.2 Pokémon Learnset (Core)'!D$"&amp;$E$2&amp;":FG$"&amp;$E$2),J101))</f>
        <v>#VALUE!</v>
      </c>
      <c r="N101" s="0" t="e">
        <f aca="false">IF(ISBLANK(J101),,IF(OR(L101=$B$2,L101=$B$3),1,0))</f>
        <v>#N/A</v>
      </c>
    </row>
    <row r="102" customFormat="false" ht="15.75" hidden="false" customHeight="false" outlineLevel="0" collapsed="false">
      <c r="B102" s="0" t="str">
        <v>Magnet Bomb</v>
      </c>
      <c r="C102" s="0" t="str">
        <f aca="false">IF(ISBLANK(B102),,B102&amp;", ")</f>
        <v>Magnet Bomb,</v>
      </c>
      <c r="D102" s="0" t="str">
        <f aca="false" t="array" ref="D102:D102">IF(ISBLANK(B102),,INDEX('0.2.1 Move Compare'!$B$2:$B1011,MATCH(B102,'0.2.1 Move Compare'!$A$2:$A1011,0)))</f>
        <v>Steel</v>
      </c>
      <c r="E102" s="0" t="n">
        <f aca="false" t="array" ref="E102:E102">IF(ISBLANK(B102),,IF(INDEX('0.1.2 Attack Dex (GO)'!C95:C1011,MATCH(B102,'0.1.2 Attack Dex (GO)'!A95:A1011,0))="Fast",1,0))</f>
        <v>0</v>
      </c>
      <c r="F102" s="0" t="e">
        <f aca="true">IF(OR($E$1=0,ISBLANK(B102)),,COUNTIF(INDIRECT("'0.0.2 Pokémon Learnset (Core)'!D$"&amp;$E$2&amp;":FG$"&amp;$E$2),B102))</f>
        <v>#VALUE!</v>
      </c>
      <c r="G102" s="0" t="e">
        <f aca="true">IF(ISBLANK(F102),,COUNTIF(INDIRECT("'0.1.1 Pokémon GO Moves'!C"&amp;$E$3&amp;":R$"&amp;$E$3),B102))</f>
        <v>#N/A</v>
      </c>
      <c r="H102" s="0" t="e">
        <f aca="false">IF(ISBLANK(F102),,IF(OR(D102=$B$2,D102=$B$3),1,0))</f>
        <v>#N/A</v>
      </c>
      <c r="J102" s="0" t="str">
        <v>High Jump Kick</v>
      </c>
      <c r="K102" s="0" t="str">
        <f aca="false">IF(ISBLANK(J102),,J102&amp;", ")</f>
        <v>High Jump Kick,</v>
      </c>
      <c r="L102" s="0" t="str">
        <f aca="false" t="array" ref="L102:L102">IF(ISBLANK(J102),,INDEX('0.2.1 Move Compare'!$B$2:$B1011,MATCH(J102,'0.2.1 Move Compare'!$A$2:$A1011,0)))</f>
        <v>Fighting</v>
      </c>
      <c r="M102" s="0" t="e">
        <f aca="true">IF(OR($E$1=0,ISBLANK(J102)),,COUNTIF(INDIRECT("'0.0.2 Pokémon Learnset (Core)'!D$"&amp;$E$2&amp;":FG$"&amp;$E$2),J102))</f>
        <v>#VALUE!</v>
      </c>
      <c r="N102" s="0" t="e">
        <f aca="false">IF(ISBLANK(J102),,IF(OR(L102=$B$2,L102=$B$3),1,0))</f>
        <v>#N/A</v>
      </c>
    </row>
    <row r="103" customFormat="false" ht="15.75" hidden="false" customHeight="false" outlineLevel="0" collapsed="false">
      <c r="B103" s="0" t="str">
        <v>Mega Drain</v>
      </c>
      <c r="C103" s="0" t="str">
        <f aca="false">IF(ISBLANK(B103),,B103&amp;", ")</f>
        <v>Mega Drain,</v>
      </c>
      <c r="D103" s="0" t="str">
        <f aca="false" t="array" ref="D103:D103">IF(ISBLANK(B103),,INDEX('0.2.1 Move Compare'!$B$2:$B1011,MATCH(B103,'0.2.1 Move Compare'!$A$2:$A1011,0)))</f>
        <v>Grass</v>
      </c>
      <c r="E103" s="0" t="n">
        <f aca="false" t="array" ref="E103:E103">IF(ISBLANK(B103),,IF(INDEX('0.1.2 Attack Dex (GO)'!C96:C1011,MATCH(B103,'0.1.2 Attack Dex (GO)'!A96:A1011,0))="Fast",1,0))</f>
        <v>0</v>
      </c>
      <c r="F103" s="0" t="e">
        <f aca="true">IF(OR($E$1=0,ISBLANK(B103)),,COUNTIF(INDIRECT("'0.0.2 Pokémon Learnset (Core)'!D$"&amp;$E$2&amp;":FG$"&amp;$E$2),B103))</f>
        <v>#VALUE!</v>
      </c>
      <c r="G103" s="0" t="e">
        <f aca="true">IF(ISBLANK(F103),,COUNTIF(INDIRECT("'0.1.1 Pokémon GO Moves'!C"&amp;$E$3&amp;":R$"&amp;$E$3),B103))</f>
        <v>#N/A</v>
      </c>
      <c r="H103" s="0" t="e">
        <f aca="false">IF(ISBLANK(F103),,IF(OR(D103=$B$2,D103=$B$3),1,0))</f>
        <v>#N/A</v>
      </c>
      <c r="J103" s="0" t="str">
        <v>Hold Back</v>
      </c>
      <c r="K103" s="0" t="str">
        <f aca="false">IF(ISBLANK(J103),,J103&amp;", ")</f>
        <v>Hold Back,</v>
      </c>
      <c r="L103" s="0" t="str">
        <f aca="false" t="array" ref="L103:L103">IF(ISBLANK(J103),,INDEX('0.2.1 Move Compare'!$B$2:$B1011,MATCH(J103,'0.2.1 Move Compare'!$A$2:$A1011,0)))</f>
        <v>Normal</v>
      </c>
      <c r="M103" s="0" t="e">
        <f aca="true">IF(OR($E$1=0,ISBLANK(J103)),,COUNTIF(INDIRECT("'0.0.2 Pokémon Learnset (Core)'!D$"&amp;$E$2&amp;":FG$"&amp;$E$2),J103))</f>
        <v>#VALUE!</v>
      </c>
      <c r="N103" s="0" t="e">
        <f aca="false">IF(ISBLANK(J103),,IF(OR(L103=$B$2,L103=$B$3),1,0))</f>
        <v>#N/A</v>
      </c>
    </row>
    <row r="104" customFormat="false" ht="15.75" hidden="false" customHeight="false" outlineLevel="0" collapsed="false">
      <c r="B104" s="0" t="str">
        <v>Megahorn</v>
      </c>
      <c r="C104" s="0" t="str">
        <f aca="false">IF(ISBLANK(B104),,B104&amp;", ")</f>
        <v>Megahorn,</v>
      </c>
      <c r="D104" s="0" t="str">
        <f aca="false" t="array" ref="D104:D104">IF(ISBLANK(B104),,INDEX('0.2.1 Move Compare'!$B$2:$B1011,MATCH(B104,'0.2.1 Move Compare'!$A$2:$A1011,0)))</f>
        <v>Bug</v>
      </c>
      <c r="E104" s="0" t="n">
        <f aca="false" t="array" ref="E104:E104">IF(ISBLANK(B104),,IF(INDEX('0.1.2 Attack Dex (GO)'!C97:C1011,MATCH(B104,'0.1.2 Attack Dex (GO)'!A97:A1011,0))="Fast",1,0))</f>
        <v>0</v>
      </c>
      <c r="F104" s="0" t="e">
        <f aca="true">IF(OR($E$1=0,ISBLANK(B104)),,COUNTIF(INDIRECT("'0.0.2 Pokémon Learnset (Core)'!D$"&amp;$E$2&amp;":FG$"&amp;$E$2),B104))</f>
        <v>#VALUE!</v>
      </c>
      <c r="G104" s="0" t="e">
        <f aca="true">IF(ISBLANK(F104),,COUNTIF(INDIRECT("'0.1.1 Pokémon GO Moves'!C"&amp;$E$3&amp;":R$"&amp;$E$3),B104))</f>
        <v>#N/A</v>
      </c>
      <c r="H104" s="0" t="e">
        <f aca="false">IF(ISBLANK(F104),,IF(OR(D104=$B$2,D104=$B$3),1,0))</f>
        <v>#N/A</v>
      </c>
      <c r="J104" s="0" t="str">
        <v>Horn Leech</v>
      </c>
      <c r="K104" s="0" t="str">
        <f aca="false">IF(ISBLANK(J104),,J104&amp;", ")</f>
        <v>Horn Leech,</v>
      </c>
      <c r="L104" s="0" t="str">
        <f aca="false" t="array" ref="L104:L104">IF(ISBLANK(J104),,INDEX('0.2.1 Move Compare'!$B$2:$B1011,MATCH(J104,'0.2.1 Move Compare'!$A$2:$A1011,0)))</f>
        <v>Grass</v>
      </c>
      <c r="M104" s="0" t="e">
        <f aca="true">IF(OR($E$1=0,ISBLANK(J104)),,COUNTIF(INDIRECT("'0.0.2 Pokémon Learnset (Core)'!D$"&amp;$E$2&amp;":FG$"&amp;$E$2),J104))</f>
        <v>#VALUE!</v>
      </c>
      <c r="N104" s="0" t="e">
        <f aca="false">IF(ISBLANK(J104),,IF(OR(L104=$B$2,L104=$B$3),1,0))</f>
        <v>#N/A</v>
      </c>
    </row>
    <row r="105" customFormat="false" ht="15.75" hidden="false" customHeight="false" outlineLevel="0" collapsed="false">
      <c r="B105" s="0" t="str">
        <v>Metal Claw</v>
      </c>
      <c r="C105" s="0" t="str">
        <f aca="false">IF(ISBLANK(B105),,B105&amp;", ")</f>
        <v>Metal Claw,</v>
      </c>
      <c r="D105" s="0" t="str">
        <f aca="false" t="array" ref="D105:D105">IF(ISBLANK(B105),,INDEX('0.2.1 Move Compare'!$B$2:$B1011,MATCH(B105,'0.2.1 Move Compare'!$A$2:$A1011,0)))</f>
        <v>Steel</v>
      </c>
      <c r="E105" s="0" t="n">
        <f aca="false" t="array" ref="E105:E105">IF(ISBLANK(B105),,IF(INDEX('0.1.2 Attack Dex (GO)'!C98:C1011,MATCH(B105,'0.1.2 Attack Dex (GO)'!A98:A1011,0))="Fast",1,0))</f>
        <v>1</v>
      </c>
      <c r="F105" s="0" t="e">
        <f aca="true">IF(OR($E$1=0,ISBLANK(B105)),,COUNTIF(INDIRECT("'0.0.2 Pokémon Learnset (Core)'!D$"&amp;$E$2&amp;":FG$"&amp;$E$2),B105))</f>
        <v>#VALUE!</v>
      </c>
      <c r="G105" s="0" t="e">
        <f aca="true">IF(ISBLANK(F105),,COUNTIF(INDIRECT("'0.1.1 Pokémon GO Moves'!C"&amp;$E$3&amp;":R$"&amp;$E$3),B105))</f>
        <v>#N/A</v>
      </c>
      <c r="H105" s="0" t="e">
        <f aca="false">IF(ISBLANK(F105),,IF(OR(D105=$B$2,D105=$B$3),1,0))</f>
        <v>#N/A</v>
      </c>
      <c r="J105" s="0" t="str">
        <v>Hydro Cannon</v>
      </c>
      <c r="K105" s="0" t="str">
        <f aca="false">IF(ISBLANK(J105),,J105&amp;", ")</f>
        <v>Hydro Cannon,</v>
      </c>
      <c r="L105" s="0" t="str">
        <f aca="false" t="array" ref="L105:L105">IF(ISBLANK(J105),,INDEX('0.2.1 Move Compare'!$B$2:$B1011,MATCH(J105,'0.2.1 Move Compare'!$A$2:$A1011,0)))</f>
        <v>Water</v>
      </c>
      <c r="M105" s="0" t="e">
        <f aca="true">IF(OR($E$1=0,ISBLANK(J105)),,COUNTIF(INDIRECT("'0.0.2 Pokémon Learnset (Core)'!D$"&amp;$E$2&amp;":FG$"&amp;$E$2),J105))</f>
        <v>#VALUE!</v>
      </c>
      <c r="N105" s="0" t="e">
        <f aca="false">IF(ISBLANK(J105),,IF(OR(L105=$B$2,L105=$B$3),1,0))</f>
        <v>#N/A</v>
      </c>
    </row>
    <row r="106" customFormat="false" ht="15.75" hidden="false" customHeight="false" outlineLevel="0" collapsed="false">
      <c r="B106" s="0" t="str">
        <v>Mirror Coat</v>
      </c>
      <c r="C106" s="0" t="str">
        <f aca="false">IF(ISBLANK(B106),,B106&amp;", ")</f>
        <v>Mirror Coat,</v>
      </c>
      <c r="D106" s="0" t="str">
        <f aca="false" t="array" ref="D106:D106">IF(ISBLANK(B106),,INDEX('0.2.1 Move Compare'!$B$2:$B1011,MATCH(B106,'0.2.1 Move Compare'!$A$2:$A1011,0)))</f>
        <v>Psychic</v>
      </c>
      <c r="E106" s="0" t="n">
        <f aca="false" t="array" ref="E106:E106">IF(ISBLANK(B106),,IF(INDEX('0.1.2 Attack Dex (GO)'!C99:C1011,MATCH(B106,'0.1.2 Attack Dex (GO)'!A99:A1011,0))="Fast",1,0))</f>
        <v>0</v>
      </c>
      <c r="F106" s="0" t="e">
        <f aca="true">IF(OR($E$1=0,ISBLANK(B106)),,COUNTIF(INDIRECT("'0.0.2 Pokémon Learnset (Core)'!D$"&amp;$E$2&amp;":FG$"&amp;$E$2),B106))</f>
        <v>#VALUE!</v>
      </c>
      <c r="G106" s="0" t="e">
        <f aca="true">IF(ISBLANK(F106),,COUNTIF(INDIRECT("'0.1.1 Pokémon GO Moves'!C"&amp;$E$3&amp;":R$"&amp;$E$3),B106))</f>
        <v>#N/A</v>
      </c>
      <c r="H106" s="0" t="e">
        <f aca="false">IF(ISBLANK(F106),,IF(OR(D106=$B$2,D106=$B$3),1,0))</f>
        <v>#N/A</v>
      </c>
      <c r="J106" s="0" t="str">
        <v>Hyper Voice</v>
      </c>
      <c r="K106" s="0" t="str">
        <f aca="false">IF(ISBLANK(J106),,J106&amp;", ")</f>
        <v>Hyper Voice,</v>
      </c>
      <c r="L106" s="0" t="str">
        <f aca="false" t="array" ref="L106:L106">IF(ISBLANK(J106),,INDEX('0.2.1 Move Compare'!$B$2:$B1011,MATCH(J106,'0.2.1 Move Compare'!$A$2:$A1011,0)))</f>
        <v>Normal</v>
      </c>
      <c r="M106" s="0" t="e">
        <f aca="true">IF(OR($E$1=0,ISBLANK(J106)),,COUNTIF(INDIRECT("'0.0.2 Pokémon Learnset (Core)'!D$"&amp;$E$2&amp;":FG$"&amp;$E$2),J106))</f>
        <v>#VALUE!</v>
      </c>
      <c r="N106" s="0" t="e">
        <f aca="false">IF(ISBLANK(J106),,IF(OR(L106=$B$2,L106=$B$3),1,0))</f>
        <v>#N/A</v>
      </c>
    </row>
    <row r="107" customFormat="false" ht="15.75" hidden="false" customHeight="false" outlineLevel="0" collapsed="false">
      <c r="B107" s="0" t="str">
        <v>Moonblast</v>
      </c>
      <c r="C107" s="0" t="str">
        <f aca="false">IF(ISBLANK(B107),,B107&amp;", ")</f>
        <v>Moonblast,</v>
      </c>
      <c r="D107" s="0" t="str">
        <f aca="false" t="array" ref="D107:D107">IF(ISBLANK(B107),,INDEX('0.2.1 Move Compare'!$B$2:$B1011,MATCH(B107,'0.2.1 Move Compare'!$A$2:$A1011,0)))</f>
        <v>Fairy</v>
      </c>
      <c r="E107" s="0" t="n">
        <f aca="false" t="array" ref="E107:E107">IF(ISBLANK(B107),,IF(INDEX('0.1.2 Attack Dex (GO)'!C100:C1011,MATCH(B107,'0.1.2 Attack Dex (GO)'!A100:A1011,0))="Fast",1,0))</f>
        <v>0</v>
      </c>
      <c r="F107" s="0" t="e">
        <f aca="true">IF(OR($E$1=0,ISBLANK(B107)),,COUNTIF(INDIRECT("'0.0.2 Pokémon Learnset (Core)'!D$"&amp;$E$2&amp;":FG$"&amp;$E$2),B107))</f>
        <v>#VALUE!</v>
      </c>
      <c r="G107" s="0" t="e">
        <f aca="true">IF(ISBLANK(F107),,COUNTIF(INDIRECT("'0.1.1 Pokémon GO Moves'!C"&amp;$E$3&amp;":R$"&amp;$E$3),B107))</f>
        <v>#N/A</v>
      </c>
      <c r="H107" s="0" t="e">
        <f aca="false">IF(ISBLANK(F107),,IF(OR(D107=$B$2,D107=$B$3),1,0))</f>
        <v>#N/A</v>
      </c>
      <c r="J107" s="0" t="str">
        <v>Hyperspace Fury</v>
      </c>
      <c r="K107" s="0" t="str">
        <f aca="false">IF(ISBLANK(J107),,J107&amp;", ")</f>
        <v>Hyperspace Fury,</v>
      </c>
      <c r="L107" s="0" t="str">
        <f aca="false" t="array" ref="L107:L107">IF(ISBLANK(J107),,INDEX('0.2.1 Move Compare'!$B$2:$B1011,MATCH(J107,'0.2.1 Move Compare'!$A$2:$A1011,0)))</f>
        <v>Dark</v>
      </c>
      <c r="M107" s="0" t="e">
        <f aca="true">IF(OR($E$1=0,ISBLANK(J107)),,COUNTIF(INDIRECT("'0.0.2 Pokémon Learnset (Core)'!D$"&amp;$E$2&amp;":FG$"&amp;$E$2),J107))</f>
        <v>#VALUE!</v>
      </c>
      <c r="N107" s="0" t="e">
        <f aca="false">IF(ISBLANK(J107),,IF(OR(L107=$B$2,L107=$B$3),1,0))</f>
        <v>#N/A</v>
      </c>
    </row>
    <row r="108" customFormat="false" ht="15.75" hidden="false" customHeight="false" outlineLevel="0" collapsed="false">
      <c r="B108" s="0" t="str">
        <v>Mud Bomb</v>
      </c>
      <c r="C108" s="0" t="str">
        <f aca="false">IF(ISBLANK(B108),,B108&amp;", ")</f>
        <v>Mud Bomb,</v>
      </c>
      <c r="D108" s="0" t="str">
        <f aca="false" t="array" ref="D108:D108">IF(ISBLANK(B108),,INDEX('0.2.1 Move Compare'!$B$2:$B1011,MATCH(B108,'0.2.1 Move Compare'!$A$2:$A1011,0)))</f>
        <v>Ground</v>
      </c>
      <c r="E108" s="0" t="n">
        <f aca="false" t="array" ref="E108:E108">IF(ISBLANK(B108),,IF(INDEX('0.1.2 Attack Dex (GO)'!C101:C1011,MATCH(B108,'0.1.2 Attack Dex (GO)'!A101:A1011,0))="Fast",1,0))</f>
        <v>0</v>
      </c>
      <c r="F108" s="0" t="e">
        <f aca="true">IF(OR($E$1=0,ISBLANK(B108)),,COUNTIF(INDIRECT("'0.0.2 Pokémon Learnset (Core)'!D$"&amp;$E$2&amp;":FG$"&amp;$E$2),B108))</f>
        <v>#VALUE!</v>
      </c>
      <c r="G108" s="0" t="e">
        <f aca="true">IF(ISBLANK(F108),,COUNTIF(INDIRECT("'0.1.1 Pokémon GO Moves'!C"&amp;$E$3&amp;":R$"&amp;$E$3),B108))</f>
        <v>#N/A</v>
      </c>
      <c r="H108" s="0" t="e">
        <f aca="false">IF(ISBLANK(F108),,IF(OR(D108=$B$2,D108=$B$3),1,0))</f>
        <v>#N/A</v>
      </c>
      <c r="J108" s="0" t="str">
        <v>Hyperspace Hole</v>
      </c>
      <c r="K108" s="0" t="str">
        <f aca="false">IF(ISBLANK(J108),,J108&amp;", ")</f>
        <v>Hyperspace Hole,</v>
      </c>
      <c r="L108" s="0" t="str">
        <f aca="false" t="array" ref="L108:L108">IF(ISBLANK(J108),,INDEX('0.2.1 Move Compare'!$B$2:$B1011,MATCH(J108,'0.2.1 Move Compare'!$A$2:$A1011,0)))</f>
        <v>Psychic</v>
      </c>
      <c r="M108" s="0" t="e">
        <f aca="true">IF(OR($E$1=0,ISBLANK(J108)),,COUNTIF(INDIRECT("'0.0.2 Pokémon Learnset (Core)'!D$"&amp;$E$2&amp;":FG$"&amp;$E$2),J108))</f>
        <v>#VALUE!</v>
      </c>
      <c r="N108" s="0" t="e">
        <f aca="false">IF(ISBLANK(J108),,IF(OR(L108=$B$2,L108=$B$3),1,0))</f>
        <v>#N/A</v>
      </c>
    </row>
    <row r="109" customFormat="false" ht="15.75" hidden="false" customHeight="false" outlineLevel="0" collapsed="false">
      <c r="B109" s="0" t="str">
        <v>Mud Shot</v>
      </c>
      <c r="C109" s="0" t="str">
        <f aca="false">IF(ISBLANK(B109),,B109&amp;", ")</f>
        <v>Mud Shot,</v>
      </c>
      <c r="D109" s="0" t="str">
        <f aca="false" t="array" ref="D109:D109">IF(ISBLANK(B109),,INDEX('0.2.1 Move Compare'!$B$2:$B1011,MATCH(B109,'0.2.1 Move Compare'!$A$2:$A1011,0)))</f>
        <v>Ground</v>
      </c>
      <c r="E109" s="0" t="n">
        <f aca="false" t="array" ref="E109:E109">IF(ISBLANK(B109),,IF(INDEX('0.1.2 Attack Dex (GO)'!C102:C1011,MATCH(B109,'0.1.2 Attack Dex (GO)'!A102:A1011,0))="Fast",1,0))</f>
        <v>1</v>
      </c>
      <c r="F109" s="0" t="e">
        <f aca="true">IF(OR($E$1=0,ISBLANK(B109)),,COUNTIF(INDIRECT("'0.0.2 Pokémon Learnset (Core)'!D$"&amp;$E$2&amp;":FG$"&amp;$E$2),B109))</f>
        <v>#VALUE!</v>
      </c>
      <c r="G109" s="0" t="e">
        <f aca="true">IF(ISBLANK(F109),,COUNTIF(INDIRECT("'0.1.1 Pokémon GO Moves'!C"&amp;$E$3&amp;":R$"&amp;$E$3),B109))</f>
        <v>#N/A</v>
      </c>
      <c r="H109" s="0" t="e">
        <f aca="false">IF(ISBLANK(F109),,IF(OR(D109=$B$2,D109=$B$3),1,0))</f>
        <v>#N/A</v>
      </c>
      <c r="J109" s="0" t="str">
        <v>Ice Ball</v>
      </c>
      <c r="K109" s="0" t="str">
        <f aca="false">IF(ISBLANK(J109),,J109&amp;", ")</f>
        <v>Ice Ball,</v>
      </c>
      <c r="L109" s="0" t="str">
        <f aca="false" t="array" ref="L109:L109">IF(ISBLANK(J109),,INDEX('0.2.1 Move Compare'!$B$2:$B1011,MATCH(J109,'0.2.1 Move Compare'!$A$2:$A1011,0)))</f>
        <v>Ice</v>
      </c>
      <c r="M109" s="0" t="e">
        <f aca="true">IF(OR($E$1=0,ISBLANK(J109)),,COUNTIF(INDIRECT("'0.0.2 Pokémon Learnset (Core)'!D$"&amp;$E$2&amp;":FG$"&amp;$E$2),J109))</f>
        <v>#VALUE!</v>
      </c>
      <c r="N109" s="0" t="e">
        <f aca="false">IF(ISBLANK(J109),,IF(OR(L109=$B$2,L109=$B$3),1,0))</f>
        <v>#N/A</v>
      </c>
    </row>
    <row r="110" customFormat="false" ht="15.75" hidden="false" customHeight="false" outlineLevel="0" collapsed="false">
      <c r="B110" s="0" t="str">
        <v>Mud-Slap</v>
      </c>
      <c r="C110" s="0" t="str">
        <f aca="false">IF(ISBLANK(B110),,B110&amp;", ")</f>
        <v>Mud-Slap,</v>
      </c>
      <c r="D110" s="0" t="str">
        <f aca="false" t="array" ref="D110:D110">IF(ISBLANK(B110),,INDEX('0.2.1 Move Compare'!$B$2:$B1011,MATCH(B110,'0.2.1 Move Compare'!$A$2:$A1011,0)))</f>
        <v>Ground</v>
      </c>
      <c r="E110" s="0" t="n">
        <f aca="false" t="array" ref="E110:E110">IF(ISBLANK(B110),,IF(INDEX('0.1.2 Attack Dex (GO)'!C103:C1011,MATCH(B110,'0.1.2 Attack Dex (GO)'!A103:A1011,0))="Fast",1,0))</f>
        <v>1</v>
      </c>
      <c r="F110" s="0" t="e">
        <f aca="true">IF(OR($E$1=0,ISBLANK(B110)),,COUNTIF(INDIRECT("'0.0.2 Pokémon Learnset (Core)'!D$"&amp;$E$2&amp;":FG$"&amp;$E$2),B110))</f>
        <v>#VALUE!</v>
      </c>
      <c r="G110" s="0" t="e">
        <f aca="true">IF(ISBLANK(F110),,COUNTIF(INDIRECT("'0.1.1 Pokémon GO Moves'!C"&amp;$E$3&amp;":R$"&amp;$E$3),B110))</f>
        <v>#N/A</v>
      </c>
      <c r="H110" s="0" t="e">
        <f aca="false">IF(ISBLANK(F110),,IF(OR(D110=$B$2,D110=$B$3),1,0))</f>
        <v>#N/A</v>
      </c>
      <c r="J110" s="0" t="str">
        <v>Ice Burn</v>
      </c>
      <c r="K110" s="0" t="str">
        <f aca="false">IF(ISBLANK(J110),,J110&amp;", ")</f>
        <v>Ice Burn,</v>
      </c>
      <c r="L110" s="0" t="str">
        <f aca="false" t="array" ref="L110:L110">IF(ISBLANK(J110),,INDEX('0.2.1 Move Compare'!$B$2:$B1011,MATCH(J110,'0.2.1 Move Compare'!$A$2:$A1011,0)))</f>
        <v>Ice</v>
      </c>
      <c r="M110" s="0" t="e">
        <f aca="true">IF(OR($E$1=0,ISBLANK(J110)),,COUNTIF(INDIRECT("'0.0.2 Pokémon Learnset (Core)'!D$"&amp;$E$2&amp;":FG$"&amp;$E$2),J110))</f>
        <v>#VALUE!</v>
      </c>
      <c r="N110" s="0" t="e">
        <f aca="false">IF(ISBLANK(J110),,IF(OR(L110=$B$2,L110=$B$3),1,0))</f>
        <v>#N/A</v>
      </c>
    </row>
    <row r="111" customFormat="false" ht="15.75" hidden="false" customHeight="false" outlineLevel="0" collapsed="false">
      <c r="B111" s="0" t="str">
        <v>Night Shade</v>
      </c>
      <c r="C111" s="0" t="str">
        <f aca="false">IF(ISBLANK(B111),,B111&amp;", ")</f>
        <v>Night Shade,</v>
      </c>
      <c r="D111" s="0" t="str">
        <f aca="false" t="array" ref="D111:D111">IF(ISBLANK(B111),,INDEX('0.2.1 Move Compare'!$B$2:$B1011,MATCH(B111,'0.2.1 Move Compare'!$A$2:$A1011,0)))</f>
        <v>Ghost</v>
      </c>
      <c r="E111" s="0" t="n">
        <f aca="false" t="array" ref="E111:E111">IF(ISBLANK(B111),,IF(INDEX('0.1.2 Attack Dex (GO)'!C104:C1011,MATCH(B111,'0.1.2 Attack Dex (GO)'!A104:A1011,0))="Fast",1,0))</f>
        <v>0</v>
      </c>
      <c r="F111" s="0" t="e">
        <f aca="true">IF(OR($E$1=0,ISBLANK(B111)),,COUNTIF(INDIRECT("'0.0.2 Pokémon Learnset (Core)'!D$"&amp;$E$2&amp;":FG$"&amp;$E$2),B111))</f>
        <v>#VALUE!</v>
      </c>
      <c r="G111" s="0" t="e">
        <f aca="true">IF(ISBLANK(F111),,COUNTIF(INDIRECT("'0.1.1 Pokémon GO Moves'!C"&amp;$E$3&amp;":R$"&amp;$E$3),B111))</f>
        <v>#N/A</v>
      </c>
      <c r="H111" s="0" t="e">
        <f aca="false">IF(ISBLANK(F111),,IF(OR(D111=$B$2,D111=$B$3),1,0))</f>
        <v>#N/A</v>
      </c>
      <c r="J111" s="0" t="str">
        <v>Ice Fang</v>
      </c>
      <c r="K111" s="0" t="str">
        <f aca="false">IF(ISBLANK(J111),,J111&amp;", ")</f>
        <v>Ice Fang,</v>
      </c>
      <c r="L111" s="0" t="str">
        <f aca="false" t="array" ref="L111:L111">IF(ISBLANK(J111),,INDEX('0.2.1 Move Compare'!$B$2:$B1011,MATCH(J111,'0.2.1 Move Compare'!$A$2:$A1011,0)))</f>
        <v>Ice</v>
      </c>
      <c r="M111" s="0" t="e">
        <f aca="true">IF(OR($E$1=0,ISBLANK(J111)),,COUNTIF(INDIRECT("'0.0.2 Pokémon Learnset (Core)'!D$"&amp;$E$2&amp;":FG$"&amp;$E$2),J111))</f>
        <v>#VALUE!</v>
      </c>
      <c r="N111" s="0" t="e">
        <f aca="false">IF(ISBLANK(J111),,IF(OR(L111=$B$2,L111=$B$3),1,0))</f>
        <v>#N/A</v>
      </c>
    </row>
    <row r="112" customFormat="false" ht="15.75" hidden="false" customHeight="false" outlineLevel="0" collapsed="false">
      <c r="B112" s="0" t="str">
        <v>Night Slash</v>
      </c>
      <c r="C112" s="0" t="str">
        <f aca="false">IF(ISBLANK(B112),,B112&amp;", ")</f>
        <v>Night Slash,</v>
      </c>
      <c r="D112" s="0" t="str">
        <f aca="false" t="array" ref="D112:D112">IF(ISBLANK(B112),,INDEX('0.2.1 Move Compare'!$B$2:$B1011,MATCH(B112,'0.2.1 Move Compare'!$A$2:$A1011,0)))</f>
        <v>Dark</v>
      </c>
      <c r="E112" s="0" t="n">
        <f aca="false" t="array" ref="E112:E112">IF(ISBLANK(B112),,IF(INDEX('0.1.2 Attack Dex (GO)'!C105:C1011,MATCH(B112,'0.1.2 Attack Dex (GO)'!A105:A1011,0))="Fast",1,0))</f>
        <v>0</v>
      </c>
      <c r="F112" s="0" t="e">
        <f aca="true">IF(OR($E$1=0,ISBLANK(B112)),,COUNTIF(INDIRECT("'0.0.2 Pokémon Learnset (Core)'!D$"&amp;$E$2&amp;":FG$"&amp;$E$2),B112))</f>
        <v>#VALUE!</v>
      </c>
      <c r="G112" s="0" t="e">
        <f aca="true">IF(ISBLANK(F112),,COUNTIF(INDIRECT("'0.1.1 Pokémon GO Moves'!C"&amp;$E$3&amp;":R$"&amp;$E$3),B112))</f>
        <v>#N/A</v>
      </c>
      <c r="H112" s="0" t="e">
        <f aca="false">IF(ISBLANK(F112),,IF(OR(D112=$B$2,D112=$B$3),1,0))</f>
        <v>#N/A</v>
      </c>
      <c r="J112" s="0" t="str">
        <v>Ice Hammer</v>
      </c>
      <c r="K112" s="0" t="str">
        <f aca="false">IF(ISBLANK(J112),,J112&amp;", ")</f>
        <v>Ice Hammer,</v>
      </c>
      <c r="L112" s="0" t="str">
        <f aca="false" t="array" ref="L112:L112">IF(ISBLANK(J112),,INDEX('0.2.1 Move Compare'!$B$2:$B1011,MATCH(J112,'0.2.1 Move Compare'!$A$2:$A1011,0)))</f>
        <v>Ice</v>
      </c>
      <c r="M112" s="0" t="e">
        <f aca="true">IF(OR($E$1=0,ISBLANK(J112)),,COUNTIF(INDIRECT("'0.0.2 Pokémon Learnset (Core)'!D$"&amp;$E$2&amp;":FG$"&amp;$E$2),J112))</f>
        <v>#VALUE!</v>
      </c>
      <c r="N112" s="0" t="e">
        <f aca="false">IF(ISBLANK(J112),,IF(OR(L112=$B$2,L112=$B$3),1,0))</f>
        <v>#N/A</v>
      </c>
    </row>
    <row r="113" customFormat="false" ht="15.75" hidden="false" customHeight="false" outlineLevel="0" collapsed="false">
      <c r="B113" s="0" t="str">
        <v>Ominous Wind</v>
      </c>
      <c r="C113" s="0" t="str">
        <f aca="false">IF(ISBLANK(B113),,B113&amp;", ")</f>
        <v>Ominous Wind,</v>
      </c>
      <c r="D113" s="0" t="str">
        <f aca="false" t="array" ref="D113:D113">IF(ISBLANK(B113),,INDEX('0.2.1 Move Compare'!$B$2:$B1011,MATCH(B113,'0.2.1 Move Compare'!$A$2:$A1011,0)))</f>
        <v>Ghost</v>
      </c>
      <c r="E113" s="0" t="n">
        <f aca="false" t="array" ref="E113:E113">IF(ISBLANK(B113),,IF(INDEX('0.1.2 Attack Dex (GO)'!C106:C1011,MATCH(B113,'0.1.2 Attack Dex (GO)'!A106:A1011,0))="Fast",1,0))</f>
        <v>0</v>
      </c>
      <c r="F113" s="0" t="e">
        <f aca="true">IF(OR($E$1=0,ISBLANK(B113)),,COUNTIF(INDIRECT("'0.0.2 Pokémon Learnset (Core)'!D$"&amp;$E$2&amp;":FG$"&amp;$E$2),B113))</f>
        <v>#VALUE!</v>
      </c>
      <c r="G113" s="0" t="e">
        <f aca="true">IF(ISBLANK(F113),,COUNTIF(INDIRECT("'0.1.1 Pokémon GO Moves'!C"&amp;$E$3&amp;":R$"&amp;$E$3),B113))</f>
        <v>#N/A</v>
      </c>
      <c r="H113" s="0" t="e">
        <f aca="false">IF(ISBLANK(F113),,IF(OR(D113=$B$2,D113=$B$3),1,0))</f>
        <v>#N/A</v>
      </c>
      <c r="J113" s="0" t="str">
        <v>Icicle Crash</v>
      </c>
      <c r="K113" s="0" t="str">
        <f aca="false">IF(ISBLANK(J113),,J113&amp;", ")</f>
        <v>Icicle Crash,</v>
      </c>
      <c r="L113" s="0" t="str">
        <f aca="false" t="array" ref="L113:L113">IF(ISBLANK(J113),,INDEX('0.2.1 Move Compare'!$B$2:$B1011,MATCH(J113,'0.2.1 Move Compare'!$A$2:$A1011,0)))</f>
        <v>Ice</v>
      </c>
      <c r="M113" s="0" t="e">
        <f aca="true">IF(OR($E$1=0,ISBLANK(J113)),,COUNTIF(INDIRECT("'0.0.2 Pokémon Learnset (Core)'!D$"&amp;$E$2&amp;":FG$"&amp;$E$2),J113))</f>
        <v>#VALUE!</v>
      </c>
      <c r="N113" s="0" t="e">
        <f aca="false">IF(ISBLANK(J113),,IF(OR(L113=$B$2,L113=$B$3),1,0))</f>
        <v>#N/A</v>
      </c>
    </row>
    <row r="114" customFormat="false" ht="15.75" hidden="false" customHeight="false" outlineLevel="0" collapsed="false">
      <c r="B114" s="0" t="str">
        <v>Origin Pulse</v>
      </c>
      <c r="C114" s="0" t="str">
        <f aca="false">IF(ISBLANK(B114),,B114&amp;", ")</f>
        <v>Origin Pulse,</v>
      </c>
      <c r="D114" s="0" t="str">
        <f aca="false" t="array" ref="D114:D114">IF(ISBLANK(B114),,INDEX('0.2.1 Move Compare'!$B$2:$B1011,MATCH(B114,'0.2.1 Move Compare'!$A$2:$A1011,0)))</f>
        <v>Water</v>
      </c>
      <c r="E114" s="0" t="n">
        <f aca="false" t="array" ref="E114:E114">IF(ISBLANK(B114),,IF(INDEX('0.1.2 Attack Dex (GO)'!C107:C1011,MATCH(B114,'0.1.2 Attack Dex (GO)'!A107:A1011,0))="Fast",1,0))</f>
        <v>0</v>
      </c>
      <c r="F114" s="0" t="e">
        <f aca="true">IF(OR($E$1=0,ISBLANK(B114)),,COUNTIF(INDIRECT("'0.0.2 Pokémon Learnset (Core)'!D$"&amp;$E$2&amp;":FG$"&amp;$E$2),B114))</f>
        <v>#VALUE!</v>
      </c>
      <c r="G114" s="0" t="e">
        <f aca="true">IF(ISBLANK(F114),,COUNTIF(INDIRECT("'0.1.1 Pokémon GO Moves'!C"&amp;$E$3&amp;":R$"&amp;$E$3),B114))</f>
        <v>#N/A</v>
      </c>
      <c r="H114" s="0" t="e">
        <f aca="false">IF(ISBLANK(F114),,IF(OR(D114=$B$2,D114=$B$3),1,0))</f>
        <v>#N/A</v>
      </c>
      <c r="J114" s="0" t="str">
        <v>Icicle Spear</v>
      </c>
      <c r="K114" s="0" t="str">
        <f aca="false">IF(ISBLANK(J114),,J114&amp;", ")</f>
        <v>Icicle Spear,</v>
      </c>
      <c r="L114" s="0" t="str">
        <f aca="false" t="array" ref="L114:L114">IF(ISBLANK(J114),,INDEX('0.2.1 Move Compare'!$B$2:$B1011,MATCH(J114,'0.2.1 Move Compare'!$A$2:$A1011,0)))</f>
        <v>Ice</v>
      </c>
      <c r="M114" s="0" t="e">
        <f aca="true">IF(OR($E$1=0,ISBLANK(J114)),,COUNTIF(INDIRECT("'0.0.2 Pokémon Learnset (Core)'!D$"&amp;$E$2&amp;":FG$"&amp;$E$2),J114))</f>
        <v>#VALUE!</v>
      </c>
      <c r="N114" s="0" t="e">
        <f aca="false">IF(ISBLANK(J114),,IF(OR(L114=$B$2,L114=$B$3),1,0))</f>
        <v>#N/A</v>
      </c>
    </row>
    <row r="115" customFormat="false" ht="15.75" hidden="false" customHeight="false" outlineLevel="0" collapsed="false">
      <c r="B115" s="0" t="str">
        <v>Outrage</v>
      </c>
      <c r="C115" s="0" t="str">
        <f aca="false">IF(ISBLANK(B115),,B115&amp;", ")</f>
        <v>Outrage,</v>
      </c>
      <c r="D115" s="0" t="str">
        <f aca="false" t="array" ref="D115:D115">IF(ISBLANK(B115),,INDEX('0.2.1 Move Compare'!$B$2:$B1011,MATCH(B115,'0.2.1 Move Compare'!$A$2:$A1011,0)))</f>
        <v>Dragon</v>
      </c>
      <c r="E115" s="0" t="n">
        <f aca="false" t="array" ref="E115:E115">IF(ISBLANK(B115),,IF(INDEX('0.1.2 Attack Dex (GO)'!C108:C1011,MATCH(B115,'0.1.2 Attack Dex (GO)'!A108:A1011,0))="Fast",1,0))</f>
        <v>0</v>
      </c>
      <c r="F115" s="0" t="e">
        <f aca="true">IF(OR($E$1=0,ISBLANK(B115)),,COUNTIF(INDIRECT("'0.0.2 Pokémon Learnset (Core)'!D$"&amp;$E$2&amp;":FG$"&amp;$E$2),B115))</f>
        <v>#VALUE!</v>
      </c>
      <c r="G115" s="0" t="e">
        <f aca="true">IF(ISBLANK(F115),,COUNTIF(INDIRECT("'0.1.1 Pokémon GO Moves'!C"&amp;$E$3&amp;":R$"&amp;$E$3),B115))</f>
        <v>#N/A</v>
      </c>
      <c r="H115" s="0" t="e">
        <f aca="false">IF(ISBLANK(F115),,IF(OR(D115=$B$2,D115=$B$3),1,0))</f>
        <v>#N/A</v>
      </c>
      <c r="J115" s="0" t="str">
        <v>Incinerate</v>
      </c>
      <c r="K115" s="0" t="str">
        <f aca="false">IF(ISBLANK(J115),,J115&amp;", ")</f>
        <v>Incinerate,</v>
      </c>
      <c r="L115" s="0" t="str">
        <f aca="false" t="array" ref="L115:L115">IF(ISBLANK(J115),,INDEX('0.2.1 Move Compare'!$B$2:$B1011,MATCH(J115,'0.2.1 Move Compare'!$A$2:$A1011,0)))</f>
        <v>Fire</v>
      </c>
      <c r="M115" s="0" t="e">
        <f aca="true">IF(OR($E$1=0,ISBLANK(J115)),,COUNTIF(INDIRECT("'0.0.2 Pokémon Learnset (Core)'!D$"&amp;$E$2&amp;":FG$"&amp;$E$2),J115))</f>
        <v>#VALUE!</v>
      </c>
      <c r="N115" s="0" t="e">
        <f aca="false">IF(ISBLANK(J115),,IF(OR(L115=$B$2,L115=$B$3),1,0))</f>
        <v>#N/A</v>
      </c>
    </row>
    <row r="116" customFormat="false" ht="15.75" hidden="false" customHeight="false" outlineLevel="0" collapsed="false">
      <c r="B116" s="0" t="str">
        <v>Overheat</v>
      </c>
      <c r="C116" s="0" t="str">
        <f aca="false">IF(ISBLANK(B116),,B116&amp;", ")</f>
        <v>Overheat,</v>
      </c>
      <c r="D116" s="0" t="str">
        <f aca="false" t="array" ref="D116:D116">IF(ISBLANK(B116),,INDEX('0.2.1 Move Compare'!$B$2:$B1011,MATCH(B116,'0.2.1 Move Compare'!$A$2:$A1011,0)))</f>
        <v>Fire</v>
      </c>
      <c r="E116" s="0" t="n">
        <f aca="false" t="array" ref="E116:E116">IF(ISBLANK(B116),,IF(INDEX('0.1.2 Attack Dex (GO)'!C109:C1011,MATCH(B116,'0.1.2 Attack Dex (GO)'!A109:A1011,0))="Fast",1,0))</f>
        <v>0</v>
      </c>
      <c r="F116" s="0" t="e">
        <f aca="true">IF(OR($E$1=0,ISBLANK(B116)),,COUNTIF(INDIRECT("'0.0.2 Pokémon Learnset (Core)'!D$"&amp;$E$2&amp;":FG$"&amp;$E$2),B116))</f>
        <v>#VALUE!</v>
      </c>
      <c r="G116" s="0" t="e">
        <f aca="true">IF(ISBLANK(F116),,COUNTIF(INDIRECT("'0.1.1 Pokémon GO Moves'!C"&amp;$E$3&amp;":R$"&amp;$E$3),B116))</f>
        <v>#N/A</v>
      </c>
      <c r="H116" s="0" t="e">
        <f aca="false">IF(ISBLANK(F116),,IF(OR(D116=$B$2,D116=$B$3),1,0))</f>
        <v>#N/A</v>
      </c>
      <c r="J116" s="0" t="str">
        <v>Inferno</v>
      </c>
      <c r="K116" s="0" t="str">
        <f aca="false">IF(ISBLANK(J116),,J116&amp;", ")</f>
        <v>Inferno,</v>
      </c>
      <c r="L116" s="0" t="str">
        <f aca="false" t="array" ref="L116:L116">IF(ISBLANK(J116),,INDEX('0.2.1 Move Compare'!$B$2:$B1011,MATCH(J116,'0.2.1 Move Compare'!$A$2:$A1011,0)))</f>
        <v>Fire</v>
      </c>
      <c r="M116" s="0" t="e">
        <f aca="true">IF(OR($E$1=0,ISBLANK(J116)),,COUNTIF(INDIRECT("'0.0.2 Pokémon Learnset (Core)'!D$"&amp;$E$2&amp;":FG$"&amp;$E$2),J116))</f>
        <v>#VALUE!</v>
      </c>
      <c r="N116" s="0" t="e">
        <f aca="false">IF(ISBLANK(J116),,IF(OR(L116=$B$2,L116=$B$3),1,0))</f>
        <v>#N/A</v>
      </c>
    </row>
    <row r="117" customFormat="false" ht="15.75" hidden="false" customHeight="false" outlineLevel="0" collapsed="false">
      <c r="B117" s="0" t="str">
        <v>Parabolic Charge</v>
      </c>
      <c r="C117" s="0" t="str">
        <f aca="false">IF(ISBLANK(B117),,B117&amp;", ")</f>
        <v>Parabolic Charge,</v>
      </c>
      <c r="D117" s="0" t="str">
        <f aca="false" t="array" ref="D117:D117">IF(ISBLANK(B117),,INDEX('0.2.1 Move Compare'!$B$2:$B1011,MATCH(B117,'0.2.1 Move Compare'!$A$2:$A1011,0)))</f>
        <v>Electric</v>
      </c>
      <c r="E117" s="0" t="n">
        <f aca="false" t="array" ref="E117:E117">IF(ISBLANK(B117),,IF(INDEX('0.1.2 Attack Dex (GO)'!C110:C1011,MATCH(B117,'0.1.2 Attack Dex (GO)'!A110:A1011,0))="Fast",1,0))</f>
        <v>0</v>
      </c>
      <c r="F117" s="0" t="e">
        <f aca="true">IF(OR($E$1=0,ISBLANK(B117)),,COUNTIF(INDIRECT("'0.0.2 Pokémon Learnset (Core)'!D$"&amp;$E$2&amp;":FG$"&amp;$E$2),B117))</f>
        <v>#VALUE!</v>
      </c>
      <c r="G117" s="0" t="e">
        <f aca="true">IF(ISBLANK(F117),,COUNTIF(INDIRECT("'0.1.1 Pokémon GO Moves'!C"&amp;$E$3&amp;":R$"&amp;$E$3),B117))</f>
        <v>#N/A</v>
      </c>
      <c r="H117" s="0" t="e">
        <f aca="false">IF(ISBLANK(F117),,IF(OR(D117=$B$2,D117=$B$3),1,0))</f>
        <v>#N/A</v>
      </c>
      <c r="J117" s="0" t="str">
        <v>Judgment</v>
      </c>
      <c r="K117" s="0" t="str">
        <f aca="false">IF(ISBLANK(J117),,J117&amp;", ")</f>
        <v>Judgment,</v>
      </c>
      <c r="L117" s="0" t="str">
        <f aca="false" t="array" ref="L117:L117">IF(ISBLANK(J117),,INDEX('0.2.1 Move Compare'!$B$2:$B1011,MATCH(J117,'0.2.1 Move Compare'!$A$2:$A1011,0)))</f>
        <v>Empty</v>
      </c>
      <c r="M117" s="0" t="e">
        <f aca="true">IF(OR($E$1=0,ISBLANK(J117)),,COUNTIF(INDIRECT("'0.0.2 Pokémon Learnset (Core)'!D$"&amp;$E$2&amp;":FG$"&amp;$E$2),J117))</f>
        <v>#VALUE!</v>
      </c>
      <c r="N117" s="0" t="e">
        <f aca="false">IF(ISBLANK(J117),,IF(OR(L117=$B$2,L117=$B$3),1,0))</f>
        <v>#N/A</v>
      </c>
    </row>
    <row r="118" customFormat="false" ht="15.75" hidden="false" customHeight="false" outlineLevel="0" collapsed="false">
      <c r="B118" s="0" t="str">
        <v>Peck</v>
      </c>
      <c r="C118" s="0" t="str">
        <f aca="false">IF(ISBLANK(B118),,B118&amp;", ")</f>
        <v>Peck,</v>
      </c>
      <c r="D118" s="0" t="str">
        <f aca="false" t="array" ref="D118:D118">IF(ISBLANK(B118),,INDEX('0.2.1 Move Compare'!$B$2:$B1011,MATCH(B118,'0.2.1 Move Compare'!$A$2:$A1011,0)))</f>
        <v>Flying</v>
      </c>
      <c r="E118" s="0" t="n">
        <f aca="false" t="array" ref="E118:E118">IF(ISBLANK(B118),,IF(INDEX('0.1.2 Attack Dex (GO)'!C111:C1011,MATCH(B118,'0.1.2 Attack Dex (GO)'!A111:A1011,0))="Fast",1,0))</f>
        <v>1</v>
      </c>
      <c r="F118" s="0" t="e">
        <f aca="true">IF(OR($E$1=0,ISBLANK(B118)),,COUNTIF(INDIRECT("'0.0.2 Pokémon Learnset (Core)'!D$"&amp;$E$2&amp;":FG$"&amp;$E$2),B118))</f>
        <v>#VALUE!</v>
      </c>
      <c r="G118" s="0" t="e">
        <f aca="true">IF(ISBLANK(F118),,COUNTIF(INDIRECT("'0.1.1 Pokémon GO Moves'!C"&amp;$E$3&amp;":R$"&amp;$E$3),B118))</f>
        <v>#N/A</v>
      </c>
      <c r="H118" s="0" t="e">
        <f aca="false">IF(ISBLANK(F118),,IF(OR(D118=$B$2,D118=$B$3),1,0))</f>
        <v>#N/A</v>
      </c>
      <c r="J118" s="0" t="str">
        <v>Jump Kick</v>
      </c>
      <c r="K118" s="0" t="str">
        <f aca="false">IF(ISBLANK(J118),,J118&amp;", ")</f>
        <v>Jump Kick,</v>
      </c>
      <c r="L118" s="0" t="str">
        <f aca="false" t="array" ref="L118:L118">IF(ISBLANK(J118),,INDEX('0.2.1 Move Compare'!$B$2:$B1011,MATCH(J118,'0.2.1 Move Compare'!$A$2:$A1011,0)))</f>
        <v>Fighting</v>
      </c>
      <c r="M118" s="0" t="e">
        <f aca="true">IF(OR($E$1=0,ISBLANK(J118)),,COUNTIF(INDIRECT("'0.0.2 Pokémon Learnset (Core)'!D$"&amp;$E$2&amp;":FG$"&amp;$E$2),J118))</f>
        <v>#VALUE!</v>
      </c>
      <c r="N118" s="0" t="e">
        <f aca="false">IF(ISBLANK(J118),,IF(OR(L118=$B$2,L118=$B$3),1,0))</f>
        <v>#N/A</v>
      </c>
    </row>
    <row r="119" customFormat="false" ht="15.75" hidden="false" customHeight="false" outlineLevel="0" collapsed="false">
      <c r="B119" s="0" t="str">
        <v>Petal Blizzard</v>
      </c>
      <c r="C119" s="0" t="str">
        <f aca="false">IF(ISBLANK(B119),,B119&amp;", ")</f>
        <v>Petal Blizzard,</v>
      </c>
      <c r="D119" s="0" t="str">
        <f aca="false" t="array" ref="D119:D119">IF(ISBLANK(B119),,INDEX('0.2.1 Move Compare'!$B$2:$B1011,MATCH(B119,'0.2.1 Move Compare'!$A$2:$A1011,0)))</f>
        <v>Grass</v>
      </c>
      <c r="E119" s="0" t="n">
        <f aca="false" t="array" ref="E119:E119">IF(ISBLANK(B119),,IF(INDEX('0.1.2 Attack Dex (GO)'!C112:C1011,MATCH(B119,'0.1.2 Attack Dex (GO)'!A112:A1011,0))="Fast",1,0))</f>
        <v>0</v>
      </c>
      <c r="F119" s="0" t="e">
        <f aca="true">IF(OR($E$1=0,ISBLANK(B119)),,COUNTIF(INDIRECT("'0.0.2 Pokémon Learnset (Core)'!D$"&amp;$E$2&amp;":FG$"&amp;$E$2),B119))</f>
        <v>#VALUE!</v>
      </c>
      <c r="G119" s="0" t="e">
        <f aca="true">IF(ISBLANK(F119),,COUNTIF(INDIRECT("'0.1.1 Pokémon GO Moves'!C"&amp;$E$3&amp;":R$"&amp;$E$3),B119))</f>
        <v>#N/A</v>
      </c>
      <c r="H119" s="0" t="e">
        <f aca="false">IF(ISBLANK(F119),,IF(OR(D119=$B$2,D119=$B$3),1,0))</f>
        <v>#N/A</v>
      </c>
      <c r="J119" s="0" t="str">
        <v>Knock Off</v>
      </c>
      <c r="K119" s="0" t="str">
        <f aca="false">IF(ISBLANK(J119),,J119&amp;", ")</f>
        <v>Knock Off,</v>
      </c>
      <c r="L119" s="0" t="str">
        <f aca="false" t="array" ref="L119:L119">IF(ISBLANK(J119),,INDEX('0.2.1 Move Compare'!$B$2:$B1011,MATCH(J119,'0.2.1 Move Compare'!$A$2:$A1011,0)))</f>
        <v>Dark</v>
      </c>
      <c r="M119" s="0" t="e">
        <f aca="true">IF(OR($E$1=0,ISBLANK(J119)),,COUNTIF(INDIRECT("'0.0.2 Pokémon Learnset (Core)'!D$"&amp;$E$2&amp;":FG$"&amp;$E$2),J119))</f>
        <v>#VALUE!</v>
      </c>
      <c r="N119" s="0" t="e">
        <f aca="false">IF(ISBLANK(J119),,IF(OR(L119=$B$2,L119=$B$3),1,0))</f>
        <v>#N/A</v>
      </c>
    </row>
    <row r="120" customFormat="false" ht="15.75" hidden="false" customHeight="false" outlineLevel="0" collapsed="false">
      <c r="B120" s="0" t="str">
        <v>Play Rough</v>
      </c>
      <c r="C120" s="0" t="str">
        <f aca="false">IF(ISBLANK(B120),,B120&amp;", ")</f>
        <v>Play Rough,</v>
      </c>
      <c r="D120" s="0" t="str">
        <f aca="false" t="array" ref="D120:D120">IF(ISBLANK(B120),,INDEX('0.2.1 Move Compare'!$B$2:$B1011,MATCH(B120,'0.2.1 Move Compare'!$A$2:$A1011,0)))</f>
        <v>Fairy</v>
      </c>
      <c r="E120" s="0" t="n">
        <f aca="false" t="array" ref="E120:E120">IF(ISBLANK(B120),,IF(INDEX('0.1.2 Attack Dex (GO)'!C113:C1011,MATCH(B120,'0.1.2 Attack Dex (GO)'!A113:A1011,0))="Fast",1,0))</f>
        <v>0</v>
      </c>
      <c r="F120" s="0" t="e">
        <f aca="true">IF(OR($E$1=0,ISBLANK(B120)),,COUNTIF(INDIRECT("'0.0.2 Pokémon Learnset (Core)'!D$"&amp;$E$2&amp;":FG$"&amp;$E$2),B120))</f>
        <v>#VALUE!</v>
      </c>
      <c r="G120" s="0" t="e">
        <f aca="true">IF(ISBLANK(F120),,COUNTIF(INDIRECT("'0.1.1 Pokémon GO Moves'!C"&amp;$E$3&amp;":R$"&amp;$E$3),B120))</f>
        <v>#N/A</v>
      </c>
      <c r="H120" s="0" t="e">
        <f aca="false">IF(ISBLANK(F120),,IF(OR(D120=$B$2,D120=$B$3),1,0))</f>
        <v>#N/A</v>
      </c>
      <c r="J120" s="0" t="str">
        <v>Land's Wrath</v>
      </c>
      <c r="K120" s="0" t="str">
        <f aca="false">IF(ISBLANK(J120),,J120&amp;", ")</f>
        <v>Land's Wrath,</v>
      </c>
      <c r="L120" s="0" t="str">
        <f aca="false" t="array" ref="L120:L120">IF(ISBLANK(J120),,INDEX('0.2.1 Move Compare'!$B$2:$B1011,MATCH(J120,'0.2.1 Move Compare'!$A$2:$A1011,0)))</f>
        <v>Ground</v>
      </c>
      <c r="M120" s="0" t="e">
        <f aca="true">IF(OR($E$1=0,ISBLANK(J120)),,COUNTIF(INDIRECT("'0.0.2 Pokémon Learnset (Core)'!D$"&amp;$E$2&amp;":FG$"&amp;$E$2),J120))</f>
        <v>#VALUE!</v>
      </c>
      <c r="N120" s="0" t="e">
        <f aca="false">IF(ISBLANK(J120),,IF(OR(L120=$B$2,L120=$B$3),1,0))</f>
        <v>#N/A</v>
      </c>
    </row>
    <row r="121" customFormat="false" ht="15.75" hidden="false" customHeight="false" outlineLevel="0" collapsed="false">
      <c r="B121" s="0" t="str">
        <v>Poison Fang</v>
      </c>
      <c r="C121" s="0" t="str">
        <f aca="false">IF(ISBLANK(B121),,B121&amp;", ")</f>
        <v>Poison Fang,</v>
      </c>
      <c r="D121" s="0" t="str">
        <f aca="false" t="array" ref="D121:D121">IF(ISBLANK(B121),,INDEX('0.2.1 Move Compare'!$B$2:$B1011,MATCH(B121,'0.2.1 Move Compare'!$A$2:$A1011,0)))</f>
        <v>Poison</v>
      </c>
      <c r="E121" s="0" t="n">
        <f aca="false" t="array" ref="E121:E121">IF(ISBLANK(B121),,IF(INDEX('0.1.2 Attack Dex (GO)'!C114:C1011,MATCH(B121,'0.1.2 Attack Dex (GO)'!A114:A1011,0))="Fast",1,0))</f>
        <v>0</v>
      </c>
      <c r="F121" s="0" t="e">
        <f aca="true">IF(OR($E$1=0,ISBLANK(B121)),,COUNTIF(INDIRECT("'0.0.2 Pokémon Learnset (Core)'!D$"&amp;$E$2&amp;":FG$"&amp;$E$2),B121))</f>
        <v>#VALUE!</v>
      </c>
      <c r="G121" s="0" t="e">
        <f aca="true">IF(ISBLANK(F121),,COUNTIF(INDIRECT("'0.1.1 Pokémon GO Moves'!C"&amp;$E$3&amp;":R$"&amp;$E$3),B121))</f>
        <v>#N/A</v>
      </c>
      <c r="H121" s="0" t="e">
        <f aca="false">IF(ISBLANK(F121),,IF(OR(D121=$B$2,D121=$B$3),1,0))</f>
        <v>#N/A</v>
      </c>
      <c r="J121" s="0" t="str">
        <v>Last Resort</v>
      </c>
      <c r="K121" s="0" t="str">
        <f aca="false">IF(ISBLANK(J121),,J121&amp;", ")</f>
        <v>Last Resort,</v>
      </c>
      <c r="L121" s="0" t="str">
        <f aca="false" t="array" ref="L121:L121">IF(ISBLANK(J121),,INDEX('0.2.1 Move Compare'!$B$2:$B1011,MATCH(J121,'0.2.1 Move Compare'!$A$2:$A1011,0)))</f>
        <v>Normal</v>
      </c>
      <c r="M121" s="0" t="e">
        <f aca="true">IF(OR($E$1=0,ISBLANK(J121)),,COUNTIF(INDIRECT("'0.0.2 Pokémon Learnset (Core)'!D$"&amp;$E$2&amp;":FG$"&amp;$E$2),J121))</f>
        <v>#VALUE!</v>
      </c>
      <c r="N121" s="0" t="e">
        <f aca="false">IF(ISBLANK(J121),,IF(OR(L121=$B$2,L121=$B$3),1,0))</f>
        <v>#N/A</v>
      </c>
    </row>
    <row r="122" customFormat="false" ht="15.75" hidden="false" customHeight="false" outlineLevel="0" collapsed="false">
      <c r="B122" s="0" t="str">
        <v>Poison Jab</v>
      </c>
      <c r="C122" s="0" t="str">
        <f aca="false">IF(ISBLANK(B122),,B122&amp;", ")</f>
        <v>Poison Jab,</v>
      </c>
      <c r="D122" s="0" t="str">
        <f aca="false" t="array" ref="D122:D122">IF(ISBLANK(B122),,INDEX('0.2.1 Move Compare'!$B$2:$B1011,MATCH(B122,'0.2.1 Move Compare'!$A$2:$A1011,0)))</f>
        <v>Poison</v>
      </c>
      <c r="E122" s="0" t="n">
        <f aca="false" t="array" ref="E122:E122">IF(ISBLANK(B122),,IF(INDEX('0.1.2 Attack Dex (GO)'!C115:C1011,MATCH(B122,'0.1.2 Attack Dex (GO)'!A115:A1011,0))="Fast",1,0))</f>
        <v>1</v>
      </c>
      <c r="F122" s="0" t="e">
        <f aca="true">IF(OR($E$1=0,ISBLANK(B122)),,COUNTIF(INDIRECT("'0.0.2 Pokémon Learnset (Core)'!D$"&amp;$E$2&amp;":FG$"&amp;$E$2),B122))</f>
        <v>#VALUE!</v>
      </c>
      <c r="G122" s="0" t="e">
        <f aca="true">IF(ISBLANK(F122),,COUNTIF(INDIRECT("'0.1.1 Pokémon GO Moves'!C"&amp;$E$3&amp;":R$"&amp;$E$3),B122))</f>
        <v>#N/A</v>
      </c>
      <c r="H122" s="0" t="e">
        <f aca="false">IF(ISBLANK(F122),,IF(OR(D122=$B$2,D122=$B$3),1,0))</f>
        <v>#N/A</v>
      </c>
      <c r="J122" s="0" t="str">
        <v>Lava Plume</v>
      </c>
      <c r="K122" s="0" t="str">
        <f aca="false">IF(ISBLANK(J122),,J122&amp;", ")</f>
        <v>Lava Plume,</v>
      </c>
      <c r="L122" s="0" t="str">
        <f aca="false" t="array" ref="L122:L122">IF(ISBLANK(J122),,INDEX('0.2.1 Move Compare'!$B$2:$B1011,MATCH(J122,'0.2.1 Move Compare'!$A$2:$A1011,0)))</f>
        <v>Fire</v>
      </c>
      <c r="M122" s="0" t="e">
        <f aca="true">IF(OR($E$1=0,ISBLANK(J122)),,COUNTIF(INDIRECT("'0.0.2 Pokémon Learnset (Core)'!D$"&amp;$E$2&amp;":FG$"&amp;$E$2),J122))</f>
        <v>#VALUE!</v>
      </c>
      <c r="N122" s="0" t="e">
        <f aca="false">IF(ISBLANK(J122),,IF(OR(L122=$B$2,L122=$B$3),1,0))</f>
        <v>#N/A</v>
      </c>
    </row>
    <row r="123" customFormat="false" ht="15.75" hidden="false" customHeight="false" outlineLevel="0" collapsed="false">
      <c r="B123" s="0" t="str">
        <v>Poison Sting</v>
      </c>
      <c r="C123" s="0" t="str">
        <f aca="false">IF(ISBLANK(B123),,B123&amp;", ")</f>
        <v>Poison Sting,</v>
      </c>
      <c r="D123" s="0" t="str">
        <f aca="false" t="array" ref="D123:D123">IF(ISBLANK(B123),,INDEX('0.2.1 Move Compare'!$B$2:$B1011,MATCH(B123,'0.2.1 Move Compare'!$A$2:$A1011,0)))</f>
        <v>Poison</v>
      </c>
      <c r="E123" s="0" t="n">
        <f aca="false" t="array" ref="E123:E123">IF(ISBLANK(B123),,IF(INDEX('0.1.2 Attack Dex (GO)'!C116:C1011,MATCH(B123,'0.1.2 Attack Dex (GO)'!A116:A1011,0))="Fast",1,0))</f>
        <v>1</v>
      </c>
      <c r="F123" s="0" t="e">
        <f aca="true">IF(OR($E$1=0,ISBLANK(B123)),,COUNTIF(INDIRECT("'0.0.2 Pokémon Learnset (Core)'!D$"&amp;$E$2&amp;":FG$"&amp;$E$2),B123))</f>
        <v>#VALUE!</v>
      </c>
      <c r="G123" s="0" t="e">
        <f aca="true">IF(ISBLANK(F123),,COUNTIF(INDIRECT("'0.1.1 Pokémon GO Moves'!C"&amp;$E$3&amp;":R$"&amp;$E$3),B123))</f>
        <v>#N/A</v>
      </c>
      <c r="H123" s="0" t="e">
        <f aca="false">IF(ISBLANK(F123),,IF(OR(D123=$B$2,D123=$B$3),1,0))</f>
        <v>#N/A</v>
      </c>
      <c r="J123" s="0" t="str">
        <v>Leaf Storm</v>
      </c>
      <c r="K123" s="0" t="str">
        <f aca="false">IF(ISBLANK(J123),,J123&amp;", ")</f>
        <v>Leaf Storm,</v>
      </c>
      <c r="L123" s="0" t="str">
        <f aca="false" t="array" ref="L123:L123">IF(ISBLANK(J123),,INDEX('0.2.1 Move Compare'!$B$2:$B1011,MATCH(J123,'0.2.1 Move Compare'!$A$2:$A1011,0)))</f>
        <v>Grass</v>
      </c>
      <c r="M123" s="0" t="e">
        <f aca="true">IF(OR($E$1=0,ISBLANK(J123)),,COUNTIF(INDIRECT("'0.0.2 Pokémon Learnset (Core)'!D$"&amp;$E$2&amp;":FG$"&amp;$E$2),J123))</f>
        <v>#VALUE!</v>
      </c>
      <c r="N123" s="0" t="e">
        <f aca="false">IF(ISBLANK(J123),,IF(OR(L123=$B$2,L123=$B$3),1,0))</f>
        <v>#N/A</v>
      </c>
    </row>
    <row r="124" customFormat="false" ht="15.75" hidden="false" customHeight="false" outlineLevel="0" collapsed="false">
      <c r="B124" s="0" t="str">
        <v>Pound</v>
      </c>
      <c r="C124" s="0" t="str">
        <f aca="false">IF(ISBLANK(B124),,B124&amp;", ")</f>
        <v>Pound,</v>
      </c>
      <c r="D124" s="0" t="str">
        <f aca="false" t="array" ref="D124:D124">IF(ISBLANK(B124),,INDEX('0.2.1 Move Compare'!$B$2:$B1011,MATCH(B124,'0.2.1 Move Compare'!$A$2:$A1011,0)))</f>
        <v>Normal</v>
      </c>
      <c r="E124" s="0" t="n">
        <f aca="false" t="array" ref="E124:E124">IF(ISBLANK(B124),,IF(INDEX('0.1.2 Attack Dex (GO)'!C117:C1011,MATCH(B124,'0.1.2 Attack Dex (GO)'!A117:A1011,0))="Fast",1,0))</f>
        <v>1</v>
      </c>
      <c r="F124" s="0" t="e">
        <f aca="true">IF(OR($E$1=0,ISBLANK(B124)),,COUNTIF(INDIRECT("'0.0.2 Pokémon Learnset (Core)'!D$"&amp;$E$2&amp;":FG$"&amp;$E$2),B124))</f>
        <v>#VALUE!</v>
      </c>
      <c r="G124" s="0" t="e">
        <f aca="true">IF(ISBLANK(F124),,COUNTIF(INDIRECT("'0.1.1 Pokémon GO Moves'!C"&amp;$E$3&amp;":R$"&amp;$E$3),B124))</f>
        <v>#N/A</v>
      </c>
      <c r="H124" s="0" t="e">
        <f aca="false">IF(ISBLANK(F124),,IF(OR(D124=$B$2,D124=$B$3),1,0))</f>
        <v>#N/A</v>
      </c>
      <c r="J124" s="0" t="str">
        <v>Leaf Tornado</v>
      </c>
      <c r="K124" s="0" t="str">
        <f aca="false">IF(ISBLANK(J124),,J124&amp;", ")</f>
        <v>Leaf Tornado,</v>
      </c>
      <c r="L124" s="0" t="str">
        <f aca="false" t="array" ref="L124:L124">IF(ISBLANK(J124),,INDEX('0.2.1 Move Compare'!$B$2:$B1011,MATCH(J124,'0.2.1 Move Compare'!$A$2:$A1011,0)))</f>
        <v>Grass</v>
      </c>
      <c r="M124" s="0" t="e">
        <f aca="true">IF(OR($E$1=0,ISBLANK(J124)),,COUNTIF(INDIRECT("'0.0.2 Pokémon Learnset (Core)'!D$"&amp;$E$2&amp;":FG$"&amp;$E$2),J124))</f>
        <v>#VALUE!</v>
      </c>
      <c r="N124" s="0" t="e">
        <f aca="false">IF(ISBLANK(J124),,IF(OR(L124=$B$2,L124=$B$3),1,0))</f>
        <v>#N/A</v>
      </c>
    </row>
    <row r="125" customFormat="false" ht="15.75" hidden="false" customHeight="false" outlineLevel="0" collapsed="false">
      <c r="B125" s="0" t="str">
        <v>Powder Snow</v>
      </c>
      <c r="C125" s="0" t="str">
        <f aca="false">IF(ISBLANK(B125),,B125&amp;", ")</f>
        <v>Powder Snow,</v>
      </c>
      <c r="D125" s="0" t="str">
        <f aca="false" t="array" ref="D125:D125">IF(ISBLANK(B125),,INDEX('0.2.1 Move Compare'!$B$2:$B1011,MATCH(B125,'0.2.1 Move Compare'!$A$2:$A1011,0)))</f>
        <v>Ice</v>
      </c>
      <c r="E125" s="0" t="n">
        <f aca="false" t="array" ref="E125:E125">IF(ISBLANK(B125),,IF(INDEX('0.1.2 Attack Dex (GO)'!C118:C1011,MATCH(B125,'0.1.2 Attack Dex (GO)'!A118:A1011,0))="Fast",1,0))</f>
        <v>1</v>
      </c>
      <c r="F125" s="0" t="e">
        <f aca="true">IF(OR($E$1=0,ISBLANK(B125)),,COUNTIF(INDIRECT("'0.0.2 Pokémon Learnset (Core)'!D$"&amp;$E$2&amp;":FG$"&amp;$E$2),B125))</f>
        <v>#VALUE!</v>
      </c>
      <c r="G125" s="0" t="e">
        <f aca="true">IF(ISBLANK(F125),,COUNTIF(INDIRECT("'0.1.1 Pokémon GO Moves'!C"&amp;$E$3&amp;":R$"&amp;$E$3),B125))</f>
        <v>#N/A</v>
      </c>
      <c r="H125" s="0" t="e">
        <f aca="false">IF(ISBLANK(F125),,IF(OR(D125=$B$2,D125=$B$3),1,0))</f>
        <v>#N/A</v>
      </c>
      <c r="J125" s="0" t="str">
        <v>Leafage</v>
      </c>
      <c r="K125" s="0" t="str">
        <f aca="false">IF(ISBLANK(J125),,J125&amp;", ")</f>
        <v>Leafage,</v>
      </c>
      <c r="L125" s="0" t="str">
        <f aca="false" t="array" ref="L125:L125">IF(ISBLANK(J125),,INDEX('0.2.1 Move Compare'!$B$2:$B1011,MATCH(J125,'0.2.1 Move Compare'!$A$2:$A1011,0)))</f>
        <v>Grass</v>
      </c>
      <c r="M125" s="0" t="e">
        <f aca="true">IF(OR($E$1=0,ISBLANK(J125)),,COUNTIF(INDIRECT("'0.0.2 Pokémon Learnset (Core)'!D$"&amp;$E$2&amp;":FG$"&amp;$E$2),J125))</f>
        <v>#VALUE!</v>
      </c>
      <c r="N125" s="0" t="e">
        <f aca="false">IF(ISBLANK(J125),,IF(OR(L125=$B$2,L125=$B$3),1,0))</f>
        <v>#N/A</v>
      </c>
    </row>
    <row r="126" customFormat="false" ht="15.75" hidden="false" customHeight="false" outlineLevel="0" collapsed="false">
      <c r="B126" s="0" t="str">
        <v>Power Gem</v>
      </c>
      <c r="C126" s="0" t="str">
        <f aca="false">IF(ISBLANK(B126),,B126&amp;", ")</f>
        <v>Power Gem,</v>
      </c>
      <c r="D126" s="0" t="str">
        <f aca="false" t="array" ref="D126:D126">IF(ISBLANK(B126),,INDEX('0.2.1 Move Compare'!$B$2:$B1011,MATCH(B126,'0.2.1 Move Compare'!$A$2:$A1011,0)))</f>
        <v>Rock</v>
      </c>
      <c r="E126" s="0" t="n">
        <f aca="false" t="array" ref="E126:E126">IF(ISBLANK(B126),,IF(INDEX('0.1.2 Attack Dex (GO)'!C119:C1011,MATCH(B126,'0.1.2 Attack Dex (GO)'!A119:A1011,0))="Fast",1,0))</f>
        <v>0</v>
      </c>
      <c r="F126" s="0" t="e">
        <f aca="true">IF(OR($E$1=0,ISBLANK(B126)),,COUNTIF(INDIRECT("'0.0.2 Pokémon Learnset (Core)'!D$"&amp;$E$2&amp;":FG$"&amp;$E$2),B126))</f>
        <v>#VALUE!</v>
      </c>
      <c r="G126" s="0" t="e">
        <f aca="true">IF(ISBLANK(F126),,COUNTIF(INDIRECT("'0.1.1 Pokémon GO Moves'!C"&amp;$E$3&amp;":R$"&amp;$E$3),B126))</f>
        <v>#N/A</v>
      </c>
      <c r="H126" s="0" t="e">
        <f aca="false">IF(ISBLANK(F126),,IF(OR(D126=$B$2,D126=$B$3),1,0))</f>
        <v>#N/A</v>
      </c>
      <c r="J126" s="0" t="str">
        <v>Leech Life</v>
      </c>
      <c r="K126" s="0" t="str">
        <f aca="false">IF(ISBLANK(J126),,J126&amp;", ")</f>
        <v>Leech Life,</v>
      </c>
      <c r="L126" s="0" t="str">
        <f aca="false" t="array" ref="L126:L126">IF(ISBLANK(J126),,INDEX('0.2.1 Move Compare'!$B$2:$B1011,MATCH(J126,'0.2.1 Move Compare'!$A$2:$A1011,0)))</f>
        <v>Bug</v>
      </c>
      <c r="M126" s="0" t="e">
        <f aca="true">IF(OR($E$1=0,ISBLANK(J126)),,COUNTIF(INDIRECT("'0.0.2 Pokémon Learnset (Core)'!D$"&amp;$E$2&amp;":FG$"&amp;$E$2),J126))</f>
        <v>#VALUE!</v>
      </c>
      <c r="N126" s="0" t="e">
        <f aca="false">IF(ISBLANK(J126),,IF(OR(L126=$B$2,L126=$B$3),1,0))</f>
        <v>#N/A</v>
      </c>
    </row>
    <row r="127" customFormat="false" ht="15.75" hidden="false" customHeight="false" outlineLevel="0" collapsed="false">
      <c r="B127" s="0" t="str">
        <v>Power Whip</v>
      </c>
      <c r="C127" s="0" t="str">
        <f aca="false">IF(ISBLANK(B127),,B127&amp;", ")</f>
        <v>Power Whip,</v>
      </c>
      <c r="D127" s="0" t="str">
        <f aca="false" t="array" ref="D127:D127">IF(ISBLANK(B127),,INDEX('0.2.1 Move Compare'!$B$2:$B1011,MATCH(B127,'0.2.1 Move Compare'!$A$2:$A1011,0)))</f>
        <v>Grass</v>
      </c>
      <c r="E127" s="0" t="n">
        <f aca="false" t="array" ref="E127:E127">IF(ISBLANK(B127),,IF(INDEX('0.1.2 Attack Dex (GO)'!C120:C1011,MATCH(B127,'0.1.2 Attack Dex (GO)'!A120:A1011,0))="Fast",1,0))</f>
        <v>0</v>
      </c>
      <c r="F127" s="0" t="e">
        <f aca="true">IF(OR($E$1=0,ISBLANK(B127)),,COUNTIF(INDIRECT("'0.0.2 Pokémon Learnset (Core)'!D$"&amp;$E$2&amp;":FG$"&amp;$E$2),B127))</f>
        <v>#VALUE!</v>
      </c>
      <c r="G127" s="0" t="e">
        <f aca="true">IF(ISBLANK(F127),,COUNTIF(INDIRECT("'0.1.1 Pokémon GO Moves'!C"&amp;$E$3&amp;":R$"&amp;$E$3),B127))</f>
        <v>#N/A</v>
      </c>
      <c r="H127" s="0" t="e">
        <f aca="false">IF(ISBLANK(F127),,IF(OR(D127=$B$2,D127=$B$3),1,0))</f>
        <v>#N/A</v>
      </c>
      <c r="J127" s="0" t="str">
        <v>Light of Ruin</v>
      </c>
      <c r="K127" s="0" t="str">
        <f aca="false">IF(ISBLANK(J127),,J127&amp;", ")</f>
        <v>Light of Ruin,</v>
      </c>
      <c r="L127" s="0" t="str">
        <f aca="false" t="array" ref="L127:L127">IF(ISBLANK(J127),,INDEX('0.2.1 Move Compare'!$B$2:$B1011,MATCH(J127,'0.2.1 Move Compare'!$A$2:$A1011,0)))</f>
        <v>Fairy</v>
      </c>
      <c r="M127" s="0" t="e">
        <f aca="true">IF(OR($E$1=0,ISBLANK(J127)),,COUNTIF(INDIRECT("'0.0.2 Pokémon Learnset (Core)'!D$"&amp;$E$2&amp;":FG$"&amp;$E$2),J127))</f>
        <v>#VALUE!</v>
      </c>
      <c r="N127" s="0" t="e">
        <f aca="false">IF(ISBLANK(J127),,IF(OR(L127=$B$2,L127=$B$3),1,0))</f>
        <v>#N/A</v>
      </c>
    </row>
    <row r="128" customFormat="false" ht="15.75" hidden="false" customHeight="false" outlineLevel="0" collapsed="false">
      <c r="B128" s="0" t="str">
        <v>Precipice Blades</v>
      </c>
      <c r="C128" s="0" t="str">
        <f aca="false">IF(ISBLANK(B128),,B128&amp;", ")</f>
        <v>Precipice Blades,</v>
      </c>
      <c r="D128" s="0" t="str">
        <f aca="false" t="array" ref="D128:D128">IF(ISBLANK(B128),,INDEX('0.2.1 Move Compare'!$B$2:$B1011,MATCH(B128,'0.2.1 Move Compare'!$A$2:$A1011,0)))</f>
        <v>Ground</v>
      </c>
      <c r="E128" s="0" t="n">
        <f aca="false" t="array" ref="E128:E128">IF(ISBLANK(B128),,IF(INDEX('0.1.2 Attack Dex (GO)'!C121:C1011,MATCH(B128,'0.1.2 Attack Dex (GO)'!A121:A1011,0))="Fast",1,0))</f>
        <v>0</v>
      </c>
      <c r="F128" s="0" t="e">
        <f aca="true">IF(OR($E$1=0,ISBLANK(B128)),,COUNTIF(INDIRECT("'0.0.2 Pokémon Learnset (Core)'!D$"&amp;$E$2&amp;":FG$"&amp;$E$2),B128))</f>
        <v>#VALUE!</v>
      </c>
      <c r="G128" s="0" t="e">
        <f aca="true">IF(ISBLANK(F128),,COUNTIF(INDIRECT("'0.1.1 Pokémon GO Moves'!C"&amp;$E$3&amp;":R$"&amp;$E$3),B128))</f>
        <v>#N/A</v>
      </c>
      <c r="H128" s="0" t="e">
        <f aca="false">IF(ISBLANK(F128),,IF(OR(D128=$B$2,D128=$B$3),1,0))</f>
        <v>#N/A</v>
      </c>
      <c r="J128" s="0" t="str">
        <v>Liquidation</v>
      </c>
      <c r="K128" s="0" t="str">
        <f aca="false">IF(ISBLANK(J128),,J128&amp;", ")</f>
        <v>Liquidation,</v>
      </c>
      <c r="L128" s="0" t="str">
        <f aca="false" t="array" ref="L128:L128">IF(ISBLANK(J128),,INDEX('0.2.1 Move Compare'!$B$2:$B1011,MATCH(J128,'0.2.1 Move Compare'!$A$2:$A1011,0)))</f>
        <v>Water</v>
      </c>
      <c r="M128" s="0" t="e">
        <f aca="true">IF(OR($E$1=0,ISBLANK(J128)),,COUNTIF(INDIRECT("'0.0.2 Pokémon Learnset (Core)'!D$"&amp;$E$2&amp;":FG$"&amp;$E$2),J128))</f>
        <v>#VALUE!</v>
      </c>
      <c r="N128" s="0" t="e">
        <f aca="false">IF(ISBLANK(J128),,IF(OR(L128=$B$2,L128=$B$3),1,0))</f>
        <v>#N/A</v>
      </c>
    </row>
    <row r="129" customFormat="false" ht="15.75" hidden="false" customHeight="false" outlineLevel="0" collapsed="false">
      <c r="B129" s="0" t="str">
        <v>Present</v>
      </c>
      <c r="C129" s="0" t="str">
        <f aca="false">IF(ISBLANK(B129),,B129&amp;", ")</f>
        <v>Present,</v>
      </c>
      <c r="D129" s="0" t="str">
        <f aca="false" t="array" ref="D129:D129">IF(ISBLANK(B129),,INDEX('0.2.1 Move Compare'!$B$2:$B1011,MATCH(B129,'0.2.1 Move Compare'!$A$2:$A1011,0)))</f>
        <v>Normal</v>
      </c>
      <c r="E129" s="0" t="n">
        <f aca="false" t="array" ref="E129:E129">IF(ISBLANK(B129),,IF(INDEX('0.1.2 Attack Dex (GO)'!C122:C1011,MATCH(B129,'0.1.2 Attack Dex (GO)'!A122:A1011,0))="Fast",1,0))</f>
        <v>1</v>
      </c>
      <c r="F129" s="0" t="e">
        <f aca="true">IF(OR($E$1=0,ISBLANK(B129)),,COUNTIF(INDIRECT("'0.0.2 Pokémon Learnset (Core)'!D$"&amp;$E$2&amp;":FG$"&amp;$E$2),B129))</f>
        <v>#VALUE!</v>
      </c>
      <c r="G129" s="0" t="e">
        <f aca="true">IF(ISBLANK(F129),,COUNTIF(INDIRECT("'0.1.1 Pokémon GO Moves'!C"&amp;$E$3&amp;":R$"&amp;$E$3),B129))</f>
        <v>#N/A</v>
      </c>
      <c r="H129" s="0" t="e">
        <f aca="false">IF(ISBLANK(F129),,IF(OR(D129=$B$2,D129=$B$3),1,0))</f>
        <v>#N/A</v>
      </c>
      <c r="J129" s="0" t="str">
        <v>Lunge</v>
      </c>
      <c r="K129" s="0" t="str">
        <f aca="false">IF(ISBLANK(J129),,J129&amp;", ")</f>
        <v>Lunge,</v>
      </c>
      <c r="L129" s="0" t="str">
        <f aca="false" t="array" ref="L129:L129">IF(ISBLANK(J129),,INDEX('0.2.1 Move Compare'!$B$2:$B1011,MATCH(J129,'0.2.1 Move Compare'!$A$2:$A1011,0)))</f>
        <v>Bug</v>
      </c>
      <c r="M129" s="0" t="e">
        <f aca="true">IF(OR($E$1=0,ISBLANK(J129)),,COUNTIF(INDIRECT("'0.0.2 Pokémon Learnset (Core)'!D$"&amp;$E$2&amp;":FG$"&amp;$E$2),J129))</f>
        <v>#VALUE!</v>
      </c>
      <c r="N129" s="0" t="e">
        <f aca="false">IF(ISBLANK(J129),,IF(OR(L129=$B$2,L129=$B$3),1,0))</f>
        <v>#N/A</v>
      </c>
    </row>
    <row r="130" customFormat="false" ht="15.75" hidden="false" customHeight="false" outlineLevel="0" collapsed="false">
      <c r="B130" s="0" t="str">
        <v>Psybeam</v>
      </c>
      <c r="C130" s="0" t="str">
        <f aca="false">IF(ISBLANK(B130),,B130&amp;", ")</f>
        <v>Psybeam,</v>
      </c>
      <c r="D130" s="0" t="str">
        <f aca="false" t="array" ref="D130:D130">IF(ISBLANK(B130),,INDEX('0.2.1 Move Compare'!$B$2:$B1011,MATCH(B130,'0.2.1 Move Compare'!$A$2:$A1011,0)))</f>
        <v>Psychic</v>
      </c>
      <c r="E130" s="0" t="n">
        <f aca="false" t="array" ref="E130:E130">IF(ISBLANK(B130),,IF(INDEX('0.1.2 Attack Dex (GO)'!C123:C1011,MATCH(B130,'0.1.2 Attack Dex (GO)'!A123:A1011,0))="Fast",1,0))</f>
        <v>0</v>
      </c>
      <c r="F130" s="0" t="e">
        <f aca="true">IF(OR($E$1=0,ISBLANK(B130)),,COUNTIF(INDIRECT("'0.0.2 Pokémon Learnset (Core)'!D$"&amp;$E$2&amp;":FG$"&amp;$E$2),B130))</f>
        <v>#VALUE!</v>
      </c>
      <c r="G130" s="0" t="e">
        <f aca="true">IF(ISBLANK(F130),,COUNTIF(INDIRECT("'0.1.1 Pokémon GO Moves'!C"&amp;$E$3&amp;":R$"&amp;$E$3),B130))</f>
        <v>#N/A</v>
      </c>
      <c r="H130" s="0" t="e">
        <f aca="false">IF(ISBLANK(F130),,IF(OR(D130=$B$2,D130=$B$3),1,0))</f>
        <v>#N/A</v>
      </c>
      <c r="J130" s="0" t="str">
        <v>Luster Purge</v>
      </c>
      <c r="K130" s="0" t="str">
        <f aca="false">IF(ISBLANK(J130),,J130&amp;", ")</f>
        <v>Luster Purge,</v>
      </c>
      <c r="L130" s="0" t="str">
        <f aca="false" t="array" ref="L130:L130">IF(ISBLANK(J130),,INDEX('0.2.1 Move Compare'!$B$2:$B1011,MATCH(J130,'0.2.1 Move Compare'!$A$2:$A1011,0)))</f>
        <v>Psychic</v>
      </c>
      <c r="M130" s="0" t="e">
        <f aca="true">IF(OR($E$1=0,ISBLANK(J130)),,COUNTIF(INDIRECT("'0.0.2 Pokémon Learnset (Core)'!D$"&amp;$E$2&amp;":FG$"&amp;$E$2),J130))</f>
        <v>#VALUE!</v>
      </c>
      <c r="N130" s="0" t="e">
        <f aca="false">IF(ISBLANK(J130),,IF(OR(L130=$B$2,L130=$B$3),1,0))</f>
        <v>#N/A</v>
      </c>
    </row>
    <row r="131" customFormat="false" ht="15.75" hidden="false" customHeight="false" outlineLevel="0" collapsed="false">
      <c r="B131" s="0" t="str">
        <v>Psychic</v>
      </c>
      <c r="C131" s="0" t="str">
        <f aca="false">IF(ISBLANK(B131),,B131&amp;", ")</f>
        <v>Psychic,</v>
      </c>
      <c r="D131" s="0" t="str">
        <f aca="false" t="array" ref="D131:D131">IF(ISBLANK(B131),,INDEX('0.2.1 Move Compare'!$B$2:$B1011,MATCH(B131,'0.2.1 Move Compare'!$A$2:$A1011,0)))</f>
        <v>Psychic</v>
      </c>
      <c r="E131" s="0" t="n">
        <f aca="false" t="array" ref="E131:E131">IF(ISBLANK(B131),,IF(INDEX('0.1.2 Attack Dex (GO)'!C124:C1011,MATCH(B131,'0.1.2 Attack Dex (GO)'!A124:A1011,0))="Fast",1,0))</f>
        <v>0</v>
      </c>
      <c r="F131" s="0" t="e">
        <f aca="true">IF(OR($E$1=0,ISBLANK(B131)),,COUNTIF(INDIRECT("'0.0.2 Pokémon Learnset (Core)'!D$"&amp;$E$2&amp;":FG$"&amp;$E$2),B131))</f>
        <v>#VALUE!</v>
      </c>
      <c r="G131" s="0" t="e">
        <f aca="true">IF(ISBLANK(F131),,COUNTIF(INDIRECT("'0.1.1 Pokémon GO Moves'!C"&amp;$E$3&amp;":R$"&amp;$E$3),B131))</f>
        <v>#N/A</v>
      </c>
      <c r="H131" s="0" t="e">
        <f aca="false">IF(ISBLANK(F131),,IF(OR(D131=$B$2,D131=$B$3),1,0))</f>
        <v>#N/A</v>
      </c>
      <c r="J131" s="0" t="str">
        <v>Mach Punch</v>
      </c>
      <c r="K131" s="0" t="str">
        <f aca="false">IF(ISBLANK(J131),,J131&amp;", ")</f>
        <v>Mach Punch,</v>
      </c>
      <c r="L131" s="0" t="str">
        <f aca="false" t="array" ref="L131:L131">IF(ISBLANK(J131),,INDEX('0.2.1 Move Compare'!$B$2:$B1011,MATCH(J131,'0.2.1 Move Compare'!$A$2:$A1011,0)))</f>
        <v>Fighting</v>
      </c>
      <c r="M131" s="0" t="e">
        <f aca="true">IF(OR($E$1=0,ISBLANK(J131)),,COUNTIF(INDIRECT("'0.0.2 Pokémon Learnset (Core)'!D$"&amp;$E$2&amp;":FG$"&amp;$E$2),J131))</f>
        <v>#VALUE!</v>
      </c>
      <c r="N131" s="0" t="e">
        <f aca="false">IF(ISBLANK(J131),,IF(OR(L131=$B$2,L131=$B$3),1,0))</f>
        <v>#N/A</v>
      </c>
    </row>
    <row r="132" customFormat="false" ht="15.75" hidden="false" customHeight="false" outlineLevel="0" collapsed="false">
      <c r="B132" s="0" t="str">
        <v>Psycho Boost</v>
      </c>
      <c r="C132" s="0" t="str">
        <f aca="false">IF(ISBLANK(B132),,B132&amp;", ")</f>
        <v>Psycho Boost,</v>
      </c>
      <c r="D132" s="0" t="str">
        <f aca="false" t="array" ref="D132:D132">IF(ISBLANK(B132),,INDEX('0.2.1 Move Compare'!$B$2:$B1011,MATCH(B132,'0.2.1 Move Compare'!$A$2:$A1011,0)))</f>
        <v>Psychic</v>
      </c>
      <c r="E132" s="0" t="n">
        <f aca="false" t="array" ref="E132:E132">IF(ISBLANK(B132),,IF(INDEX('0.1.2 Attack Dex (GO)'!C125:C1011,MATCH(B132,'0.1.2 Attack Dex (GO)'!A125:A1011,0))="Fast",1,0))</f>
        <v>0</v>
      </c>
      <c r="F132" s="0" t="e">
        <f aca="true">IF(OR($E$1=0,ISBLANK(B132)),,COUNTIF(INDIRECT("'0.0.2 Pokémon Learnset (Core)'!D$"&amp;$E$2&amp;":FG$"&amp;$E$2),B132))</f>
        <v>#VALUE!</v>
      </c>
      <c r="G132" s="0" t="e">
        <f aca="true">IF(ISBLANK(F132),,COUNTIF(INDIRECT("'0.1.1 Pokémon GO Moves'!C"&amp;$E$3&amp;":R$"&amp;$E$3),B132))</f>
        <v>#N/A</v>
      </c>
      <c r="H132" s="0" t="e">
        <f aca="false">IF(ISBLANK(F132),,IF(OR(D132=$B$2,D132=$B$3),1,0))</f>
        <v>#N/A</v>
      </c>
      <c r="J132" s="0" t="str">
        <v>Magical Leaf</v>
      </c>
      <c r="K132" s="0" t="str">
        <f aca="false">IF(ISBLANK(J132),,J132&amp;", ")</f>
        <v>Magical Leaf,</v>
      </c>
      <c r="L132" s="0" t="str">
        <f aca="false" t="array" ref="L132:L132">IF(ISBLANK(J132),,INDEX('0.2.1 Move Compare'!$B$2:$B1011,MATCH(J132,'0.2.1 Move Compare'!$A$2:$A1011,0)))</f>
        <v>Grass</v>
      </c>
      <c r="M132" s="0" t="e">
        <f aca="true">IF(OR($E$1=0,ISBLANK(J132)),,COUNTIF(INDIRECT("'0.0.2 Pokémon Learnset (Core)'!D$"&amp;$E$2&amp;":FG$"&amp;$E$2),J132))</f>
        <v>#VALUE!</v>
      </c>
      <c r="N132" s="0" t="e">
        <f aca="false">IF(ISBLANK(J132),,IF(OR(L132=$B$2,L132=$B$3),1,0))</f>
        <v>#N/A</v>
      </c>
    </row>
    <row r="133" customFormat="false" ht="15.75" hidden="false" customHeight="false" outlineLevel="0" collapsed="false">
      <c r="B133" s="0" t="str">
        <v>Psycho Cut</v>
      </c>
      <c r="C133" s="0" t="str">
        <f aca="false">IF(ISBLANK(B133),,B133&amp;", ")</f>
        <v>Psycho Cut,</v>
      </c>
      <c r="D133" s="0" t="str">
        <f aca="false" t="array" ref="D133:D133">IF(ISBLANK(B133),,INDEX('0.2.1 Move Compare'!$B$2:$B1011,MATCH(B133,'0.2.1 Move Compare'!$A$2:$A1011,0)))</f>
        <v>Psychic</v>
      </c>
      <c r="E133" s="0" t="n">
        <f aca="false" t="array" ref="E133:E133">IF(ISBLANK(B133),,IF(INDEX('0.1.2 Attack Dex (GO)'!C126:C1011,MATCH(B133,'0.1.2 Attack Dex (GO)'!A126:A1011,0))="Fast",1,0))</f>
        <v>1</v>
      </c>
      <c r="F133" s="0" t="e">
        <f aca="true">IF(OR($E$1=0,ISBLANK(B133)),,COUNTIF(INDIRECT("'0.0.2 Pokémon Learnset (Core)'!D$"&amp;$E$2&amp;":FG$"&amp;$E$2),B133))</f>
        <v>#VALUE!</v>
      </c>
      <c r="G133" s="0" t="e">
        <f aca="true">IF(ISBLANK(F133),,COUNTIF(INDIRECT("'0.1.1 Pokémon GO Moves'!C"&amp;$E$3&amp;":R$"&amp;$E$3),B133))</f>
        <v>#N/A</v>
      </c>
      <c r="H133" s="0" t="e">
        <f aca="false">IF(ISBLANK(F133),,IF(OR(D133=$B$2,D133=$B$3),1,0))</f>
        <v>#N/A</v>
      </c>
      <c r="J133" s="0" t="str">
        <v>Magma Storm</v>
      </c>
      <c r="K133" s="0" t="str">
        <f aca="false">IF(ISBLANK(J133),,J133&amp;", ")</f>
        <v>Magma Storm,</v>
      </c>
      <c r="L133" s="0" t="str">
        <f aca="false" t="array" ref="L133:L133">IF(ISBLANK(J133),,INDEX('0.2.1 Move Compare'!$B$2:$B1011,MATCH(J133,'0.2.1 Move Compare'!$A$2:$A1011,0)))</f>
        <v>Fire</v>
      </c>
      <c r="M133" s="0" t="e">
        <f aca="true">IF(OR($E$1=0,ISBLANK(J133)),,COUNTIF(INDIRECT("'0.0.2 Pokémon Learnset (Core)'!D$"&amp;$E$2&amp;":FG$"&amp;$E$2),J133))</f>
        <v>#VALUE!</v>
      </c>
      <c r="N133" s="0" t="e">
        <f aca="false">IF(ISBLANK(J133),,IF(OR(L133=$B$2,L133=$B$3),1,0))</f>
        <v>#N/A</v>
      </c>
    </row>
    <row r="134" customFormat="false" ht="15.75" hidden="false" customHeight="false" outlineLevel="0" collapsed="false">
      <c r="B134" s="0" t="str">
        <v>Psyshock</v>
      </c>
      <c r="C134" s="0" t="str">
        <f aca="false">IF(ISBLANK(B134),,B134&amp;", ")</f>
        <v>Psyshock,</v>
      </c>
      <c r="D134" s="0" t="str">
        <f aca="false" t="array" ref="D134:D134">IF(ISBLANK(B134),,INDEX('0.2.1 Move Compare'!$B$2:$B1011,MATCH(B134,'0.2.1 Move Compare'!$A$2:$A1011,0)))</f>
        <v>Psychic</v>
      </c>
      <c r="E134" s="0" t="n">
        <f aca="false" t="array" ref="E134:E134">IF(ISBLANK(B134),,IF(INDEX('0.1.2 Attack Dex (GO)'!C127:C1011,MATCH(B134,'0.1.2 Attack Dex (GO)'!A127:A1011,0))="Fast",1,0))</f>
        <v>0</v>
      </c>
      <c r="F134" s="0" t="e">
        <f aca="true">IF(OR($E$1=0,ISBLANK(B134)),,COUNTIF(INDIRECT("'0.0.2 Pokémon Learnset (Core)'!D$"&amp;$E$2&amp;":FG$"&amp;$E$2),B134))</f>
        <v>#VALUE!</v>
      </c>
      <c r="G134" s="0" t="e">
        <f aca="true">IF(ISBLANK(F134),,COUNTIF(INDIRECT("'0.1.1 Pokémon GO Moves'!C"&amp;$E$3&amp;":R$"&amp;$E$3),B134))</f>
        <v>#N/A</v>
      </c>
      <c r="H134" s="0" t="e">
        <f aca="false">IF(ISBLANK(F134),,IF(OR(D134=$B$2,D134=$B$3),1,0))</f>
        <v>#N/A</v>
      </c>
      <c r="J134" s="0" t="str">
        <v>Mega Kick</v>
      </c>
      <c r="K134" s="0" t="str">
        <f aca="false">IF(ISBLANK(J134),,J134&amp;", ")</f>
        <v>Mega Kick,</v>
      </c>
      <c r="L134" s="0" t="str">
        <f aca="false" t="array" ref="L134:L134">IF(ISBLANK(J134),,INDEX('0.2.1 Move Compare'!$B$2:$B1011,MATCH(J134,'0.2.1 Move Compare'!$A$2:$A1011,0)))</f>
        <v>Normal</v>
      </c>
      <c r="M134" s="0" t="e">
        <f aca="true">IF(OR($E$1=0,ISBLANK(J134)),,COUNTIF(INDIRECT("'0.0.2 Pokémon Learnset (Core)'!D$"&amp;$E$2&amp;":FG$"&amp;$E$2),J134))</f>
        <v>#VALUE!</v>
      </c>
      <c r="N134" s="0" t="e">
        <f aca="false">IF(ISBLANK(J134),,IF(OR(L134=$B$2,L134=$B$3),1,0))</f>
        <v>#N/A</v>
      </c>
    </row>
    <row r="135" customFormat="false" ht="15.75" hidden="false" customHeight="false" outlineLevel="0" collapsed="false">
      <c r="B135" s="0" t="str">
        <v>Psystrike</v>
      </c>
      <c r="C135" s="0" t="str">
        <f aca="false">IF(ISBLANK(B135),,B135&amp;", ")</f>
        <v>Psystrike,</v>
      </c>
      <c r="D135" s="0" t="str">
        <f aca="false" t="array" ref="D135:D135">IF(ISBLANK(B135),,INDEX('0.2.1 Move Compare'!$B$2:$B1011,MATCH(B135,'0.2.1 Move Compare'!$A$2:$A1011,0)))</f>
        <v>Psychic</v>
      </c>
      <c r="E135" s="0" t="n">
        <f aca="false" t="array" ref="E135:E135">IF(ISBLANK(B135),,IF(INDEX('0.1.2 Attack Dex (GO)'!C128:C1011,MATCH(B135,'0.1.2 Attack Dex (GO)'!A128:A1011,0))="Fast",1,0))</f>
        <v>0</v>
      </c>
      <c r="F135" s="0" t="e">
        <f aca="true">IF(OR($E$1=0,ISBLANK(B135)),,COUNTIF(INDIRECT("'0.0.2 Pokémon Learnset (Core)'!D$"&amp;$E$2&amp;":FG$"&amp;$E$2),B135))</f>
        <v>#VALUE!</v>
      </c>
      <c r="G135" s="0" t="e">
        <f aca="true">IF(ISBLANK(F135),,COUNTIF(INDIRECT("'0.1.1 Pokémon GO Moves'!C"&amp;$E$3&amp;":R$"&amp;$E$3),B135))</f>
        <v>#N/A</v>
      </c>
      <c r="H135" s="0" t="e">
        <f aca="false">IF(ISBLANK(F135),,IF(OR(D135=$B$2,D135=$B$3),1,0))</f>
        <v>#N/A</v>
      </c>
      <c r="J135" s="0" t="str">
        <v>Mega Punch</v>
      </c>
      <c r="K135" s="0" t="str">
        <f aca="false">IF(ISBLANK(J135),,J135&amp;", ")</f>
        <v>Mega Punch,</v>
      </c>
      <c r="L135" s="0" t="str">
        <f aca="false" t="array" ref="L135:L135">IF(ISBLANK(J135),,INDEX('0.2.1 Move Compare'!$B$2:$B1011,MATCH(J135,'0.2.1 Move Compare'!$A$2:$A1011,0)))</f>
        <v>Normal</v>
      </c>
      <c r="M135" s="0" t="e">
        <f aca="true">IF(OR($E$1=0,ISBLANK(J135)),,COUNTIF(INDIRECT("'0.0.2 Pokémon Learnset (Core)'!D$"&amp;$E$2&amp;":FG$"&amp;$E$2),J135))</f>
        <v>#VALUE!</v>
      </c>
      <c r="N135" s="0" t="e">
        <f aca="false">IF(ISBLANK(J135),,IF(OR(L135=$B$2,L135=$B$3),1,0))</f>
        <v>#N/A</v>
      </c>
    </row>
    <row r="136" customFormat="false" ht="15.75" hidden="false" customHeight="false" outlineLevel="0" collapsed="false">
      <c r="B136" s="0" t="str">
        <v>Quick Attack</v>
      </c>
      <c r="C136" s="0" t="str">
        <f aca="false">IF(ISBLANK(B136),,B136&amp;", ")</f>
        <v>Quick Attack,</v>
      </c>
      <c r="D136" s="0" t="str">
        <f aca="false" t="array" ref="D136:D136">IF(ISBLANK(B136),,INDEX('0.2.1 Move Compare'!$B$2:$B1011,MATCH(B136,'0.2.1 Move Compare'!$A$2:$A1011,0)))</f>
        <v>Normal</v>
      </c>
      <c r="E136" s="0" t="n">
        <f aca="false" t="array" ref="E136:E136">IF(ISBLANK(B136),,IF(INDEX('0.1.2 Attack Dex (GO)'!C129:C1011,MATCH(B136,'0.1.2 Attack Dex (GO)'!A129:A1011,0))="Fast",1,0))</f>
        <v>1</v>
      </c>
      <c r="F136" s="0" t="e">
        <f aca="true">IF(OR($E$1=0,ISBLANK(B136)),,COUNTIF(INDIRECT("'0.0.2 Pokémon Learnset (Core)'!D$"&amp;$E$2&amp;":FG$"&amp;$E$2),B136))</f>
        <v>#VALUE!</v>
      </c>
      <c r="G136" s="0" t="e">
        <f aca="true">IF(ISBLANK(F136),,COUNTIF(INDIRECT("'0.1.1 Pokémon GO Moves'!C"&amp;$E$3&amp;":R$"&amp;$E$3),B136))</f>
        <v>#N/A</v>
      </c>
      <c r="H136" s="0" t="e">
        <f aca="false">IF(ISBLANK(F136),,IF(OR(D136=$B$2,D136=$B$3),1,0))</f>
        <v>#N/A</v>
      </c>
      <c r="J136" s="0" t="str">
        <v>Metal Burst</v>
      </c>
      <c r="K136" s="0" t="str">
        <f aca="false">IF(ISBLANK(J136),,J136&amp;", ")</f>
        <v>Metal Burst,</v>
      </c>
      <c r="L136" s="0" t="str">
        <f aca="false" t="array" ref="L136:L136">IF(ISBLANK(J136),,INDEX('0.2.1 Move Compare'!$B$2:$B1011,MATCH(J136,'0.2.1 Move Compare'!$A$2:$A1011,0)))</f>
        <v>Steel</v>
      </c>
      <c r="M136" s="0" t="e">
        <f aca="true">IF(OR($E$1=0,ISBLANK(J136)),,COUNTIF(INDIRECT("'0.0.2 Pokémon Learnset (Core)'!D$"&amp;$E$2&amp;":FG$"&amp;$E$2),J136))</f>
        <v>#VALUE!</v>
      </c>
      <c r="N136" s="0" t="e">
        <f aca="false">IF(ISBLANK(J136),,IF(OR(L136=$B$2,L136=$B$3),1,0))</f>
        <v>#N/A</v>
      </c>
    </row>
    <row r="137" customFormat="false" ht="15.75" hidden="false" customHeight="false" outlineLevel="0" collapsed="false">
      <c r="B137" s="0" t="str">
        <v>Razor Leaf</v>
      </c>
      <c r="C137" s="0" t="str">
        <f aca="false">IF(ISBLANK(B137),,B137&amp;", ")</f>
        <v>Razor Leaf,</v>
      </c>
      <c r="D137" s="0" t="str">
        <f aca="false" t="array" ref="D137:D137">IF(ISBLANK(B137),,INDEX('0.2.1 Move Compare'!$B$2:$B1011,MATCH(B137,'0.2.1 Move Compare'!$A$2:$A1011,0)))</f>
        <v>Grass</v>
      </c>
      <c r="E137" s="0" t="n">
        <f aca="false" t="array" ref="E137:E137">IF(ISBLANK(B137),,IF(INDEX('0.1.2 Attack Dex (GO)'!C130:C1011,MATCH(B137,'0.1.2 Attack Dex (GO)'!A130:A1011,0))="Fast",1,0))</f>
        <v>1</v>
      </c>
      <c r="F137" s="0" t="e">
        <f aca="true">IF(OR($E$1=0,ISBLANK(B137)),,COUNTIF(INDIRECT("'0.0.2 Pokémon Learnset (Core)'!D$"&amp;$E$2&amp;":FG$"&amp;$E$2),B137))</f>
        <v>#VALUE!</v>
      </c>
      <c r="G137" s="0" t="e">
        <f aca="true">IF(ISBLANK(F137),,COUNTIF(INDIRECT("'0.1.1 Pokémon GO Moves'!C"&amp;$E$3&amp;":R$"&amp;$E$3),B137))</f>
        <v>#N/A</v>
      </c>
      <c r="H137" s="0" t="e">
        <f aca="false">IF(ISBLANK(F137),,IF(OR(D137=$B$2,D137=$B$3),1,0))</f>
        <v>#N/A</v>
      </c>
      <c r="J137" s="0" t="str">
        <v>Meteor Mash</v>
      </c>
      <c r="K137" s="0" t="str">
        <f aca="false">IF(ISBLANK(J137),,J137&amp;", ")</f>
        <v>Meteor Mash,</v>
      </c>
      <c r="L137" s="0" t="str">
        <f aca="false" t="array" ref="L137:L137">IF(ISBLANK(J137),,INDEX('0.2.1 Move Compare'!$B$2:$B1011,MATCH(J137,'0.2.1 Move Compare'!$A$2:$A1011,0)))</f>
        <v>Steel</v>
      </c>
      <c r="M137" s="0" t="e">
        <f aca="true">IF(OR($E$1=0,ISBLANK(J137)),,COUNTIF(INDIRECT("'0.0.2 Pokémon Learnset (Core)'!D$"&amp;$E$2&amp;":FG$"&amp;$E$2),J137))</f>
        <v>#VALUE!</v>
      </c>
      <c r="N137" s="0" t="e">
        <f aca="false">IF(ISBLANK(J137),,IF(OR(L137=$B$2,L137=$B$3),1,0))</f>
        <v>#N/A</v>
      </c>
    </row>
    <row r="138" customFormat="false" ht="15.75" hidden="false" customHeight="false" outlineLevel="0" collapsed="false">
      <c r="B138" s="0" t="str">
        <v>Rest</v>
      </c>
      <c r="C138" s="0" t="str">
        <f aca="false">IF(ISBLANK(B138),,B138&amp;", ")</f>
        <v>Rest,</v>
      </c>
      <c r="D138" s="0" t="str">
        <f aca="false" t="array" ref="D138:D138">IF(ISBLANK(B138),,INDEX('0.2.1 Move Compare'!$B$2:$B1011,MATCH(B138,'0.2.1 Move Compare'!$A$2:$A1011,0)))</f>
        <v>Normal</v>
      </c>
      <c r="E138" s="0" t="n">
        <f aca="false" t="array" ref="E138:E138">IF(ISBLANK(B138),,IF(INDEX('0.1.2 Attack Dex (GO)'!C131:C1011,MATCH(B138,'0.1.2 Attack Dex (GO)'!A131:A1011,0))="Fast",1,0))</f>
        <v>0</v>
      </c>
      <c r="F138" s="0" t="e">
        <f aca="true">IF(OR($E$1=0,ISBLANK(B138)),,COUNTIF(INDIRECT("'0.0.2 Pokémon Learnset (Core)'!D$"&amp;$E$2&amp;":FG$"&amp;$E$2),B138))</f>
        <v>#VALUE!</v>
      </c>
      <c r="G138" s="0" t="e">
        <f aca="true">IF(ISBLANK(F138),,COUNTIF(INDIRECT("'0.1.1 Pokémon GO Moves'!C"&amp;$E$3&amp;":R$"&amp;$E$3),B138))</f>
        <v>#N/A</v>
      </c>
      <c r="H138" s="0" t="e">
        <f aca="false">IF(ISBLANK(F138),,IF(OR(D138=$B$2,D138=$B$3),1,0))</f>
        <v>#N/A</v>
      </c>
      <c r="J138" s="0" t="str">
        <v>Mind Blown</v>
      </c>
      <c r="K138" s="0" t="str">
        <f aca="false">IF(ISBLANK(J138),,J138&amp;", ")</f>
        <v>Mind Blown,</v>
      </c>
      <c r="L138" s="0" t="str">
        <f aca="false" t="array" ref="L138:L138">IF(ISBLANK(J138),,INDEX('0.2.1 Move Compare'!$B$2:$B1011,MATCH(J138,'0.2.1 Move Compare'!$A$2:$A1011,0)))</f>
        <v>Fire</v>
      </c>
      <c r="M138" s="0" t="e">
        <f aca="true">IF(OR($E$1=0,ISBLANK(J138)),,COUNTIF(INDIRECT("'0.0.2 Pokémon Learnset (Core)'!D$"&amp;$E$2&amp;":FG$"&amp;$E$2),J138))</f>
        <v>#VALUE!</v>
      </c>
      <c r="N138" s="0" t="e">
        <f aca="false">IF(ISBLANK(J138),,IF(OR(L138=$B$2,L138=$B$3),1,0))</f>
        <v>#N/A</v>
      </c>
    </row>
    <row r="139" customFormat="false" ht="15.75" hidden="false" customHeight="false" outlineLevel="0" collapsed="false">
      <c r="B139" s="0" t="str">
        <v>Rock Blast</v>
      </c>
      <c r="C139" s="0" t="str">
        <f aca="false">IF(ISBLANK(B139),,B139&amp;", ")</f>
        <v>Rock Blast,</v>
      </c>
      <c r="D139" s="0" t="str">
        <f aca="false" t="array" ref="D139:D139">IF(ISBLANK(B139),,INDEX('0.2.1 Move Compare'!$B$2:$B1011,MATCH(B139,'0.2.1 Move Compare'!$A$2:$A1011,0)))</f>
        <v>Rock</v>
      </c>
      <c r="E139" s="0" t="n">
        <f aca="false" t="array" ref="E139:E139">IF(ISBLANK(B139),,IF(INDEX('0.1.2 Attack Dex (GO)'!C132:C1011,MATCH(B139,'0.1.2 Attack Dex (GO)'!A132:A1011,0))="Fast",1,0))</f>
        <v>0</v>
      </c>
      <c r="F139" s="0" t="e">
        <f aca="true">IF(OR($E$1=0,ISBLANK(B139)),,COUNTIF(INDIRECT("'0.0.2 Pokémon Learnset (Core)'!D$"&amp;$E$2&amp;":FG$"&amp;$E$2),B139))</f>
        <v>#VALUE!</v>
      </c>
      <c r="G139" s="0" t="e">
        <f aca="true">IF(ISBLANK(F139),,COUNTIF(INDIRECT("'0.1.1 Pokémon GO Moves'!C"&amp;$E$3&amp;":R$"&amp;$E$3),B139))</f>
        <v>#N/A</v>
      </c>
      <c r="H139" s="0" t="e">
        <f aca="false">IF(ISBLANK(F139),,IF(OR(D139=$B$2,D139=$B$3),1,0))</f>
        <v>#N/A</v>
      </c>
      <c r="J139" s="0" t="str">
        <v>Mirror Shot</v>
      </c>
      <c r="K139" s="0" t="str">
        <f aca="false">IF(ISBLANK(J139),,J139&amp;", ")</f>
        <v>Mirror Shot,</v>
      </c>
      <c r="L139" s="0" t="str">
        <f aca="false" t="array" ref="L139:L139">IF(ISBLANK(J139),,INDEX('0.2.1 Move Compare'!$B$2:$B1011,MATCH(J139,'0.2.1 Move Compare'!$A$2:$A1011,0)))</f>
        <v>Steel</v>
      </c>
      <c r="M139" s="0" t="e">
        <f aca="true">IF(OR($E$1=0,ISBLANK(J139)),,COUNTIF(INDIRECT("'0.0.2 Pokémon Learnset (Core)'!D$"&amp;$E$2&amp;":FG$"&amp;$E$2),J139))</f>
        <v>#VALUE!</v>
      </c>
      <c r="N139" s="0" t="e">
        <f aca="false">IF(ISBLANK(J139),,IF(OR(L139=$B$2,L139=$B$3),1,0))</f>
        <v>#N/A</v>
      </c>
    </row>
    <row r="140" customFormat="false" ht="15.75" hidden="false" customHeight="false" outlineLevel="0" collapsed="false">
      <c r="B140" s="0" t="str">
        <v>Rock Slide</v>
      </c>
      <c r="C140" s="0" t="str">
        <f aca="false">IF(ISBLANK(B140),,B140&amp;", ")</f>
        <v>Rock Slide,</v>
      </c>
      <c r="D140" s="0" t="str">
        <f aca="false" t="array" ref="D140:D140">IF(ISBLANK(B140),,INDEX('0.2.1 Move Compare'!$B$2:$B1011,MATCH(B140,'0.2.1 Move Compare'!$A$2:$A1011,0)))</f>
        <v>Rock</v>
      </c>
      <c r="E140" s="0" t="n">
        <f aca="false" t="array" ref="E140:E140">IF(ISBLANK(B140),,IF(INDEX('0.1.2 Attack Dex (GO)'!C133:C1011,MATCH(B140,'0.1.2 Attack Dex (GO)'!A133:A1011,0))="Fast",1,0))</f>
        <v>0</v>
      </c>
      <c r="F140" s="0" t="e">
        <f aca="true">IF(OR($E$1=0,ISBLANK(B140)),,COUNTIF(INDIRECT("'0.0.2 Pokémon Learnset (Core)'!D$"&amp;$E$2&amp;":FG$"&amp;$E$2),B140))</f>
        <v>#VALUE!</v>
      </c>
      <c r="G140" s="0" t="e">
        <f aca="true">IF(ISBLANK(F140),,COUNTIF(INDIRECT("'0.1.1 Pokémon GO Moves'!C"&amp;$E$3&amp;":R$"&amp;$E$3),B140))</f>
        <v>#N/A</v>
      </c>
      <c r="H140" s="0" t="e">
        <f aca="false">IF(ISBLANK(F140),,IF(OR(D140=$B$2,D140=$B$3),1,0))</f>
        <v>#N/A</v>
      </c>
      <c r="J140" s="0" t="str">
        <v>Mist Ball</v>
      </c>
      <c r="K140" s="0" t="str">
        <f aca="false">IF(ISBLANK(J140),,J140&amp;", ")</f>
        <v>Mist Ball,</v>
      </c>
      <c r="L140" s="0" t="str">
        <f aca="false" t="array" ref="L140:L140">IF(ISBLANK(J140),,INDEX('0.2.1 Move Compare'!$B$2:$B1011,MATCH(J140,'0.2.1 Move Compare'!$A$2:$A1011,0)))</f>
        <v>Psychic</v>
      </c>
      <c r="M140" s="0" t="e">
        <f aca="true">IF(OR($E$1=0,ISBLANK(J140)),,COUNTIF(INDIRECT("'0.0.2 Pokémon Learnset (Core)'!D$"&amp;$E$2&amp;":FG$"&amp;$E$2),J140))</f>
        <v>#VALUE!</v>
      </c>
      <c r="N140" s="0" t="e">
        <f aca="false">IF(ISBLANK(J140),,IF(OR(L140=$B$2,L140=$B$3),1,0))</f>
        <v>#N/A</v>
      </c>
    </row>
    <row r="141" customFormat="false" ht="15.75" hidden="false" customHeight="false" outlineLevel="0" collapsed="false">
      <c r="B141" s="0" t="str">
        <v>Rock Smash</v>
      </c>
      <c r="C141" s="0" t="str">
        <f aca="false">IF(ISBLANK(B141),,B141&amp;", ")</f>
        <v>Rock Smash,</v>
      </c>
      <c r="D141" s="0" t="str">
        <f aca="false" t="array" ref="D141:D141">IF(ISBLANK(B141),,INDEX('0.2.1 Move Compare'!$B$2:$B1011,MATCH(B141,'0.2.1 Move Compare'!$A$2:$A1011,0)))</f>
        <v>Fighting</v>
      </c>
      <c r="E141" s="0" t="n">
        <f aca="false" t="array" ref="E141:E141">IF(ISBLANK(B141),,IF(INDEX('0.1.2 Attack Dex (GO)'!C134:C1011,MATCH(B141,'0.1.2 Attack Dex (GO)'!A134:A1011,0))="Fast",1,0))</f>
        <v>1</v>
      </c>
      <c r="F141" s="0" t="e">
        <f aca="true">IF(OR($E$1=0,ISBLANK(B141)),,COUNTIF(INDIRECT("'0.0.2 Pokémon Learnset (Core)'!D$"&amp;$E$2&amp;":FG$"&amp;$E$2),B141))</f>
        <v>#VALUE!</v>
      </c>
      <c r="G141" s="0" t="e">
        <f aca="true">IF(ISBLANK(F141),,COUNTIF(INDIRECT("'0.1.1 Pokémon GO Moves'!C"&amp;$E$3&amp;":R$"&amp;$E$3),B141))</f>
        <v>#N/A</v>
      </c>
      <c r="H141" s="0" t="e">
        <f aca="false">IF(ISBLANK(F141),,IF(OR(D141=$B$2,D141=$B$3),1,0))</f>
        <v>#N/A</v>
      </c>
      <c r="J141" s="0" t="str">
        <v>Moongeist Beam</v>
      </c>
      <c r="K141" s="0" t="str">
        <f aca="false">IF(ISBLANK(J141),,J141&amp;", ")</f>
        <v>Moongeist Beam,</v>
      </c>
      <c r="L141" s="0" t="str">
        <f aca="false" t="array" ref="L141:L141">IF(ISBLANK(J141),,INDEX('0.2.1 Move Compare'!$B$2:$B1011,MATCH(J141,'0.2.1 Move Compare'!$A$2:$A1011,0)))</f>
        <v>Ghost</v>
      </c>
      <c r="M141" s="0" t="e">
        <f aca="true">IF(OR($E$1=0,ISBLANK(J141)),,COUNTIF(INDIRECT("'0.0.2 Pokémon Learnset (Core)'!D$"&amp;$E$2&amp;":FG$"&amp;$E$2),J141))</f>
        <v>#VALUE!</v>
      </c>
      <c r="N141" s="0" t="e">
        <f aca="false">IF(ISBLANK(J141),,IF(OR(L141=$B$2,L141=$B$3),1,0))</f>
        <v>#N/A</v>
      </c>
    </row>
    <row r="142" customFormat="false" ht="15.75" hidden="false" customHeight="false" outlineLevel="0" collapsed="false">
      <c r="B142" s="0" t="str">
        <v>Rock Throw</v>
      </c>
      <c r="C142" s="0" t="str">
        <f aca="false">IF(ISBLANK(B142),,B142&amp;", ")</f>
        <v>Rock Throw,</v>
      </c>
      <c r="D142" s="0" t="str">
        <f aca="false" t="array" ref="D142:D142">IF(ISBLANK(B142),,INDEX('0.2.1 Move Compare'!$B$2:$B1011,MATCH(B142,'0.2.1 Move Compare'!$A$2:$A1011,0)))</f>
        <v>Rock</v>
      </c>
      <c r="E142" s="0" t="n">
        <f aca="false" t="array" ref="E142:E142">IF(ISBLANK(B142),,IF(INDEX('0.1.2 Attack Dex (GO)'!C135:C1011,MATCH(B142,'0.1.2 Attack Dex (GO)'!A135:A1011,0))="Fast",1,0))</f>
        <v>1</v>
      </c>
      <c r="F142" s="0" t="e">
        <f aca="true">IF(OR($E$1=0,ISBLANK(B142)),,COUNTIF(INDIRECT("'0.0.2 Pokémon Learnset (Core)'!D$"&amp;$E$2&amp;":FG$"&amp;$E$2),B142))</f>
        <v>#VALUE!</v>
      </c>
      <c r="G142" s="0" t="e">
        <f aca="true">IF(ISBLANK(F142),,COUNTIF(INDIRECT("'0.1.1 Pokémon GO Moves'!C"&amp;$E$3&amp;":R$"&amp;$E$3),B142))</f>
        <v>#N/A</v>
      </c>
      <c r="H142" s="0" t="e">
        <f aca="false">IF(ISBLANK(F142),,IF(OR(D142=$B$2,D142=$B$3),1,0))</f>
        <v>#N/A</v>
      </c>
      <c r="J142" s="0" t="str">
        <v>Muddy Water</v>
      </c>
      <c r="K142" s="0" t="str">
        <f aca="false">IF(ISBLANK(J142),,J142&amp;", ")</f>
        <v>Muddy Water,</v>
      </c>
      <c r="L142" s="0" t="str">
        <f aca="false" t="array" ref="L142:L142">IF(ISBLANK(J142),,INDEX('0.2.1 Move Compare'!$B$2:$B1011,MATCH(J142,'0.2.1 Move Compare'!$A$2:$A1011,0)))</f>
        <v>Water</v>
      </c>
      <c r="M142" s="0" t="e">
        <f aca="true">IF(OR($E$1=0,ISBLANK(J142)),,COUNTIF(INDIRECT("'0.0.2 Pokémon Learnset (Core)'!D$"&amp;$E$2&amp;":FG$"&amp;$E$2),J142))</f>
        <v>#VALUE!</v>
      </c>
      <c r="N142" s="0" t="e">
        <f aca="false">IF(ISBLANK(J142),,IF(OR(L142=$B$2,L142=$B$3),1,0))</f>
        <v>#N/A</v>
      </c>
    </row>
    <row r="143" customFormat="false" ht="15.75" hidden="false" customHeight="false" outlineLevel="0" collapsed="false">
      <c r="B143" s="0" t="str">
        <v>Rock Tomb</v>
      </c>
      <c r="C143" s="0" t="str">
        <f aca="false">IF(ISBLANK(B143),,B143&amp;", ")</f>
        <v>Rock Tomb,</v>
      </c>
      <c r="D143" s="0" t="str">
        <f aca="false" t="array" ref="D143:D143">IF(ISBLANK(B143),,INDEX('0.2.1 Move Compare'!$B$2:$B1011,MATCH(B143,'0.2.1 Move Compare'!$A$2:$A1011,0)))</f>
        <v>Rock</v>
      </c>
      <c r="E143" s="0" t="n">
        <f aca="false" t="array" ref="E143:E143">IF(ISBLANK(B143),,IF(INDEX('0.1.2 Attack Dex (GO)'!C136:C1011,MATCH(B143,'0.1.2 Attack Dex (GO)'!A136:A1011,0))="Fast",1,0))</f>
        <v>0</v>
      </c>
      <c r="F143" s="0" t="e">
        <f aca="true">IF(OR($E$1=0,ISBLANK(B143)),,COUNTIF(INDIRECT("'0.0.2 Pokémon Learnset (Core)'!D$"&amp;$E$2&amp;":FG$"&amp;$E$2),B143))</f>
        <v>#VALUE!</v>
      </c>
      <c r="G143" s="0" t="e">
        <f aca="true">IF(ISBLANK(F143),,COUNTIF(INDIRECT("'0.1.1 Pokémon GO Moves'!C"&amp;$E$3&amp;":R$"&amp;$E$3),B143))</f>
        <v>#N/A</v>
      </c>
      <c r="H143" s="0" t="e">
        <f aca="false">IF(ISBLANK(F143),,IF(OR(D143=$B$2,D143=$B$3),1,0))</f>
        <v>#N/A</v>
      </c>
      <c r="J143" s="0" t="str">
        <v>Multi-Attack</v>
      </c>
      <c r="K143" s="0" t="str">
        <f aca="false">IF(ISBLANK(J143),,J143&amp;", ")</f>
        <v>Multi-Attack,</v>
      </c>
      <c r="L143" s="0" t="str">
        <f aca="false" t="array" ref="L143:L143">IF(ISBLANK(J143),,INDEX('0.2.1 Move Compare'!$B$2:$B1011,MATCH(J143,'0.2.1 Move Compare'!$A$2:$A1011,0)))</f>
        <v>Normal</v>
      </c>
      <c r="M143" s="0" t="e">
        <f aca="true">IF(OR($E$1=0,ISBLANK(J143)),,COUNTIF(INDIRECT("'0.0.2 Pokémon Learnset (Core)'!D$"&amp;$E$2&amp;":FG$"&amp;$E$2),J143))</f>
        <v>#VALUE!</v>
      </c>
      <c r="N143" s="0" t="e">
        <f aca="false">IF(ISBLANK(J143),,IF(OR(L143=$B$2,L143=$B$3),1,0))</f>
        <v>#N/A</v>
      </c>
    </row>
    <row r="144" customFormat="false" ht="15.75" hidden="false" customHeight="false" outlineLevel="0" collapsed="false">
      <c r="B144" s="0" t="str">
        <v>Sand Tomb</v>
      </c>
      <c r="C144" s="0" t="str">
        <f aca="false">IF(ISBLANK(B144),,B144&amp;", ")</f>
        <v>Sand Tomb,</v>
      </c>
      <c r="D144" s="0" t="str">
        <f aca="false" t="array" ref="D144:D144">IF(ISBLANK(B144),,INDEX('0.2.1 Move Compare'!$B$2:$B1011,MATCH(B144,'0.2.1 Move Compare'!$A$2:$A1011,0)))</f>
        <v>Ground</v>
      </c>
      <c r="E144" s="0" t="n">
        <f aca="false" t="array" ref="E144:E144">IF(ISBLANK(B144),,IF(INDEX('0.1.2 Attack Dex (GO)'!C137:C1011,MATCH(B144,'0.1.2 Attack Dex (GO)'!A137:A1011,0))="Fast",1,0))</f>
        <v>0</v>
      </c>
      <c r="F144" s="0" t="e">
        <f aca="true">IF(OR($E$1=0,ISBLANK(B144)),,COUNTIF(INDIRECT("'0.0.2 Pokémon Learnset (Core)'!D$"&amp;$E$2&amp;":FG$"&amp;$E$2),B144))</f>
        <v>#VALUE!</v>
      </c>
      <c r="G144" s="0" t="e">
        <f aca="true">IF(ISBLANK(F144),,COUNTIF(INDIRECT("'0.1.1 Pokémon GO Moves'!C"&amp;$E$3&amp;":R$"&amp;$E$3),B144))</f>
        <v>#N/A</v>
      </c>
      <c r="H144" s="0" t="e">
        <f aca="false">IF(ISBLANK(F144),,IF(OR(D144=$B$2,D144=$B$3),1,0))</f>
        <v>#N/A</v>
      </c>
      <c r="J144" s="0" t="str">
        <v>Mystical Fire</v>
      </c>
      <c r="K144" s="0" t="str">
        <f aca="false">IF(ISBLANK(J144),,J144&amp;", ")</f>
        <v>Mystical Fire,</v>
      </c>
      <c r="L144" s="0" t="str">
        <f aca="false" t="array" ref="L144:L144">IF(ISBLANK(J144),,INDEX('0.2.1 Move Compare'!$B$2:$B1011,MATCH(J144,'0.2.1 Move Compare'!$A$2:$A1011,0)))</f>
        <v>Fire</v>
      </c>
      <c r="M144" s="0" t="e">
        <f aca="true">IF(OR($E$1=0,ISBLANK(J144)),,COUNTIF(INDIRECT("'0.0.2 Pokémon Learnset (Core)'!D$"&amp;$E$2&amp;":FG$"&amp;$E$2),J144))</f>
        <v>#VALUE!</v>
      </c>
      <c r="N144" s="0" t="e">
        <f aca="false">IF(ISBLANK(J144),,IF(OR(L144=$B$2,L144=$B$3),1,0))</f>
        <v>#N/A</v>
      </c>
    </row>
    <row r="145" customFormat="false" ht="15.75" hidden="false" customHeight="false" outlineLevel="0" collapsed="false">
      <c r="B145" s="0" t="str">
        <v>Scald</v>
      </c>
      <c r="C145" s="0" t="str">
        <f aca="false">IF(ISBLANK(B145),,B145&amp;", ")</f>
        <v>Scald,</v>
      </c>
      <c r="D145" s="0" t="str">
        <f aca="false" t="array" ref="D145:D145">IF(ISBLANK(B145),,INDEX('0.2.1 Move Compare'!$B$2:$B1011,MATCH(B145,'0.2.1 Move Compare'!$A$2:$A1011,0)))</f>
        <v>Water</v>
      </c>
      <c r="E145" s="0" t="n">
        <f aca="false" t="array" ref="E145:E145">IF(ISBLANK(B145),,IF(INDEX('0.1.2 Attack Dex (GO)'!C138:C1011,MATCH(B145,'0.1.2 Attack Dex (GO)'!A138:A1011,0))="Fast",1,0))</f>
        <v>0</v>
      </c>
      <c r="F145" s="0" t="e">
        <f aca="true">IF(OR($E$1=0,ISBLANK(B145)),,COUNTIF(INDIRECT("'0.0.2 Pokémon Learnset (Core)'!D$"&amp;$E$2&amp;":FG$"&amp;$E$2),B145))</f>
        <v>#VALUE!</v>
      </c>
      <c r="G145" s="0" t="e">
        <f aca="true">IF(ISBLANK(F145),,COUNTIF(INDIRECT("'0.1.1 Pokémon GO Moves'!C"&amp;$E$3&amp;":R$"&amp;$E$3),B145))</f>
        <v>#N/A</v>
      </c>
      <c r="H145" s="0" t="e">
        <f aca="false">IF(ISBLANK(F145),,IF(OR(D145=$B$2,D145=$B$3),1,0))</f>
        <v>#N/A</v>
      </c>
      <c r="J145" s="0" t="str">
        <v>Nature's Madness</v>
      </c>
      <c r="K145" s="0" t="str">
        <f aca="false">IF(ISBLANK(J145),,J145&amp;", ")</f>
        <v>Nature's Madness,</v>
      </c>
      <c r="L145" s="0" t="str">
        <f aca="false" t="array" ref="L145:L145">IF(ISBLANK(J145),,INDEX('0.2.1 Move Compare'!$B$2:$B1011,MATCH(J145,'0.2.1 Move Compare'!$A$2:$A1011,0)))</f>
        <v>Fairy</v>
      </c>
      <c r="M145" s="0" t="e">
        <f aca="true">IF(OR($E$1=0,ISBLANK(J145)),,COUNTIF(INDIRECT("'0.0.2 Pokémon Learnset (Core)'!D$"&amp;$E$2&amp;":FG$"&amp;$E$2),J145))</f>
        <v>#VALUE!</v>
      </c>
      <c r="N145" s="0" t="e">
        <f aca="false">IF(ISBLANK(J145),,IF(OR(L145=$B$2,L145=$B$3),1,0))</f>
        <v>#N/A</v>
      </c>
    </row>
    <row r="146" customFormat="false" ht="15.75" hidden="false" customHeight="false" outlineLevel="0" collapsed="false">
      <c r="B146" s="0" t="str">
        <v>Scratch</v>
      </c>
      <c r="C146" s="0" t="str">
        <f aca="false">IF(ISBLANK(B146),,B146&amp;", ")</f>
        <v>Scratch,</v>
      </c>
      <c r="D146" s="0" t="str">
        <f aca="false" t="array" ref="D146:D146">IF(ISBLANK(B146),,INDEX('0.2.1 Move Compare'!$B$2:$B1011,MATCH(B146,'0.2.1 Move Compare'!$A$2:$A1011,0)))</f>
        <v>Normal</v>
      </c>
      <c r="E146" s="0" t="n">
        <f aca="false" t="array" ref="E146:E146">IF(ISBLANK(B146),,IF(INDEX('0.1.2 Attack Dex (GO)'!C139:C1011,MATCH(B146,'0.1.2 Attack Dex (GO)'!A139:A1011,0))="Fast",1,0))</f>
        <v>1</v>
      </c>
      <c r="F146" s="0" t="e">
        <f aca="true">IF(OR($E$1=0,ISBLANK(B146)),,COUNTIF(INDIRECT("'0.0.2 Pokémon Learnset (Core)'!D$"&amp;$E$2&amp;":FG$"&amp;$E$2),B146))</f>
        <v>#VALUE!</v>
      </c>
      <c r="G146" s="0" t="e">
        <f aca="true">IF(ISBLANK(F146),,COUNTIF(INDIRECT("'0.1.1 Pokémon GO Moves'!C"&amp;$E$3&amp;":R$"&amp;$E$3),B146))</f>
        <v>#N/A</v>
      </c>
      <c r="H146" s="0" t="e">
        <f aca="false">IF(ISBLANK(F146),,IF(OR(D146=$B$2,D146=$B$3),1,0))</f>
        <v>#N/A</v>
      </c>
      <c r="J146" s="0" t="str">
        <v>Needle Arm</v>
      </c>
      <c r="K146" s="0" t="str">
        <f aca="false">IF(ISBLANK(J146),,J146&amp;", ")</f>
        <v>Needle Arm,</v>
      </c>
      <c r="L146" s="0" t="str">
        <f aca="false" t="array" ref="L146:L146">IF(ISBLANK(J146),,INDEX('0.2.1 Move Compare'!$B$2:$B1011,MATCH(J146,'0.2.1 Move Compare'!$A$2:$A1011,0)))</f>
        <v>Grass</v>
      </c>
      <c r="M146" s="0" t="e">
        <f aca="true">IF(OR($E$1=0,ISBLANK(J146)),,COUNTIF(INDIRECT("'0.0.2 Pokémon Learnset (Core)'!D$"&amp;$E$2&amp;":FG$"&amp;$E$2),J146))</f>
        <v>#VALUE!</v>
      </c>
      <c r="N146" s="0" t="e">
        <f aca="false">IF(ISBLANK(J146),,IF(OR(L146=$B$2,L146=$B$3),1,0))</f>
        <v>#N/A</v>
      </c>
    </row>
    <row r="147" customFormat="false" ht="15.75" hidden="false" customHeight="false" outlineLevel="0" collapsed="false">
      <c r="B147" s="0" t="str">
        <v>Seed Bomb</v>
      </c>
      <c r="C147" s="0" t="str">
        <f aca="false">IF(ISBLANK(B147),,B147&amp;", ")</f>
        <v>Seed Bomb,</v>
      </c>
      <c r="D147" s="0" t="str">
        <f aca="false" t="array" ref="D147:D147">IF(ISBLANK(B147),,INDEX('0.2.1 Move Compare'!$B$2:$B1011,MATCH(B147,'0.2.1 Move Compare'!$A$2:$A1011,0)))</f>
        <v>Grass</v>
      </c>
      <c r="E147" s="0" t="n">
        <f aca="false" t="array" ref="E147:E147">IF(ISBLANK(B147),,IF(INDEX('0.1.2 Attack Dex (GO)'!C140:C1011,MATCH(B147,'0.1.2 Attack Dex (GO)'!A140:A1011,0))="Fast",1,0))</f>
        <v>0</v>
      </c>
      <c r="F147" s="0" t="e">
        <f aca="true">IF(OR($E$1=0,ISBLANK(B147)),,COUNTIF(INDIRECT("'0.0.2 Pokémon Learnset (Core)'!D$"&amp;$E$2&amp;":FG$"&amp;$E$2),B147))</f>
        <v>#VALUE!</v>
      </c>
      <c r="G147" s="0" t="e">
        <f aca="true">IF(ISBLANK(F147),,COUNTIF(INDIRECT("'0.1.1 Pokémon GO Moves'!C"&amp;$E$3&amp;":R$"&amp;$E$3),B147))</f>
        <v>#N/A</v>
      </c>
      <c r="H147" s="0" t="e">
        <f aca="false">IF(ISBLANK(F147),,IF(OR(D147=$B$2,D147=$B$3),1,0))</f>
        <v>#N/A</v>
      </c>
      <c r="J147" s="0" t="str">
        <v>Night Daze</v>
      </c>
      <c r="K147" s="0" t="str">
        <f aca="false">IF(ISBLANK(J147),,J147&amp;", ")</f>
        <v>Night Daze,</v>
      </c>
      <c r="L147" s="0" t="str">
        <f aca="false" t="array" ref="L147:L147">IF(ISBLANK(J147),,INDEX('0.2.1 Move Compare'!$B$2:$B1011,MATCH(J147,'0.2.1 Move Compare'!$A$2:$A1011,0)))</f>
        <v>Dark</v>
      </c>
      <c r="M147" s="0" t="e">
        <f aca="true">IF(OR($E$1=0,ISBLANK(J147)),,COUNTIF(INDIRECT("'0.0.2 Pokémon Learnset (Core)'!D$"&amp;$E$2&amp;":FG$"&amp;$E$2),J147))</f>
        <v>#VALUE!</v>
      </c>
      <c r="N147" s="0" t="e">
        <f aca="false">IF(ISBLANK(J147),,IF(OR(L147=$B$2,L147=$B$3),1,0))</f>
        <v>#N/A</v>
      </c>
    </row>
    <row r="148" customFormat="false" ht="15.75" hidden="false" customHeight="false" outlineLevel="0" collapsed="false">
      <c r="B148" s="0" t="str">
        <v>Shadow Ball</v>
      </c>
      <c r="C148" s="0" t="str">
        <f aca="false">IF(ISBLANK(B148),,B148&amp;", ")</f>
        <v>Shadow Ball,</v>
      </c>
      <c r="D148" s="0" t="str">
        <f aca="false" t="array" ref="D148:D148">IF(ISBLANK(B148),,INDEX('0.2.1 Move Compare'!$B$2:$B1011,MATCH(B148,'0.2.1 Move Compare'!$A$2:$A1011,0)))</f>
        <v>Ghost</v>
      </c>
      <c r="E148" s="0" t="n">
        <f aca="false" t="array" ref="E148:E148">IF(ISBLANK(B148),,IF(INDEX('0.1.2 Attack Dex (GO)'!C141:C1011,MATCH(B148,'0.1.2 Attack Dex (GO)'!A141:A1011,0))="Fast",1,0))</f>
        <v>0</v>
      </c>
      <c r="F148" s="0" t="e">
        <f aca="true">IF(OR($E$1=0,ISBLANK(B148)),,COUNTIF(INDIRECT("'0.0.2 Pokémon Learnset (Core)'!D$"&amp;$E$2&amp;":FG$"&amp;$E$2),B148))</f>
        <v>#VALUE!</v>
      </c>
      <c r="G148" s="0" t="e">
        <f aca="true">IF(ISBLANK(F148),,COUNTIF(INDIRECT("'0.1.1 Pokémon GO Moves'!C"&amp;$E$3&amp;":R$"&amp;$E$3),B148))</f>
        <v>#N/A</v>
      </c>
      <c r="H148" s="0" t="e">
        <f aca="false">IF(ISBLANK(F148),,IF(OR(D148=$B$2,D148=$B$3),1,0))</f>
        <v>#N/A</v>
      </c>
      <c r="J148" s="0" t="str">
        <v>Nuzzle</v>
      </c>
      <c r="K148" s="0" t="str">
        <f aca="false">IF(ISBLANK(J148),,J148&amp;", ")</f>
        <v>Nuzzle,</v>
      </c>
      <c r="L148" s="0" t="str">
        <f aca="false" t="array" ref="L148:L148">IF(ISBLANK(J148),,INDEX('0.2.1 Move Compare'!$B$2:$B1011,MATCH(J148,'0.2.1 Move Compare'!$A$2:$A1011,0)))</f>
        <v>Electric</v>
      </c>
      <c r="M148" s="0" t="e">
        <f aca="true">IF(OR($E$1=0,ISBLANK(J148)),,COUNTIF(INDIRECT("'0.0.2 Pokémon Learnset (Core)'!D$"&amp;$E$2&amp;":FG$"&amp;$E$2),J148))</f>
        <v>#VALUE!</v>
      </c>
      <c r="N148" s="0" t="e">
        <f aca="false">IF(ISBLANK(J148),,IF(OR(L148=$B$2,L148=$B$3),1,0))</f>
        <v>#N/A</v>
      </c>
    </row>
    <row r="149" customFormat="false" ht="15.75" hidden="false" customHeight="false" outlineLevel="0" collapsed="false">
      <c r="B149" s="0" t="str">
        <v>Shadow Claw</v>
      </c>
      <c r="C149" s="0" t="str">
        <f aca="false">IF(ISBLANK(B149),,B149&amp;", ")</f>
        <v>Shadow Claw,</v>
      </c>
      <c r="D149" s="0" t="str">
        <f aca="false" t="array" ref="D149:D149">IF(ISBLANK(B149),,INDEX('0.2.1 Move Compare'!$B$2:$B1011,MATCH(B149,'0.2.1 Move Compare'!$A$2:$A1011,0)))</f>
        <v>Ghost</v>
      </c>
      <c r="E149" s="0" t="n">
        <f aca="false" t="array" ref="E149:E149">IF(ISBLANK(B149),,IF(INDEX('0.1.2 Attack Dex (GO)'!C142:C1011,MATCH(B149,'0.1.2 Attack Dex (GO)'!A142:A1011,0))="Fast",1,0))</f>
        <v>1</v>
      </c>
      <c r="F149" s="0" t="e">
        <f aca="true">IF(OR($E$1=0,ISBLANK(B149)),,COUNTIF(INDIRECT("'0.0.2 Pokémon Learnset (Core)'!D$"&amp;$E$2&amp;":FG$"&amp;$E$2),B149))</f>
        <v>#VALUE!</v>
      </c>
      <c r="G149" s="0" t="e">
        <f aca="true">IF(ISBLANK(F149),,COUNTIF(INDIRECT("'0.1.1 Pokémon GO Moves'!C"&amp;$E$3&amp;":R$"&amp;$E$3),B149))</f>
        <v>#N/A</v>
      </c>
      <c r="H149" s="0" t="e">
        <f aca="false">IF(ISBLANK(F149),,IF(OR(D149=$B$2,D149=$B$3),1,0))</f>
        <v>#N/A</v>
      </c>
      <c r="J149" s="0" t="str">
        <v>Oblivion Wing</v>
      </c>
      <c r="K149" s="0" t="str">
        <f aca="false">IF(ISBLANK(J149),,J149&amp;", ")</f>
        <v>Oblivion Wing,</v>
      </c>
      <c r="L149" s="0" t="str">
        <f aca="false" t="array" ref="L149:L149">IF(ISBLANK(J149),,INDEX('0.2.1 Move Compare'!$B$2:$B1011,MATCH(J149,'0.2.1 Move Compare'!$A$2:$A1011,0)))</f>
        <v>Flying</v>
      </c>
      <c r="M149" s="0" t="e">
        <f aca="true">IF(OR($E$1=0,ISBLANK(J149)),,COUNTIF(INDIRECT("'0.0.2 Pokémon Learnset (Core)'!D$"&amp;$E$2&amp;":FG$"&amp;$E$2),J149))</f>
        <v>#VALUE!</v>
      </c>
      <c r="N149" s="0" t="e">
        <f aca="false">IF(ISBLANK(J149),,IF(OR(L149=$B$2,L149=$B$3),1,0))</f>
        <v>#N/A</v>
      </c>
    </row>
    <row r="150" customFormat="false" ht="15.75" hidden="false" customHeight="false" outlineLevel="0" collapsed="false">
      <c r="B150" s="0" t="str">
        <v>Shadow Punch</v>
      </c>
      <c r="C150" s="0" t="str">
        <f aca="false">IF(ISBLANK(B150),,B150&amp;", ")</f>
        <v>Shadow Punch,</v>
      </c>
      <c r="D150" s="0" t="str">
        <f aca="false" t="array" ref="D150:D150">IF(ISBLANK(B150),,INDEX('0.2.1 Move Compare'!$B$2:$B1011,MATCH(B150,'0.2.1 Move Compare'!$A$2:$A1011,0)))</f>
        <v>Ghost</v>
      </c>
      <c r="E150" s="0" t="n">
        <f aca="false" t="array" ref="E150:E150">IF(ISBLANK(B150),,IF(INDEX('0.1.2 Attack Dex (GO)'!C143:C1011,MATCH(B150,'0.1.2 Attack Dex (GO)'!A143:A1011,0))="Fast",1,0))</f>
        <v>0</v>
      </c>
      <c r="F150" s="0" t="e">
        <f aca="true">IF(OR($E$1=0,ISBLANK(B150)),,COUNTIF(INDIRECT("'0.0.2 Pokémon Learnset (Core)'!D$"&amp;$E$2&amp;":FG$"&amp;$E$2),B150))</f>
        <v>#VALUE!</v>
      </c>
      <c r="G150" s="0" t="e">
        <f aca="true">IF(ISBLANK(F150),,COUNTIF(INDIRECT("'0.1.1 Pokémon GO Moves'!C"&amp;$E$3&amp;":R$"&amp;$E$3),B150))</f>
        <v>#N/A</v>
      </c>
      <c r="H150" s="0" t="e">
        <f aca="false">IF(ISBLANK(F150),,IF(OR(D150=$B$2,D150=$B$3),1,0))</f>
        <v>#N/A</v>
      </c>
      <c r="J150" s="0" t="str">
        <v>Octazooka</v>
      </c>
      <c r="K150" s="0" t="str">
        <f aca="false">IF(ISBLANK(J150),,J150&amp;", ")</f>
        <v>Octazooka,</v>
      </c>
      <c r="L150" s="0" t="str">
        <f aca="false" t="array" ref="L150:L150">IF(ISBLANK(J150),,INDEX('0.2.1 Move Compare'!$B$2:$B1011,MATCH(J150,'0.2.1 Move Compare'!$A$2:$A1011,0)))</f>
        <v>Water</v>
      </c>
      <c r="M150" s="0" t="e">
        <f aca="true">IF(OR($E$1=0,ISBLANK(J150)),,COUNTIF(INDIRECT("'0.0.2 Pokémon Learnset (Core)'!D$"&amp;$E$2&amp;":FG$"&amp;$E$2),J150))</f>
        <v>#VALUE!</v>
      </c>
      <c r="N150" s="0" t="e">
        <f aca="false">IF(ISBLANK(J150),,IF(OR(L150=$B$2,L150=$B$3),1,0))</f>
        <v>#N/A</v>
      </c>
    </row>
    <row r="151" customFormat="false" ht="15.75" hidden="false" customHeight="false" outlineLevel="0" collapsed="false">
      <c r="B151" s="0" t="str">
        <v>Shadow Sneak</v>
      </c>
      <c r="C151" s="0" t="str">
        <f aca="false">IF(ISBLANK(B151),,B151&amp;", ")</f>
        <v>Shadow Sneak,</v>
      </c>
      <c r="D151" s="0" t="str">
        <f aca="false" t="array" ref="D151:D151">IF(ISBLANK(B151),,INDEX('0.2.1 Move Compare'!$B$2:$B1011,MATCH(B151,'0.2.1 Move Compare'!$A$2:$A1011,0)))</f>
        <v>Ghost</v>
      </c>
      <c r="E151" s="0" t="n">
        <f aca="false" t="array" ref="E151:E151">IF(ISBLANK(B151),,IF(INDEX('0.1.2 Attack Dex (GO)'!C144:C1011,MATCH(B151,'0.1.2 Attack Dex (GO)'!A144:A1011,0))="Fast",1,0))</f>
        <v>0</v>
      </c>
      <c r="F151" s="0" t="e">
        <f aca="true">IF(OR($E$1=0,ISBLANK(B151)),,COUNTIF(INDIRECT("'0.0.2 Pokémon Learnset (Core)'!D$"&amp;$E$2&amp;":FG$"&amp;$E$2),B151))</f>
        <v>#VALUE!</v>
      </c>
      <c r="G151" s="0" t="e">
        <f aca="true">IF(ISBLANK(F151),,COUNTIF(INDIRECT("'0.1.1 Pokémon GO Moves'!C"&amp;$E$3&amp;":R$"&amp;$E$3),B151))</f>
        <v>#N/A</v>
      </c>
      <c r="H151" s="0" t="e">
        <f aca="false">IF(ISBLANK(F151),,IF(OR(D151=$B$2,D151=$B$3),1,0))</f>
        <v>#N/A</v>
      </c>
      <c r="J151" s="0" t="str">
        <v>Pay Day</v>
      </c>
      <c r="K151" s="0" t="str">
        <f aca="false">IF(ISBLANK(J151),,J151&amp;", ")</f>
        <v>Pay Day,</v>
      </c>
      <c r="L151" s="0" t="str">
        <f aca="false" t="array" ref="L151:L151">IF(ISBLANK(J151),,INDEX('0.2.1 Move Compare'!$B$2:$B1011,MATCH(J151,'0.2.1 Move Compare'!$A$2:$A1011,0)))</f>
        <v>Normal</v>
      </c>
      <c r="M151" s="0" t="e">
        <f aca="true">IF(OR($E$1=0,ISBLANK(J151)),,COUNTIF(INDIRECT("'0.0.2 Pokémon Learnset (Core)'!D$"&amp;$E$2&amp;":FG$"&amp;$E$2),J151))</f>
        <v>#VALUE!</v>
      </c>
      <c r="N151" s="0" t="e">
        <f aca="false">IF(ISBLANK(J151),,IF(OR(L151=$B$2,L151=$B$3),1,0))</f>
        <v>#N/A</v>
      </c>
    </row>
    <row r="152" customFormat="false" ht="15.75" hidden="false" customHeight="false" outlineLevel="0" collapsed="false">
      <c r="B152" s="0" t="str">
        <v>Signal Beam</v>
      </c>
      <c r="C152" s="0" t="str">
        <f aca="false">IF(ISBLANK(B152),,B152&amp;", ")</f>
        <v>Signal Beam,</v>
      </c>
      <c r="D152" s="0" t="str">
        <f aca="false" t="array" ref="D152:D152">IF(ISBLANK(B152),,INDEX('0.2.1 Move Compare'!$B$2:$B1011,MATCH(B152,'0.2.1 Move Compare'!$A$2:$A1011,0)))</f>
        <v>Bug</v>
      </c>
      <c r="E152" s="0" t="n">
        <f aca="false" t="array" ref="E152:E152">IF(ISBLANK(B152),,IF(INDEX('0.1.2 Attack Dex (GO)'!C145:C1011,MATCH(B152,'0.1.2 Attack Dex (GO)'!A145:A1011,0))="Fast",1,0))</f>
        <v>0</v>
      </c>
      <c r="F152" s="0" t="e">
        <f aca="true">IF(OR($E$1=0,ISBLANK(B152)),,COUNTIF(INDIRECT("'0.0.2 Pokémon Learnset (Core)'!D$"&amp;$E$2&amp;":FG$"&amp;$E$2),B152))</f>
        <v>#VALUE!</v>
      </c>
      <c r="G152" s="0" t="e">
        <f aca="true">IF(ISBLANK(F152),,COUNTIF(INDIRECT("'0.1.1 Pokémon GO Moves'!C"&amp;$E$3&amp;":R$"&amp;$E$3),B152))</f>
        <v>#N/A</v>
      </c>
      <c r="H152" s="0" t="e">
        <f aca="false">IF(ISBLANK(F152),,IF(OR(D152=$B$2,D152=$B$3),1,0))</f>
        <v>#N/A</v>
      </c>
      <c r="J152" s="0" t="str">
        <v>Payback</v>
      </c>
      <c r="K152" s="0" t="str">
        <f aca="false">IF(ISBLANK(J152),,J152&amp;", ")</f>
        <v>Payback,</v>
      </c>
      <c r="L152" s="0" t="str">
        <f aca="false" t="array" ref="L152:L152">IF(ISBLANK(J152),,INDEX('0.2.1 Move Compare'!$B$2:$B1011,MATCH(J152,'0.2.1 Move Compare'!$A$2:$A1011,0)))</f>
        <v>Dark</v>
      </c>
      <c r="M152" s="0" t="e">
        <f aca="true">IF(OR($E$1=0,ISBLANK(J152)),,COUNTIF(INDIRECT("'0.0.2 Pokémon Learnset (Core)'!D$"&amp;$E$2&amp;":FG$"&amp;$E$2),J152))</f>
        <v>#VALUE!</v>
      </c>
      <c r="N152" s="0" t="e">
        <f aca="false">IF(ISBLANK(J152),,IF(OR(L152=$B$2,L152=$B$3),1,0))</f>
        <v>#N/A</v>
      </c>
    </row>
    <row r="153" customFormat="false" ht="15.75" hidden="false" customHeight="false" outlineLevel="0" collapsed="false">
      <c r="B153" s="0" t="str">
        <v>Silver Wind</v>
      </c>
      <c r="C153" s="0" t="str">
        <f aca="false">IF(ISBLANK(B153),,B153&amp;", ")</f>
        <v>Silver Wind,</v>
      </c>
      <c r="D153" s="0" t="str">
        <f aca="false" t="array" ref="D153:D153">IF(ISBLANK(B153),,INDEX('0.2.1 Move Compare'!$B$2:$B1011,MATCH(B153,'0.2.1 Move Compare'!$A$2:$A1011,0)))</f>
        <v>Bug</v>
      </c>
      <c r="E153" s="0" t="n">
        <f aca="false" t="array" ref="E153:E153">IF(ISBLANK(B153),,IF(INDEX('0.1.2 Attack Dex (GO)'!C146:C1011,MATCH(B153,'0.1.2 Attack Dex (GO)'!A146:A1011,0))="Fast",1,0))</f>
        <v>0</v>
      </c>
      <c r="F153" s="0" t="e">
        <f aca="true">IF(OR($E$1=0,ISBLANK(B153)),,COUNTIF(INDIRECT("'0.0.2 Pokémon Learnset (Core)'!D$"&amp;$E$2&amp;":FG$"&amp;$E$2),B153))</f>
        <v>#VALUE!</v>
      </c>
      <c r="G153" s="0" t="e">
        <f aca="true">IF(ISBLANK(F153),,COUNTIF(INDIRECT("'0.1.1 Pokémon GO Moves'!C"&amp;$E$3&amp;":R$"&amp;$E$3),B153))</f>
        <v>#N/A</v>
      </c>
      <c r="H153" s="0" t="e">
        <f aca="false">IF(ISBLANK(F153),,IF(OR(D153=$B$2,D153=$B$3),1,0))</f>
        <v>#N/A</v>
      </c>
      <c r="J153" s="0" t="str">
        <v>Petal Dance</v>
      </c>
      <c r="K153" s="0" t="str">
        <f aca="false">IF(ISBLANK(J153),,J153&amp;", ")</f>
        <v>Petal Dance,</v>
      </c>
      <c r="L153" s="0" t="str">
        <f aca="false" t="array" ref="L153:L153">IF(ISBLANK(J153),,INDEX('0.2.1 Move Compare'!$B$2:$B1011,MATCH(J153,'0.2.1 Move Compare'!$A$2:$A1011,0)))</f>
        <v>Grass</v>
      </c>
      <c r="M153" s="0" t="e">
        <f aca="true">IF(OR($E$1=0,ISBLANK(J153)),,COUNTIF(INDIRECT("'0.0.2 Pokémon Learnset (Core)'!D$"&amp;$E$2&amp;":FG$"&amp;$E$2),J153))</f>
        <v>#VALUE!</v>
      </c>
      <c r="N153" s="0" t="e">
        <f aca="false">IF(ISBLANK(J153),,IF(OR(L153=$B$2,L153=$B$3),1,0))</f>
        <v>#N/A</v>
      </c>
    </row>
    <row r="154" customFormat="false" ht="15.75" hidden="false" customHeight="false" outlineLevel="0" collapsed="false">
      <c r="B154" s="0" t="str">
        <v>Sky Attack</v>
      </c>
      <c r="C154" s="0" t="str">
        <f aca="false">IF(ISBLANK(B154),,B154&amp;", ")</f>
        <v>Sky Attack,</v>
      </c>
      <c r="D154" s="0" t="str">
        <f aca="false" t="array" ref="D154:D154">IF(ISBLANK(B154),,INDEX('0.2.1 Move Compare'!$B$2:$B1011,MATCH(B154,'0.2.1 Move Compare'!$A$2:$A1011,0)))</f>
        <v>Flying</v>
      </c>
      <c r="E154" s="0" t="n">
        <f aca="false" t="array" ref="E154:E154">IF(ISBLANK(B154),,IF(INDEX('0.1.2 Attack Dex (GO)'!C147:C1011,MATCH(B154,'0.1.2 Attack Dex (GO)'!A147:A1011,0))="Fast",1,0))</f>
        <v>0</v>
      </c>
      <c r="F154" s="0" t="e">
        <f aca="true">IF(OR($E$1=0,ISBLANK(B154)),,COUNTIF(INDIRECT("'0.0.2 Pokémon Learnset (Core)'!D$"&amp;$E$2&amp;":FG$"&amp;$E$2),B154))</f>
        <v>#VALUE!</v>
      </c>
      <c r="G154" s="0" t="e">
        <f aca="true">IF(ISBLANK(F154),,COUNTIF(INDIRECT("'0.1.1 Pokémon GO Moves'!C"&amp;$E$3&amp;":R$"&amp;$E$3),B154))</f>
        <v>#N/A</v>
      </c>
      <c r="H154" s="0" t="e">
        <f aca="false">IF(ISBLANK(F154),,IF(OR(D154=$B$2,D154=$B$3),1,0))</f>
        <v>#N/A</v>
      </c>
      <c r="J154" s="0" t="str">
        <v>Phantom Force</v>
      </c>
      <c r="K154" s="0" t="str">
        <f aca="false">IF(ISBLANK(J154),,J154&amp;", ")</f>
        <v>Phantom Force,</v>
      </c>
      <c r="L154" s="0" t="str">
        <f aca="false" t="array" ref="L154:L154">IF(ISBLANK(J154),,INDEX('0.2.1 Move Compare'!$B$2:$B1011,MATCH(J154,'0.2.1 Move Compare'!$A$2:$A1011,0)))</f>
        <v>Ghost</v>
      </c>
      <c r="M154" s="0" t="e">
        <f aca="true">IF(OR($E$1=0,ISBLANK(J154)),,COUNTIF(INDIRECT("'0.0.2 Pokémon Learnset (Core)'!D$"&amp;$E$2&amp;":FG$"&amp;$E$2),J154))</f>
        <v>#VALUE!</v>
      </c>
      <c r="N154" s="0" t="e">
        <f aca="false">IF(ISBLANK(J154),,IF(OR(L154=$B$2,L154=$B$3),1,0))</f>
        <v>#N/A</v>
      </c>
    </row>
    <row r="155" customFormat="false" ht="15.75" hidden="false" customHeight="false" outlineLevel="0" collapsed="false">
      <c r="B155" s="0" t="str">
        <v>Sludge</v>
      </c>
      <c r="C155" s="0" t="str">
        <f aca="false">IF(ISBLANK(B155),,B155&amp;", ")</f>
        <v>Sludge,</v>
      </c>
      <c r="D155" s="0" t="str">
        <f aca="false" t="array" ref="D155:D155">IF(ISBLANK(B155),,INDEX('0.2.1 Move Compare'!$B$2:$B1011,MATCH(B155,'0.2.1 Move Compare'!$A$2:$A1011,0)))</f>
        <v>Poison</v>
      </c>
      <c r="E155" s="0" t="n">
        <f aca="false" t="array" ref="E155:E155">IF(ISBLANK(B155),,IF(INDEX('0.1.2 Attack Dex (GO)'!C148:C1011,MATCH(B155,'0.1.2 Attack Dex (GO)'!A148:A1011,0))="Fast",1,0))</f>
        <v>0</v>
      </c>
      <c r="F155" s="0" t="e">
        <f aca="true">IF(OR($E$1=0,ISBLANK(B155)),,COUNTIF(INDIRECT("'0.0.2 Pokémon Learnset (Core)'!D$"&amp;$E$2&amp;":FG$"&amp;$E$2),B155))</f>
        <v>#VALUE!</v>
      </c>
      <c r="G155" s="0" t="e">
        <f aca="true">IF(ISBLANK(F155),,COUNTIF(INDIRECT("'0.1.1 Pokémon GO Moves'!C"&amp;$E$3&amp;":R$"&amp;$E$3),B155))</f>
        <v>#N/A</v>
      </c>
      <c r="H155" s="0" t="e">
        <f aca="false">IF(ISBLANK(F155),,IF(OR(D155=$B$2,D155=$B$3),1,0))</f>
        <v>#N/A</v>
      </c>
      <c r="J155" s="0" t="str">
        <v>Photon Geyser</v>
      </c>
      <c r="K155" s="0" t="str">
        <f aca="false">IF(ISBLANK(J155),,J155&amp;", ")</f>
        <v>Photon Geyser,</v>
      </c>
      <c r="L155" s="0" t="str">
        <f aca="false" t="array" ref="L155:L155">IF(ISBLANK(J155),,INDEX('0.2.1 Move Compare'!$B$2:$B1011,MATCH(J155,'0.2.1 Move Compare'!$A$2:$A1011,0)))</f>
        <v>Psychic</v>
      </c>
      <c r="M155" s="0" t="e">
        <f aca="true">IF(OR($E$1=0,ISBLANK(J155)),,COUNTIF(INDIRECT("'0.0.2 Pokémon Learnset (Core)'!D$"&amp;$E$2&amp;":FG$"&amp;$E$2),J155))</f>
        <v>#VALUE!</v>
      </c>
      <c r="N155" s="0" t="e">
        <f aca="false">IF(ISBLANK(J155),,IF(OR(L155=$B$2,L155=$B$3),1,0))</f>
        <v>#N/A</v>
      </c>
    </row>
    <row r="156" customFormat="false" ht="15.75" hidden="false" customHeight="false" outlineLevel="0" collapsed="false">
      <c r="B156" s="0" t="str">
        <v>Sludge Bomb</v>
      </c>
      <c r="C156" s="0" t="str">
        <f aca="false">IF(ISBLANK(B156),,B156&amp;", ")</f>
        <v>Sludge Bomb,</v>
      </c>
      <c r="D156" s="0" t="str">
        <f aca="false" t="array" ref="D156:D156">IF(ISBLANK(B156),,INDEX('0.2.1 Move Compare'!$B$2:$B1011,MATCH(B156,'0.2.1 Move Compare'!$A$2:$A1011,0)))</f>
        <v>Poison</v>
      </c>
      <c r="E156" s="0" t="n">
        <f aca="false" t="array" ref="E156:E156">IF(ISBLANK(B156),,IF(INDEX('0.1.2 Attack Dex (GO)'!C149:C1011,MATCH(B156,'0.1.2 Attack Dex (GO)'!A149:A1011,0))="Fast",1,0))</f>
        <v>0</v>
      </c>
      <c r="F156" s="0" t="e">
        <f aca="true">IF(OR($E$1=0,ISBLANK(B156)),,COUNTIF(INDIRECT("'0.0.2 Pokémon Learnset (Core)'!D$"&amp;$E$2&amp;":FG$"&amp;$E$2),B156))</f>
        <v>#VALUE!</v>
      </c>
      <c r="G156" s="0" t="e">
        <f aca="true">IF(ISBLANK(F156),,COUNTIF(INDIRECT("'0.1.1 Pokémon GO Moves'!C"&amp;$E$3&amp;":R$"&amp;$E$3),B156))</f>
        <v>#N/A</v>
      </c>
      <c r="H156" s="0" t="e">
        <f aca="false">IF(ISBLANK(F156),,IF(OR(D156=$B$2,D156=$B$3),1,0))</f>
        <v>#N/A</v>
      </c>
      <c r="J156" s="0" t="str">
        <v>Pin Missile</v>
      </c>
      <c r="K156" s="0" t="str">
        <f aca="false">IF(ISBLANK(J156),,J156&amp;", ")</f>
        <v>Pin Missile,</v>
      </c>
      <c r="L156" s="0" t="str">
        <f aca="false" t="array" ref="L156:L156">IF(ISBLANK(J156),,INDEX('0.2.1 Move Compare'!$B$2:$B1011,MATCH(J156,'0.2.1 Move Compare'!$A$2:$A1011,0)))</f>
        <v>Bug</v>
      </c>
      <c r="M156" s="0" t="e">
        <f aca="true">IF(OR($E$1=0,ISBLANK(J156)),,COUNTIF(INDIRECT("'0.0.2 Pokémon Learnset (Core)'!D$"&amp;$E$2&amp;":FG$"&amp;$E$2),J156))</f>
        <v>#VALUE!</v>
      </c>
      <c r="N156" s="0" t="e">
        <f aca="false">IF(ISBLANK(J156),,IF(OR(L156=$B$2,L156=$B$3),1,0))</f>
        <v>#N/A</v>
      </c>
    </row>
    <row r="157" customFormat="false" ht="15.75" hidden="false" customHeight="false" outlineLevel="0" collapsed="false">
      <c r="B157" s="0" t="str">
        <v>Sludge Wave</v>
      </c>
      <c r="C157" s="0" t="str">
        <f aca="false">IF(ISBLANK(B157),,B157&amp;", ")</f>
        <v>Sludge Wave,</v>
      </c>
      <c r="D157" s="0" t="str">
        <f aca="false" t="array" ref="D157:D157">IF(ISBLANK(B157),,INDEX('0.2.1 Move Compare'!$B$2:$B1011,MATCH(B157,'0.2.1 Move Compare'!$A$2:$A1011,0)))</f>
        <v>Poison</v>
      </c>
      <c r="E157" s="0" t="n">
        <f aca="false" t="array" ref="E157:E157">IF(ISBLANK(B157),,IF(INDEX('0.1.2 Attack Dex (GO)'!C150:C1011,MATCH(B157,'0.1.2 Attack Dex (GO)'!A150:A1011,0))="Fast",1,0))</f>
        <v>0</v>
      </c>
      <c r="F157" s="0" t="e">
        <f aca="true">IF(OR($E$1=0,ISBLANK(B157)),,COUNTIF(INDIRECT("'0.0.2 Pokémon Learnset (Core)'!D$"&amp;$E$2&amp;":FG$"&amp;$E$2),B157))</f>
        <v>#VALUE!</v>
      </c>
      <c r="G157" s="0" t="e">
        <f aca="true">IF(ISBLANK(F157),,COUNTIF(INDIRECT("'0.1.1 Pokémon GO Moves'!C"&amp;$E$3&amp;":R$"&amp;$E$3),B157))</f>
        <v>#N/A</v>
      </c>
      <c r="H157" s="0" t="e">
        <f aca="false">IF(ISBLANK(F157),,IF(OR(D157=$B$2,D157=$B$3),1,0))</f>
        <v>#N/A</v>
      </c>
      <c r="J157" s="0" t="str">
        <v>Plasma Fists</v>
      </c>
      <c r="K157" s="0" t="str">
        <f aca="false">IF(ISBLANK(J157),,J157&amp;", ")</f>
        <v>Plasma Fists,</v>
      </c>
      <c r="L157" s="0" t="str">
        <f aca="false" t="array" ref="L157:L157">IF(ISBLANK(J157),,INDEX('0.2.1 Move Compare'!$B$2:$B1011,MATCH(J157,'0.2.1 Move Compare'!$A$2:$A1011,0)))</f>
        <v>Electric</v>
      </c>
      <c r="M157" s="0" t="e">
        <f aca="true">IF(OR($E$1=0,ISBLANK(J157)),,COUNTIF(INDIRECT("'0.0.2 Pokémon Learnset (Core)'!D$"&amp;$E$2&amp;":FG$"&amp;$E$2),J157))</f>
        <v>#VALUE!</v>
      </c>
      <c r="N157" s="0" t="e">
        <f aca="false">IF(ISBLANK(J157),,IF(OR(L157=$B$2,L157=$B$3),1,0))</f>
        <v>#N/A</v>
      </c>
    </row>
    <row r="158" customFormat="false" ht="15.75" hidden="false" customHeight="false" outlineLevel="0" collapsed="false">
      <c r="B158" s="0" t="str">
        <v>Snarl</v>
      </c>
      <c r="C158" s="0" t="str">
        <f aca="false">IF(ISBLANK(B158),,B158&amp;", ")</f>
        <v>Snarl,</v>
      </c>
      <c r="D158" s="0" t="str">
        <f aca="false" t="array" ref="D158:D158">IF(ISBLANK(B158),,INDEX('0.2.1 Move Compare'!$B$2:$B1011,MATCH(B158,'0.2.1 Move Compare'!$A$2:$A1011,0)))</f>
        <v>Dark</v>
      </c>
      <c r="E158" s="0" t="n">
        <f aca="false" t="array" ref="E158:E158">IF(ISBLANK(B158),,IF(INDEX('0.1.2 Attack Dex (GO)'!C151:C1011,MATCH(B158,'0.1.2 Attack Dex (GO)'!A151:A1011,0))="Fast",1,0))</f>
        <v>1</v>
      </c>
      <c r="F158" s="0" t="e">
        <f aca="true">IF(OR($E$1=0,ISBLANK(B158)),,COUNTIF(INDIRECT("'0.0.2 Pokémon Learnset (Core)'!D$"&amp;$E$2&amp;":FG$"&amp;$E$2),B158))</f>
        <v>#VALUE!</v>
      </c>
      <c r="G158" s="0" t="e">
        <f aca="true">IF(ISBLANK(F158),,COUNTIF(INDIRECT("'0.1.1 Pokémon GO Moves'!C"&amp;$E$3&amp;":R$"&amp;$E$3),B158))</f>
        <v>#N/A</v>
      </c>
      <c r="H158" s="0" t="e">
        <f aca="false">IF(ISBLANK(F158),,IF(OR(D158=$B$2,D158=$B$3),1,0))</f>
        <v>#N/A</v>
      </c>
      <c r="J158" s="0" t="str">
        <v>Pluck</v>
      </c>
      <c r="K158" s="0" t="str">
        <f aca="false">IF(ISBLANK(J158),,J158&amp;", ")</f>
        <v>Pluck,</v>
      </c>
      <c r="L158" s="0" t="str">
        <f aca="false" t="array" ref="L158:L158">IF(ISBLANK(J158),,INDEX('0.2.1 Move Compare'!$B$2:$B1011,MATCH(J158,'0.2.1 Move Compare'!$A$2:$A1011,0)))</f>
        <v>Flying</v>
      </c>
      <c r="M158" s="0" t="e">
        <f aca="true">IF(OR($E$1=0,ISBLANK(J158)),,COUNTIF(INDIRECT("'0.0.2 Pokémon Learnset (Core)'!D$"&amp;$E$2&amp;":FG$"&amp;$E$2),J158))</f>
        <v>#VALUE!</v>
      </c>
      <c r="N158" s="0" t="e">
        <f aca="false">IF(ISBLANK(J158),,IF(OR(L158=$B$2,L158=$B$3),1,0))</f>
        <v>#N/A</v>
      </c>
    </row>
    <row r="159" customFormat="false" ht="15.75" hidden="false" customHeight="false" outlineLevel="0" collapsed="false">
      <c r="B159" s="0" t="str">
        <v>Solar Beam</v>
      </c>
      <c r="C159" s="0" t="str">
        <f aca="false">IF(ISBLANK(B159),,B159&amp;", ")</f>
        <v>Solar Beam,</v>
      </c>
      <c r="D159" s="0" t="str">
        <f aca="false" t="array" ref="D159:D159">IF(ISBLANK(B159),,INDEX('0.2.1 Move Compare'!$B$2:$B1011,MATCH(B159,'0.2.1 Move Compare'!$A$2:$A1011,0)))</f>
        <v>Grass</v>
      </c>
      <c r="E159" s="0" t="n">
        <f aca="false" t="array" ref="E159:E159">IF(ISBLANK(B159),,IF(INDEX('0.1.2 Attack Dex (GO)'!C152:C1011,MATCH(B159,'0.1.2 Attack Dex (GO)'!A152:A1011,0))="Fast",1,0))</f>
        <v>0</v>
      </c>
      <c r="F159" s="0" t="e">
        <f aca="true">IF(OR($E$1=0,ISBLANK(B159)),,COUNTIF(INDIRECT("'0.0.2 Pokémon Learnset (Core)'!D$"&amp;$E$2&amp;":FG$"&amp;$E$2),B159))</f>
        <v>#VALUE!</v>
      </c>
      <c r="G159" s="0" t="e">
        <f aca="true">IF(ISBLANK(F159),,COUNTIF(INDIRECT("'0.1.1 Pokémon GO Moves'!C"&amp;$E$3&amp;":R$"&amp;$E$3),B159))</f>
        <v>#N/A</v>
      </c>
      <c r="H159" s="0" t="e">
        <f aca="false">IF(ISBLANK(F159),,IF(OR(D159=$B$2,D159=$B$3),1,0))</f>
        <v>#N/A</v>
      </c>
      <c r="J159" s="0" t="str">
        <v>Poison Tail</v>
      </c>
      <c r="K159" s="0" t="str">
        <f aca="false">IF(ISBLANK(J159),,J159&amp;", ")</f>
        <v>Poison Tail,</v>
      </c>
      <c r="L159" s="0" t="str">
        <f aca="false" t="array" ref="L159:L159">IF(ISBLANK(J159),,INDEX('0.2.1 Move Compare'!$B$2:$B1011,MATCH(J159,'0.2.1 Move Compare'!$A$2:$A1011,0)))</f>
        <v>Poison</v>
      </c>
      <c r="M159" s="0" t="e">
        <f aca="true">IF(OR($E$1=0,ISBLANK(J159)),,COUNTIF(INDIRECT("'0.0.2 Pokémon Learnset (Core)'!D$"&amp;$E$2&amp;":FG$"&amp;$E$2),J159))</f>
        <v>#VALUE!</v>
      </c>
      <c r="N159" s="0" t="e">
        <f aca="false">IF(ISBLANK(J159),,IF(OR(L159=$B$2,L159=$B$3),1,0))</f>
        <v>#N/A</v>
      </c>
    </row>
    <row r="160" customFormat="false" ht="15.75" hidden="false" customHeight="false" outlineLevel="0" collapsed="false">
      <c r="B160" s="0" t="str">
        <v>Spark</v>
      </c>
      <c r="C160" s="0" t="str">
        <f aca="false">IF(ISBLANK(B160),,B160&amp;", ")</f>
        <v>Spark,</v>
      </c>
      <c r="D160" s="0" t="str">
        <f aca="false" t="array" ref="D160:D160">IF(ISBLANK(B160),,INDEX('0.2.1 Move Compare'!$B$2:$B1011,MATCH(B160,'0.2.1 Move Compare'!$A$2:$A1011,0)))</f>
        <v>Electric</v>
      </c>
      <c r="E160" s="0" t="n">
        <f aca="false" t="array" ref="E160:E160">IF(ISBLANK(B160),,IF(INDEX('0.1.2 Attack Dex (GO)'!C153:C1011,MATCH(B160,'0.1.2 Attack Dex (GO)'!A153:A1011,0))="Fast",1,0))</f>
        <v>1</v>
      </c>
      <c r="F160" s="0" t="e">
        <f aca="true">IF(OR($E$1=0,ISBLANK(B160)),,COUNTIF(INDIRECT("'0.0.2 Pokémon Learnset (Core)'!D$"&amp;$E$2&amp;":FG$"&amp;$E$2),B160))</f>
        <v>#VALUE!</v>
      </c>
      <c r="G160" s="0" t="e">
        <f aca="true">IF(ISBLANK(F160),,COUNTIF(INDIRECT("'0.1.1 Pokémon GO Moves'!C"&amp;$E$3&amp;":R$"&amp;$E$3),B160))</f>
        <v>#N/A</v>
      </c>
      <c r="H160" s="0" t="e">
        <f aca="false">IF(ISBLANK(F160),,IF(OR(D160=$B$2,D160=$B$3),1,0))</f>
        <v>#N/A</v>
      </c>
      <c r="J160" s="0" t="str">
        <v>Pollen Puff</v>
      </c>
      <c r="K160" s="0" t="str">
        <f aca="false">IF(ISBLANK(J160),,J160&amp;", ")</f>
        <v>Pollen Puff,</v>
      </c>
      <c r="L160" s="0" t="str">
        <f aca="false" t="array" ref="L160:L160">IF(ISBLANK(J160),,INDEX('0.2.1 Move Compare'!$B$2:$B1011,MATCH(J160,'0.2.1 Move Compare'!$A$2:$A1011,0)))</f>
        <v>Bug</v>
      </c>
      <c r="M160" s="0" t="e">
        <f aca="true">IF(OR($E$1=0,ISBLANK(J160)),,COUNTIF(INDIRECT("'0.0.2 Pokémon Learnset (Core)'!D$"&amp;$E$2&amp;":FG$"&amp;$E$2),J160))</f>
        <v>#VALUE!</v>
      </c>
      <c r="N160" s="0" t="e">
        <f aca="false">IF(ISBLANK(J160),,IF(OR(L160=$B$2,L160=$B$3),1,0))</f>
        <v>#N/A</v>
      </c>
    </row>
    <row r="161" customFormat="false" ht="15.75" hidden="false" customHeight="false" outlineLevel="0" collapsed="false">
      <c r="B161" s="0" t="str">
        <v>Splash</v>
      </c>
      <c r="C161" s="0" t="str">
        <f aca="false">IF(ISBLANK(B161),,B161&amp;", ")</f>
        <v>Splash,</v>
      </c>
      <c r="D161" s="0" t="str">
        <f aca="false" t="array" ref="D161:D161">IF(ISBLANK(B161),,INDEX('0.2.1 Move Compare'!$B$2:$B1011,MATCH(B161,'0.2.1 Move Compare'!$A$2:$A1011,0)))</f>
        <v>Normal</v>
      </c>
      <c r="E161" s="0" t="n">
        <f aca="false" t="array" ref="E161:E161">IF(ISBLANK(B161),,IF(INDEX('0.1.2 Attack Dex (GO)'!C154:C1011,MATCH(B161,'0.1.2 Attack Dex (GO)'!A154:A1011,0))="Fast",1,0))</f>
        <v>1</v>
      </c>
      <c r="F161" s="0" t="e">
        <f aca="true">IF(OR($E$1=0,ISBLANK(B161)),,COUNTIF(INDIRECT("'0.0.2 Pokémon Learnset (Core)'!D$"&amp;$E$2&amp;":FG$"&amp;$E$2),B161))</f>
        <v>#VALUE!</v>
      </c>
      <c r="G161" s="0" t="e">
        <f aca="true">IF(ISBLANK(F161),,COUNTIF(INDIRECT("'0.1.1 Pokémon GO Moves'!C"&amp;$E$3&amp;":R$"&amp;$E$3),B161))</f>
        <v>#N/A</v>
      </c>
      <c r="H161" s="0" t="e">
        <f aca="false">IF(ISBLANK(F161),,IF(OR(D161=$B$2,D161=$B$3),1,0))</f>
        <v>#N/A</v>
      </c>
      <c r="J161" s="0" t="str">
        <v>Power Trip</v>
      </c>
      <c r="K161" s="0" t="str">
        <f aca="false">IF(ISBLANK(J161),,J161&amp;", ")</f>
        <v>Power Trip,</v>
      </c>
      <c r="L161" s="0" t="str">
        <f aca="false" t="array" ref="L161:L161">IF(ISBLANK(J161),,INDEX('0.2.1 Move Compare'!$B$2:$B1011,MATCH(J161,'0.2.1 Move Compare'!$A$2:$A1011,0)))</f>
        <v>Dark</v>
      </c>
      <c r="M161" s="0" t="e">
        <f aca="true">IF(OR($E$1=0,ISBLANK(J161)),,COUNTIF(INDIRECT("'0.0.2 Pokémon Learnset (Core)'!D$"&amp;$E$2&amp;":FG$"&amp;$E$2),J161))</f>
        <v>#VALUE!</v>
      </c>
      <c r="N161" s="0" t="e">
        <f aca="false">IF(ISBLANK(J161),,IF(OR(L161=$B$2,L161=$B$3),1,0))</f>
        <v>#N/A</v>
      </c>
    </row>
    <row r="162" customFormat="false" ht="15.75" hidden="false" customHeight="false" outlineLevel="0" collapsed="false">
      <c r="B162" s="0" t="str">
        <v>Steel Wing</v>
      </c>
      <c r="C162" s="0" t="str">
        <f aca="false">IF(ISBLANK(B162),,B162&amp;", ")</f>
        <v>Steel Wing,</v>
      </c>
      <c r="D162" s="0" t="str">
        <f aca="false" t="array" ref="D162:D162">IF(ISBLANK(B162),,INDEX('0.2.1 Move Compare'!$B$2:$B1011,MATCH(B162,'0.2.1 Move Compare'!$A$2:$A1011,0)))</f>
        <v>Steel</v>
      </c>
      <c r="E162" s="0" t="n">
        <f aca="false" t="array" ref="E162:E162">IF(ISBLANK(B162),,IF(INDEX('0.1.2 Attack Dex (GO)'!C155:C1011,MATCH(B162,'0.1.2 Attack Dex (GO)'!A155:A1011,0))="Fast",1,0))</f>
        <v>1</v>
      </c>
      <c r="F162" s="0" t="e">
        <f aca="true">IF(OR($E$1=0,ISBLANK(B162)),,COUNTIF(INDIRECT("'0.0.2 Pokémon Learnset (Core)'!D$"&amp;$E$2&amp;":FG$"&amp;$E$2),B162))</f>
        <v>#VALUE!</v>
      </c>
      <c r="G162" s="0" t="e">
        <f aca="true">IF(ISBLANK(F162),,COUNTIF(INDIRECT("'0.1.1 Pokémon GO Moves'!C"&amp;$E$3&amp;":R$"&amp;$E$3),B162))</f>
        <v>#N/A</v>
      </c>
      <c r="H162" s="0" t="e">
        <f aca="false">IF(ISBLANK(F162),,IF(OR(D162=$B$2,D162=$B$3),1,0))</f>
        <v>#N/A</v>
      </c>
      <c r="J162" s="0" t="str">
        <v>Power-Up Punch</v>
      </c>
      <c r="K162" s="0" t="str">
        <f aca="false">IF(ISBLANK(J162),,J162&amp;", ")</f>
        <v>Power-Up Punch,</v>
      </c>
      <c r="L162" s="0" t="str">
        <f aca="false" t="array" ref="L162:L162">IF(ISBLANK(J162),,INDEX('0.2.1 Move Compare'!$B$2:$B1011,MATCH(J162,'0.2.1 Move Compare'!$A$2:$A1011,0)))</f>
        <v>Fighting</v>
      </c>
      <c r="M162" s="0" t="e">
        <f aca="true">IF(OR($E$1=0,ISBLANK(J162)),,COUNTIF(INDIRECT("'0.0.2 Pokémon Learnset (Core)'!D$"&amp;$E$2&amp;":FG$"&amp;$E$2),J162))</f>
        <v>#VALUE!</v>
      </c>
      <c r="N162" s="0" t="e">
        <f aca="false">IF(ISBLANK(J162),,IF(OR(L162=$B$2,L162=$B$3),1,0))</f>
        <v>#N/A</v>
      </c>
    </row>
    <row r="163" customFormat="false" ht="15.75" hidden="false" customHeight="false" outlineLevel="0" collapsed="false">
      <c r="B163" s="0" t="str">
        <v>Stomp</v>
      </c>
      <c r="C163" s="0" t="str">
        <f aca="false">IF(ISBLANK(B163),,B163&amp;", ")</f>
        <v>Stomp,</v>
      </c>
      <c r="D163" s="0" t="str">
        <f aca="false" t="array" ref="D163:D163">IF(ISBLANK(B163),,INDEX('0.2.1 Move Compare'!$B$2:$B1011,MATCH(B163,'0.2.1 Move Compare'!$A$2:$A1011,0)))</f>
        <v>Normal</v>
      </c>
      <c r="E163" s="0" t="n">
        <f aca="false" t="array" ref="E163:E163">IF(ISBLANK(B163),,IF(INDEX('0.1.2 Attack Dex (GO)'!C156:C1011,MATCH(B163,'0.1.2 Attack Dex (GO)'!A156:A1011,0))="Fast",1,0))</f>
        <v>0</v>
      </c>
      <c r="F163" s="0" t="e">
        <f aca="true">IF(OR($E$1=0,ISBLANK(B163)),,COUNTIF(INDIRECT("'0.0.2 Pokémon Learnset (Core)'!D$"&amp;$E$2&amp;":FG$"&amp;$E$2),B163))</f>
        <v>#VALUE!</v>
      </c>
      <c r="G163" s="0" t="e">
        <f aca="true">IF(ISBLANK(F163),,COUNTIF(INDIRECT("'0.1.1 Pokémon GO Moves'!C"&amp;$E$3&amp;":R$"&amp;$E$3),B163))</f>
        <v>#N/A</v>
      </c>
      <c r="H163" s="0" t="e">
        <f aca="false">IF(ISBLANK(F163),,IF(OR(D163=$B$2,D163=$B$3),1,0))</f>
        <v>#N/A</v>
      </c>
      <c r="J163" s="0" t="str">
        <v>Prismatic Laser</v>
      </c>
      <c r="K163" s="0" t="str">
        <f aca="false">IF(ISBLANK(J163),,J163&amp;", ")</f>
        <v>Prismatic Laser,</v>
      </c>
      <c r="L163" s="0" t="str">
        <f aca="false" t="array" ref="L163:L163">IF(ISBLANK(J163),,INDEX('0.2.1 Move Compare'!$B$2:$B1011,MATCH(J163,'0.2.1 Move Compare'!$A$2:$A1011,0)))</f>
        <v>Psychic</v>
      </c>
      <c r="M163" s="0" t="e">
        <f aca="true">IF(OR($E$1=0,ISBLANK(J163)),,COUNTIF(INDIRECT("'0.0.2 Pokémon Learnset (Core)'!D$"&amp;$E$2&amp;":FG$"&amp;$E$2),J163))</f>
        <v>#VALUE!</v>
      </c>
      <c r="N163" s="0" t="e">
        <f aca="false">IF(ISBLANK(J163),,IF(OR(L163=$B$2,L163=$B$3),1,0))</f>
        <v>#N/A</v>
      </c>
    </row>
    <row r="164" customFormat="false" ht="15.75" hidden="false" customHeight="false" outlineLevel="0" collapsed="false">
      <c r="B164" s="0" t="str">
        <v>Stone Edge</v>
      </c>
      <c r="C164" s="0" t="str">
        <f aca="false">IF(ISBLANK(B164),,B164&amp;", ")</f>
        <v>Stone Edge,</v>
      </c>
      <c r="D164" s="0" t="str">
        <f aca="false" t="array" ref="D164:D164">IF(ISBLANK(B164),,INDEX('0.2.1 Move Compare'!$B$2:$B1011,MATCH(B164,'0.2.1 Move Compare'!$A$2:$A1011,0)))</f>
        <v>Rock</v>
      </c>
      <c r="E164" s="0" t="n">
        <f aca="false" t="array" ref="E164:E164">IF(ISBLANK(B164),,IF(INDEX('0.1.2 Attack Dex (GO)'!C157:C1011,MATCH(B164,'0.1.2 Attack Dex (GO)'!A157:A1011,0))="Fast",1,0))</f>
        <v>0</v>
      </c>
      <c r="F164" s="0" t="e">
        <f aca="true">IF(OR($E$1=0,ISBLANK(B164)),,COUNTIF(INDIRECT("'0.0.2 Pokémon Learnset (Core)'!D$"&amp;$E$2&amp;":FG$"&amp;$E$2),B164))</f>
        <v>#VALUE!</v>
      </c>
      <c r="G164" s="0" t="e">
        <f aca="true">IF(ISBLANK(F164),,COUNTIF(INDIRECT("'0.1.1 Pokémon GO Moves'!C"&amp;$E$3&amp;":R$"&amp;$E$3),B164))</f>
        <v>#N/A</v>
      </c>
      <c r="H164" s="0" t="e">
        <f aca="false">IF(ISBLANK(F164),,IF(OR(D164=$B$2,D164=$B$3),1,0))</f>
        <v>#N/A</v>
      </c>
      <c r="J164" s="0" t="str">
        <v>Psychic Fangs</v>
      </c>
      <c r="K164" s="0" t="str">
        <f aca="false">IF(ISBLANK(J164),,J164&amp;", ")</f>
        <v>Psychic Fangs,</v>
      </c>
      <c r="L164" s="0" t="str">
        <f aca="false" t="array" ref="L164:L164">IF(ISBLANK(J164),,INDEX('0.2.1 Move Compare'!$B$2:$B1011,MATCH(J164,'0.2.1 Move Compare'!$A$2:$A1011,0)))</f>
        <v>Psychic</v>
      </c>
      <c r="M164" s="0" t="e">
        <f aca="true">IF(OR($E$1=0,ISBLANK(J164)),,COUNTIF(INDIRECT("'0.0.2 Pokémon Learnset (Core)'!D$"&amp;$E$2&amp;":FG$"&amp;$E$2),J164))</f>
        <v>#VALUE!</v>
      </c>
      <c r="N164" s="0" t="e">
        <f aca="false">IF(ISBLANK(J164),,IF(OR(L164=$B$2,L164=$B$3),1,0))</f>
        <v>#N/A</v>
      </c>
    </row>
    <row r="165" customFormat="false" ht="15.75" hidden="false" customHeight="false" outlineLevel="0" collapsed="false">
      <c r="B165" s="0" t="str">
        <v>Struggle</v>
      </c>
      <c r="C165" s="0" t="str">
        <f aca="false">IF(ISBLANK(B165),,B165&amp;", ")</f>
        <v>Struggle,</v>
      </c>
      <c r="D165" s="0" t="str">
        <f aca="false" t="array" ref="D165:D165">IF(ISBLANK(B165),,INDEX('0.2.1 Move Compare'!$B$2:$B1011,MATCH(B165,'0.2.1 Move Compare'!$A$2:$A1011,0)))</f>
        <v>Normal</v>
      </c>
      <c r="E165" s="0" t="n">
        <f aca="false" t="array" ref="E165:E165">IF(ISBLANK(B165),,IF(INDEX('0.1.2 Attack Dex (GO)'!C158:C1011,MATCH(B165,'0.1.2 Attack Dex (GO)'!A158:A1011,0))="Fast",1,0))</f>
        <v>0</v>
      </c>
      <c r="F165" s="0" t="e">
        <f aca="true">IF(OR($E$1=0,ISBLANK(B165)),,COUNTIF(INDIRECT("'0.0.2 Pokémon Learnset (Core)'!D$"&amp;$E$2&amp;":FG$"&amp;$E$2),B165))</f>
        <v>#VALUE!</v>
      </c>
      <c r="G165" s="0" t="e">
        <f aca="true">IF(ISBLANK(F165),,COUNTIF(INDIRECT("'0.1.1 Pokémon GO Moves'!C"&amp;$E$3&amp;":R$"&amp;$E$3),B165))</f>
        <v>#N/A</v>
      </c>
      <c r="H165" s="0" t="e">
        <f aca="false">IF(ISBLANK(F165),,IF(OR(D165=$B$2,D165=$B$3),1,0))</f>
        <v>#N/A</v>
      </c>
      <c r="J165" s="0" t="str">
        <v>Psywave</v>
      </c>
      <c r="K165" s="0" t="str">
        <f aca="false">IF(ISBLANK(J165),,J165&amp;", ")</f>
        <v>Psywave,</v>
      </c>
      <c r="L165" s="0" t="str">
        <f aca="false" t="array" ref="L165:L165">IF(ISBLANK(J165),,INDEX('0.2.1 Move Compare'!$B$2:$B1011,MATCH(J165,'0.2.1 Move Compare'!$A$2:$A1011,0)))</f>
        <v>Psychic</v>
      </c>
      <c r="M165" s="0" t="e">
        <f aca="true">IF(OR($E$1=0,ISBLANK(J165)),,COUNTIF(INDIRECT("'0.0.2 Pokémon Learnset (Core)'!D$"&amp;$E$2&amp;":FG$"&amp;$E$2),J165))</f>
        <v>#VALUE!</v>
      </c>
      <c r="N165" s="0" t="e">
        <f aca="false">IF(ISBLANK(J165),,IF(OR(L165=$B$2,L165=$B$3),1,0))</f>
        <v>#N/A</v>
      </c>
    </row>
    <row r="166" customFormat="false" ht="15.75" hidden="false" customHeight="false" outlineLevel="0" collapsed="false">
      <c r="B166" s="0" t="str">
        <v>Struggle Bug</v>
      </c>
      <c r="C166" s="0" t="str">
        <f aca="false">IF(ISBLANK(B166),,B166&amp;", ")</f>
        <v>Struggle Bug,</v>
      </c>
      <c r="D166" s="0" t="str">
        <f aca="false" t="array" ref="D166:D166">IF(ISBLANK(B166),,INDEX('0.2.1 Move Compare'!$B$2:$B1011,MATCH(B166,'0.2.1 Move Compare'!$A$2:$A1011,0)))</f>
        <v>Bug</v>
      </c>
      <c r="E166" s="0" t="n">
        <f aca="false" t="array" ref="E166:E166">IF(ISBLANK(B166),,IF(INDEX('0.1.2 Attack Dex (GO)'!C159:C1011,MATCH(B166,'0.1.2 Attack Dex (GO)'!A159:A1011,0))="Fast",1,0))</f>
        <v>1</v>
      </c>
      <c r="F166" s="0" t="e">
        <f aca="true">IF(OR($E$1=0,ISBLANK(B166)),,COUNTIF(INDIRECT("'0.0.2 Pokémon Learnset (Core)'!D$"&amp;$E$2&amp;":FG$"&amp;$E$2),B166))</f>
        <v>#VALUE!</v>
      </c>
      <c r="G166" s="0" t="e">
        <f aca="true">IF(ISBLANK(F166),,COUNTIF(INDIRECT("'0.1.1 Pokémon GO Moves'!C"&amp;$E$3&amp;":R$"&amp;$E$3),B166))</f>
        <v>#N/A</v>
      </c>
      <c r="H166" s="0" t="e">
        <f aca="false">IF(ISBLANK(F166),,IF(OR(D166=$B$2,D166=$B$3),1,0))</f>
        <v>#N/A</v>
      </c>
      <c r="J166" s="0" t="str">
        <v>Pursuit</v>
      </c>
      <c r="K166" s="0" t="str">
        <f aca="false">IF(ISBLANK(J166),,J166&amp;", ")</f>
        <v>Pursuit,</v>
      </c>
      <c r="L166" s="0" t="str">
        <f aca="false" t="array" ref="L166:L166">IF(ISBLANK(J166),,INDEX('0.2.1 Move Compare'!$B$2:$B1011,MATCH(J166,'0.2.1 Move Compare'!$A$2:$A1011,0)))</f>
        <v>Dark</v>
      </c>
      <c r="M166" s="0" t="e">
        <f aca="true">IF(OR($E$1=0,ISBLANK(J166)),,COUNTIF(INDIRECT("'0.0.2 Pokémon Learnset (Core)'!D$"&amp;$E$2&amp;":FG$"&amp;$E$2),J166))</f>
        <v>#VALUE!</v>
      </c>
      <c r="N166" s="0" t="e">
        <f aca="false">IF(ISBLANK(J166),,IF(OR(L166=$B$2,L166=$B$3),1,0))</f>
        <v>#N/A</v>
      </c>
    </row>
    <row r="167" customFormat="false" ht="15.75" hidden="false" customHeight="false" outlineLevel="0" collapsed="false">
      <c r="B167" s="0" t="str">
        <v>Submission</v>
      </c>
      <c r="C167" s="0" t="str">
        <f aca="false">IF(ISBLANK(B167),,B167&amp;", ")</f>
        <v>Submission,</v>
      </c>
      <c r="D167" s="0" t="str">
        <f aca="false" t="array" ref="D167:D167">IF(ISBLANK(B167),,INDEX('0.2.1 Move Compare'!$B$2:$B1011,MATCH(B167,'0.2.1 Move Compare'!$A$2:$A1011,0)))</f>
        <v>Fighting</v>
      </c>
      <c r="E167" s="0" t="n">
        <f aca="false" t="array" ref="E167:E167">IF(ISBLANK(B167),,IF(INDEX('0.1.2 Attack Dex (GO)'!C160:C1011,MATCH(B167,'0.1.2 Attack Dex (GO)'!A160:A1011,0))="Fast",1,0))</f>
        <v>0</v>
      </c>
      <c r="F167" s="0" t="e">
        <f aca="true">IF(OR($E$1=0,ISBLANK(B167)),,COUNTIF(INDIRECT("'0.0.2 Pokémon Learnset (Core)'!D$"&amp;$E$2&amp;":FG$"&amp;$E$2),B167))</f>
        <v>#VALUE!</v>
      </c>
      <c r="G167" s="0" t="e">
        <f aca="true">IF(ISBLANK(F167),,COUNTIF(INDIRECT("'0.1.1 Pokémon GO Moves'!C"&amp;$E$3&amp;":R$"&amp;$E$3),B167))</f>
        <v>#N/A</v>
      </c>
      <c r="H167" s="0" t="e">
        <f aca="false">IF(ISBLANK(F167),,IF(OR(D167=$B$2,D167=$B$3),1,0))</f>
        <v>#N/A</v>
      </c>
      <c r="J167" s="0" t="str">
        <v>Rage</v>
      </c>
      <c r="K167" s="0" t="str">
        <f aca="false">IF(ISBLANK(J167),,J167&amp;", ")</f>
        <v>Rage,</v>
      </c>
      <c r="L167" s="0" t="str">
        <f aca="false" t="array" ref="L167:L167">IF(ISBLANK(J167),,INDEX('0.2.1 Move Compare'!$B$2:$B1011,MATCH(J167,'0.2.1 Move Compare'!$A$2:$A1011,0)))</f>
        <v>Normal</v>
      </c>
      <c r="M167" s="0" t="e">
        <f aca="true">IF(OR($E$1=0,ISBLANK(J167)),,COUNTIF(INDIRECT("'0.0.2 Pokémon Learnset (Core)'!D$"&amp;$E$2&amp;":FG$"&amp;$E$2),J167))</f>
        <v>#VALUE!</v>
      </c>
      <c r="N167" s="0" t="e">
        <f aca="false">IF(ISBLANK(J167),,IF(OR(L167=$B$2,L167=$B$3),1,0))</f>
        <v>#N/A</v>
      </c>
    </row>
    <row r="168" customFormat="false" ht="15.75" hidden="false" customHeight="false" outlineLevel="0" collapsed="false">
      <c r="B168" s="0" t="str">
        <v>Sucker Punch</v>
      </c>
      <c r="C168" s="0" t="str">
        <f aca="false">IF(ISBLANK(B168),,B168&amp;", ")</f>
        <v>Sucker Punch,</v>
      </c>
      <c r="D168" s="0" t="str">
        <f aca="false" t="array" ref="D168:D168">IF(ISBLANK(B168),,INDEX('0.2.1 Move Compare'!$B$2:$B1011,MATCH(B168,'0.2.1 Move Compare'!$A$2:$A1011,0)))</f>
        <v>Dark</v>
      </c>
      <c r="E168" s="0" t="n">
        <f aca="false" t="array" ref="E168:E168">IF(ISBLANK(B168),,IF(INDEX('0.1.2 Attack Dex (GO)'!C161:C1011,MATCH(B168,'0.1.2 Attack Dex (GO)'!A161:A1011,0))="Fast",1,0))</f>
        <v>1</v>
      </c>
      <c r="F168" s="0" t="e">
        <f aca="true">IF(OR($E$1=0,ISBLANK(B168)),,COUNTIF(INDIRECT("'0.0.2 Pokémon Learnset (Core)'!D$"&amp;$E$2&amp;":FG$"&amp;$E$2),B168))</f>
        <v>#VALUE!</v>
      </c>
      <c r="G168" s="0" t="e">
        <f aca="true">IF(ISBLANK(F168),,COUNTIF(INDIRECT("'0.1.1 Pokémon GO Moves'!C"&amp;$E$3&amp;":R$"&amp;$E$3),B168))</f>
        <v>#N/A</v>
      </c>
      <c r="H168" s="0" t="e">
        <f aca="false">IF(ISBLANK(F168),,IF(OR(D168=$B$2,D168=$B$3),1,0))</f>
        <v>#N/A</v>
      </c>
      <c r="J168" s="0" t="str">
        <v>Rapid Spin</v>
      </c>
      <c r="K168" s="0" t="str">
        <f aca="false">IF(ISBLANK(J168),,J168&amp;", ")</f>
        <v>Rapid Spin,</v>
      </c>
      <c r="L168" s="0" t="str">
        <f aca="false" t="array" ref="L168:L168">IF(ISBLANK(J168),,INDEX('0.2.1 Move Compare'!$B$2:$B1011,MATCH(J168,'0.2.1 Move Compare'!$A$2:$A1011,0)))</f>
        <v>Normal</v>
      </c>
      <c r="M168" s="0" t="e">
        <f aca="true">IF(OR($E$1=0,ISBLANK(J168)),,COUNTIF(INDIRECT("'0.0.2 Pokémon Learnset (Core)'!D$"&amp;$E$2&amp;":FG$"&amp;$E$2),J168))</f>
        <v>#VALUE!</v>
      </c>
      <c r="N168" s="0" t="e">
        <f aca="false">IF(ISBLANK(J168),,IF(OR(L168=$B$2,L168=$B$3),1,0))</f>
        <v>#N/A</v>
      </c>
    </row>
    <row r="169" customFormat="false" ht="15.75" hidden="false" customHeight="false" outlineLevel="0" collapsed="false">
      <c r="B169" s="0" t="str">
        <v>Surf</v>
      </c>
      <c r="C169" s="0" t="str">
        <f aca="false">IF(ISBLANK(B169),,B169&amp;", ")</f>
        <v>Surf,</v>
      </c>
      <c r="D169" s="0" t="str">
        <f aca="false" t="array" ref="D169:D169">IF(ISBLANK(B169),,INDEX('0.2.1 Move Compare'!$B$2:$B1011,MATCH(B169,'0.2.1 Move Compare'!$A$2:$A1011,0)))</f>
        <v>Water</v>
      </c>
      <c r="E169" s="0" t="n">
        <f aca="false" t="array" ref="E169:E169">IF(ISBLANK(B169),,IF(INDEX('0.1.2 Attack Dex (GO)'!C162:C1011,MATCH(B169,'0.1.2 Attack Dex (GO)'!A162:A1011,0))="Fast",1,0))</f>
        <v>0</v>
      </c>
      <c r="F169" s="0" t="e">
        <f aca="true">IF(OR($E$1=0,ISBLANK(B169)),,COUNTIF(INDIRECT("'0.0.2 Pokémon Learnset (Core)'!D$"&amp;$E$2&amp;":FG$"&amp;$E$2),B169))</f>
        <v>#VALUE!</v>
      </c>
      <c r="G169" s="0" t="e">
        <f aca="true">IF(ISBLANK(F169),,COUNTIF(INDIRECT("'0.1.1 Pokémon GO Moves'!C"&amp;$E$3&amp;":R$"&amp;$E$3),B169))</f>
        <v>#N/A</v>
      </c>
      <c r="H169" s="0" t="e">
        <f aca="false">IF(ISBLANK(F169),,IF(OR(D169=$B$2,D169=$B$3),1,0))</f>
        <v>#N/A</v>
      </c>
      <c r="J169" s="0" t="str">
        <v>Razor Shell</v>
      </c>
      <c r="K169" s="0" t="str">
        <f aca="false">IF(ISBLANK(J169),,J169&amp;", ")</f>
        <v>Razor Shell,</v>
      </c>
      <c r="L169" s="0" t="str">
        <f aca="false" t="array" ref="L169:L169">IF(ISBLANK(J169),,INDEX('0.2.1 Move Compare'!$B$2:$B1011,MATCH(J169,'0.2.1 Move Compare'!$A$2:$A1011,0)))</f>
        <v>Water</v>
      </c>
      <c r="M169" s="0" t="e">
        <f aca="true">IF(OR($E$1=0,ISBLANK(J169)),,COUNTIF(INDIRECT("'0.0.2 Pokémon Learnset (Core)'!D$"&amp;$E$2&amp;":FG$"&amp;$E$2),J169))</f>
        <v>#VALUE!</v>
      </c>
      <c r="N169" s="0" t="e">
        <f aca="false">IF(ISBLANK(J169),,IF(OR(L169=$B$2,L169=$B$3),1,0))</f>
        <v>#N/A</v>
      </c>
    </row>
    <row r="170" customFormat="false" ht="15.75" hidden="false" customHeight="false" outlineLevel="0" collapsed="false">
      <c r="B170" s="0" t="str">
        <v>Swift</v>
      </c>
      <c r="C170" s="0" t="str">
        <f aca="false">IF(ISBLANK(B170),,B170&amp;", ")</f>
        <v>Swift,</v>
      </c>
      <c r="D170" s="0" t="str">
        <f aca="false" t="array" ref="D170:D170">IF(ISBLANK(B170),,INDEX('0.2.1 Move Compare'!$B$2:$B1011,MATCH(B170,'0.2.1 Move Compare'!$A$2:$A1011,0)))</f>
        <v>Normal</v>
      </c>
      <c r="E170" s="0" t="n">
        <f aca="false" t="array" ref="E170:E170">IF(ISBLANK(B170),,IF(INDEX('0.1.2 Attack Dex (GO)'!C163:C1011,MATCH(B170,'0.1.2 Attack Dex (GO)'!A163:A1011,0))="Fast",1,0))</f>
        <v>0</v>
      </c>
      <c r="F170" s="0" t="e">
        <f aca="true">IF(OR($E$1=0,ISBLANK(B170)),,COUNTIF(INDIRECT("'0.0.2 Pokémon Learnset (Core)'!D$"&amp;$E$2&amp;":FG$"&amp;$E$2),B170))</f>
        <v>#VALUE!</v>
      </c>
      <c r="G170" s="0" t="e">
        <f aca="true">IF(ISBLANK(F170),,COUNTIF(INDIRECT("'0.1.1 Pokémon GO Moves'!C"&amp;$E$3&amp;":R$"&amp;$E$3),B170))</f>
        <v>#N/A</v>
      </c>
      <c r="H170" s="0" t="e">
        <f aca="false">IF(ISBLANK(F170),,IF(OR(D170=$B$2,D170=$B$3),1,0))</f>
        <v>#N/A</v>
      </c>
      <c r="J170" s="0" t="str">
        <v>Razor Wind</v>
      </c>
      <c r="K170" s="0" t="str">
        <f aca="false">IF(ISBLANK(J170),,J170&amp;", ")</f>
        <v>Razor Wind,</v>
      </c>
      <c r="L170" s="0" t="str">
        <f aca="false" t="array" ref="L170:L170">IF(ISBLANK(J170),,INDEX('0.2.1 Move Compare'!$B$2:$B1011,MATCH(J170,'0.2.1 Move Compare'!$A$2:$A1011,0)))</f>
        <v>Normal</v>
      </c>
      <c r="M170" s="0" t="e">
        <f aca="true">IF(OR($E$1=0,ISBLANK(J170)),,COUNTIF(INDIRECT("'0.0.2 Pokémon Learnset (Core)'!D$"&amp;$E$2&amp;":FG$"&amp;$E$2),J170))</f>
        <v>#VALUE!</v>
      </c>
      <c r="N170" s="0" t="e">
        <f aca="false">IF(ISBLANK(J170),,IF(OR(L170=$B$2,L170=$B$3),1,0))</f>
        <v>#N/A</v>
      </c>
    </row>
    <row r="171" customFormat="false" ht="15.75" hidden="false" customHeight="false" outlineLevel="0" collapsed="false">
      <c r="B171" s="0" t="str">
        <v>Tackle</v>
      </c>
      <c r="C171" s="0" t="str">
        <f aca="false">IF(ISBLANK(B171),,B171&amp;", ")</f>
        <v>Tackle,</v>
      </c>
      <c r="D171" s="0" t="str">
        <f aca="false" t="array" ref="D171:D171">IF(ISBLANK(B171),,INDEX('0.2.1 Move Compare'!$B$2:$B1011,MATCH(B171,'0.2.1 Move Compare'!$A$2:$A1011,0)))</f>
        <v>Normal</v>
      </c>
      <c r="E171" s="0" t="n">
        <f aca="false" t="array" ref="E171:E171">IF(ISBLANK(B171),,IF(INDEX('0.1.2 Attack Dex (GO)'!C164:C1011,MATCH(B171,'0.1.2 Attack Dex (GO)'!A164:A1011,0))="Fast",1,0))</f>
        <v>1</v>
      </c>
      <c r="F171" s="0" t="e">
        <f aca="true">IF(OR($E$1=0,ISBLANK(B171)),,COUNTIF(INDIRECT("'0.0.2 Pokémon Learnset (Core)'!D$"&amp;$E$2&amp;":FG$"&amp;$E$2),B171))</f>
        <v>#VALUE!</v>
      </c>
      <c r="G171" s="0" t="e">
        <f aca="true">IF(ISBLANK(F171),,COUNTIF(INDIRECT("'0.1.1 Pokémon GO Moves'!C"&amp;$E$3&amp;":R$"&amp;$E$3),B171))</f>
        <v>#N/A</v>
      </c>
      <c r="H171" s="0" t="e">
        <f aca="false">IF(ISBLANK(F171),,IF(OR(D171=$B$2,D171=$B$3),1,0))</f>
        <v>#N/A</v>
      </c>
      <c r="J171" s="0" t="str">
        <v>Relic Song</v>
      </c>
      <c r="K171" s="0" t="str">
        <f aca="false">IF(ISBLANK(J171),,J171&amp;", ")</f>
        <v>Relic Song,</v>
      </c>
      <c r="L171" s="0" t="str">
        <f aca="false" t="array" ref="L171:L171">IF(ISBLANK(J171),,INDEX('0.2.1 Move Compare'!$B$2:$B1011,MATCH(J171,'0.2.1 Move Compare'!$A$2:$A1011,0)))</f>
        <v>Normal</v>
      </c>
      <c r="M171" s="0" t="e">
        <f aca="true">IF(OR($E$1=0,ISBLANK(J171)),,COUNTIF(INDIRECT("'0.0.2 Pokémon Learnset (Core)'!D$"&amp;$E$2&amp;":FG$"&amp;$E$2),J171))</f>
        <v>#VALUE!</v>
      </c>
      <c r="N171" s="0" t="e">
        <f aca="false">IF(ISBLANK(J171),,IF(OR(L171=$B$2,L171=$B$3),1,0))</f>
        <v>#N/A</v>
      </c>
    </row>
    <row r="172" customFormat="false" ht="15.75" hidden="false" customHeight="false" outlineLevel="0" collapsed="false">
      <c r="B172" s="0" t="str">
        <v>Take Down</v>
      </c>
      <c r="C172" s="0" t="str">
        <f aca="false">IF(ISBLANK(B172),,B172&amp;", ")</f>
        <v>Take Down,</v>
      </c>
      <c r="D172" s="0" t="str">
        <f aca="false" t="array" ref="D172:D172">IF(ISBLANK(B172),,INDEX('0.2.1 Move Compare'!$B$2:$B1011,MATCH(B172,'0.2.1 Move Compare'!$A$2:$A1011,0)))</f>
        <v>Normal</v>
      </c>
      <c r="E172" s="0" t="n">
        <f aca="false" t="array" ref="E172:E172">IF(ISBLANK(B172),,IF(INDEX('0.1.2 Attack Dex (GO)'!C165:C1011,MATCH(B172,'0.1.2 Attack Dex (GO)'!A165:A1011,0))="Fast",1,0))</f>
        <v>1</v>
      </c>
      <c r="F172" s="0" t="e">
        <f aca="true">IF(OR($E$1=0,ISBLANK(B172)),,COUNTIF(INDIRECT("'0.0.2 Pokémon Learnset (Core)'!D$"&amp;$E$2&amp;":FG$"&amp;$E$2),B172))</f>
        <v>#VALUE!</v>
      </c>
      <c r="G172" s="0" t="e">
        <f aca="true">IF(ISBLANK(F172),,COUNTIF(INDIRECT("'0.1.1 Pokémon GO Moves'!C"&amp;$E$3&amp;":R$"&amp;$E$3),B172))</f>
        <v>#N/A</v>
      </c>
      <c r="H172" s="0" t="e">
        <f aca="false">IF(ISBLANK(F172),,IF(OR(D172=$B$2,D172=$B$3),1,0))</f>
        <v>#N/A</v>
      </c>
      <c r="J172" s="0" t="str">
        <v>Retaliate</v>
      </c>
      <c r="K172" s="0" t="str">
        <f aca="false">IF(ISBLANK(J172),,J172&amp;", ")</f>
        <v>Retaliate,</v>
      </c>
      <c r="L172" s="0" t="str">
        <f aca="false" t="array" ref="L172:L172">IF(ISBLANK(J172),,INDEX('0.2.1 Move Compare'!$B$2:$B1011,MATCH(J172,'0.2.1 Move Compare'!$A$2:$A1011,0)))</f>
        <v>Normal</v>
      </c>
      <c r="M172" s="0" t="e">
        <f aca="true">IF(OR($E$1=0,ISBLANK(J172)),,COUNTIF(INDIRECT("'0.0.2 Pokémon Learnset (Core)'!D$"&amp;$E$2&amp;":FG$"&amp;$E$2),J172))</f>
        <v>#VALUE!</v>
      </c>
      <c r="N172" s="0" t="e">
        <f aca="false">IF(ISBLANK(J172),,IF(OR(L172=$B$2,L172=$B$3),1,0))</f>
        <v>#N/A</v>
      </c>
    </row>
    <row r="173" customFormat="false" ht="15.75" hidden="false" customHeight="false" outlineLevel="0" collapsed="false">
      <c r="B173" s="0" t="str">
        <v>Thunder</v>
      </c>
      <c r="C173" s="0" t="str">
        <f aca="false">IF(ISBLANK(B173),,B173&amp;", ")</f>
        <v>Thunder,</v>
      </c>
      <c r="D173" s="0" t="str">
        <f aca="false" t="array" ref="D173:D173">IF(ISBLANK(B173),,INDEX('0.2.1 Move Compare'!$B$2:$B1011,MATCH(B173,'0.2.1 Move Compare'!$A$2:$A1011,0)))</f>
        <v>Electric</v>
      </c>
      <c r="E173" s="0" t="n">
        <f aca="false" t="array" ref="E173:E173">IF(ISBLANK(B173),,IF(INDEX('0.1.2 Attack Dex (GO)'!C166:C1011,MATCH(B173,'0.1.2 Attack Dex (GO)'!A166:A1011,0))="Fast",1,0))</f>
        <v>0</v>
      </c>
      <c r="F173" s="0" t="e">
        <f aca="true">IF(OR($E$1=0,ISBLANK(B173)),,COUNTIF(INDIRECT("'0.0.2 Pokémon Learnset (Core)'!D$"&amp;$E$2&amp;":FG$"&amp;$E$2),B173))</f>
        <v>#VALUE!</v>
      </c>
      <c r="G173" s="0" t="e">
        <f aca="true">IF(ISBLANK(F173),,COUNTIF(INDIRECT("'0.1.1 Pokémon GO Moves'!C"&amp;$E$3&amp;":R$"&amp;$E$3),B173))</f>
        <v>#N/A</v>
      </c>
      <c r="H173" s="0" t="e">
        <f aca="false">IF(ISBLANK(F173),,IF(OR(D173=$B$2,D173=$B$3),1,0))</f>
        <v>#N/A</v>
      </c>
      <c r="J173" s="0" t="str">
        <v>Revelation Dance</v>
      </c>
      <c r="K173" s="0" t="str">
        <f aca="false">IF(ISBLANK(J173),,J173&amp;", ")</f>
        <v>Revelation Dance,</v>
      </c>
      <c r="L173" s="0" t="str">
        <f aca="false" t="array" ref="L173:L173">IF(ISBLANK(J173),,INDEX('0.2.1 Move Compare'!$B$2:$B1011,MATCH(J173,'0.2.1 Move Compare'!$A$2:$A1011,0)))</f>
        <v>Normal</v>
      </c>
      <c r="M173" s="0" t="e">
        <f aca="true">IF(OR($E$1=0,ISBLANK(J173)),,COUNTIF(INDIRECT("'0.0.2 Pokémon Learnset (Core)'!D$"&amp;$E$2&amp;":FG$"&amp;$E$2),J173))</f>
        <v>#VALUE!</v>
      </c>
      <c r="N173" s="0" t="e">
        <f aca="false">IF(ISBLANK(J173),,IF(OR(L173=$B$2,L173=$B$3),1,0))</f>
        <v>#N/A</v>
      </c>
    </row>
    <row r="174" customFormat="false" ht="15.75" hidden="false" customHeight="false" outlineLevel="0" collapsed="false">
      <c r="B174" s="0" t="str">
        <v>Thunder Punch</v>
      </c>
      <c r="C174" s="0" t="str">
        <f aca="false">IF(ISBLANK(B174),,B174&amp;", ")</f>
        <v>Thunder Punch,</v>
      </c>
      <c r="D174" s="0" t="str">
        <f aca="false" t="array" ref="D174:D174">IF(ISBLANK(B174),,INDEX('0.2.1 Move Compare'!$B$2:$B1011,MATCH(B174,'0.2.1 Move Compare'!$A$2:$A1011,0)))</f>
        <v>Electric</v>
      </c>
      <c r="E174" s="0" t="n">
        <f aca="false" t="array" ref="E174:E174">IF(ISBLANK(B174),,IF(INDEX('0.1.2 Attack Dex (GO)'!C167:C1011,MATCH(B174,'0.1.2 Attack Dex (GO)'!A167:A1011,0))="Fast",1,0))</f>
        <v>0</v>
      </c>
      <c r="F174" s="0" t="e">
        <f aca="true">IF(OR($E$1=0,ISBLANK(B174)),,COUNTIF(INDIRECT("'0.0.2 Pokémon Learnset (Core)'!D$"&amp;$E$2&amp;":FG$"&amp;$E$2),B174))</f>
        <v>#VALUE!</v>
      </c>
      <c r="G174" s="0" t="e">
        <f aca="true">IF(ISBLANK(F174),,COUNTIF(INDIRECT("'0.1.1 Pokémon GO Moves'!C"&amp;$E$3&amp;":R$"&amp;$E$3),B174))</f>
        <v>#N/A</v>
      </c>
      <c r="H174" s="0" t="e">
        <f aca="false">IF(ISBLANK(F174),,IF(OR(D174=$B$2,D174=$B$3),1,0))</f>
        <v>#N/A</v>
      </c>
      <c r="J174" s="0" t="str">
        <v>Revenge</v>
      </c>
      <c r="K174" s="0" t="str">
        <f aca="false">IF(ISBLANK(J174),,J174&amp;", ")</f>
        <v>Revenge,</v>
      </c>
      <c r="L174" s="0" t="str">
        <f aca="false" t="array" ref="L174:L174">IF(ISBLANK(J174),,INDEX('0.2.1 Move Compare'!$B$2:$B1011,MATCH(J174,'0.2.1 Move Compare'!$A$2:$A1011,0)))</f>
        <v>Fighting</v>
      </c>
      <c r="M174" s="0" t="e">
        <f aca="true">IF(OR($E$1=0,ISBLANK(J174)),,COUNTIF(INDIRECT("'0.0.2 Pokémon Learnset (Core)'!D$"&amp;$E$2&amp;":FG$"&amp;$E$2),J174))</f>
        <v>#VALUE!</v>
      </c>
      <c r="N174" s="0" t="e">
        <f aca="false">IF(ISBLANK(J174),,IF(OR(L174=$B$2,L174=$B$3),1,0))</f>
        <v>#N/A</v>
      </c>
    </row>
    <row r="175" customFormat="false" ht="15.75" hidden="false" customHeight="false" outlineLevel="0" collapsed="false">
      <c r="B175" s="0" t="str">
        <v>Thunder Shock</v>
      </c>
      <c r="C175" s="0" t="str">
        <f aca="false">IF(ISBLANK(B175),,B175&amp;", ")</f>
        <v>Thunder Shock,</v>
      </c>
      <c r="D175" s="0" t="str">
        <f aca="false" t="array" ref="D175:D175">IF(ISBLANK(B175),,INDEX('0.2.1 Move Compare'!$B$2:$B1011,MATCH(B175,'0.2.1 Move Compare'!$A$2:$A1011,0)))</f>
        <v>Electric</v>
      </c>
      <c r="E175" s="0" t="n">
        <f aca="false" t="array" ref="E175:E175">IF(ISBLANK(B175),,IF(INDEX('0.1.2 Attack Dex (GO)'!C168:C1011,MATCH(B175,'0.1.2 Attack Dex (GO)'!A168:A1011,0))="Fast",1,0))</f>
        <v>1</v>
      </c>
      <c r="F175" s="0" t="e">
        <f aca="true">IF(OR($E$1=0,ISBLANK(B175)),,COUNTIF(INDIRECT("'0.0.2 Pokémon Learnset (Core)'!D$"&amp;$E$2&amp;":FG$"&amp;$E$2),B175))</f>
        <v>#VALUE!</v>
      </c>
      <c r="G175" s="0" t="e">
        <f aca="true">IF(ISBLANK(F175),,COUNTIF(INDIRECT("'0.1.1 Pokémon GO Moves'!C"&amp;$E$3&amp;":R$"&amp;$E$3),B175))</f>
        <v>#N/A</v>
      </c>
      <c r="H175" s="0" t="e">
        <f aca="false">IF(ISBLANK(F175),,IF(OR(D175=$B$2,D175=$B$3),1,0))</f>
        <v>#N/A</v>
      </c>
      <c r="J175" s="0" t="str">
        <v>Roar of Time</v>
      </c>
      <c r="K175" s="0" t="str">
        <f aca="false">IF(ISBLANK(J175),,J175&amp;", ")</f>
        <v>Roar of Time,</v>
      </c>
      <c r="L175" s="0" t="str">
        <f aca="false" t="array" ref="L175:L175">IF(ISBLANK(J175),,INDEX('0.2.1 Move Compare'!$B$2:$B1011,MATCH(J175,'0.2.1 Move Compare'!$A$2:$A1011,0)))</f>
        <v>Dragon</v>
      </c>
      <c r="M175" s="0" t="e">
        <f aca="true">IF(OR($E$1=0,ISBLANK(J175)),,COUNTIF(INDIRECT("'0.0.2 Pokémon Learnset (Core)'!D$"&amp;$E$2&amp;":FG$"&amp;$E$2),J175))</f>
        <v>#VALUE!</v>
      </c>
      <c r="N175" s="0" t="e">
        <f aca="false">IF(ISBLANK(J175),,IF(OR(L175=$B$2,L175=$B$3),1,0))</f>
        <v>#N/A</v>
      </c>
    </row>
    <row r="176" customFormat="false" ht="15.75" hidden="false" customHeight="false" outlineLevel="0" collapsed="false">
      <c r="B176" s="0" t="str">
        <v>Thunderbolt</v>
      </c>
      <c r="C176" s="0" t="str">
        <f aca="false">IF(ISBLANK(B176),,B176&amp;", ")</f>
        <v>Thunderbolt,</v>
      </c>
      <c r="D176" s="0" t="str">
        <f aca="false" t="array" ref="D176:D176">IF(ISBLANK(B176),,INDEX('0.2.1 Move Compare'!$B$2:$B1011,MATCH(B176,'0.2.1 Move Compare'!$A$2:$A1011,0)))</f>
        <v>Electric</v>
      </c>
      <c r="E176" s="0" t="n">
        <f aca="false" t="array" ref="E176:E176">IF(ISBLANK(B176),,IF(INDEX('0.1.2 Attack Dex (GO)'!C169:C1011,MATCH(B176,'0.1.2 Attack Dex (GO)'!A169:A1011,0))="Fast",1,0))</f>
        <v>0</v>
      </c>
      <c r="F176" s="0" t="e">
        <f aca="true">IF(OR($E$1=0,ISBLANK(B176)),,COUNTIF(INDIRECT("'0.0.2 Pokémon Learnset (Core)'!D$"&amp;$E$2&amp;":FG$"&amp;$E$2),B176))</f>
        <v>#VALUE!</v>
      </c>
      <c r="G176" s="0" t="e">
        <f aca="true">IF(ISBLANK(F176),,COUNTIF(INDIRECT("'0.1.1 Pokémon GO Moves'!C"&amp;$E$3&amp;":R$"&amp;$E$3),B176))</f>
        <v>#N/A</v>
      </c>
      <c r="H176" s="0" t="e">
        <f aca="false">IF(ISBLANK(F176),,IF(OR(D176=$B$2,D176=$B$3),1,0))</f>
        <v>#N/A</v>
      </c>
      <c r="J176" s="0" t="str">
        <v>Rock Climb</v>
      </c>
      <c r="K176" s="0" t="str">
        <f aca="false">IF(ISBLANK(J176),,J176&amp;", ")</f>
        <v>Rock Climb,</v>
      </c>
      <c r="L176" s="0" t="str">
        <f aca="false" t="array" ref="L176:L176">IF(ISBLANK(J176),,INDEX('0.2.1 Move Compare'!$B$2:$B1011,MATCH(J176,'0.2.1 Move Compare'!$A$2:$A1011,0)))</f>
        <v>Normal</v>
      </c>
      <c r="M176" s="0" t="e">
        <f aca="true">IF(OR($E$1=0,ISBLANK(J176)),,COUNTIF(INDIRECT("'0.0.2 Pokémon Learnset (Core)'!D$"&amp;$E$2&amp;":FG$"&amp;$E$2),J176))</f>
        <v>#VALUE!</v>
      </c>
      <c r="N176" s="0" t="e">
        <f aca="false">IF(ISBLANK(J176),,IF(OR(L176=$B$2,L176=$B$3),1,0))</f>
        <v>#N/A</v>
      </c>
    </row>
    <row r="177" customFormat="false" ht="15.75" hidden="false" customHeight="false" outlineLevel="0" collapsed="false">
      <c r="B177" s="0" t="str">
        <v>Transform</v>
      </c>
      <c r="C177" s="0" t="str">
        <f aca="false">IF(ISBLANK(B177),,B177&amp;", ")</f>
        <v>Transform,</v>
      </c>
      <c r="D177" s="0" t="str">
        <f aca="false" t="array" ref="D177:D177">IF(ISBLANK(B177),,INDEX('0.2.1 Move Compare'!$B$2:$B1011,MATCH(B177,'0.2.1 Move Compare'!$A$2:$A1011,0)))</f>
        <v>Normal</v>
      </c>
      <c r="E177" s="0" t="n">
        <f aca="false" t="array" ref="E177:E177">IF(ISBLANK(B177),,IF(INDEX('0.1.2 Attack Dex (GO)'!C170:C1011,MATCH(B177,'0.1.2 Attack Dex (GO)'!A170:A1011,0))="Fast",1,0))</f>
        <v>1</v>
      </c>
      <c r="F177" s="0" t="e">
        <f aca="true">IF(OR($E$1=0,ISBLANK(B177)),,COUNTIF(INDIRECT("'0.0.2 Pokémon Learnset (Core)'!D$"&amp;$E$2&amp;":FG$"&amp;$E$2),B177))</f>
        <v>#VALUE!</v>
      </c>
      <c r="G177" s="0" t="e">
        <f aca="true">IF(ISBLANK(F177),,COUNTIF(INDIRECT("'0.1.1 Pokémon GO Moves'!C"&amp;$E$3&amp;":R$"&amp;$E$3),B177))</f>
        <v>#N/A</v>
      </c>
      <c r="H177" s="0" t="e">
        <f aca="false">IF(ISBLANK(F177),,IF(OR(D177=$B$2,D177=$B$3),1,0))</f>
        <v>#N/A</v>
      </c>
      <c r="J177" s="0" t="str">
        <v>Rock Wrecker</v>
      </c>
      <c r="K177" s="0" t="str">
        <f aca="false">IF(ISBLANK(J177),,J177&amp;", ")</f>
        <v>Rock Wrecker,</v>
      </c>
      <c r="L177" s="0" t="str">
        <f aca="false" t="array" ref="L177:L177">IF(ISBLANK(J177),,INDEX('0.2.1 Move Compare'!$B$2:$B1011,MATCH(J177,'0.2.1 Move Compare'!$A$2:$A1011,0)))</f>
        <v>Rock</v>
      </c>
      <c r="M177" s="0" t="e">
        <f aca="true">IF(OR($E$1=0,ISBLANK(J177)),,COUNTIF(INDIRECT("'0.0.2 Pokémon Learnset (Core)'!D$"&amp;$E$2&amp;":FG$"&amp;$E$2),J177))</f>
        <v>#VALUE!</v>
      </c>
      <c r="N177" s="0" t="e">
        <f aca="false">IF(ISBLANK(J177),,IF(OR(L177=$B$2,L177=$B$3),1,0))</f>
        <v>#N/A</v>
      </c>
    </row>
    <row r="178" customFormat="false" ht="15.75" hidden="false" customHeight="false" outlineLevel="0" collapsed="false">
      <c r="B178" s="0" t="str">
        <v>Twister</v>
      </c>
      <c r="C178" s="0" t="str">
        <f aca="false">IF(ISBLANK(B178),,B178&amp;", ")</f>
        <v>Twister,</v>
      </c>
      <c r="D178" s="0" t="str">
        <f aca="false" t="array" ref="D178:D178">IF(ISBLANK(B178),,INDEX('0.2.1 Move Compare'!$B$2:$B1011,MATCH(B178,'0.2.1 Move Compare'!$A$2:$A1011,0)))</f>
        <v>Dragon</v>
      </c>
      <c r="E178" s="0" t="n">
        <f aca="false" t="array" ref="E178:E178">IF(ISBLANK(B178),,IF(INDEX('0.1.2 Attack Dex (GO)'!C171:C1011,MATCH(B178,'0.1.2 Attack Dex (GO)'!A171:A1011,0))="Fast",1,0))</f>
        <v>0</v>
      </c>
      <c r="F178" s="0" t="e">
        <f aca="true">IF(OR($E$1=0,ISBLANK(B178)),,COUNTIF(INDIRECT("'0.0.2 Pokémon Learnset (Core)'!D$"&amp;$E$2&amp;":FG$"&amp;$E$2),B178))</f>
        <v>#VALUE!</v>
      </c>
      <c r="G178" s="0" t="e">
        <f aca="true">IF(ISBLANK(F178),,COUNTIF(INDIRECT("'0.1.1 Pokémon GO Moves'!C"&amp;$E$3&amp;":R$"&amp;$E$3),B178))</f>
        <v>#N/A</v>
      </c>
      <c r="H178" s="0" t="e">
        <f aca="false">IF(ISBLANK(F178),,IF(OR(D178=$B$2,D178=$B$3),1,0))</f>
        <v>#N/A</v>
      </c>
      <c r="J178" s="0" t="str">
        <v>Rolling Kick</v>
      </c>
      <c r="K178" s="0" t="str">
        <f aca="false">IF(ISBLANK(J178),,J178&amp;", ")</f>
        <v>Rolling Kick,</v>
      </c>
      <c r="L178" s="0" t="str">
        <f aca="false" t="array" ref="L178:L178">IF(ISBLANK(J178),,INDEX('0.2.1 Move Compare'!$B$2:$B1011,MATCH(J178,'0.2.1 Move Compare'!$A$2:$A1011,0)))</f>
        <v>Fighting</v>
      </c>
      <c r="M178" s="0" t="e">
        <f aca="true">IF(OR($E$1=0,ISBLANK(J178)),,COUNTIF(INDIRECT("'0.0.2 Pokémon Learnset (Core)'!D$"&amp;$E$2&amp;":FG$"&amp;$E$2),J178))</f>
        <v>#VALUE!</v>
      </c>
      <c r="N178" s="0" t="e">
        <f aca="false">IF(ISBLANK(J178),,IF(OR(L178=$B$2,L178=$B$3),1,0))</f>
        <v>#N/A</v>
      </c>
    </row>
    <row r="179" customFormat="false" ht="15.75" hidden="false" customHeight="false" outlineLevel="0" collapsed="false">
      <c r="B179" s="0" t="str">
        <v>Vice Grip</v>
      </c>
      <c r="C179" s="0" t="str">
        <f aca="false">IF(ISBLANK(B179),,B179&amp;", ")</f>
        <v>Vice Grip,</v>
      </c>
      <c r="D179" s="0" t="str">
        <f aca="false" t="array" ref="D179:D179">IF(ISBLANK(B179),,INDEX('0.2.1 Move Compare'!$B$2:$B1011,MATCH(B179,'0.2.1 Move Compare'!$A$2:$A1011,0)))</f>
        <v>Normal</v>
      </c>
      <c r="E179" s="0" t="n">
        <f aca="false" t="array" ref="E179:E179">IF(ISBLANK(B179),,IF(INDEX('0.1.2 Attack Dex (GO)'!C172:C1011,MATCH(B179,'0.1.2 Attack Dex (GO)'!A172:A1011,0))="Fast",1,0))</f>
        <v>0</v>
      </c>
      <c r="F179" s="0" t="e">
        <f aca="true">IF(OR($E$1=0,ISBLANK(B179)),,COUNTIF(INDIRECT("'0.0.2 Pokémon Learnset (Core)'!D$"&amp;$E$2&amp;":FG$"&amp;$E$2),B179))</f>
        <v>#VALUE!</v>
      </c>
      <c r="G179" s="0" t="e">
        <f aca="true">IF(ISBLANK(F179),,COUNTIF(INDIRECT("'0.1.1 Pokémon GO Moves'!C"&amp;$E$3&amp;":R$"&amp;$E$3),B179))</f>
        <v>#N/A</v>
      </c>
      <c r="H179" s="0" t="e">
        <f aca="false">IF(ISBLANK(F179),,IF(OR(D179=$B$2,D179=$B$3),1,0))</f>
        <v>#N/A</v>
      </c>
      <c r="J179" s="0" t="str">
        <v>Rollout</v>
      </c>
      <c r="K179" s="0" t="str">
        <f aca="false">IF(ISBLANK(J179),,J179&amp;", ")</f>
        <v>Rollout,</v>
      </c>
      <c r="L179" s="0" t="str">
        <f aca="false" t="array" ref="L179:L179">IF(ISBLANK(J179),,INDEX('0.2.1 Move Compare'!$B$2:$B1011,MATCH(J179,'0.2.1 Move Compare'!$A$2:$A1011,0)))</f>
        <v>Rock</v>
      </c>
      <c r="M179" s="0" t="e">
        <f aca="true">IF(OR($E$1=0,ISBLANK(J179)),,COUNTIF(INDIRECT("'0.0.2 Pokémon Learnset (Core)'!D$"&amp;$E$2&amp;":FG$"&amp;$E$2),J179))</f>
        <v>#VALUE!</v>
      </c>
      <c r="N179" s="0" t="e">
        <f aca="false">IF(ISBLANK(J179),,IF(OR(L179=$B$2,L179=$B$3),1,0))</f>
        <v>#N/A</v>
      </c>
    </row>
    <row r="180" customFormat="false" ht="15.75" hidden="false" customHeight="false" outlineLevel="0" collapsed="false">
      <c r="B180" s="0" t="str">
        <v>Vine Whip</v>
      </c>
      <c r="C180" s="0" t="str">
        <f aca="false">IF(ISBLANK(B180),,B180&amp;", ")</f>
        <v>Vine Whip,</v>
      </c>
      <c r="D180" s="0" t="str">
        <f aca="false" t="array" ref="D180:D180">IF(ISBLANK(B180),,INDEX('0.2.1 Move Compare'!$B$2:$B1011,MATCH(B180,'0.2.1 Move Compare'!$A$2:$A1011,0)))</f>
        <v>Grass</v>
      </c>
      <c r="E180" s="0" t="n">
        <f aca="false" t="array" ref="E180:E180">IF(ISBLANK(B180),,IF(INDEX('0.1.2 Attack Dex (GO)'!C173:C1011,MATCH(B180,'0.1.2 Attack Dex (GO)'!A173:A1011,0))="Fast",1,0))</f>
        <v>1</v>
      </c>
      <c r="F180" s="0" t="e">
        <f aca="true">IF(OR($E$1=0,ISBLANK(B180)),,COUNTIF(INDIRECT("'0.0.2 Pokémon Learnset (Core)'!D$"&amp;$E$2&amp;":FG$"&amp;$E$2),B180))</f>
        <v>#VALUE!</v>
      </c>
      <c r="G180" s="0" t="e">
        <f aca="true">IF(ISBLANK(F180),,COUNTIF(INDIRECT("'0.1.1 Pokémon GO Moves'!C"&amp;$E$3&amp;":R$"&amp;$E$3),B180))</f>
        <v>#N/A</v>
      </c>
      <c r="H180" s="0" t="e">
        <f aca="false">IF(ISBLANK(F180),,IF(OR(D180=$B$2,D180=$B$3),1,0))</f>
        <v>#N/A</v>
      </c>
      <c r="J180" s="0" t="str">
        <v>Round</v>
      </c>
      <c r="K180" s="0" t="str">
        <f aca="false">IF(ISBLANK(J180),,J180&amp;", ")</f>
        <v>Round,</v>
      </c>
      <c r="L180" s="0" t="str">
        <f aca="false" t="array" ref="L180:L180">IF(ISBLANK(J180),,INDEX('0.2.1 Move Compare'!$B$2:$B1011,MATCH(J180,'0.2.1 Move Compare'!$A$2:$A1011,0)))</f>
        <v>Normal</v>
      </c>
      <c r="M180" s="0" t="e">
        <f aca="true">IF(OR($E$1=0,ISBLANK(J180)),,COUNTIF(INDIRECT("'0.0.2 Pokémon Learnset (Core)'!D$"&amp;$E$2&amp;":FG$"&amp;$E$2),J180))</f>
        <v>#VALUE!</v>
      </c>
      <c r="N180" s="0" t="e">
        <f aca="false">IF(ISBLANK(J180),,IF(OR(L180=$B$2,L180=$B$3),1,0))</f>
        <v>#N/A</v>
      </c>
    </row>
    <row r="181" customFormat="false" ht="15.75" hidden="false" customHeight="false" outlineLevel="0" collapsed="false">
      <c r="B181" s="0" t="str">
        <v>Volt Switch</v>
      </c>
      <c r="C181" s="0" t="str">
        <f aca="false">IF(ISBLANK(B181),,B181&amp;", ")</f>
        <v>Volt Switch,</v>
      </c>
      <c r="D181" s="0" t="str">
        <f aca="false" t="array" ref="D181:D181">IF(ISBLANK(B181),,INDEX('0.2.1 Move Compare'!$B$2:$B1011,MATCH(B181,'0.2.1 Move Compare'!$A$2:$A1011,0)))</f>
        <v>Electric</v>
      </c>
      <c r="E181" s="0" t="n">
        <f aca="false" t="array" ref="E181:E181">IF(ISBLANK(B181),,IF(INDEX('0.1.2 Attack Dex (GO)'!C174:C1011,MATCH(B181,'0.1.2 Attack Dex (GO)'!A174:A1011,0))="Fast",1,0))</f>
        <v>1</v>
      </c>
      <c r="F181" s="0" t="e">
        <f aca="true">IF(OR($E$1=0,ISBLANK(B181)),,COUNTIF(INDIRECT("'0.0.2 Pokémon Learnset (Core)'!D$"&amp;$E$2&amp;":FG$"&amp;$E$2),B181))</f>
        <v>#VALUE!</v>
      </c>
      <c r="G181" s="0" t="e">
        <f aca="true">IF(ISBLANK(F181),,COUNTIF(INDIRECT("'0.1.1 Pokémon GO Moves'!C"&amp;$E$3&amp;":R$"&amp;$E$3),B181))</f>
        <v>#N/A</v>
      </c>
      <c r="H181" s="0" t="e">
        <f aca="false">IF(ISBLANK(F181),,IF(OR(D181=$B$2,D181=$B$3),1,0))</f>
        <v>#N/A</v>
      </c>
      <c r="J181" s="0" t="str">
        <v>Sacred Fire</v>
      </c>
      <c r="K181" s="0" t="str">
        <f aca="false">IF(ISBLANK(J181),,J181&amp;", ")</f>
        <v>Sacred Fire,</v>
      </c>
      <c r="L181" s="0" t="str">
        <f aca="false" t="array" ref="L181:L181">IF(ISBLANK(J181),,INDEX('0.2.1 Move Compare'!$B$2:$B1011,MATCH(J181,'0.2.1 Move Compare'!$A$2:$A1011,0)))</f>
        <v>Fire</v>
      </c>
      <c r="M181" s="0" t="e">
        <f aca="true">IF(OR($E$1=0,ISBLANK(J181)),,COUNTIF(INDIRECT("'0.0.2 Pokémon Learnset (Core)'!D$"&amp;$E$2&amp;":FG$"&amp;$E$2),J181))</f>
        <v>#VALUE!</v>
      </c>
      <c r="N181" s="0" t="e">
        <f aca="false">IF(ISBLANK(J181),,IF(OR(L181=$B$2,L181=$B$3),1,0))</f>
        <v>#N/A</v>
      </c>
    </row>
    <row r="182" customFormat="false" ht="15.75" hidden="false" customHeight="false" outlineLevel="0" collapsed="false">
      <c r="B182" s="0" t="str">
        <v>Water Gun</v>
      </c>
      <c r="C182" s="0" t="str">
        <f aca="false">IF(ISBLANK(B182),,B182&amp;", ")</f>
        <v>Water Gun,</v>
      </c>
      <c r="D182" s="0" t="str">
        <f aca="false" t="array" ref="D182:D182">IF(ISBLANK(B182),,INDEX('0.2.1 Move Compare'!$B$2:$B1011,MATCH(B182,'0.2.1 Move Compare'!$A$2:$A1011,0)))</f>
        <v>Water</v>
      </c>
      <c r="E182" s="0" t="n">
        <f aca="false" t="array" ref="E182:E182">IF(ISBLANK(B182),,IF(INDEX('0.1.2 Attack Dex (GO)'!C175:C1011,MATCH(B182,'0.1.2 Attack Dex (GO)'!A175:A1011,0))="Fast",1,0))</f>
        <v>1</v>
      </c>
      <c r="F182" s="0" t="e">
        <f aca="true">IF(OR($E$1=0,ISBLANK(B182)),,COUNTIF(INDIRECT("'0.0.2 Pokémon Learnset (Core)'!D$"&amp;$E$2&amp;":FG$"&amp;$E$2),B182))</f>
        <v>#VALUE!</v>
      </c>
      <c r="G182" s="0" t="e">
        <f aca="true">IF(ISBLANK(F182),,COUNTIF(INDIRECT("'0.1.1 Pokémon GO Moves'!C"&amp;$E$3&amp;":R$"&amp;$E$3),B182))</f>
        <v>#N/A</v>
      </c>
      <c r="H182" s="0" t="e">
        <f aca="false">IF(ISBLANK(F182),,IF(OR(D182=$B$2,D182=$B$3),1,0))</f>
        <v>#N/A</v>
      </c>
      <c r="J182" s="0" t="str">
        <v>Sacred Sword</v>
      </c>
      <c r="K182" s="0" t="str">
        <f aca="false">IF(ISBLANK(J182),,J182&amp;", ")</f>
        <v>Sacred Sword,</v>
      </c>
      <c r="L182" s="0" t="str">
        <f aca="false" t="array" ref="L182:L182">IF(ISBLANK(J182),,INDEX('0.2.1 Move Compare'!$B$2:$B1011,MATCH(J182,'0.2.1 Move Compare'!$A$2:$A1011,0)))</f>
        <v>Fighting</v>
      </c>
      <c r="M182" s="0" t="e">
        <f aca="true">IF(OR($E$1=0,ISBLANK(J182)),,COUNTIF(INDIRECT("'0.0.2 Pokémon Learnset (Core)'!D$"&amp;$E$2&amp;":FG$"&amp;$E$2),J182))</f>
        <v>#VALUE!</v>
      </c>
      <c r="N182" s="0" t="e">
        <f aca="false">IF(ISBLANK(J182),,IF(OR(L182=$B$2,L182=$B$3),1,0))</f>
        <v>#N/A</v>
      </c>
    </row>
    <row r="183" customFormat="false" ht="15.75" hidden="false" customHeight="false" outlineLevel="0" collapsed="false">
      <c r="B183" s="0" t="str">
        <v>Water Pulse</v>
      </c>
      <c r="C183" s="0" t="str">
        <f aca="false">IF(ISBLANK(B183),,B183&amp;", ")</f>
        <v>Water Pulse,</v>
      </c>
      <c r="D183" s="0" t="str">
        <f aca="false" t="array" ref="D183:D183">IF(ISBLANK(B183),,INDEX('0.2.1 Move Compare'!$B$2:$B1011,MATCH(B183,'0.2.1 Move Compare'!$A$2:$A1011,0)))</f>
        <v>Water</v>
      </c>
      <c r="E183" s="0" t="n">
        <f aca="false" t="array" ref="E183:E183">IF(ISBLANK(B183),,IF(INDEX('0.1.2 Attack Dex (GO)'!C176:C1011,MATCH(B183,'0.1.2 Attack Dex (GO)'!A176:A1011,0))="Fast",1,0))</f>
        <v>0</v>
      </c>
      <c r="F183" s="0" t="e">
        <f aca="true">IF(OR($E$1=0,ISBLANK(B183)),,COUNTIF(INDIRECT("'0.0.2 Pokémon Learnset (Core)'!D$"&amp;$E$2&amp;":FG$"&amp;$E$2),B183))</f>
        <v>#VALUE!</v>
      </c>
      <c r="G183" s="0" t="e">
        <f aca="true">IF(ISBLANK(F183),,COUNTIF(INDIRECT("'0.1.1 Pokémon GO Moves'!C"&amp;$E$3&amp;":R$"&amp;$E$3),B183))</f>
        <v>#N/A</v>
      </c>
      <c r="H183" s="0" t="e">
        <f aca="false">IF(ISBLANK(F183),,IF(OR(D183=$B$2,D183=$B$3),1,0))</f>
        <v>#N/A</v>
      </c>
      <c r="J183" s="0" t="str">
        <v>Searing Shot</v>
      </c>
      <c r="K183" s="0" t="str">
        <f aca="false">IF(ISBLANK(J183),,J183&amp;", ")</f>
        <v>Searing Shot,</v>
      </c>
      <c r="L183" s="0" t="str">
        <f aca="false" t="array" ref="L183:L183">IF(ISBLANK(J183),,INDEX('0.2.1 Move Compare'!$B$2:$B1011,MATCH(J183,'0.2.1 Move Compare'!$A$2:$A1011,0)))</f>
        <v>Fire</v>
      </c>
      <c r="M183" s="0" t="e">
        <f aca="true">IF(OR($E$1=0,ISBLANK(J183)),,COUNTIF(INDIRECT("'0.0.2 Pokémon Learnset (Core)'!D$"&amp;$E$2&amp;":FG$"&amp;$E$2),J183))</f>
        <v>#VALUE!</v>
      </c>
      <c r="N183" s="0" t="e">
        <f aca="false">IF(ISBLANK(J183),,IF(OR(L183=$B$2,L183=$B$3),1,0))</f>
        <v>#N/A</v>
      </c>
    </row>
    <row r="184" customFormat="false" ht="15.75" hidden="false" customHeight="false" outlineLevel="0" collapsed="false">
      <c r="B184" s="0" t="str">
        <v>Waterfall</v>
      </c>
      <c r="C184" s="0" t="str">
        <f aca="false">IF(ISBLANK(B184),,B184&amp;", ")</f>
        <v>Waterfall,</v>
      </c>
      <c r="D184" s="0" t="str">
        <f aca="false" t="array" ref="D184:D184">IF(ISBLANK(B184),,INDEX('0.2.1 Move Compare'!$B$2:$B1011,MATCH(B184,'0.2.1 Move Compare'!$A$2:$A1011,0)))</f>
        <v>Water</v>
      </c>
      <c r="E184" s="0" t="n">
        <f aca="false" t="array" ref="E184:E184">IF(ISBLANK(B184),,IF(INDEX('0.1.2 Attack Dex (GO)'!C177:C1011,MATCH(B184,'0.1.2 Attack Dex (GO)'!A177:A1011,0))="Fast",1,0))</f>
        <v>1</v>
      </c>
      <c r="F184" s="0" t="e">
        <f aca="true">IF(OR($E$1=0,ISBLANK(B184)),,COUNTIF(INDIRECT("'0.0.2 Pokémon Learnset (Core)'!D$"&amp;$E$2&amp;":FG$"&amp;$E$2),B184))</f>
        <v>#VALUE!</v>
      </c>
      <c r="G184" s="0" t="e">
        <f aca="true">IF(ISBLANK(F184),,COUNTIF(INDIRECT("'0.1.1 Pokémon GO Moves'!C"&amp;$E$3&amp;":R$"&amp;$E$3),B184))</f>
        <v>#N/A</v>
      </c>
      <c r="H184" s="0" t="e">
        <f aca="false">IF(ISBLANK(F184),,IF(OR(D184=$B$2,D184=$B$3),1,0))</f>
        <v>#N/A</v>
      </c>
      <c r="J184" s="0" t="str">
        <v>Secret Power</v>
      </c>
      <c r="K184" s="0" t="str">
        <f aca="false">IF(ISBLANK(J184),,J184&amp;", ")</f>
        <v>Secret Power,</v>
      </c>
      <c r="L184" s="0" t="str">
        <f aca="false" t="array" ref="L184:L184">IF(ISBLANK(J184),,INDEX('0.2.1 Move Compare'!$B$2:$B1011,MATCH(J184,'0.2.1 Move Compare'!$A$2:$A1011,0)))</f>
        <v>Normal</v>
      </c>
      <c r="M184" s="0" t="e">
        <f aca="true">IF(OR($E$1=0,ISBLANK(J184)),,COUNTIF(INDIRECT("'0.0.2 Pokémon Learnset (Core)'!D$"&amp;$E$2&amp;":FG$"&amp;$E$2),J184))</f>
        <v>#VALUE!</v>
      </c>
      <c r="N184" s="0" t="e">
        <f aca="false">IF(ISBLANK(J184),,IF(OR(L184=$B$2,L184=$B$3),1,0))</f>
        <v>#N/A</v>
      </c>
    </row>
    <row r="185" customFormat="false" ht="15.75" hidden="false" customHeight="false" outlineLevel="0" collapsed="false">
      <c r="B185" s="0" t="str">
        <v>Wild Charge</v>
      </c>
      <c r="C185" s="0" t="str">
        <f aca="false">IF(ISBLANK(B185),,B185&amp;", ")</f>
        <v>Wild Charge,</v>
      </c>
      <c r="D185" s="0" t="str">
        <f aca="false" t="array" ref="D185:D185">IF(ISBLANK(B185),,INDEX('0.2.1 Move Compare'!$B$2:$B1011,MATCH(B185,'0.2.1 Move Compare'!$A$2:$A1011,0)))</f>
        <v>Electric</v>
      </c>
      <c r="E185" s="0" t="n">
        <f aca="false" t="array" ref="E185:E185">IF(ISBLANK(B185),,IF(INDEX('0.1.2 Attack Dex (GO)'!C178:C1011,MATCH(B185,'0.1.2 Attack Dex (GO)'!A178:A1011,0))="Fast",1,0))</f>
        <v>0</v>
      </c>
      <c r="F185" s="0" t="e">
        <f aca="true">IF(OR($E$1=0,ISBLANK(B185)),,COUNTIF(INDIRECT("'0.0.2 Pokémon Learnset (Core)'!D$"&amp;$E$2&amp;":FG$"&amp;$E$2),B185))</f>
        <v>#VALUE!</v>
      </c>
      <c r="G185" s="0" t="e">
        <f aca="true">IF(ISBLANK(F185),,COUNTIF(INDIRECT("'0.1.1 Pokémon GO Moves'!C"&amp;$E$3&amp;":R$"&amp;$E$3),B185))</f>
        <v>#N/A</v>
      </c>
      <c r="H185" s="0" t="e">
        <f aca="false">IF(ISBLANK(F185),,IF(OR(D185=$B$2,D185=$B$3),1,0))</f>
        <v>#N/A</v>
      </c>
      <c r="J185" s="0" t="str">
        <v>Secret Sword</v>
      </c>
      <c r="K185" s="0" t="str">
        <f aca="false">IF(ISBLANK(J185),,J185&amp;", ")</f>
        <v>Secret Sword,</v>
      </c>
      <c r="L185" s="0" t="str">
        <f aca="false" t="array" ref="L185:L185">IF(ISBLANK(J185),,INDEX('0.2.1 Move Compare'!$B$2:$B1011,MATCH(J185,'0.2.1 Move Compare'!$A$2:$A1011,0)))</f>
        <v>Fighting</v>
      </c>
      <c r="M185" s="0" t="e">
        <f aca="true">IF(OR($E$1=0,ISBLANK(J185)),,COUNTIF(INDIRECT("'0.0.2 Pokémon Learnset (Core)'!D$"&amp;$E$2&amp;":FG$"&amp;$E$2),J185))</f>
        <v>#VALUE!</v>
      </c>
      <c r="N185" s="0" t="e">
        <f aca="false">IF(ISBLANK(J185),,IF(OR(L185=$B$2,L185=$B$3),1,0))</f>
        <v>#N/A</v>
      </c>
    </row>
    <row r="186" customFormat="false" ht="15.75" hidden="false" customHeight="false" outlineLevel="0" collapsed="false">
      <c r="B186" s="0" t="str">
        <v>Wing Attack</v>
      </c>
      <c r="C186" s="0" t="str">
        <f aca="false">IF(ISBLANK(B186),,B186&amp;", ")</f>
        <v>Wing Attack,</v>
      </c>
      <c r="D186" s="0" t="str">
        <f aca="false" t="array" ref="D186:D186">IF(ISBLANK(B186),,INDEX('0.2.1 Move Compare'!$B$2:$B1011,MATCH(B186,'0.2.1 Move Compare'!$A$2:$A1011,0)))</f>
        <v>Flying</v>
      </c>
      <c r="E186" s="0" t="n">
        <f aca="false" t="array" ref="E186:E186">IF(ISBLANK(B186),,IF(INDEX('0.1.2 Attack Dex (GO)'!C179:C1011,MATCH(B186,'0.1.2 Attack Dex (GO)'!A179:A1011,0))="Fast",1,0))</f>
        <v>1</v>
      </c>
      <c r="F186" s="0" t="e">
        <f aca="true">IF(OR($E$1=0,ISBLANK(B186)),,COUNTIF(INDIRECT("'0.0.2 Pokémon Learnset (Core)'!D$"&amp;$E$2&amp;":FG$"&amp;$E$2),B186))</f>
        <v>#VALUE!</v>
      </c>
      <c r="G186" s="0" t="e">
        <f aca="true">IF(ISBLANK(F186),,COUNTIF(INDIRECT("'0.1.1 Pokémon GO Moves'!C"&amp;$E$3&amp;":R$"&amp;$E$3),B186))</f>
        <v>#N/A</v>
      </c>
      <c r="H186" s="0" t="e">
        <f aca="false">IF(ISBLANK(F186),,IF(OR(D186=$B$2,D186=$B$3),1,0))</f>
        <v>#N/A</v>
      </c>
      <c r="J186" s="0" t="str">
        <v>Seed Flare</v>
      </c>
      <c r="K186" s="0" t="str">
        <f aca="false">IF(ISBLANK(J186),,J186&amp;", ")</f>
        <v>Seed Flare,</v>
      </c>
      <c r="L186" s="0" t="str">
        <f aca="false" t="array" ref="L186:L186">IF(ISBLANK(J186),,INDEX('0.2.1 Move Compare'!$B$2:$B1011,MATCH(J186,'0.2.1 Move Compare'!$A$2:$A1011,0)))</f>
        <v>Grass</v>
      </c>
      <c r="M186" s="0" t="e">
        <f aca="true">IF(OR($E$1=0,ISBLANK(J186)),,COUNTIF(INDIRECT("'0.0.2 Pokémon Learnset (Core)'!D$"&amp;$E$2&amp;":FG$"&amp;$E$2),J186))</f>
        <v>#VALUE!</v>
      </c>
      <c r="N186" s="0" t="e">
        <f aca="false">IF(ISBLANK(J186),,IF(OR(L186=$B$2,L186=$B$3),1,0))</f>
        <v>#N/A</v>
      </c>
    </row>
    <row r="187" customFormat="false" ht="15.75" hidden="false" customHeight="false" outlineLevel="0" collapsed="false">
      <c r="B187" s="0" t="str">
        <v>Wrap</v>
      </c>
      <c r="C187" s="0" t="str">
        <f aca="false">IF(ISBLANK(B187),,B187&amp;", ")</f>
        <v>Wrap,</v>
      </c>
      <c r="D187" s="0" t="str">
        <f aca="false" t="array" ref="D187:D187">IF(ISBLANK(B187),,INDEX('0.2.1 Move Compare'!$B$2:$B1011,MATCH(B187,'0.2.1 Move Compare'!$A$2:$A1011,0)))</f>
        <v>Normal</v>
      </c>
      <c r="E187" s="0" t="n">
        <f aca="false" t="array" ref="E187:E187">IF(ISBLANK(B187),,IF(INDEX('0.1.2 Attack Dex (GO)'!C180:C1011,MATCH(B187,'0.1.2 Attack Dex (GO)'!A180:A1011,0))="Fast",1,0))</f>
        <v>0</v>
      </c>
      <c r="F187" s="0" t="e">
        <f aca="true">IF(OR($E$1=0,ISBLANK(B187)),,COUNTIF(INDIRECT("'0.0.2 Pokémon Learnset (Core)'!D$"&amp;$E$2&amp;":FG$"&amp;$E$2),B187))</f>
        <v>#VALUE!</v>
      </c>
      <c r="G187" s="0" t="e">
        <f aca="true">IF(ISBLANK(F187),,COUNTIF(INDIRECT("'0.1.1 Pokémon GO Moves'!C"&amp;$E$3&amp;":R$"&amp;$E$3),B187))</f>
        <v>#N/A</v>
      </c>
      <c r="H187" s="0" t="e">
        <f aca="false">IF(ISBLANK(F187),,IF(OR(D187=$B$2,D187=$B$3),1,0))</f>
        <v>#N/A</v>
      </c>
      <c r="J187" s="0" t="str">
        <v>Seismic Toss</v>
      </c>
      <c r="K187" s="0" t="str">
        <f aca="false">IF(ISBLANK(J187),,J187&amp;", ")</f>
        <v>Seismic Toss,</v>
      </c>
      <c r="L187" s="0" t="str">
        <f aca="false" t="array" ref="L187:L187">IF(ISBLANK(J187),,INDEX('0.2.1 Move Compare'!$B$2:$B1011,MATCH(J187,'0.2.1 Move Compare'!$A$2:$A1011,0)))</f>
        <v>Fighting</v>
      </c>
      <c r="M187" s="0" t="e">
        <f aca="true">IF(OR($E$1=0,ISBLANK(J187)),,COUNTIF(INDIRECT("'0.0.2 Pokémon Learnset (Core)'!D$"&amp;$E$2&amp;":FG$"&amp;$E$2),J187))</f>
        <v>#VALUE!</v>
      </c>
      <c r="N187" s="0" t="e">
        <f aca="false">IF(ISBLANK(J187),,IF(OR(L187=$B$2,L187=$B$3),1,0))</f>
        <v>#N/A</v>
      </c>
    </row>
    <row r="188" customFormat="false" ht="15.75" hidden="false" customHeight="false" outlineLevel="0" collapsed="false">
      <c r="B188" s="0" t="str">
        <v>X-Scissor</v>
      </c>
      <c r="C188" s="0" t="str">
        <f aca="false">IF(ISBLANK(B188),,B188&amp;", ")</f>
        <v>X-Scissor,</v>
      </c>
      <c r="D188" s="0" t="str">
        <f aca="false" t="array" ref="D188:D188">IF(ISBLANK(B188),,INDEX('0.2.1 Move Compare'!$B$2:$B1011,MATCH(B188,'0.2.1 Move Compare'!$A$2:$A1011,0)))</f>
        <v>Bug</v>
      </c>
      <c r="E188" s="0" t="n">
        <f aca="false" t="array" ref="E188:E188">IF(ISBLANK(B188),,IF(INDEX('0.1.2 Attack Dex (GO)'!C181:C1011,MATCH(B188,'0.1.2 Attack Dex (GO)'!A181:A1011,0))="Fast",1,0))</f>
        <v>0</v>
      </c>
      <c r="F188" s="0" t="e">
        <f aca="true">IF(OR($E$1=0,ISBLANK(B188)),,COUNTIF(INDIRECT("'0.0.2 Pokémon Learnset (Core)'!D$"&amp;$E$2&amp;":FG$"&amp;$E$2),B188))</f>
        <v>#VALUE!</v>
      </c>
      <c r="G188" s="0" t="e">
        <f aca="true">IF(ISBLANK(F188),,COUNTIF(INDIRECT("'0.1.1 Pokémon GO Moves'!C"&amp;$E$3&amp;":R$"&amp;$E$3),B188))</f>
        <v>#N/A</v>
      </c>
      <c r="H188" s="0" t="e">
        <f aca="false">IF(ISBLANK(F188),,IF(OR(D188=$B$2,D188=$B$3),1,0))</f>
        <v>#N/A</v>
      </c>
      <c r="J188" s="0" t="str">
        <v>Self-Destruct</v>
      </c>
      <c r="K188" s="0" t="str">
        <f aca="false">IF(ISBLANK(J188),,J188&amp;", ")</f>
        <v>Self-Destruct,</v>
      </c>
      <c r="L188" s="0" t="str">
        <f aca="false" t="array" ref="L188:L188">IF(ISBLANK(J188),,INDEX('0.2.1 Move Compare'!$B$2:$B1011,MATCH(J188,'0.2.1 Move Compare'!$A$2:$A1011,0)))</f>
        <v>Normal</v>
      </c>
      <c r="M188" s="0" t="e">
        <f aca="true">IF(OR($E$1=0,ISBLANK(J188)),,COUNTIF(INDIRECT("'0.0.2 Pokémon Learnset (Core)'!D$"&amp;$E$2&amp;":FG$"&amp;$E$2),J188))</f>
        <v>#VALUE!</v>
      </c>
      <c r="N188" s="0" t="e">
        <f aca="false">IF(ISBLANK(J188),,IF(OR(L188=$B$2,L188=$B$3),1,0))</f>
        <v>#N/A</v>
      </c>
    </row>
    <row r="189" customFormat="false" ht="15.75" hidden="false" customHeight="false" outlineLevel="0" collapsed="false">
      <c r="B189" s="0" t="str">
        <v>Yawn</v>
      </c>
      <c r="C189" s="0" t="str">
        <f aca="false">IF(ISBLANK(B189),,B189&amp;", ")</f>
        <v>Yawn,</v>
      </c>
      <c r="D189" s="0" t="str">
        <f aca="false" t="array" ref="D189:D189">IF(ISBLANK(B189),,INDEX('0.2.1 Move Compare'!$B$2:$B1011,MATCH(B189,'0.2.1 Move Compare'!$A$2:$A1011,0)))</f>
        <v>Normal</v>
      </c>
      <c r="E189" s="0" t="n">
        <f aca="false" t="array" ref="E189:E189">IF(ISBLANK(B189),,IF(INDEX('0.1.2 Attack Dex (GO)'!C182:C1011,MATCH(B189,'0.1.2 Attack Dex (GO)'!A182:A1011,0))="Fast",1,0))</f>
        <v>1</v>
      </c>
      <c r="F189" s="0" t="e">
        <f aca="true">IF(OR($E$1=0,ISBLANK(B189)),,COUNTIF(INDIRECT("'0.0.2 Pokémon Learnset (Core)'!D$"&amp;$E$2&amp;":FG$"&amp;$E$2),B189))</f>
        <v>#VALUE!</v>
      </c>
      <c r="G189" s="0" t="e">
        <f aca="true">IF(ISBLANK(F189),,COUNTIF(INDIRECT("'0.1.1 Pokémon GO Moves'!C"&amp;$E$3&amp;":R$"&amp;$E$3),B189))</f>
        <v>#N/A</v>
      </c>
      <c r="H189" s="0" t="e">
        <f aca="false">IF(ISBLANK(F189),,IF(OR(D189=$B$2,D189=$B$3),1,0))</f>
        <v>#N/A</v>
      </c>
      <c r="J189" s="0" t="str">
        <v>Shadow Bone</v>
      </c>
      <c r="K189" s="0" t="str">
        <f aca="false">IF(ISBLANK(J189),,J189&amp;", ")</f>
        <v>Shadow Bone,</v>
      </c>
      <c r="L189" s="0" t="str">
        <f aca="false" t="array" ref="L189:L189">IF(ISBLANK(J189),,INDEX('0.2.1 Move Compare'!$B$2:$B1011,MATCH(J189,'0.2.1 Move Compare'!$A$2:$A1011,0)))</f>
        <v>Ghost</v>
      </c>
      <c r="M189" s="0" t="e">
        <f aca="true">IF(OR($E$1=0,ISBLANK(J189)),,COUNTIF(INDIRECT("'0.0.2 Pokémon Learnset (Core)'!D$"&amp;$E$2&amp;":FG$"&amp;$E$2),J189))</f>
        <v>#VALUE!</v>
      </c>
      <c r="N189" s="0" t="e">
        <f aca="false">IF(ISBLANK(J189),,IF(OR(L189=$B$2,L189=$B$3),1,0))</f>
        <v>#N/A</v>
      </c>
    </row>
    <row r="190" customFormat="false" ht="15.75" hidden="false" customHeight="false" outlineLevel="0" collapsed="false">
      <c r="B190" s="0" t="str">
        <v>Zap Cannon</v>
      </c>
      <c r="C190" s="0" t="str">
        <f aca="false">IF(ISBLANK(B190),,B190&amp;", ")</f>
        <v>Zap Cannon,</v>
      </c>
      <c r="D190" s="0" t="str">
        <f aca="false" t="array" ref="D190:D190">IF(ISBLANK(B190),,INDEX('0.2.1 Move Compare'!$B$2:$B1011,MATCH(B190,'0.2.1 Move Compare'!$A$2:$A1011,0)))</f>
        <v>Electric</v>
      </c>
      <c r="E190" s="0" t="n">
        <f aca="false" t="array" ref="E190:E190">IF(ISBLANK(B190),,IF(INDEX('0.1.2 Attack Dex (GO)'!C183:C1011,MATCH(B190,'0.1.2 Attack Dex (GO)'!A183:A1011,0))="Fast",1,0))</f>
        <v>0</v>
      </c>
      <c r="F190" s="0" t="e">
        <f aca="true">IF(OR($E$1=0,ISBLANK(B190)),,COUNTIF(INDIRECT("'0.0.2 Pokémon Learnset (Core)'!D$"&amp;$E$2&amp;":FG$"&amp;$E$2),B190))</f>
        <v>#VALUE!</v>
      </c>
      <c r="G190" s="0" t="e">
        <f aca="true">IF(ISBLANK(F190),,COUNTIF(INDIRECT("'0.1.1 Pokémon GO Moves'!C"&amp;$E$3&amp;":R$"&amp;$E$3),B190))</f>
        <v>#N/A</v>
      </c>
      <c r="H190" s="0" t="e">
        <f aca="false">IF(ISBLANK(F190),,IF(OR(D190=$B$2,D190=$B$3),1,0))</f>
        <v>#N/A</v>
      </c>
      <c r="J190" s="0" t="str">
        <v>Shadow Force</v>
      </c>
      <c r="K190" s="0" t="str">
        <f aca="false">IF(ISBLANK(J190),,J190&amp;", ")</f>
        <v>Shadow Force,</v>
      </c>
      <c r="L190" s="0" t="str">
        <f aca="false" t="array" ref="L190:L190">IF(ISBLANK(J190),,INDEX('0.2.1 Move Compare'!$B$2:$B1011,MATCH(J190,'0.2.1 Move Compare'!$A$2:$A1011,0)))</f>
        <v>Ghost</v>
      </c>
      <c r="M190" s="0" t="e">
        <f aca="true">IF(OR($E$1=0,ISBLANK(J190)),,COUNTIF(INDIRECT("'0.0.2 Pokémon Learnset (Core)'!D$"&amp;$E$2&amp;":FG$"&amp;$E$2),J190))</f>
        <v>#VALUE!</v>
      </c>
      <c r="N190" s="0" t="e">
        <f aca="false">IF(ISBLANK(J190),,IF(OR(L190=$B$2,L190=$B$3),1,0))</f>
        <v>#N/A</v>
      </c>
    </row>
    <row r="191" customFormat="false" ht="15.75" hidden="false" customHeight="false" outlineLevel="0" collapsed="false">
      <c r="B191" s="0" t="str">
        <v>Zen Headbutt</v>
      </c>
      <c r="C191" s="0" t="str">
        <f aca="false">IF(ISBLANK(B191),,B191&amp;", ")</f>
        <v>Zen Headbutt,</v>
      </c>
      <c r="D191" s="0" t="str">
        <f aca="false" t="array" ref="D191:D191">IF(ISBLANK(B191),,INDEX('0.2.1 Move Compare'!$B$2:$B1011,MATCH(B191,'0.2.1 Move Compare'!$A$2:$A1011,0)))</f>
        <v>Psychic</v>
      </c>
      <c r="E191" s="0" t="n">
        <f aca="false" t="array" ref="E191:E191">IF(ISBLANK(B191),,IF(INDEX('0.1.2 Attack Dex (GO)'!C184:C1011,MATCH(B191,'0.1.2 Attack Dex (GO)'!A184:A1011,0))="Fast",1,0))</f>
        <v>1</v>
      </c>
      <c r="F191" s="0" t="e">
        <f aca="true">IF(OR($E$1=0,ISBLANK(B191)),,COUNTIF(INDIRECT("'0.0.2 Pokémon Learnset (Core)'!D$"&amp;$E$2&amp;":FG$"&amp;$E$2),B191))</f>
        <v>#VALUE!</v>
      </c>
      <c r="G191" s="0" t="e">
        <f aca="true">IF(ISBLANK(F191),,COUNTIF(INDIRECT("'0.1.1 Pokémon GO Moves'!C"&amp;$E$3&amp;":R$"&amp;$E$3),B191))</f>
        <v>#N/A</v>
      </c>
      <c r="H191" s="0" t="e">
        <f aca="false">IF(ISBLANK(F191),,IF(OR(D191=$B$2,D191=$B$3),1,0))</f>
        <v>#N/A</v>
      </c>
      <c r="J191" s="0" t="str">
        <v>Shell Trap</v>
      </c>
      <c r="K191" s="0" t="str">
        <f aca="false">IF(ISBLANK(J191),,J191&amp;", ")</f>
        <v>Shell Trap,</v>
      </c>
      <c r="L191" s="0" t="str">
        <f aca="false" t="array" ref="L191:L191">IF(ISBLANK(J191),,INDEX('0.2.1 Move Compare'!$B$2:$B1011,MATCH(J191,'0.2.1 Move Compare'!$A$2:$A1011,0)))</f>
        <v>Fire</v>
      </c>
      <c r="M191" s="0" t="e">
        <f aca="true">IF(OR($E$1=0,ISBLANK(J191)),,COUNTIF(INDIRECT("'0.0.2 Pokémon Learnset (Core)'!D$"&amp;$E$2&amp;":FG$"&amp;$E$2),J191))</f>
        <v>#VALUE!</v>
      </c>
      <c r="N191" s="0" t="e">
        <f aca="false">IF(ISBLANK(J191),,IF(OR(L191=$B$2,L191=$B$3),1,0))</f>
        <v>#N/A</v>
      </c>
    </row>
    <row r="192" customFormat="false" ht="15.75" hidden="false" customHeight="false" outlineLevel="0" collapsed="false">
      <c r="B192" s="0" t="n">
        <v>0</v>
      </c>
      <c r="C192" s="0" t="str">
        <f aca="false">IF(ISBLANK(B192),,B192&amp;", ")</f>
        <v>0,</v>
      </c>
      <c r="D192" s="0" t="e">
        <f aca="false" t="array" ref="D192:D192">IF(ISBLANK(B192),,INDEX('0.2.1 Move Compare'!$B$2:$B1011,MATCH(B192,'0.2.1 Move Compare'!$A$2:$A1011,0)))</f>
        <v>#N/A</v>
      </c>
      <c r="E192" s="0" t="e">
        <f aca="false" t="array" ref="E192:E192">IF(ISBLANK(B192),,IF(INDEX('0.1.2 Attack Dex (GO)'!C185:C1011,MATCH(B192,'0.1.2 Attack Dex (GO)'!A185:A1011,0))="Fast",1,0))</f>
        <v>#N/A</v>
      </c>
      <c r="F192" s="0" t="e">
        <f aca="true">IF(OR($E$1=0,ISBLANK(B192)),,COUNTIF(INDIRECT("'0.0.2 Pokémon Learnset (Core)'!D$"&amp;$E$2&amp;":FG$"&amp;$E$2),B192))</f>
        <v>#VALUE!</v>
      </c>
      <c r="G192" s="0" t="e">
        <f aca="true">IF(ISBLANK(F192),,COUNTIF(INDIRECT("'0.1.1 Pokémon GO Moves'!C"&amp;$E$3&amp;":R$"&amp;$E$3),B192))</f>
        <v>#N/A</v>
      </c>
      <c r="H192" s="0" t="e">
        <f aca="false">IF(ISBLANK(F192),,IF(OR(D192=$B$2,D192=$B$3),1,0))</f>
        <v>#N/A</v>
      </c>
      <c r="J192" s="0" t="str">
        <v>Shock Wave</v>
      </c>
      <c r="K192" s="0" t="str">
        <f aca="false">IF(ISBLANK(J192),,J192&amp;", ")</f>
        <v>Shock Wave,</v>
      </c>
      <c r="L192" s="0" t="str">
        <f aca="false" t="array" ref="L192:L192">IF(ISBLANK(J192),,INDEX('0.2.1 Move Compare'!$B$2:$B1011,MATCH(J192,'0.2.1 Move Compare'!$A$2:$A1011,0)))</f>
        <v>Electric</v>
      </c>
      <c r="M192" s="0" t="e">
        <f aca="true">IF(OR($E$1=0,ISBLANK(J192)),,COUNTIF(INDIRECT("'0.0.2 Pokémon Learnset (Core)'!D$"&amp;$E$2&amp;":FG$"&amp;$E$2),J192))</f>
        <v>#VALUE!</v>
      </c>
      <c r="N192" s="0" t="e">
        <f aca="false">IF(ISBLANK(J192),,IF(OR(L192=$B$2,L192=$B$3),1,0))</f>
        <v>#N/A</v>
      </c>
    </row>
    <row r="193" customFormat="false" ht="15.75" hidden="false" customHeight="false" outlineLevel="0" collapsed="false">
      <c r="B193" s="0" t="n">
        <v>0</v>
      </c>
      <c r="C193" s="0" t="str">
        <f aca="false">IF(ISBLANK(B193),,B193&amp;", ")</f>
        <v>0,</v>
      </c>
      <c r="D193" s="0" t="e">
        <f aca="false" t="array" ref="D193:D193">IF(ISBLANK(B193),,INDEX('0.2.1 Move Compare'!$B$2:$B1011,MATCH(B193,'0.2.1 Move Compare'!$A$2:$A1011,0)))</f>
        <v>#N/A</v>
      </c>
      <c r="E193" s="0" t="e">
        <f aca="false" t="array" ref="E193:E193">IF(ISBLANK(B193),,IF(INDEX('0.1.2 Attack Dex (GO)'!C186:C1011,MATCH(B193,'0.1.2 Attack Dex (GO)'!A186:A1011,0))="Fast",1,0))</f>
        <v>#N/A</v>
      </c>
      <c r="F193" s="0" t="e">
        <f aca="true">IF(OR($E$1=0,ISBLANK(B193)),,COUNTIF(INDIRECT("'0.0.2 Pokémon Learnset (Core)'!D$"&amp;$E$2&amp;":FG$"&amp;$E$2),B193))</f>
        <v>#VALUE!</v>
      </c>
      <c r="G193" s="0" t="e">
        <f aca="true">IF(ISBLANK(F193),,COUNTIF(INDIRECT("'0.1.1 Pokémon GO Moves'!C"&amp;$E$3&amp;":R$"&amp;$E$3),B193))</f>
        <v>#N/A</v>
      </c>
      <c r="H193" s="0" t="e">
        <f aca="false">IF(ISBLANK(F193),,IF(OR(D193=$B$2,D193=$B$3),1,0))</f>
        <v>#N/A</v>
      </c>
      <c r="J193" s="0" t="str">
        <v>Skull Bash</v>
      </c>
      <c r="K193" s="0" t="str">
        <f aca="false">IF(ISBLANK(J193),,J193&amp;", ")</f>
        <v>Skull Bash,</v>
      </c>
      <c r="L193" s="0" t="str">
        <f aca="false" t="array" ref="L193:L193">IF(ISBLANK(J193),,INDEX('0.2.1 Move Compare'!$B$2:$B1011,MATCH(J193,'0.2.1 Move Compare'!$A$2:$A1011,0)))</f>
        <v>Normal</v>
      </c>
      <c r="M193" s="0" t="e">
        <f aca="true">IF(OR($E$1=0,ISBLANK(J193)),,COUNTIF(INDIRECT("'0.0.2 Pokémon Learnset (Core)'!D$"&amp;$E$2&amp;":FG$"&amp;$E$2),J193))</f>
        <v>#VALUE!</v>
      </c>
      <c r="N193" s="0" t="e">
        <f aca="false">IF(ISBLANK(J193),,IF(OR(L193=$B$2,L193=$B$3),1,0))</f>
        <v>#N/A</v>
      </c>
    </row>
    <row r="194" customFormat="false" ht="15.75" hidden="false" customHeight="false" outlineLevel="0" collapsed="false">
      <c r="B194" s="0" t="n">
        <v>0</v>
      </c>
      <c r="C194" s="0" t="str">
        <f aca="false">IF(ISBLANK(B194),,B194&amp;", ")</f>
        <v>0,</v>
      </c>
      <c r="D194" s="0" t="e">
        <f aca="false" t="array" ref="D194:D194">IF(ISBLANK(B194),,INDEX('0.2.1 Move Compare'!$B$2:$B1011,MATCH(B194,'0.2.1 Move Compare'!$A$2:$A1011,0)))</f>
        <v>#N/A</v>
      </c>
      <c r="E194" s="0" t="e">
        <f aca="false" t="array" ref="E194:E194">IF(ISBLANK(B194),,IF(INDEX('0.1.2 Attack Dex (GO)'!C187:C1011,MATCH(B194,'0.1.2 Attack Dex (GO)'!A187:A1011,0))="Fast",1,0))</f>
        <v>#N/A</v>
      </c>
      <c r="F194" s="0" t="e">
        <f aca="true">IF(OR($E$1=0,ISBLANK(B194)),,COUNTIF(INDIRECT("'0.0.2 Pokémon Learnset (Core)'!D$"&amp;$E$2&amp;":FG$"&amp;$E$2),B194))</f>
        <v>#VALUE!</v>
      </c>
      <c r="G194" s="0" t="e">
        <f aca="true">IF(ISBLANK(F194),,COUNTIF(INDIRECT("'0.1.1 Pokémon GO Moves'!C"&amp;$E$3&amp;":R$"&amp;$E$3),B194))</f>
        <v>#N/A</v>
      </c>
      <c r="H194" s="0" t="e">
        <f aca="false">IF(ISBLANK(F194),,IF(OR(D194=$B$2,D194=$B$3),1,0))</f>
        <v>#N/A</v>
      </c>
      <c r="J194" s="0" t="str">
        <v>Sky Drop</v>
      </c>
      <c r="K194" s="0" t="str">
        <f aca="false">IF(ISBLANK(J194),,J194&amp;", ")</f>
        <v>Sky Drop,</v>
      </c>
      <c r="L194" s="0" t="str">
        <f aca="false" t="array" ref="L194:L194">IF(ISBLANK(J194),,INDEX('0.2.1 Move Compare'!$B$2:$B1011,MATCH(J194,'0.2.1 Move Compare'!$A$2:$A1011,0)))</f>
        <v>Flying</v>
      </c>
      <c r="M194" s="0" t="e">
        <f aca="true">IF(OR($E$1=0,ISBLANK(J194)),,COUNTIF(INDIRECT("'0.0.2 Pokémon Learnset (Core)'!D$"&amp;$E$2&amp;":FG$"&amp;$E$2),J194))</f>
        <v>#VALUE!</v>
      </c>
      <c r="N194" s="0" t="e">
        <f aca="false">IF(ISBLANK(J194),,IF(OR(L194=$B$2,L194=$B$3),1,0))</f>
        <v>#N/A</v>
      </c>
    </row>
    <row r="195" customFormat="false" ht="15.75" hidden="false" customHeight="false" outlineLevel="0" collapsed="false">
      <c r="B195" s="0" t="n">
        <v>0</v>
      </c>
      <c r="C195" s="0" t="str">
        <f aca="false">IF(ISBLANK(B195),,B195&amp;", ")</f>
        <v>0,</v>
      </c>
      <c r="D195" s="0" t="e">
        <f aca="false" t="array" ref="D195:D195">IF(ISBLANK(B195),,INDEX('0.2.1 Move Compare'!$B$2:$B1011,MATCH(B195,'0.2.1 Move Compare'!$A$2:$A1011,0)))</f>
        <v>#N/A</v>
      </c>
      <c r="E195" s="0" t="e">
        <f aca="false" t="array" ref="E195:E195">IF(ISBLANK(B195),,IF(INDEX('0.1.2 Attack Dex (GO)'!C188:C1011,MATCH(B195,'0.1.2 Attack Dex (GO)'!A188:A1011,0))="Fast",1,0))</f>
        <v>#N/A</v>
      </c>
      <c r="F195" s="0" t="e">
        <f aca="true">IF(OR($E$1=0,ISBLANK(B195)),,COUNTIF(INDIRECT("'0.0.2 Pokémon Learnset (Core)'!D$"&amp;$E$2&amp;":FG$"&amp;$E$2),B195))</f>
        <v>#VALUE!</v>
      </c>
      <c r="G195" s="0" t="e">
        <f aca="true">IF(ISBLANK(F195),,COUNTIF(INDIRECT("'0.1.1 Pokémon GO Moves'!C"&amp;$E$3&amp;":R$"&amp;$E$3),B195))</f>
        <v>#N/A</v>
      </c>
      <c r="H195" s="0" t="e">
        <f aca="false">IF(ISBLANK(F195),,IF(OR(D195=$B$2,D195=$B$3),1,0))</f>
        <v>#N/A</v>
      </c>
      <c r="J195" s="0" t="str">
        <v>Sky Uppercut</v>
      </c>
      <c r="K195" s="0" t="str">
        <f aca="false">IF(ISBLANK(J195),,J195&amp;", ")</f>
        <v>Sky Uppercut,</v>
      </c>
      <c r="L195" s="0" t="str">
        <f aca="false" t="array" ref="L195:L195">IF(ISBLANK(J195),,INDEX('0.2.1 Move Compare'!$B$2:$B1011,MATCH(J195,'0.2.1 Move Compare'!$A$2:$A1011,0)))</f>
        <v>Fighting</v>
      </c>
      <c r="M195" s="0" t="e">
        <f aca="true">IF(OR($E$1=0,ISBLANK(J195)),,COUNTIF(INDIRECT("'0.0.2 Pokémon Learnset (Core)'!D$"&amp;$E$2&amp;":FG$"&amp;$E$2),J195))</f>
        <v>#VALUE!</v>
      </c>
      <c r="N195" s="0" t="e">
        <f aca="false">IF(ISBLANK(J195),,IF(OR(L195=$B$2,L195=$B$3),1,0))</f>
        <v>#N/A</v>
      </c>
    </row>
    <row r="196" customFormat="false" ht="15.75" hidden="false" customHeight="false" outlineLevel="0" collapsed="false">
      <c r="B196" s="0" t="n">
        <v>0</v>
      </c>
      <c r="C196" s="0" t="str">
        <f aca="false">IF(ISBLANK(B196),,B196&amp;", ")</f>
        <v>0,</v>
      </c>
      <c r="D196" s="0" t="e">
        <f aca="false" t="array" ref="D196:D196">IF(ISBLANK(B196),,INDEX('0.2.1 Move Compare'!$B$2:$B1011,MATCH(B196,'0.2.1 Move Compare'!$A$2:$A1011,0)))</f>
        <v>#N/A</v>
      </c>
      <c r="E196" s="0" t="e">
        <f aca="false" t="array" ref="E196:E196">IF(ISBLANK(B196),,IF(INDEX('0.1.2 Attack Dex (GO)'!C189:C1011,MATCH(B196,'0.1.2 Attack Dex (GO)'!A189:A1011,0))="Fast",1,0))</f>
        <v>#N/A</v>
      </c>
      <c r="F196" s="0" t="e">
        <f aca="true">IF(OR($E$1=0,ISBLANK(B196)),,COUNTIF(INDIRECT("'0.0.2 Pokémon Learnset (Core)'!D$"&amp;$E$2&amp;":FG$"&amp;$E$2),B196))</f>
        <v>#VALUE!</v>
      </c>
      <c r="G196" s="0" t="e">
        <f aca="true">IF(ISBLANK(F196),,COUNTIF(INDIRECT("'0.1.1 Pokémon GO Moves'!C"&amp;$E$3&amp;":R$"&amp;$E$3),B196))</f>
        <v>#N/A</v>
      </c>
      <c r="H196" s="0" t="e">
        <f aca="false">IF(ISBLANK(F196),,IF(OR(D196=$B$2,D196=$B$3),1,0))</f>
        <v>#N/A</v>
      </c>
      <c r="J196" s="0" t="str">
        <v>Slam</v>
      </c>
      <c r="K196" s="0" t="str">
        <f aca="false">IF(ISBLANK(J196),,J196&amp;", ")</f>
        <v>Slam,</v>
      </c>
      <c r="L196" s="0" t="str">
        <f aca="false" t="array" ref="L196:L196">IF(ISBLANK(J196),,INDEX('0.2.1 Move Compare'!$B$2:$B1011,MATCH(J196,'0.2.1 Move Compare'!$A$2:$A1011,0)))</f>
        <v>Normal</v>
      </c>
      <c r="M196" s="0" t="e">
        <f aca="true">IF(OR($E$1=0,ISBLANK(J196)),,COUNTIF(INDIRECT("'0.0.2 Pokémon Learnset (Core)'!D$"&amp;$E$2&amp;":FG$"&amp;$E$2),J196))</f>
        <v>#VALUE!</v>
      </c>
      <c r="N196" s="0" t="e">
        <f aca="false">IF(ISBLANK(J196),,IF(OR(L196=$B$2,L196=$B$3),1,0))</f>
        <v>#N/A</v>
      </c>
    </row>
    <row r="197" customFormat="false" ht="15.75" hidden="false" customHeight="false" outlineLevel="0" collapsed="false">
      <c r="B197" s="0" t="n">
        <v>0</v>
      </c>
      <c r="C197" s="0" t="str">
        <f aca="false">IF(ISBLANK(B197),,B197&amp;", ")</f>
        <v>0,</v>
      </c>
      <c r="D197" s="0" t="e">
        <f aca="false" t="array" ref="D197:D197">IF(ISBLANK(B197),,INDEX('0.2.1 Move Compare'!$B$2:$B1011,MATCH(B197,'0.2.1 Move Compare'!$A$2:$A1011,0)))</f>
        <v>#N/A</v>
      </c>
      <c r="E197" s="0" t="e">
        <f aca="false" t="array" ref="E197:E197">IF(ISBLANK(B197),,IF(INDEX('0.1.2 Attack Dex (GO)'!C190:C1011,MATCH(B197,'0.1.2 Attack Dex (GO)'!A190:A1011,0))="Fast",1,0))</f>
        <v>#N/A</v>
      </c>
      <c r="F197" s="0" t="e">
        <f aca="true">IF(OR($E$1=0,ISBLANK(B197)),,COUNTIF(INDIRECT("'0.0.2 Pokémon Learnset (Core)'!D$"&amp;$E$2&amp;":FG$"&amp;$E$2),B197))</f>
        <v>#VALUE!</v>
      </c>
      <c r="G197" s="0" t="e">
        <f aca="true">IF(ISBLANK(F197),,COUNTIF(INDIRECT("'0.1.1 Pokémon GO Moves'!C"&amp;$E$3&amp;":R$"&amp;$E$3),B197))</f>
        <v>#N/A</v>
      </c>
      <c r="H197" s="0" t="e">
        <f aca="false">IF(ISBLANK(F197),,IF(OR(D197=$B$2,D197=$B$3),1,0))</f>
        <v>#N/A</v>
      </c>
      <c r="J197" s="0" t="str">
        <v>Slash</v>
      </c>
      <c r="K197" s="0" t="str">
        <f aca="false">IF(ISBLANK(J197),,J197&amp;", ")</f>
        <v>Slash,</v>
      </c>
      <c r="L197" s="0" t="str">
        <f aca="false" t="array" ref="L197:L197">IF(ISBLANK(J197),,INDEX('0.2.1 Move Compare'!$B$2:$B1011,MATCH(J197,'0.2.1 Move Compare'!$A$2:$A1011,0)))</f>
        <v>Normal</v>
      </c>
      <c r="M197" s="0" t="e">
        <f aca="true">IF(OR($E$1=0,ISBLANK(J197)),,COUNTIF(INDIRECT("'0.0.2 Pokémon Learnset (Core)'!D$"&amp;$E$2&amp;":FG$"&amp;$E$2),J197))</f>
        <v>#VALUE!</v>
      </c>
      <c r="N197" s="0" t="e">
        <f aca="false">IF(ISBLANK(J197),,IF(OR(L197=$B$2,L197=$B$3),1,0))</f>
        <v>#N/A</v>
      </c>
    </row>
    <row r="198" customFormat="false" ht="15.75" hidden="false" customHeight="false" outlineLevel="0" collapsed="false">
      <c r="B198" s="0" t="n">
        <v>0</v>
      </c>
      <c r="C198" s="0" t="str">
        <f aca="false">IF(ISBLANK(B198),,B198&amp;", ")</f>
        <v>0,</v>
      </c>
      <c r="D198" s="0" t="e">
        <f aca="false" t="array" ref="D198:D198">IF(ISBLANK(B198),,INDEX('0.2.1 Move Compare'!$B$2:$B1011,MATCH(B198,'0.2.1 Move Compare'!$A$2:$A1011,0)))</f>
        <v>#N/A</v>
      </c>
      <c r="E198" s="0" t="e">
        <f aca="false" t="array" ref="E198:E198">IF(ISBLANK(B198),,IF(INDEX('0.1.2 Attack Dex (GO)'!C191:C1011,MATCH(B198,'0.1.2 Attack Dex (GO)'!A191:A1011,0))="Fast",1,0))</f>
        <v>#N/A</v>
      </c>
      <c r="F198" s="0" t="e">
        <f aca="true">IF(OR($E$1=0,ISBLANK(B198)),,COUNTIF(INDIRECT("'0.0.2 Pokémon Learnset (Core)'!D$"&amp;$E$2&amp;":FG$"&amp;$E$2),B198))</f>
        <v>#VALUE!</v>
      </c>
      <c r="G198" s="0" t="e">
        <f aca="true">IF(ISBLANK(F198),,COUNTIF(INDIRECT("'0.1.1 Pokémon GO Moves'!C"&amp;$E$3&amp;":R$"&amp;$E$3),B198))</f>
        <v>#N/A</v>
      </c>
      <c r="H198" s="0" t="e">
        <f aca="false">IF(ISBLANK(F198),,IF(OR(D198=$B$2,D198=$B$3),1,0))</f>
        <v>#N/A</v>
      </c>
      <c r="J198" s="0" t="str">
        <v>Smack Down</v>
      </c>
      <c r="K198" s="0" t="str">
        <f aca="false">IF(ISBLANK(J198),,J198&amp;", ")</f>
        <v>Smack Down,</v>
      </c>
      <c r="L198" s="0" t="str">
        <f aca="false" t="array" ref="L198:L198">IF(ISBLANK(J198),,INDEX('0.2.1 Move Compare'!$B$2:$B1011,MATCH(J198,'0.2.1 Move Compare'!$A$2:$A1011,0)))</f>
        <v>Rock</v>
      </c>
      <c r="M198" s="0" t="e">
        <f aca="true">IF(OR($E$1=0,ISBLANK(J198)),,COUNTIF(INDIRECT("'0.0.2 Pokémon Learnset (Core)'!D$"&amp;$E$2&amp;":FG$"&amp;$E$2),J198))</f>
        <v>#VALUE!</v>
      </c>
      <c r="N198" s="0" t="e">
        <f aca="false">IF(ISBLANK(J198),,IF(OR(L198=$B$2,L198=$B$3),1,0))</f>
        <v>#N/A</v>
      </c>
    </row>
    <row r="199" customFormat="false" ht="15.75" hidden="false" customHeight="false" outlineLevel="0" collapsed="false">
      <c r="B199" s="0" t="n">
        <v>0</v>
      </c>
      <c r="C199" s="0" t="str">
        <f aca="false">IF(ISBLANK(B199),,B199&amp;", ")</f>
        <v>0,</v>
      </c>
      <c r="D199" s="0" t="e">
        <f aca="false" t="array" ref="D199:D199">IF(ISBLANK(B199),,INDEX('0.2.1 Move Compare'!$B$2:$B1011,MATCH(B199,'0.2.1 Move Compare'!$A$2:$A1011,0)))</f>
        <v>#N/A</v>
      </c>
      <c r="E199" s="0" t="e">
        <f aca="false" t="array" ref="E199:E199">IF(ISBLANK(B199),,IF(INDEX('0.1.2 Attack Dex (GO)'!C192:C1011,MATCH(B199,'0.1.2 Attack Dex (GO)'!A192:A1011,0))="Fast",1,0))</f>
        <v>#N/A</v>
      </c>
      <c r="F199" s="0" t="e">
        <f aca="true">IF(OR($E$1=0,ISBLANK(B199)),,COUNTIF(INDIRECT("'0.0.2 Pokémon Learnset (Core)'!D$"&amp;$E$2&amp;":FG$"&amp;$E$2),B199))</f>
        <v>#VALUE!</v>
      </c>
      <c r="G199" s="0" t="e">
        <f aca="true">IF(ISBLANK(F199),,COUNTIF(INDIRECT("'0.1.1 Pokémon GO Moves'!C"&amp;$E$3&amp;":R$"&amp;$E$3),B199))</f>
        <v>#N/A</v>
      </c>
      <c r="H199" s="0" t="e">
        <f aca="false">IF(ISBLANK(F199),,IF(OR(D199=$B$2,D199=$B$3),1,0))</f>
        <v>#N/A</v>
      </c>
      <c r="J199" s="0" t="str">
        <v>Smart Strike</v>
      </c>
      <c r="K199" s="0" t="str">
        <f aca="false">IF(ISBLANK(J199),,J199&amp;", ")</f>
        <v>Smart Strike,</v>
      </c>
      <c r="L199" s="0" t="str">
        <f aca="false" t="array" ref="L199:L199">IF(ISBLANK(J199),,INDEX('0.2.1 Move Compare'!$B$2:$B1011,MATCH(J199,'0.2.1 Move Compare'!$A$2:$A1011,0)))</f>
        <v>Steel</v>
      </c>
      <c r="M199" s="0" t="e">
        <f aca="true">IF(OR($E$1=0,ISBLANK(J199)),,COUNTIF(INDIRECT("'0.0.2 Pokémon Learnset (Core)'!D$"&amp;$E$2&amp;":FG$"&amp;$E$2),J199))</f>
        <v>#VALUE!</v>
      </c>
      <c r="N199" s="0" t="e">
        <f aca="false">IF(ISBLANK(J199),,IF(OR(L199=$B$2,L199=$B$3),1,0))</f>
        <v>#N/A</v>
      </c>
    </row>
    <row r="200" customFormat="false" ht="15.75" hidden="false" customHeight="false" outlineLevel="0" collapsed="false">
      <c r="B200" s="0" t="n">
        <v>0</v>
      </c>
      <c r="C200" s="0" t="str">
        <f aca="false">IF(ISBLANK(B200),,B200&amp;", ")</f>
        <v>0,</v>
      </c>
      <c r="D200" s="0" t="e">
        <f aca="false" t="array" ref="D200:D200">IF(ISBLANK(B200),,INDEX('0.2.1 Move Compare'!$B$2:$B1011,MATCH(B200,'0.2.1 Move Compare'!$A$2:$A1011,0)))</f>
        <v>#N/A</v>
      </c>
      <c r="E200" s="0" t="e">
        <f aca="false" t="array" ref="E200:E200">IF(ISBLANK(B200),,IF(INDEX('0.1.2 Attack Dex (GO)'!C193:C1011,MATCH(B200,'0.1.2 Attack Dex (GO)'!A193:A1011,0))="Fast",1,0))</f>
        <v>#N/A</v>
      </c>
      <c r="F200" s="0" t="e">
        <f aca="true">IF(OR($E$1=0,ISBLANK(B200)),,COUNTIF(INDIRECT("'0.0.2 Pokémon Learnset (Core)'!D$"&amp;$E$2&amp;":FG$"&amp;$E$2),B200))</f>
        <v>#VALUE!</v>
      </c>
      <c r="G200" s="0" t="e">
        <f aca="true">IF(ISBLANK(F200),,COUNTIF(INDIRECT("'0.1.1 Pokémon GO Moves'!C"&amp;$E$3&amp;":R$"&amp;$E$3),B200))</f>
        <v>#N/A</v>
      </c>
      <c r="H200" s="0" t="e">
        <f aca="false">IF(ISBLANK(F200),,IF(OR(D200=$B$2,D200=$B$3),1,0))</f>
        <v>#N/A</v>
      </c>
      <c r="J200" s="0" t="str">
        <v>Smelling Salts</v>
      </c>
      <c r="K200" s="0" t="str">
        <f aca="false">IF(ISBLANK(J200),,J200&amp;", ")</f>
        <v>Smelling Salts,</v>
      </c>
      <c r="L200" s="0" t="str">
        <f aca="false" t="array" ref="L200:L200">IF(ISBLANK(J200),,INDEX('0.2.1 Move Compare'!$B$2:$B1011,MATCH(J200,'0.2.1 Move Compare'!$A$2:$A1011,0)))</f>
        <v>Normal</v>
      </c>
      <c r="M200" s="0" t="e">
        <f aca="true">IF(OR($E$1=0,ISBLANK(J200)),,COUNTIF(INDIRECT("'0.0.2 Pokémon Learnset (Core)'!D$"&amp;$E$2&amp;":FG$"&amp;$E$2),J200))</f>
        <v>#VALUE!</v>
      </c>
      <c r="N200" s="0" t="e">
        <f aca="false">IF(ISBLANK(J200),,IF(OR(L200=$B$2,L200=$B$3),1,0))</f>
        <v>#N/A</v>
      </c>
    </row>
    <row r="201" customFormat="false" ht="15.75" hidden="false" customHeight="false" outlineLevel="0" collapsed="false">
      <c r="B201" s="0" t="n">
        <v>0</v>
      </c>
      <c r="C201" s="0" t="str">
        <f aca="false">IF(ISBLANK(B201),,B201&amp;", ")</f>
        <v>0,</v>
      </c>
      <c r="D201" s="0" t="e">
        <f aca="false" t="array" ref="D201:D201">IF(ISBLANK(B201),,INDEX('0.2.1 Move Compare'!$B$2:$B1011,MATCH(B201,'0.2.1 Move Compare'!$A$2:$A1011,0)))</f>
        <v>#N/A</v>
      </c>
      <c r="E201" s="0" t="e">
        <f aca="false" t="array" ref="E201:E201">IF(ISBLANK(B201),,IF(INDEX('0.1.2 Attack Dex (GO)'!C194:C1011,MATCH(B201,'0.1.2 Attack Dex (GO)'!A194:A1011,0))="Fast",1,0))</f>
        <v>#N/A</v>
      </c>
      <c r="F201" s="0" t="e">
        <f aca="true">IF(OR($E$1=0,ISBLANK(B201)),,COUNTIF(INDIRECT("'0.0.2 Pokémon Learnset (Core)'!D$"&amp;$E$2&amp;":FG$"&amp;$E$2),B201))</f>
        <v>#VALUE!</v>
      </c>
      <c r="G201" s="0" t="e">
        <f aca="true">IF(ISBLANK(F201),,COUNTIF(INDIRECT("'0.1.1 Pokémon GO Moves'!C"&amp;$E$3&amp;":R$"&amp;$E$3),B201))</f>
        <v>#N/A</v>
      </c>
      <c r="H201" s="0" t="e">
        <f aca="false">IF(ISBLANK(F201),,IF(OR(D201=$B$2,D201=$B$3),1,0))</f>
        <v>#N/A</v>
      </c>
      <c r="J201" s="0" t="str">
        <v>Smog</v>
      </c>
      <c r="K201" s="0" t="str">
        <f aca="false">IF(ISBLANK(J201),,J201&amp;", ")</f>
        <v>Smog,</v>
      </c>
      <c r="L201" s="0" t="str">
        <f aca="false" t="array" ref="L201:L201">IF(ISBLANK(J201),,INDEX('0.2.1 Move Compare'!$B$2:$B1011,MATCH(J201,'0.2.1 Move Compare'!$A$2:$A1011,0)))</f>
        <v>Poison</v>
      </c>
      <c r="M201" s="0" t="e">
        <f aca="true">IF(OR($E$1=0,ISBLANK(J201)),,COUNTIF(INDIRECT("'0.0.2 Pokémon Learnset (Core)'!D$"&amp;$E$2&amp;":FG$"&amp;$E$2),J201))</f>
        <v>#VALUE!</v>
      </c>
      <c r="N201" s="0" t="e">
        <f aca="false">IF(ISBLANK(J201),,IF(OR(L201=$B$2,L201=$B$3),1,0))</f>
        <v>#N/A</v>
      </c>
    </row>
    <row r="202" customFormat="false" ht="15.75" hidden="false" customHeight="false" outlineLevel="0" collapsed="false">
      <c r="B202" s="0" t="n">
        <v>0</v>
      </c>
      <c r="C202" s="0" t="str">
        <f aca="false">IF(ISBLANK(B202),,B202&amp;", ")</f>
        <v>0,</v>
      </c>
      <c r="D202" s="0" t="e">
        <f aca="false" t="array" ref="D202:D202">IF(ISBLANK(B202),,INDEX('0.2.1 Move Compare'!$B$2:$B1011,MATCH(B202,'0.2.1 Move Compare'!$A$2:$A1011,0)))</f>
        <v>#N/A</v>
      </c>
      <c r="E202" s="0" t="e">
        <f aca="false" t="array" ref="E202:E202">IF(ISBLANK(B202),,IF(INDEX('0.1.2 Attack Dex (GO)'!C195:C1011,MATCH(B202,'0.1.2 Attack Dex (GO)'!A195:A1011,0))="Fast",1,0))</f>
        <v>#N/A</v>
      </c>
      <c r="F202" s="0" t="e">
        <f aca="true">IF(OR($E$1=0,ISBLANK(B202)),,COUNTIF(INDIRECT("'0.0.2 Pokémon Learnset (Core)'!D$"&amp;$E$2&amp;":FG$"&amp;$E$2),B202))</f>
        <v>#VALUE!</v>
      </c>
      <c r="G202" s="0" t="e">
        <f aca="true">IF(ISBLANK(F202),,COUNTIF(INDIRECT("'0.1.1 Pokémon GO Moves'!C"&amp;$E$3&amp;":R$"&amp;$E$3),B202))</f>
        <v>#N/A</v>
      </c>
      <c r="H202" s="0" t="e">
        <f aca="false">IF(ISBLANK(F202),,IF(OR(D202=$B$2,D202=$B$3),1,0))</f>
        <v>#N/A</v>
      </c>
      <c r="J202" s="0" t="str">
        <v>Snore</v>
      </c>
      <c r="K202" s="0" t="str">
        <f aca="false">IF(ISBLANK(J202),,J202&amp;", ")</f>
        <v>Snore,</v>
      </c>
      <c r="L202" s="0" t="str">
        <f aca="false" t="array" ref="L202:L202">IF(ISBLANK(J202),,INDEX('0.2.1 Move Compare'!$B$2:$B1011,MATCH(J202,'0.2.1 Move Compare'!$A$2:$A1011,0)))</f>
        <v>Normal</v>
      </c>
      <c r="M202" s="0" t="e">
        <f aca="true">IF(OR($E$1=0,ISBLANK(J202)),,COUNTIF(INDIRECT("'0.0.2 Pokémon Learnset (Core)'!D$"&amp;$E$2&amp;":FG$"&amp;$E$2),J202))</f>
        <v>#VALUE!</v>
      </c>
      <c r="N202" s="0" t="e">
        <f aca="false">IF(ISBLANK(J202),,IF(OR(L202=$B$2,L202=$B$3),1,0))</f>
        <v>#N/A</v>
      </c>
    </row>
    <row r="203" customFormat="false" ht="15.75" hidden="false" customHeight="false" outlineLevel="0" collapsed="false">
      <c r="B203" s="0" t="n">
        <v>0</v>
      </c>
      <c r="C203" s="0" t="str">
        <f aca="false">IF(ISBLANK(B203),,B203&amp;", ")</f>
        <v>0,</v>
      </c>
      <c r="D203" s="0" t="e">
        <f aca="false" t="array" ref="D203:D203">IF(ISBLANK(B203),,INDEX('0.2.1 Move Compare'!$B$2:$B1011,MATCH(B203,'0.2.1 Move Compare'!$A$2:$A1011,0)))</f>
        <v>#N/A</v>
      </c>
      <c r="E203" s="0" t="e">
        <f aca="false" t="array" ref="E203:E203">IF(ISBLANK(B203),,IF(INDEX('0.1.2 Attack Dex (GO)'!C196:C1011,MATCH(B203,'0.1.2 Attack Dex (GO)'!A196:A1011,0))="Fast",1,0))</f>
        <v>#N/A</v>
      </c>
      <c r="F203" s="0" t="e">
        <f aca="true">IF(OR($E$1=0,ISBLANK(B203)),,COUNTIF(INDIRECT("'0.0.2 Pokémon Learnset (Core)'!D$"&amp;$E$2&amp;":FG$"&amp;$E$2),B203))</f>
        <v>#VALUE!</v>
      </c>
      <c r="G203" s="0" t="e">
        <f aca="true">IF(ISBLANK(F203),,COUNTIF(INDIRECT("'0.1.1 Pokémon GO Moves'!C"&amp;$E$3&amp;":R$"&amp;$E$3),B203))</f>
        <v>#N/A</v>
      </c>
      <c r="H203" s="0" t="e">
        <f aca="false">IF(ISBLANK(F203),,IF(OR(D203=$B$2,D203=$B$3),1,0))</f>
        <v>#N/A</v>
      </c>
      <c r="J203" s="0" t="str">
        <v>Solar Blade</v>
      </c>
      <c r="K203" s="0" t="str">
        <f aca="false">IF(ISBLANK(J203),,J203&amp;", ")</f>
        <v>Solar Blade,</v>
      </c>
      <c r="L203" s="0" t="str">
        <f aca="false" t="array" ref="L203:L203">IF(ISBLANK(J203),,INDEX('0.2.1 Move Compare'!$B$2:$B1011,MATCH(J203,'0.2.1 Move Compare'!$A$2:$A1011,0)))</f>
        <v>Grass</v>
      </c>
      <c r="M203" s="0" t="e">
        <f aca="true">IF(OR($E$1=0,ISBLANK(J203)),,COUNTIF(INDIRECT("'0.0.2 Pokémon Learnset (Core)'!D$"&amp;$E$2&amp;":FG$"&amp;$E$2),J203))</f>
        <v>#VALUE!</v>
      </c>
      <c r="N203" s="0" t="e">
        <f aca="false">IF(ISBLANK(J203),,IF(OR(L203=$B$2,L203=$B$3),1,0))</f>
        <v>#N/A</v>
      </c>
    </row>
    <row r="204" customFormat="false" ht="15.75" hidden="false" customHeight="false" outlineLevel="0" collapsed="false">
      <c r="B204" s="0" t="n">
        <v>0</v>
      </c>
      <c r="C204" s="0" t="str">
        <f aca="false">IF(ISBLANK(B204),,B204&amp;", ")</f>
        <v>0,</v>
      </c>
      <c r="D204" s="0" t="e">
        <f aca="false" t="array" ref="D204:D204">IF(ISBLANK(B204),,INDEX('0.2.1 Move Compare'!$B$2:$B1011,MATCH(B204,'0.2.1 Move Compare'!$A$2:$A1011,0)))</f>
        <v>#N/A</v>
      </c>
      <c r="E204" s="0" t="e">
        <f aca="false" t="array" ref="E204:E204">IF(ISBLANK(B204),,IF(INDEX('0.1.2 Attack Dex (GO)'!C197:C1011,MATCH(B204,'0.1.2 Attack Dex (GO)'!A197:A1011,0))="Fast",1,0))</f>
        <v>#N/A</v>
      </c>
      <c r="F204" s="0" t="e">
        <f aca="true">IF(OR($E$1=0,ISBLANK(B204)),,COUNTIF(INDIRECT("'0.0.2 Pokémon Learnset (Core)'!D$"&amp;$E$2&amp;":FG$"&amp;$E$2),B204))</f>
        <v>#VALUE!</v>
      </c>
      <c r="G204" s="0" t="e">
        <f aca="true">IF(ISBLANK(F204),,COUNTIF(INDIRECT("'0.1.1 Pokémon GO Moves'!C"&amp;$E$3&amp;":R$"&amp;$E$3),B204))</f>
        <v>#N/A</v>
      </c>
      <c r="H204" s="0" t="e">
        <f aca="false">IF(ISBLANK(F204),,IF(OR(D204=$B$2,D204=$B$3),1,0))</f>
        <v>#N/A</v>
      </c>
      <c r="J204" s="0" t="str">
        <v>Sonicboom</v>
      </c>
      <c r="K204" s="0" t="str">
        <f aca="false">IF(ISBLANK(J204),,J204&amp;", ")</f>
        <v>Sonicboom,</v>
      </c>
      <c r="L204" s="0" t="str">
        <f aca="false" t="array" ref="L204:L204">IF(ISBLANK(J204),,INDEX('0.2.1 Move Compare'!$B$2:$B1011,MATCH(J204,'0.2.1 Move Compare'!$A$2:$A1011,0)))</f>
        <v>#N/B</v>
      </c>
      <c r="M204" s="0" t="e">
        <f aca="true">IF(OR($E$1=0,ISBLANK(J204)),,COUNTIF(INDIRECT("'0.0.2 Pokémon Learnset (Core)'!D$"&amp;$E$2&amp;":FG$"&amp;$E$2),J204))</f>
        <v>#VALUE!</v>
      </c>
      <c r="N204" s="0" t="e">
        <f aca="false">IF(ISBLANK(J204),,IF(OR(L204=$B$2,L204=$B$3),1,0))</f>
        <v>#N/A</v>
      </c>
    </row>
    <row r="205" customFormat="false" ht="15.75" hidden="false" customHeight="false" outlineLevel="0" collapsed="false">
      <c r="B205" s="0" t="n">
        <v>0</v>
      </c>
      <c r="C205" s="0" t="str">
        <f aca="false">IF(ISBLANK(B205),,B205&amp;", ")</f>
        <v>0,</v>
      </c>
      <c r="D205" s="0" t="e">
        <f aca="false" t="array" ref="D205:D205">IF(ISBLANK(B205),,INDEX('0.2.1 Move Compare'!$B$2:$B1011,MATCH(B205,'0.2.1 Move Compare'!$A$2:$A1011,0)))</f>
        <v>#N/A</v>
      </c>
      <c r="E205" s="0" t="e">
        <f aca="false" t="array" ref="E205:E205">IF(ISBLANK(B205),,IF(INDEX('0.1.2 Attack Dex (GO)'!C198:C1011,MATCH(B205,'0.1.2 Attack Dex (GO)'!A198:A1011,0))="Fast",1,0))</f>
        <v>#N/A</v>
      </c>
      <c r="F205" s="0" t="e">
        <f aca="true">IF(OR($E$1=0,ISBLANK(B205)),,COUNTIF(INDIRECT("'0.0.2 Pokémon Learnset (Core)'!D$"&amp;$E$2&amp;":FG$"&amp;$E$2),B205))</f>
        <v>#VALUE!</v>
      </c>
      <c r="G205" s="0" t="e">
        <f aca="true">IF(ISBLANK(F205),,COUNTIF(INDIRECT("'0.1.1 Pokémon GO Moves'!C"&amp;$E$3&amp;":R$"&amp;$E$3),B205))</f>
        <v>#N/A</v>
      </c>
      <c r="H205" s="0" t="e">
        <f aca="false">IF(ISBLANK(F205),,IF(OR(D205=$B$2,D205=$B$3),1,0))</f>
        <v>#N/A</v>
      </c>
      <c r="J205" s="0" t="str">
        <v>Spacial Rend</v>
      </c>
      <c r="K205" s="0" t="str">
        <f aca="false">IF(ISBLANK(J205),,J205&amp;", ")</f>
        <v>Spacial Rend,</v>
      </c>
      <c r="L205" s="0" t="str">
        <f aca="false" t="array" ref="L205:L205">IF(ISBLANK(J205),,INDEX('0.2.1 Move Compare'!$B$2:$B1011,MATCH(J205,'0.2.1 Move Compare'!$A$2:$A1011,0)))</f>
        <v>Dragon</v>
      </c>
      <c r="M205" s="0" t="e">
        <f aca="true">IF(OR($E$1=0,ISBLANK(J205)),,COUNTIF(INDIRECT("'0.0.2 Pokémon Learnset (Core)'!D$"&amp;$E$2&amp;":FG$"&amp;$E$2),J205))</f>
        <v>#VALUE!</v>
      </c>
      <c r="N205" s="0" t="e">
        <f aca="false">IF(ISBLANK(J205),,IF(OR(L205=$B$2,L205=$B$3),1,0))</f>
        <v>#N/A</v>
      </c>
    </row>
    <row r="206" customFormat="false" ht="15.75" hidden="false" customHeight="false" outlineLevel="0" collapsed="false">
      <c r="B206" s="0" t="n">
        <v>0</v>
      </c>
      <c r="C206" s="0" t="str">
        <f aca="false">IF(ISBLANK(B206),,B206&amp;", ")</f>
        <v>0,</v>
      </c>
      <c r="D206" s="0" t="e">
        <f aca="false" t="array" ref="D206:D206">IF(ISBLANK(B206),,INDEX('0.2.1 Move Compare'!$B$2:$B1011,MATCH(B206,'0.2.1 Move Compare'!$A$2:$A1011,0)))</f>
        <v>#N/A</v>
      </c>
      <c r="E206" s="0" t="e">
        <f aca="false" t="array" ref="E206:E206">IF(ISBLANK(B206),,IF(INDEX('0.1.2 Attack Dex (GO)'!C199:C1011,MATCH(B206,'0.1.2 Attack Dex (GO)'!A199:A1011,0))="Fast",1,0))</f>
        <v>#N/A</v>
      </c>
      <c r="F206" s="0" t="e">
        <f aca="true">IF(OR($E$1=0,ISBLANK(B206)),,COUNTIF(INDIRECT("'0.0.2 Pokémon Learnset (Core)'!D$"&amp;$E$2&amp;":FG$"&amp;$E$2),B206))</f>
        <v>#VALUE!</v>
      </c>
      <c r="G206" s="0" t="e">
        <f aca="true">IF(ISBLANK(F206),,COUNTIF(INDIRECT("'0.1.1 Pokémon GO Moves'!C"&amp;$E$3&amp;":R$"&amp;$E$3),B206))</f>
        <v>#N/A</v>
      </c>
      <c r="H206" s="0" t="e">
        <f aca="false">IF(ISBLANK(F206),,IF(OR(D206=$B$2,D206=$B$3),1,0))</f>
        <v>#N/A</v>
      </c>
      <c r="J206" s="0" t="str">
        <v>Sparkling Aria</v>
      </c>
      <c r="K206" s="0" t="str">
        <f aca="false">IF(ISBLANK(J206),,J206&amp;", ")</f>
        <v>Sparkling Aria,</v>
      </c>
      <c r="L206" s="0" t="str">
        <f aca="false" t="array" ref="L206:L206">IF(ISBLANK(J206),,INDEX('0.2.1 Move Compare'!$B$2:$B1011,MATCH(J206,'0.2.1 Move Compare'!$A$2:$A1011,0)))</f>
        <v>Water</v>
      </c>
      <c r="M206" s="0" t="e">
        <f aca="true">IF(OR($E$1=0,ISBLANK(J206)),,COUNTIF(INDIRECT("'0.0.2 Pokémon Learnset (Core)'!D$"&amp;$E$2&amp;":FG$"&amp;$E$2),J206))</f>
        <v>#VALUE!</v>
      </c>
      <c r="N206" s="0" t="e">
        <f aca="false">IF(ISBLANK(J206),,IF(OR(L206=$B$2,L206=$B$3),1,0))</f>
        <v>#N/A</v>
      </c>
    </row>
    <row r="207" customFormat="false" ht="15.75" hidden="false" customHeight="false" outlineLevel="0" collapsed="false">
      <c r="B207" s="0" t="n">
        <v>0</v>
      </c>
      <c r="C207" s="0" t="str">
        <f aca="false">IF(ISBLANK(B207),,B207&amp;", ")</f>
        <v>0,</v>
      </c>
      <c r="D207" s="0" t="e">
        <f aca="false" t="array" ref="D207:D207">IF(ISBLANK(B207),,INDEX('0.2.1 Move Compare'!$B$2:$B1011,MATCH(B207,'0.2.1 Move Compare'!$A$2:$A1011,0)))</f>
        <v>#N/A</v>
      </c>
      <c r="E207" s="0" t="e">
        <f aca="false" t="array" ref="E207:E207">IF(ISBLANK(B207),,IF(INDEX('0.1.2 Attack Dex (GO)'!C200:C1011,MATCH(B207,'0.1.2 Attack Dex (GO)'!A200:A1011,0))="Fast",1,0))</f>
        <v>#N/A</v>
      </c>
      <c r="F207" s="0" t="e">
        <f aca="true">IF(OR($E$1=0,ISBLANK(B207)),,COUNTIF(INDIRECT("'0.0.2 Pokémon Learnset (Core)'!D$"&amp;$E$2&amp;":FG$"&amp;$E$2),B207))</f>
        <v>#VALUE!</v>
      </c>
      <c r="G207" s="0" t="e">
        <f aca="true">IF(ISBLANK(F207),,COUNTIF(INDIRECT("'0.1.1 Pokémon GO Moves'!C"&amp;$E$3&amp;":R$"&amp;$E$3),B207))</f>
        <v>#N/A</v>
      </c>
      <c r="H207" s="0" t="e">
        <f aca="false">IF(ISBLANK(F207),,IF(OR(D207=$B$2,D207=$B$3),1,0))</f>
        <v>#N/A</v>
      </c>
      <c r="J207" s="0" t="str">
        <v>Spectral Thief</v>
      </c>
      <c r="K207" s="0" t="str">
        <f aca="false">IF(ISBLANK(J207),,J207&amp;", ")</f>
        <v>Spectral Thief,</v>
      </c>
      <c r="L207" s="0" t="str">
        <f aca="false" t="array" ref="L207:L207">IF(ISBLANK(J207),,INDEX('0.2.1 Move Compare'!$B$2:$B1011,MATCH(J207,'0.2.1 Move Compare'!$A$2:$A1011,0)))</f>
        <v>Ghost</v>
      </c>
      <c r="M207" s="0" t="e">
        <f aca="true">IF(OR($E$1=0,ISBLANK(J207)),,COUNTIF(INDIRECT("'0.0.2 Pokémon Learnset (Core)'!D$"&amp;$E$2&amp;":FG$"&amp;$E$2),J207))</f>
        <v>#VALUE!</v>
      </c>
      <c r="N207" s="0" t="e">
        <f aca="false">IF(ISBLANK(J207),,IF(OR(L207=$B$2,L207=$B$3),1,0))</f>
        <v>#N/A</v>
      </c>
    </row>
    <row r="208" customFormat="false" ht="15.75" hidden="false" customHeight="false" outlineLevel="0" collapsed="false">
      <c r="B208" s="0" t="n">
        <v>0</v>
      </c>
      <c r="C208" s="0" t="str">
        <f aca="false">IF(ISBLANK(B208),,B208&amp;", ")</f>
        <v>0,</v>
      </c>
      <c r="D208" s="0" t="e">
        <f aca="false" t="array" ref="D208:D208">IF(ISBLANK(B208),,INDEX('0.2.1 Move Compare'!$B$2:$B1011,MATCH(B208,'0.2.1 Move Compare'!$A$2:$A1011,0)))</f>
        <v>#N/A</v>
      </c>
      <c r="E208" s="0" t="e">
        <f aca="false" t="array" ref="E208:E208">IF(ISBLANK(B208),,IF(INDEX('0.1.2 Attack Dex (GO)'!C201:C1011,MATCH(B208,'0.1.2 Attack Dex (GO)'!A201:A1011,0))="Fast",1,0))</f>
        <v>#N/A</v>
      </c>
      <c r="F208" s="0" t="e">
        <f aca="true">IF(OR($E$1=0,ISBLANK(B208)),,COUNTIF(INDIRECT("'0.0.2 Pokémon Learnset (Core)'!D$"&amp;$E$2&amp;":FG$"&amp;$E$2),B208))</f>
        <v>#VALUE!</v>
      </c>
      <c r="G208" s="0" t="e">
        <f aca="true">IF(ISBLANK(F208),,COUNTIF(INDIRECT("'0.1.1 Pokémon GO Moves'!C"&amp;$E$3&amp;":R$"&amp;$E$3),B208))</f>
        <v>#N/A</v>
      </c>
      <c r="H208" s="0" t="e">
        <f aca="false">IF(ISBLANK(F208),,IF(OR(D208=$B$2,D208=$B$3),1,0))</f>
        <v>#N/A</v>
      </c>
      <c r="J208" s="0" t="str">
        <v>Spike Cannon</v>
      </c>
      <c r="K208" s="0" t="str">
        <f aca="false">IF(ISBLANK(J208),,J208&amp;", ")</f>
        <v>Spike Cannon,</v>
      </c>
      <c r="L208" s="0" t="str">
        <f aca="false" t="array" ref="L208:L208">IF(ISBLANK(J208),,INDEX('0.2.1 Move Compare'!$B$2:$B1011,MATCH(J208,'0.2.1 Move Compare'!$A$2:$A1011,0)))</f>
        <v>Normal</v>
      </c>
      <c r="M208" s="0" t="e">
        <f aca="true">IF(OR($E$1=0,ISBLANK(J208)),,COUNTIF(INDIRECT("'0.0.2 Pokémon Learnset (Core)'!D$"&amp;$E$2&amp;":FG$"&amp;$E$2),J208))</f>
        <v>#VALUE!</v>
      </c>
      <c r="N208" s="0" t="e">
        <f aca="false">IF(ISBLANK(J208),,IF(OR(L208=$B$2,L208=$B$3),1,0))</f>
        <v>#N/A</v>
      </c>
    </row>
    <row r="209" customFormat="false" ht="15.75" hidden="false" customHeight="false" outlineLevel="0" collapsed="false">
      <c r="B209" s="0" t="n">
        <v>0</v>
      </c>
      <c r="C209" s="0" t="str">
        <f aca="false">IF(ISBLANK(B209),,B209&amp;", ")</f>
        <v>0,</v>
      </c>
      <c r="D209" s="0" t="e">
        <f aca="false" t="array" ref="D209:D209">IF(ISBLANK(B209),,INDEX('0.2.1 Move Compare'!$B$2:$B1011,MATCH(B209,'0.2.1 Move Compare'!$A$2:$A1011,0)))</f>
        <v>#N/A</v>
      </c>
      <c r="E209" s="0" t="e">
        <f aca="false" t="array" ref="E209:E209">IF(ISBLANK(B209),,IF(INDEX('0.1.2 Attack Dex (GO)'!C202:C1011,MATCH(B209,'0.1.2 Attack Dex (GO)'!A202:A1011,0))="Fast",1,0))</f>
        <v>#N/A</v>
      </c>
      <c r="F209" s="0" t="e">
        <f aca="true">IF(OR($E$1=0,ISBLANK(B209)),,COUNTIF(INDIRECT("'0.0.2 Pokémon Learnset (Core)'!D$"&amp;$E$2&amp;":FG$"&amp;$E$2),B209))</f>
        <v>#VALUE!</v>
      </c>
      <c r="G209" s="0" t="e">
        <f aca="true">IF(ISBLANK(F209),,COUNTIF(INDIRECT("'0.1.1 Pokémon GO Moves'!C"&amp;$E$3&amp;":R$"&amp;$E$3),B209))</f>
        <v>#N/A</v>
      </c>
      <c r="H209" s="0" t="e">
        <f aca="false">IF(ISBLANK(F209),,IF(OR(D209=$B$2,D209=$B$3),1,0))</f>
        <v>#N/A</v>
      </c>
      <c r="J209" s="0" t="str">
        <v>Spirit Shackle</v>
      </c>
      <c r="K209" s="0" t="str">
        <f aca="false">IF(ISBLANK(J209),,J209&amp;", ")</f>
        <v>Spirit Shackle,</v>
      </c>
      <c r="L209" s="0" t="str">
        <f aca="false" t="array" ref="L209:L209">IF(ISBLANK(J209),,INDEX('0.2.1 Move Compare'!$B$2:$B1011,MATCH(J209,'0.2.1 Move Compare'!$A$2:$A1011,0)))</f>
        <v>Ghost</v>
      </c>
      <c r="M209" s="0" t="e">
        <f aca="true">IF(OR($E$1=0,ISBLANK(J209)),,COUNTIF(INDIRECT("'0.0.2 Pokémon Learnset (Core)'!D$"&amp;$E$2&amp;":FG$"&amp;$E$2),J209))</f>
        <v>#VALUE!</v>
      </c>
      <c r="N209" s="0" t="e">
        <f aca="false">IF(ISBLANK(J209),,IF(OR(L209=$B$2,L209=$B$3),1,0))</f>
        <v>#N/A</v>
      </c>
    </row>
    <row r="210" customFormat="false" ht="15.75" hidden="false" customHeight="false" outlineLevel="0" collapsed="false">
      <c r="B210" s="0" t="n">
        <v>0</v>
      </c>
      <c r="C210" s="0" t="str">
        <f aca="false">IF(ISBLANK(B210),,B210&amp;", ")</f>
        <v>0,</v>
      </c>
      <c r="D210" s="0" t="e">
        <f aca="false" t="array" ref="D210:D210">IF(ISBLANK(B210),,INDEX('0.2.1 Move Compare'!$B$2:$B1011,MATCH(B210,'0.2.1 Move Compare'!$A$2:$A1011,0)))</f>
        <v>#N/A</v>
      </c>
      <c r="E210" s="0" t="e">
        <f aca="false" t="array" ref="E210:E210">IF(ISBLANK(B210),,IF(INDEX('0.1.2 Attack Dex (GO)'!C203:C1011,MATCH(B210,'0.1.2 Attack Dex (GO)'!A203:A1011,0))="Fast",1,0))</f>
        <v>#N/A</v>
      </c>
      <c r="F210" s="0" t="e">
        <f aca="true">IF(OR($E$1=0,ISBLANK(B210)),,COUNTIF(INDIRECT("'0.0.2 Pokémon Learnset (Core)'!D$"&amp;$E$2&amp;":FG$"&amp;$E$2),B210))</f>
        <v>#VALUE!</v>
      </c>
      <c r="G210" s="0" t="e">
        <f aca="true">IF(ISBLANK(F210),,COUNTIF(INDIRECT("'0.1.1 Pokémon GO Moves'!C"&amp;$E$3&amp;":R$"&amp;$E$3),B210))</f>
        <v>#N/A</v>
      </c>
      <c r="H210" s="0" t="e">
        <f aca="false">IF(ISBLANK(F210),,IF(OR(D210=$B$2,D210=$B$3),1,0))</f>
        <v>#N/A</v>
      </c>
      <c r="J210" s="0" t="str">
        <v>Steam Eruption</v>
      </c>
      <c r="K210" s="0" t="str">
        <f aca="false">IF(ISBLANK(J210),,J210&amp;", ")</f>
        <v>Steam Eruption,</v>
      </c>
      <c r="L210" s="0" t="str">
        <f aca="false" t="array" ref="L210:L210">IF(ISBLANK(J210),,INDEX('0.2.1 Move Compare'!$B$2:$B1011,MATCH(J210,'0.2.1 Move Compare'!$A$2:$A1011,0)))</f>
        <v>Water</v>
      </c>
      <c r="M210" s="0" t="e">
        <f aca="true">IF(OR($E$1=0,ISBLANK(J210)),,COUNTIF(INDIRECT("'0.0.2 Pokémon Learnset (Core)'!D$"&amp;$E$2&amp;":FG$"&amp;$E$2),J210))</f>
        <v>#VALUE!</v>
      </c>
      <c r="N210" s="0" t="e">
        <f aca="false">IF(ISBLANK(J210),,IF(OR(L210=$B$2,L210=$B$3),1,0))</f>
        <v>#N/A</v>
      </c>
    </row>
    <row r="211" customFormat="false" ht="15.75" hidden="false" customHeight="false" outlineLevel="0" collapsed="false">
      <c r="B211" s="0" t="n">
        <v>0</v>
      </c>
      <c r="C211" s="0" t="str">
        <f aca="false">IF(ISBLANK(B211),,B211&amp;", ")</f>
        <v>0,</v>
      </c>
      <c r="D211" s="0" t="e">
        <f aca="false" t="array" ref="D211:D211">IF(ISBLANK(B211),,INDEX('0.2.1 Move Compare'!$B$2:$B1011,MATCH(B211,'0.2.1 Move Compare'!$A$2:$A1011,0)))</f>
        <v>#N/A</v>
      </c>
      <c r="E211" s="0" t="e">
        <f aca="false" t="array" ref="E211:E211">IF(ISBLANK(B211),,IF(INDEX('0.1.2 Attack Dex (GO)'!C204:C1011,MATCH(B211,'0.1.2 Attack Dex (GO)'!A204:A1011,0))="Fast",1,0))</f>
        <v>#N/A</v>
      </c>
      <c r="F211" s="0" t="e">
        <f aca="true">IF(OR($E$1=0,ISBLANK(B211)),,COUNTIF(INDIRECT("'0.0.2 Pokémon Learnset (Core)'!D$"&amp;$E$2&amp;":FG$"&amp;$E$2),B211))</f>
        <v>#VALUE!</v>
      </c>
      <c r="G211" s="0" t="e">
        <f aca="true">IF(ISBLANK(F211),,COUNTIF(INDIRECT("'0.1.1 Pokémon GO Moves'!C"&amp;$E$3&amp;":R$"&amp;$E$3),B211))</f>
        <v>#N/A</v>
      </c>
      <c r="H211" s="0" t="e">
        <f aca="false">IF(ISBLANK(F211),,IF(OR(D211=$B$2,D211=$B$3),1,0))</f>
        <v>#N/A</v>
      </c>
      <c r="J211" s="0" t="str">
        <v>Steamroller</v>
      </c>
      <c r="K211" s="0" t="str">
        <f aca="false">IF(ISBLANK(J211),,J211&amp;", ")</f>
        <v>Steamroller,</v>
      </c>
      <c r="L211" s="0" t="str">
        <f aca="false" t="array" ref="L211:L211">IF(ISBLANK(J211),,INDEX('0.2.1 Move Compare'!$B$2:$B1011,MATCH(J211,'0.2.1 Move Compare'!$A$2:$A1011,0)))</f>
        <v>Bug</v>
      </c>
      <c r="M211" s="0" t="e">
        <f aca="true">IF(OR($E$1=0,ISBLANK(J211)),,COUNTIF(INDIRECT("'0.0.2 Pokémon Learnset (Core)'!D$"&amp;$E$2&amp;":FG$"&amp;$E$2),J211))</f>
        <v>#VALUE!</v>
      </c>
      <c r="N211" s="0" t="e">
        <f aca="false">IF(ISBLANK(J211),,IF(OR(L211=$B$2,L211=$B$3),1,0))</f>
        <v>#N/A</v>
      </c>
    </row>
    <row r="212" customFormat="false" ht="15.75" hidden="false" customHeight="false" outlineLevel="0" collapsed="false">
      <c r="B212" s="0" t="n">
        <v>0</v>
      </c>
      <c r="C212" s="0" t="str">
        <f aca="false">IF(ISBLANK(B212),,B212&amp;", ")</f>
        <v>0,</v>
      </c>
      <c r="D212" s="0" t="e">
        <f aca="false" t="array" ref="D212:D212">IF(ISBLANK(B212),,INDEX('0.2.1 Move Compare'!$B$2:$B1011,MATCH(B212,'0.2.1 Move Compare'!$A$2:$A1011,0)))</f>
        <v>#N/A</v>
      </c>
      <c r="E212" s="0" t="e">
        <f aca="false" t="array" ref="E212:E212">IF(ISBLANK(B212),,IF(INDEX('0.1.2 Attack Dex (GO)'!C205:C1011,MATCH(B212,'0.1.2 Attack Dex (GO)'!A205:A1011,0))="Fast",1,0))</f>
        <v>#N/A</v>
      </c>
      <c r="F212" s="0" t="e">
        <f aca="true">IF(OR($E$1=0,ISBLANK(B212)),,COUNTIF(INDIRECT("'0.0.2 Pokémon Learnset (Core)'!D$"&amp;$E$2&amp;":FG$"&amp;$E$2),B212))</f>
        <v>#VALUE!</v>
      </c>
      <c r="G212" s="0" t="e">
        <f aca="true">IF(ISBLANK(F212),,COUNTIF(INDIRECT("'0.1.1 Pokémon GO Moves'!C"&amp;$E$3&amp;":R$"&amp;$E$3),B212))</f>
        <v>#N/A</v>
      </c>
      <c r="H212" s="0" t="e">
        <f aca="false">IF(ISBLANK(F212),,IF(OR(D212=$B$2,D212=$B$3),1,0))</f>
        <v>#N/A</v>
      </c>
      <c r="J212" s="0" t="str">
        <v>Stomping Tantrum</v>
      </c>
      <c r="K212" s="0" t="str">
        <f aca="false">IF(ISBLANK(J212),,J212&amp;", ")</f>
        <v>Stomping Tantrum,</v>
      </c>
      <c r="L212" s="0" t="str">
        <f aca="false" t="array" ref="L212:L212">IF(ISBLANK(J212),,INDEX('0.2.1 Move Compare'!$B$2:$B1011,MATCH(J212,'0.2.1 Move Compare'!$A$2:$A1011,0)))</f>
        <v>Ground</v>
      </c>
      <c r="M212" s="0" t="e">
        <f aca="true">IF(OR($E$1=0,ISBLANK(J212)),,COUNTIF(INDIRECT("'0.0.2 Pokémon Learnset (Core)'!D$"&amp;$E$2&amp;":FG$"&amp;$E$2),J212))</f>
        <v>#VALUE!</v>
      </c>
      <c r="N212" s="0" t="e">
        <f aca="false">IF(ISBLANK(J212),,IF(OR(L212=$B$2,L212=$B$3),1,0))</f>
        <v>#N/A</v>
      </c>
    </row>
    <row r="213" customFormat="false" ht="15.75" hidden="false" customHeight="false" outlineLevel="0" collapsed="false">
      <c r="B213" s="0" t="n">
        <v>0</v>
      </c>
      <c r="C213" s="0" t="str">
        <f aca="false">IF(ISBLANK(B213),,B213&amp;", ")</f>
        <v>0,</v>
      </c>
      <c r="D213" s="0" t="e">
        <f aca="false" t="array" ref="D213:D213">IF(ISBLANK(B213),,INDEX('0.2.1 Move Compare'!$B$2:$B1011,MATCH(B213,'0.2.1 Move Compare'!$A$2:$A1011,0)))</f>
        <v>#N/A</v>
      </c>
      <c r="E213" s="0" t="e">
        <f aca="false" t="array" ref="E213:E213">IF(ISBLANK(B213),,IF(INDEX('0.1.2 Attack Dex (GO)'!C206:C1011,MATCH(B213,'0.1.2 Attack Dex (GO)'!A206:A1011,0))="Fast",1,0))</f>
        <v>#N/A</v>
      </c>
      <c r="F213" s="0" t="e">
        <f aca="true">IF(OR($E$1=0,ISBLANK(B213)),,COUNTIF(INDIRECT("'0.0.2 Pokémon Learnset (Core)'!D$"&amp;$E$2&amp;":FG$"&amp;$E$2),B213))</f>
        <v>#VALUE!</v>
      </c>
      <c r="G213" s="0" t="e">
        <f aca="true">IF(ISBLANK(F213),,COUNTIF(INDIRECT("'0.1.1 Pokémon GO Moves'!C"&amp;$E$3&amp;":R$"&amp;$E$3),B213))</f>
        <v>#N/A</v>
      </c>
      <c r="H213" s="0" t="e">
        <f aca="false">IF(ISBLANK(F213),,IF(OR(D213=$B$2,D213=$B$3),1,0))</f>
        <v>#N/A</v>
      </c>
      <c r="J213" s="0" t="str">
        <v>Stored Power</v>
      </c>
      <c r="K213" s="0" t="str">
        <f aca="false">IF(ISBLANK(J213),,J213&amp;", ")</f>
        <v>Stored Power,</v>
      </c>
      <c r="L213" s="0" t="str">
        <f aca="false" t="array" ref="L213:L213">IF(ISBLANK(J213),,INDEX('0.2.1 Move Compare'!$B$2:$B1011,MATCH(J213,'0.2.1 Move Compare'!$A$2:$A1011,0)))</f>
        <v>Psychic</v>
      </c>
      <c r="M213" s="0" t="e">
        <f aca="true">IF(OR($E$1=0,ISBLANK(J213)),,COUNTIF(INDIRECT("'0.0.2 Pokémon Learnset (Core)'!D$"&amp;$E$2&amp;":FG$"&amp;$E$2),J213))</f>
        <v>#VALUE!</v>
      </c>
      <c r="N213" s="0" t="e">
        <f aca="false">IF(ISBLANK(J213),,IF(OR(L213=$B$2,L213=$B$3),1,0))</f>
        <v>#N/A</v>
      </c>
    </row>
    <row r="214" customFormat="false" ht="15.75" hidden="false" customHeight="false" outlineLevel="0" collapsed="false">
      <c r="B214" s="0" t="n">
        <v>0</v>
      </c>
      <c r="C214" s="0" t="str">
        <f aca="false">IF(ISBLANK(B214),,B214&amp;", ")</f>
        <v>0,</v>
      </c>
      <c r="D214" s="0" t="e">
        <f aca="false" t="array" ref="D214:D214">IF(ISBLANK(B214),,INDEX('0.2.1 Move Compare'!$B$2:$B1011,MATCH(B214,'0.2.1 Move Compare'!$A$2:$A1011,0)))</f>
        <v>#N/A</v>
      </c>
      <c r="E214" s="0" t="e">
        <f aca="false" t="array" ref="E214:E214">IF(ISBLANK(B214),,IF(INDEX('0.1.2 Attack Dex (GO)'!C207:C1011,MATCH(B214,'0.1.2 Attack Dex (GO)'!A207:A1011,0))="Fast",1,0))</f>
        <v>#N/A</v>
      </c>
      <c r="F214" s="0" t="e">
        <f aca="true">IF(OR($E$1=0,ISBLANK(B214)),,COUNTIF(INDIRECT("'0.0.2 Pokémon Learnset (Core)'!D$"&amp;$E$2&amp;":FG$"&amp;$E$2),B214))</f>
        <v>#VALUE!</v>
      </c>
      <c r="G214" s="0" t="e">
        <f aca="true">IF(ISBLANK(F214),,COUNTIF(INDIRECT("'0.1.1 Pokémon GO Moves'!C"&amp;$E$3&amp;":R$"&amp;$E$3),B214))</f>
        <v>#N/A</v>
      </c>
      <c r="H214" s="0" t="e">
        <f aca="false">IF(ISBLANK(F214),,IF(OR(D214=$B$2,D214=$B$3),1,0))</f>
        <v>#N/A</v>
      </c>
      <c r="J214" s="0" t="str">
        <v>Storm Throw</v>
      </c>
      <c r="K214" s="0" t="str">
        <f aca="false">IF(ISBLANK(J214),,J214&amp;", ")</f>
        <v>Storm Throw,</v>
      </c>
      <c r="L214" s="0" t="str">
        <f aca="false" t="array" ref="L214:L214">IF(ISBLANK(J214),,INDEX('0.2.1 Move Compare'!$B$2:$B1011,MATCH(J214,'0.2.1 Move Compare'!$A$2:$A1011,0)))</f>
        <v>Fighting</v>
      </c>
      <c r="M214" s="0" t="e">
        <f aca="true">IF(OR($E$1=0,ISBLANK(J214)),,COUNTIF(INDIRECT("'0.0.2 Pokémon Learnset (Core)'!D$"&amp;$E$2&amp;":FG$"&amp;$E$2),J214))</f>
        <v>#VALUE!</v>
      </c>
      <c r="N214" s="0" t="e">
        <f aca="false">IF(ISBLANK(J214),,IF(OR(L214=$B$2,L214=$B$3),1,0))</f>
        <v>#N/A</v>
      </c>
    </row>
    <row r="215" customFormat="false" ht="15.75" hidden="false" customHeight="false" outlineLevel="0" collapsed="false">
      <c r="B215" s="0" t="n">
        <v>0</v>
      </c>
      <c r="C215" s="0" t="str">
        <f aca="false">IF(ISBLANK(B215),,B215&amp;", ")</f>
        <v>0,</v>
      </c>
      <c r="D215" s="0" t="e">
        <f aca="false" t="array" ref="D215:D215">IF(ISBLANK(B215),,INDEX('0.2.1 Move Compare'!$B$2:$B1011,MATCH(B215,'0.2.1 Move Compare'!$A$2:$A1011,0)))</f>
        <v>#N/A</v>
      </c>
      <c r="E215" s="0" t="e">
        <f aca="false" t="array" ref="E215:E215">IF(ISBLANK(B215),,IF(INDEX('0.1.2 Attack Dex (GO)'!C208:C1011,MATCH(B215,'0.1.2 Attack Dex (GO)'!A208:A1011,0))="Fast",1,0))</f>
        <v>#N/A</v>
      </c>
      <c r="F215" s="0" t="e">
        <f aca="true">IF(OR($E$1=0,ISBLANK(B215)),,COUNTIF(INDIRECT("'0.0.2 Pokémon Learnset (Core)'!D$"&amp;$E$2&amp;":FG$"&amp;$E$2),B215))</f>
        <v>#VALUE!</v>
      </c>
      <c r="G215" s="0" t="e">
        <f aca="true">IF(ISBLANK(F215),,COUNTIF(INDIRECT("'0.1.1 Pokémon GO Moves'!C"&amp;$E$3&amp;":R$"&amp;$E$3),B215))</f>
        <v>#N/A</v>
      </c>
      <c r="H215" s="0" t="e">
        <f aca="false">IF(ISBLANK(F215),,IF(OR(D215=$B$2,D215=$B$3),1,0))</f>
        <v>#N/A</v>
      </c>
      <c r="J215" s="0" t="str">
        <v>Strength</v>
      </c>
      <c r="K215" s="0" t="str">
        <f aca="false">IF(ISBLANK(J215),,J215&amp;", ")</f>
        <v>Strength,</v>
      </c>
      <c r="L215" s="0" t="str">
        <f aca="false" t="array" ref="L215:L215">IF(ISBLANK(J215),,INDEX('0.2.1 Move Compare'!$B$2:$B1011,MATCH(J215,'0.2.1 Move Compare'!$A$2:$A1011,0)))</f>
        <v>Normal</v>
      </c>
      <c r="M215" s="0" t="e">
        <f aca="true">IF(OR($E$1=0,ISBLANK(J215)),,COUNTIF(INDIRECT("'0.0.2 Pokémon Learnset (Core)'!D$"&amp;$E$2&amp;":FG$"&amp;$E$2),J215))</f>
        <v>#VALUE!</v>
      </c>
      <c r="N215" s="0" t="e">
        <f aca="false">IF(ISBLANK(J215),,IF(OR(L215=$B$2,L215=$B$3),1,0))</f>
        <v>#N/A</v>
      </c>
    </row>
    <row r="216" customFormat="false" ht="15.75" hidden="false" customHeight="false" outlineLevel="0" collapsed="false">
      <c r="A216" s="374"/>
      <c r="B216" s="374" t="n">
        <v>0</v>
      </c>
      <c r="C216" s="0" t="str">
        <f aca="false">IF(ISBLANK(B216),,B216&amp;", ")</f>
        <v>0,</v>
      </c>
      <c r="D216" s="0" t="e">
        <f aca="false" t="array" ref="D216:D216">IF(ISBLANK(B216),,INDEX('0.2.1 Move Compare'!$B$2:$B1011,MATCH(B216,'0.2.1 Move Compare'!$A$2:$A1011,0)))</f>
        <v>#N/A</v>
      </c>
      <c r="E216" s="0" t="e">
        <f aca="false" t="array" ref="E216:E216">IF(ISBLANK(B216),,IF(INDEX('0.1.2 Attack Dex (GO)'!C209:C1011,MATCH(B216,'0.1.2 Attack Dex (GO)'!A209:A1011,0))="Fast",1,0))</f>
        <v>#N/A</v>
      </c>
      <c r="F216" s="0" t="e">
        <f aca="true">IF(OR($E$1=0,ISBLANK(B216)),,COUNTIF(INDIRECT("'0.0.2 Pokémon Learnset (Core)'!D$"&amp;$E$2&amp;":FG$"&amp;$E$2),B216))</f>
        <v>#VALUE!</v>
      </c>
      <c r="G216" s="0" t="e">
        <f aca="true">IF(ISBLANK(F216),,COUNTIF(INDIRECT("'0.1.1 Pokémon GO Moves'!C"&amp;$E$3&amp;":R$"&amp;$E$3),B216))</f>
        <v>#N/A</v>
      </c>
      <c r="H216" s="0" t="e">
        <f aca="false">IF(ISBLANK(F216),,IF(OR(D216=$B$2,D216=$B$3),1,0))</f>
        <v>#N/A</v>
      </c>
      <c r="J216" s="0" t="str">
        <v>Sunsteel Strike</v>
      </c>
      <c r="K216" s="0" t="str">
        <f aca="false">IF(ISBLANK(J216),,J216&amp;", ")</f>
        <v>Sunsteel Strike,</v>
      </c>
      <c r="L216" s="0" t="str">
        <f aca="false" t="array" ref="L216:L216">IF(ISBLANK(J216),,INDEX('0.2.1 Move Compare'!$B$2:$B1011,MATCH(J216,'0.2.1 Move Compare'!$A$2:$A1011,0)))</f>
        <v>Steel</v>
      </c>
      <c r="M216" s="0" t="e">
        <f aca="true">IF(OR($E$1=0,ISBLANK(J216)),,COUNTIF(INDIRECT("'0.0.2 Pokémon Learnset (Core)'!D$"&amp;$E$2&amp;":FG$"&amp;$E$2),J216))</f>
        <v>#VALUE!</v>
      </c>
      <c r="N216" s="0" t="e">
        <f aca="false">IF(ISBLANK(J216),,IF(OR(L216=$B$2,L216=$B$3),1,0))</f>
        <v>#N/A</v>
      </c>
    </row>
    <row r="217" customFormat="false" ht="15.75" hidden="false" customHeight="false" outlineLevel="0" collapsed="false">
      <c r="A217" s="374"/>
      <c r="B217" s="374" t="n">
        <v>0</v>
      </c>
      <c r="C217" s="0" t="str">
        <f aca="false">IF(ISBLANK(B217),,B217&amp;", ")</f>
        <v>0,</v>
      </c>
      <c r="D217" s="0" t="e">
        <f aca="false" t="array" ref="D217:D217">IF(ISBLANK(B217),,INDEX('0.2.1 Move Compare'!$B$2:$B1011,MATCH(B217,'0.2.1 Move Compare'!$A$2:$A1011,0)))</f>
        <v>#N/A</v>
      </c>
      <c r="E217" s="0" t="e">
        <f aca="false" t="array" ref="E217:E217">IF(ISBLANK(B217),,IF(INDEX('0.1.2 Attack Dex (GO)'!C210:C1011,MATCH(B217,'0.1.2 Attack Dex (GO)'!A210:A1011,0))="Fast",1,0))</f>
        <v>#N/A</v>
      </c>
      <c r="F217" s="0" t="e">
        <f aca="true">IF(OR($E$1=0,ISBLANK(B217)),,COUNTIF(INDIRECT("'0.0.2 Pokémon Learnset (Core)'!D$"&amp;$E$2&amp;":FG$"&amp;$E$2),B217))</f>
        <v>#VALUE!</v>
      </c>
      <c r="G217" s="0" t="e">
        <f aca="true">IF(ISBLANK(F217),,COUNTIF(INDIRECT("'0.1.1 Pokémon GO Moves'!C"&amp;$E$3&amp;":R$"&amp;$E$3),B217))</f>
        <v>#N/A</v>
      </c>
      <c r="H217" s="0" t="e">
        <f aca="false">IF(ISBLANK(F217),,IF(OR(D217=$B$2,D217=$B$3),1,0))</f>
        <v>#N/A</v>
      </c>
      <c r="J217" s="0" t="str">
        <v>Super Fang</v>
      </c>
      <c r="K217" s="0" t="str">
        <f aca="false">IF(ISBLANK(J217),,J217&amp;", ")</f>
        <v>Super Fang,</v>
      </c>
      <c r="L217" s="0" t="str">
        <f aca="false" t="array" ref="L217:L217">IF(ISBLANK(J217),,INDEX('0.2.1 Move Compare'!$B$2:$B1011,MATCH(J217,'0.2.1 Move Compare'!$A$2:$A1011,0)))</f>
        <v>Normal</v>
      </c>
      <c r="M217" s="0" t="e">
        <f aca="true">IF(OR($E$1=0,ISBLANK(J217)),,COUNTIF(INDIRECT("'0.0.2 Pokémon Learnset (Core)'!D$"&amp;$E$2&amp;":FG$"&amp;$E$2),J217))</f>
        <v>#VALUE!</v>
      </c>
      <c r="N217" s="0" t="e">
        <f aca="false">IF(ISBLANK(J217),,IF(OR(L217=$B$2,L217=$B$3),1,0))</f>
        <v>#N/A</v>
      </c>
    </row>
    <row r="218" customFormat="false" ht="15.75" hidden="false" customHeight="false" outlineLevel="0" collapsed="false">
      <c r="A218" s="374"/>
      <c r="B218" s="374" t="n">
        <v>0</v>
      </c>
      <c r="C218" s="0" t="str">
        <f aca="false">IF(ISBLANK(B218),,B218&amp;", ")</f>
        <v>0,</v>
      </c>
      <c r="D218" s="0" t="e">
        <f aca="false" t="array" ref="D218:D218">IF(ISBLANK(B218),,INDEX('0.2.1 Move Compare'!$B$2:$B1011,MATCH(B218,'0.2.1 Move Compare'!$A$2:$A1011,0)))</f>
        <v>#N/A</v>
      </c>
      <c r="E218" s="0" t="e">
        <f aca="false" t="array" ref="E218:E218">IF(ISBLANK(B218),,IF(INDEX('0.1.2 Attack Dex (GO)'!C211:C1011,MATCH(B218,'0.1.2 Attack Dex (GO)'!A211:A1011,0))="Fast",1,0))</f>
        <v>#N/A</v>
      </c>
      <c r="F218" s="0" t="e">
        <f aca="true">IF(OR($E$1=0,ISBLANK(B218)),,COUNTIF(INDIRECT("'0.0.2 Pokémon Learnset (Core)'!D$"&amp;$E$2&amp;":FG$"&amp;$E$2),B218))</f>
        <v>#VALUE!</v>
      </c>
      <c r="G218" s="0" t="e">
        <f aca="true">IF(ISBLANK(F218),,COUNTIF(INDIRECT("'0.1.1 Pokémon GO Moves'!C"&amp;$E$3&amp;":R$"&amp;$E$3),B218))</f>
        <v>#N/A</v>
      </c>
      <c r="H218" s="0" t="e">
        <f aca="false">IF(ISBLANK(F218),,IF(OR(D218=$B$2,D218=$B$3),1,0))</f>
        <v>#N/A</v>
      </c>
      <c r="J218" s="0" t="str">
        <v>Superpower</v>
      </c>
      <c r="K218" s="0" t="str">
        <f aca="false">IF(ISBLANK(J218),,J218&amp;", ")</f>
        <v>Superpower,</v>
      </c>
      <c r="L218" s="0" t="str">
        <f aca="false" t="array" ref="L218:L218">IF(ISBLANK(J218),,INDEX('0.2.1 Move Compare'!$B$2:$B1011,MATCH(J218,'0.2.1 Move Compare'!$A$2:$A1011,0)))</f>
        <v>Fighting</v>
      </c>
      <c r="M218" s="0" t="e">
        <f aca="true">IF(OR($E$1=0,ISBLANK(J218)),,COUNTIF(INDIRECT("'0.0.2 Pokémon Learnset (Core)'!D$"&amp;$E$2&amp;":FG$"&amp;$E$2),J218))</f>
        <v>#VALUE!</v>
      </c>
      <c r="N218" s="0" t="e">
        <f aca="false">IF(ISBLANK(J218),,IF(OR(L218=$B$2,L218=$B$3),1,0))</f>
        <v>#N/A</v>
      </c>
    </row>
    <row r="219" customFormat="false" ht="15.75" hidden="false" customHeight="false" outlineLevel="0" collapsed="false">
      <c r="A219" s="374"/>
      <c r="B219" s="374" t="n">
        <v>0</v>
      </c>
      <c r="C219" s="0" t="str">
        <f aca="false">IF(ISBLANK(B219),,B219&amp;", ")</f>
        <v>0,</v>
      </c>
      <c r="D219" s="0" t="e">
        <f aca="false" t="array" ref="D219:D219">IF(ISBLANK(B219),,INDEX('0.2.1 Move Compare'!$B$2:$B1011,MATCH(B219,'0.2.1 Move Compare'!$A$2:$A1011,0)))</f>
        <v>#N/A</v>
      </c>
      <c r="E219" s="0" t="e">
        <f aca="false" t="array" ref="E219:E219">IF(ISBLANK(B219),,IF(INDEX('0.1.2 Attack Dex (GO)'!C212:C1011,MATCH(B219,'0.1.2 Attack Dex (GO)'!A212:A1011,0))="Fast",1,0))</f>
        <v>#N/A</v>
      </c>
      <c r="F219" s="0" t="e">
        <f aca="true">IF(OR($E$1=0,ISBLANK(B219)),,COUNTIF(INDIRECT("'0.0.2 Pokémon Learnset (Core)'!D$"&amp;$E$2&amp;":FG$"&amp;$E$2),B219))</f>
        <v>#VALUE!</v>
      </c>
      <c r="G219" s="0" t="e">
        <f aca="true">IF(ISBLANK(F219),,COUNTIF(INDIRECT("'0.1.1 Pokémon GO Moves'!C"&amp;$E$3&amp;":R$"&amp;$E$3),B219))</f>
        <v>#N/A</v>
      </c>
      <c r="H219" s="0" t="e">
        <f aca="false">IF(ISBLANK(F219),,IF(OR(D219=$B$2,D219=$B$3),1,0))</f>
        <v>#N/A</v>
      </c>
      <c r="J219" s="0" t="str">
        <v>Synchronoise</v>
      </c>
      <c r="K219" s="0" t="str">
        <f aca="false">IF(ISBLANK(J219),,J219&amp;", ")</f>
        <v>Synchronoise,</v>
      </c>
      <c r="L219" s="0" t="str">
        <f aca="false" t="array" ref="L219:L219">IF(ISBLANK(J219),,INDEX('0.2.1 Move Compare'!$B$2:$B1011,MATCH(J219,'0.2.1 Move Compare'!$A$2:$A1011,0)))</f>
        <v>Psychic</v>
      </c>
      <c r="M219" s="0" t="e">
        <f aca="true">IF(OR($E$1=0,ISBLANK(J219)),,COUNTIF(INDIRECT("'0.0.2 Pokémon Learnset (Core)'!D$"&amp;$E$2&amp;":FG$"&amp;$E$2),J219))</f>
        <v>#VALUE!</v>
      </c>
      <c r="N219" s="0" t="e">
        <f aca="false">IF(ISBLANK(J219),,IF(OR(L219=$B$2,L219=$B$3),1,0))</f>
        <v>#N/A</v>
      </c>
    </row>
    <row r="220" customFormat="false" ht="15.75" hidden="false" customHeight="false" outlineLevel="0" collapsed="false">
      <c r="A220" s="374"/>
      <c r="B220" s="374" t="n">
        <v>0</v>
      </c>
      <c r="C220" s="0" t="str">
        <f aca="false">IF(ISBLANK(B220),,B220&amp;", ")</f>
        <v>0,</v>
      </c>
      <c r="D220" s="0" t="e">
        <f aca="false" t="array" ref="D220:D220">IF(ISBLANK(B220),,INDEX('0.2.1 Move Compare'!$B$2:$B1011,MATCH(B220,'0.2.1 Move Compare'!$A$2:$A1011,0)))</f>
        <v>#N/A</v>
      </c>
      <c r="E220" s="0" t="e">
        <f aca="false" t="array" ref="E220:E220">IF(ISBLANK(B220),,IF(INDEX('0.1.2 Attack Dex (GO)'!C213:C1011,MATCH(B220,'0.1.2 Attack Dex (GO)'!A213:A1011,0))="Fast",1,0))</f>
        <v>#N/A</v>
      </c>
      <c r="F220" s="0" t="e">
        <f aca="true">IF(OR($E$1=0,ISBLANK(B220)),,COUNTIF(INDIRECT("'0.0.2 Pokémon Learnset (Core)'!D$"&amp;$E$2&amp;":FG$"&amp;$E$2),B220))</f>
        <v>#VALUE!</v>
      </c>
      <c r="G220" s="0" t="e">
        <f aca="true">IF(ISBLANK(F220),,COUNTIF(INDIRECT("'0.1.1 Pokémon GO Moves'!C"&amp;$E$3&amp;":R$"&amp;$E$3),B220))</f>
        <v>#N/A</v>
      </c>
      <c r="H220" s="0" t="e">
        <f aca="false">IF(ISBLANK(F220),,IF(OR(D220=$B$2,D220=$B$3),1,0))</f>
        <v>#N/A</v>
      </c>
      <c r="J220" s="0" t="str">
        <v>Tail Slap</v>
      </c>
      <c r="K220" s="0" t="str">
        <f aca="false">IF(ISBLANK(J220),,J220&amp;", ")</f>
        <v>Tail Slap,</v>
      </c>
      <c r="L220" s="0" t="str">
        <f aca="false" t="array" ref="L220:L220">IF(ISBLANK(J220),,INDEX('0.2.1 Move Compare'!$B$2:$B1011,MATCH(J220,'0.2.1 Move Compare'!$A$2:$A1011,0)))</f>
        <v>Normal</v>
      </c>
      <c r="M220" s="0" t="e">
        <f aca="true">IF(OR($E$1=0,ISBLANK(J220)),,COUNTIF(INDIRECT("'0.0.2 Pokémon Learnset (Core)'!D$"&amp;$E$2&amp;":FG$"&amp;$E$2),J220))</f>
        <v>#VALUE!</v>
      </c>
      <c r="N220" s="0" t="e">
        <f aca="false">IF(ISBLANK(J220),,IF(OR(L220=$B$2,L220=$B$3),1,0))</f>
        <v>#N/A</v>
      </c>
    </row>
    <row r="221" customFormat="false" ht="15.75" hidden="false" customHeight="false" outlineLevel="0" collapsed="false">
      <c r="A221" s="374"/>
      <c r="B221" s="374" t="n">
        <v>0</v>
      </c>
      <c r="C221" s="0" t="str">
        <f aca="false">IF(ISBLANK(B221),,B221&amp;", ")</f>
        <v>0,</v>
      </c>
      <c r="D221" s="0" t="e">
        <f aca="false" t="array" ref="D221:D221">IF(ISBLANK(B221),,INDEX('0.2.1 Move Compare'!$B$2:$B1011,MATCH(B221,'0.2.1 Move Compare'!$A$2:$A1011,0)))</f>
        <v>#N/A</v>
      </c>
      <c r="E221" s="0" t="e">
        <f aca="false" t="array" ref="E221:E221">IF(ISBLANK(B221),,IF(INDEX('0.1.2 Attack Dex (GO)'!C214:C1011,MATCH(B221,'0.1.2 Attack Dex (GO)'!A214:A1011,0))="Fast",1,0))</f>
        <v>#N/A</v>
      </c>
      <c r="F221" s="0" t="e">
        <f aca="true">IF(OR($E$1=0,ISBLANK(B221)),,COUNTIF(INDIRECT("'0.0.2 Pokémon Learnset (Core)'!D$"&amp;$E$2&amp;":FG$"&amp;$E$2),B221))</f>
        <v>#VALUE!</v>
      </c>
      <c r="G221" s="0" t="e">
        <f aca="true">IF(ISBLANK(F221),,COUNTIF(INDIRECT("'0.1.1 Pokémon GO Moves'!C"&amp;$E$3&amp;":R$"&amp;$E$3),B221))</f>
        <v>#N/A</v>
      </c>
      <c r="H221" s="0" t="e">
        <f aca="false">IF(ISBLANK(F221),,IF(OR(D221=$B$2,D221=$B$3),1,0))</f>
        <v>#N/A</v>
      </c>
      <c r="J221" s="0" t="str">
        <v>Techno Blast</v>
      </c>
      <c r="K221" s="0" t="str">
        <f aca="false">IF(ISBLANK(J221),,J221&amp;", ")</f>
        <v>Techno Blast,</v>
      </c>
      <c r="L221" s="0" t="str">
        <f aca="false" t="array" ref="L221:L221">IF(ISBLANK(J221),,INDEX('0.2.1 Move Compare'!$B$2:$B1011,MATCH(J221,'0.2.1 Move Compare'!$A$2:$A1011,0)))</f>
        <v>Empty</v>
      </c>
      <c r="M221" s="0" t="e">
        <f aca="true">IF(OR($E$1=0,ISBLANK(J221)),,COUNTIF(INDIRECT("'0.0.2 Pokémon Learnset (Core)'!D$"&amp;$E$2&amp;":FG$"&amp;$E$2),J221))</f>
        <v>#VALUE!</v>
      </c>
      <c r="N221" s="0" t="e">
        <f aca="false">IF(ISBLANK(J221),,IF(OR(L221=$B$2,L221=$B$3),1,0))</f>
        <v>#N/A</v>
      </c>
    </row>
    <row r="222" customFormat="false" ht="15.75" hidden="false" customHeight="false" outlineLevel="0" collapsed="false">
      <c r="A222" s="374"/>
      <c r="B222" s="374" t="n">
        <v>0</v>
      </c>
      <c r="C222" s="0" t="str">
        <f aca="false">IF(ISBLANK(B222),,B222&amp;", ")</f>
        <v>0,</v>
      </c>
      <c r="D222" s="0" t="e">
        <f aca="false" t="array" ref="D222:D222">IF(ISBLANK(B222),,INDEX('0.2.1 Move Compare'!$B$2:$B1011,MATCH(B222,'0.2.1 Move Compare'!$A$2:$A1011,0)))</f>
        <v>#N/A</v>
      </c>
      <c r="E222" s="0" t="e">
        <f aca="false" t="array" ref="E222:E222">IF(ISBLANK(B222),,IF(INDEX('0.1.2 Attack Dex (GO)'!C215:C1011,MATCH(B222,'0.1.2 Attack Dex (GO)'!A215:A1011,0))="Fast",1,0))</f>
        <v>#N/A</v>
      </c>
      <c r="F222" s="0" t="e">
        <f aca="true">IF(OR($E$1=0,ISBLANK(B222)),,COUNTIF(INDIRECT("'0.0.2 Pokémon Learnset (Core)'!D$"&amp;$E$2&amp;":FG$"&amp;$E$2),B222))</f>
        <v>#VALUE!</v>
      </c>
      <c r="G222" s="0" t="e">
        <f aca="true">IF(ISBLANK(F222),,COUNTIF(INDIRECT("'0.1.1 Pokémon GO Moves'!C"&amp;$E$3&amp;":R$"&amp;$E$3),B222))</f>
        <v>#N/A</v>
      </c>
      <c r="H222" s="0" t="e">
        <f aca="false">IF(ISBLANK(F222),,IF(OR(D222=$B$2,D222=$B$3),1,0))</f>
        <v>#N/A</v>
      </c>
      <c r="J222" s="0" t="str">
        <v>Thief</v>
      </c>
      <c r="K222" s="0" t="str">
        <f aca="false">IF(ISBLANK(J222),,J222&amp;", ")</f>
        <v>Thief,</v>
      </c>
      <c r="L222" s="0" t="str">
        <f aca="false" t="array" ref="L222:L222">IF(ISBLANK(J222),,INDEX('0.2.1 Move Compare'!$B$2:$B1011,MATCH(J222,'0.2.1 Move Compare'!$A$2:$A1011,0)))</f>
        <v>Dark</v>
      </c>
      <c r="M222" s="0" t="e">
        <f aca="true">IF(OR($E$1=0,ISBLANK(J222)),,COUNTIF(INDIRECT("'0.0.2 Pokémon Learnset (Core)'!D$"&amp;$E$2&amp;":FG$"&amp;$E$2),J222))</f>
        <v>#VALUE!</v>
      </c>
      <c r="N222" s="0" t="e">
        <f aca="false">IF(ISBLANK(J222),,IF(OR(L222=$B$2,L222=$B$3),1,0))</f>
        <v>#N/A</v>
      </c>
    </row>
    <row r="223" customFormat="false" ht="15.75" hidden="false" customHeight="false" outlineLevel="0" collapsed="false">
      <c r="A223" s="374"/>
      <c r="B223" s="374" t="n">
        <v>0</v>
      </c>
      <c r="C223" s="0" t="str">
        <f aca="false">IF(ISBLANK(B223),,B223&amp;", ")</f>
        <v>0,</v>
      </c>
      <c r="D223" s="0" t="e">
        <f aca="false" t="array" ref="D223:D223">IF(ISBLANK(B223),,INDEX('0.2.1 Move Compare'!$B$2:$B1011,MATCH(B223,'0.2.1 Move Compare'!$A$2:$A1011,0)))</f>
        <v>#N/A</v>
      </c>
      <c r="E223" s="0" t="e">
        <f aca="false" t="array" ref="E223:E223">IF(ISBLANK(B223),,IF(INDEX('0.1.2 Attack Dex (GO)'!C216:C1011,MATCH(B223,'0.1.2 Attack Dex (GO)'!A216:A1011,0))="Fast",1,0))</f>
        <v>#N/A</v>
      </c>
      <c r="F223" s="0" t="e">
        <f aca="true">IF(OR($E$1=0,ISBLANK(B223)),,COUNTIF(INDIRECT("'0.0.2 Pokémon Learnset (Core)'!D$"&amp;$E$2&amp;":FG$"&amp;$E$2),B223))</f>
        <v>#VALUE!</v>
      </c>
      <c r="G223" s="0" t="e">
        <f aca="true">IF(ISBLANK(F223),,COUNTIF(INDIRECT("'0.1.1 Pokémon GO Moves'!C"&amp;$E$3&amp;":R$"&amp;$E$3),B223))</f>
        <v>#N/A</v>
      </c>
      <c r="H223" s="0" t="e">
        <f aca="false">IF(ISBLANK(F223),,IF(OR(D223=$B$2,D223=$B$3),1,0))</f>
        <v>#N/A</v>
      </c>
      <c r="J223" s="0" t="str">
        <v>Thousand Arrows</v>
      </c>
      <c r="K223" s="0" t="str">
        <f aca="false">IF(ISBLANK(J223),,J223&amp;", ")</f>
        <v>Thousand Arrows,</v>
      </c>
      <c r="L223" s="0" t="str">
        <f aca="false" t="array" ref="L223:L223">IF(ISBLANK(J223),,INDEX('0.2.1 Move Compare'!$B$2:$B1011,MATCH(J223,'0.2.1 Move Compare'!$A$2:$A1011,0)))</f>
        <v>Ground</v>
      </c>
      <c r="M223" s="0" t="e">
        <f aca="true">IF(OR($E$1=0,ISBLANK(J223)),,COUNTIF(INDIRECT("'0.0.2 Pokémon Learnset (Core)'!D$"&amp;$E$2&amp;":FG$"&amp;$E$2),J223))</f>
        <v>#VALUE!</v>
      </c>
      <c r="N223" s="0" t="e">
        <f aca="false">IF(ISBLANK(J223),,IF(OR(L223=$B$2,L223=$B$3),1,0))</f>
        <v>#N/A</v>
      </c>
    </row>
    <row r="224" customFormat="false" ht="15.75" hidden="false" customHeight="false" outlineLevel="0" collapsed="false">
      <c r="A224" s="374"/>
      <c r="B224" s="374" t="n">
        <v>0</v>
      </c>
      <c r="C224" s="0" t="str">
        <f aca="false">IF(ISBLANK(B224),,B224&amp;", ")</f>
        <v>0,</v>
      </c>
      <c r="D224" s="0" t="e">
        <f aca="false" t="array" ref="D224:D224">IF(ISBLANK(B224),,INDEX('0.2.1 Move Compare'!$B$2:$B1011,MATCH(B224,'0.2.1 Move Compare'!$A$2:$A1011,0)))</f>
        <v>#N/A</v>
      </c>
      <c r="E224" s="0" t="e">
        <f aca="false" t="array" ref="E224:E224">IF(ISBLANK(B224),,IF(INDEX('0.1.2 Attack Dex (GO)'!C217:C1011,MATCH(B224,'0.1.2 Attack Dex (GO)'!A217:A1011,0))="Fast",1,0))</f>
        <v>#N/A</v>
      </c>
      <c r="F224" s="0" t="e">
        <f aca="true">IF(OR($E$1=0,ISBLANK(B224)),,COUNTIF(INDIRECT("'0.0.2 Pokémon Learnset (Core)'!D$"&amp;$E$2&amp;":FG$"&amp;$E$2),B224))</f>
        <v>#VALUE!</v>
      </c>
      <c r="G224" s="0" t="e">
        <f aca="true">IF(ISBLANK(F224),,COUNTIF(INDIRECT("'0.1.1 Pokémon GO Moves'!C"&amp;$E$3&amp;":R$"&amp;$E$3),B224))</f>
        <v>#N/A</v>
      </c>
      <c r="H224" s="0" t="e">
        <f aca="false">IF(ISBLANK(F224),,IF(OR(D224=$B$2,D224=$B$3),1,0))</f>
        <v>#N/A</v>
      </c>
      <c r="J224" s="0" t="str">
        <v>Thousand Waves</v>
      </c>
      <c r="K224" s="0" t="str">
        <f aca="false">IF(ISBLANK(J224),,J224&amp;", ")</f>
        <v>Thousand Waves,</v>
      </c>
      <c r="L224" s="0" t="str">
        <f aca="false" t="array" ref="L224:L224">IF(ISBLANK(J224),,INDEX('0.2.1 Move Compare'!$B$2:$B1011,MATCH(J224,'0.2.1 Move Compare'!$A$2:$A1011,0)))</f>
        <v>Ground</v>
      </c>
      <c r="M224" s="0" t="e">
        <f aca="true">IF(OR($E$1=0,ISBLANK(J224)),,COUNTIF(INDIRECT("'0.0.2 Pokémon Learnset (Core)'!D$"&amp;$E$2&amp;":FG$"&amp;$E$2),J224))</f>
        <v>#VALUE!</v>
      </c>
      <c r="N224" s="0" t="e">
        <f aca="false">IF(ISBLANK(J224),,IF(OR(L224=$B$2,L224=$B$3),1,0))</f>
        <v>#N/A</v>
      </c>
    </row>
    <row r="225" customFormat="false" ht="15.75" hidden="false" customHeight="false" outlineLevel="0" collapsed="false">
      <c r="A225" s="374"/>
      <c r="B225" s="374" t="n">
        <v>0</v>
      </c>
      <c r="C225" s="0" t="str">
        <f aca="false">IF(ISBLANK(B225),,B225&amp;", ")</f>
        <v>0,</v>
      </c>
      <c r="D225" s="0" t="e">
        <f aca="false" t="array" ref="D225:D225">IF(ISBLANK(B225),,INDEX('0.2.1 Move Compare'!$B$2:$B1011,MATCH(B225,'0.2.1 Move Compare'!$A$2:$A1011,0)))</f>
        <v>#N/A</v>
      </c>
      <c r="E225" s="0" t="e">
        <f aca="false" t="array" ref="E225:E225">IF(ISBLANK(B225),,IF(INDEX('0.1.2 Attack Dex (GO)'!C218:C1011,MATCH(B225,'0.1.2 Attack Dex (GO)'!A218:A1011,0))="Fast",1,0))</f>
        <v>#N/A</v>
      </c>
      <c r="F225" s="0" t="e">
        <f aca="true">IF(OR($E$1=0,ISBLANK(B225)),,COUNTIF(INDIRECT("'0.0.2 Pokémon Learnset (Core)'!D$"&amp;$E$2&amp;":FG$"&amp;$E$2),B225))</f>
        <v>#VALUE!</v>
      </c>
      <c r="G225" s="0" t="e">
        <f aca="true">IF(ISBLANK(F225),,COUNTIF(INDIRECT("'0.1.1 Pokémon GO Moves'!C"&amp;$E$3&amp;":R$"&amp;$E$3),B225))</f>
        <v>#N/A</v>
      </c>
      <c r="H225" s="0" t="e">
        <f aca="false">IF(ISBLANK(F225),,IF(OR(D225=$B$2,D225=$B$3),1,0))</f>
        <v>#N/A</v>
      </c>
      <c r="J225" s="0" t="str">
        <v>Thrash</v>
      </c>
      <c r="K225" s="0" t="str">
        <f aca="false">IF(ISBLANK(J225),,J225&amp;", ")</f>
        <v>Thrash,</v>
      </c>
      <c r="L225" s="0" t="str">
        <f aca="false" t="array" ref="L225:L225">IF(ISBLANK(J225),,INDEX('0.2.1 Move Compare'!$B$2:$B1011,MATCH(J225,'0.2.1 Move Compare'!$A$2:$A1011,0)))</f>
        <v>Normal</v>
      </c>
      <c r="M225" s="0" t="e">
        <f aca="true">IF(OR($E$1=0,ISBLANK(J225)),,COUNTIF(INDIRECT("'0.0.2 Pokémon Learnset (Core)'!D$"&amp;$E$2&amp;":FG$"&amp;$E$2),J225))</f>
        <v>#VALUE!</v>
      </c>
      <c r="N225" s="0" t="e">
        <f aca="false">IF(ISBLANK(J225),,IF(OR(L225=$B$2,L225=$B$3),1,0))</f>
        <v>#N/A</v>
      </c>
    </row>
    <row r="226" customFormat="false" ht="15.75" hidden="false" customHeight="false" outlineLevel="0" collapsed="false">
      <c r="A226" s="374"/>
      <c r="B226" s="374" t="n">
        <v>0</v>
      </c>
      <c r="C226" s="0" t="str">
        <f aca="false">IF(ISBLANK(B226),,B226&amp;", ")</f>
        <v>0,</v>
      </c>
      <c r="D226" s="0" t="e">
        <f aca="false" t="array" ref="D226:D226">IF(ISBLANK(B226),,INDEX('0.2.1 Move Compare'!$B$2:$B1011,MATCH(B226,'0.2.1 Move Compare'!$A$2:$A1011,0)))</f>
        <v>#N/A</v>
      </c>
      <c r="E226" s="0" t="e">
        <f aca="false" t="array" ref="E226:E226">IF(ISBLANK(B226),,IF(INDEX('0.1.2 Attack Dex (GO)'!C219:C1011,MATCH(B226,'0.1.2 Attack Dex (GO)'!A219:A1011,0))="Fast",1,0))</f>
        <v>#N/A</v>
      </c>
      <c r="F226" s="0" t="e">
        <f aca="true">IF(OR($E$1=0,ISBLANK(B226)),,COUNTIF(INDIRECT("'0.0.2 Pokémon Learnset (Core)'!D$"&amp;$E$2&amp;":FG$"&amp;$E$2),B226))</f>
        <v>#VALUE!</v>
      </c>
      <c r="G226" s="0" t="e">
        <f aca="true">IF(ISBLANK(F226),,COUNTIF(INDIRECT("'0.1.1 Pokémon GO Moves'!C"&amp;$E$3&amp;":R$"&amp;$E$3),B226))</f>
        <v>#N/A</v>
      </c>
      <c r="H226" s="0" t="e">
        <f aca="false">IF(ISBLANK(F226),,IF(OR(D226=$B$2,D226=$B$3),1,0))</f>
        <v>#N/A</v>
      </c>
      <c r="J226" s="0" t="str">
        <v>Throat Chop</v>
      </c>
      <c r="K226" s="0" t="str">
        <f aca="false">IF(ISBLANK(J226),,J226&amp;", ")</f>
        <v>Throat Chop,</v>
      </c>
      <c r="L226" s="0" t="str">
        <f aca="false" t="array" ref="L226:L226">IF(ISBLANK(J226),,INDEX('0.2.1 Move Compare'!$B$2:$B1011,MATCH(J226,'0.2.1 Move Compare'!$A$2:$A1011,0)))</f>
        <v>Dark</v>
      </c>
      <c r="M226" s="0" t="e">
        <f aca="true">IF(OR($E$1=0,ISBLANK(J226)),,COUNTIF(INDIRECT("'0.0.2 Pokémon Learnset (Core)'!D$"&amp;$E$2&amp;":FG$"&amp;$E$2),J226))</f>
        <v>#VALUE!</v>
      </c>
      <c r="N226" s="0" t="e">
        <f aca="false">IF(ISBLANK(J226),,IF(OR(L226=$B$2,L226=$B$3),1,0))</f>
        <v>#N/A</v>
      </c>
    </row>
    <row r="227" customFormat="false" ht="15.75" hidden="false" customHeight="false" outlineLevel="0" collapsed="false">
      <c r="A227" s="374"/>
      <c r="B227" s="374" t="n">
        <v>0</v>
      </c>
      <c r="C227" s="0" t="str">
        <f aca="false">IF(ISBLANK(B227),,B227&amp;", ")</f>
        <v>0,</v>
      </c>
      <c r="D227" s="0" t="e">
        <f aca="false" t="array" ref="D227:D227">IF(ISBLANK(B227),,INDEX('0.2.1 Move Compare'!$B$2:$B1011,MATCH(B227,'0.2.1 Move Compare'!$A$2:$A1011,0)))</f>
        <v>#N/A</v>
      </c>
      <c r="E227" s="0" t="e">
        <f aca="false" t="array" ref="E227:E227">IF(ISBLANK(B227),,IF(INDEX('0.1.2 Attack Dex (GO)'!C220:C1011,MATCH(B227,'0.1.2 Attack Dex (GO)'!A220:A1011,0))="Fast",1,0))</f>
        <v>#N/A</v>
      </c>
      <c r="F227" s="0" t="e">
        <f aca="true">IF(OR($E$1=0,ISBLANK(B227)),,COUNTIF(INDIRECT("'0.0.2 Pokémon Learnset (Core)'!D$"&amp;$E$2&amp;":FG$"&amp;$E$2),B227))</f>
        <v>#VALUE!</v>
      </c>
      <c r="G227" s="0" t="e">
        <f aca="true">IF(ISBLANK(F227),,COUNTIF(INDIRECT("'0.1.1 Pokémon GO Moves'!C"&amp;$E$3&amp;":R$"&amp;$E$3),B227))</f>
        <v>#N/A</v>
      </c>
      <c r="H227" s="0" t="e">
        <f aca="false">IF(ISBLANK(F227),,IF(OR(D227=$B$2,D227=$B$3),1,0))</f>
        <v>#N/A</v>
      </c>
      <c r="J227" s="0" t="str">
        <v>Thunder Fang</v>
      </c>
      <c r="K227" s="0" t="str">
        <f aca="false">IF(ISBLANK(J227),,J227&amp;", ")</f>
        <v>Thunder Fang,</v>
      </c>
      <c r="L227" s="0" t="str">
        <f aca="false" t="array" ref="L227:L227">IF(ISBLANK(J227),,INDEX('0.2.1 Move Compare'!$B$2:$B1011,MATCH(J227,'0.2.1 Move Compare'!$A$2:$A1011,0)))</f>
        <v>Electric</v>
      </c>
      <c r="M227" s="0" t="e">
        <f aca="true">IF(OR($E$1=0,ISBLANK(J227)),,COUNTIF(INDIRECT("'0.0.2 Pokémon Learnset (Core)'!D$"&amp;$E$2&amp;":FG$"&amp;$E$2),J227))</f>
        <v>#VALUE!</v>
      </c>
      <c r="N227" s="0" t="e">
        <f aca="false">IF(ISBLANK(J227),,IF(OR(L227=$B$2,L227=$B$3),1,0))</f>
        <v>#N/A</v>
      </c>
    </row>
    <row r="228" customFormat="false" ht="15.75" hidden="false" customHeight="false" outlineLevel="0" collapsed="false">
      <c r="A228" s="374"/>
      <c r="B228" s="374" t="n">
        <v>0</v>
      </c>
      <c r="C228" s="0" t="str">
        <f aca="false">IF(ISBLANK(B228),,B228&amp;", ")</f>
        <v>0,</v>
      </c>
      <c r="D228" s="0" t="e">
        <f aca="false" t="array" ref="D228:D228">IF(ISBLANK(B228),,INDEX('0.2.1 Move Compare'!$B$2:$B1011,MATCH(B228,'0.2.1 Move Compare'!$A$2:$A1011,0)))</f>
        <v>#N/A</v>
      </c>
      <c r="E228" s="0" t="e">
        <f aca="false" t="array" ref="E228:E228">IF(ISBLANK(B228),,IF(INDEX('0.1.2 Attack Dex (GO)'!C221:C1011,MATCH(B228,'0.1.2 Attack Dex (GO)'!A221:A1011,0))="Fast",1,0))</f>
        <v>#N/A</v>
      </c>
      <c r="F228" s="0" t="e">
        <f aca="true">IF(OR($E$1=0,ISBLANK(B228)),,COUNTIF(INDIRECT("'0.0.2 Pokémon Learnset (Core)'!D$"&amp;$E$2&amp;":FG$"&amp;$E$2),B228))</f>
        <v>#VALUE!</v>
      </c>
      <c r="G228" s="0" t="e">
        <f aca="true">IF(ISBLANK(F228),,COUNTIF(INDIRECT("'0.1.1 Pokémon GO Moves'!C"&amp;$E$3&amp;":R$"&amp;$E$3),B228))</f>
        <v>#N/A</v>
      </c>
      <c r="H228" s="0" t="e">
        <f aca="false">IF(ISBLANK(F228),,IF(OR(D228=$B$2,D228=$B$3),1,0))</f>
        <v>#N/A</v>
      </c>
      <c r="J228" s="0" t="str">
        <v>Tri Attack</v>
      </c>
      <c r="K228" s="0" t="str">
        <f aca="false">IF(ISBLANK(J228),,J228&amp;", ")</f>
        <v>Tri Attack,</v>
      </c>
      <c r="L228" s="0" t="str">
        <f aca="false" t="array" ref="L228:L228">IF(ISBLANK(J228),,INDEX('0.2.1 Move Compare'!$B$2:$B1011,MATCH(J228,'0.2.1 Move Compare'!$A$2:$A1011,0)))</f>
        <v>Normal</v>
      </c>
      <c r="M228" s="0" t="e">
        <f aca="true">IF(OR($E$1=0,ISBLANK(J228)),,COUNTIF(INDIRECT("'0.0.2 Pokémon Learnset (Core)'!D$"&amp;$E$2&amp;":FG$"&amp;$E$2),J228))</f>
        <v>#VALUE!</v>
      </c>
      <c r="N228" s="0" t="e">
        <f aca="false">IF(ISBLANK(J228),,IF(OR(L228=$B$2,L228=$B$3),1,0))</f>
        <v>#N/A</v>
      </c>
    </row>
    <row r="229" customFormat="false" ht="15.75" hidden="false" customHeight="false" outlineLevel="0" collapsed="false">
      <c r="A229" s="374"/>
      <c r="B229" s="374" t="n">
        <v>0</v>
      </c>
      <c r="C229" s="0" t="str">
        <f aca="false">IF(ISBLANK(B229),,B229&amp;", ")</f>
        <v>0,</v>
      </c>
      <c r="D229" s="0" t="e">
        <f aca="false" t="array" ref="D229:D229">IF(ISBLANK(B229),,INDEX('0.2.1 Move Compare'!$B$2:$B1011,MATCH(B229,'0.2.1 Move Compare'!$A$2:$A1011,0)))</f>
        <v>#N/A</v>
      </c>
      <c r="E229" s="0" t="e">
        <f aca="false" t="array" ref="E229:E229">IF(ISBLANK(B229),,IF(INDEX('0.1.2 Attack Dex (GO)'!C222:C1011,MATCH(B229,'0.1.2 Attack Dex (GO)'!A222:A1011,0))="Fast",1,0))</f>
        <v>#N/A</v>
      </c>
      <c r="F229" s="0" t="e">
        <f aca="true">IF(OR($E$1=0,ISBLANK(B229)),,COUNTIF(INDIRECT("'0.0.2 Pokémon Learnset (Core)'!D$"&amp;$E$2&amp;":FG$"&amp;$E$2),B229))</f>
        <v>#VALUE!</v>
      </c>
      <c r="G229" s="0" t="e">
        <f aca="true">IF(ISBLANK(F229),,COUNTIF(INDIRECT("'0.1.1 Pokémon GO Moves'!C"&amp;$E$3&amp;":R$"&amp;$E$3),B229))</f>
        <v>#N/A</v>
      </c>
      <c r="H229" s="0" t="e">
        <f aca="false">IF(ISBLANK(F229),,IF(OR(D229=$B$2,D229=$B$3),1,0))</f>
        <v>#N/A</v>
      </c>
      <c r="J229" s="0" t="str">
        <v>Triple Kick</v>
      </c>
      <c r="K229" s="0" t="str">
        <f aca="false">IF(ISBLANK(J229),,J229&amp;", ")</f>
        <v>Triple Kick,</v>
      </c>
      <c r="L229" s="0" t="str">
        <f aca="false" t="array" ref="L229:L229">IF(ISBLANK(J229),,INDEX('0.2.1 Move Compare'!$B$2:$B1011,MATCH(J229,'0.2.1 Move Compare'!$A$2:$A1011,0)))</f>
        <v>Fighting</v>
      </c>
      <c r="M229" s="0" t="e">
        <f aca="true">IF(OR($E$1=0,ISBLANK(J229)),,COUNTIF(INDIRECT("'0.0.2 Pokémon Learnset (Core)'!D$"&amp;$E$2&amp;":FG$"&amp;$E$2),J229))</f>
        <v>#VALUE!</v>
      </c>
      <c r="N229" s="0" t="e">
        <f aca="false">IF(ISBLANK(J229),,IF(OR(L229=$B$2,L229=$B$3),1,0))</f>
        <v>#N/A</v>
      </c>
    </row>
    <row r="230" customFormat="false" ht="15.75" hidden="false" customHeight="false" outlineLevel="0" collapsed="false">
      <c r="A230" s="374"/>
      <c r="B230" s="374" t="n">
        <v>0</v>
      </c>
      <c r="C230" s="0" t="str">
        <f aca="false">IF(ISBLANK(B230),,B230&amp;", ")</f>
        <v>0,</v>
      </c>
      <c r="D230" s="0" t="e">
        <f aca="false" t="array" ref="D230:D230">IF(ISBLANK(B230),,INDEX('0.2.1 Move Compare'!$B$2:$B1011,MATCH(B230,'0.2.1 Move Compare'!$A$2:$A1011,0)))</f>
        <v>#N/A</v>
      </c>
      <c r="E230" s="0" t="e">
        <f aca="false" t="array" ref="E230:E230">IF(ISBLANK(B230),,IF(INDEX('0.1.2 Attack Dex (GO)'!C223:C1011,MATCH(B230,'0.1.2 Attack Dex (GO)'!A223:A1011,0))="Fast",1,0))</f>
        <v>#N/A</v>
      </c>
      <c r="F230" s="0" t="e">
        <f aca="true">IF(OR($E$1=0,ISBLANK(B230)),,COUNTIF(INDIRECT("'0.0.2 Pokémon Learnset (Core)'!D$"&amp;$E$2&amp;":FG$"&amp;$E$2),B230))</f>
        <v>#VALUE!</v>
      </c>
      <c r="G230" s="0" t="e">
        <f aca="true">IF(ISBLANK(F230),,COUNTIF(INDIRECT("'0.1.1 Pokémon GO Moves'!C"&amp;$E$3&amp;":R$"&amp;$E$3),B230))</f>
        <v>#N/A</v>
      </c>
      <c r="H230" s="0" t="e">
        <f aca="false">IF(ISBLANK(F230),,IF(OR(D230=$B$2,D230=$B$3),1,0))</f>
        <v>#N/A</v>
      </c>
      <c r="J230" s="0" t="str">
        <v>Trop Kick</v>
      </c>
      <c r="K230" s="0" t="str">
        <f aca="false">IF(ISBLANK(J230),,J230&amp;", ")</f>
        <v>Trop Kick,</v>
      </c>
      <c r="L230" s="0" t="str">
        <f aca="false" t="array" ref="L230:L230">IF(ISBLANK(J230),,INDEX('0.2.1 Move Compare'!$B$2:$B1011,MATCH(J230,'0.2.1 Move Compare'!$A$2:$A1011,0)))</f>
        <v>Grass</v>
      </c>
      <c r="M230" s="0" t="e">
        <f aca="true">IF(OR($E$1=0,ISBLANK(J230)),,COUNTIF(INDIRECT("'0.0.2 Pokémon Learnset (Core)'!D$"&amp;$E$2&amp;":FG$"&amp;$E$2),J230))</f>
        <v>#VALUE!</v>
      </c>
      <c r="N230" s="0" t="e">
        <f aca="false">IF(ISBLANK(J230),,IF(OR(L230=$B$2,L230=$B$3),1,0))</f>
        <v>#N/A</v>
      </c>
    </row>
    <row r="231" customFormat="false" ht="15.75" hidden="false" customHeight="false" outlineLevel="0" collapsed="false">
      <c r="A231" s="374"/>
      <c r="B231" s="374" t="n">
        <v>0</v>
      </c>
      <c r="C231" s="0" t="str">
        <f aca="false">IF(ISBLANK(B231),,B231&amp;", ")</f>
        <v>0,</v>
      </c>
      <c r="D231" s="0" t="e">
        <f aca="false" t="array" ref="D231:D231">IF(ISBLANK(B231),,INDEX('0.2.1 Move Compare'!$B$2:$B1011,MATCH(B231,'0.2.1 Move Compare'!$A$2:$A1011,0)))</f>
        <v>#N/A</v>
      </c>
      <c r="E231" s="0" t="e">
        <f aca="false" t="array" ref="E231:E231">IF(ISBLANK(B231),,IF(INDEX('0.1.2 Attack Dex (GO)'!C224:C1011,MATCH(B231,'0.1.2 Attack Dex (GO)'!A224:A1011,0))="Fast",1,0))</f>
        <v>#N/A</v>
      </c>
      <c r="F231" s="0" t="e">
        <f aca="true">IF(OR($E$1=0,ISBLANK(B231)),,COUNTIF(INDIRECT("'0.0.2 Pokémon Learnset (Core)'!D$"&amp;$E$2&amp;":FG$"&amp;$E$2),B231))</f>
        <v>#VALUE!</v>
      </c>
      <c r="G231" s="0" t="e">
        <f aca="true">IF(ISBLANK(F231),,COUNTIF(INDIRECT("'0.1.1 Pokémon GO Moves'!C"&amp;$E$3&amp;":R$"&amp;$E$3),B231))</f>
        <v>#N/A</v>
      </c>
      <c r="H231" s="0" t="e">
        <f aca="false">IF(ISBLANK(F231),,IF(OR(D231=$B$2,D231=$B$3),1,0))</f>
        <v>#N/A</v>
      </c>
      <c r="J231" s="0" t="str">
        <v>Twineedle</v>
      </c>
      <c r="K231" s="0" t="str">
        <f aca="false">IF(ISBLANK(J231),,J231&amp;", ")</f>
        <v>Twineedle,</v>
      </c>
      <c r="L231" s="0" t="str">
        <f aca="false" t="array" ref="L231:L231">IF(ISBLANK(J231),,INDEX('0.2.1 Move Compare'!$B$2:$B1011,MATCH(J231,'0.2.1 Move Compare'!$A$2:$A1011,0)))</f>
        <v>Bug</v>
      </c>
      <c r="M231" s="0" t="e">
        <f aca="true">IF(OR($E$1=0,ISBLANK(J231)),,COUNTIF(INDIRECT("'0.0.2 Pokémon Learnset (Core)'!D$"&amp;$E$2&amp;":FG$"&amp;$E$2),J231))</f>
        <v>#VALUE!</v>
      </c>
      <c r="N231" s="0" t="e">
        <f aca="false">IF(ISBLANK(J231),,IF(OR(L231=$B$2,L231=$B$3),1,0))</f>
        <v>#N/A</v>
      </c>
    </row>
    <row r="232" customFormat="false" ht="15.75" hidden="false" customHeight="false" outlineLevel="0" collapsed="false">
      <c r="A232" s="374"/>
      <c r="B232" s="374" t="n">
        <v>0</v>
      </c>
      <c r="C232" s="0" t="str">
        <f aca="false">IF(ISBLANK(B232),,B232&amp;", ")</f>
        <v>0,</v>
      </c>
      <c r="D232" s="0" t="e">
        <f aca="false" t="array" ref="D232:D232">IF(ISBLANK(B232),,INDEX('0.2.1 Move Compare'!$B$2:$B1011,MATCH(B232,'0.2.1 Move Compare'!$A$2:$A1011,0)))</f>
        <v>#N/A</v>
      </c>
      <c r="E232" s="0" t="e">
        <f aca="false" t="array" ref="E232:E232">IF(ISBLANK(B232),,IF(INDEX('0.1.2 Attack Dex (GO)'!C225:C1011,MATCH(B232,'0.1.2 Attack Dex (GO)'!A225:A1011,0))="Fast",1,0))</f>
        <v>#N/A</v>
      </c>
      <c r="F232" s="0" t="e">
        <f aca="true">IF(OR($E$1=0,ISBLANK(B232)),,COUNTIF(INDIRECT("'0.0.2 Pokémon Learnset (Core)'!D$"&amp;$E$2&amp;":FG$"&amp;$E$2),B232))</f>
        <v>#VALUE!</v>
      </c>
      <c r="G232" s="0" t="e">
        <f aca="true">IF(ISBLANK(F232),,COUNTIF(INDIRECT("'0.1.1 Pokémon GO Moves'!C"&amp;$E$3&amp;":R$"&amp;$E$3),B232))</f>
        <v>#N/A</v>
      </c>
      <c r="H232" s="0" t="e">
        <f aca="false">IF(ISBLANK(F232),,IF(OR(D232=$B$2,D232=$B$3),1,0))</f>
        <v>#N/A</v>
      </c>
      <c r="J232" s="0" t="str">
        <v>Uproar</v>
      </c>
      <c r="K232" s="0" t="str">
        <f aca="false">IF(ISBLANK(J232),,J232&amp;", ")</f>
        <v>Uproar,</v>
      </c>
      <c r="L232" s="0" t="str">
        <f aca="false" t="array" ref="L232:L232">IF(ISBLANK(J232),,INDEX('0.2.1 Move Compare'!$B$2:$B1011,MATCH(J232,'0.2.1 Move Compare'!$A$2:$A1011,0)))</f>
        <v>Normal</v>
      </c>
      <c r="M232" s="0" t="e">
        <f aca="true">IF(OR($E$1=0,ISBLANK(J232)),,COUNTIF(INDIRECT("'0.0.2 Pokémon Learnset (Core)'!D$"&amp;$E$2&amp;":FG$"&amp;$E$2),J232))</f>
        <v>#VALUE!</v>
      </c>
      <c r="N232" s="0" t="e">
        <f aca="false">IF(ISBLANK(J232),,IF(OR(L232=$B$2,L232=$B$3),1,0))</f>
        <v>#N/A</v>
      </c>
    </row>
    <row r="233" customFormat="false" ht="15.75" hidden="false" customHeight="false" outlineLevel="0" collapsed="false">
      <c r="A233" s="374"/>
      <c r="B233" s="374" t="n">
        <v>0</v>
      </c>
      <c r="C233" s="0" t="str">
        <f aca="false">IF(ISBLANK(B233),,B233&amp;", ")</f>
        <v>0,</v>
      </c>
      <c r="D233" s="0" t="e">
        <f aca="false" t="array" ref="D233:D233">IF(ISBLANK(B233),,INDEX('0.2.1 Move Compare'!$B$2:$B1011,MATCH(B233,'0.2.1 Move Compare'!$A$2:$A1011,0)))</f>
        <v>#N/A</v>
      </c>
      <c r="E233" s="0" t="e">
        <f aca="false" t="array" ref="E233:E233">IF(ISBLANK(B233),,IF(INDEX('0.1.2 Attack Dex (GO)'!C226:C1011,MATCH(B233,'0.1.2 Attack Dex (GO)'!A226:A1011,0))="Fast",1,0))</f>
        <v>#N/A</v>
      </c>
      <c r="F233" s="0" t="e">
        <f aca="true">IF(OR($E$1=0,ISBLANK(B233)),,COUNTIF(INDIRECT("'0.0.2 Pokémon Learnset (Core)'!D$"&amp;$E$2&amp;":FG$"&amp;$E$2),B233))</f>
        <v>#VALUE!</v>
      </c>
      <c r="G233" s="0" t="e">
        <f aca="true">IF(ISBLANK(F233),,COUNTIF(INDIRECT("'0.1.1 Pokémon GO Moves'!C"&amp;$E$3&amp;":R$"&amp;$E$3),B233))</f>
        <v>#N/A</v>
      </c>
      <c r="H233" s="0" t="e">
        <f aca="false">IF(ISBLANK(F233),,IF(OR(D233=$B$2,D233=$B$3),1,0))</f>
        <v>#N/A</v>
      </c>
      <c r="J233" s="0" t="str">
        <v>U-turn</v>
      </c>
      <c r="K233" s="0" t="str">
        <f aca="false">IF(ISBLANK(J233),,J233&amp;", ")</f>
        <v>U-turn,</v>
      </c>
      <c r="L233" s="0" t="str">
        <f aca="false" t="array" ref="L233:L233">IF(ISBLANK(J233),,INDEX('0.2.1 Move Compare'!$B$2:$B1011,MATCH(J233,'0.2.1 Move Compare'!$A$2:$A1011,0)))</f>
        <v>Bug</v>
      </c>
      <c r="M233" s="0" t="e">
        <f aca="true">IF(OR($E$1=0,ISBLANK(J233)),,COUNTIF(INDIRECT("'0.0.2 Pokémon Learnset (Core)'!D$"&amp;$E$2&amp;":FG$"&amp;$E$2),J233))</f>
        <v>#VALUE!</v>
      </c>
      <c r="N233" s="0" t="e">
        <f aca="false">IF(ISBLANK(J233),,IF(OR(L233=$B$2,L233=$B$3),1,0))</f>
        <v>#N/A</v>
      </c>
    </row>
    <row r="234" customFormat="false" ht="15.75" hidden="false" customHeight="false" outlineLevel="0" collapsed="false">
      <c r="A234" s="374"/>
      <c r="B234" s="374" t="n">
        <v>0</v>
      </c>
      <c r="C234" s="0" t="str">
        <f aca="false">IF(ISBLANK(B234),,B234&amp;", ")</f>
        <v>0,</v>
      </c>
      <c r="D234" s="0" t="e">
        <f aca="false" t="array" ref="D234:D234">IF(ISBLANK(B234),,INDEX('0.2.1 Move Compare'!$B$2:$B1011,MATCH(B234,'0.2.1 Move Compare'!$A$2:$A1011,0)))</f>
        <v>#N/A</v>
      </c>
      <c r="E234" s="0" t="e">
        <f aca="false" t="array" ref="E234:E234">IF(ISBLANK(B234),,IF(INDEX('0.1.2 Attack Dex (GO)'!C227:C1011,MATCH(B234,'0.1.2 Attack Dex (GO)'!A227:A1011,0))="Fast",1,0))</f>
        <v>#N/A</v>
      </c>
      <c r="F234" s="0" t="e">
        <f aca="true">IF(OR($E$1=0,ISBLANK(B234)),,COUNTIF(INDIRECT("'0.0.2 Pokémon Learnset (Core)'!D$"&amp;$E$2&amp;":FG$"&amp;$E$2),B234))</f>
        <v>#VALUE!</v>
      </c>
      <c r="G234" s="0" t="e">
        <f aca="true">IF(ISBLANK(F234),,COUNTIF(INDIRECT("'0.1.1 Pokémon GO Moves'!C"&amp;$E$3&amp;":R$"&amp;$E$3),B234))</f>
        <v>#N/A</v>
      </c>
      <c r="H234" s="0" t="e">
        <f aca="false">IF(ISBLANK(F234),,IF(OR(D234=$B$2,D234=$B$3),1,0))</f>
        <v>#N/A</v>
      </c>
      <c r="J234" s="0" t="str">
        <v>Vacuum Wave</v>
      </c>
      <c r="K234" s="0" t="str">
        <f aca="false">IF(ISBLANK(J234),,J234&amp;", ")</f>
        <v>Vacuum Wave,</v>
      </c>
      <c r="L234" s="0" t="str">
        <f aca="false" t="array" ref="L234:L234">IF(ISBLANK(J234),,INDEX('0.2.1 Move Compare'!$B$2:$B1011,MATCH(J234,'0.2.1 Move Compare'!$A$2:$A1011,0)))</f>
        <v>Fighting</v>
      </c>
      <c r="M234" s="0" t="e">
        <f aca="true">IF(OR($E$1=0,ISBLANK(J234)),,COUNTIF(INDIRECT("'0.0.2 Pokémon Learnset (Core)'!D$"&amp;$E$2&amp;":FG$"&amp;$E$2),J234))</f>
        <v>#VALUE!</v>
      </c>
      <c r="N234" s="0" t="e">
        <f aca="false">IF(ISBLANK(J234),,IF(OR(L234=$B$2,L234=$B$3),1,0))</f>
        <v>#N/A</v>
      </c>
    </row>
    <row r="235" customFormat="false" ht="15.75" hidden="false" customHeight="false" outlineLevel="0" collapsed="false">
      <c r="A235" s="374"/>
      <c r="B235" s="374" t="n">
        <v>0</v>
      </c>
      <c r="C235" s="0" t="str">
        <f aca="false">IF(ISBLANK(B235),,B235&amp;", ")</f>
        <v>0,</v>
      </c>
      <c r="D235" s="0" t="e">
        <f aca="false" t="array" ref="D235:D235">IF(ISBLANK(B235),,INDEX('0.2.1 Move Compare'!$B$2:$B1011,MATCH(B235,'0.2.1 Move Compare'!$A$2:$A1011,0)))</f>
        <v>#N/A</v>
      </c>
      <c r="E235" s="0" t="e">
        <f aca="false" t="array" ref="E235:E235">IF(ISBLANK(B235),,IF(INDEX('0.1.2 Attack Dex (GO)'!C228:C1011,MATCH(B235,'0.1.2 Attack Dex (GO)'!A228:A1011,0))="Fast",1,0))</f>
        <v>#N/A</v>
      </c>
      <c r="F235" s="0" t="e">
        <f aca="true">IF(OR($E$1=0,ISBLANK(B235)),,COUNTIF(INDIRECT("'0.0.2 Pokémon Learnset (Core)'!D$"&amp;$E$2&amp;":FG$"&amp;$E$2),B235))</f>
        <v>#VALUE!</v>
      </c>
      <c r="G235" s="0" t="e">
        <f aca="true">IF(ISBLANK(F235),,COUNTIF(INDIRECT("'0.1.1 Pokémon GO Moves'!C"&amp;$E$3&amp;":R$"&amp;$E$3),B235))</f>
        <v>#N/A</v>
      </c>
      <c r="H235" s="0" t="e">
        <f aca="false">IF(ISBLANK(F235),,IF(OR(D235=$B$2,D235=$B$3),1,0))</f>
        <v>#N/A</v>
      </c>
      <c r="J235" s="0" t="str">
        <v>V-create</v>
      </c>
      <c r="K235" s="0" t="str">
        <f aca="false">IF(ISBLANK(J235),,J235&amp;", ")</f>
        <v>V-create,</v>
      </c>
      <c r="L235" s="0" t="str">
        <f aca="false" t="array" ref="L235:L235">IF(ISBLANK(J235),,INDEX('0.2.1 Move Compare'!$B$2:$B1011,MATCH(J235,'0.2.1 Move Compare'!$A$2:$A1011,0)))</f>
        <v>Fire</v>
      </c>
      <c r="M235" s="0" t="e">
        <f aca="true">IF(OR($E$1=0,ISBLANK(J235)),,COUNTIF(INDIRECT("'0.0.2 Pokémon Learnset (Core)'!D$"&amp;$E$2&amp;":FG$"&amp;$E$2),J235))</f>
        <v>#VALUE!</v>
      </c>
      <c r="N235" s="0" t="e">
        <f aca="false">IF(ISBLANK(J235),,IF(OR(L235=$B$2,L235=$B$3),1,0))</f>
        <v>#N/A</v>
      </c>
    </row>
    <row r="236" customFormat="false" ht="15.75" hidden="false" customHeight="false" outlineLevel="0" collapsed="false">
      <c r="A236" s="374"/>
      <c r="B236" s="374" t="n">
        <v>0</v>
      </c>
      <c r="C236" s="0" t="str">
        <f aca="false">IF(ISBLANK(B236),,B236&amp;", ")</f>
        <v>0,</v>
      </c>
      <c r="D236" s="0" t="e">
        <f aca="false" t="array" ref="D236:D236">IF(ISBLANK(B236),,INDEX('0.2.1 Move Compare'!$B$2:$B1011,MATCH(B236,'0.2.1 Move Compare'!$A$2:$A1011,0)))</f>
        <v>#N/A</v>
      </c>
      <c r="E236" s="0" t="e">
        <f aca="false" t="array" ref="E236:E236">IF(ISBLANK(B236),,IF(INDEX('0.1.2 Attack Dex (GO)'!C229:C1011,MATCH(B236,'0.1.2 Attack Dex (GO)'!A229:A1011,0))="Fast",1,0))</f>
        <v>#N/A</v>
      </c>
      <c r="F236" s="0" t="e">
        <f aca="true">IF(OR($E$1=0,ISBLANK(B236)),,COUNTIF(INDIRECT("'0.0.2 Pokémon Learnset (Core)'!D$"&amp;$E$2&amp;":FG$"&amp;$E$2),B236))</f>
        <v>#VALUE!</v>
      </c>
      <c r="G236" s="0" t="e">
        <f aca="true">IF(ISBLANK(F236),,COUNTIF(INDIRECT("'0.1.1 Pokémon GO Moves'!C"&amp;$E$3&amp;":R$"&amp;$E$3),B236))</f>
        <v>#N/A</v>
      </c>
      <c r="H236" s="0" t="e">
        <f aca="false">IF(ISBLANK(F236),,IF(OR(D236=$B$2,D236=$B$3),1,0))</f>
        <v>#N/A</v>
      </c>
      <c r="J236" s="0" t="str">
        <v>Venoshock</v>
      </c>
      <c r="K236" s="0" t="str">
        <f aca="false">IF(ISBLANK(J236),,J236&amp;", ")</f>
        <v>Venoshock,</v>
      </c>
      <c r="L236" s="0" t="str">
        <f aca="false" t="array" ref="L236:L236">IF(ISBLANK(J236),,INDEX('0.2.1 Move Compare'!$B$2:$B1011,MATCH(J236,'0.2.1 Move Compare'!$A$2:$A1011,0)))</f>
        <v>Poison</v>
      </c>
      <c r="M236" s="0" t="e">
        <f aca="true">IF(OR($E$1=0,ISBLANK(J236)),,COUNTIF(INDIRECT("'0.0.2 Pokémon Learnset (Core)'!D$"&amp;$E$2&amp;":FG$"&amp;$E$2),J236))</f>
        <v>#VALUE!</v>
      </c>
      <c r="N236" s="0" t="e">
        <f aca="false">IF(ISBLANK(J236),,IF(OR(L236=$B$2,L236=$B$3),1,0))</f>
        <v>#N/A</v>
      </c>
    </row>
    <row r="237" customFormat="false" ht="15.75" hidden="false" customHeight="false" outlineLevel="0" collapsed="false">
      <c r="A237" s="374"/>
      <c r="B237" s="374" t="n">
        <v>0</v>
      </c>
      <c r="C237" s="0" t="str">
        <f aca="false">IF(ISBLANK(B237),,B237&amp;", ")</f>
        <v>0,</v>
      </c>
      <c r="D237" s="0" t="e">
        <f aca="false" t="array" ref="D237:D237">IF(ISBLANK(B237),,INDEX('0.2.1 Move Compare'!$B$2:$B1011,MATCH(B237,'0.2.1 Move Compare'!$A$2:$A1011,0)))</f>
        <v>#N/A</v>
      </c>
      <c r="E237" s="0" t="e">
        <f aca="false" t="array" ref="E237:E237">IF(ISBLANK(B237),,IF(INDEX('0.1.2 Attack Dex (GO)'!C230:C1011,MATCH(B237,'0.1.2 Attack Dex (GO)'!A230:A1011,0))="Fast",1,0))</f>
        <v>#N/A</v>
      </c>
      <c r="F237" s="0" t="e">
        <f aca="true">IF(OR($E$1=0,ISBLANK(B237)),,COUNTIF(INDIRECT("'0.0.2 Pokémon Learnset (Core)'!D$"&amp;$E$2&amp;":FG$"&amp;$E$2),B237))</f>
        <v>#VALUE!</v>
      </c>
      <c r="G237" s="0" t="e">
        <f aca="true">IF(ISBLANK(F237),,COUNTIF(INDIRECT("'0.1.1 Pokémon GO Moves'!C"&amp;$E$3&amp;":R$"&amp;$E$3),B237))</f>
        <v>#N/A</v>
      </c>
      <c r="H237" s="0" t="e">
        <f aca="false">IF(ISBLANK(F237),,IF(OR(D237=$B$2,D237=$B$3),1,0))</f>
        <v>#N/A</v>
      </c>
      <c r="J237" s="0" t="str">
        <v>Vital Throw</v>
      </c>
      <c r="K237" s="0" t="str">
        <f aca="false">IF(ISBLANK(J237),,J237&amp;", ")</f>
        <v>Vital Throw,</v>
      </c>
      <c r="L237" s="0" t="str">
        <f aca="false" t="array" ref="L237:L237">IF(ISBLANK(J237),,INDEX('0.2.1 Move Compare'!$B$2:$B1011,MATCH(J237,'0.2.1 Move Compare'!$A$2:$A1011,0)))</f>
        <v>Fighting</v>
      </c>
      <c r="M237" s="0" t="e">
        <f aca="true">IF(OR($E$1=0,ISBLANK(J237)),,COUNTIF(INDIRECT("'0.0.2 Pokémon Learnset (Core)'!D$"&amp;$E$2&amp;":FG$"&amp;$E$2),J237))</f>
        <v>#VALUE!</v>
      </c>
      <c r="N237" s="0" t="e">
        <f aca="false">IF(ISBLANK(J237),,IF(OR(L237=$B$2,L237=$B$3),1,0))</f>
        <v>#N/A</v>
      </c>
    </row>
    <row r="238" customFormat="false" ht="15.75" hidden="false" customHeight="false" outlineLevel="0" collapsed="false">
      <c r="A238" s="374"/>
      <c r="B238" s="374" t="n">
        <v>0</v>
      </c>
      <c r="C238" s="0" t="str">
        <f aca="false">IF(ISBLANK(B238),,B238&amp;", ")</f>
        <v>0,</v>
      </c>
      <c r="D238" s="0" t="e">
        <f aca="false" t="array" ref="D238:D238">IF(ISBLANK(B238),,INDEX('0.2.1 Move Compare'!$B$2:$B1011,MATCH(B238,'0.2.1 Move Compare'!$A$2:$A1011,0)))</f>
        <v>#N/A</v>
      </c>
      <c r="E238" s="0" t="e">
        <f aca="false" t="array" ref="E238:E238">IF(ISBLANK(B238),,IF(INDEX('0.1.2 Attack Dex (GO)'!C231:C1011,MATCH(B238,'0.1.2 Attack Dex (GO)'!A231:A1011,0))="Fast",1,0))</f>
        <v>#N/A</v>
      </c>
      <c r="F238" s="0" t="e">
        <f aca="true">IF(OR($E$1=0,ISBLANK(B238)),,COUNTIF(INDIRECT("'0.0.2 Pokémon Learnset (Core)'!D$"&amp;$E$2&amp;":FG$"&amp;$E$2),B238))</f>
        <v>#VALUE!</v>
      </c>
      <c r="G238" s="0" t="e">
        <f aca="true">IF(ISBLANK(F238),,COUNTIF(INDIRECT("'0.1.1 Pokémon GO Moves'!C"&amp;$E$3&amp;":R$"&amp;$E$3),B238))</f>
        <v>#N/A</v>
      </c>
      <c r="H238" s="0" t="e">
        <f aca="false">IF(ISBLANK(F238),,IF(OR(D238=$B$2,D238=$B$3),1,0))</f>
        <v>#N/A</v>
      </c>
      <c r="J238" s="0" t="str">
        <v>Wake-Up Slap</v>
      </c>
      <c r="K238" s="0" t="str">
        <f aca="false">IF(ISBLANK(J238),,J238&amp;", ")</f>
        <v>Wake-Up Slap,</v>
      </c>
      <c r="L238" s="0" t="str">
        <f aca="false" t="array" ref="L238:L238">IF(ISBLANK(J238),,INDEX('0.2.1 Move Compare'!$B$2:$B1011,MATCH(J238,'0.2.1 Move Compare'!$A$2:$A1011,0)))</f>
        <v>Fighting</v>
      </c>
      <c r="M238" s="0" t="e">
        <f aca="true">IF(OR($E$1=0,ISBLANK(J238)),,COUNTIF(INDIRECT("'0.0.2 Pokémon Learnset (Core)'!D$"&amp;$E$2&amp;":FG$"&amp;$E$2),J238))</f>
        <v>#VALUE!</v>
      </c>
      <c r="N238" s="0" t="e">
        <f aca="false">IF(ISBLANK(J238),,IF(OR(L238=$B$2,L238=$B$3),1,0))</f>
        <v>#N/A</v>
      </c>
    </row>
    <row r="239" customFormat="false" ht="15.75" hidden="false" customHeight="false" outlineLevel="0" collapsed="false">
      <c r="A239" s="374"/>
      <c r="B239" s="374" t="n">
        <v>0</v>
      </c>
      <c r="C239" s="0" t="str">
        <f aca="false">IF(ISBLANK(B239),,B239&amp;", ")</f>
        <v>0,</v>
      </c>
      <c r="D239" s="0" t="e">
        <f aca="false" t="array" ref="D239:D239">IF(ISBLANK(B239),,INDEX('0.2.1 Move Compare'!$B$2:$B1011,MATCH(B239,'0.2.1 Move Compare'!$A$2:$A1011,0)))</f>
        <v>#N/A</v>
      </c>
      <c r="E239" s="0" t="e">
        <f aca="false" t="array" ref="E239:E239">IF(ISBLANK(B239),,IF(INDEX('0.1.2 Attack Dex (GO)'!C232:C1011,MATCH(B239,'0.1.2 Attack Dex (GO)'!A232:A1011,0))="Fast",1,0))</f>
        <v>#N/A</v>
      </c>
      <c r="F239" s="0" t="e">
        <f aca="true">IF(OR($E$1=0,ISBLANK(B239)),,COUNTIF(INDIRECT("'0.0.2 Pokémon Learnset (Core)'!D$"&amp;$E$2&amp;":FG$"&amp;$E$2),B239))</f>
        <v>#VALUE!</v>
      </c>
      <c r="G239" s="0" t="e">
        <f aca="true">IF(ISBLANK(F239),,COUNTIF(INDIRECT("'0.1.1 Pokémon GO Moves'!C"&amp;$E$3&amp;":R$"&amp;$E$3),B239))</f>
        <v>#N/A</v>
      </c>
      <c r="H239" s="0" t="e">
        <f aca="false">IF(ISBLANK(F239),,IF(OR(D239=$B$2,D239=$B$3),1,0))</f>
        <v>#N/A</v>
      </c>
      <c r="J239" s="0" t="str">
        <v>Water Pledge</v>
      </c>
      <c r="K239" s="0" t="str">
        <f aca="false">IF(ISBLANK(J239),,J239&amp;", ")</f>
        <v>Water Pledge,</v>
      </c>
      <c r="L239" s="0" t="str">
        <f aca="false" t="array" ref="L239:L239">IF(ISBLANK(J239),,INDEX('0.2.1 Move Compare'!$B$2:$B1011,MATCH(J239,'0.2.1 Move Compare'!$A$2:$A1011,0)))</f>
        <v>Water</v>
      </c>
      <c r="M239" s="0" t="e">
        <f aca="true">IF(OR($E$1=0,ISBLANK(J239)),,COUNTIF(INDIRECT("'0.0.2 Pokémon Learnset (Core)'!D$"&amp;$E$2&amp;":FG$"&amp;$E$2),J239))</f>
        <v>#VALUE!</v>
      </c>
      <c r="N239" s="0" t="e">
        <f aca="false">IF(ISBLANK(J239),,IF(OR(L239=$B$2,L239=$B$3),1,0))</f>
        <v>#N/A</v>
      </c>
    </row>
    <row r="240" customFormat="false" ht="15.75" hidden="false" customHeight="false" outlineLevel="0" collapsed="false">
      <c r="A240" s="374"/>
      <c r="B240" s="374" t="n">
        <v>0</v>
      </c>
      <c r="C240" s="0" t="str">
        <f aca="false">IF(ISBLANK(B240),,B240&amp;", ")</f>
        <v>0,</v>
      </c>
      <c r="D240" s="0" t="e">
        <f aca="false" t="array" ref="D240:D240">IF(ISBLANK(B240),,INDEX('0.2.1 Move Compare'!$B$2:$B1011,MATCH(B240,'0.2.1 Move Compare'!$A$2:$A1011,0)))</f>
        <v>#N/A</v>
      </c>
      <c r="E240" s="0" t="e">
        <f aca="false" t="array" ref="E240:E240">IF(ISBLANK(B240),,IF(INDEX('0.1.2 Attack Dex (GO)'!C233:C1011,MATCH(B240,'0.1.2 Attack Dex (GO)'!A233:A1011,0))="Fast",1,0))</f>
        <v>#N/A</v>
      </c>
      <c r="F240" s="0" t="e">
        <f aca="true">IF(OR($E$1=0,ISBLANK(B240)),,COUNTIF(INDIRECT("'0.0.2 Pokémon Learnset (Core)'!D$"&amp;$E$2&amp;":FG$"&amp;$E$2),B240))</f>
        <v>#VALUE!</v>
      </c>
      <c r="G240" s="0" t="e">
        <f aca="true">IF(ISBLANK(F240),,COUNTIF(INDIRECT("'0.1.1 Pokémon GO Moves'!C"&amp;$E$3&amp;":R$"&amp;$E$3),B240))</f>
        <v>#N/A</v>
      </c>
      <c r="H240" s="0" t="e">
        <f aca="false">IF(ISBLANK(F240),,IF(OR(D240=$B$2,D240=$B$3),1,0))</f>
        <v>#N/A</v>
      </c>
      <c r="J240" s="0" t="str">
        <v>Water Shuriken</v>
      </c>
      <c r="K240" s="0" t="str">
        <f aca="false">IF(ISBLANK(J240),,J240&amp;", ")</f>
        <v>Water Shuriken,</v>
      </c>
      <c r="L240" s="0" t="str">
        <f aca="false" t="array" ref="L240:L240">IF(ISBLANK(J240),,INDEX('0.2.1 Move Compare'!$B$2:$B1011,MATCH(J240,'0.2.1 Move Compare'!$A$2:$A1011,0)))</f>
        <v>Water</v>
      </c>
      <c r="M240" s="0" t="e">
        <f aca="true">IF(OR($E$1=0,ISBLANK(J240)),,COUNTIF(INDIRECT("'0.0.2 Pokémon Learnset (Core)'!D$"&amp;$E$2&amp;":FG$"&amp;$E$2),J240))</f>
        <v>#VALUE!</v>
      </c>
      <c r="N240" s="0" t="e">
        <f aca="false">IF(ISBLANK(J240),,IF(OR(L240=$B$2,L240=$B$3),1,0))</f>
        <v>#N/A</v>
      </c>
    </row>
    <row r="241" customFormat="false" ht="15.75" hidden="false" customHeight="false" outlineLevel="0" collapsed="false">
      <c r="A241" s="374"/>
      <c r="B241" s="374" t="n">
        <v>0</v>
      </c>
      <c r="C241" s="0" t="str">
        <f aca="false">IF(ISBLANK(B241),,B241&amp;", ")</f>
        <v>0,</v>
      </c>
      <c r="D241" s="0" t="e">
        <f aca="false" t="array" ref="D241:D241">IF(ISBLANK(B241),,INDEX('0.2.1 Move Compare'!$B$2:$B1011,MATCH(B241,'0.2.1 Move Compare'!$A$2:$A1011,0)))</f>
        <v>#N/A</v>
      </c>
      <c r="E241" s="0" t="e">
        <f aca="false" t="array" ref="E241:E241">IF(ISBLANK(B241),,IF(INDEX('0.1.2 Attack Dex (GO)'!C234:C1011,MATCH(B241,'0.1.2 Attack Dex (GO)'!A234:A1011,0))="Fast",1,0))</f>
        <v>#N/A</v>
      </c>
      <c r="F241" s="0" t="e">
        <f aca="true">IF(OR($E$1=0,ISBLANK(B241)),,COUNTIF(INDIRECT("'0.0.2 Pokémon Learnset (Core)'!D$"&amp;$E$2&amp;":FG$"&amp;$E$2),B241))</f>
        <v>#VALUE!</v>
      </c>
      <c r="G241" s="0" t="e">
        <f aca="true">IF(ISBLANK(F241),,COUNTIF(INDIRECT("'0.1.1 Pokémon GO Moves'!C"&amp;$E$3&amp;":R$"&amp;$E$3),B241))</f>
        <v>#N/A</v>
      </c>
      <c r="H241" s="0" t="e">
        <f aca="false">IF(ISBLANK(F241),,IF(OR(D241=$B$2,D241=$B$3),1,0))</f>
        <v>#N/A</v>
      </c>
      <c r="J241" s="0" t="str">
        <v>Water Spout</v>
      </c>
      <c r="K241" s="0" t="str">
        <f aca="false">IF(ISBLANK(J241),,J241&amp;", ")</f>
        <v>Water Spout,</v>
      </c>
      <c r="L241" s="0" t="str">
        <f aca="false" t="array" ref="L241:L241">IF(ISBLANK(J241),,INDEX('0.2.1 Move Compare'!$B$2:$B1011,MATCH(J241,'0.2.1 Move Compare'!$A$2:$A1011,0)))</f>
        <v>Water</v>
      </c>
      <c r="M241" s="0" t="e">
        <f aca="true">IF(OR($E$1=0,ISBLANK(J241)),,COUNTIF(INDIRECT("'0.0.2 Pokémon Learnset (Core)'!D$"&amp;$E$2&amp;":FG$"&amp;$E$2),J241))</f>
        <v>#VALUE!</v>
      </c>
      <c r="N241" s="0" t="e">
        <f aca="false">IF(ISBLANK(J241),,IF(OR(L241=$B$2,L241=$B$3),1,0))</f>
        <v>#N/A</v>
      </c>
    </row>
    <row r="242" customFormat="false" ht="15.75" hidden="false" customHeight="false" outlineLevel="0" collapsed="false">
      <c r="A242" s="374"/>
      <c r="B242" s="374" t="n">
        <v>0</v>
      </c>
      <c r="C242" s="0" t="str">
        <f aca="false">IF(ISBLANK(B242),,B242&amp;", ")</f>
        <v>0,</v>
      </c>
      <c r="D242" s="0" t="e">
        <f aca="false" t="array" ref="D242:D242">IF(ISBLANK(B242),,INDEX('0.2.1 Move Compare'!$B$2:$B1011,MATCH(B242,'0.2.1 Move Compare'!$A$2:$A1011,0)))</f>
        <v>#N/A</v>
      </c>
      <c r="E242" s="0" t="e">
        <f aca="false" t="array" ref="E242:E242">IF(ISBLANK(B242),,IF(INDEX('0.1.2 Attack Dex (GO)'!C235:C1011,MATCH(B242,'0.1.2 Attack Dex (GO)'!A235:A1011,0))="Fast",1,0))</f>
        <v>#N/A</v>
      </c>
      <c r="F242" s="0" t="e">
        <f aca="true">IF(OR($E$1=0,ISBLANK(B242)),,COUNTIF(INDIRECT("'0.0.2 Pokémon Learnset (Core)'!D$"&amp;$E$2&amp;":FG$"&amp;$E$2),B242))</f>
        <v>#VALUE!</v>
      </c>
      <c r="G242" s="0" t="e">
        <f aca="true">IF(ISBLANK(F242),,COUNTIF(INDIRECT("'0.1.1 Pokémon GO Moves'!C"&amp;$E$3&amp;":R$"&amp;$E$3),B242))</f>
        <v>#N/A</v>
      </c>
      <c r="H242" s="0" t="e">
        <f aca="false">IF(ISBLANK(F242),,IF(OR(D242=$B$2,D242=$B$3),1,0))</f>
        <v>#N/A</v>
      </c>
      <c r="J242" s="0" t="str">
        <v>Weather Ball</v>
      </c>
      <c r="K242" s="0" t="str">
        <f aca="false">IF(ISBLANK(J242),,J242&amp;", ")</f>
        <v>Weather Ball,</v>
      </c>
      <c r="L242" s="0" t="str">
        <f aca="false" t="array" ref="L242:L242">IF(ISBLANK(J242),,INDEX('0.2.1 Move Compare'!$B$2:$B1011,MATCH(J242,'0.2.1 Move Compare'!$A$2:$A1011,0)))</f>
        <v>Normal</v>
      </c>
      <c r="M242" s="0" t="e">
        <f aca="true">IF(OR($E$1=0,ISBLANK(J242)),,COUNTIF(INDIRECT("'0.0.2 Pokémon Learnset (Core)'!D$"&amp;$E$2&amp;":FG$"&amp;$E$2),J242))</f>
        <v>#VALUE!</v>
      </c>
      <c r="N242" s="0" t="e">
        <f aca="false">IF(ISBLANK(J242),,IF(OR(L242=$B$2,L242=$B$3),1,0))</f>
        <v>#N/A</v>
      </c>
    </row>
    <row r="243" customFormat="false" ht="15.75" hidden="false" customHeight="false" outlineLevel="0" collapsed="false">
      <c r="A243" s="374"/>
      <c r="B243" s="374" t="n">
        <v>0</v>
      </c>
      <c r="C243" s="0" t="str">
        <f aca="false">IF(ISBLANK(B243),,B243&amp;", ")</f>
        <v>0,</v>
      </c>
      <c r="D243" s="0" t="e">
        <f aca="false" t="array" ref="D243:D243">IF(ISBLANK(B243),,INDEX('0.2.1 Move Compare'!$B$2:$B1011,MATCH(B243,'0.2.1 Move Compare'!$A$2:$A1011,0)))</f>
        <v>#N/A</v>
      </c>
      <c r="E243" s="0" t="e">
        <f aca="false" t="array" ref="E243:E243">IF(ISBLANK(B243),,IF(INDEX('0.1.2 Attack Dex (GO)'!C236:C1011,MATCH(B243,'0.1.2 Attack Dex (GO)'!A236:A1011,0))="Fast",1,0))</f>
        <v>#N/A</v>
      </c>
      <c r="F243" s="0" t="e">
        <f aca="true">IF(OR($E$1=0,ISBLANK(B243)),,COUNTIF(INDIRECT("'0.0.2 Pokémon Learnset (Core)'!D$"&amp;$E$2&amp;":FG$"&amp;$E$2),B243))</f>
        <v>#VALUE!</v>
      </c>
      <c r="G243" s="0" t="e">
        <f aca="true">IF(ISBLANK(F243),,COUNTIF(INDIRECT("'0.1.1 Pokémon GO Moves'!C"&amp;$E$3&amp;":R$"&amp;$E$3),B243))</f>
        <v>#N/A</v>
      </c>
      <c r="H243" s="0" t="e">
        <f aca="false">IF(ISBLANK(F243),,IF(OR(D243=$B$2,D243=$B$3),1,0))</f>
        <v>#N/A</v>
      </c>
      <c r="J243" s="0" t="str">
        <v>Whirlpool</v>
      </c>
      <c r="K243" s="0" t="str">
        <f aca="false">IF(ISBLANK(J243),,J243&amp;", ")</f>
        <v>Whirlpool,</v>
      </c>
      <c r="L243" s="0" t="str">
        <f aca="false" t="array" ref="L243:L243">IF(ISBLANK(J243),,INDEX('0.2.1 Move Compare'!$B$2:$B1011,MATCH(J243,'0.2.1 Move Compare'!$A$2:$A1011,0)))</f>
        <v>Water</v>
      </c>
      <c r="M243" s="0" t="e">
        <f aca="true">IF(OR($E$1=0,ISBLANK(J243)),,COUNTIF(INDIRECT("'0.0.2 Pokémon Learnset (Core)'!D$"&amp;$E$2&amp;":FG$"&amp;$E$2),J243))</f>
        <v>#VALUE!</v>
      </c>
      <c r="N243" s="0" t="e">
        <f aca="false">IF(ISBLANK(J243),,IF(OR(L243=$B$2,L243=$B$3),1,0))</f>
        <v>#N/A</v>
      </c>
    </row>
    <row r="244" customFormat="false" ht="15.75" hidden="false" customHeight="false" outlineLevel="0" collapsed="false">
      <c r="A244" s="374"/>
      <c r="B244" s="374" t="n">
        <v>0</v>
      </c>
      <c r="C244" s="0" t="str">
        <f aca="false">IF(ISBLANK(B244),,B244&amp;", ")</f>
        <v>0,</v>
      </c>
      <c r="D244" s="0" t="e">
        <f aca="false" t="array" ref="D244:D244">IF(ISBLANK(B244),,INDEX('0.2.1 Move Compare'!$B$2:$B1011,MATCH(B244,'0.2.1 Move Compare'!$A$2:$A1011,0)))</f>
        <v>#N/A</v>
      </c>
      <c r="E244" s="0" t="e">
        <f aca="false" t="array" ref="E244:E244">IF(ISBLANK(B244),,IF(INDEX('0.1.2 Attack Dex (GO)'!C237:C1011,MATCH(B244,'0.1.2 Attack Dex (GO)'!A237:A1011,0))="Fast",1,0))</f>
        <v>#N/A</v>
      </c>
      <c r="F244" s="0" t="e">
        <f aca="true">IF(OR($E$1=0,ISBLANK(B244)),,COUNTIF(INDIRECT("'0.0.2 Pokémon Learnset (Core)'!D$"&amp;$E$2&amp;":FG$"&amp;$E$2),B244))</f>
        <v>#VALUE!</v>
      </c>
      <c r="G244" s="0" t="e">
        <f aca="true">IF(ISBLANK(F244),,COUNTIF(INDIRECT("'0.1.1 Pokémon GO Moves'!C"&amp;$E$3&amp;":R$"&amp;$E$3),B244))</f>
        <v>#N/A</v>
      </c>
      <c r="H244" s="0" t="e">
        <f aca="false">IF(ISBLANK(F244),,IF(OR(D244=$B$2,D244=$B$3),1,0))</f>
        <v>#N/A</v>
      </c>
      <c r="J244" s="0" t="str">
        <v>Wood Hammer</v>
      </c>
      <c r="K244" s="0" t="str">
        <f aca="false">IF(ISBLANK(J244),,J244&amp;", ")</f>
        <v>Wood Hammer,</v>
      </c>
      <c r="L244" s="0" t="str">
        <f aca="false" t="array" ref="L244:L244">IF(ISBLANK(J244),,INDEX('0.2.1 Move Compare'!$B$2:$B1011,MATCH(J244,'0.2.1 Move Compare'!$A$2:$A1011,0)))</f>
        <v>Grass</v>
      </c>
      <c r="M244" s="0" t="e">
        <f aca="true">IF(OR($E$1=0,ISBLANK(J244)),,COUNTIF(INDIRECT("'0.0.2 Pokémon Learnset (Core)'!D$"&amp;$E$2&amp;":FG$"&amp;$E$2),J244))</f>
        <v>#VALUE!</v>
      </c>
      <c r="N244" s="0" t="e">
        <f aca="false">IF(ISBLANK(J244),,IF(OR(L244=$B$2,L244=$B$3),1,0))</f>
        <v>#N/A</v>
      </c>
    </row>
    <row r="245" customFormat="false" ht="15.75" hidden="false" customHeight="false" outlineLevel="0" collapsed="false">
      <c r="A245" s="374"/>
      <c r="B245" s="374" t="n">
        <v>0</v>
      </c>
      <c r="C245" s="0" t="str">
        <f aca="false">IF(ISBLANK(B245),,B245&amp;", ")</f>
        <v>0,</v>
      </c>
      <c r="D245" s="0" t="e">
        <f aca="false" t="array" ref="D245:D245">IF(ISBLANK(B245),,INDEX('0.2.1 Move Compare'!$B$2:$B1011,MATCH(B245,'0.2.1 Move Compare'!$A$2:$A1011,0)))</f>
        <v>#N/A</v>
      </c>
      <c r="E245" s="0" t="e">
        <f aca="false" t="array" ref="E245:E245">IF(ISBLANK(B245),,IF(INDEX('0.1.2 Attack Dex (GO)'!C238:C1011,MATCH(B245,'0.1.2 Attack Dex (GO)'!A238:A1011,0))="Fast",1,0))</f>
        <v>#N/A</v>
      </c>
      <c r="F245" s="0" t="e">
        <f aca="true">IF(OR($E$1=0,ISBLANK(B245)),,COUNTIF(INDIRECT("'0.0.2 Pokémon Learnset (Core)'!D$"&amp;$E$2&amp;":FG$"&amp;$E$2),B245))</f>
        <v>#VALUE!</v>
      </c>
      <c r="G245" s="0" t="e">
        <f aca="true">IF(ISBLANK(F245),,COUNTIF(INDIRECT("'0.1.1 Pokémon GO Moves'!C"&amp;$E$3&amp;":R$"&amp;$E$3),B245))</f>
        <v>#N/A</v>
      </c>
      <c r="H245" s="0" t="e">
        <f aca="false">IF(ISBLANK(F245),,IF(OR(D245=$B$2,D245=$B$3),1,0))</f>
        <v>#N/A</v>
      </c>
      <c r="J245" s="0" t="str">
        <v>Zing Zap</v>
      </c>
      <c r="K245" s="0" t="str">
        <f aca="false">IF(ISBLANK(J245),,J245&amp;", ")</f>
        <v>Zing Zap,</v>
      </c>
      <c r="L245" s="0" t="str">
        <f aca="false" t="array" ref="L245:L245">IF(ISBLANK(J245),,INDEX('0.2.1 Move Compare'!$B$2:$B1011,MATCH(J245,'0.2.1 Move Compare'!$A$2:$A1011,0)))</f>
        <v>Electric</v>
      </c>
      <c r="M245" s="0" t="e">
        <f aca="true">IF(OR($E$1=0,ISBLANK(J245)),,COUNTIF(INDIRECT("'0.0.2 Pokémon Learnset (Core)'!D$"&amp;$E$2&amp;":FG$"&amp;$E$2),J245))</f>
        <v>#VALUE!</v>
      </c>
      <c r="N245" s="0" t="e">
        <f aca="false">IF(ISBLANK(J245),,IF(OR(L245=$B$2,L245=$B$3),1,0))</f>
        <v>#N/A</v>
      </c>
    </row>
    <row r="246" customFormat="false" ht="15.75" hidden="false" customHeight="false" outlineLevel="0" collapsed="false">
      <c r="A246" s="374"/>
      <c r="B246" s="374" t="n">
        <v>0</v>
      </c>
      <c r="C246" s="0" t="str">
        <f aca="false">IF(ISBLANK(B246),,B246&amp;", ")</f>
        <v>0,</v>
      </c>
      <c r="D246" s="0" t="e">
        <f aca="false" t="array" ref="D246:D246">IF(ISBLANK(B246),,INDEX('0.2.1 Move Compare'!$B$2:$B1011,MATCH(B246,'0.2.1 Move Compare'!$A$2:$A1011,0)))</f>
        <v>#N/A</v>
      </c>
      <c r="E246" s="0" t="e">
        <f aca="false" t="array" ref="E246:E246">IF(ISBLANK(B246),,IF(INDEX('0.1.2 Attack Dex (GO)'!C239:C1011,MATCH(B246,'0.1.2 Attack Dex (GO)'!A239:A1011,0))="Fast",1,0))</f>
        <v>#N/A</v>
      </c>
      <c r="F246" s="0" t="e">
        <f aca="true">IF(OR($E$1=0,ISBLANK(B246)),,COUNTIF(INDIRECT("'0.0.2 Pokémon Learnset (Core)'!D$"&amp;$E$2&amp;":FG$"&amp;$E$2),B246))</f>
        <v>#VALUE!</v>
      </c>
      <c r="G246" s="0" t="e">
        <f aca="true">IF(ISBLANK(F246),,COUNTIF(INDIRECT("'0.1.1 Pokémon GO Moves'!C"&amp;$E$3&amp;":R$"&amp;$E$3),B246))</f>
        <v>#N/A</v>
      </c>
      <c r="H246" s="0" t="e">
        <f aca="false">IF(ISBLANK(F246),,IF(OR(D246=$B$2,D246=$B$3),1,0))</f>
        <v>#N/A</v>
      </c>
      <c r="J246" s="0" t="n">
        <v>0</v>
      </c>
      <c r="K246" s="0" t="str">
        <f aca="false">IF(ISBLANK(J246),,J246&amp;", ")</f>
        <v>0,</v>
      </c>
      <c r="L246" s="0" t="e">
        <f aca="false" t="array" ref="L246:L246">IF(ISBLANK(J246),,INDEX('0.2.1 Move Compare'!$B$2:$B1011,MATCH(J246,'0.2.1 Move Compare'!$A$2:$A1011,0)))</f>
        <v>#N/A</v>
      </c>
      <c r="M246" s="0" t="e">
        <f aca="true">IF(OR($E$1=0,ISBLANK(J246)),,COUNTIF(INDIRECT("'0.0.2 Pokémon Learnset (Core)'!D$"&amp;$E$2&amp;":FG$"&amp;$E$2),J246))</f>
        <v>#VALUE!</v>
      </c>
      <c r="N246" s="0" t="e">
        <f aca="false">IF(ISBLANK(J246),,IF(OR(L246=$B$2,L246=$B$3),1,0))</f>
        <v>#N/A</v>
      </c>
    </row>
    <row r="247" customFormat="false" ht="15.75" hidden="false" customHeight="false" outlineLevel="0" collapsed="false">
      <c r="A247" s="374"/>
      <c r="B247" s="374" t="n">
        <v>0</v>
      </c>
      <c r="C247" s="0" t="str">
        <f aca="false">IF(ISBLANK(B247),,B247&amp;", ")</f>
        <v>0,</v>
      </c>
      <c r="D247" s="0" t="e">
        <f aca="false" t="array" ref="D247:D247">IF(ISBLANK(B247),,INDEX('0.2.1 Move Compare'!$B$2:$B1011,MATCH(B247,'0.2.1 Move Compare'!$A$2:$A1011,0)))</f>
        <v>#N/A</v>
      </c>
      <c r="E247" s="0" t="e">
        <f aca="false" t="array" ref="E247:E247">IF(ISBLANK(B247),,IF(INDEX('0.1.2 Attack Dex (GO)'!C240:C1011,MATCH(B247,'0.1.2 Attack Dex (GO)'!A240:A1011,0))="Fast",1,0))</f>
        <v>#N/A</v>
      </c>
      <c r="F247" s="0" t="e">
        <f aca="true">IF(OR($E$1=0,ISBLANK(B247)),,COUNTIF(INDIRECT("'0.0.2 Pokémon Learnset (Core)'!D$"&amp;$E$2&amp;":FG$"&amp;$E$2),B247))</f>
        <v>#VALUE!</v>
      </c>
      <c r="G247" s="0" t="e">
        <f aca="true">IF(ISBLANK(F247),,COUNTIF(INDIRECT("'0.1.1 Pokémon GO Moves'!C"&amp;$E$3&amp;":R$"&amp;$E$3),B247))</f>
        <v>#N/A</v>
      </c>
      <c r="H247" s="0" t="e">
        <f aca="false">IF(ISBLANK(F247),,IF(OR(D247=$B$2,D247=$B$3),1,0))</f>
        <v>#N/A</v>
      </c>
      <c r="J247" s="0" t="n">
        <v>0</v>
      </c>
      <c r="K247" s="0" t="str">
        <f aca="false">IF(ISBLANK(J247),,J247&amp;", ")</f>
        <v>0,</v>
      </c>
      <c r="L247" s="0" t="e">
        <f aca="false" t="array" ref="L247:L247">IF(ISBLANK(J247),,INDEX('0.2.1 Move Compare'!$B$2:$B1011,MATCH(J247,'0.2.1 Move Compare'!$A$2:$A1011,0)))</f>
        <v>#N/A</v>
      </c>
      <c r="M247" s="0" t="e">
        <f aca="true">IF(OR($E$1=0,ISBLANK(J247)),,COUNTIF(INDIRECT("'0.0.2 Pokémon Learnset (Core)'!D$"&amp;$E$2&amp;":FG$"&amp;$E$2),J247))</f>
        <v>#VALUE!</v>
      </c>
      <c r="N247" s="0" t="e">
        <f aca="false">IF(ISBLANK(J247),,IF(OR(L247=$B$2,L247=$B$3),1,0))</f>
        <v>#N/A</v>
      </c>
    </row>
    <row r="248" customFormat="false" ht="15.75" hidden="false" customHeight="false" outlineLevel="0" collapsed="false">
      <c r="A248" s="374"/>
      <c r="B248" s="374" t="n">
        <v>0</v>
      </c>
      <c r="C248" s="0" t="str">
        <f aca="false">IF(ISBLANK(B248),,B248&amp;", ")</f>
        <v>0,</v>
      </c>
      <c r="D248" s="0" t="e">
        <f aca="false" t="array" ref="D248:D248">IF(ISBLANK(B248),,INDEX('0.2.1 Move Compare'!$B$2:$B1011,MATCH(B248,'0.2.1 Move Compare'!$A$2:$A1011,0)))</f>
        <v>#N/A</v>
      </c>
      <c r="E248" s="0" t="e">
        <f aca="false" t="array" ref="E248:E248">IF(ISBLANK(B248),,IF(INDEX('0.1.2 Attack Dex (GO)'!C241:C1011,MATCH(B248,'0.1.2 Attack Dex (GO)'!A241:A1011,0))="Fast",1,0))</f>
        <v>#N/A</v>
      </c>
      <c r="F248" s="0" t="e">
        <f aca="true">IF(OR($E$1=0,ISBLANK(B248)),,COUNTIF(INDIRECT("'0.0.2 Pokémon Learnset (Core)'!D$"&amp;$E$2&amp;":FG$"&amp;$E$2),B248))</f>
        <v>#VALUE!</v>
      </c>
      <c r="G248" s="0" t="e">
        <f aca="true">IF(ISBLANK(F248),,COUNTIF(INDIRECT("'0.1.1 Pokémon GO Moves'!C"&amp;$E$3&amp;":R$"&amp;$E$3),B248))</f>
        <v>#N/A</v>
      </c>
      <c r="H248" s="0" t="e">
        <f aca="false">IF(ISBLANK(F248),,IF(OR(D248=$B$2,D248=$B$3),1,0))</f>
        <v>#N/A</v>
      </c>
      <c r="J248" s="0" t="n">
        <v>0</v>
      </c>
      <c r="K248" s="0" t="str">
        <f aca="false">IF(ISBLANK(J248),,J248&amp;", ")</f>
        <v>0,</v>
      </c>
      <c r="L248" s="0" t="e">
        <f aca="false" t="array" ref="L248:L248">IF(ISBLANK(J248),,INDEX('0.2.1 Move Compare'!$B$2:$B1011,MATCH(J248,'0.2.1 Move Compare'!$A$2:$A1011,0)))</f>
        <v>#N/A</v>
      </c>
      <c r="M248" s="0" t="e">
        <f aca="true">IF(OR($E$1=0,ISBLANK(J248)),,COUNTIF(INDIRECT("'0.0.2 Pokémon Learnset (Core)'!D$"&amp;$E$2&amp;":FG$"&amp;$E$2),J248))</f>
        <v>#VALUE!</v>
      </c>
      <c r="N248" s="0" t="e">
        <f aca="false">IF(ISBLANK(J248),,IF(OR(L248=$B$2,L248=$B$3),1,0))</f>
        <v>#N/A</v>
      </c>
    </row>
    <row r="249" customFormat="false" ht="15.75" hidden="false" customHeight="false" outlineLevel="0" collapsed="false">
      <c r="A249" s="374"/>
      <c r="B249" s="374" t="n">
        <v>0</v>
      </c>
      <c r="C249" s="0" t="str">
        <f aca="false">IF(ISBLANK(B249),,B249&amp;", ")</f>
        <v>0,</v>
      </c>
      <c r="D249" s="0" t="e">
        <f aca="false" t="array" ref="D249:D249">IF(ISBLANK(B249),,INDEX('0.2.1 Move Compare'!$B$2:$B1011,MATCH(B249,'0.2.1 Move Compare'!$A$2:$A1011,0)))</f>
        <v>#N/A</v>
      </c>
      <c r="E249" s="0" t="e">
        <f aca="false" t="array" ref="E249:E249">IF(ISBLANK(B249),,IF(INDEX('0.1.2 Attack Dex (GO)'!C242:C1011,MATCH(B249,'0.1.2 Attack Dex (GO)'!A242:A1011,0))="Fast",1,0))</f>
        <v>#N/A</v>
      </c>
      <c r="F249" s="0" t="e">
        <f aca="true">IF(OR($E$1=0,ISBLANK(B249)),,COUNTIF(INDIRECT("'0.0.2 Pokémon Learnset (Core)'!D$"&amp;$E$2&amp;":FG$"&amp;$E$2),B249))</f>
        <v>#VALUE!</v>
      </c>
      <c r="G249" s="0" t="e">
        <f aca="true">IF(ISBLANK(F249),,COUNTIF(INDIRECT("'0.1.1 Pokémon GO Moves'!C"&amp;$E$3&amp;":R$"&amp;$E$3),B249))</f>
        <v>#N/A</v>
      </c>
      <c r="H249" s="0" t="e">
        <f aca="false">IF(ISBLANK(F249),,IF(OR(D249=$B$2,D249=$B$3),1,0))</f>
        <v>#N/A</v>
      </c>
      <c r="J249" s="0" t="n">
        <v>0</v>
      </c>
      <c r="K249" s="0" t="str">
        <f aca="false">IF(ISBLANK(J249),,J249&amp;", ")</f>
        <v>0,</v>
      </c>
      <c r="L249" s="0" t="e">
        <f aca="false" t="array" ref="L249:L249">IF(ISBLANK(J249),,INDEX('0.2.1 Move Compare'!$B$2:$B1011,MATCH(J249,'0.2.1 Move Compare'!$A$2:$A1011,0)))</f>
        <v>#N/A</v>
      </c>
      <c r="M249" s="0" t="e">
        <f aca="true">IF(OR($E$1=0,ISBLANK(J249)),,COUNTIF(INDIRECT("'0.0.2 Pokémon Learnset (Core)'!D$"&amp;$E$2&amp;":FG$"&amp;$E$2),J249))</f>
        <v>#VALUE!</v>
      </c>
      <c r="N249" s="0" t="e">
        <f aca="false">IF(ISBLANK(J249),,IF(OR(L249=$B$2,L249=$B$3),1,0))</f>
        <v>#N/A</v>
      </c>
    </row>
    <row r="250" customFormat="false" ht="15.75" hidden="false" customHeight="false" outlineLevel="0" collapsed="false">
      <c r="A250" s="374"/>
      <c r="B250" s="374" t="n">
        <v>0</v>
      </c>
      <c r="C250" s="0" t="str">
        <f aca="false">IF(ISBLANK(B250),,B250&amp;", ")</f>
        <v>0,</v>
      </c>
      <c r="D250" s="0" t="e">
        <f aca="false" t="array" ref="D250:D250">IF(ISBLANK(B250),,INDEX('0.2.1 Move Compare'!$B$2:$B1011,MATCH(B250,'0.2.1 Move Compare'!$A$2:$A1011,0)))</f>
        <v>#N/A</v>
      </c>
      <c r="E250" s="0" t="e">
        <f aca="false" t="array" ref="E250:E250">IF(ISBLANK(B250),,IF(INDEX('0.1.2 Attack Dex (GO)'!C243:C1011,MATCH(B250,'0.1.2 Attack Dex (GO)'!A243:A1011,0))="Fast",1,0))</f>
        <v>#N/A</v>
      </c>
      <c r="F250" s="0" t="e">
        <f aca="true">IF(OR($E$1=0,ISBLANK(B250)),,COUNTIF(INDIRECT("'0.0.2 Pokémon Learnset (Core)'!D$"&amp;$E$2&amp;":FG$"&amp;$E$2),B250))</f>
        <v>#VALUE!</v>
      </c>
      <c r="G250" s="0" t="e">
        <f aca="true">IF(ISBLANK(F250),,COUNTIF(INDIRECT("'0.1.1 Pokémon GO Moves'!C"&amp;$E$3&amp;":R$"&amp;$E$3),B250))</f>
        <v>#N/A</v>
      </c>
      <c r="H250" s="0" t="e">
        <f aca="false">IF(ISBLANK(F250),,IF(OR(D250=$B$2,D250=$B$3),1,0))</f>
        <v>#N/A</v>
      </c>
      <c r="J250" s="0" t="n">
        <v>0</v>
      </c>
      <c r="K250" s="0" t="str">
        <f aca="false">IF(ISBLANK(J250),,J250&amp;", ")</f>
        <v>0,</v>
      </c>
      <c r="L250" s="0" t="e">
        <f aca="false" t="array" ref="L250:L250">IF(ISBLANK(J250),,INDEX('0.2.1 Move Compare'!$B$2:$B1011,MATCH(J250,'0.2.1 Move Compare'!$A$2:$A1011,0)))</f>
        <v>#N/A</v>
      </c>
      <c r="M250" s="0" t="e">
        <f aca="true">IF(OR($E$1=0,ISBLANK(J250)),,COUNTIF(INDIRECT("'0.0.2 Pokémon Learnset (Core)'!D$"&amp;$E$2&amp;":FG$"&amp;$E$2),J250))</f>
        <v>#VALUE!</v>
      </c>
      <c r="N250" s="0" t="e">
        <f aca="false">IF(ISBLANK(J250),,IF(OR(L250=$B$2,L250=$B$3),1,0))</f>
        <v>#N/A</v>
      </c>
    </row>
    <row r="251" customFormat="false" ht="15.75" hidden="false" customHeight="false" outlineLevel="0" collapsed="false">
      <c r="A251" s="374"/>
      <c r="B251" s="374" t="n">
        <v>0</v>
      </c>
      <c r="C251" s="0" t="str">
        <f aca="false">IF(ISBLANK(B251),,B251&amp;", ")</f>
        <v>0,</v>
      </c>
      <c r="D251" s="0" t="e">
        <f aca="false" t="array" ref="D251:D251">IF(ISBLANK(B251),,INDEX('0.2.1 Move Compare'!$B$2:$B1011,MATCH(B251,'0.2.1 Move Compare'!$A$2:$A1011,0)))</f>
        <v>#N/A</v>
      </c>
      <c r="E251" s="0" t="e">
        <f aca="false" t="array" ref="E251:E251">IF(ISBLANK(B251),,IF(INDEX('0.1.2 Attack Dex (GO)'!C244:C1011,MATCH(B251,'0.1.2 Attack Dex (GO)'!A244:A1011,0))="Fast",1,0))</f>
        <v>#N/A</v>
      </c>
      <c r="F251" s="0" t="e">
        <f aca="true">IF(OR($E$1=0,ISBLANK(B251)),,COUNTIF(INDIRECT("'0.0.2 Pokémon Learnset (Core)'!D$"&amp;$E$2&amp;":FG$"&amp;$E$2),B251))</f>
        <v>#VALUE!</v>
      </c>
      <c r="G251" s="0" t="e">
        <f aca="true">IF(ISBLANK(F251),,COUNTIF(INDIRECT("'0.1.1 Pokémon GO Moves'!C"&amp;$E$3&amp;":R$"&amp;$E$3),B251))</f>
        <v>#N/A</v>
      </c>
      <c r="H251" s="0" t="e">
        <f aca="false">IF(ISBLANK(F251),,IF(OR(D251=$B$2,D251=$B$3),1,0))</f>
        <v>#N/A</v>
      </c>
      <c r="J251" s="0" t="n">
        <v>0</v>
      </c>
      <c r="K251" s="0" t="str">
        <f aca="false">IF(ISBLANK(J251),,J251&amp;", ")</f>
        <v>0,</v>
      </c>
      <c r="L251" s="0" t="e">
        <f aca="false" t="array" ref="L251:L251">IF(ISBLANK(J251),,INDEX('0.2.1 Move Compare'!$B$2:$B1011,MATCH(J251,'0.2.1 Move Compare'!$A$2:$A1011,0)))</f>
        <v>#N/A</v>
      </c>
      <c r="M251" s="0" t="e">
        <f aca="true">IF(OR($E$1=0,ISBLANK(J251)),,COUNTIF(INDIRECT("'0.0.2 Pokémon Learnset (Core)'!D$"&amp;$E$2&amp;":FG$"&amp;$E$2),J251))</f>
        <v>#VALUE!</v>
      </c>
      <c r="N251" s="0" t="e">
        <f aca="false">IF(ISBLANK(J251),,IF(OR(L251=$B$2,L251=$B$3),1,0))</f>
        <v>#N/A</v>
      </c>
    </row>
    <row r="252" customFormat="false" ht="15.75" hidden="false" customHeight="false" outlineLevel="0" collapsed="false">
      <c r="A252" s="374"/>
      <c r="B252" s="374" t="n">
        <v>0</v>
      </c>
      <c r="C252" s="0" t="str">
        <f aca="false">IF(ISBLANK(B252),,B252&amp;", ")</f>
        <v>0,</v>
      </c>
      <c r="D252" s="0" t="e">
        <f aca="false" t="array" ref="D252:D252">IF(ISBLANK(B252),,INDEX('0.2.1 Move Compare'!$B$2:$B1011,MATCH(B252,'0.2.1 Move Compare'!$A$2:$A1011,0)))</f>
        <v>#N/A</v>
      </c>
      <c r="E252" s="0" t="e">
        <f aca="false" t="array" ref="E252:E252">IF(ISBLANK(B252),,IF(INDEX('0.1.2 Attack Dex (GO)'!C245:C1011,MATCH(B252,'0.1.2 Attack Dex (GO)'!A245:A1011,0))="Fast",1,0))</f>
        <v>#N/A</v>
      </c>
      <c r="F252" s="0" t="e">
        <f aca="true">IF(OR($E$1=0,ISBLANK(B252)),,COUNTIF(INDIRECT("'0.0.2 Pokémon Learnset (Core)'!D$"&amp;$E$2&amp;":FG$"&amp;$E$2),B252))</f>
        <v>#VALUE!</v>
      </c>
      <c r="G252" s="0" t="e">
        <f aca="true">IF(ISBLANK(F252),,COUNTIF(INDIRECT("'0.1.1 Pokémon GO Moves'!C"&amp;$E$3&amp;":R$"&amp;$E$3),B252))</f>
        <v>#N/A</v>
      </c>
      <c r="H252" s="0" t="e">
        <f aca="false">IF(ISBLANK(F252),,IF(OR(D252=$B$2,D252=$B$3),1,0))</f>
        <v>#N/A</v>
      </c>
      <c r="J252" s="0" t="n">
        <v>0</v>
      </c>
      <c r="K252" s="0" t="str">
        <f aca="false">IF(ISBLANK(J252),,J252&amp;", ")</f>
        <v>0,</v>
      </c>
      <c r="L252" s="0" t="e">
        <f aca="false" t="array" ref="L252:L252">IF(ISBLANK(J252),,INDEX('0.2.1 Move Compare'!$B$2:$B1011,MATCH(J252,'0.2.1 Move Compare'!$A$2:$A1011,0)))</f>
        <v>#N/A</v>
      </c>
      <c r="M252" s="0" t="e">
        <f aca="true">IF(OR($E$1=0,ISBLANK(J252)),,COUNTIF(INDIRECT("'0.0.2 Pokémon Learnset (Core)'!D$"&amp;$E$2&amp;":FG$"&amp;$E$2),J252))</f>
        <v>#VALUE!</v>
      </c>
      <c r="N252" s="0" t="e">
        <f aca="false">IF(ISBLANK(J252),,IF(OR(L252=$B$2,L252=$B$3),1,0))</f>
        <v>#N/A</v>
      </c>
    </row>
    <row r="253" customFormat="false" ht="15.75" hidden="false" customHeight="false" outlineLevel="0" collapsed="false">
      <c r="A253" s="374"/>
      <c r="B253" s="374" t="n">
        <v>0</v>
      </c>
      <c r="C253" s="0" t="str">
        <f aca="false">IF(ISBLANK(B253),,B253&amp;", ")</f>
        <v>0,</v>
      </c>
      <c r="D253" s="0" t="e">
        <f aca="false" t="array" ref="D253:D253">IF(ISBLANK(B253),,INDEX('0.2.1 Move Compare'!$B$2:$B1011,MATCH(B253,'0.2.1 Move Compare'!$A$2:$A1011,0)))</f>
        <v>#N/A</v>
      </c>
      <c r="E253" s="0" t="e">
        <f aca="false" t="array" ref="E253:E253">IF(ISBLANK(B253),,IF(INDEX('0.1.2 Attack Dex (GO)'!C246:C1011,MATCH(B253,'0.1.2 Attack Dex (GO)'!A246:A1011,0))="Fast",1,0))</f>
        <v>#N/A</v>
      </c>
      <c r="F253" s="0" t="e">
        <f aca="true">IF(OR($E$1=0,ISBLANK(B253)),,COUNTIF(INDIRECT("'0.0.2 Pokémon Learnset (Core)'!D$"&amp;$E$2&amp;":FG$"&amp;$E$2),B253))</f>
        <v>#VALUE!</v>
      </c>
      <c r="G253" s="0" t="e">
        <f aca="true">IF(ISBLANK(F253),,COUNTIF(INDIRECT("'0.1.1 Pokémon GO Moves'!C"&amp;$E$3&amp;":R$"&amp;$E$3),B253))</f>
        <v>#N/A</v>
      </c>
      <c r="H253" s="0" t="e">
        <f aca="false">IF(ISBLANK(F253),,IF(OR(D253=$B$2,D253=$B$3),1,0))</f>
        <v>#N/A</v>
      </c>
      <c r="J253" s="0" t="n">
        <v>0</v>
      </c>
      <c r="K253" s="0" t="str">
        <f aca="false">IF(ISBLANK(J253),,J253&amp;", ")</f>
        <v>0,</v>
      </c>
      <c r="L253" s="0" t="e">
        <f aca="false" t="array" ref="L253:L253">IF(ISBLANK(J253),,INDEX('0.2.1 Move Compare'!$B$2:$B1011,MATCH(J253,'0.2.1 Move Compare'!$A$2:$A1011,0)))</f>
        <v>#N/A</v>
      </c>
      <c r="M253" s="0" t="e">
        <f aca="true">IF(OR($E$1=0,ISBLANK(J253)),,COUNTIF(INDIRECT("'0.0.2 Pokémon Learnset (Core)'!D$"&amp;$E$2&amp;":FG$"&amp;$E$2),J253))</f>
        <v>#VALUE!</v>
      </c>
      <c r="N253" s="0" t="e">
        <f aca="false">IF(ISBLANK(J253),,IF(OR(L253=$B$2,L253=$B$3),1,0))</f>
        <v>#N/A</v>
      </c>
    </row>
    <row r="254" customFormat="false" ht="15.75" hidden="false" customHeight="false" outlineLevel="0" collapsed="false">
      <c r="A254" s="374"/>
      <c r="B254" s="374" t="n">
        <v>0</v>
      </c>
      <c r="C254" s="0" t="str">
        <f aca="false">IF(ISBLANK(B254),,B254&amp;", ")</f>
        <v>0,</v>
      </c>
      <c r="D254" s="0" t="e">
        <f aca="false" t="array" ref="D254:D254">IF(ISBLANK(B254),,INDEX('0.2.1 Move Compare'!$B$2:$B1011,MATCH(B254,'0.2.1 Move Compare'!$A$2:$A1011,0)))</f>
        <v>#N/A</v>
      </c>
      <c r="E254" s="0" t="e">
        <f aca="false" t="array" ref="E254:E254">IF(ISBLANK(B254),,IF(INDEX('0.1.2 Attack Dex (GO)'!C247:C1011,MATCH(B254,'0.1.2 Attack Dex (GO)'!A247:A1011,0))="Fast",1,0))</f>
        <v>#N/A</v>
      </c>
      <c r="F254" s="0" t="e">
        <f aca="true">IF(OR($E$1=0,ISBLANK(B254)),,COUNTIF(INDIRECT("'0.0.2 Pokémon Learnset (Core)'!D$"&amp;$E$2&amp;":FG$"&amp;$E$2),B254))</f>
        <v>#VALUE!</v>
      </c>
      <c r="G254" s="0" t="e">
        <f aca="true">IF(ISBLANK(F254),,COUNTIF(INDIRECT("'0.1.1 Pokémon GO Moves'!C"&amp;$E$3&amp;":R$"&amp;$E$3),B254))</f>
        <v>#N/A</v>
      </c>
      <c r="H254" s="0" t="e">
        <f aca="false">IF(ISBLANK(F254),,IF(OR(D254=$B$2,D254=$B$3),1,0))</f>
        <v>#N/A</v>
      </c>
      <c r="J254" s="0" t="n">
        <v>0</v>
      </c>
      <c r="K254" s="0" t="str">
        <f aca="false">IF(ISBLANK(J254),,J254&amp;", ")</f>
        <v>0,</v>
      </c>
      <c r="L254" s="0" t="e">
        <f aca="false" t="array" ref="L254:L254">IF(ISBLANK(J254),,INDEX('0.2.1 Move Compare'!$B$2:$B1011,MATCH(J254,'0.2.1 Move Compare'!$A$2:$A1011,0)))</f>
        <v>#N/A</v>
      </c>
      <c r="M254" s="0" t="e">
        <f aca="true">IF(OR($E$1=0,ISBLANK(J254)),,COUNTIF(INDIRECT("'0.0.2 Pokémon Learnset (Core)'!D$"&amp;$E$2&amp;":FG$"&amp;$E$2),J254))</f>
        <v>#VALUE!</v>
      </c>
      <c r="N254" s="0" t="e">
        <f aca="false">IF(ISBLANK(J254),,IF(OR(L254=$B$2,L254=$B$3),1,0))</f>
        <v>#N/A</v>
      </c>
    </row>
    <row r="255" customFormat="false" ht="15.75" hidden="false" customHeight="false" outlineLevel="0" collapsed="false">
      <c r="A255" s="374"/>
      <c r="B255" s="374" t="n">
        <v>0</v>
      </c>
      <c r="C255" s="0" t="str">
        <f aca="false">IF(ISBLANK(B255),,B255&amp;", ")</f>
        <v>0,</v>
      </c>
      <c r="D255" s="0" t="e">
        <f aca="false" t="array" ref="D255:D255">IF(ISBLANK(B255),,INDEX('0.2.1 Move Compare'!$B$2:$B1011,MATCH(B255,'0.2.1 Move Compare'!$A$2:$A1011,0)))</f>
        <v>#N/A</v>
      </c>
      <c r="E255" s="0" t="e">
        <f aca="false" t="array" ref="E255:E255">IF(ISBLANK(B255),,IF(INDEX('0.1.2 Attack Dex (GO)'!C248:C1011,MATCH(B255,'0.1.2 Attack Dex (GO)'!A248:A1011,0))="Fast",1,0))</f>
        <v>#N/A</v>
      </c>
      <c r="F255" s="0" t="e">
        <f aca="true">IF(OR($E$1=0,ISBLANK(B255)),,COUNTIF(INDIRECT("'0.0.2 Pokémon Learnset (Core)'!D$"&amp;$E$2&amp;":FG$"&amp;$E$2),B255))</f>
        <v>#VALUE!</v>
      </c>
      <c r="G255" s="0" t="e">
        <f aca="true">IF(ISBLANK(F255),,COUNTIF(INDIRECT("'0.1.1 Pokémon GO Moves'!C"&amp;$E$3&amp;":R$"&amp;$E$3),B255))</f>
        <v>#N/A</v>
      </c>
      <c r="H255" s="0" t="e">
        <f aca="false">IF(ISBLANK(F255),,IF(OR(D255=$B$2,D255=$B$3),1,0))</f>
        <v>#N/A</v>
      </c>
      <c r="J255" s="0" t="n">
        <v>0</v>
      </c>
      <c r="K255" s="0" t="str">
        <f aca="false">IF(ISBLANK(J255),,J255&amp;", ")</f>
        <v>0,</v>
      </c>
      <c r="L255" s="0" t="e">
        <f aca="false" t="array" ref="L255:L255">IF(ISBLANK(J255),,INDEX('0.2.1 Move Compare'!$B$2:$B1011,MATCH(J255,'0.2.1 Move Compare'!$A$2:$A1011,0)))</f>
        <v>#N/A</v>
      </c>
      <c r="M255" s="0" t="e">
        <f aca="true">IF(OR($E$1=0,ISBLANK(J255)),,COUNTIF(INDIRECT("'0.0.2 Pokémon Learnset (Core)'!D$"&amp;$E$2&amp;":FG$"&amp;$E$2),J255))</f>
        <v>#VALUE!</v>
      </c>
      <c r="N255" s="0" t="e">
        <f aca="false">IF(ISBLANK(J255),,IF(OR(L255=$B$2,L255=$B$3),1,0))</f>
        <v>#N/A</v>
      </c>
    </row>
    <row r="256" customFormat="false" ht="15.75" hidden="false" customHeight="false" outlineLevel="0" collapsed="false">
      <c r="A256" s="374"/>
      <c r="B256" s="374" t="n">
        <v>0</v>
      </c>
      <c r="C256" s="0" t="str">
        <f aca="false">IF(ISBLANK(B256),,B256&amp;", ")</f>
        <v>0,</v>
      </c>
      <c r="D256" s="0" t="e">
        <f aca="false" t="array" ref="D256:D256">IF(ISBLANK(B256),,INDEX('0.2.1 Move Compare'!$B$2:$B1011,MATCH(B256,'0.2.1 Move Compare'!$A$2:$A1011,0)))</f>
        <v>#N/A</v>
      </c>
      <c r="E256" s="0" t="e">
        <f aca="false" t="array" ref="E256:E256">IF(ISBLANK(B256),,IF(INDEX('0.1.2 Attack Dex (GO)'!C249:C1011,MATCH(B256,'0.1.2 Attack Dex (GO)'!A249:A1011,0))="Fast",1,0))</f>
        <v>#N/A</v>
      </c>
      <c r="F256" s="0" t="e">
        <f aca="true">IF(OR($E$1=0,ISBLANK(B256)),,COUNTIF(INDIRECT("'0.0.2 Pokémon Learnset (Core)'!D$"&amp;$E$2&amp;":FG$"&amp;$E$2),B256))</f>
        <v>#VALUE!</v>
      </c>
      <c r="G256" s="0" t="e">
        <f aca="true">IF(ISBLANK(F256),,COUNTIF(INDIRECT("'0.1.1 Pokémon GO Moves'!C"&amp;$E$3&amp;":R$"&amp;$E$3),B256))</f>
        <v>#N/A</v>
      </c>
      <c r="H256" s="0" t="e">
        <f aca="false">IF(ISBLANK(F256),,IF(OR(D256=$B$2,D256=$B$3),1,0))</f>
        <v>#N/A</v>
      </c>
      <c r="J256" s="0" t="n">
        <v>0</v>
      </c>
      <c r="K256" s="0" t="str">
        <f aca="false">IF(ISBLANK(J256),,J256&amp;", ")</f>
        <v>0,</v>
      </c>
      <c r="L256" s="0" t="e">
        <f aca="false" t="array" ref="L256:L256">IF(ISBLANK(J256),,INDEX('0.2.1 Move Compare'!$B$2:$B1011,MATCH(J256,'0.2.1 Move Compare'!$A$2:$A1011,0)))</f>
        <v>#N/A</v>
      </c>
      <c r="M256" s="0" t="e">
        <f aca="true">IF(OR($E$1=0,ISBLANK(J256)),,COUNTIF(INDIRECT("'0.0.2 Pokémon Learnset (Core)'!D$"&amp;$E$2&amp;":FG$"&amp;$E$2),J256))</f>
        <v>#VALUE!</v>
      </c>
      <c r="N256" s="0" t="e">
        <f aca="false">IF(ISBLANK(J256),,IF(OR(L256=$B$2,L256=$B$3),1,0))</f>
        <v>#N/A</v>
      </c>
    </row>
    <row r="257" customFormat="false" ht="15.75" hidden="false" customHeight="false" outlineLevel="0" collapsed="false">
      <c r="A257" s="374"/>
      <c r="B257" s="374" t="n">
        <v>0</v>
      </c>
      <c r="C257" s="0" t="str">
        <f aca="false">IF(ISBLANK(B257),,B257&amp;", ")</f>
        <v>0,</v>
      </c>
      <c r="D257" s="0" t="e">
        <f aca="false" t="array" ref="D257:D257">IF(ISBLANK(B257),,INDEX('0.2.1 Move Compare'!$B$2:$B1011,MATCH(B257,'0.2.1 Move Compare'!$A$2:$A1011,0)))</f>
        <v>#N/A</v>
      </c>
      <c r="E257" s="0" t="e">
        <f aca="false" t="array" ref="E257:E257">IF(ISBLANK(B257),,IF(INDEX('0.1.2 Attack Dex (GO)'!C250:C1011,MATCH(B257,'0.1.2 Attack Dex (GO)'!A250:A1011,0))="Fast",1,0))</f>
        <v>#N/A</v>
      </c>
      <c r="F257" s="0" t="e">
        <f aca="true">IF(OR($E$1=0,ISBLANK(B257)),,COUNTIF(INDIRECT("'0.0.2 Pokémon Learnset (Core)'!D$"&amp;$E$2&amp;":FG$"&amp;$E$2),B257))</f>
        <v>#VALUE!</v>
      </c>
      <c r="G257" s="0" t="e">
        <f aca="true">IF(ISBLANK(F257),,COUNTIF(INDIRECT("'0.1.1 Pokémon GO Moves'!C"&amp;$E$3&amp;":R$"&amp;$E$3),B257))</f>
        <v>#N/A</v>
      </c>
      <c r="H257" s="0" t="e">
        <f aca="false">IF(ISBLANK(F257),,IF(OR(D257=$B$2,D257=$B$3),1,0))</f>
        <v>#N/A</v>
      </c>
      <c r="J257" s="0" t="n">
        <v>0</v>
      </c>
      <c r="K257" s="0" t="str">
        <f aca="false">IF(ISBLANK(J257),,J257&amp;", ")</f>
        <v>0,</v>
      </c>
      <c r="L257" s="0" t="e">
        <f aca="false" t="array" ref="L257:L257">IF(ISBLANK(J257),,INDEX('0.2.1 Move Compare'!$B$2:$B1011,MATCH(J257,'0.2.1 Move Compare'!$A$2:$A1011,0)))</f>
        <v>#N/A</v>
      </c>
      <c r="M257" s="0" t="e">
        <f aca="true">IF(OR($E$1=0,ISBLANK(J257)),,COUNTIF(INDIRECT("'0.0.2 Pokémon Learnset (Core)'!D$"&amp;$E$2&amp;":FG$"&amp;$E$2),J257))</f>
        <v>#VALUE!</v>
      </c>
      <c r="N257" s="0" t="e">
        <f aca="false">IF(ISBLANK(J257),,IF(OR(L257=$B$2,L257=$B$3),1,0))</f>
        <v>#N/A</v>
      </c>
    </row>
    <row r="258" customFormat="false" ht="15.75" hidden="false" customHeight="false" outlineLevel="0" collapsed="false">
      <c r="A258" s="374"/>
      <c r="B258" s="374" t="n">
        <v>0</v>
      </c>
      <c r="C258" s="0" t="str">
        <f aca="false">IF(ISBLANK(B258),,B258&amp;", ")</f>
        <v>0,</v>
      </c>
      <c r="D258" s="0" t="e">
        <f aca="false" t="array" ref="D258:D258">IF(ISBLANK(B258),,INDEX('0.2.1 Move Compare'!$B$2:$B1011,MATCH(B258,'0.2.1 Move Compare'!$A$2:$A1011,0)))</f>
        <v>#N/A</v>
      </c>
      <c r="E258" s="0" t="e">
        <f aca="false" t="array" ref="E258:E258">IF(ISBLANK(B258),,IF(INDEX('0.1.2 Attack Dex (GO)'!C251:C1011,MATCH(B258,'0.1.2 Attack Dex (GO)'!A251:A1011,0))="Fast",1,0))</f>
        <v>#N/A</v>
      </c>
      <c r="F258" s="0" t="e">
        <f aca="true">IF(OR($E$1=0,ISBLANK(B258)),,COUNTIF(INDIRECT("'0.0.2 Pokémon Learnset (Core)'!D$"&amp;$E$2&amp;":FG$"&amp;$E$2),B258))</f>
        <v>#VALUE!</v>
      </c>
      <c r="G258" s="0" t="e">
        <f aca="true">IF(ISBLANK(F258),,COUNTIF(INDIRECT("'0.1.1 Pokémon GO Moves'!C"&amp;$E$3&amp;":R$"&amp;$E$3),B258))</f>
        <v>#N/A</v>
      </c>
      <c r="H258" s="0" t="e">
        <f aca="false">IF(ISBLANK(F258),,IF(OR(D258=$B$2,D258=$B$3),1,0))</f>
        <v>#N/A</v>
      </c>
      <c r="J258" s="0" t="n">
        <v>0</v>
      </c>
      <c r="K258" s="0" t="str">
        <f aca="false">IF(ISBLANK(J258),,J258&amp;", ")</f>
        <v>0,</v>
      </c>
      <c r="L258" s="0" t="e">
        <f aca="false" t="array" ref="L258:L258">IF(ISBLANK(J258),,INDEX('0.2.1 Move Compare'!$B$2:$B1011,MATCH(J258,'0.2.1 Move Compare'!$A$2:$A1011,0)))</f>
        <v>#N/A</v>
      </c>
      <c r="M258" s="0" t="e">
        <f aca="true">IF(OR($E$1=0,ISBLANK(J258)),,COUNTIF(INDIRECT("'0.0.2 Pokémon Learnset (Core)'!D$"&amp;$E$2&amp;":FG$"&amp;$E$2),J258))</f>
        <v>#VALUE!</v>
      </c>
      <c r="N258" s="0" t="e">
        <f aca="false">IF(ISBLANK(J258),,IF(OR(L258=$B$2,L258=$B$3),1,0))</f>
        <v>#N/A</v>
      </c>
    </row>
    <row r="259" customFormat="false" ht="15.75" hidden="false" customHeight="false" outlineLevel="0" collapsed="false">
      <c r="A259" s="374"/>
      <c r="B259" s="374" t="n">
        <v>0</v>
      </c>
      <c r="C259" s="0" t="str">
        <f aca="false">IF(ISBLANK(B259),,B259&amp;", ")</f>
        <v>0,</v>
      </c>
      <c r="D259" s="0" t="e">
        <f aca="false" t="array" ref="D259:D259">IF(ISBLANK(B259),,INDEX('0.2.1 Move Compare'!$B$2:$B1011,MATCH(B259,'0.2.1 Move Compare'!$A$2:$A1011,0)))</f>
        <v>#N/A</v>
      </c>
      <c r="E259" s="0" t="e">
        <f aca="false" t="array" ref="E259:E259">IF(ISBLANK(B259),,IF(INDEX('0.1.2 Attack Dex (GO)'!C252:C1011,MATCH(B259,'0.1.2 Attack Dex (GO)'!A252:A1011,0))="Fast",1,0))</f>
        <v>#N/A</v>
      </c>
      <c r="F259" s="0" t="e">
        <f aca="true">IF(OR($E$1=0,ISBLANK(B259)),,COUNTIF(INDIRECT("'0.0.2 Pokémon Learnset (Core)'!D$"&amp;$E$2&amp;":FG$"&amp;$E$2),B259))</f>
        <v>#VALUE!</v>
      </c>
      <c r="G259" s="0" t="e">
        <f aca="true">IF(ISBLANK(F259),,COUNTIF(INDIRECT("'0.1.1 Pokémon GO Moves'!C"&amp;$E$3&amp;":R$"&amp;$E$3),B259))</f>
        <v>#N/A</v>
      </c>
      <c r="H259" s="0" t="e">
        <f aca="false">IF(ISBLANK(F259),,IF(OR(D259=$B$2,D259=$B$3),1,0))</f>
        <v>#N/A</v>
      </c>
      <c r="J259" s="0" t="n">
        <v>0</v>
      </c>
      <c r="K259" s="0" t="str">
        <f aca="false">IF(ISBLANK(J259),,J259&amp;", ")</f>
        <v>0,</v>
      </c>
      <c r="L259" s="0" t="e">
        <f aca="false" t="array" ref="L259:L259">IF(ISBLANK(J259),,INDEX('0.2.1 Move Compare'!$B$2:$B1011,MATCH(J259,'0.2.1 Move Compare'!$A$2:$A1011,0)))</f>
        <v>#N/A</v>
      </c>
      <c r="M259" s="0" t="e">
        <f aca="true">IF(OR($E$1=0,ISBLANK(J259)),,COUNTIF(INDIRECT("'0.0.2 Pokémon Learnset (Core)'!D$"&amp;$E$2&amp;":FG$"&amp;$E$2),J259))</f>
        <v>#VALUE!</v>
      </c>
      <c r="N259" s="0" t="e">
        <f aca="false">IF(ISBLANK(J259),,IF(OR(L259=$B$2,L259=$B$3),1,0))</f>
        <v>#N/A</v>
      </c>
    </row>
    <row r="260" customFormat="false" ht="15.75" hidden="false" customHeight="false" outlineLevel="0" collapsed="false">
      <c r="A260" s="374"/>
      <c r="B260" s="374" t="n">
        <v>0</v>
      </c>
      <c r="C260" s="0" t="str">
        <f aca="false">IF(ISBLANK(B260),,B260&amp;", ")</f>
        <v>0,</v>
      </c>
      <c r="D260" s="0" t="e">
        <f aca="false" t="array" ref="D260:D260">IF(ISBLANK(B260),,INDEX('0.2.1 Move Compare'!$B$2:$B1011,MATCH(B260,'0.2.1 Move Compare'!$A$2:$A1011,0)))</f>
        <v>#N/A</v>
      </c>
      <c r="E260" s="0" t="e">
        <f aca="false" t="array" ref="E260:E260">IF(ISBLANK(B260),,IF(INDEX('0.1.2 Attack Dex (GO)'!C253:C1011,MATCH(B260,'0.1.2 Attack Dex (GO)'!A253:A1011,0))="Fast",1,0))</f>
        <v>#N/A</v>
      </c>
      <c r="F260" s="0" t="e">
        <f aca="true">IF(OR($E$1=0,ISBLANK(B260)),,COUNTIF(INDIRECT("'0.0.2 Pokémon Learnset (Core)'!D$"&amp;$E$2&amp;":FG$"&amp;$E$2),B260))</f>
        <v>#VALUE!</v>
      </c>
      <c r="G260" s="0" t="e">
        <f aca="true">IF(ISBLANK(F260),,COUNTIF(INDIRECT("'0.1.1 Pokémon GO Moves'!C"&amp;$E$3&amp;":R$"&amp;$E$3),B260))</f>
        <v>#N/A</v>
      </c>
      <c r="H260" s="0" t="e">
        <f aca="false">IF(ISBLANK(F260),,IF(OR(D260=$B$2,D260=$B$3),1,0))</f>
        <v>#N/A</v>
      </c>
      <c r="J260" s="0" t="n">
        <v>0</v>
      </c>
      <c r="K260" s="0" t="str">
        <f aca="false">IF(ISBLANK(J260),,J260&amp;", ")</f>
        <v>0,</v>
      </c>
      <c r="L260" s="0" t="e">
        <f aca="false" t="array" ref="L260:L260">IF(ISBLANK(J260),,INDEX('0.2.1 Move Compare'!$B$2:$B1011,MATCH(J260,'0.2.1 Move Compare'!$A$2:$A1011,0)))</f>
        <v>#N/A</v>
      </c>
      <c r="M260" s="0" t="e">
        <f aca="true">IF(OR($E$1=0,ISBLANK(J260)),,COUNTIF(INDIRECT("'0.0.2 Pokémon Learnset (Core)'!D$"&amp;$E$2&amp;":FG$"&amp;$E$2),J260))</f>
        <v>#VALUE!</v>
      </c>
      <c r="N260" s="0" t="e">
        <f aca="false">IF(ISBLANK(J260),,IF(OR(L260=$B$2,L260=$B$3),1,0))</f>
        <v>#N/A</v>
      </c>
    </row>
    <row r="261" customFormat="false" ht="15.75" hidden="false" customHeight="false" outlineLevel="0" collapsed="false">
      <c r="A261" s="374"/>
      <c r="B261" s="374" t="n">
        <v>0</v>
      </c>
      <c r="C261" s="0" t="str">
        <f aca="false">IF(ISBLANK(B261),,B261&amp;", ")</f>
        <v>0,</v>
      </c>
      <c r="D261" s="0" t="e">
        <f aca="false" t="array" ref="D261:D261">IF(ISBLANK(B261),,INDEX('0.2.1 Move Compare'!$B$2:$B1011,MATCH(B261,'0.2.1 Move Compare'!$A$2:$A1011,0)))</f>
        <v>#N/A</v>
      </c>
      <c r="E261" s="0" t="e">
        <f aca="false" t="array" ref="E261:E261">IF(ISBLANK(B261),,IF(INDEX('0.1.2 Attack Dex (GO)'!C254:C1011,MATCH(B261,'0.1.2 Attack Dex (GO)'!A254:A1011,0))="Fast",1,0))</f>
        <v>#N/A</v>
      </c>
      <c r="F261" s="0" t="e">
        <f aca="true">IF(OR($E$1=0,ISBLANK(B261)),,COUNTIF(INDIRECT("'0.0.2 Pokémon Learnset (Core)'!D$"&amp;$E$2&amp;":FG$"&amp;$E$2),B261))</f>
        <v>#VALUE!</v>
      </c>
      <c r="G261" s="0" t="e">
        <f aca="true">IF(ISBLANK(F261),,COUNTIF(INDIRECT("'0.1.1 Pokémon GO Moves'!C"&amp;$E$3&amp;":R$"&amp;$E$3),B261))</f>
        <v>#N/A</v>
      </c>
      <c r="H261" s="0" t="e">
        <f aca="false">IF(ISBLANK(F261),,IF(OR(D261=$B$2,D261=$B$3),1,0))</f>
        <v>#N/A</v>
      </c>
      <c r="J261" s="0" t="n">
        <v>0</v>
      </c>
      <c r="K261" s="0" t="str">
        <f aca="false">IF(ISBLANK(J261),,J261&amp;", ")</f>
        <v>0,</v>
      </c>
      <c r="L261" s="0" t="e">
        <f aca="false" t="array" ref="L261:L261">IF(ISBLANK(J261),,INDEX('0.2.1 Move Compare'!$B$2:$B1011,MATCH(J261,'0.2.1 Move Compare'!$A$2:$A1011,0)))</f>
        <v>#N/A</v>
      </c>
      <c r="M261" s="0" t="e">
        <f aca="true">IF(OR($E$1=0,ISBLANK(J261)),,COUNTIF(INDIRECT("'0.0.2 Pokémon Learnset (Core)'!D$"&amp;$E$2&amp;":FG$"&amp;$E$2),J261))</f>
        <v>#VALUE!</v>
      </c>
      <c r="N261" s="0" t="e">
        <f aca="false">IF(ISBLANK(J261),,IF(OR(L261=$B$2,L261=$B$3),1,0))</f>
        <v>#N/A</v>
      </c>
    </row>
    <row r="262" customFormat="false" ht="15.75" hidden="false" customHeight="false" outlineLevel="0" collapsed="false">
      <c r="A262" s="374"/>
      <c r="B262" s="374" t="n">
        <v>0</v>
      </c>
      <c r="C262" s="0" t="str">
        <f aca="false">IF(ISBLANK(B262),,B262&amp;", ")</f>
        <v>0,</v>
      </c>
      <c r="D262" s="0" t="e">
        <f aca="false" t="array" ref="D262:D262">IF(ISBLANK(B262),,INDEX('0.2.1 Move Compare'!$B$2:$B1011,MATCH(B262,'0.2.1 Move Compare'!$A$2:$A1011,0)))</f>
        <v>#N/A</v>
      </c>
      <c r="E262" s="0" t="e">
        <f aca="false" t="array" ref="E262:E262">IF(ISBLANK(B262),,IF(INDEX('0.1.2 Attack Dex (GO)'!C255:C1011,MATCH(B262,'0.1.2 Attack Dex (GO)'!A255:A1011,0))="Fast",1,0))</f>
        <v>#N/A</v>
      </c>
      <c r="F262" s="0" t="e">
        <f aca="true">IF(OR($E$1=0,ISBLANK(B262)),,COUNTIF(INDIRECT("'0.0.2 Pokémon Learnset (Core)'!D$"&amp;$E$2&amp;":FG$"&amp;$E$2),B262))</f>
        <v>#VALUE!</v>
      </c>
      <c r="G262" s="0" t="e">
        <f aca="true">IF(ISBLANK(F262),,COUNTIF(INDIRECT("'0.1.1 Pokémon GO Moves'!C"&amp;$E$3&amp;":R$"&amp;$E$3),B262))</f>
        <v>#N/A</v>
      </c>
      <c r="H262" s="0" t="e">
        <f aca="false">IF(ISBLANK(F262),,IF(OR(D262=$B$2,D262=$B$3),1,0))</f>
        <v>#N/A</v>
      </c>
      <c r="J262" s="0" t="n">
        <v>0</v>
      </c>
      <c r="K262" s="0" t="str">
        <f aca="false">IF(ISBLANK(J262),,J262&amp;", ")</f>
        <v>0,</v>
      </c>
      <c r="L262" s="0" t="e">
        <f aca="false" t="array" ref="L262:L262">IF(ISBLANK(J262),,INDEX('0.2.1 Move Compare'!$B$2:$B1011,MATCH(J262,'0.2.1 Move Compare'!$A$2:$A1011,0)))</f>
        <v>#N/A</v>
      </c>
      <c r="M262" s="0" t="e">
        <f aca="true">IF(OR($E$1=0,ISBLANK(J262)),,COUNTIF(INDIRECT("'0.0.2 Pokémon Learnset (Core)'!D$"&amp;$E$2&amp;":FG$"&amp;$E$2),J262))</f>
        <v>#VALUE!</v>
      </c>
      <c r="N262" s="0" t="e">
        <f aca="false">IF(ISBLANK(J262),,IF(OR(L262=$B$2,L262=$B$3),1,0))</f>
        <v>#N/A</v>
      </c>
    </row>
    <row r="263" customFormat="false" ht="15.75" hidden="false" customHeight="false" outlineLevel="0" collapsed="false">
      <c r="A263" s="374"/>
      <c r="B263" s="374" t="n">
        <v>0</v>
      </c>
      <c r="C263" s="0" t="str">
        <f aca="false">IF(ISBLANK(B263),,B263&amp;", ")</f>
        <v>0,</v>
      </c>
      <c r="D263" s="0" t="e">
        <f aca="false" t="array" ref="D263:D263">IF(ISBLANK(B263),,INDEX('0.2.1 Move Compare'!$B$2:$B1011,MATCH(B263,'0.2.1 Move Compare'!$A$2:$A1011,0)))</f>
        <v>#N/A</v>
      </c>
      <c r="E263" s="0" t="e">
        <f aca="false" t="array" ref="E263:E263">IF(ISBLANK(B263),,IF(INDEX('0.1.2 Attack Dex (GO)'!C256:C1011,MATCH(B263,'0.1.2 Attack Dex (GO)'!A256:A1011,0))="Fast",1,0))</f>
        <v>#N/A</v>
      </c>
      <c r="F263" s="0" t="e">
        <f aca="true">IF(OR($E$1=0,ISBLANK(B263)),,COUNTIF(INDIRECT("'0.0.2 Pokémon Learnset (Core)'!D$"&amp;$E$2&amp;":FG$"&amp;$E$2),B263))</f>
        <v>#VALUE!</v>
      </c>
      <c r="G263" s="0" t="e">
        <f aca="true">IF(ISBLANK(F263),,COUNTIF(INDIRECT("'0.1.1 Pokémon GO Moves'!C"&amp;$E$3&amp;":R$"&amp;$E$3),B263))</f>
        <v>#N/A</v>
      </c>
      <c r="H263" s="0" t="e">
        <f aca="false">IF(ISBLANK(F263),,IF(OR(D263=$B$2,D263=$B$3),1,0))</f>
        <v>#N/A</v>
      </c>
      <c r="J263" s="0" t="n">
        <v>0</v>
      </c>
      <c r="K263" s="0" t="str">
        <f aca="false">IF(ISBLANK(J263),,J263&amp;", ")</f>
        <v>0,</v>
      </c>
      <c r="L263" s="0" t="e">
        <f aca="false" t="array" ref="L263:L263">IF(ISBLANK(J263),,INDEX('0.2.1 Move Compare'!$B$2:$B1011,MATCH(J263,'0.2.1 Move Compare'!$A$2:$A1011,0)))</f>
        <v>#N/A</v>
      </c>
      <c r="M263" s="0" t="e">
        <f aca="true">IF(OR($E$1=0,ISBLANK(J263)),,COUNTIF(INDIRECT("'0.0.2 Pokémon Learnset (Core)'!D$"&amp;$E$2&amp;":FG$"&amp;$E$2),J263))</f>
        <v>#VALUE!</v>
      </c>
      <c r="N263" s="0" t="e">
        <f aca="false">IF(ISBLANK(J263),,IF(OR(L263=$B$2,L263=$B$3),1,0))</f>
        <v>#N/A</v>
      </c>
    </row>
    <row r="264" customFormat="false" ht="15.75" hidden="false" customHeight="false" outlineLevel="0" collapsed="false">
      <c r="A264" s="374"/>
      <c r="B264" s="374" t="n">
        <v>0</v>
      </c>
      <c r="C264" s="0" t="str">
        <f aca="false">IF(ISBLANK(B264),,B264&amp;", ")</f>
        <v>0,</v>
      </c>
      <c r="D264" s="0" t="e">
        <f aca="false" t="array" ref="D264:D264">IF(ISBLANK(B264),,INDEX('0.2.1 Move Compare'!$B$2:$B1011,MATCH(B264,'0.2.1 Move Compare'!$A$2:$A1011,0)))</f>
        <v>#N/A</v>
      </c>
      <c r="E264" s="0" t="e">
        <f aca="false" t="array" ref="E264:E264">IF(ISBLANK(B264),,IF(INDEX('0.1.2 Attack Dex (GO)'!C257:C1011,MATCH(B264,'0.1.2 Attack Dex (GO)'!A257:A1011,0))="Fast",1,0))</f>
        <v>#N/A</v>
      </c>
      <c r="F264" s="0" t="e">
        <f aca="true">IF(OR($E$1=0,ISBLANK(B264)),,COUNTIF(INDIRECT("'0.0.2 Pokémon Learnset (Core)'!D$"&amp;$E$2&amp;":FG$"&amp;$E$2),B264))</f>
        <v>#VALUE!</v>
      </c>
      <c r="G264" s="0" t="e">
        <f aca="true">IF(ISBLANK(F264),,COUNTIF(INDIRECT("'0.1.1 Pokémon GO Moves'!C"&amp;$E$3&amp;":R$"&amp;$E$3),B264))</f>
        <v>#N/A</v>
      </c>
      <c r="H264" s="0" t="e">
        <f aca="false">IF(ISBLANK(F264),,IF(OR(D264=$B$2,D264=$B$3),1,0))</f>
        <v>#N/A</v>
      </c>
      <c r="J264" s="0" t="n">
        <v>0</v>
      </c>
      <c r="K264" s="0" t="str">
        <f aca="false">IF(ISBLANK(J264),,J264&amp;", ")</f>
        <v>0,</v>
      </c>
      <c r="L264" s="0" t="e">
        <f aca="false" t="array" ref="L264:L264">IF(ISBLANK(J264),,INDEX('0.2.1 Move Compare'!$B$2:$B1011,MATCH(J264,'0.2.1 Move Compare'!$A$2:$A1011,0)))</f>
        <v>#N/A</v>
      </c>
      <c r="M264" s="0" t="e">
        <f aca="true">IF(OR($E$1=0,ISBLANK(J264)),,COUNTIF(INDIRECT("'0.0.2 Pokémon Learnset (Core)'!D$"&amp;$E$2&amp;":FG$"&amp;$E$2),J264))</f>
        <v>#VALUE!</v>
      </c>
      <c r="N264" s="0" t="e">
        <f aca="false">IF(ISBLANK(J264),,IF(OR(L264=$B$2,L264=$B$3),1,0))</f>
        <v>#N/A</v>
      </c>
    </row>
    <row r="265" customFormat="false" ht="15.75" hidden="false" customHeight="false" outlineLevel="0" collapsed="false">
      <c r="A265" s="374"/>
      <c r="B265" s="374" t="n">
        <v>0</v>
      </c>
      <c r="C265" s="0" t="str">
        <f aca="false">IF(ISBLANK(B265),,B265&amp;", ")</f>
        <v>0,</v>
      </c>
      <c r="D265" s="0" t="e">
        <f aca="false" t="array" ref="D265:D265">IF(ISBLANK(B265),,INDEX('0.2.1 Move Compare'!$B$2:$B1011,MATCH(B265,'0.2.1 Move Compare'!$A$2:$A1011,0)))</f>
        <v>#N/A</v>
      </c>
      <c r="E265" s="0" t="e">
        <f aca="false" t="array" ref="E265:E265">IF(ISBLANK(B265),,IF(INDEX('0.1.2 Attack Dex (GO)'!C258:C1011,MATCH(B265,'0.1.2 Attack Dex (GO)'!A258:A1011,0))="Fast",1,0))</f>
        <v>#N/A</v>
      </c>
      <c r="F265" s="0" t="e">
        <f aca="true">IF(OR($E$1=0,ISBLANK(B265)),,COUNTIF(INDIRECT("'0.0.2 Pokémon Learnset (Core)'!D$"&amp;$E$2&amp;":FG$"&amp;$E$2),B265))</f>
        <v>#VALUE!</v>
      </c>
      <c r="G265" s="0" t="e">
        <f aca="true">IF(ISBLANK(F265),,COUNTIF(INDIRECT("'0.1.1 Pokémon GO Moves'!C"&amp;$E$3&amp;":R$"&amp;$E$3),B265))</f>
        <v>#N/A</v>
      </c>
      <c r="H265" s="0" t="e">
        <f aca="false">IF(ISBLANK(F265),,IF(OR(D265=$B$2,D265=$B$3),1,0))</f>
        <v>#N/A</v>
      </c>
      <c r="J265" s="0" t="n">
        <v>0</v>
      </c>
      <c r="K265" s="0" t="str">
        <f aca="false">IF(ISBLANK(J265),,J265&amp;", ")</f>
        <v>0,</v>
      </c>
      <c r="L265" s="0" t="e">
        <f aca="false" t="array" ref="L265:L265">IF(ISBLANK(J265),,INDEX('0.2.1 Move Compare'!$B$2:$B1011,MATCH(J265,'0.2.1 Move Compare'!$A$2:$A1011,0)))</f>
        <v>#N/A</v>
      </c>
      <c r="M265" s="0" t="e">
        <f aca="true">IF(OR($E$1=0,ISBLANK(J265)),,COUNTIF(INDIRECT("'0.0.2 Pokémon Learnset (Core)'!D$"&amp;$E$2&amp;":FG$"&amp;$E$2),J265))</f>
        <v>#VALUE!</v>
      </c>
      <c r="N265" s="0" t="e">
        <f aca="false">IF(ISBLANK(J265),,IF(OR(L265=$B$2,L265=$B$3),1,0))</f>
        <v>#N/A</v>
      </c>
    </row>
    <row r="266" customFormat="false" ht="15.75" hidden="false" customHeight="false" outlineLevel="0" collapsed="false">
      <c r="A266" s="374"/>
      <c r="B266" s="374" t="n">
        <v>0</v>
      </c>
      <c r="C266" s="0" t="str">
        <f aca="false">IF(ISBLANK(B266),,B266&amp;", ")</f>
        <v>0,</v>
      </c>
      <c r="D266" s="0" t="e">
        <f aca="false" t="array" ref="D266:D266">IF(ISBLANK(B266),,INDEX('0.2.1 Move Compare'!$B$2:$B1011,MATCH(B266,'0.2.1 Move Compare'!$A$2:$A1011,0)))</f>
        <v>#N/A</v>
      </c>
      <c r="E266" s="0" t="e">
        <f aca="false" t="array" ref="E266:E266">IF(ISBLANK(B266),,IF(INDEX('0.1.2 Attack Dex (GO)'!C259:C1011,MATCH(B266,'0.1.2 Attack Dex (GO)'!A259:A1011,0))="Fast",1,0))</f>
        <v>#N/A</v>
      </c>
      <c r="F266" s="0" t="e">
        <f aca="true">IF(OR($E$1=0,ISBLANK(B266)),,COUNTIF(INDIRECT("'0.0.2 Pokémon Learnset (Core)'!D$"&amp;$E$2&amp;":FG$"&amp;$E$2),B266))</f>
        <v>#VALUE!</v>
      </c>
      <c r="G266" s="0" t="e">
        <f aca="true">IF(ISBLANK(F266),,COUNTIF(INDIRECT("'0.1.1 Pokémon GO Moves'!C"&amp;$E$3&amp;":R$"&amp;$E$3),B266))</f>
        <v>#N/A</v>
      </c>
      <c r="H266" s="0" t="e">
        <f aca="false">IF(ISBLANK(F266),,IF(OR(D266=$B$2,D266=$B$3),1,0))</f>
        <v>#N/A</v>
      </c>
      <c r="J266" s="0" t="n">
        <v>0</v>
      </c>
      <c r="K266" s="0" t="str">
        <f aca="false">IF(ISBLANK(J266),,J266&amp;", ")</f>
        <v>0,</v>
      </c>
      <c r="L266" s="0" t="e">
        <f aca="false" t="array" ref="L266:L266">IF(ISBLANK(J266),,INDEX('0.2.1 Move Compare'!$B$2:$B1011,MATCH(J266,'0.2.1 Move Compare'!$A$2:$A1011,0)))</f>
        <v>#N/A</v>
      </c>
      <c r="M266" s="0" t="e">
        <f aca="true">IF(OR($E$1=0,ISBLANK(J266)),,COUNTIF(INDIRECT("'0.0.2 Pokémon Learnset (Core)'!D$"&amp;$E$2&amp;":FG$"&amp;$E$2),J266))</f>
        <v>#VALUE!</v>
      </c>
      <c r="N266" s="0" t="e">
        <f aca="false">IF(ISBLANK(J266),,IF(OR(L266=$B$2,L266=$B$3),1,0))</f>
        <v>#N/A</v>
      </c>
    </row>
    <row r="267" customFormat="false" ht="15.75" hidden="false" customHeight="false" outlineLevel="0" collapsed="false">
      <c r="A267" s="374"/>
      <c r="B267" s="374" t="n">
        <v>0</v>
      </c>
      <c r="C267" s="0" t="str">
        <f aca="false">IF(ISBLANK(B267),,B267&amp;", ")</f>
        <v>0,</v>
      </c>
      <c r="D267" s="0" t="e">
        <f aca="false" t="array" ref="D267:D267">IF(ISBLANK(B267),,INDEX('0.2.1 Move Compare'!$B$2:$B1011,MATCH(B267,'0.2.1 Move Compare'!$A$2:$A1011,0)))</f>
        <v>#N/A</v>
      </c>
      <c r="E267" s="0" t="e">
        <f aca="false" t="array" ref="E267:E267">IF(ISBLANK(B267),,IF(INDEX('0.1.2 Attack Dex (GO)'!C260:C1011,MATCH(B267,'0.1.2 Attack Dex (GO)'!A260:A1011,0))="Fast",1,0))</f>
        <v>#N/A</v>
      </c>
      <c r="F267" s="0" t="e">
        <f aca="true">IF(OR($E$1=0,ISBLANK(B267)),,COUNTIF(INDIRECT("'0.0.2 Pokémon Learnset (Core)'!D$"&amp;$E$2&amp;":FG$"&amp;$E$2),B267))</f>
        <v>#VALUE!</v>
      </c>
      <c r="G267" s="0" t="e">
        <f aca="true">IF(ISBLANK(F267),,COUNTIF(INDIRECT("'0.1.1 Pokémon GO Moves'!C"&amp;$E$3&amp;":R$"&amp;$E$3),B267))</f>
        <v>#N/A</v>
      </c>
      <c r="H267" s="0" t="e">
        <f aca="false">IF(ISBLANK(F267),,IF(OR(D267=$B$2,D267=$B$3),1,0))</f>
        <v>#N/A</v>
      </c>
      <c r="J267" s="0" t="n">
        <v>0</v>
      </c>
      <c r="K267" s="0" t="str">
        <f aca="false">IF(ISBLANK(J267),,J267&amp;", ")</f>
        <v>0,</v>
      </c>
      <c r="L267" s="0" t="e">
        <f aca="false" t="array" ref="L267:L267">IF(ISBLANK(J267),,INDEX('0.2.1 Move Compare'!$B$2:$B1011,MATCH(J267,'0.2.1 Move Compare'!$A$2:$A1011,0)))</f>
        <v>#N/A</v>
      </c>
      <c r="M267" s="0" t="e">
        <f aca="true">IF(OR($E$1=0,ISBLANK(J267)),,COUNTIF(INDIRECT("'0.0.2 Pokémon Learnset (Core)'!D$"&amp;$E$2&amp;":FG$"&amp;$E$2),J267))</f>
        <v>#VALUE!</v>
      </c>
      <c r="N267" s="0" t="e">
        <f aca="false">IF(ISBLANK(J267),,IF(OR(L267=$B$2,L267=$B$3),1,0))</f>
        <v>#N/A</v>
      </c>
    </row>
    <row r="268" customFormat="false" ht="15.75" hidden="false" customHeight="false" outlineLevel="0" collapsed="false">
      <c r="A268" s="374"/>
      <c r="B268" s="374" t="n">
        <v>0</v>
      </c>
      <c r="C268" s="0" t="str">
        <f aca="false">IF(ISBLANK(B268),,B268&amp;", ")</f>
        <v>0,</v>
      </c>
      <c r="D268" s="0" t="e">
        <f aca="false" t="array" ref="D268:D268">IF(ISBLANK(B268),,INDEX('0.2.1 Move Compare'!$B$2:$B1011,MATCH(B268,'0.2.1 Move Compare'!$A$2:$A1011,0)))</f>
        <v>#N/A</v>
      </c>
      <c r="E268" s="0" t="e">
        <f aca="false" t="array" ref="E268:E268">IF(ISBLANK(B268),,IF(INDEX('0.1.2 Attack Dex (GO)'!C261:C1011,MATCH(B268,'0.1.2 Attack Dex (GO)'!A261:A1011,0))="Fast",1,0))</f>
        <v>#N/A</v>
      </c>
      <c r="F268" s="0" t="e">
        <f aca="true">IF(OR($E$1=0,ISBLANK(B268)),,COUNTIF(INDIRECT("'0.0.2 Pokémon Learnset (Core)'!D$"&amp;$E$2&amp;":FG$"&amp;$E$2),B268))</f>
        <v>#VALUE!</v>
      </c>
      <c r="G268" s="0" t="e">
        <f aca="true">IF(ISBLANK(F268),,COUNTIF(INDIRECT("'0.1.1 Pokémon GO Moves'!C"&amp;$E$3&amp;":R$"&amp;$E$3),B268))</f>
        <v>#N/A</v>
      </c>
      <c r="H268" s="0" t="e">
        <f aca="false">IF(ISBLANK(F268),,IF(OR(D268=$B$2,D268=$B$3),1,0))</f>
        <v>#N/A</v>
      </c>
      <c r="J268" s="0" t="n">
        <v>0</v>
      </c>
      <c r="K268" s="0" t="str">
        <f aca="false">IF(ISBLANK(J268),,J268&amp;", ")</f>
        <v>0,</v>
      </c>
      <c r="L268" s="0" t="e">
        <f aca="false" t="array" ref="L268:L268">IF(ISBLANK(J268),,INDEX('0.2.1 Move Compare'!$B$2:$B1011,MATCH(J268,'0.2.1 Move Compare'!$A$2:$A1011,0)))</f>
        <v>#N/A</v>
      </c>
      <c r="M268" s="0" t="e">
        <f aca="true">IF(OR($E$1=0,ISBLANK(J268)),,COUNTIF(INDIRECT("'0.0.2 Pokémon Learnset (Core)'!D$"&amp;$E$2&amp;":FG$"&amp;$E$2),J268))</f>
        <v>#VALUE!</v>
      </c>
      <c r="N268" s="0" t="e">
        <f aca="false">IF(ISBLANK(J268),,IF(OR(L268=$B$2,L268=$B$3),1,0))</f>
        <v>#N/A</v>
      </c>
    </row>
    <row r="269" customFormat="false" ht="15.75" hidden="false" customHeight="false" outlineLevel="0" collapsed="false">
      <c r="A269" s="374"/>
      <c r="B269" s="374" t="n">
        <v>0</v>
      </c>
      <c r="C269" s="0" t="str">
        <f aca="false">IF(ISBLANK(B269),,B269&amp;", ")</f>
        <v>0,</v>
      </c>
      <c r="D269" s="0" t="e">
        <f aca="false" t="array" ref="D269:D269">IF(ISBLANK(B269),,INDEX('0.2.1 Move Compare'!$B$2:$B1011,MATCH(B269,'0.2.1 Move Compare'!$A$2:$A1011,0)))</f>
        <v>#N/A</v>
      </c>
      <c r="E269" s="0" t="e">
        <f aca="false" t="array" ref="E269:E269">IF(ISBLANK(B269),,IF(INDEX('0.1.2 Attack Dex (GO)'!C262:C1011,MATCH(B269,'0.1.2 Attack Dex (GO)'!A262:A1011,0))="Fast",1,0))</f>
        <v>#N/A</v>
      </c>
      <c r="F269" s="0" t="e">
        <f aca="true">IF(OR($E$1=0,ISBLANK(B269)),,COUNTIF(INDIRECT("'0.0.2 Pokémon Learnset (Core)'!D$"&amp;$E$2&amp;":FG$"&amp;$E$2),B269))</f>
        <v>#VALUE!</v>
      </c>
      <c r="G269" s="0" t="e">
        <f aca="true">IF(ISBLANK(F269),,COUNTIF(INDIRECT("'0.1.1 Pokémon GO Moves'!C"&amp;$E$3&amp;":R$"&amp;$E$3),B269))</f>
        <v>#N/A</v>
      </c>
      <c r="H269" s="0" t="e">
        <f aca="false">IF(ISBLANK(F269),,IF(OR(D269=$B$2,D269=$B$3),1,0))</f>
        <v>#N/A</v>
      </c>
      <c r="J269" s="0" t="n">
        <v>0</v>
      </c>
      <c r="K269" s="0" t="str">
        <f aca="false">IF(ISBLANK(J269),,J269&amp;", ")</f>
        <v>0,</v>
      </c>
      <c r="L269" s="0" t="e">
        <f aca="false" t="array" ref="L269:L269">IF(ISBLANK(J269),,INDEX('0.2.1 Move Compare'!$B$2:$B1011,MATCH(J269,'0.2.1 Move Compare'!$A$2:$A1011,0)))</f>
        <v>#N/A</v>
      </c>
      <c r="M269" s="0" t="e">
        <f aca="true">IF(OR($E$1=0,ISBLANK(J269)),,COUNTIF(INDIRECT("'0.0.2 Pokémon Learnset (Core)'!D$"&amp;$E$2&amp;":FG$"&amp;$E$2),J269))</f>
        <v>#VALUE!</v>
      </c>
      <c r="N269" s="0" t="e">
        <f aca="false">IF(ISBLANK(J269),,IF(OR(L269=$B$2,L269=$B$3),1,0))</f>
        <v>#N/A</v>
      </c>
    </row>
    <row r="270" customFormat="false" ht="15.75" hidden="false" customHeight="false" outlineLevel="0" collapsed="false">
      <c r="A270" s="374"/>
      <c r="B270" s="374" t="n">
        <v>0</v>
      </c>
      <c r="C270" s="0" t="str">
        <f aca="false">IF(ISBLANK(B270),,B270&amp;", ")</f>
        <v>0,</v>
      </c>
      <c r="D270" s="0" t="e">
        <f aca="false" t="array" ref="D270:D270">IF(ISBLANK(B270),,INDEX('0.2.1 Move Compare'!$B$2:$B1011,MATCH(B270,'0.2.1 Move Compare'!$A$2:$A1011,0)))</f>
        <v>#N/A</v>
      </c>
      <c r="E270" s="0" t="e">
        <f aca="false" t="array" ref="E270:E270">IF(ISBLANK(B270),,IF(INDEX('0.1.2 Attack Dex (GO)'!C263:C1011,MATCH(B270,'0.1.2 Attack Dex (GO)'!A263:A1011,0))="Fast",1,0))</f>
        <v>#N/A</v>
      </c>
      <c r="F270" s="0" t="e">
        <f aca="true">IF(OR($E$1=0,ISBLANK(B270)),,COUNTIF(INDIRECT("'0.0.2 Pokémon Learnset (Core)'!D$"&amp;$E$2&amp;":FG$"&amp;$E$2),B270))</f>
        <v>#VALUE!</v>
      </c>
      <c r="G270" s="0" t="e">
        <f aca="true">IF(ISBLANK(F270),,COUNTIF(INDIRECT("'0.1.1 Pokémon GO Moves'!C"&amp;$E$3&amp;":R$"&amp;$E$3),B270))</f>
        <v>#N/A</v>
      </c>
      <c r="H270" s="0" t="e">
        <f aca="false">IF(ISBLANK(F270),,IF(OR(D270=$B$2,D270=$B$3),1,0))</f>
        <v>#N/A</v>
      </c>
      <c r="J270" s="0" t="n">
        <v>0</v>
      </c>
      <c r="K270" s="0" t="str">
        <f aca="false">IF(ISBLANK(J270),,J270&amp;", ")</f>
        <v>0,</v>
      </c>
      <c r="L270" s="0" t="e">
        <f aca="false" t="array" ref="L270:L270">IF(ISBLANK(J270),,INDEX('0.2.1 Move Compare'!$B$2:$B1011,MATCH(J270,'0.2.1 Move Compare'!$A$2:$A1011,0)))</f>
        <v>#N/A</v>
      </c>
      <c r="M270" s="0" t="e">
        <f aca="true">IF(OR($E$1=0,ISBLANK(J270)),,COUNTIF(INDIRECT("'0.0.2 Pokémon Learnset (Core)'!D$"&amp;$E$2&amp;":FG$"&amp;$E$2),J270))</f>
        <v>#VALUE!</v>
      </c>
      <c r="N270" s="0" t="e">
        <f aca="false">IF(ISBLANK(J270),,IF(OR(L270=$B$2,L270=$B$3),1,0))</f>
        <v>#N/A</v>
      </c>
    </row>
    <row r="271" customFormat="false" ht="15.75" hidden="false" customHeight="false" outlineLevel="0" collapsed="false">
      <c r="A271" s="374"/>
      <c r="B271" s="374" t="n">
        <v>0</v>
      </c>
      <c r="C271" s="0" t="str">
        <f aca="false">IF(ISBLANK(B271),,B271&amp;", ")</f>
        <v>0,</v>
      </c>
      <c r="D271" s="0" t="e">
        <f aca="false" t="array" ref="D271:D271">IF(ISBLANK(B271),,INDEX('0.2.1 Move Compare'!$B$2:$B1011,MATCH(B271,'0.2.1 Move Compare'!$A$2:$A1011,0)))</f>
        <v>#N/A</v>
      </c>
      <c r="E271" s="0" t="e">
        <f aca="false" t="array" ref="E271:E271">IF(ISBLANK(B271),,IF(INDEX('0.1.2 Attack Dex (GO)'!C264:C1011,MATCH(B271,'0.1.2 Attack Dex (GO)'!A264:A1011,0))="Fast",1,0))</f>
        <v>#N/A</v>
      </c>
      <c r="F271" s="0" t="e">
        <f aca="true">IF(OR($E$1=0,ISBLANK(B271)),,COUNTIF(INDIRECT("'0.0.2 Pokémon Learnset (Core)'!D$"&amp;$E$2&amp;":FG$"&amp;$E$2),B271))</f>
        <v>#VALUE!</v>
      </c>
      <c r="G271" s="0" t="e">
        <f aca="true">IF(ISBLANK(F271),,COUNTIF(INDIRECT("'0.1.1 Pokémon GO Moves'!C"&amp;$E$3&amp;":R$"&amp;$E$3),B271))</f>
        <v>#N/A</v>
      </c>
      <c r="H271" s="0" t="e">
        <f aca="false">IF(ISBLANK(F271),,IF(OR(D271=$B$2,D271=$B$3),1,0))</f>
        <v>#N/A</v>
      </c>
      <c r="J271" s="0" t="n">
        <v>0</v>
      </c>
      <c r="K271" s="0" t="str">
        <f aca="false">IF(ISBLANK(J271),,J271&amp;", ")</f>
        <v>0,</v>
      </c>
      <c r="L271" s="0" t="e">
        <f aca="false" t="array" ref="L271:L271">IF(ISBLANK(J271),,INDEX('0.2.1 Move Compare'!$B$2:$B1011,MATCH(J271,'0.2.1 Move Compare'!$A$2:$A1011,0)))</f>
        <v>#N/A</v>
      </c>
      <c r="M271" s="0" t="e">
        <f aca="true">IF(OR($E$1=0,ISBLANK(J271)),,COUNTIF(INDIRECT("'0.0.2 Pokémon Learnset (Core)'!D$"&amp;$E$2&amp;":FG$"&amp;$E$2),J271))</f>
        <v>#VALUE!</v>
      </c>
      <c r="N271" s="0" t="e">
        <f aca="false">IF(ISBLANK(J271),,IF(OR(L271=$B$2,L271=$B$3),1,0))</f>
        <v>#N/A</v>
      </c>
    </row>
    <row r="272" customFormat="false" ht="15.75" hidden="false" customHeight="false" outlineLevel="0" collapsed="false">
      <c r="A272" s="374"/>
      <c r="B272" s="374" t="n">
        <v>0</v>
      </c>
      <c r="C272" s="0" t="str">
        <f aca="false">IF(ISBLANK(B272),,B272&amp;", ")</f>
        <v>0,</v>
      </c>
      <c r="D272" s="0" t="e">
        <f aca="false" t="array" ref="D272:D272">IF(ISBLANK(B272),,INDEX('0.2.1 Move Compare'!$B$2:$B1011,MATCH(B272,'0.2.1 Move Compare'!$A$2:$A1011,0)))</f>
        <v>#N/A</v>
      </c>
      <c r="E272" s="0" t="e">
        <f aca="false" t="array" ref="E272:E272">IF(ISBLANK(B272),,IF(INDEX('0.1.2 Attack Dex (GO)'!C265:C1011,MATCH(B272,'0.1.2 Attack Dex (GO)'!A265:A1011,0))="Fast",1,0))</f>
        <v>#N/A</v>
      </c>
      <c r="F272" s="0" t="e">
        <f aca="true">IF(OR($E$1=0,ISBLANK(B272)),,COUNTIF(INDIRECT("'0.0.2 Pokémon Learnset (Core)'!D$"&amp;$E$2&amp;":FG$"&amp;$E$2),B272))</f>
        <v>#VALUE!</v>
      </c>
      <c r="G272" s="0" t="e">
        <f aca="true">IF(ISBLANK(F272),,COUNTIF(INDIRECT("'0.1.1 Pokémon GO Moves'!C"&amp;$E$3&amp;":R$"&amp;$E$3),B272))</f>
        <v>#N/A</v>
      </c>
      <c r="H272" s="0" t="e">
        <f aca="false">IF(ISBLANK(F272),,IF(OR(D272=$B$2,D272=$B$3),1,0))</f>
        <v>#N/A</v>
      </c>
      <c r="J272" s="0" t="n">
        <v>0</v>
      </c>
      <c r="K272" s="0" t="str">
        <f aca="false">IF(ISBLANK(J272),,J272&amp;", ")</f>
        <v>0,</v>
      </c>
      <c r="L272" s="0" t="e">
        <f aca="false" t="array" ref="L272:L272">IF(ISBLANK(J272),,INDEX('0.2.1 Move Compare'!$B$2:$B1011,MATCH(J272,'0.2.1 Move Compare'!$A$2:$A1011,0)))</f>
        <v>#N/A</v>
      </c>
      <c r="M272" s="0" t="e">
        <f aca="true">IF(OR($E$1=0,ISBLANK(J272)),,COUNTIF(INDIRECT("'0.0.2 Pokémon Learnset (Core)'!D$"&amp;$E$2&amp;":FG$"&amp;$E$2),J272))</f>
        <v>#VALUE!</v>
      </c>
      <c r="N272" s="0" t="e">
        <f aca="false">IF(ISBLANK(J272),,IF(OR(L272=$B$2,L272=$B$3),1,0))</f>
        <v>#N/A</v>
      </c>
    </row>
    <row r="273" customFormat="false" ht="15.75" hidden="false" customHeight="false" outlineLevel="0" collapsed="false">
      <c r="A273" s="374"/>
      <c r="B273" s="374" t="n">
        <v>0</v>
      </c>
      <c r="C273" s="0" t="str">
        <f aca="false">IF(ISBLANK(B273),,B273&amp;", ")</f>
        <v>0,</v>
      </c>
      <c r="D273" s="0" t="e">
        <f aca="false" t="array" ref="D273:D273">IF(ISBLANK(B273),,INDEX('0.2.1 Move Compare'!$B$2:$B1011,MATCH(B273,'0.2.1 Move Compare'!$A$2:$A1011,0)))</f>
        <v>#N/A</v>
      </c>
      <c r="E273" s="0" t="e">
        <f aca="false" t="array" ref="E273:E273">IF(ISBLANK(B273),,IF(INDEX('0.1.2 Attack Dex (GO)'!C266:C1011,MATCH(B273,'0.1.2 Attack Dex (GO)'!A266:A1011,0))="Fast",1,0))</f>
        <v>#N/A</v>
      </c>
      <c r="F273" s="0" t="e">
        <f aca="true">IF(OR($E$1=0,ISBLANK(B273)),,COUNTIF(INDIRECT("'0.0.2 Pokémon Learnset (Core)'!D$"&amp;$E$2&amp;":FG$"&amp;$E$2),B273))</f>
        <v>#VALUE!</v>
      </c>
      <c r="G273" s="0" t="e">
        <f aca="true">IF(ISBLANK(F273),,COUNTIF(INDIRECT("'0.1.1 Pokémon GO Moves'!C"&amp;$E$3&amp;":R$"&amp;$E$3),B273))</f>
        <v>#N/A</v>
      </c>
      <c r="H273" s="0" t="e">
        <f aca="false">IF(ISBLANK(F273),,IF(OR(D273=$B$2,D273=$B$3),1,0))</f>
        <v>#N/A</v>
      </c>
      <c r="J273" s="0" t="n">
        <v>0</v>
      </c>
      <c r="K273" s="0" t="str">
        <f aca="false">IF(ISBLANK(J273),,J273&amp;", ")</f>
        <v>0,</v>
      </c>
      <c r="L273" s="0" t="e">
        <f aca="false" t="array" ref="L273:L273">IF(ISBLANK(J273),,INDEX('0.2.1 Move Compare'!$B$2:$B1011,MATCH(J273,'0.2.1 Move Compare'!$A$2:$A1011,0)))</f>
        <v>#N/A</v>
      </c>
      <c r="M273" s="0" t="e">
        <f aca="true">IF(OR($E$1=0,ISBLANK(J273)),,COUNTIF(INDIRECT("'0.0.2 Pokémon Learnset (Core)'!D$"&amp;$E$2&amp;":FG$"&amp;$E$2),J273))</f>
        <v>#VALUE!</v>
      </c>
      <c r="N273" s="0" t="e">
        <f aca="false">IF(ISBLANK(J273),,IF(OR(L273=$B$2,L273=$B$3),1,0))</f>
        <v>#N/A</v>
      </c>
    </row>
    <row r="274" customFormat="false" ht="15.75" hidden="false" customHeight="false" outlineLevel="0" collapsed="false">
      <c r="A274" s="374"/>
      <c r="B274" s="374" t="n">
        <v>0</v>
      </c>
      <c r="C274" s="0" t="str">
        <f aca="false">IF(ISBLANK(B274),,B274&amp;", ")</f>
        <v>0,</v>
      </c>
      <c r="D274" s="0" t="e">
        <f aca="false" t="array" ref="D274:D274">IF(ISBLANK(B274),,INDEX('0.2.1 Move Compare'!$B$2:$B1011,MATCH(B274,'0.2.1 Move Compare'!$A$2:$A1011,0)))</f>
        <v>#N/A</v>
      </c>
      <c r="E274" s="0" t="e">
        <f aca="false" t="array" ref="E274:E274">IF(ISBLANK(B274),,IF(INDEX('0.1.2 Attack Dex (GO)'!C267:C1011,MATCH(B274,'0.1.2 Attack Dex (GO)'!A267:A1011,0))="Fast",1,0))</f>
        <v>#N/A</v>
      </c>
      <c r="F274" s="0" t="e">
        <f aca="true">IF(OR($E$1=0,ISBLANK(B274)),,COUNTIF(INDIRECT("'0.0.2 Pokémon Learnset (Core)'!D$"&amp;$E$2&amp;":FG$"&amp;$E$2),B274))</f>
        <v>#VALUE!</v>
      </c>
      <c r="G274" s="0" t="e">
        <f aca="true">IF(ISBLANK(F274),,COUNTIF(INDIRECT("'0.1.1 Pokémon GO Moves'!C"&amp;$E$3&amp;":R$"&amp;$E$3),B274))</f>
        <v>#N/A</v>
      </c>
      <c r="H274" s="0" t="e">
        <f aca="false">IF(ISBLANK(F274),,IF(OR(D274=$B$2,D274=$B$3),1,0))</f>
        <v>#N/A</v>
      </c>
      <c r="J274" s="0" t="n">
        <v>0</v>
      </c>
      <c r="K274" s="0" t="str">
        <f aca="false">IF(ISBLANK(J274),,J274&amp;", ")</f>
        <v>0,</v>
      </c>
      <c r="L274" s="0" t="e">
        <f aca="false" t="array" ref="L274:L274">IF(ISBLANK(J274),,INDEX('0.2.1 Move Compare'!$B$2:$B1011,MATCH(J274,'0.2.1 Move Compare'!$A$2:$A1011,0)))</f>
        <v>#N/A</v>
      </c>
      <c r="M274" s="0" t="e">
        <f aca="true">IF(OR($E$1=0,ISBLANK(J274)),,COUNTIF(INDIRECT("'0.0.2 Pokémon Learnset (Core)'!D$"&amp;$E$2&amp;":FG$"&amp;$E$2),J274))</f>
        <v>#VALUE!</v>
      </c>
      <c r="N274" s="0" t="e">
        <f aca="false">IF(ISBLANK(J274),,IF(OR(L274=$B$2,L274=$B$3),1,0))</f>
        <v>#N/A</v>
      </c>
    </row>
    <row r="275" customFormat="false" ht="15.75" hidden="false" customHeight="false" outlineLevel="0" collapsed="false">
      <c r="A275" s="374"/>
      <c r="B275" s="374" t="n">
        <v>0</v>
      </c>
      <c r="C275" s="0" t="str">
        <f aca="false">IF(ISBLANK(B275),,B275&amp;", ")</f>
        <v>0,</v>
      </c>
      <c r="D275" s="0" t="e">
        <f aca="false" t="array" ref="D275:D275">IF(ISBLANK(B275),,INDEX('0.2.1 Move Compare'!$B$2:$B1011,MATCH(B275,'0.2.1 Move Compare'!$A$2:$A1011,0)))</f>
        <v>#N/A</v>
      </c>
      <c r="E275" s="0" t="e">
        <f aca="false" t="array" ref="E275:E275">IF(ISBLANK(B275),,IF(INDEX('0.1.2 Attack Dex (GO)'!C268:C1011,MATCH(B275,'0.1.2 Attack Dex (GO)'!A268:A1011,0))="Fast",1,0))</f>
        <v>#N/A</v>
      </c>
      <c r="F275" s="0" t="e">
        <f aca="true">IF(OR($E$1=0,ISBLANK(B275)),,COUNTIF(INDIRECT("'0.0.2 Pokémon Learnset (Core)'!D$"&amp;$E$2&amp;":FG$"&amp;$E$2),B275))</f>
        <v>#VALUE!</v>
      </c>
      <c r="G275" s="0" t="e">
        <f aca="true">IF(ISBLANK(F275),,COUNTIF(INDIRECT("'0.1.1 Pokémon GO Moves'!C"&amp;$E$3&amp;":R$"&amp;$E$3),B275))</f>
        <v>#N/A</v>
      </c>
      <c r="H275" s="0" t="e">
        <f aca="false">IF(ISBLANK(F275),,IF(OR(D275=$B$2,D275=$B$3),1,0))</f>
        <v>#N/A</v>
      </c>
      <c r="J275" s="0" t="n">
        <v>0</v>
      </c>
      <c r="K275" s="0" t="str">
        <f aca="false">IF(ISBLANK(J275),,J275&amp;", ")</f>
        <v>0,</v>
      </c>
      <c r="L275" s="0" t="e">
        <f aca="false" t="array" ref="L275:L275">IF(ISBLANK(J275),,INDEX('0.2.1 Move Compare'!$B$2:$B1011,MATCH(J275,'0.2.1 Move Compare'!$A$2:$A1011,0)))</f>
        <v>#N/A</v>
      </c>
      <c r="M275" s="0" t="e">
        <f aca="true">IF(OR($E$1=0,ISBLANK(J275)),,COUNTIF(INDIRECT("'0.0.2 Pokémon Learnset (Core)'!D$"&amp;$E$2&amp;":FG$"&amp;$E$2),J275))</f>
        <v>#VALUE!</v>
      </c>
      <c r="N275" s="0" t="e">
        <f aca="false">IF(ISBLANK(J275),,IF(OR(L275=$B$2,L275=$B$3),1,0))</f>
        <v>#N/A</v>
      </c>
    </row>
    <row r="276" customFormat="false" ht="15.75" hidden="false" customHeight="false" outlineLevel="0" collapsed="false">
      <c r="A276" s="374"/>
      <c r="B276" s="374" t="n">
        <v>0</v>
      </c>
      <c r="C276" s="0" t="str">
        <f aca="false">IF(ISBLANK(B276),,B276&amp;", ")</f>
        <v>0,</v>
      </c>
      <c r="D276" s="0" t="e">
        <f aca="false" t="array" ref="D276:D276">IF(ISBLANK(B276),,INDEX('0.2.1 Move Compare'!$B$2:$B1011,MATCH(B276,'0.2.1 Move Compare'!$A$2:$A1011,0)))</f>
        <v>#N/A</v>
      </c>
      <c r="E276" s="0" t="e">
        <f aca="false" t="array" ref="E276:E276">IF(ISBLANK(B276),,IF(INDEX('0.1.2 Attack Dex (GO)'!C269:C1011,MATCH(B276,'0.1.2 Attack Dex (GO)'!A269:A1011,0))="Fast",1,0))</f>
        <v>#N/A</v>
      </c>
      <c r="F276" s="0" t="e">
        <f aca="true">IF(OR($E$1=0,ISBLANK(B276)),,COUNTIF(INDIRECT("'0.0.2 Pokémon Learnset (Core)'!D$"&amp;$E$2&amp;":FG$"&amp;$E$2),B276))</f>
        <v>#VALUE!</v>
      </c>
      <c r="G276" s="0" t="e">
        <f aca="true">IF(ISBLANK(F276),,COUNTIF(INDIRECT("'0.1.1 Pokémon GO Moves'!C"&amp;$E$3&amp;":R$"&amp;$E$3),B276))</f>
        <v>#N/A</v>
      </c>
      <c r="H276" s="0" t="e">
        <f aca="false">IF(ISBLANK(F276),,IF(OR(D276=$B$2,D276=$B$3),1,0))</f>
        <v>#N/A</v>
      </c>
      <c r="J276" s="0" t="n">
        <v>0</v>
      </c>
      <c r="K276" s="0" t="str">
        <f aca="false">IF(ISBLANK(J276),,J276&amp;", ")</f>
        <v>0,</v>
      </c>
      <c r="L276" s="0" t="e">
        <f aca="false" t="array" ref="L276:L276">IF(ISBLANK(J276),,INDEX('0.2.1 Move Compare'!$B$2:$B1011,MATCH(J276,'0.2.1 Move Compare'!$A$2:$A1011,0)))</f>
        <v>#N/A</v>
      </c>
      <c r="M276" s="0" t="e">
        <f aca="true">IF(OR($E$1=0,ISBLANK(J276)),,COUNTIF(INDIRECT("'0.0.2 Pokémon Learnset (Core)'!D$"&amp;$E$2&amp;":FG$"&amp;$E$2),J276))</f>
        <v>#VALUE!</v>
      </c>
      <c r="N276" s="0" t="e">
        <f aca="false">IF(ISBLANK(J276),,IF(OR(L276=$B$2,L276=$B$3),1,0))</f>
        <v>#N/A</v>
      </c>
    </row>
    <row r="277" customFormat="false" ht="15.75" hidden="false" customHeight="false" outlineLevel="0" collapsed="false">
      <c r="A277" s="374"/>
      <c r="B277" s="374" t="n">
        <v>0</v>
      </c>
      <c r="C277" s="0" t="str">
        <f aca="false">IF(ISBLANK(B277),,B277&amp;", ")</f>
        <v>0,</v>
      </c>
      <c r="D277" s="0" t="e">
        <f aca="false" t="array" ref="D277:D277">IF(ISBLANK(B277),,INDEX('0.2.1 Move Compare'!$B$2:$B1011,MATCH(B277,'0.2.1 Move Compare'!$A$2:$A1011,0)))</f>
        <v>#N/A</v>
      </c>
      <c r="E277" s="0" t="e">
        <f aca="false" t="array" ref="E277:E277">IF(ISBLANK(B277),,IF(INDEX('0.1.2 Attack Dex (GO)'!C270:C1011,MATCH(B277,'0.1.2 Attack Dex (GO)'!A270:A1011,0))="Fast",1,0))</f>
        <v>#N/A</v>
      </c>
      <c r="F277" s="0" t="e">
        <f aca="true">IF(OR($E$1=0,ISBLANK(B277)),,COUNTIF(INDIRECT("'0.0.2 Pokémon Learnset (Core)'!D$"&amp;$E$2&amp;":FG$"&amp;$E$2),B277))</f>
        <v>#VALUE!</v>
      </c>
      <c r="G277" s="0" t="e">
        <f aca="true">IF(ISBLANK(F277),,COUNTIF(INDIRECT("'0.1.1 Pokémon GO Moves'!C"&amp;$E$3&amp;":R$"&amp;$E$3),B277))</f>
        <v>#N/A</v>
      </c>
      <c r="H277" s="0" t="e">
        <f aca="false">IF(ISBLANK(F277),,IF(OR(D277=$B$2,D277=$B$3),1,0))</f>
        <v>#N/A</v>
      </c>
      <c r="J277" s="0" t="n">
        <v>0</v>
      </c>
      <c r="K277" s="0" t="str">
        <f aca="false">IF(ISBLANK(J277),,J277&amp;", ")</f>
        <v>0,</v>
      </c>
      <c r="L277" s="0" t="e">
        <f aca="false" t="array" ref="L277:L277">IF(ISBLANK(J277),,INDEX('0.2.1 Move Compare'!$B$2:$B1011,MATCH(J277,'0.2.1 Move Compare'!$A$2:$A1011,0)))</f>
        <v>#N/A</v>
      </c>
      <c r="M277" s="0" t="e">
        <f aca="true">IF(OR($E$1=0,ISBLANK(J277)),,COUNTIF(INDIRECT("'0.0.2 Pokémon Learnset (Core)'!D$"&amp;$E$2&amp;":FG$"&amp;$E$2),J277))</f>
        <v>#VALUE!</v>
      </c>
      <c r="N277" s="0" t="e">
        <f aca="false">IF(ISBLANK(J277),,IF(OR(L277=$B$2,L277=$B$3),1,0))</f>
        <v>#N/A</v>
      </c>
    </row>
    <row r="278" customFormat="false" ht="15.75" hidden="false" customHeight="false" outlineLevel="0" collapsed="false">
      <c r="A278" s="374"/>
      <c r="B278" s="374" t="n">
        <v>0</v>
      </c>
      <c r="C278" s="0" t="str">
        <f aca="false">IF(ISBLANK(B278),,B278&amp;", ")</f>
        <v>0,</v>
      </c>
      <c r="D278" s="0" t="e">
        <f aca="false" t="array" ref="D278:D278">IF(ISBLANK(B278),,INDEX('0.2.1 Move Compare'!$B$2:$B1011,MATCH(B278,'0.2.1 Move Compare'!$A$2:$A1011,0)))</f>
        <v>#N/A</v>
      </c>
      <c r="E278" s="0" t="e">
        <f aca="false" t="array" ref="E278:E278">IF(ISBLANK(B278),,IF(INDEX('0.1.2 Attack Dex (GO)'!C271:C1011,MATCH(B278,'0.1.2 Attack Dex (GO)'!A271:A1011,0))="Fast",1,0))</f>
        <v>#N/A</v>
      </c>
      <c r="F278" s="0" t="e">
        <f aca="true">IF(OR($E$1=0,ISBLANK(B278)),,COUNTIF(INDIRECT("'0.0.2 Pokémon Learnset (Core)'!D$"&amp;$E$2&amp;":FG$"&amp;$E$2),B278))</f>
        <v>#VALUE!</v>
      </c>
      <c r="G278" s="0" t="e">
        <f aca="true">IF(ISBLANK(F278),,COUNTIF(INDIRECT("'0.1.1 Pokémon GO Moves'!C"&amp;$E$3&amp;":R$"&amp;$E$3),B278))</f>
        <v>#N/A</v>
      </c>
      <c r="H278" s="0" t="e">
        <f aca="false">IF(ISBLANK(F278),,IF(OR(D278=$B$2,D278=$B$3),1,0))</f>
        <v>#N/A</v>
      </c>
      <c r="J278" s="0" t="n">
        <v>0</v>
      </c>
      <c r="K278" s="0" t="str">
        <f aca="false">IF(ISBLANK(J278),,J278&amp;", ")</f>
        <v>0,</v>
      </c>
      <c r="L278" s="0" t="e">
        <f aca="false" t="array" ref="L278:L278">IF(ISBLANK(J278),,INDEX('0.2.1 Move Compare'!$B$2:$B1011,MATCH(J278,'0.2.1 Move Compare'!$A$2:$A1011,0)))</f>
        <v>#N/A</v>
      </c>
      <c r="M278" s="0" t="e">
        <f aca="true">IF(OR($E$1=0,ISBLANK(J278)),,COUNTIF(INDIRECT("'0.0.2 Pokémon Learnset (Core)'!D$"&amp;$E$2&amp;":FG$"&amp;$E$2),J278))</f>
        <v>#VALUE!</v>
      </c>
      <c r="N278" s="0" t="e">
        <f aca="false">IF(ISBLANK(J278),,IF(OR(L278=$B$2,L278=$B$3),1,0))</f>
        <v>#N/A</v>
      </c>
    </row>
    <row r="279" customFormat="false" ht="15.75" hidden="false" customHeight="false" outlineLevel="0" collapsed="false">
      <c r="A279" s="374"/>
      <c r="B279" s="374" t="n">
        <v>0</v>
      </c>
      <c r="C279" s="0" t="str">
        <f aca="false">IF(ISBLANK(B279),,B279&amp;", ")</f>
        <v>0,</v>
      </c>
      <c r="D279" s="0" t="e">
        <f aca="false" t="array" ref="D279:D279">IF(ISBLANK(B279),,INDEX('0.2.1 Move Compare'!$B$2:$B1011,MATCH(B279,'0.2.1 Move Compare'!$A$2:$A1011,0)))</f>
        <v>#N/A</v>
      </c>
      <c r="E279" s="0" t="e">
        <f aca="false" t="array" ref="E279:E279">IF(ISBLANK(B279),,IF(INDEX('0.1.2 Attack Dex (GO)'!C272:C1011,MATCH(B279,'0.1.2 Attack Dex (GO)'!A272:A1011,0))="Fast",1,0))</f>
        <v>#N/A</v>
      </c>
      <c r="F279" s="0" t="e">
        <f aca="true">IF(OR($E$1=0,ISBLANK(B279)),,COUNTIF(INDIRECT("'0.0.2 Pokémon Learnset (Core)'!D$"&amp;$E$2&amp;":FG$"&amp;$E$2),B279))</f>
        <v>#VALUE!</v>
      </c>
      <c r="G279" s="0" t="e">
        <f aca="true">IF(ISBLANK(F279),,COUNTIF(INDIRECT("'0.1.1 Pokémon GO Moves'!C"&amp;$E$3&amp;":R$"&amp;$E$3),B279))</f>
        <v>#N/A</v>
      </c>
      <c r="H279" s="0" t="e">
        <f aca="false">IF(ISBLANK(F279),,IF(OR(D279=$B$2,D279=$B$3),1,0))</f>
        <v>#N/A</v>
      </c>
      <c r="J279" s="0" t="n">
        <v>0</v>
      </c>
      <c r="K279" s="0" t="str">
        <f aca="false">IF(ISBLANK(J279),,J279&amp;", ")</f>
        <v>0,</v>
      </c>
      <c r="L279" s="0" t="e">
        <f aca="false" t="array" ref="L279:L279">IF(ISBLANK(J279),,INDEX('0.2.1 Move Compare'!$B$2:$B1011,MATCH(J279,'0.2.1 Move Compare'!$A$2:$A1011,0)))</f>
        <v>#N/A</v>
      </c>
      <c r="M279" s="0" t="e">
        <f aca="true">IF(OR($E$1=0,ISBLANK(J279)),,COUNTIF(INDIRECT("'0.0.2 Pokémon Learnset (Core)'!D$"&amp;$E$2&amp;":FG$"&amp;$E$2),J279))</f>
        <v>#VALUE!</v>
      </c>
      <c r="N279" s="0" t="e">
        <f aca="false">IF(ISBLANK(J279),,IF(OR(L279=$B$2,L279=$B$3),1,0))</f>
        <v>#N/A</v>
      </c>
    </row>
    <row r="280" customFormat="false" ht="15.75" hidden="false" customHeight="false" outlineLevel="0" collapsed="false">
      <c r="A280" s="374"/>
      <c r="B280" s="374" t="n">
        <v>0</v>
      </c>
      <c r="C280" s="0" t="str">
        <f aca="false">IF(ISBLANK(B280),,B280&amp;", ")</f>
        <v>0,</v>
      </c>
      <c r="D280" s="0" t="e">
        <f aca="false" t="array" ref="D280:D280">IF(ISBLANK(B280),,INDEX('0.2.1 Move Compare'!$B$2:$B1011,MATCH(B280,'0.2.1 Move Compare'!$A$2:$A1011,0)))</f>
        <v>#N/A</v>
      </c>
      <c r="E280" s="0" t="e">
        <f aca="false" t="array" ref="E280:E280">IF(ISBLANK(B280),,IF(INDEX('0.1.2 Attack Dex (GO)'!C273:C1011,MATCH(B280,'0.1.2 Attack Dex (GO)'!A273:A1011,0))="Fast",1,0))</f>
        <v>#N/A</v>
      </c>
      <c r="F280" s="0" t="e">
        <f aca="true">IF(OR($E$1=0,ISBLANK(B280)),,COUNTIF(INDIRECT("'0.0.2 Pokémon Learnset (Core)'!D$"&amp;$E$2&amp;":FG$"&amp;$E$2),B280))</f>
        <v>#VALUE!</v>
      </c>
      <c r="G280" s="0" t="e">
        <f aca="true">IF(ISBLANK(F280),,COUNTIF(INDIRECT("'0.1.1 Pokémon GO Moves'!C"&amp;$E$3&amp;":R$"&amp;$E$3),B280))</f>
        <v>#N/A</v>
      </c>
      <c r="H280" s="0" t="e">
        <f aca="false">IF(ISBLANK(F280),,IF(OR(D280=$B$2,D280=$B$3),1,0))</f>
        <v>#N/A</v>
      </c>
      <c r="J280" s="0" t="n">
        <v>0</v>
      </c>
      <c r="K280" s="0" t="str">
        <f aca="false">IF(ISBLANK(J280),,J280&amp;", ")</f>
        <v>0,</v>
      </c>
      <c r="L280" s="0" t="e">
        <f aca="false" t="array" ref="L280:L280">IF(ISBLANK(J280),,INDEX('0.2.1 Move Compare'!$B$2:$B1011,MATCH(J280,'0.2.1 Move Compare'!$A$2:$A1011,0)))</f>
        <v>#N/A</v>
      </c>
      <c r="M280" s="0" t="e">
        <f aca="true">IF(OR($E$1=0,ISBLANK(J280)),,COUNTIF(INDIRECT("'0.0.2 Pokémon Learnset (Core)'!D$"&amp;$E$2&amp;":FG$"&amp;$E$2),J280))</f>
        <v>#VALUE!</v>
      </c>
      <c r="N280" s="0" t="e">
        <f aca="false">IF(ISBLANK(J280),,IF(OR(L280=$B$2,L280=$B$3),1,0))</f>
        <v>#N/A</v>
      </c>
    </row>
    <row r="281" customFormat="false" ht="15.75" hidden="false" customHeight="false" outlineLevel="0" collapsed="false">
      <c r="A281" s="374"/>
      <c r="B281" s="374" t="n">
        <v>0</v>
      </c>
      <c r="C281" s="0" t="str">
        <f aca="false">IF(ISBLANK(B281),,B281&amp;", ")</f>
        <v>0,</v>
      </c>
      <c r="D281" s="0" t="e">
        <f aca="false" t="array" ref="D281:D281">IF(ISBLANK(B281),,INDEX('0.2.1 Move Compare'!$B$2:$B1011,MATCH(B281,'0.2.1 Move Compare'!$A$2:$A1011,0)))</f>
        <v>#N/A</v>
      </c>
      <c r="E281" s="0" t="e">
        <f aca="false" t="array" ref="E281:E281">IF(ISBLANK(B281),,IF(INDEX('0.1.2 Attack Dex (GO)'!C274:C1011,MATCH(B281,'0.1.2 Attack Dex (GO)'!A274:A1011,0))="Fast",1,0))</f>
        <v>#N/A</v>
      </c>
      <c r="F281" s="0" t="e">
        <f aca="true">IF(OR($E$1=0,ISBLANK(B281)),,COUNTIF(INDIRECT("'0.0.2 Pokémon Learnset (Core)'!D$"&amp;$E$2&amp;":FG$"&amp;$E$2),B281))</f>
        <v>#VALUE!</v>
      </c>
      <c r="G281" s="0" t="e">
        <f aca="true">IF(ISBLANK(F281),,COUNTIF(INDIRECT("'0.1.1 Pokémon GO Moves'!C"&amp;$E$3&amp;":R$"&amp;$E$3),B281))</f>
        <v>#N/A</v>
      </c>
      <c r="H281" s="0" t="e">
        <f aca="false">IF(ISBLANK(F281),,IF(OR(D281=$B$2,D281=$B$3),1,0))</f>
        <v>#N/A</v>
      </c>
      <c r="J281" s="0" t="n">
        <v>0</v>
      </c>
      <c r="K281" s="0" t="str">
        <f aca="false">IF(ISBLANK(J281),,J281&amp;", ")</f>
        <v>0,</v>
      </c>
      <c r="L281" s="0" t="e">
        <f aca="false" t="array" ref="L281:L281">IF(ISBLANK(J281),,INDEX('0.2.1 Move Compare'!$B$2:$B1011,MATCH(J281,'0.2.1 Move Compare'!$A$2:$A1011,0)))</f>
        <v>#N/A</v>
      </c>
      <c r="M281" s="0" t="e">
        <f aca="true">IF(OR($E$1=0,ISBLANK(J281)),,COUNTIF(INDIRECT("'0.0.2 Pokémon Learnset (Core)'!D$"&amp;$E$2&amp;":FG$"&amp;$E$2),J281))</f>
        <v>#VALUE!</v>
      </c>
      <c r="N281" s="0" t="e">
        <f aca="false">IF(ISBLANK(J281),,IF(OR(L281=$B$2,L281=$B$3),1,0))</f>
        <v>#N/A</v>
      </c>
    </row>
    <row r="282" customFormat="false" ht="15.75" hidden="false" customHeight="false" outlineLevel="0" collapsed="false">
      <c r="A282" s="374"/>
      <c r="B282" s="374" t="n">
        <v>0</v>
      </c>
      <c r="C282" s="0" t="str">
        <f aca="false">IF(ISBLANK(B282),,B282&amp;", ")</f>
        <v>0,</v>
      </c>
      <c r="D282" s="0" t="e">
        <f aca="false" t="array" ref="D282:D282">IF(ISBLANK(B282),,INDEX('0.2.1 Move Compare'!$B$2:$B1011,MATCH(B282,'0.2.1 Move Compare'!$A$2:$A1011,0)))</f>
        <v>#N/A</v>
      </c>
      <c r="E282" s="0" t="e">
        <f aca="false" t="array" ref="E282:E282">IF(ISBLANK(B282),,IF(INDEX('0.1.2 Attack Dex (GO)'!C275:C1011,MATCH(B282,'0.1.2 Attack Dex (GO)'!A275:A1011,0))="Fast",1,0))</f>
        <v>#N/A</v>
      </c>
      <c r="F282" s="0" t="e">
        <f aca="true">IF(OR($E$1=0,ISBLANK(B282)),,COUNTIF(INDIRECT("'0.0.2 Pokémon Learnset (Core)'!D$"&amp;$E$2&amp;":FG$"&amp;$E$2),B282))</f>
        <v>#VALUE!</v>
      </c>
      <c r="G282" s="0" t="e">
        <f aca="true">IF(ISBLANK(F282),,COUNTIF(INDIRECT("'0.1.1 Pokémon GO Moves'!C"&amp;$E$3&amp;":R$"&amp;$E$3),B282))</f>
        <v>#N/A</v>
      </c>
      <c r="H282" s="0" t="e">
        <f aca="false">IF(ISBLANK(F282),,IF(OR(D282=$B$2,D282=$B$3),1,0))</f>
        <v>#N/A</v>
      </c>
      <c r="J282" s="0" t="n">
        <v>0</v>
      </c>
      <c r="K282" s="0" t="str">
        <f aca="false">IF(ISBLANK(J282),,J282&amp;", ")</f>
        <v>0,</v>
      </c>
      <c r="L282" s="0" t="e">
        <f aca="false" t="array" ref="L282:L282">IF(ISBLANK(J282),,INDEX('0.2.1 Move Compare'!$B$2:$B1011,MATCH(J282,'0.2.1 Move Compare'!$A$2:$A1011,0)))</f>
        <v>#N/A</v>
      </c>
      <c r="M282" s="0" t="e">
        <f aca="true">IF(OR($E$1=0,ISBLANK(J282)),,COUNTIF(INDIRECT("'0.0.2 Pokémon Learnset (Core)'!D$"&amp;$E$2&amp;":FG$"&amp;$E$2),J282))</f>
        <v>#VALUE!</v>
      </c>
      <c r="N282" s="0" t="e">
        <f aca="false">IF(ISBLANK(J282),,IF(OR(L282=$B$2,L282=$B$3),1,0))</f>
        <v>#N/A</v>
      </c>
    </row>
    <row r="283" customFormat="false" ht="15.75" hidden="false" customHeight="false" outlineLevel="0" collapsed="false">
      <c r="A283" s="374"/>
      <c r="B283" s="374" t="n">
        <v>0</v>
      </c>
      <c r="C283" s="0" t="str">
        <f aca="false">IF(ISBLANK(B283),,B283&amp;", ")</f>
        <v>0,</v>
      </c>
      <c r="D283" s="0" t="e">
        <f aca="false" t="array" ref="D283:D283">IF(ISBLANK(B283),,INDEX('0.2.1 Move Compare'!$B$2:$B1011,MATCH(B283,'0.2.1 Move Compare'!$A$2:$A1011,0)))</f>
        <v>#N/A</v>
      </c>
      <c r="E283" s="0" t="e">
        <f aca="false" t="array" ref="E283:E283">IF(ISBLANK(B283),,IF(INDEX('0.1.2 Attack Dex (GO)'!C276:C1011,MATCH(B283,'0.1.2 Attack Dex (GO)'!A276:A1011,0))="Fast",1,0))</f>
        <v>#N/A</v>
      </c>
      <c r="F283" s="0" t="e">
        <f aca="true">IF(OR($E$1=0,ISBLANK(B283)),,COUNTIF(INDIRECT("'0.0.2 Pokémon Learnset (Core)'!D$"&amp;$E$2&amp;":FG$"&amp;$E$2),B283))</f>
        <v>#VALUE!</v>
      </c>
      <c r="G283" s="0" t="e">
        <f aca="true">IF(ISBLANK(F283),,COUNTIF(INDIRECT("'0.1.1 Pokémon GO Moves'!C"&amp;$E$3&amp;":R$"&amp;$E$3),B283))</f>
        <v>#N/A</v>
      </c>
      <c r="H283" s="0" t="e">
        <f aca="false">IF(ISBLANK(F283),,IF(OR(D283=$B$2,D283=$B$3),1,0))</f>
        <v>#N/A</v>
      </c>
      <c r="J283" s="0" t="n">
        <v>0</v>
      </c>
      <c r="K283" s="0" t="str">
        <f aca="false">IF(ISBLANK(J283),,J283&amp;", ")</f>
        <v>0,</v>
      </c>
      <c r="L283" s="0" t="e">
        <f aca="false" t="array" ref="L283:L283">IF(ISBLANK(J283),,INDEX('0.2.1 Move Compare'!$B$2:$B1011,MATCH(J283,'0.2.1 Move Compare'!$A$2:$A1011,0)))</f>
        <v>#N/A</v>
      </c>
      <c r="M283" s="0" t="e">
        <f aca="true">IF(OR($E$1=0,ISBLANK(J283)),,COUNTIF(INDIRECT("'0.0.2 Pokémon Learnset (Core)'!D$"&amp;$E$2&amp;":FG$"&amp;$E$2),J283))</f>
        <v>#VALUE!</v>
      </c>
      <c r="N283" s="0" t="e">
        <f aca="false">IF(ISBLANK(J283),,IF(OR(L283=$B$2,L283=$B$3),1,0))</f>
        <v>#N/A</v>
      </c>
    </row>
    <row r="284" customFormat="false" ht="15.75" hidden="false" customHeight="false" outlineLevel="0" collapsed="false">
      <c r="A284" s="374"/>
      <c r="B284" s="374" t="n">
        <v>0</v>
      </c>
      <c r="C284" s="0" t="str">
        <f aca="false">IF(ISBLANK(B284),,B284&amp;", ")</f>
        <v>0,</v>
      </c>
      <c r="D284" s="0" t="e">
        <f aca="false" t="array" ref="D284:D284">IF(ISBLANK(B284),,INDEX('0.2.1 Move Compare'!$B$2:$B1011,MATCH(B284,'0.2.1 Move Compare'!$A$2:$A1011,0)))</f>
        <v>#N/A</v>
      </c>
      <c r="E284" s="0" t="e">
        <f aca="false" t="array" ref="E284:E284">IF(ISBLANK(B284),,IF(INDEX('0.1.2 Attack Dex (GO)'!C277:C1011,MATCH(B284,'0.1.2 Attack Dex (GO)'!A277:A1011,0))="Fast",1,0))</f>
        <v>#N/A</v>
      </c>
      <c r="F284" s="0" t="e">
        <f aca="true">IF(OR($E$1=0,ISBLANK(B284)),,COUNTIF(INDIRECT("'0.0.2 Pokémon Learnset (Core)'!D$"&amp;$E$2&amp;":FG$"&amp;$E$2),B284))</f>
        <v>#VALUE!</v>
      </c>
      <c r="G284" s="0" t="e">
        <f aca="true">IF(ISBLANK(F284),,COUNTIF(INDIRECT("'0.1.1 Pokémon GO Moves'!C"&amp;$E$3&amp;":R$"&amp;$E$3),B284))</f>
        <v>#N/A</v>
      </c>
      <c r="H284" s="0" t="e">
        <f aca="false">IF(ISBLANK(F284),,IF(OR(D284=$B$2,D284=$B$3),1,0))</f>
        <v>#N/A</v>
      </c>
      <c r="J284" s="0" t="n">
        <v>0</v>
      </c>
      <c r="K284" s="0" t="str">
        <f aca="false">IF(ISBLANK(J284),,J284&amp;", ")</f>
        <v>0,</v>
      </c>
      <c r="L284" s="0" t="e">
        <f aca="false" t="array" ref="L284:L284">IF(ISBLANK(J284),,INDEX('0.2.1 Move Compare'!$B$2:$B1011,MATCH(J284,'0.2.1 Move Compare'!$A$2:$A1011,0)))</f>
        <v>#N/A</v>
      </c>
      <c r="M284" s="0" t="e">
        <f aca="true">IF(OR($E$1=0,ISBLANK(J284)),,COUNTIF(INDIRECT("'0.0.2 Pokémon Learnset (Core)'!D$"&amp;$E$2&amp;":FG$"&amp;$E$2),J284))</f>
        <v>#VALUE!</v>
      </c>
      <c r="N284" s="0" t="e">
        <f aca="false">IF(ISBLANK(J284),,IF(OR(L284=$B$2,L284=$B$3),1,0))</f>
        <v>#N/A</v>
      </c>
    </row>
    <row r="285" customFormat="false" ht="15.75" hidden="false" customHeight="false" outlineLevel="0" collapsed="false">
      <c r="A285" s="374"/>
      <c r="B285" s="374" t="n">
        <v>0</v>
      </c>
      <c r="C285" s="0" t="str">
        <f aca="false">IF(ISBLANK(B285),,B285&amp;", ")</f>
        <v>0,</v>
      </c>
      <c r="D285" s="0" t="e">
        <f aca="false" t="array" ref="D285:D285">IF(ISBLANK(B285),,INDEX('0.2.1 Move Compare'!$B$2:$B1011,MATCH(B285,'0.2.1 Move Compare'!$A$2:$A1011,0)))</f>
        <v>#N/A</v>
      </c>
      <c r="E285" s="0" t="e">
        <f aca="false" t="array" ref="E285:E285">IF(ISBLANK(B285),,IF(INDEX('0.1.2 Attack Dex (GO)'!C278:C1011,MATCH(B285,'0.1.2 Attack Dex (GO)'!A278:A1011,0))="Fast",1,0))</f>
        <v>#N/A</v>
      </c>
      <c r="F285" s="0" t="e">
        <f aca="true">IF(OR($E$1=0,ISBLANK(B285)),,COUNTIF(INDIRECT("'0.0.2 Pokémon Learnset (Core)'!D$"&amp;$E$2&amp;":FG$"&amp;$E$2),B285))</f>
        <v>#VALUE!</v>
      </c>
      <c r="G285" s="0" t="e">
        <f aca="true">IF(ISBLANK(F285),,COUNTIF(INDIRECT("'0.1.1 Pokémon GO Moves'!C"&amp;$E$3&amp;":R$"&amp;$E$3),B285))</f>
        <v>#N/A</v>
      </c>
      <c r="H285" s="0" t="e">
        <f aca="false">IF(ISBLANK(F285),,IF(OR(D285=$B$2,D285=$B$3),1,0))</f>
        <v>#N/A</v>
      </c>
      <c r="J285" s="0" t="n">
        <v>0</v>
      </c>
      <c r="K285" s="0" t="str">
        <f aca="false">IF(ISBLANK(J285),,J285&amp;", ")</f>
        <v>0,</v>
      </c>
      <c r="L285" s="0" t="e">
        <f aca="false" t="array" ref="L285:L285">IF(ISBLANK(J285),,INDEX('0.2.1 Move Compare'!$B$2:$B1011,MATCH(J285,'0.2.1 Move Compare'!$A$2:$A1011,0)))</f>
        <v>#N/A</v>
      </c>
      <c r="M285" s="0" t="e">
        <f aca="true">IF(OR($E$1=0,ISBLANK(J285)),,COUNTIF(INDIRECT("'0.0.2 Pokémon Learnset (Core)'!D$"&amp;$E$2&amp;":FG$"&amp;$E$2),J285))</f>
        <v>#VALUE!</v>
      </c>
      <c r="N285" s="0" t="e">
        <f aca="false">IF(ISBLANK(J285),,IF(OR(L285=$B$2,L285=$B$3),1,0))</f>
        <v>#N/A</v>
      </c>
    </row>
    <row r="286" customFormat="false" ht="15.75" hidden="false" customHeight="false" outlineLevel="0" collapsed="false">
      <c r="A286" s="374"/>
      <c r="B286" s="374" t="n">
        <v>0</v>
      </c>
      <c r="C286" s="0" t="str">
        <f aca="false">IF(ISBLANK(B286),,B286&amp;", ")</f>
        <v>0,</v>
      </c>
      <c r="D286" s="0" t="e">
        <f aca="false" t="array" ref="D286:D286">IF(ISBLANK(B286),,INDEX('0.2.1 Move Compare'!$B$2:$B1011,MATCH(B286,'0.2.1 Move Compare'!$A$2:$A1011,0)))</f>
        <v>#N/A</v>
      </c>
      <c r="E286" s="0" t="e">
        <f aca="false" t="array" ref="E286:E286">IF(ISBLANK(B286),,IF(INDEX('0.1.2 Attack Dex (GO)'!C279:C1011,MATCH(B286,'0.1.2 Attack Dex (GO)'!A279:A1011,0))="Fast",1,0))</f>
        <v>#N/A</v>
      </c>
      <c r="F286" s="0" t="e">
        <f aca="true">IF(OR($E$1=0,ISBLANK(B286)),,COUNTIF(INDIRECT("'0.0.2 Pokémon Learnset (Core)'!D$"&amp;$E$2&amp;":FG$"&amp;$E$2),B286))</f>
        <v>#VALUE!</v>
      </c>
      <c r="G286" s="0" t="e">
        <f aca="true">IF(ISBLANK(F286),,COUNTIF(INDIRECT("'0.1.1 Pokémon GO Moves'!C"&amp;$E$3&amp;":R$"&amp;$E$3),B286))</f>
        <v>#N/A</v>
      </c>
      <c r="H286" s="0" t="e">
        <f aca="false">IF(ISBLANK(F286),,IF(OR(D286=$B$2,D286=$B$3),1,0))</f>
        <v>#N/A</v>
      </c>
      <c r="J286" s="0" t="n">
        <v>0</v>
      </c>
      <c r="K286" s="0" t="str">
        <f aca="false">IF(ISBLANK(J286),,J286&amp;", ")</f>
        <v>0,</v>
      </c>
      <c r="L286" s="0" t="e">
        <f aca="false" t="array" ref="L286:L286">IF(ISBLANK(J286),,INDEX('0.2.1 Move Compare'!$B$2:$B1011,MATCH(J286,'0.2.1 Move Compare'!$A$2:$A1011,0)))</f>
        <v>#N/A</v>
      </c>
      <c r="M286" s="0" t="e">
        <f aca="true">IF(OR($E$1=0,ISBLANK(J286)),,COUNTIF(INDIRECT("'0.0.2 Pokémon Learnset (Core)'!D$"&amp;$E$2&amp;":FG$"&amp;$E$2),J286))</f>
        <v>#VALUE!</v>
      </c>
      <c r="N286" s="0" t="e">
        <f aca="false">IF(ISBLANK(J286),,IF(OR(L286=$B$2,L286=$B$3),1,0))</f>
        <v>#N/A</v>
      </c>
    </row>
    <row r="287" customFormat="false" ht="15.75" hidden="false" customHeight="false" outlineLevel="0" collapsed="false">
      <c r="A287" s="374"/>
      <c r="B287" s="374" t="n">
        <v>0</v>
      </c>
      <c r="C287" s="0" t="str">
        <f aca="false">IF(ISBLANK(B287),,B287&amp;", ")</f>
        <v>0,</v>
      </c>
      <c r="D287" s="0" t="e">
        <f aca="false" t="array" ref="D287:D287">IF(ISBLANK(B287),,INDEX('0.2.1 Move Compare'!$B$2:$B1011,MATCH(B287,'0.2.1 Move Compare'!$A$2:$A1011,0)))</f>
        <v>#N/A</v>
      </c>
      <c r="E287" s="0" t="e">
        <f aca="false" t="array" ref="E287:E287">IF(ISBLANK(B287),,IF(INDEX('0.1.2 Attack Dex (GO)'!C280:C1011,MATCH(B287,'0.1.2 Attack Dex (GO)'!A280:A1011,0))="Fast",1,0))</f>
        <v>#N/A</v>
      </c>
      <c r="F287" s="0" t="e">
        <f aca="true">IF(OR($E$1=0,ISBLANK(B287)),,COUNTIF(INDIRECT("'0.0.2 Pokémon Learnset (Core)'!D$"&amp;$E$2&amp;":FG$"&amp;$E$2),B287))</f>
        <v>#VALUE!</v>
      </c>
      <c r="G287" s="0" t="e">
        <f aca="true">IF(ISBLANK(F287),,COUNTIF(INDIRECT("'0.1.1 Pokémon GO Moves'!C"&amp;$E$3&amp;":R$"&amp;$E$3),B287))</f>
        <v>#N/A</v>
      </c>
      <c r="H287" s="0" t="e">
        <f aca="false">IF(ISBLANK(F287),,IF(OR(D287=$B$2,D287=$B$3),1,0))</f>
        <v>#N/A</v>
      </c>
      <c r="J287" s="0" t="n">
        <v>0</v>
      </c>
      <c r="K287" s="0" t="str">
        <f aca="false">IF(ISBLANK(J287),,J287&amp;", ")</f>
        <v>0,</v>
      </c>
      <c r="L287" s="0" t="e">
        <f aca="false" t="array" ref="L287:L287">IF(ISBLANK(J287),,INDEX('0.2.1 Move Compare'!$B$2:$B1011,MATCH(J287,'0.2.1 Move Compare'!$A$2:$A1011,0)))</f>
        <v>#N/A</v>
      </c>
      <c r="M287" s="0" t="e">
        <f aca="true">IF(OR($E$1=0,ISBLANK(J287)),,COUNTIF(INDIRECT("'0.0.2 Pokémon Learnset (Core)'!D$"&amp;$E$2&amp;":FG$"&amp;$E$2),J287))</f>
        <v>#VALUE!</v>
      </c>
      <c r="N287" s="0" t="e">
        <f aca="false">IF(ISBLANK(J287),,IF(OR(L287=$B$2,L287=$B$3),1,0))</f>
        <v>#N/A</v>
      </c>
    </row>
    <row r="288" customFormat="false" ht="15.75" hidden="false" customHeight="false" outlineLevel="0" collapsed="false">
      <c r="A288" s="374"/>
      <c r="B288" s="374" t="n">
        <v>0</v>
      </c>
      <c r="C288" s="0" t="str">
        <f aca="false">IF(ISBLANK(B288),,B288&amp;", ")</f>
        <v>0,</v>
      </c>
      <c r="D288" s="0" t="e">
        <f aca="false" t="array" ref="D288:D288">IF(ISBLANK(B288),,INDEX('0.2.1 Move Compare'!$B$2:$B1011,MATCH(B288,'0.2.1 Move Compare'!$A$2:$A1011,0)))</f>
        <v>#N/A</v>
      </c>
      <c r="E288" s="0" t="e">
        <f aca="false" t="array" ref="E288:E288">IF(ISBLANK(B288),,IF(INDEX('0.1.2 Attack Dex (GO)'!C281:C1011,MATCH(B288,'0.1.2 Attack Dex (GO)'!A281:A1011,0))="Fast",1,0))</f>
        <v>#N/A</v>
      </c>
      <c r="F288" s="0" t="e">
        <f aca="true">IF(OR($E$1=0,ISBLANK(B288)),,COUNTIF(INDIRECT("'0.0.2 Pokémon Learnset (Core)'!D$"&amp;$E$2&amp;":FG$"&amp;$E$2),B288))</f>
        <v>#VALUE!</v>
      </c>
      <c r="G288" s="0" t="e">
        <f aca="true">IF(ISBLANK(F288),,COUNTIF(INDIRECT("'0.1.1 Pokémon GO Moves'!C"&amp;$E$3&amp;":R$"&amp;$E$3),B288))</f>
        <v>#N/A</v>
      </c>
      <c r="H288" s="0" t="e">
        <f aca="false">IF(ISBLANK(F288),,IF(OR(D288=$B$2,D288=$B$3),1,0))</f>
        <v>#N/A</v>
      </c>
      <c r="J288" s="0" t="n">
        <v>0</v>
      </c>
      <c r="K288" s="0" t="str">
        <f aca="false">IF(ISBLANK(J288),,J288&amp;", ")</f>
        <v>0,</v>
      </c>
      <c r="L288" s="0" t="e">
        <f aca="false" t="array" ref="L288:L288">IF(ISBLANK(J288),,INDEX('0.2.1 Move Compare'!$B$2:$B1011,MATCH(J288,'0.2.1 Move Compare'!$A$2:$A1011,0)))</f>
        <v>#N/A</v>
      </c>
      <c r="M288" s="0" t="e">
        <f aca="true">IF(OR($E$1=0,ISBLANK(J288)),,COUNTIF(INDIRECT("'0.0.2 Pokémon Learnset (Core)'!D$"&amp;$E$2&amp;":FG$"&amp;$E$2),J288))</f>
        <v>#VALUE!</v>
      </c>
      <c r="N288" s="0" t="e">
        <f aca="false">IF(ISBLANK(J288),,IF(OR(L288=$B$2,L288=$B$3),1,0))</f>
        <v>#N/A</v>
      </c>
    </row>
    <row r="289" customFormat="false" ht="15.75" hidden="false" customHeight="false" outlineLevel="0" collapsed="false">
      <c r="A289" s="374"/>
      <c r="B289" s="374" t="n">
        <v>0</v>
      </c>
      <c r="C289" s="0" t="str">
        <f aca="false">IF(ISBLANK(B289),,B289&amp;", ")</f>
        <v>0,</v>
      </c>
      <c r="D289" s="0" t="e">
        <f aca="false" t="array" ref="D289:D289">IF(ISBLANK(B289),,INDEX('0.2.1 Move Compare'!$B$2:$B1011,MATCH(B289,'0.2.1 Move Compare'!$A$2:$A1011,0)))</f>
        <v>#N/A</v>
      </c>
      <c r="E289" s="0" t="e">
        <f aca="false" t="array" ref="E289:E289">IF(ISBLANK(B289),,IF(INDEX('0.1.2 Attack Dex (GO)'!C282:C1011,MATCH(B289,'0.1.2 Attack Dex (GO)'!A282:A1011,0))="Fast",1,0))</f>
        <v>#N/A</v>
      </c>
      <c r="F289" s="0" t="e">
        <f aca="true">IF(OR($E$1=0,ISBLANK(B289)),,COUNTIF(INDIRECT("'0.0.2 Pokémon Learnset (Core)'!D$"&amp;$E$2&amp;":FG$"&amp;$E$2),B289))</f>
        <v>#VALUE!</v>
      </c>
      <c r="G289" s="0" t="e">
        <f aca="true">IF(ISBLANK(F289),,COUNTIF(INDIRECT("'0.1.1 Pokémon GO Moves'!C"&amp;$E$3&amp;":R$"&amp;$E$3),B289))</f>
        <v>#N/A</v>
      </c>
      <c r="H289" s="0" t="e">
        <f aca="false">IF(ISBLANK(F289),,IF(OR(D289=$B$2,D289=$B$3),1,0))</f>
        <v>#N/A</v>
      </c>
      <c r="J289" s="0" t="n">
        <v>0</v>
      </c>
      <c r="K289" s="0" t="str">
        <f aca="false">IF(ISBLANK(J289),,J289&amp;", ")</f>
        <v>0,</v>
      </c>
      <c r="L289" s="0" t="e">
        <f aca="false" t="array" ref="L289:L289">IF(ISBLANK(J289),,INDEX('0.2.1 Move Compare'!$B$2:$B1011,MATCH(J289,'0.2.1 Move Compare'!$A$2:$A1011,0)))</f>
        <v>#N/A</v>
      </c>
      <c r="M289" s="0" t="e">
        <f aca="true">IF(OR($E$1=0,ISBLANK(J289)),,COUNTIF(INDIRECT("'0.0.2 Pokémon Learnset (Core)'!D$"&amp;$E$2&amp;":FG$"&amp;$E$2),J289))</f>
        <v>#VALUE!</v>
      </c>
      <c r="N289" s="0" t="e">
        <f aca="false">IF(ISBLANK(J289),,IF(OR(L289=$B$2,L289=$B$3),1,0))</f>
        <v>#N/A</v>
      </c>
    </row>
    <row r="290" customFormat="false" ht="15.75" hidden="false" customHeight="false" outlineLevel="0" collapsed="false">
      <c r="A290" s="374"/>
      <c r="B290" s="374" t="n">
        <v>0</v>
      </c>
      <c r="C290" s="0" t="str">
        <f aca="false">IF(ISBLANK(B290),,B290&amp;", ")</f>
        <v>0,</v>
      </c>
      <c r="D290" s="0" t="e">
        <f aca="false" t="array" ref="D290:D290">IF(ISBLANK(B290),,INDEX('0.2.1 Move Compare'!$B$2:$B1011,MATCH(B290,'0.2.1 Move Compare'!$A$2:$A1011,0)))</f>
        <v>#N/A</v>
      </c>
      <c r="E290" s="0" t="e">
        <f aca="false" t="array" ref="E290:E290">IF(ISBLANK(B290),,IF(INDEX('0.1.2 Attack Dex (GO)'!C283:C1011,MATCH(B290,'0.1.2 Attack Dex (GO)'!A283:A1011,0))="Fast",1,0))</f>
        <v>#N/A</v>
      </c>
      <c r="F290" s="0" t="e">
        <f aca="true">IF(OR($E$1=0,ISBLANK(B290)),,COUNTIF(INDIRECT("'0.0.2 Pokémon Learnset (Core)'!D$"&amp;$E$2&amp;":FG$"&amp;$E$2),B290))</f>
        <v>#VALUE!</v>
      </c>
      <c r="G290" s="0" t="e">
        <f aca="true">IF(ISBLANK(F290),,COUNTIF(INDIRECT("'0.1.1 Pokémon GO Moves'!C"&amp;$E$3&amp;":R$"&amp;$E$3),B290))</f>
        <v>#N/A</v>
      </c>
      <c r="H290" s="0" t="e">
        <f aca="false">IF(ISBLANK(F290),,IF(OR(D290=$B$2,D290=$B$3),1,0))</f>
        <v>#N/A</v>
      </c>
      <c r="J290" s="0" t="n">
        <v>0</v>
      </c>
      <c r="K290" s="0" t="str">
        <f aca="false">IF(ISBLANK(J290),,J290&amp;", ")</f>
        <v>0,</v>
      </c>
      <c r="L290" s="0" t="e">
        <f aca="false" t="array" ref="L290:L290">IF(ISBLANK(J290),,INDEX('0.2.1 Move Compare'!$B$2:$B1011,MATCH(J290,'0.2.1 Move Compare'!$A$2:$A1011,0)))</f>
        <v>#N/A</v>
      </c>
      <c r="M290" s="0" t="e">
        <f aca="true">IF(OR($E$1=0,ISBLANK(J290)),,COUNTIF(INDIRECT("'0.0.2 Pokémon Learnset (Core)'!D$"&amp;$E$2&amp;":FG$"&amp;$E$2),J290))</f>
        <v>#VALUE!</v>
      </c>
      <c r="N290" s="0" t="e">
        <f aca="false">IF(ISBLANK(J290),,IF(OR(L290=$B$2,L290=$B$3),1,0))</f>
        <v>#N/A</v>
      </c>
    </row>
    <row r="291" customFormat="false" ht="15.75" hidden="false" customHeight="false" outlineLevel="0" collapsed="false">
      <c r="A291" s="374"/>
      <c r="B291" s="374" t="n">
        <v>0</v>
      </c>
      <c r="C291" s="0" t="str">
        <f aca="false">IF(ISBLANK(B291),,B291&amp;", ")</f>
        <v>0,</v>
      </c>
      <c r="D291" s="0" t="e">
        <f aca="false" t="array" ref="D291:D291">IF(ISBLANK(B291),,INDEX('0.2.1 Move Compare'!$B$2:$B1011,MATCH(B291,'0.2.1 Move Compare'!$A$2:$A1011,0)))</f>
        <v>#N/A</v>
      </c>
      <c r="E291" s="0" t="e">
        <f aca="false" t="array" ref="E291:E291">IF(ISBLANK(B291),,IF(INDEX('0.1.2 Attack Dex (GO)'!C284:C1011,MATCH(B291,'0.1.2 Attack Dex (GO)'!A284:A1011,0))="Fast",1,0))</f>
        <v>#N/A</v>
      </c>
      <c r="F291" s="0" t="e">
        <f aca="true">IF(OR($E$1=0,ISBLANK(B291)),,COUNTIF(INDIRECT("'0.0.2 Pokémon Learnset (Core)'!D$"&amp;$E$2&amp;":FG$"&amp;$E$2),B291))</f>
        <v>#VALUE!</v>
      </c>
      <c r="G291" s="0" t="e">
        <f aca="true">IF(ISBLANK(F291),,COUNTIF(INDIRECT("'0.1.1 Pokémon GO Moves'!C"&amp;$E$3&amp;":R$"&amp;$E$3),B291))</f>
        <v>#N/A</v>
      </c>
      <c r="H291" s="0" t="e">
        <f aca="false">IF(ISBLANK(F291),,IF(OR(D291=$B$2,D291=$B$3),1,0))</f>
        <v>#N/A</v>
      </c>
      <c r="J291" s="0" t="n">
        <v>0</v>
      </c>
      <c r="K291" s="0" t="str">
        <f aca="false">IF(ISBLANK(J291),,J291&amp;", ")</f>
        <v>0,</v>
      </c>
      <c r="L291" s="0" t="e">
        <f aca="false" t="array" ref="L291:L291">IF(ISBLANK(J291),,INDEX('0.2.1 Move Compare'!$B$2:$B1011,MATCH(J291,'0.2.1 Move Compare'!$A$2:$A1011,0)))</f>
        <v>#N/A</v>
      </c>
      <c r="M291" s="0" t="e">
        <f aca="true">IF(OR($E$1=0,ISBLANK(J291)),,COUNTIF(INDIRECT("'0.0.2 Pokémon Learnset (Core)'!D$"&amp;$E$2&amp;":FG$"&amp;$E$2),J291))</f>
        <v>#VALUE!</v>
      </c>
      <c r="N291" s="0" t="e">
        <f aca="false">IF(ISBLANK(J291),,IF(OR(L291=$B$2,L291=$B$3),1,0))</f>
        <v>#N/A</v>
      </c>
    </row>
    <row r="292" customFormat="false" ht="15.75" hidden="false" customHeight="false" outlineLevel="0" collapsed="false">
      <c r="A292" s="374"/>
      <c r="B292" s="374" t="n">
        <v>0</v>
      </c>
      <c r="C292" s="0" t="str">
        <f aca="false">IF(ISBLANK(B292),,B292&amp;", ")</f>
        <v>0,</v>
      </c>
      <c r="D292" s="0" t="e">
        <f aca="false" t="array" ref="D292:D292">IF(ISBLANK(B292),,INDEX('0.2.1 Move Compare'!$B$2:$B1011,MATCH(B292,'0.2.1 Move Compare'!$A$2:$A1011,0)))</f>
        <v>#N/A</v>
      </c>
      <c r="E292" s="0" t="e">
        <f aca="false" t="array" ref="E292:E292">IF(ISBLANK(B292),,IF(INDEX('0.1.2 Attack Dex (GO)'!C285:C1011,MATCH(B292,'0.1.2 Attack Dex (GO)'!A285:A1011,0))="Fast",1,0))</f>
        <v>#N/A</v>
      </c>
      <c r="F292" s="0" t="e">
        <f aca="true">IF(OR($E$1=0,ISBLANK(B292)),,COUNTIF(INDIRECT("'0.0.2 Pokémon Learnset (Core)'!D$"&amp;$E$2&amp;":FG$"&amp;$E$2),B292))</f>
        <v>#VALUE!</v>
      </c>
      <c r="G292" s="0" t="e">
        <f aca="true">IF(ISBLANK(F292),,COUNTIF(INDIRECT("'0.1.1 Pokémon GO Moves'!C"&amp;$E$3&amp;":R$"&amp;$E$3),B292))</f>
        <v>#N/A</v>
      </c>
      <c r="H292" s="0" t="e">
        <f aca="false">IF(ISBLANK(F292),,IF(OR(D292=$B$2,D292=$B$3),1,0))</f>
        <v>#N/A</v>
      </c>
      <c r="J292" s="0" t="n">
        <v>0</v>
      </c>
      <c r="K292" s="0" t="str">
        <f aca="false">IF(ISBLANK(J292),,J292&amp;", ")</f>
        <v>0,</v>
      </c>
      <c r="L292" s="0" t="e">
        <f aca="false" t="array" ref="L292:L292">IF(ISBLANK(J292),,INDEX('0.2.1 Move Compare'!$B$2:$B1011,MATCH(J292,'0.2.1 Move Compare'!$A$2:$A1011,0)))</f>
        <v>#N/A</v>
      </c>
      <c r="M292" s="0" t="e">
        <f aca="true">IF(OR($E$1=0,ISBLANK(J292)),,COUNTIF(INDIRECT("'0.0.2 Pokémon Learnset (Core)'!D$"&amp;$E$2&amp;":FG$"&amp;$E$2),J292))</f>
        <v>#VALUE!</v>
      </c>
      <c r="N292" s="0" t="e">
        <f aca="false">IF(ISBLANK(J292),,IF(OR(L292=$B$2,L292=$B$3),1,0))</f>
        <v>#N/A</v>
      </c>
    </row>
    <row r="293" customFormat="false" ht="15.75" hidden="false" customHeight="false" outlineLevel="0" collapsed="false">
      <c r="A293" s="374"/>
      <c r="B293" s="374" t="n">
        <v>0</v>
      </c>
      <c r="C293" s="0" t="str">
        <f aca="false">IF(ISBLANK(B293),,B293&amp;", ")</f>
        <v>0,</v>
      </c>
      <c r="D293" s="0" t="e">
        <f aca="false" t="array" ref="D293:D293">IF(ISBLANK(B293),,INDEX('0.2.1 Move Compare'!$B$2:$B1011,MATCH(B293,'0.2.1 Move Compare'!$A$2:$A1011,0)))</f>
        <v>#N/A</v>
      </c>
      <c r="E293" s="0" t="e">
        <f aca="false" t="array" ref="E293:E293">IF(ISBLANK(B293),,IF(INDEX('0.1.2 Attack Dex (GO)'!C286:C1011,MATCH(B293,'0.1.2 Attack Dex (GO)'!A286:A1011,0))="Fast",1,0))</f>
        <v>#N/A</v>
      </c>
      <c r="F293" s="0" t="e">
        <f aca="true">IF(OR($E$1=0,ISBLANK(B293)),,COUNTIF(INDIRECT("'0.0.2 Pokémon Learnset (Core)'!D$"&amp;$E$2&amp;":FG$"&amp;$E$2),B293))</f>
        <v>#VALUE!</v>
      </c>
      <c r="G293" s="0" t="e">
        <f aca="true">IF(ISBLANK(F293),,COUNTIF(INDIRECT("'0.1.1 Pokémon GO Moves'!C"&amp;$E$3&amp;":R$"&amp;$E$3),B293))</f>
        <v>#N/A</v>
      </c>
      <c r="H293" s="0" t="e">
        <f aca="false">IF(ISBLANK(F293),,IF(OR(D293=$B$2,D293=$B$3),1,0))</f>
        <v>#N/A</v>
      </c>
      <c r="J293" s="0" t="n">
        <v>0</v>
      </c>
      <c r="K293" s="0" t="str">
        <f aca="false">IF(ISBLANK(J293),,J293&amp;", ")</f>
        <v>0,</v>
      </c>
      <c r="L293" s="0" t="e">
        <f aca="false" t="array" ref="L293:L293">IF(ISBLANK(J293),,INDEX('0.2.1 Move Compare'!$B$2:$B1011,MATCH(J293,'0.2.1 Move Compare'!$A$2:$A1011,0)))</f>
        <v>#N/A</v>
      </c>
      <c r="M293" s="0" t="e">
        <f aca="true">IF(OR($E$1=0,ISBLANK(J293)),,COUNTIF(INDIRECT("'0.0.2 Pokémon Learnset (Core)'!D$"&amp;$E$2&amp;":FG$"&amp;$E$2),J293))</f>
        <v>#VALUE!</v>
      </c>
      <c r="N293" s="0" t="e">
        <f aca="false">IF(ISBLANK(J293),,IF(OR(L293=$B$2,L293=$B$3),1,0))</f>
        <v>#N/A</v>
      </c>
    </row>
    <row r="294" customFormat="false" ht="15.75" hidden="false" customHeight="false" outlineLevel="0" collapsed="false">
      <c r="A294" s="374"/>
      <c r="B294" s="374" t="n">
        <v>0</v>
      </c>
      <c r="C294" s="0" t="str">
        <f aca="false">IF(ISBLANK(B294),,B294&amp;", ")</f>
        <v>0,</v>
      </c>
      <c r="D294" s="0" t="e">
        <f aca="false" t="array" ref="D294:D294">IF(ISBLANK(B294),,INDEX('0.2.1 Move Compare'!$B$2:$B1011,MATCH(B294,'0.2.1 Move Compare'!$A$2:$A1011,0)))</f>
        <v>#N/A</v>
      </c>
      <c r="E294" s="0" t="e">
        <f aca="false" t="array" ref="E294:E294">IF(ISBLANK(B294),,IF(INDEX('0.1.2 Attack Dex (GO)'!C287:C1011,MATCH(B294,'0.1.2 Attack Dex (GO)'!A287:A1011,0))="Fast",1,0))</f>
        <v>#N/A</v>
      </c>
      <c r="F294" s="0" t="e">
        <f aca="true">IF(OR($E$1=0,ISBLANK(B294)),,COUNTIF(INDIRECT("'0.0.2 Pokémon Learnset (Core)'!D$"&amp;$E$2&amp;":FG$"&amp;$E$2),B294))</f>
        <v>#VALUE!</v>
      </c>
      <c r="G294" s="0" t="e">
        <f aca="true">IF(ISBLANK(F294),,COUNTIF(INDIRECT("'0.1.1 Pokémon GO Moves'!C"&amp;$E$3&amp;":R$"&amp;$E$3),B294))</f>
        <v>#N/A</v>
      </c>
      <c r="H294" s="0" t="e">
        <f aca="false">IF(ISBLANK(F294),,IF(OR(D294=$B$2,D294=$B$3),1,0))</f>
        <v>#N/A</v>
      </c>
      <c r="J294" s="0" t="n">
        <v>0</v>
      </c>
      <c r="K294" s="0" t="str">
        <f aca="false">IF(ISBLANK(J294),,J294&amp;", ")</f>
        <v>0,</v>
      </c>
      <c r="L294" s="0" t="e">
        <f aca="false" t="array" ref="L294:L294">IF(ISBLANK(J294),,INDEX('0.2.1 Move Compare'!$B$2:$B1011,MATCH(J294,'0.2.1 Move Compare'!$A$2:$A1011,0)))</f>
        <v>#N/A</v>
      </c>
      <c r="M294" s="0" t="e">
        <f aca="true">IF(OR($E$1=0,ISBLANK(J294)),,COUNTIF(INDIRECT("'0.0.2 Pokémon Learnset (Core)'!D$"&amp;$E$2&amp;":FG$"&amp;$E$2),J294))</f>
        <v>#VALUE!</v>
      </c>
      <c r="N294" s="0" t="e">
        <f aca="false">IF(ISBLANK(J294),,IF(OR(L294=$B$2,L294=$B$3),1,0))</f>
        <v>#N/A</v>
      </c>
    </row>
    <row r="295" customFormat="false" ht="15.75" hidden="false" customHeight="false" outlineLevel="0" collapsed="false">
      <c r="A295" s="374"/>
      <c r="B295" s="374" t="n">
        <v>0</v>
      </c>
      <c r="C295" s="0" t="str">
        <f aca="false">IF(ISBLANK(B295),,B295&amp;", ")</f>
        <v>0,</v>
      </c>
      <c r="D295" s="0" t="e">
        <f aca="false" t="array" ref="D295:D295">IF(ISBLANK(B295),,INDEX('0.2.1 Move Compare'!$B$2:$B1011,MATCH(B295,'0.2.1 Move Compare'!$A$2:$A1011,0)))</f>
        <v>#N/A</v>
      </c>
      <c r="E295" s="0" t="e">
        <f aca="false" t="array" ref="E295:E295">IF(ISBLANK(B295),,IF(INDEX('0.1.2 Attack Dex (GO)'!C288:C1011,MATCH(B295,'0.1.2 Attack Dex (GO)'!A288:A1011,0))="Fast",1,0))</f>
        <v>#N/A</v>
      </c>
      <c r="F295" s="0" t="e">
        <f aca="true">IF(OR($E$1=0,ISBLANK(B295)),,COUNTIF(INDIRECT("'0.0.2 Pokémon Learnset (Core)'!D$"&amp;$E$2&amp;":FG$"&amp;$E$2),B295))</f>
        <v>#VALUE!</v>
      </c>
      <c r="G295" s="0" t="e">
        <f aca="true">IF(ISBLANK(F295),,COUNTIF(INDIRECT("'0.1.1 Pokémon GO Moves'!C"&amp;$E$3&amp;":R$"&amp;$E$3),B295))</f>
        <v>#N/A</v>
      </c>
      <c r="H295" s="0" t="e">
        <f aca="false">IF(ISBLANK(F295),,IF(OR(D295=$B$2,D295=$B$3),1,0))</f>
        <v>#N/A</v>
      </c>
      <c r="J295" s="0" t="n">
        <v>0</v>
      </c>
      <c r="K295" s="0" t="str">
        <f aca="false">IF(ISBLANK(J295),,J295&amp;", ")</f>
        <v>0,</v>
      </c>
      <c r="L295" s="0" t="e">
        <f aca="false" t="array" ref="L295:L295">IF(ISBLANK(J295),,INDEX('0.2.1 Move Compare'!$B$2:$B1011,MATCH(J295,'0.2.1 Move Compare'!$A$2:$A1011,0)))</f>
        <v>#N/A</v>
      </c>
      <c r="M295" s="0" t="e">
        <f aca="true">IF(OR($E$1=0,ISBLANK(J295)),,COUNTIF(INDIRECT("'0.0.2 Pokémon Learnset (Core)'!D$"&amp;$E$2&amp;":FG$"&amp;$E$2),J295))</f>
        <v>#VALUE!</v>
      </c>
      <c r="N295" s="0" t="e">
        <f aca="false">IF(ISBLANK(J295),,IF(OR(L295=$B$2,L295=$B$3),1,0))</f>
        <v>#N/A</v>
      </c>
    </row>
    <row r="296" customFormat="false" ht="15.75" hidden="false" customHeight="false" outlineLevel="0" collapsed="false">
      <c r="A296" s="374"/>
      <c r="B296" s="374" t="n">
        <v>0</v>
      </c>
      <c r="C296" s="0" t="str">
        <f aca="false">IF(ISBLANK(B296),,B296&amp;", ")</f>
        <v>0,</v>
      </c>
      <c r="D296" s="0" t="e">
        <f aca="false" t="array" ref="D296:D296">IF(ISBLANK(B296),,INDEX('0.2.1 Move Compare'!$B$2:$B1011,MATCH(B296,'0.2.1 Move Compare'!$A$2:$A1011,0)))</f>
        <v>#N/A</v>
      </c>
      <c r="E296" s="0" t="e">
        <f aca="false" t="array" ref="E296:E296">IF(ISBLANK(B296),,IF(INDEX('0.1.2 Attack Dex (GO)'!C289:C1011,MATCH(B296,'0.1.2 Attack Dex (GO)'!A289:A1011,0))="Fast",1,0))</f>
        <v>#N/A</v>
      </c>
      <c r="F296" s="0" t="e">
        <f aca="true">IF(OR($E$1=0,ISBLANK(B296)),,COUNTIF(INDIRECT("'0.0.2 Pokémon Learnset (Core)'!D$"&amp;$E$2&amp;":FG$"&amp;$E$2),B296))</f>
        <v>#VALUE!</v>
      </c>
      <c r="G296" s="0" t="e">
        <f aca="true">IF(ISBLANK(F296),,COUNTIF(INDIRECT("'0.1.1 Pokémon GO Moves'!C"&amp;$E$3&amp;":R$"&amp;$E$3),B296))</f>
        <v>#N/A</v>
      </c>
      <c r="H296" s="0" t="e">
        <f aca="false">IF(ISBLANK(F296),,IF(OR(D296=$B$2,D296=$B$3),1,0))</f>
        <v>#N/A</v>
      </c>
      <c r="J296" s="0" t="n">
        <v>0</v>
      </c>
      <c r="K296" s="0" t="str">
        <f aca="false">IF(ISBLANK(J296),,J296&amp;", ")</f>
        <v>0,</v>
      </c>
      <c r="L296" s="0" t="e">
        <f aca="false" t="array" ref="L296:L296">IF(ISBLANK(J296),,INDEX('0.2.1 Move Compare'!$B$2:$B1011,MATCH(J296,'0.2.1 Move Compare'!$A$2:$A1011,0)))</f>
        <v>#N/A</v>
      </c>
      <c r="M296" s="0" t="e">
        <f aca="true">IF(OR($E$1=0,ISBLANK(J296)),,COUNTIF(INDIRECT("'0.0.2 Pokémon Learnset (Core)'!D$"&amp;$E$2&amp;":FG$"&amp;$E$2),J296))</f>
        <v>#VALUE!</v>
      </c>
      <c r="N296" s="0" t="e">
        <f aca="false">IF(ISBLANK(J296),,IF(OR(L296=$B$2,L296=$B$3),1,0))</f>
        <v>#N/A</v>
      </c>
    </row>
    <row r="297" customFormat="false" ht="15.75" hidden="false" customHeight="false" outlineLevel="0" collapsed="false">
      <c r="A297" s="374"/>
      <c r="B297" s="374" t="n">
        <v>0</v>
      </c>
      <c r="C297" s="0" t="str">
        <f aca="false">IF(ISBLANK(B297),,B297&amp;", ")</f>
        <v>0,</v>
      </c>
      <c r="D297" s="0" t="e">
        <f aca="false" t="array" ref="D297:D297">IF(ISBLANK(B297),,INDEX('0.2.1 Move Compare'!$B$2:$B1011,MATCH(B297,'0.2.1 Move Compare'!$A$2:$A1011,0)))</f>
        <v>#N/A</v>
      </c>
      <c r="E297" s="0" t="e">
        <f aca="false" t="array" ref="E297:E297">IF(ISBLANK(B297),,IF(INDEX('0.1.2 Attack Dex (GO)'!C290:C1011,MATCH(B297,'0.1.2 Attack Dex (GO)'!A290:A1011,0))="Fast",1,0))</f>
        <v>#N/A</v>
      </c>
      <c r="F297" s="0" t="e">
        <f aca="true">IF(OR($E$1=0,ISBLANK(B297)),,COUNTIF(INDIRECT("'0.0.2 Pokémon Learnset (Core)'!D$"&amp;$E$2&amp;":FG$"&amp;$E$2),B297))</f>
        <v>#VALUE!</v>
      </c>
      <c r="G297" s="0" t="e">
        <f aca="true">IF(ISBLANK(F297),,COUNTIF(INDIRECT("'0.1.1 Pokémon GO Moves'!C"&amp;$E$3&amp;":R$"&amp;$E$3),B297))</f>
        <v>#N/A</v>
      </c>
      <c r="H297" s="0" t="e">
        <f aca="false">IF(ISBLANK(F297),,IF(OR(D297=$B$2,D297=$B$3),1,0))</f>
        <v>#N/A</v>
      </c>
      <c r="J297" s="0" t="n">
        <v>0</v>
      </c>
      <c r="K297" s="0" t="str">
        <f aca="false">IF(ISBLANK(J297),,J297&amp;", ")</f>
        <v>0,</v>
      </c>
      <c r="L297" s="0" t="e">
        <f aca="false" t="array" ref="L297:L297">IF(ISBLANK(J297),,INDEX('0.2.1 Move Compare'!$B$2:$B1011,MATCH(J297,'0.2.1 Move Compare'!$A$2:$A1011,0)))</f>
        <v>#N/A</v>
      </c>
      <c r="M297" s="0" t="e">
        <f aca="true">IF(OR($E$1=0,ISBLANK(J297)),,COUNTIF(INDIRECT("'0.0.2 Pokémon Learnset (Core)'!D$"&amp;$E$2&amp;":FG$"&amp;$E$2),J297))</f>
        <v>#VALUE!</v>
      </c>
      <c r="N297" s="0" t="e">
        <f aca="false">IF(ISBLANK(J297),,IF(OR(L297=$B$2,L297=$B$3),1,0))</f>
        <v>#N/A</v>
      </c>
    </row>
    <row r="298" customFormat="false" ht="15.75" hidden="false" customHeight="false" outlineLevel="0" collapsed="false">
      <c r="A298" s="374"/>
      <c r="B298" s="374" t="n">
        <v>0</v>
      </c>
      <c r="C298" s="0" t="str">
        <f aca="false">IF(ISBLANK(B298),,B298&amp;", ")</f>
        <v>0,</v>
      </c>
      <c r="D298" s="0" t="e">
        <f aca="false" t="array" ref="D298:D298">IF(ISBLANK(B298),,INDEX('0.2.1 Move Compare'!$B$2:$B1011,MATCH(B298,'0.2.1 Move Compare'!$A$2:$A1011,0)))</f>
        <v>#N/A</v>
      </c>
      <c r="E298" s="0" t="e">
        <f aca="false" t="array" ref="E298:E298">IF(ISBLANK(B298),,IF(INDEX('0.1.2 Attack Dex (GO)'!C291:C1011,MATCH(B298,'0.1.2 Attack Dex (GO)'!A291:A1011,0))="Fast",1,0))</f>
        <v>#N/A</v>
      </c>
      <c r="F298" s="0" t="e">
        <f aca="true">IF(OR($E$1=0,ISBLANK(B298)),,COUNTIF(INDIRECT("'0.0.2 Pokémon Learnset (Core)'!D$"&amp;$E$2&amp;":FG$"&amp;$E$2),B298))</f>
        <v>#VALUE!</v>
      </c>
      <c r="G298" s="0" t="e">
        <f aca="true">IF(ISBLANK(F298),,COUNTIF(INDIRECT("'0.1.1 Pokémon GO Moves'!C"&amp;$E$3&amp;":R$"&amp;$E$3),B298))</f>
        <v>#N/A</v>
      </c>
      <c r="H298" s="0" t="e">
        <f aca="false">IF(ISBLANK(F298),,IF(OR(D298=$B$2,D298=$B$3),1,0))</f>
        <v>#N/A</v>
      </c>
      <c r="J298" s="0" t="n">
        <v>0</v>
      </c>
      <c r="K298" s="0" t="str">
        <f aca="false">IF(ISBLANK(J298),,J298&amp;", ")</f>
        <v>0,</v>
      </c>
      <c r="L298" s="0" t="e">
        <f aca="false" t="array" ref="L298:L298">IF(ISBLANK(J298),,INDEX('0.2.1 Move Compare'!$B$2:$B1011,MATCH(J298,'0.2.1 Move Compare'!$A$2:$A1011,0)))</f>
        <v>#N/A</v>
      </c>
      <c r="M298" s="0" t="e">
        <f aca="true">IF(OR($E$1=0,ISBLANK(J298)),,COUNTIF(INDIRECT("'0.0.2 Pokémon Learnset (Core)'!D$"&amp;$E$2&amp;":FG$"&amp;$E$2),J298))</f>
        <v>#VALUE!</v>
      </c>
      <c r="N298" s="0" t="e">
        <f aca="false">IF(ISBLANK(J298),,IF(OR(L298=$B$2,L298=$B$3),1,0))</f>
        <v>#N/A</v>
      </c>
    </row>
    <row r="299" customFormat="false" ht="15.75" hidden="false" customHeight="false" outlineLevel="0" collapsed="false">
      <c r="A299" s="374"/>
      <c r="B299" s="374" t="n">
        <v>0</v>
      </c>
      <c r="C299" s="0" t="str">
        <f aca="false">IF(ISBLANK(B299),,B299&amp;", ")</f>
        <v>0,</v>
      </c>
      <c r="D299" s="0" t="e">
        <f aca="false" t="array" ref="D299:D299">IF(ISBLANK(B299),,INDEX('0.2.1 Move Compare'!$B$2:$B1011,MATCH(B299,'0.2.1 Move Compare'!$A$2:$A1011,0)))</f>
        <v>#N/A</v>
      </c>
      <c r="E299" s="0" t="e">
        <f aca="false" t="array" ref="E299:E299">IF(ISBLANK(B299),,IF(INDEX('0.1.2 Attack Dex (GO)'!C292:C1011,MATCH(B299,'0.1.2 Attack Dex (GO)'!A292:A1011,0))="Fast",1,0))</f>
        <v>#N/A</v>
      </c>
      <c r="F299" s="0" t="e">
        <f aca="true">IF(OR($E$1=0,ISBLANK(B299)),,COUNTIF(INDIRECT("'0.0.2 Pokémon Learnset (Core)'!D$"&amp;$E$2&amp;":FG$"&amp;$E$2),B299))</f>
        <v>#VALUE!</v>
      </c>
      <c r="G299" s="0" t="e">
        <f aca="true">IF(ISBLANK(F299),,COUNTIF(INDIRECT("'0.1.1 Pokémon GO Moves'!C"&amp;$E$3&amp;":R$"&amp;$E$3),B299))</f>
        <v>#N/A</v>
      </c>
      <c r="H299" s="0" t="e">
        <f aca="false">IF(ISBLANK(F299),,IF(OR(D299=$B$2,D299=$B$3),1,0))</f>
        <v>#N/A</v>
      </c>
      <c r="J299" s="0" t="n">
        <v>0</v>
      </c>
      <c r="K299" s="0" t="str">
        <f aca="false">IF(ISBLANK(J299),,J299&amp;", ")</f>
        <v>0,</v>
      </c>
      <c r="L299" s="0" t="e">
        <f aca="false" t="array" ref="L299:L299">IF(ISBLANK(J299),,INDEX('0.2.1 Move Compare'!$B$2:$B1011,MATCH(J299,'0.2.1 Move Compare'!$A$2:$A1011,0)))</f>
        <v>#N/A</v>
      </c>
      <c r="M299" s="0" t="e">
        <f aca="true">IF(OR($E$1=0,ISBLANK(J299)),,COUNTIF(INDIRECT("'0.0.2 Pokémon Learnset (Core)'!D$"&amp;$E$2&amp;":FG$"&amp;$E$2),J299))</f>
        <v>#VALUE!</v>
      </c>
      <c r="N299" s="0" t="e">
        <f aca="false">IF(ISBLANK(J299),,IF(OR(L299=$B$2,L299=$B$3),1,0))</f>
        <v>#N/A</v>
      </c>
    </row>
    <row r="300" customFormat="false" ht="15.75" hidden="false" customHeight="false" outlineLevel="0" collapsed="false">
      <c r="A300" s="374"/>
      <c r="B300" s="374" t="n">
        <v>0</v>
      </c>
      <c r="C300" s="0" t="str">
        <f aca="false">IF(ISBLANK(B300),,B300&amp;", ")</f>
        <v>0,</v>
      </c>
      <c r="D300" s="0" t="e">
        <f aca="false" t="array" ref="D300:D300">IF(ISBLANK(B300),,INDEX('0.2.1 Move Compare'!$B$2:$B1011,MATCH(B300,'0.2.1 Move Compare'!$A$2:$A1011,0)))</f>
        <v>#N/A</v>
      </c>
      <c r="E300" s="0" t="e">
        <f aca="false" t="array" ref="E300:E300">IF(ISBLANK(B300),,IF(INDEX('0.1.2 Attack Dex (GO)'!C293:C1011,MATCH(B300,'0.1.2 Attack Dex (GO)'!A293:A1011,0))="Fast",1,0))</f>
        <v>#N/A</v>
      </c>
      <c r="F300" s="0" t="e">
        <f aca="true">IF(OR($E$1=0,ISBLANK(B300)),,COUNTIF(INDIRECT("'0.0.2 Pokémon Learnset (Core)'!D$"&amp;$E$2&amp;":FG$"&amp;$E$2),B300))</f>
        <v>#VALUE!</v>
      </c>
      <c r="G300" s="0" t="e">
        <f aca="true">IF(ISBLANK(F300),,COUNTIF(INDIRECT("'0.1.1 Pokémon GO Moves'!C"&amp;$E$3&amp;":R$"&amp;$E$3),B300))</f>
        <v>#N/A</v>
      </c>
      <c r="H300" s="0" t="e">
        <f aca="false">IF(ISBLANK(F300),,IF(OR(D300=$B$2,D300=$B$3),1,0))</f>
        <v>#N/A</v>
      </c>
      <c r="J300" s="0" t="n">
        <v>0</v>
      </c>
      <c r="K300" s="0" t="str">
        <f aca="false">IF(ISBLANK(J300),,J300&amp;", ")</f>
        <v>0,</v>
      </c>
      <c r="L300" s="0" t="e">
        <f aca="false" t="array" ref="L300:L300">IF(ISBLANK(J300),,INDEX('0.2.1 Move Compare'!$B$2:$B1011,MATCH(J300,'0.2.1 Move Compare'!$A$2:$A1011,0)))</f>
        <v>#N/A</v>
      </c>
      <c r="M300" s="0" t="e">
        <f aca="true">IF(OR($E$1=0,ISBLANK(J300)),,COUNTIF(INDIRECT("'0.0.2 Pokémon Learnset (Core)'!D$"&amp;$E$2&amp;":FG$"&amp;$E$2),J300))</f>
        <v>#VALUE!</v>
      </c>
      <c r="N300" s="0" t="e">
        <f aca="false">IF(ISBLANK(J300),,IF(OR(L300=$B$2,L300=$B$3),1,0))</f>
        <v>#N/A</v>
      </c>
    </row>
    <row r="301" customFormat="false" ht="15.75" hidden="false" customHeight="false" outlineLevel="0" collapsed="false">
      <c r="A301" s="374"/>
      <c r="B301" s="374" t="n">
        <v>0</v>
      </c>
      <c r="C301" s="0" t="str">
        <f aca="false">IF(ISBLANK(B301),,B301&amp;", ")</f>
        <v>0,</v>
      </c>
      <c r="D301" s="0" t="e">
        <f aca="false" t="array" ref="D301:D301">IF(ISBLANK(B301),,INDEX('0.2.1 Move Compare'!$B$2:$B1011,MATCH(B301,'0.2.1 Move Compare'!$A$2:$A1011,0)))</f>
        <v>#N/A</v>
      </c>
      <c r="E301" s="0" t="e">
        <f aca="false" t="array" ref="E301:E301">IF(ISBLANK(B301),,IF(INDEX('0.1.2 Attack Dex (GO)'!C294:C1011,MATCH(B301,'0.1.2 Attack Dex (GO)'!A294:A1011,0))="Fast",1,0))</f>
        <v>#N/A</v>
      </c>
      <c r="F301" s="0" t="e">
        <f aca="true">IF(OR($E$1=0,ISBLANK(B301)),,COUNTIF(INDIRECT("'0.0.2 Pokémon Learnset (Core)'!D$"&amp;$E$2&amp;":FG$"&amp;$E$2),B301))</f>
        <v>#VALUE!</v>
      </c>
      <c r="G301" s="0" t="e">
        <f aca="true">IF(ISBLANK(F301),,COUNTIF(INDIRECT("'0.1.1 Pokémon GO Moves'!C"&amp;$E$3&amp;":R$"&amp;$E$3),B301))</f>
        <v>#N/A</v>
      </c>
      <c r="H301" s="0" t="e">
        <f aca="false">IF(ISBLANK(F301),,IF(OR(D301=$B$2,D301=$B$3),1,0))</f>
        <v>#N/A</v>
      </c>
      <c r="J301" s="0" t="n">
        <v>0</v>
      </c>
      <c r="K301" s="0" t="str">
        <f aca="false">IF(ISBLANK(J301),,J301&amp;", ")</f>
        <v>0,</v>
      </c>
      <c r="L301" s="0" t="e">
        <f aca="false" t="array" ref="L301:L301">IF(ISBLANK(J301),,INDEX('0.2.1 Move Compare'!$B$2:$B1011,MATCH(J301,'0.2.1 Move Compare'!$A$2:$A1011,0)))</f>
        <v>#N/A</v>
      </c>
      <c r="M301" s="0" t="e">
        <f aca="true">IF(OR($E$1=0,ISBLANK(J301)),,COUNTIF(INDIRECT("'0.0.2 Pokémon Learnset (Core)'!D$"&amp;$E$2&amp;":FG$"&amp;$E$2),J301))</f>
        <v>#VALUE!</v>
      </c>
      <c r="N301" s="0" t="e">
        <f aca="false">IF(ISBLANK(J301),,IF(OR(L301=$B$2,L301=$B$3),1,0))</f>
        <v>#N/A</v>
      </c>
    </row>
    <row r="302" customFormat="false" ht="15.75" hidden="false" customHeight="false" outlineLevel="0" collapsed="false">
      <c r="A302" s="374"/>
      <c r="B302" s="374" t="n">
        <v>0</v>
      </c>
      <c r="D302" s="374"/>
      <c r="E302" s="374"/>
      <c r="J302" s="0" t="n">
        <v>0</v>
      </c>
      <c r="K302" s="0" t="str">
        <f aca="false">IF(ISBLANK(J302),,J302&amp;", ")</f>
        <v>0,</v>
      </c>
    </row>
    <row r="303" customFormat="false" ht="15.75" hidden="false" customHeight="false" outlineLevel="0" collapsed="false">
      <c r="A303" s="374"/>
      <c r="B303" s="374" t="n">
        <v>0</v>
      </c>
      <c r="D303" s="374"/>
      <c r="E303" s="374"/>
      <c r="J303" s="0" t="n">
        <v>0</v>
      </c>
      <c r="K303" s="0" t="str">
        <f aca="false">IF(ISBLANK(J303),,J303&amp;", ")</f>
        <v>0,</v>
      </c>
    </row>
    <row r="304" customFormat="false" ht="15.75" hidden="false" customHeight="false" outlineLevel="0" collapsed="false">
      <c r="A304" s="374"/>
      <c r="B304" s="374" t="n">
        <v>0</v>
      </c>
      <c r="D304" s="374"/>
      <c r="E304" s="374"/>
      <c r="J304" s="0" t="n">
        <v>0</v>
      </c>
      <c r="K304" s="0" t="str">
        <f aca="false">IF(ISBLANK(J304),,J304&amp;", ")</f>
        <v>0,</v>
      </c>
    </row>
    <row r="305" customFormat="false" ht="15.75" hidden="false" customHeight="false" outlineLevel="0" collapsed="false">
      <c r="A305" s="374"/>
      <c r="B305" s="374" t="n">
        <v>0</v>
      </c>
      <c r="D305" s="374"/>
      <c r="E305" s="374"/>
      <c r="J305" s="0" t="n">
        <v>0</v>
      </c>
      <c r="K305" s="0" t="str">
        <f aca="false">IF(ISBLANK(J305),,J305&amp;", ")</f>
        <v>0,</v>
      </c>
    </row>
    <row r="306" customFormat="false" ht="15.75" hidden="false" customHeight="false" outlineLevel="0" collapsed="false">
      <c r="A306" s="374"/>
      <c r="B306" s="374" t="n">
        <v>0</v>
      </c>
      <c r="D306" s="374"/>
      <c r="E306" s="374"/>
      <c r="J306" s="0" t="n">
        <v>0</v>
      </c>
      <c r="K306" s="0" t="str">
        <f aca="false">IF(ISBLANK(J306),,J306&amp;", ")</f>
        <v>0,</v>
      </c>
    </row>
    <row r="307" customFormat="false" ht="15.75" hidden="false" customHeight="false" outlineLevel="0" collapsed="false">
      <c r="A307" s="374"/>
      <c r="B307" s="374" t="n">
        <v>0</v>
      </c>
      <c r="D307" s="374"/>
      <c r="E307" s="374"/>
      <c r="J307" s="0" t="n">
        <v>0</v>
      </c>
      <c r="K307" s="0" t="str">
        <f aca="false">IF(ISBLANK(J307),,J307&amp;", ")</f>
        <v>0,</v>
      </c>
    </row>
    <row r="308" customFormat="false" ht="15.75" hidden="false" customHeight="false" outlineLevel="0" collapsed="false">
      <c r="A308" s="374"/>
      <c r="B308" s="374" t="n">
        <v>0</v>
      </c>
      <c r="D308" s="374"/>
      <c r="E308" s="374"/>
      <c r="J308" s="0" t="n">
        <v>0</v>
      </c>
      <c r="K308" s="0" t="str">
        <f aca="false">IF(ISBLANK(J308),,J308&amp;", ")</f>
        <v>0,</v>
      </c>
    </row>
    <row r="309" customFormat="false" ht="15.75" hidden="false" customHeight="false" outlineLevel="0" collapsed="false">
      <c r="A309" s="374"/>
      <c r="B309" s="374" t="n">
        <v>0</v>
      </c>
      <c r="D309" s="374"/>
      <c r="E309" s="374"/>
      <c r="J309" s="0" t="n">
        <v>0</v>
      </c>
      <c r="K309" s="0" t="str">
        <f aca="false">IF(ISBLANK(J309),,J309&amp;", ")</f>
        <v>0,</v>
      </c>
    </row>
    <row r="310" customFormat="false" ht="15.75" hidden="false" customHeight="false" outlineLevel="0" collapsed="false">
      <c r="A310" s="374"/>
      <c r="B310" s="374" t="n">
        <v>0</v>
      </c>
      <c r="D310" s="374"/>
      <c r="E310" s="374"/>
      <c r="J310" s="0" t="n">
        <v>0</v>
      </c>
      <c r="K310" s="0" t="str">
        <f aca="false">IF(ISBLANK(J310),,J310&amp;", ")</f>
        <v>0,</v>
      </c>
    </row>
    <row r="311" customFormat="false" ht="15.75" hidden="false" customHeight="false" outlineLevel="0" collapsed="false">
      <c r="A311" s="374"/>
      <c r="B311" s="374" t="n">
        <v>0</v>
      </c>
      <c r="D311" s="374"/>
      <c r="E311" s="374"/>
      <c r="J311" s="0" t="n">
        <v>0</v>
      </c>
      <c r="K311" s="0" t="str">
        <f aca="false">IF(ISBLANK(J311),,J311&amp;", ")</f>
        <v>0,</v>
      </c>
    </row>
    <row r="312" customFormat="false" ht="15.75" hidden="false" customHeight="false" outlineLevel="0" collapsed="false">
      <c r="A312" s="374"/>
      <c r="B312" s="374" t="n">
        <v>0</v>
      </c>
      <c r="D312" s="374"/>
      <c r="E312" s="374"/>
      <c r="J312" s="0" t="n">
        <v>0</v>
      </c>
      <c r="K312" s="0" t="str">
        <f aca="false">IF(ISBLANK(J312),,J312&amp;", ")</f>
        <v>0,</v>
      </c>
    </row>
    <row r="313" customFormat="false" ht="15.75" hidden="false" customHeight="false" outlineLevel="0" collapsed="false">
      <c r="A313" s="374"/>
      <c r="B313" s="374" t="n">
        <v>0</v>
      </c>
      <c r="D313" s="374"/>
      <c r="E313" s="374"/>
      <c r="J313" s="0" t="n">
        <v>0</v>
      </c>
      <c r="K313" s="0" t="str">
        <f aca="false">IF(ISBLANK(J313),,J313&amp;", ")</f>
        <v>0,</v>
      </c>
    </row>
    <row r="314" customFormat="false" ht="15.75" hidden="false" customHeight="false" outlineLevel="0" collapsed="false">
      <c r="A314" s="374"/>
      <c r="B314" s="374" t="n">
        <v>0</v>
      </c>
      <c r="D314" s="374"/>
      <c r="E314" s="374"/>
      <c r="J314" s="0" t="n">
        <v>0</v>
      </c>
      <c r="K314" s="0" t="str">
        <f aca="false">IF(ISBLANK(J314),,J314&amp;", ")</f>
        <v>0,</v>
      </c>
    </row>
    <row r="315" customFormat="false" ht="15.75" hidden="false" customHeight="false" outlineLevel="0" collapsed="false">
      <c r="A315" s="374"/>
      <c r="B315" s="374" t="n">
        <v>0</v>
      </c>
      <c r="D315" s="374"/>
      <c r="E315" s="374"/>
      <c r="J315" s="0" t="n">
        <v>0</v>
      </c>
      <c r="K315" s="0" t="str">
        <f aca="false">IF(ISBLANK(J315),,J315&amp;", ")</f>
        <v>0,</v>
      </c>
    </row>
    <row r="316" customFormat="false" ht="15.75" hidden="false" customHeight="false" outlineLevel="0" collapsed="false">
      <c r="A316" s="374"/>
      <c r="B316" s="374" t="n">
        <v>0</v>
      </c>
      <c r="D316" s="374"/>
      <c r="E316" s="374"/>
      <c r="J316" s="0" t="n">
        <v>0</v>
      </c>
      <c r="K316" s="0" t="str">
        <f aca="false">IF(ISBLANK(J316),,J316&amp;", ")</f>
        <v>0,</v>
      </c>
    </row>
    <row r="317" customFormat="false" ht="15.75" hidden="false" customHeight="false" outlineLevel="0" collapsed="false">
      <c r="A317" s="374"/>
      <c r="B317" s="374" t="n">
        <v>0</v>
      </c>
      <c r="D317" s="374"/>
      <c r="E317" s="374"/>
      <c r="J317" s="0" t="n">
        <v>0</v>
      </c>
      <c r="K317" s="0" t="str">
        <f aca="false">IF(ISBLANK(J317),,J317&amp;", ")</f>
        <v>0,</v>
      </c>
    </row>
    <row r="318" customFormat="false" ht="15.75" hidden="false" customHeight="false" outlineLevel="0" collapsed="false">
      <c r="A318" s="374"/>
      <c r="B318" s="374" t="n">
        <v>0</v>
      </c>
      <c r="D318" s="374"/>
      <c r="E318" s="374"/>
      <c r="J318" s="0" t="n">
        <v>0</v>
      </c>
      <c r="K318" s="0" t="str">
        <f aca="false">IF(ISBLANK(J318),,J318&amp;", ")</f>
        <v>0,</v>
      </c>
    </row>
    <row r="319" customFormat="false" ht="15.75" hidden="false" customHeight="false" outlineLevel="0" collapsed="false">
      <c r="A319" s="374"/>
      <c r="B319" s="374" t="n">
        <v>0</v>
      </c>
      <c r="D319" s="374"/>
      <c r="E319" s="374"/>
      <c r="J319" s="0" t="n">
        <v>0</v>
      </c>
      <c r="K319" s="0" t="str">
        <f aca="false">IF(ISBLANK(J319),,J319&amp;", ")</f>
        <v>0,</v>
      </c>
    </row>
    <row r="320" customFormat="false" ht="15.75" hidden="false" customHeight="false" outlineLevel="0" collapsed="false">
      <c r="A320" s="374"/>
      <c r="B320" s="374" t="n">
        <v>0</v>
      </c>
      <c r="D320" s="374"/>
      <c r="E320" s="374"/>
      <c r="J320" s="0" t="n">
        <v>0</v>
      </c>
      <c r="K320" s="0" t="str">
        <f aca="false">IF(ISBLANK(J320),,J320&amp;", ")</f>
        <v>0,</v>
      </c>
    </row>
    <row r="321" customFormat="false" ht="15.75" hidden="false" customHeight="false" outlineLevel="0" collapsed="false">
      <c r="A321" s="374"/>
      <c r="B321" s="374" t="n">
        <v>0</v>
      </c>
      <c r="D321" s="374"/>
      <c r="E321" s="374"/>
      <c r="J321" s="0" t="n">
        <v>0</v>
      </c>
      <c r="K321" s="0" t="str">
        <f aca="false">IF(ISBLANK(J321),,J321&amp;", ")</f>
        <v>0,</v>
      </c>
    </row>
    <row r="322" customFormat="false" ht="15.75" hidden="false" customHeight="false" outlineLevel="0" collapsed="false">
      <c r="A322" s="374"/>
      <c r="B322" s="374" t="n">
        <v>0</v>
      </c>
      <c r="D322" s="374"/>
      <c r="E322" s="374"/>
      <c r="J322" s="0" t="n">
        <v>0</v>
      </c>
      <c r="K322" s="0" t="str">
        <f aca="false">IF(ISBLANK(J322),,J322&amp;", ")</f>
        <v>0,</v>
      </c>
    </row>
    <row r="323" customFormat="false" ht="15.75" hidden="false" customHeight="false" outlineLevel="0" collapsed="false">
      <c r="A323" s="374"/>
      <c r="B323" s="374" t="n">
        <v>0</v>
      </c>
      <c r="D323" s="374"/>
      <c r="E323" s="374"/>
      <c r="J323" s="0" t="n">
        <v>0</v>
      </c>
      <c r="K323" s="0" t="str">
        <f aca="false">IF(ISBLANK(J323),,J323&amp;", ")</f>
        <v>0,</v>
      </c>
    </row>
    <row r="324" customFormat="false" ht="15.75" hidden="false" customHeight="false" outlineLevel="0" collapsed="false">
      <c r="A324" s="374"/>
      <c r="B324" s="374" t="n">
        <v>0</v>
      </c>
      <c r="D324" s="374"/>
      <c r="E324" s="374"/>
      <c r="J324" s="0" t="n">
        <v>0</v>
      </c>
      <c r="K324" s="0" t="str">
        <f aca="false">IF(ISBLANK(J324),,J324&amp;", ")</f>
        <v>0,</v>
      </c>
    </row>
    <row r="325" customFormat="false" ht="15.75" hidden="false" customHeight="false" outlineLevel="0" collapsed="false">
      <c r="A325" s="374"/>
      <c r="B325" s="374" t="n">
        <v>0</v>
      </c>
      <c r="D325" s="374"/>
      <c r="E325" s="374"/>
      <c r="J325" s="0" t="n">
        <v>0</v>
      </c>
      <c r="K325" s="0" t="str">
        <f aca="false">IF(ISBLANK(J325),,J325&amp;", ")</f>
        <v>0,</v>
      </c>
    </row>
    <row r="326" customFormat="false" ht="15.75" hidden="false" customHeight="false" outlineLevel="0" collapsed="false">
      <c r="A326" s="374"/>
      <c r="B326" s="374" t="n">
        <v>0</v>
      </c>
      <c r="D326" s="374"/>
      <c r="E326" s="374"/>
      <c r="J326" s="0" t="n">
        <v>0</v>
      </c>
      <c r="K326" s="0" t="str">
        <f aca="false">IF(ISBLANK(J326),,J326&amp;", ")</f>
        <v>0,</v>
      </c>
    </row>
    <row r="327" customFormat="false" ht="15.75" hidden="false" customHeight="false" outlineLevel="0" collapsed="false">
      <c r="A327" s="374"/>
      <c r="B327" s="374" t="n">
        <v>0</v>
      </c>
      <c r="D327" s="374"/>
      <c r="E327" s="374"/>
      <c r="J327" s="0" t="n">
        <v>0</v>
      </c>
      <c r="K327" s="0" t="str">
        <f aca="false">IF(ISBLANK(J327),,J327&amp;", ")</f>
        <v>0,</v>
      </c>
    </row>
    <row r="328" customFormat="false" ht="15.75" hidden="false" customHeight="false" outlineLevel="0" collapsed="false">
      <c r="A328" s="374"/>
      <c r="B328" s="374" t="n">
        <v>0</v>
      </c>
      <c r="D328" s="374"/>
      <c r="E328" s="374"/>
      <c r="J328" s="0" t="n">
        <v>0</v>
      </c>
      <c r="K328" s="0" t="str">
        <f aca="false">IF(ISBLANK(J328),,J328&amp;", ")</f>
        <v>0,</v>
      </c>
    </row>
    <row r="329" customFormat="false" ht="15.75" hidden="false" customHeight="false" outlineLevel="0" collapsed="false">
      <c r="A329" s="374"/>
      <c r="B329" s="374" t="n">
        <v>0</v>
      </c>
      <c r="D329" s="374"/>
      <c r="E329" s="374"/>
      <c r="J329" s="0" t="n">
        <v>0</v>
      </c>
      <c r="K329" s="0" t="str">
        <f aca="false">IF(ISBLANK(J329),,J329&amp;", ")</f>
        <v>0,</v>
      </c>
    </row>
    <row r="330" customFormat="false" ht="15.75" hidden="false" customHeight="false" outlineLevel="0" collapsed="false">
      <c r="A330" s="374"/>
      <c r="B330" s="374" t="n">
        <v>0</v>
      </c>
      <c r="D330" s="374"/>
      <c r="E330" s="374"/>
      <c r="J330" s="0" t="n">
        <v>0</v>
      </c>
      <c r="K330" s="0" t="str">
        <f aca="false">IF(ISBLANK(J330),,J330&amp;", ")</f>
        <v>0,</v>
      </c>
    </row>
    <row r="331" customFormat="false" ht="15.75" hidden="false" customHeight="false" outlineLevel="0" collapsed="false">
      <c r="A331" s="374"/>
      <c r="B331" s="374" t="n">
        <v>0</v>
      </c>
      <c r="D331" s="374"/>
      <c r="E331" s="374"/>
      <c r="J331" s="0" t="n">
        <v>0</v>
      </c>
      <c r="K331" s="0" t="str">
        <f aca="false">IF(ISBLANK(J331),,J331&amp;", ")</f>
        <v>0,</v>
      </c>
    </row>
    <row r="332" customFormat="false" ht="15.75" hidden="false" customHeight="false" outlineLevel="0" collapsed="false">
      <c r="A332" s="374"/>
      <c r="B332" s="374" t="n">
        <v>0</v>
      </c>
      <c r="D332" s="374"/>
      <c r="E332" s="374"/>
      <c r="J332" s="0" t="n">
        <v>0</v>
      </c>
      <c r="K332" s="0" t="str">
        <f aca="false">IF(ISBLANK(J332),,J332&amp;", ")</f>
        <v>0,</v>
      </c>
    </row>
    <row r="333" customFormat="false" ht="15.75" hidden="false" customHeight="false" outlineLevel="0" collapsed="false">
      <c r="A333" s="374"/>
      <c r="B333" s="374" t="n">
        <v>0</v>
      </c>
      <c r="D333" s="374"/>
      <c r="E333" s="374"/>
      <c r="J333" s="0" t="n">
        <v>0</v>
      </c>
      <c r="K333" s="0" t="str">
        <f aca="false">IF(ISBLANK(J333),,J333&amp;", ")</f>
        <v>0,</v>
      </c>
    </row>
    <row r="334" customFormat="false" ht="15.75" hidden="false" customHeight="false" outlineLevel="0" collapsed="false">
      <c r="A334" s="374"/>
      <c r="B334" s="374" t="n">
        <v>0</v>
      </c>
      <c r="D334" s="374"/>
      <c r="E334" s="374"/>
      <c r="J334" s="0" t="n">
        <v>0</v>
      </c>
      <c r="K334" s="0" t="str">
        <f aca="false">IF(ISBLANK(J334),,J334&amp;", ")</f>
        <v>0,</v>
      </c>
    </row>
    <row r="335" customFormat="false" ht="15.75" hidden="false" customHeight="false" outlineLevel="0" collapsed="false">
      <c r="A335" s="374"/>
      <c r="B335" s="374" t="n">
        <v>0</v>
      </c>
      <c r="D335" s="374"/>
      <c r="E335" s="374"/>
      <c r="J335" s="0" t="n">
        <v>0</v>
      </c>
      <c r="K335" s="0" t="str">
        <f aca="false">IF(ISBLANK(J335),,J335&amp;", ")</f>
        <v>0,</v>
      </c>
    </row>
    <row r="336" customFormat="false" ht="15.75" hidden="false" customHeight="false" outlineLevel="0" collapsed="false">
      <c r="A336" s="374"/>
      <c r="B336" s="374" t="n">
        <v>0</v>
      </c>
      <c r="D336" s="374"/>
      <c r="E336" s="374"/>
      <c r="J336" s="0" t="n">
        <v>0</v>
      </c>
      <c r="K336" s="0" t="str">
        <f aca="false">IF(ISBLANK(J336),,J336&amp;", ")</f>
        <v>0,</v>
      </c>
    </row>
    <row r="337" customFormat="false" ht="15.75" hidden="false" customHeight="false" outlineLevel="0" collapsed="false">
      <c r="A337" s="374"/>
      <c r="B337" s="374" t="n">
        <v>0</v>
      </c>
      <c r="D337" s="374"/>
      <c r="E337" s="374"/>
      <c r="J337" s="0" t="n">
        <v>0</v>
      </c>
      <c r="K337" s="0" t="str">
        <f aca="false">IF(ISBLANK(J337),,J337&amp;", ")</f>
        <v>0,</v>
      </c>
    </row>
    <row r="338" customFormat="false" ht="15.75" hidden="false" customHeight="false" outlineLevel="0" collapsed="false">
      <c r="A338" s="374"/>
      <c r="B338" s="374" t="n">
        <v>0</v>
      </c>
      <c r="D338" s="374"/>
      <c r="E338" s="374"/>
      <c r="J338" s="0" t="n">
        <v>0</v>
      </c>
      <c r="K338" s="0" t="str">
        <f aca="false">IF(ISBLANK(J338),,J338&amp;", ")</f>
        <v>0,</v>
      </c>
    </row>
    <row r="339" customFormat="false" ht="15.75" hidden="false" customHeight="false" outlineLevel="0" collapsed="false">
      <c r="A339" s="374"/>
      <c r="B339" s="374" t="n">
        <v>0</v>
      </c>
      <c r="D339" s="374"/>
      <c r="E339" s="374"/>
      <c r="J339" s="0" t="n">
        <v>0</v>
      </c>
      <c r="K339" s="0" t="str">
        <f aca="false">IF(ISBLANK(J339),,J339&amp;", ")</f>
        <v>0,</v>
      </c>
    </row>
    <row r="340" customFormat="false" ht="15.75" hidden="false" customHeight="false" outlineLevel="0" collapsed="false">
      <c r="A340" s="374"/>
      <c r="B340" s="374" t="n">
        <v>0</v>
      </c>
      <c r="D340" s="374"/>
      <c r="E340" s="374"/>
      <c r="J340" s="0" t="n">
        <v>0</v>
      </c>
      <c r="K340" s="0" t="str">
        <f aca="false">IF(ISBLANK(J340),,J340&amp;", ")</f>
        <v>0,</v>
      </c>
    </row>
    <row r="341" customFormat="false" ht="15.75" hidden="false" customHeight="false" outlineLevel="0" collapsed="false">
      <c r="A341" s="374"/>
      <c r="B341" s="374" t="n">
        <v>0</v>
      </c>
      <c r="D341" s="374"/>
      <c r="E341" s="374"/>
      <c r="J341" s="0" t="n">
        <v>0</v>
      </c>
      <c r="K341" s="0" t="str">
        <f aca="false">IF(ISBLANK(J341),,J341&amp;", ")</f>
        <v>0,</v>
      </c>
    </row>
    <row r="342" customFormat="false" ht="15.75" hidden="false" customHeight="false" outlineLevel="0" collapsed="false">
      <c r="A342" s="374"/>
      <c r="B342" s="374" t="n">
        <v>0</v>
      </c>
      <c r="D342" s="374"/>
      <c r="E342" s="374"/>
      <c r="J342" s="0" t="n">
        <v>0</v>
      </c>
      <c r="K342" s="0" t="str">
        <f aca="false">IF(ISBLANK(J342),,J342&amp;", ")</f>
        <v>0,</v>
      </c>
    </row>
    <row r="343" customFormat="false" ht="15.75" hidden="false" customHeight="false" outlineLevel="0" collapsed="false">
      <c r="A343" s="374"/>
      <c r="B343" s="374" t="n">
        <v>0</v>
      </c>
      <c r="D343" s="374"/>
      <c r="E343" s="374"/>
      <c r="J343" s="0" t="n">
        <v>0</v>
      </c>
      <c r="K343" s="0" t="str">
        <f aca="false">IF(ISBLANK(J343),,J343&amp;", ")</f>
        <v>0,</v>
      </c>
    </row>
    <row r="344" customFormat="false" ht="15.75" hidden="false" customHeight="false" outlineLevel="0" collapsed="false">
      <c r="A344" s="374"/>
      <c r="B344" s="374" t="n">
        <v>0</v>
      </c>
      <c r="D344" s="374"/>
      <c r="E344" s="374"/>
      <c r="J344" s="0" t="n">
        <v>0</v>
      </c>
      <c r="K344" s="0" t="str">
        <f aca="false">IF(ISBLANK(J344),,J344&amp;", ")</f>
        <v>0,</v>
      </c>
    </row>
    <row r="345" customFormat="false" ht="15.75" hidden="false" customHeight="false" outlineLevel="0" collapsed="false">
      <c r="A345" s="374"/>
      <c r="B345" s="374" t="n">
        <v>0</v>
      </c>
      <c r="D345" s="374"/>
      <c r="E345" s="374"/>
      <c r="J345" s="0" t="n">
        <v>0</v>
      </c>
      <c r="K345" s="0" t="str">
        <f aca="false">IF(ISBLANK(J345),,J345&amp;", ")</f>
        <v>0,</v>
      </c>
    </row>
    <row r="346" customFormat="false" ht="15.75" hidden="false" customHeight="false" outlineLevel="0" collapsed="false">
      <c r="A346" s="374"/>
      <c r="B346" s="374" t="n">
        <v>0</v>
      </c>
      <c r="D346" s="374"/>
      <c r="E346" s="374"/>
      <c r="J346" s="0" t="n">
        <v>0</v>
      </c>
      <c r="K346" s="0" t="str">
        <f aca="false">IF(ISBLANK(J346),,J346&amp;", ")</f>
        <v>0,</v>
      </c>
    </row>
    <row r="347" customFormat="false" ht="15.75" hidden="false" customHeight="false" outlineLevel="0" collapsed="false">
      <c r="A347" s="374"/>
      <c r="B347" s="374" t="n">
        <v>0</v>
      </c>
      <c r="D347" s="374"/>
      <c r="E347" s="374"/>
      <c r="J347" s="0" t="n">
        <v>0</v>
      </c>
      <c r="K347" s="0" t="str">
        <f aca="false">IF(ISBLANK(J347),,J347&amp;", ")</f>
        <v>0,</v>
      </c>
    </row>
    <row r="348" customFormat="false" ht="15.75" hidden="false" customHeight="false" outlineLevel="0" collapsed="false">
      <c r="A348" s="374"/>
      <c r="B348" s="374" t="n">
        <v>0</v>
      </c>
      <c r="D348" s="374"/>
      <c r="E348" s="374"/>
      <c r="J348" s="0" t="n">
        <v>0</v>
      </c>
      <c r="K348" s="0" t="str">
        <f aca="false">IF(ISBLANK(J348),,J348&amp;", ")</f>
        <v>0,</v>
      </c>
    </row>
    <row r="349" customFormat="false" ht="15.75" hidden="false" customHeight="false" outlineLevel="0" collapsed="false">
      <c r="A349" s="374"/>
      <c r="B349" s="374" t="n">
        <v>0</v>
      </c>
      <c r="D349" s="374"/>
      <c r="E349" s="374"/>
      <c r="J349" s="0" t="n">
        <v>0</v>
      </c>
      <c r="K349" s="0" t="str">
        <f aca="false">IF(ISBLANK(J349),,J349&amp;", ")</f>
        <v>0,</v>
      </c>
    </row>
    <row r="350" customFormat="false" ht="15.75" hidden="false" customHeight="false" outlineLevel="0" collapsed="false">
      <c r="A350" s="374"/>
      <c r="B350" s="374" t="n">
        <v>0</v>
      </c>
      <c r="D350" s="374"/>
      <c r="E350" s="374"/>
      <c r="J350" s="0" t="n">
        <v>0</v>
      </c>
      <c r="K350" s="0" t="str">
        <f aca="false">IF(ISBLANK(J350),,J350&amp;", ")</f>
        <v>0,</v>
      </c>
    </row>
    <row r="351" customFormat="false" ht="15.75" hidden="false" customHeight="false" outlineLevel="0" collapsed="false">
      <c r="A351" s="374"/>
      <c r="B351" s="374" t="n">
        <v>0</v>
      </c>
      <c r="D351" s="374"/>
      <c r="E351" s="374"/>
      <c r="J351" s="0" t="n">
        <v>0</v>
      </c>
      <c r="K351" s="0" t="str">
        <f aca="false">IF(ISBLANK(J351),,J351&amp;", ")</f>
        <v>0,</v>
      </c>
    </row>
    <row r="352" customFormat="false" ht="15.75" hidden="false" customHeight="false" outlineLevel="0" collapsed="false">
      <c r="A352" s="374"/>
      <c r="B352" s="374" t="n">
        <v>0</v>
      </c>
      <c r="D352" s="374"/>
      <c r="E352" s="374"/>
      <c r="J352" s="0" t="n">
        <v>0</v>
      </c>
      <c r="K352" s="0" t="str">
        <f aca="false">IF(ISBLANK(J352),,J352&amp;", ")</f>
        <v>0,</v>
      </c>
    </row>
    <row r="353" customFormat="false" ht="15.75" hidden="false" customHeight="false" outlineLevel="0" collapsed="false">
      <c r="A353" s="374"/>
      <c r="B353" s="374" t="n">
        <v>0</v>
      </c>
      <c r="D353" s="374"/>
      <c r="E353" s="374"/>
      <c r="J353" s="0" t="n">
        <v>0</v>
      </c>
      <c r="K353" s="0" t="str">
        <f aca="false">IF(ISBLANK(J353),,J353&amp;", ")</f>
        <v>0,</v>
      </c>
    </row>
    <row r="354" customFormat="false" ht="15.75" hidden="false" customHeight="false" outlineLevel="0" collapsed="false">
      <c r="A354" s="374"/>
      <c r="B354" s="374" t="n">
        <v>0</v>
      </c>
      <c r="D354" s="374"/>
      <c r="E354" s="374"/>
      <c r="J354" s="0" t="n">
        <v>0</v>
      </c>
      <c r="K354" s="0" t="str">
        <f aca="false">IF(ISBLANK(J354),,J354&amp;", ")</f>
        <v>0,</v>
      </c>
    </row>
    <row r="355" customFormat="false" ht="15.75" hidden="false" customHeight="false" outlineLevel="0" collapsed="false">
      <c r="A355" s="374"/>
      <c r="B355" s="374" t="n">
        <v>0</v>
      </c>
      <c r="D355" s="374"/>
      <c r="E355" s="374"/>
      <c r="J355" s="0" t="n">
        <v>0</v>
      </c>
      <c r="K355" s="0" t="str">
        <f aca="false">IF(ISBLANK(J355),,J355&amp;", ")</f>
        <v>0,</v>
      </c>
    </row>
    <row r="356" customFormat="false" ht="15.75" hidden="false" customHeight="false" outlineLevel="0" collapsed="false">
      <c r="A356" s="374"/>
      <c r="B356" s="374" t="n">
        <v>0</v>
      </c>
      <c r="D356" s="374"/>
      <c r="E356" s="374"/>
      <c r="J356" s="0" t="n">
        <v>0</v>
      </c>
      <c r="K356" s="0" t="str">
        <f aca="false">IF(ISBLANK(J356),,J356&amp;", ")</f>
        <v>0,</v>
      </c>
    </row>
    <row r="357" customFormat="false" ht="15.75" hidden="false" customHeight="false" outlineLevel="0" collapsed="false">
      <c r="A357" s="374"/>
      <c r="B357" s="374" t="n">
        <v>0</v>
      </c>
      <c r="D357" s="374"/>
      <c r="E357" s="374"/>
      <c r="J357" s="0" t="n">
        <v>0</v>
      </c>
      <c r="K357" s="0" t="str">
        <f aca="false">IF(ISBLANK(J357),,J357&amp;", ")</f>
        <v>0,</v>
      </c>
    </row>
    <row r="358" customFormat="false" ht="15.75" hidden="false" customHeight="false" outlineLevel="0" collapsed="false">
      <c r="A358" s="374"/>
      <c r="B358" s="374" t="n">
        <v>0</v>
      </c>
      <c r="D358" s="374"/>
      <c r="E358" s="374"/>
      <c r="J358" s="0" t="n">
        <v>0</v>
      </c>
      <c r="K358" s="0" t="str">
        <f aca="false">IF(ISBLANK(J358),,J358&amp;", ")</f>
        <v>0,</v>
      </c>
    </row>
    <row r="359" customFormat="false" ht="15.75" hidden="false" customHeight="false" outlineLevel="0" collapsed="false">
      <c r="A359" s="374"/>
      <c r="B359" s="374" t="n">
        <v>0</v>
      </c>
      <c r="D359" s="374"/>
      <c r="E359" s="374"/>
      <c r="J359" s="0" t="n">
        <v>0</v>
      </c>
      <c r="K359" s="0" t="str">
        <f aca="false">IF(ISBLANK(J359),,J359&amp;", ")</f>
        <v>0,</v>
      </c>
    </row>
    <row r="360" customFormat="false" ht="15.75" hidden="false" customHeight="false" outlineLevel="0" collapsed="false">
      <c r="A360" s="374"/>
      <c r="B360" s="374" t="n">
        <v>0</v>
      </c>
      <c r="D360" s="374"/>
      <c r="E360" s="374"/>
      <c r="J360" s="0" t="n">
        <v>0</v>
      </c>
      <c r="K360" s="0" t="str">
        <f aca="false">IF(ISBLANK(J360),,J360&amp;", ")</f>
        <v>0,</v>
      </c>
    </row>
    <row r="361" customFormat="false" ht="15.75" hidden="false" customHeight="false" outlineLevel="0" collapsed="false">
      <c r="A361" s="374"/>
      <c r="B361" s="374" t="n">
        <v>0</v>
      </c>
      <c r="D361" s="374"/>
      <c r="E361" s="374"/>
      <c r="J361" s="0" t="n">
        <v>0</v>
      </c>
      <c r="K361" s="0" t="str">
        <f aca="false">IF(ISBLANK(J361),,J361&amp;", ")</f>
        <v>0,</v>
      </c>
    </row>
    <row r="362" customFormat="false" ht="15.75" hidden="false" customHeight="false" outlineLevel="0" collapsed="false">
      <c r="A362" s="374"/>
      <c r="B362" s="374" t="n">
        <v>0</v>
      </c>
      <c r="D362" s="374"/>
      <c r="E362" s="374"/>
      <c r="J362" s="0" t="n">
        <v>0</v>
      </c>
      <c r="K362" s="0" t="str">
        <f aca="false">IF(ISBLANK(J362),,J362&amp;", ")</f>
        <v>0,</v>
      </c>
    </row>
    <row r="363" customFormat="false" ht="15.75" hidden="false" customHeight="false" outlineLevel="0" collapsed="false">
      <c r="A363" s="374"/>
      <c r="B363" s="374" t="n">
        <v>0</v>
      </c>
      <c r="D363" s="374"/>
      <c r="E363" s="374"/>
      <c r="J363" s="0" t="n">
        <v>0</v>
      </c>
      <c r="K363" s="0" t="str">
        <f aca="false">IF(ISBLANK(J363),,J363&amp;", ")</f>
        <v>0,</v>
      </c>
    </row>
    <row r="364" customFormat="false" ht="15.75" hidden="false" customHeight="false" outlineLevel="0" collapsed="false">
      <c r="A364" s="374"/>
      <c r="B364" s="374" t="n">
        <v>0</v>
      </c>
      <c r="D364" s="374"/>
      <c r="E364" s="374"/>
      <c r="J364" s="0" t="n">
        <v>0</v>
      </c>
      <c r="K364" s="0" t="str">
        <f aca="false">IF(ISBLANK(J364),,J364&amp;", ")</f>
        <v>0,</v>
      </c>
    </row>
    <row r="365" customFormat="false" ht="15.75" hidden="false" customHeight="false" outlineLevel="0" collapsed="false">
      <c r="A365" s="374"/>
      <c r="B365" s="374" t="n">
        <v>0</v>
      </c>
      <c r="D365" s="374"/>
      <c r="E365" s="374"/>
      <c r="J365" s="0" t="n">
        <v>0</v>
      </c>
      <c r="K365" s="0" t="str">
        <f aca="false">IF(ISBLANK(J365),,J365&amp;", ")</f>
        <v>0,</v>
      </c>
    </row>
    <row r="366" customFormat="false" ht="15.75" hidden="false" customHeight="false" outlineLevel="0" collapsed="false">
      <c r="A366" s="374"/>
      <c r="B366" s="374" t="n">
        <v>0</v>
      </c>
      <c r="D366" s="374"/>
      <c r="E366" s="374"/>
      <c r="J366" s="0" t="n">
        <v>0</v>
      </c>
      <c r="K366" s="0" t="str">
        <f aca="false">IF(ISBLANK(J366),,J366&amp;", ")</f>
        <v>0,</v>
      </c>
    </row>
    <row r="367" customFormat="false" ht="15.75" hidden="false" customHeight="false" outlineLevel="0" collapsed="false">
      <c r="A367" s="374"/>
      <c r="B367" s="374" t="n">
        <v>0</v>
      </c>
      <c r="D367" s="374"/>
      <c r="E367" s="374"/>
      <c r="J367" s="0" t="n">
        <v>0</v>
      </c>
      <c r="K367" s="0" t="str">
        <f aca="false">IF(ISBLANK(J367),,J367&amp;", ")</f>
        <v>0,</v>
      </c>
    </row>
    <row r="368" customFormat="false" ht="15.75" hidden="false" customHeight="false" outlineLevel="0" collapsed="false">
      <c r="A368" s="374"/>
      <c r="B368" s="374" t="n">
        <v>0</v>
      </c>
      <c r="D368" s="374"/>
      <c r="E368" s="374"/>
      <c r="J368" s="0" t="n">
        <v>0</v>
      </c>
      <c r="K368" s="0" t="str">
        <f aca="false">IF(ISBLANK(J368),,J368&amp;", ")</f>
        <v>0,</v>
      </c>
    </row>
    <row r="369" customFormat="false" ht="15.75" hidden="false" customHeight="false" outlineLevel="0" collapsed="false">
      <c r="A369" s="374"/>
      <c r="B369" s="374" t="n">
        <v>0</v>
      </c>
      <c r="D369" s="374"/>
      <c r="E369" s="374"/>
      <c r="J369" s="0" t="n">
        <v>0</v>
      </c>
      <c r="K369" s="0" t="str">
        <f aca="false">IF(ISBLANK(J369),,J369&amp;", ")</f>
        <v>0,</v>
      </c>
    </row>
    <row r="370" customFormat="false" ht="15.75" hidden="false" customHeight="false" outlineLevel="0" collapsed="false">
      <c r="A370" s="374"/>
      <c r="B370" s="374" t="n">
        <v>0</v>
      </c>
      <c r="D370" s="374"/>
      <c r="E370" s="374"/>
      <c r="J370" s="0" t="n">
        <v>0</v>
      </c>
      <c r="K370" s="0" t="str">
        <f aca="false">IF(ISBLANK(J370),,J370&amp;", ")</f>
        <v>0,</v>
      </c>
    </row>
    <row r="371" customFormat="false" ht="15.75" hidden="false" customHeight="false" outlineLevel="0" collapsed="false">
      <c r="A371" s="374"/>
      <c r="B371" s="374" t="n">
        <v>0</v>
      </c>
      <c r="D371" s="374"/>
      <c r="E371" s="374"/>
      <c r="J371" s="0" t="n">
        <v>0</v>
      </c>
      <c r="K371" s="0" t="str">
        <f aca="false">IF(ISBLANK(J371),,J371&amp;", ")</f>
        <v>0,</v>
      </c>
    </row>
    <row r="372" customFormat="false" ht="15.75" hidden="false" customHeight="false" outlineLevel="0" collapsed="false">
      <c r="A372" s="374"/>
      <c r="B372" s="374" t="n">
        <v>0</v>
      </c>
      <c r="D372" s="374"/>
      <c r="E372" s="374"/>
      <c r="J372" s="0" t="n">
        <v>0</v>
      </c>
      <c r="K372" s="0" t="str">
        <f aca="false">IF(ISBLANK(J372),,J372&amp;", ")</f>
        <v>0,</v>
      </c>
    </row>
    <row r="373" customFormat="false" ht="15.75" hidden="false" customHeight="false" outlineLevel="0" collapsed="false">
      <c r="A373" s="374"/>
      <c r="B373" s="374" t="n">
        <v>0</v>
      </c>
      <c r="D373" s="374"/>
      <c r="E373" s="374"/>
      <c r="J373" s="0" t="n">
        <v>0</v>
      </c>
      <c r="K373" s="0" t="str">
        <f aca="false">IF(ISBLANK(J373),,J373&amp;", ")</f>
        <v>0,</v>
      </c>
    </row>
    <row r="374" customFormat="false" ht="15.75" hidden="false" customHeight="false" outlineLevel="0" collapsed="false">
      <c r="A374" s="374"/>
      <c r="B374" s="374" t="n">
        <v>0</v>
      </c>
      <c r="D374" s="374"/>
      <c r="E374" s="374"/>
      <c r="J374" s="0" t="n">
        <v>0</v>
      </c>
      <c r="K374" s="0" t="str">
        <f aca="false">IF(ISBLANK(J374),,J374&amp;", ")</f>
        <v>0,</v>
      </c>
    </row>
    <row r="375" customFormat="false" ht="15.75" hidden="false" customHeight="false" outlineLevel="0" collapsed="false">
      <c r="A375" s="374"/>
      <c r="B375" s="374" t="n">
        <v>0</v>
      </c>
      <c r="D375" s="374"/>
      <c r="E375" s="374"/>
      <c r="J375" s="0" t="n">
        <v>0</v>
      </c>
      <c r="K375" s="0" t="str">
        <f aca="false">IF(ISBLANK(J375),,J375&amp;", ")</f>
        <v>0,</v>
      </c>
    </row>
    <row r="376" customFormat="false" ht="15.75" hidden="false" customHeight="false" outlineLevel="0" collapsed="false">
      <c r="A376" s="374"/>
      <c r="B376" s="374" t="n">
        <v>0</v>
      </c>
      <c r="D376" s="374"/>
      <c r="E376" s="374"/>
      <c r="J376" s="0" t="n">
        <v>0</v>
      </c>
      <c r="K376" s="0" t="str">
        <f aca="false">IF(ISBLANK(J376),,J376&amp;", ")</f>
        <v>0,</v>
      </c>
    </row>
    <row r="377" customFormat="false" ht="15.75" hidden="false" customHeight="false" outlineLevel="0" collapsed="false">
      <c r="A377" s="374"/>
      <c r="B377" s="374" t="n">
        <v>0</v>
      </c>
      <c r="D377" s="374"/>
      <c r="E377" s="374"/>
      <c r="J377" s="0" t="n">
        <v>0</v>
      </c>
      <c r="K377" s="0" t="str">
        <f aca="false">IF(ISBLANK(J377),,J377&amp;", ")</f>
        <v>0,</v>
      </c>
    </row>
    <row r="378" customFormat="false" ht="15.75" hidden="false" customHeight="false" outlineLevel="0" collapsed="false">
      <c r="A378" s="374"/>
      <c r="B378" s="374" t="n">
        <v>0</v>
      </c>
      <c r="D378" s="374"/>
      <c r="E378" s="374"/>
      <c r="J378" s="0" t="n">
        <v>0</v>
      </c>
      <c r="K378" s="0" t="str">
        <f aca="false">IF(ISBLANK(J378),,J378&amp;", ")</f>
        <v>0,</v>
      </c>
    </row>
    <row r="379" customFormat="false" ht="15.75" hidden="false" customHeight="false" outlineLevel="0" collapsed="false">
      <c r="A379" s="374"/>
      <c r="B379" s="374" t="n">
        <v>0</v>
      </c>
      <c r="D379" s="374"/>
      <c r="E379" s="374"/>
      <c r="J379" s="0" t="n">
        <v>0</v>
      </c>
      <c r="K379" s="0" t="str">
        <f aca="false">IF(ISBLANK(J379),,J379&amp;", ")</f>
        <v>0,</v>
      </c>
    </row>
    <row r="380" customFormat="false" ht="15.75" hidden="false" customHeight="false" outlineLevel="0" collapsed="false">
      <c r="A380" s="374"/>
      <c r="B380" s="374" t="n">
        <v>0</v>
      </c>
      <c r="D380" s="374"/>
      <c r="E380" s="374"/>
      <c r="J380" s="0" t="n">
        <v>0</v>
      </c>
      <c r="K380" s="0" t="str">
        <f aca="false">IF(ISBLANK(J380),,J380&amp;", ")</f>
        <v>0,</v>
      </c>
    </row>
    <row r="381" customFormat="false" ht="15.75" hidden="false" customHeight="false" outlineLevel="0" collapsed="false">
      <c r="A381" s="374"/>
      <c r="B381" s="374" t="n">
        <v>0</v>
      </c>
      <c r="D381" s="374"/>
      <c r="E381" s="374"/>
      <c r="J381" s="0" t="n">
        <v>0</v>
      </c>
      <c r="K381" s="0" t="str">
        <f aca="false">IF(ISBLANK(J381),,J381&amp;", ")</f>
        <v>0,</v>
      </c>
    </row>
    <row r="382" customFormat="false" ht="15.75" hidden="false" customHeight="false" outlineLevel="0" collapsed="false">
      <c r="A382" s="374"/>
      <c r="B382" s="374" t="n">
        <v>0</v>
      </c>
      <c r="D382" s="374"/>
      <c r="E382" s="374"/>
      <c r="J382" s="0" t="n">
        <v>0</v>
      </c>
      <c r="K382" s="0" t="str">
        <f aca="false">IF(ISBLANK(J382),,J382&amp;", ")</f>
        <v>0,</v>
      </c>
    </row>
    <row r="383" customFormat="false" ht="15.75" hidden="false" customHeight="false" outlineLevel="0" collapsed="false">
      <c r="A383" s="374"/>
      <c r="B383" s="374" t="n">
        <v>0</v>
      </c>
      <c r="D383" s="374"/>
      <c r="E383" s="374"/>
      <c r="J383" s="0" t="n">
        <v>0</v>
      </c>
      <c r="K383" s="0" t="str">
        <f aca="false">IF(ISBLANK(J383),,J383&amp;", ")</f>
        <v>0,</v>
      </c>
    </row>
    <row r="384" customFormat="false" ht="15.75" hidden="false" customHeight="false" outlineLevel="0" collapsed="false">
      <c r="A384" s="374"/>
      <c r="B384" s="374" t="n">
        <v>0</v>
      </c>
      <c r="D384" s="374"/>
      <c r="E384" s="374"/>
      <c r="J384" s="0" t="n">
        <v>0</v>
      </c>
      <c r="K384" s="0" t="str">
        <f aca="false">IF(ISBLANK(J384),,J384&amp;", ")</f>
        <v>0,</v>
      </c>
    </row>
    <row r="385" customFormat="false" ht="15.75" hidden="false" customHeight="false" outlineLevel="0" collapsed="false">
      <c r="A385" s="374"/>
      <c r="B385" s="374" t="n">
        <v>0</v>
      </c>
      <c r="D385" s="374"/>
      <c r="E385" s="374"/>
      <c r="J385" s="0" t="n">
        <v>0</v>
      </c>
      <c r="K385" s="0" t="str">
        <f aca="false">IF(ISBLANK(J385),,J385&amp;", ")</f>
        <v>0,</v>
      </c>
    </row>
    <row r="386" customFormat="false" ht="15.75" hidden="false" customHeight="false" outlineLevel="0" collapsed="false">
      <c r="A386" s="374"/>
      <c r="B386" s="374" t="n">
        <v>0</v>
      </c>
      <c r="D386" s="374"/>
      <c r="E386" s="374"/>
      <c r="J386" s="0" t="n">
        <v>0</v>
      </c>
      <c r="K386" s="0" t="str">
        <f aca="false">IF(ISBLANK(J386),,J386&amp;", ")</f>
        <v>0,</v>
      </c>
    </row>
    <row r="387" customFormat="false" ht="15.75" hidden="false" customHeight="false" outlineLevel="0" collapsed="false">
      <c r="A387" s="374"/>
      <c r="B387" s="374" t="n">
        <v>0</v>
      </c>
      <c r="D387" s="374"/>
      <c r="E387" s="374"/>
      <c r="J387" s="0" t="n">
        <v>0</v>
      </c>
      <c r="K387" s="0" t="str">
        <f aca="false">IF(ISBLANK(J387),,J387&amp;", ")</f>
        <v>0,</v>
      </c>
    </row>
    <row r="388" customFormat="false" ht="15.75" hidden="false" customHeight="false" outlineLevel="0" collapsed="false">
      <c r="A388" s="374"/>
      <c r="B388" s="374" t="n">
        <v>0</v>
      </c>
      <c r="D388" s="374"/>
      <c r="E388" s="374"/>
      <c r="J388" s="0" t="n">
        <v>0</v>
      </c>
      <c r="K388" s="0" t="str">
        <f aca="false">IF(ISBLANK(J388),,J388&amp;", ")</f>
        <v>0,</v>
      </c>
    </row>
    <row r="389" customFormat="false" ht="15.75" hidden="false" customHeight="false" outlineLevel="0" collapsed="false">
      <c r="A389" s="374"/>
      <c r="B389" s="374" t="n">
        <v>0</v>
      </c>
      <c r="D389" s="374"/>
      <c r="E389" s="374"/>
      <c r="J389" s="0" t="n">
        <v>0</v>
      </c>
      <c r="K389" s="0" t="str">
        <f aca="false">IF(ISBLANK(J389),,J389&amp;", ")</f>
        <v>0,</v>
      </c>
    </row>
    <row r="390" customFormat="false" ht="15.75" hidden="false" customHeight="false" outlineLevel="0" collapsed="false">
      <c r="A390" s="374"/>
      <c r="B390" s="374" t="n">
        <v>0</v>
      </c>
      <c r="D390" s="374"/>
      <c r="E390" s="374"/>
      <c r="J390" s="0" t="n">
        <v>0</v>
      </c>
      <c r="K390" s="0" t="str">
        <f aca="false">IF(ISBLANK(J390),,J390&amp;", ")</f>
        <v>0,</v>
      </c>
    </row>
    <row r="391" customFormat="false" ht="15.75" hidden="false" customHeight="false" outlineLevel="0" collapsed="false">
      <c r="A391" s="374"/>
      <c r="B391" s="374" t="n">
        <v>0</v>
      </c>
      <c r="D391" s="374"/>
      <c r="E391" s="374"/>
      <c r="J391" s="0" t="n">
        <v>0</v>
      </c>
      <c r="K391" s="0" t="str">
        <f aca="false">IF(ISBLANK(J391),,J391&amp;", ")</f>
        <v>0,</v>
      </c>
    </row>
    <row r="392" customFormat="false" ht="15.75" hidden="false" customHeight="false" outlineLevel="0" collapsed="false">
      <c r="A392" s="374"/>
      <c r="B392" s="374" t="n">
        <v>0</v>
      </c>
      <c r="D392" s="374"/>
      <c r="E392" s="374"/>
      <c r="J392" s="0" t="n">
        <v>0</v>
      </c>
      <c r="K392" s="0" t="str">
        <f aca="false">IF(ISBLANK(J392),,J392&amp;", ")</f>
        <v>0,</v>
      </c>
    </row>
    <row r="393" customFormat="false" ht="15.75" hidden="false" customHeight="false" outlineLevel="0" collapsed="false">
      <c r="A393" s="374"/>
      <c r="B393" s="374" t="n">
        <v>0</v>
      </c>
      <c r="D393" s="374"/>
      <c r="E393" s="374"/>
      <c r="J393" s="0" t="n">
        <v>0</v>
      </c>
      <c r="K393" s="0" t="str">
        <f aca="false">IF(ISBLANK(J393),,J393&amp;", ")</f>
        <v>0,</v>
      </c>
    </row>
    <row r="394" customFormat="false" ht="15.75" hidden="false" customHeight="false" outlineLevel="0" collapsed="false">
      <c r="A394" s="374"/>
      <c r="B394" s="374" t="n">
        <v>0</v>
      </c>
      <c r="D394" s="374"/>
      <c r="E394" s="374"/>
      <c r="J394" s="0" t="n">
        <v>0</v>
      </c>
      <c r="K394" s="0" t="str">
        <f aca="false">IF(ISBLANK(J394),,J394&amp;", ")</f>
        <v>0,</v>
      </c>
    </row>
    <row r="395" customFormat="false" ht="15.75" hidden="false" customHeight="false" outlineLevel="0" collapsed="false">
      <c r="A395" s="374"/>
      <c r="B395" s="374" t="n">
        <v>0</v>
      </c>
      <c r="D395" s="374"/>
      <c r="E395" s="374"/>
      <c r="J395" s="0" t="n">
        <v>0</v>
      </c>
      <c r="K395" s="0" t="str">
        <f aca="false">IF(ISBLANK(J395),,J395&amp;", ")</f>
        <v>0,</v>
      </c>
    </row>
    <row r="396" customFormat="false" ht="15.75" hidden="false" customHeight="false" outlineLevel="0" collapsed="false">
      <c r="A396" s="374"/>
      <c r="B396" s="374" t="n">
        <v>0</v>
      </c>
      <c r="D396" s="374"/>
      <c r="E396" s="374"/>
      <c r="J396" s="0" t="n">
        <v>0</v>
      </c>
      <c r="K396" s="0" t="str">
        <f aca="false">IF(ISBLANK(J396),,J396&amp;", ")</f>
        <v>0,</v>
      </c>
    </row>
    <row r="397" customFormat="false" ht="15.75" hidden="false" customHeight="false" outlineLevel="0" collapsed="false">
      <c r="A397" s="374"/>
      <c r="B397" s="374" t="n">
        <v>0</v>
      </c>
      <c r="D397" s="374"/>
      <c r="E397" s="374"/>
      <c r="J397" s="0" t="n">
        <v>0</v>
      </c>
      <c r="K397" s="0" t="str">
        <f aca="false">IF(ISBLANK(J397),,J397&amp;", ")</f>
        <v>0,</v>
      </c>
    </row>
    <row r="398" customFormat="false" ht="15.75" hidden="false" customHeight="false" outlineLevel="0" collapsed="false">
      <c r="A398" s="374"/>
      <c r="B398" s="374" t="n">
        <v>0</v>
      </c>
      <c r="D398" s="374"/>
      <c r="E398" s="374"/>
      <c r="J398" s="0" t="n">
        <v>0</v>
      </c>
      <c r="K398" s="0" t="str">
        <f aca="false">IF(ISBLANK(J398),,J398&amp;", ")</f>
        <v>0,</v>
      </c>
    </row>
    <row r="399" customFormat="false" ht="15.75" hidden="false" customHeight="false" outlineLevel="0" collapsed="false">
      <c r="A399" s="374"/>
      <c r="B399" s="374" t="n">
        <v>0</v>
      </c>
      <c r="D399" s="374"/>
      <c r="E399" s="374"/>
      <c r="J399" s="0" t="n">
        <v>0</v>
      </c>
      <c r="K399" s="0" t="str">
        <f aca="false">IF(ISBLANK(J399),,J399&amp;", ")</f>
        <v>0,</v>
      </c>
    </row>
    <row r="400" customFormat="false" ht="15.75" hidden="false" customHeight="false" outlineLevel="0" collapsed="false">
      <c r="A400" s="374"/>
      <c r="B400" s="374" t="n">
        <v>0</v>
      </c>
      <c r="D400" s="374"/>
      <c r="E400" s="374"/>
      <c r="J400" s="0" t="n">
        <v>0</v>
      </c>
      <c r="K400" s="0" t="str">
        <f aca="false">IF(ISBLANK(J400),,J400&amp;", ")</f>
        <v>0,</v>
      </c>
    </row>
    <row r="401" customFormat="false" ht="15.75" hidden="false" customHeight="false" outlineLevel="0" collapsed="false">
      <c r="A401" s="374"/>
      <c r="B401" s="374" t="n">
        <v>0</v>
      </c>
      <c r="D401" s="374"/>
      <c r="E401" s="374"/>
      <c r="J401" s="0" t="n">
        <v>0</v>
      </c>
      <c r="K401" s="0" t="str">
        <f aca="false">IF(ISBLANK(J401),,J401&amp;", ")</f>
        <v>0,</v>
      </c>
    </row>
    <row r="402" customFormat="false" ht="15.75" hidden="false" customHeight="false" outlineLevel="0" collapsed="false">
      <c r="A402" s="374"/>
      <c r="B402" s="374" t="n">
        <v>0</v>
      </c>
      <c r="D402" s="374"/>
      <c r="E402" s="374"/>
      <c r="J402" s="0" t="n">
        <v>0</v>
      </c>
      <c r="K402" s="0" t="str">
        <f aca="false">IF(ISBLANK(J402),,J402&amp;", ")</f>
        <v>0,</v>
      </c>
    </row>
    <row r="403" customFormat="false" ht="15.75" hidden="false" customHeight="false" outlineLevel="0" collapsed="false">
      <c r="A403" s="374"/>
      <c r="B403" s="374" t="n">
        <v>0</v>
      </c>
      <c r="D403" s="374"/>
      <c r="E403" s="374"/>
      <c r="J403" s="0" t="n">
        <v>0</v>
      </c>
      <c r="K403" s="0" t="str">
        <f aca="false">IF(ISBLANK(J403),,J403&amp;", ")</f>
        <v>0,</v>
      </c>
    </row>
    <row r="404" customFormat="false" ht="15.75" hidden="false" customHeight="false" outlineLevel="0" collapsed="false">
      <c r="A404" s="374"/>
      <c r="B404" s="374" t="n">
        <v>0</v>
      </c>
      <c r="D404" s="374"/>
      <c r="E404" s="374"/>
      <c r="J404" s="0" t="n">
        <v>0</v>
      </c>
      <c r="K404" s="0" t="str">
        <f aca="false">IF(ISBLANK(J404),,J404&amp;", ")</f>
        <v>0,</v>
      </c>
    </row>
    <row r="405" customFormat="false" ht="15.75" hidden="false" customHeight="false" outlineLevel="0" collapsed="false">
      <c r="A405" s="374"/>
      <c r="B405" s="374" t="n">
        <v>0</v>
      </c>
      <c r="D405" s="374"/>
      <c r="E405" s="374"/>
      <c r="J405" s="0" t="n">
        <v>0</v>
      </c>
      <c r="K405" s="0" t="str">
        <f aca="false">IF(ISBLANK(J405),,J405&amp;", ")</f>
        <v>0,</v>
      </c>
    </row>
    <row r="406" customFormat="false" ht="15.75" hidden="false" customHeight="false" outlineLevel="0" collapsed="false">
      <c r="A406" s="374"/>
      <c r="B406" s="374" t="n">
        <v>0</v>
      </c>
      <c r="D406" s="374"/>
      <c r="E406" s="374"/>
      <c r="J406" s="0" t="n">
        <v>0</v>
      </c>
      <c r="K406" s="0" t="str">
        <f aca="false">IF(ISBLANK(J406),,J406&amp;", ")</f>
        <v>0,</v>
      </c>
    </row>
    <row r="407" customFormat="false" ht="15.75" hidden="false" customHeight="false" outlineLevel="0" collapsed="false">
      <c r="A407" s="374"/>
      <c r="B407" s="374" t="n">
        <v>0</v>
      </c>
      <c r="D407" s="374"/>
      <c r="E407" s="374"/>
      <c r="J407" s="0" t="n">
        <v>0</v>
      </c>
      <c r="K407" s="0" t="str">
        <f aca="false">IF(ISBLANK(J407),,J407&amp;", ")</f>
        <v>0,</v>
      </c>
    </row>
    <row r="408" customFormat="false" ht="15.75" hidden="false" customHeight="false" outlineLevel="0" collapsed="false">
      <c r="A408" s="374"/>
      <c r="B408" s="374" t="n">
        <v>0</v>
      </c>
      <c r="D408" s="374"/>
      <c r="E408" s="374"/>
      <c r="J408" s="0" t="n">
        <v>0</v>
      </c>
      <c r="K408" s="0" t="str">
        <f aca="false">IF(ISBLANK(J408),,J408&amp;", ")</f>
        <v>0,</v>
      </c>
    </row>
    <row r="409" customFormat="false" ht="15.75" hidden="false" customHeight="false" outlineLevel="0" collapsed="false">
      <c r="A409" s="374"/>
      <c r="B409" s="374" t="n">
        <v>0</v>
      </c>
      <c r="D409" s="374"/>
      <c r="E409" s="374"/>
      <c r="J409" s="0" t="n">
        <v>0</v>
      </c>
      <c r="K409" s="0" t="str">
        <f aca="false">IF(ISBLANK(J409),,J409&amp;", ")</f>
        <v>0,</v>
      </c>
    </row>
    <row r="410" customFormat="false" ht="15.75" hidden="false" customHeight="false" outlineLevel="0" collapsed="false">
      <c r="A410" s="374"/>
      <c r="B410" s="374" t="n">
        <v>0</v>
      </c>
      <c r="D410" s="374"/>
      <c r="E410" s="374"/>
      <c r="J410" s="0" t="n">
        <v>0</v>
      </c>
      <c r="K410" s="0" t="str">
        <f aca="false">IF(ISBLANK(J410),,J410&amp;", ")</f>
        <v>0,</v>
      </c>
    </row>
    <row r="411" customFormat="false" ht="15.75" hidden="false" customHeight="false" outlineLevel="0" collapsed="false">
      <c r="A411" s="374"/>
      <c r="B411" s="374" t="n">
        <v>0</v>
      </c>
      <c r="D411" s="374"/>
      <c r="E411" s="374"/>
      <c r="J411" s="0" t="n">
        <v>0</v>
      </c>
      <c r="K411" s="0" t="str">
        <f aca="false">IF(ISBLANK(J411),,J411&amp;", ")</f>
        <v>0,</v>
      </c>
    </row>
    <row r="412" customFormat="false" ht="15.75" hidden="false" customHeight="false" outlineLevel="0" collapsed="false">
      <c r="A412" s="374"/>
      <c r="B412" s="374" t="n">
        <v>0</v>
      </c>
      <c r="D412" s="374"/>
      <c r="E412" s="374"/>
      <c r="J412" s="0" t="n">
        <v>0</v>
      </c>
      <c r="K412" s="0" t="str">
        <f aca="false">IF(ISBLANK(J412),,J412&amp;", ")</f>
        <v>0,</v>
      </c>
    </row>
    <row r="413" customFormat="false" ht="15.75" hidden="false" customHeight="false" outlineLevel="0" collapsed="false">
      <c r="A413" s="374"/>
      <c r="B413" s="374" t="n">
        <v>0</v>
      </c>
      <c r="D413" s="374"/>
      <c r="E413" s="374"/>
      <c r="J413" s="0" t="n">
        <v>0</v>
      </c>
      <c r="K413" s="0" t="str">
        <f aca="false">IF(ISBLANK(J413),,J413&amp;", ")</f>
        <v>0,</v>
      </c>
    </row>
    <row r="414" customFormat="false" ht="15.75" hidden="false" customHeight="false" outlineLevel="0" collapsed="false">
      <c r="A414" s="374"/>
      <c r="B414" s="374" t="n">
        <v>0</v>
      </c>
      <c r="D414" s="374"/>
      <c r="E414" s="374"/>
      <c r="J414" s="0" t="n">
        <v>0</v>
      </c>
      <c r="K414" s="0" t="str">
        <f aca="false">IF(ISBLANK(J414),,J414&amp;", ")</f>
        <v>0,</v>
      </c>
    </row>
    <row r="415" customFormat="false" ht="15.75" hidden="false" customHeight="false" outlineLevel="0" collapsed="false">
      <c r="A415" s="374"/>
      <c r="B415" s="374" t="n">
        <v>0</v>
      </c>
      <c r="D415" s="374"/>
      <c r="E415" s="374"/>
      <c r="J415" s="0" t="n">
        <v>0</v>
      </c>
      <c r="K415" s="0" t="str">
        <f aca="false">IF(ISBLANK(J415),,J415&amp;", ")</f>
        <v>0,</v>
      </c>
    </row>
    <row r="416" customFormat="false" ht="15.75" hidden="false" customHeight="false" outlineLevel="0" collapsed="false">
      <c r="A416" s="374"/>
      <c r="B416" s="374" t="n">
        <v>0</v>
      </c>
      <c r="D416" s="374"/>
      <c r="E416" s="374"/>
      <c r="J416" s="0" t="n">
        <v>0</v>
      </c>
      <c r="K416" s="0" t="str">
        <f aca="false">IF(ISBLANK(J416),,J416&amp;", ")</f>
        <v>0,</v>
      </c>
    </row>
    <row r="417" customFormat="false" ht="15.75" hidden="false" customHeight="false" outlineLevel="0" collapsed="false">
      <c r="A417" s="374"/>
      <c r="B417" s="374" t="n">
        <v>0</v>
      </c>
      <c r="D417" s="374"/>
      <c r="E417" s="374"/>
      <c r="J417" s="0" t="n">
        <v>0</v>
      </c>
      <c r="K417" s="0" t="str">
        <f aca="false">IF(ISBLANK(J417),,J417&amp;", ")</f>
        <v>0,</v>
      </c>
    </row>
    <row r="418" customFormat="false" ht="15.75" hidden="false" customHeight="false" outlineLevel="0" collapsed="false">
      <c r="A418" s="374"/>
      <c r="B418" s="374" t="n">
        <v>0</v>
      </c>
      <c r="D418" s="374"/>
      <c r="E418" s="374"/>
      <c r="J418" s="0" t="n">
        <v>0</v>
      </c>
      <c r="K418" s="0" t="str">
        <f aca="false">IF(ISBLANK(J418),,J418&amp;", ")</f>
        <v>0,</v>
      </c>
    </row>
    <row r="419" customFormat="false" ht="15.75" hidden="false" customHeight="false" outlineLevel="0" collapsed="false">
      <c r="A419" s="374"/>
      <c r="B419" s="374" t="n">
        <v>0</v>
      </c>
      <c r="D419" s="374"/>
      <c r="E419" s="374"/>
      <c r="J419" s="0" t="n">
        <v>0</v>
      </c>
      <c r="K419" s="0" t="str">
        <f aca="false">IF(ISBLANK(J419),,J419&amp;", ")</f>
        <v>0,</v>
      </c>
    </row>
    <row r="420" customFormat="false" ht="15.75" hidden="false" customHeight="false" outlineLevel="0" collapsed="false">
      <c r="A420" s="374"/>
      <c r="B420" s="374" t="n">
        <v>0</v>
      </c>
      <c r="D420" s="374"/>
      <c r="E420" s="374"/>
      <c r="J420" s="0" t="n">
        <v>0</v>
      </c>
      <c r="K420" s="0" t="str">
        <f aca="false">IF(ISBLANK(J420),,J420&amp;", ")</f>
        <v>0,</v>
      </c>
    </row>
    <row r="421" customFormat="false" ht="15.75" hidden="false" customHeight="false" outlineLevel="0" collapsed="false">
      <c r="A421" s="374"/>
      <c r="B421" s="374" t="n">
        <v>0</v>
      </c>
      <c r="D421" s="374"/>
      <c r="E421" s="374"/>
      <c r="J421" s="0" t="n">
        <v>0</v>
      </c>
      <c r="K421" s="0" t="str">
        <f aca="false">IF(ISBLANK(J421),,J421&amp;", ")</f>
        <v>0,</v>
      </c>
    </row>
    <row r="422" customFormat="false" ht="15.75" hidden="false" customHeight="false" outlineLevel="0" collapsed="false">
      <c r="A422" s="374"/>
      <c r="B422" s="374" t="n">
        <v>0</v>
      </c>
      <c r="D422" s="374"/>
      <c r="E422" s="374"/>
      <c r="J422" s="0" t="n">
        <v>0</v>
      </c>
      <c r="K422" s="0" t="str">
        <f aca="false">IF(ISBLANK(J422),,J422&amp;", ")</f>
        <v>0,</v>
      </c>
    </row>
    <row r="423" customFormat="false" ht="15.75" hidden="false" customHeight="false" outlineLevel="0" collapsed="false">
      <c r="A423" s="374"/>
      <c r="B423" s="374" t="n">
        <v>0</v>
      </c>
      <c r="D423" s="374"/>
      <c r="E423" s="374"/>
      <c r="J423" s="0" t="n">
        <v>0</v>
      </c>
      <c r="K423" s="0" t="str">
        <f aca="false">IF(ISBLANK(J423),,J423&amp;", ")</f>
        <v>0,</v>
      </c>
    </row>
    <row r="424" customFormat="false" ht="15.75" hidden="false" customHeight="false" outlineLevel="0" collapsed="false">
      <c r="A424" s="374"/>
      <c r="B424" s="374" t="n">
        <v>0</v>
      </c>
      <c r="D424" s="374"/>
      <c r="E424" s="374"/>
      <c r="J424" s="0" t="n">
        <v>0</v>
      </c>
      <c r="K424" s="0" t="str">
        <f aca="false">IF(ISBLANK(J424),,J424&amp;", ")</f>
        <v>0,</v>
      </c>
    </row>
    <row r="425" customFormat="false" ht="15.75" hidden="false" customHeight="false" outlineLevel="0" collapsed="false">
      <c r="A425" s="374"/>
      <c r="B425" s="374" t="n">
        <v>0</v>
      </c>
      <c r="D425" s="374"/>
      <c r="E425" s="374"/>
      <c r="J425" s="0" t="n">
        <v>0</v>
      </c>
      <c r="K425" s="0" t="str">
        <f aca="false">IF(ISBLANK(J425),,J425&amp;", ")</f>
        <v>0,</v>
      </c>
    </row>
    <row r="426" customFormat="false" ht="15.75" hidden="false" customHeight="false" outlineLevel="0" collapsed="false">
      <c r="A426" s="374"/>
      <c r="B426" s="374" t="n">
        <v>0</v>
      </c>
      <c r="D426" s="374"/>
      <c r="E426" s="374"/>
      <c r="J426" s="0" t="n">
        <v>0</v>
      </c>
      <c r="K426" s="0" t="str">
        <f aca="false">IF(ISBLANK(J426),,J426&amp;", ")</f>
        <v>0,</v>
      </c>
    </row>
    <row r="427" customFormat="false" ht="15.75" hidden="false" customHeight="false" outlineLevel="0" collapsed="false">
      <c r="A427" s="374"/>
      <c r="B427" s="374" t="n">
        <v>0</v>
      </c>
      <c r="D427" s="374"/>
      <c r="E427" s="374"/>
      <c r="J427" s="0" t="n">
        <v>0</v>
      </c>
      <c r="K427" s="0" t="str">
        <f aca="false">IF(ISBLANK(J427),,J427&amp;", ")</f>
        <v>0,</v>
      </c>
    </row>
    <row r="428" customFormat="false" ht="15.75" hidden="false" customHeight="false" outlineLevel="0" collapsed="false">
      <c r="A428" s="374"/>
      <c r="B428" s="374" t="n">
        <v>0</v>
      </c>
      <c r="D428" s="374"/>
      <c r="E428" s="374"/>
      <c r="J428" s="0" t="n">
        <v>0</v>
      </c>
      <c r="K428" s="0" t="str">
        <f aca="false">IF(ISBLANK(J428),,J428&amp;", ")</f>
        <v>0,</v>
      </c>
    </row>
    <row r="429" customFormat="false" ht="15.75" hidden="false" customHeight="false" outlineLevel="0" collapsed="false">
      <c r="A429" s="374"/>
      <c r="B429" s="374" t="n">
        <v>0</v>
      </c>
      <c r="D429" s="374"/>
      <c r="E429" s="374"/>
      <c r="J429" s="0" t="n">
        <v>0</v>
      </c>
      <c r="K429" s="0" t="str">
        <f aca="false">IF(ISBLANK(J429),,J429&amp;", ")</f>
        <v>0,</v>
      </c>
    </row>
    <row r="430" customFormat="false" ht="15.75" hidden="false" customHeight="false" outlineLevel="0" collapsed="false">
      <c r="A430" s="374"/>
      <c r="B430" s="374" t="n">
        <v>0</v>
      </c>
      <c r="D430" s="374"/>
      <c r="E430" s="374"/>
      <c r="J430" s="0" t="n">
        <v>0</v>
      </c>
      <c r="K430" s="0" t="str">
        <f aca="false">IF(ISBLANK(J430),,J430&amp;", ")</f>
        <v>0,</v>
      </c>
    </row>
    <row r="431" customFormat="false" ht="15.75" hidden="false" customHeight="false" outlineLevel="0" collapsed="false">
      <c r="A431" s="374"/>
      <c r="B431" s="374" t="n">
        <v>0</v>
      </c>
      <c r="D431" s="374"/>
      <c r="E431" s="374"/>
      <c r="J431" s="0" t="n">
        <v>0</v>
      </c>
      <c r="K431" s="0" t="str">
        <f aca="false">IF(ISBLANK(J431),,J431&amp;", ")</f>
        <v>0,</v>
      </c>
    </row>
    <row r="432" customFormat="false" ht="15.75" hidden="false" customHeight="false" outlineLevel="0" collapsed="false">
      <c r="A432" s="374"/>
      <c r="B432" s="374" t="n">
        <v>0</v>
      </c>
      <c r="D432" s="374"/>
      <c r="E432" s="374"/>
      <c r="J432" s="0" t="n">
        <v>0</v>
      </c>
      <c r="K432" s="0" t="str">
        <f aca="false">IF(ISBLANK(J432),,J432&amp;", ")</f>
        <v>0,</v>
      </c>
    </row>
    <row r="433" customFormat="false" ht="15.75" hidden="false" customHeight="false" outlineLevel="0" collapsed="false">
      <c r="A433" s="374"/>
      <c r="B433" s="374" t="n">
        <v>0</v>
      </c>
      <c r="D433" s="374"/>
      <c r="E433" s="374"/>
      <c r="J433" s="0" t="n">
        <v>0</v>
      </c>
      <c r="K433" s="0" t="str">
        <f aca="false">IF(ISBLANK(J433),,J433&amp;", ")</f>
        <v>0,</v>
      </c>
    </row>
    <row r="434" customFormat="false" ht="15.75" hidden="false" customHeight="false" outlineLevel="0" collapsed="false">
      <c r="A434" s="374"/>
      <c r="B434" s="374" t="n">
        <v>0</v>
      </c>
      <c r="D434" s="374"/>
      <c r="E434" s="374"/>
      <c r="J434" s="0" t="n">
        <v>0</v>
      </c>
      <c r="K434" s="0" t="str">
        <f aca="false">IF(ISBLANK(J434),,J434&amp;", ")</f>
        <v>0,</v>
      </c>
    </row>
    <row r="435" customFormat="false" ht="15.75" hidden="false" customHeight="false" outlineLevel="0" collapsed="false">
      <c r="A435" s="374"/>
      <c r="B435" s="374" t="n">
        <v>0</v>
      </c>
      <c r="D435" s="374"/>
      <c r="E435" s="374"/>
      <c r="J435" s="0" t="n">
        <v>0</v>
      </c>
      <c r="K435" s="0" t="str">
        <f aca="false">IF(ISBLANK(J435),,J435&amp;", ")</f>
        <v>0,</v>
      </c>
    </row>
    <row r="436" customFormat="false" ht="15.75" hidden="false" customHeight="false" outlineLevel="0" collapsed="false">
      <c r="A436" s="374"/>
      <c r="B436" s="374" t="n">
        <v>0</v>
      </c>
      <c r="D436" s="374"/>
      <c r="E436" s="374"/>
      <c r="J436" s="0" t="n">
        <v>0</v>
      </c>
      <c r="K436" s="0" t="str">
        <f aca="false">IF(ISBLANK(J436),,J436&amp;", ")</f>
        <v>0,</v>
      </c>
    </row>
    <row r="437" customFormat="false" ht="15.75" hidden="false" customHeight="false" outlineLevel="0" collapsed="false">
      <c r="A437" s="374"/>
      <c r="B437" s="374" t="n">
        <v>0</v>
      </c>
      <c r="D437" s="374"/>
      <c r="E437" s="374"/>
      <c r="J437" s="0" t="n">
        <v>0</v>
      </c>
      <c r="K437" s="0" t="str">
        <f aca="false">IF(ISBLANK(J437),,J437&amp;", ")</f>
        <v>0,</v>
      </c>
    </row>
    <row r="438" customFormat="false" ht="15.75" hidden="false" customHeight="false" outlineLevel="0" collapsed="false">
      <c r="A438" s="374"/>
      <c r="B438" s="374" t="n">
        <v>0</v>
      </c>
      <c r="D438" s="374"/>
      <c r="E438" s="374"/>
      <c r="J438" s="0" t="n">
        <v>0</v>
      </c>
      <c r="K438" s="0" t="str">
        <f aca="false">IF(ISBLANK(J438),,J438&amp;", ")</f>
        <v>0,</v>
      </c>
    </row>
    <row r="439" customFormat="false" ht="15.75" hidden="false" customHeight="false" outlineLevel="0" collapsed="false">
      <c r="A439" s="374"/>
      <c r="B439" s="374" t="n">
        <v>0</v>
      </c>
      <c r="D439" s="374"/>
      <c r="E439" s="374"/>
      <c r="J439" s="0" t="n">
        <v>0</v>
      </c>
      <c r="K439" s="0" t="str">
        <f aca="false">IF(ISBLANK(J439),,J439&amp;", ")</f>
        <v>0,</v>
      </c>
    </row>
    <row r="440" customFormat="false" ht="15.75" hidden="false" customHeight="false" outlineLevel="0" collapsed="false">
      <c r="A440" s="374"/>
      <c r="B440" s="374" t="n">
        <v>0</v>
      </c>
      <c r="D440" s="374"/>
      <c r="E440" s="374"/>
      <c r="J440" s="0" t="n">
        <v>0</v>
      </c>
      <c r="K440" s="0" t="str">
        <f aca="false">IF(ISBLANK(J440),,J440&amp;", ")</f>
        <v>0,</v>
      </c>
    </row>
    <row r="441" customFormat="false" ht="15.75" hidden="false" customHeight="false" outlineLevel="0" collapsed="false">
      <c r="A441" s="374"/>
      <c r="B441" s="374" t="n">
        <v>0</v>
      </c>
      <c r="D441" s="374"/>
      <c r="E441" s="374"/>
      <c r="J441" s="0" t="n">
        <v>0</v>
      </c>
      <c r="K441" s="0" t="str">
        <f aca="false">IF(ISBLANK(J441),,J441&amp;", ")</f>
        <v>0,</v>
      </c>
    </row>
    <row r="442" customFormat="false" ht="15.75" hidden="false" customHeight="false" outlineLevel="0" collapsed="false">
      <c r="A442" s="374"/>
      <c r="B442" s="374" t="n">
        <v>0</v>
      </c>
      <c r="D442" s="374"/>
      <c r="E442" s="374"/>
      <c r="J442" s="0" t="n">
        <v>0</v>
      </c>
      <c r="K442" s="0" t="str">
        <f aca="false">IF(ISBLANK(J442),,J442&amp;", ")</f>
        <v>0,</v>
      </c>
    </row>
    <row r="443" customFormat="false" ht="15.75" hidden="false" customHeight="false" outlineLevel="0" collapsed="false">
      <c r="A443" s="374"/>
      <c r="B443" s="374" t="n">
        <v>0</v>
      </c>
      <c r="D443" s="374"/>
      <c r="E443" s="374"/>
      <c r="J443" s="0" t="n">
        <v>0</v>
      </c>
      <c r="K443" s="0" t="str">
        <f aca="false">IF(ISBLANK(J443),,J443&amp;", ")</f>
        <v>0,</v>
      </c>
    </row>
    <row r="444" customFormat="false" ht="15.75" hidden="false" customHeight="false" outlineLevel="0" collapsed="false">
      <c r="A444" s="374"/>
      <c r="B444" s="374" t="n">
        <v>0</v>
      </c>
      <c r="D444" s="374"/>
      <c r="E444" s="374"/>
      <c r="J444" s="0" t="n">
        <v>0</v>
      </c>
      <c r="K444" s="0" t="str">
        <f aca="false">IF(ISBLANK(J444),,J444&amp;", ")</f>
        <v>0,</v>
      </c>
    </row>
    <row r="445" customFormat="false" ht="15.75" hidden="false" customHeight="false" outlineLevel="0" collapsed="false">
      <c r="A445" s="374"/>
      <c r="B445" s="374" t="n">
        <v>0</v>
      </c>
      <c r="D445" s="374"/>
      <c r="E445" s="374"/>
      <c r="J445" s="0" t="n">
        <v>0</v>
      </c>
      <c r="K445" s="0" t="str">
        <f aca="false">IF(ISBLANK(J445),,J445&amp;", ")</f>
        <v>0,</v>
      </c>
    </row>
    <row r="446" customFormat="false" ht="15.75" hidden="false" customHeight="false" outlineLevel="0" collapsed="false">
      <c r="A446" s="374"/>
      <c r="B446" s="374" t="n">
        <v>0</v>
      </c>
      <c r="D446" s="374"/>
      <c r="E446" s="374"/>
      <c r="J446" s="0" t="n">
        <v>0</v>
      </c>
      <c r="K446" s="0" t="str">
        <f aca="false">IF(ISBLANK(J446),,J446&amp;", ")</f>
        <v>0,</v>
      </c>
    </row>
    <row r="447" customFormat="false" ht="15.75" hidden="false" customHeight="false" outlineLevel="0" collapsed="false">
      <c r="A447" s="374"/>
      <c r="B447" s="374" t="n">
        <v>0</v>
      </c>
      <c r="D447" s="374"/>
      <c r="E447" s="374"/>
      <c r="J447" s="0" t="n">
        <v>0</v>
      </c>
      <c r="K447" s="0" t="str">
        <f aca="false">IF(ISBLANK(J447),,J447&amp;", ")</f>
        <v>0,</v>
      </c>
    </row>
    <row r="448" customFormat="false" ht="15.75" hidden="false" customHeight="false" outlineLevel="0" collapsed="false">
      <c r="A448" s="374"/>
      <c r="B448" s="374" t="n">
        <v>0</v>
      </c>
      <c r="D448" s="374"/>
      <c r="E448" s="374"/>
      <c r="J448" s="0" t="n">
        <v>0</v>
      </c>
      <c r="K448" s="0" t="str">
        <f aca="false">IF(ISBLANK(J448),,J448&amp;", ")</f>
        <v>0,</v>
      </c>
    </row>
    <row r="449" customFormat="false" ht="15.75" hidden="false" customHeight="false" outlineLevel="0" collapsed="false">
      <c r="A449" s="374"/>
      <c r="B449" s="374" t="n">
        <v>0</v>
      </c>
      <c r="D449" s="374"/>
      <c r="E449" s="374"/>
      <c r="J449" s="0" t="n">
        <v>0</v>
      </c>
      <c r="K449" s="0" t="str">
        <f aca="false">IF(ISBLANK(J449),,J449&amp;", ")</f>
        <v>0,</v>
      </c>
    </row>
    <row r="450" customFormat="false" ht="15.75" hidden="false" customHeight="false" outlineLevel="0" collapsed="false">
      <c r="A450" s="374"/>
      <c r="B450" s="374" t="n">
        <v>0</v>
      </c>
      <c r="D450" s="374"/>
      <c r="E450" s="374"/>
      <c r="J450" s="0" t="n">
        <v>0</v>
      </c>
      <c r="K450" s="0" t="str">
        <f aca="false">IF(ISBLANK(J450),,J450&amp;", ")</f>
        <v>0,</v>
      </c>
    </row>
    <row r="451" customFormat="false" ht="15.75" hidden="false" customHeight="false" outlineLevel="0" collapsed="false">
      <c r="A451" s="374"/>
      <c r="B451" s="374" t="n">
        <v>0</v>
      </c>
      <c r="D451" s="374"/>
      <c r="E451" s="374"/>
      <c r="J451" s="0" t="n">
        <v>0</v>
      </c>
      <c r="K451" s="0" t="str">
        <f aca="false">IF(ISBLANK(J451),,J451&amp;", ")</f>
        <v>0,</v>
      </c>
    </row>
    <row r="452" customFormat="false" ht="15.75" hidden="false" customHeight="false" outlineLevel="0" collapsed="false">
      <c r="A452" s="374"/>
      <c r="B452" s="374" t="n">
        <v>0</v>
      </c>
      <c r="D452" s="374"/>
      <c r="E452" s="374"/>
      <c r="J452" s="0" t="n">
        <v>0</v>
      </c>
      <c r="K452" s="0" t="str">
        <f aca="false">IF(ISBLANK(J452),,J452&amp;", ")</f>
        <v>0,</v>
      </c>
    </row>
    <row r="453" customFormat="false" ht="15.75" hidden="false" customHeight="false" outlineLevel="0" collapsed="false">
      <c r="A453" s="374"/>
      <c r="B453" s="374" t="n">
        <v>0</v>
      </c>
      <c r="D453" s="374"/>
      <c r="E453" s="374"/>
      <c r="J453" s="0" t="n">
        <v>0</v>
      </c>
      <c r="K453" s="0" t="str">
        <f aca="false">IF(ISBLANK(J453),,J453&amp;", ")</f>
        <v>0,</v>
      </c>
    </row>
    <row r="454" customFormat="false" ht="15.75" hidden="false" customHeight="false" outlineLevel="0" collapsed="false">
      <c r="A454" s="374"/>
      <c r="B454" s="374" t="n">
        <v>0</v>
      </c>
      <c r="D454" s="374"/>
      <c r="E454" s="374"/>
      <c r="J454" s="0" t="n">
        <v>0</v>
      </c>
      <c r="K454" s="0" t="str">
        <f aca="false">IF(ISBLANK(J454),,J454&amp;", ")</f>
        <v>0,</v>
      </c>
    </row>
    <row r="455" customFormat="false" ht="15.75" hidden="false" customHeight="false" outlineLevel="0" collapsed="false">
      <c r="A455" s="374"/>
      <c r="B455" s="374" t="n">
        <v>0</v>
      </c>
      <c r="D455" s="374"/>
      <c r="E455" s="374"/>
      <c r="J455" s="0" t="n">
        <v>0</v>
      </c>
      <c r="K455" s="0" t="str">
        <f aca="false">IF(ISBLANK(J455),,J455&amp;", ")</f>
        <v>0,</v>
      </c>
    </row>
    <row r="456" customFormat="false" ht="15.75" hidden="false" customHeight="false" outlineLevel="0" collapsed="false">
      <c r="A456" s="374"/>
      <c r="B456" s="374" t="n">
        <v>0</v>
      </c>
      <c r="D456" s="374"/>
      <c r="E456" s="374"/>
      <c r="J456" s="0" t="n">
        <v>0</v>
      </c>
      <c r="K456" s="0" t="str">
        <f aca="false">IF(ISBLANK(J456),,J456&amp;", ")</f>
        <v>0,</v>
      </c>
    </row>
    <row r="457" customFormat="false" ht="15.75" hidden="false" customHeight="false" outlineLevel="0" collapsed="false">
      <c r="A457" s="374"/>
      <c r="B457" s="374" t="n">
        <v>0</v>
      </c>
      <c r="D457" s="374"/>
      <c r="E457" s="374"/>
      <c r="J457" s="0" t="n">
        <v>0</v>
      </c>
      <c r="K457" s="0" t="str">
        <f aca="false">IF(ISBLANK(J457),,J457&amp;", ")</f>
        <v>0,</v>
      </c>
    </row>
    <row r="458" customFormat="false" ht="15.75" hidden="false" customHeight="false" outlineLevel="0" collapsed="false">
      <c r="A458" s="374"/>
      <c r="B458" s="374" t="n">
        <v>0</v>
      </c>
      <c r="D458" s="374"/>
      <c r="E458" s="374"/>
      <c r="J458" s="0" t="n">
        <v>0</v>
      </c>
      <c r="K458" s="0" t="str">
        <f aca="false">IF(ISBLANK(J458),,J458&amp;", ")</f>
        <v>0,</v>
      </c>
    </row>
    <row r="459" customFormat="false" ht="15.75" hidden="false" customHeight="false" outlineLevel="0" collapsed="false">
      <c r="A459" s="374"/>
      <c r="B459" s="374" t="n">
        <v>0</v>
      </c>
      <c r="D459" s="374"/>
      <c r="E459" s="374"/>
      <c r="J459" s="0" t="n">
        <v>0</v>
      </c>
      <c r="K459" s="0" t="str">
        <f aca="false">IF(ISBLANK(J459),,J459&amp;", ")</f>
        <v>0,</v>
      </c>
    </row>
    <row r="460" customFormat="false" ht="15.75" hidden="false" customHeight="false" outlineLevel="0" collapsed="false">
      <c r="A460" s="374"/>
      <c r="B460" s="374" t="n">
        <v>0</v>
      </c>
      <c r="D460" s="374"/>
      <c r="E460" s="374"/>
      <c r="J460" s="0" t="n">
        <v>0</v>
      </c>
      <c r="K460" s="0" t="str">
        <f aca="false">IF(ISBLANK(J460),,J460&amp;", ")</f>
        <v>0,</v>
      </c>
    </row>
    <row r="461" customFormat="false" ht="15.75" hidden="false" customHeight="false" outlineLevel="0" collapsed="false">
      <c r="A461" s="374"/>
      <c r="B461" s="374" t="n">
        <v>0</v>
      </c>
      <c r="D461" s="374"/>
      <c r="E461" s="374"/>
      <c r="J461" s="0" t="n">
        <v>0</v>
      </c>
      <c r="K461" s="0" t="str">
        <f aca="false">IF(ISBLANK(J461),,J461&amp;", ")</f>
        <v>0,</v>
      </c>
    </row>
    <row r="462" customFormat="false" ht="15.75" hidden="false" customHeight="false" outlineLevel="0" collapsed="false">
      <c r="A462" s="374"/>
      <c r="B462" s="374" t="n">
        <v>0</v>
      </c>
      <c r="D462" s="374"/>
      <c r="E462" s="374"/>
      <c r="J462" s="0" t="n">
        <v>0</v>
      </c>
      <c r="K462" s="0" t="str">
        <f aca="false">IF(ISBLANK(J462),,J462&amp;", ")</f>
        <v>0,</v>
      </c>
    </row>
    <row r="463" customFormat="false" ht="15.75" hidden="false" customHeight="false" outlineLevel="0" collapsed="false">
      <c r="A463" s="374"/>
      <c r="B463" s="374" t="n">
        <v>0</v>
      </c>
      <c r="D463" s="374"/>
      <c r="E463" s="374"/>
      <c r="J463" s="0" t="n">
        <v>0</v>
      </c>
      <c r="K463" s="0" t="str">
        <f aca="false">IF(ISBLANK(J463),,J463&amp;", ")</f>
        <v>0,</v>
      </c>
    </row>
    <row r="464" customFormat="false" ht="15.75" hidden="false" customHeight="false" outlineLevel="0" collapsed="false">
      <c r="A464" s="374"/>
      <c r="B464" s="374" t="n">
        <v>0</v>
      </c>
      <c r="D464" s="374"/>
      <c r="E464" s="374"/>
      <c r="J464" s="0" t="n">
        <v>0</v>
      </c>
      <c r="K464" s="0" t="str">
        <f aca="false">IF(ISBLANK(J464),,J464&amp;", ")</f>
        <v>0,</v>
      </c>
    </row>
    <row r="465" customFormat="false" ht="15.75" hidden="false" customHeight="false" outlineLevel="0" collapsed="false">
      <c r="A465" s="374"/>
      <c r="B465" s="374" t="n">
        <v>0</v>
      </c>
      <c r="D465" s="374"/>
      <c r="E465" s="374"/>
      <c r="J465" s="0" t="n">
        <v>0</v>
      </c>
      <c r="K465" s="0" t="str">
        <f aca="false">IF(ISBLANK(J465),,J465&amp;", ")</f>
        <v>0,</v>
      </c>
    </row>
    <row r="466" customFormat="false" ht="15.75" hidden="false" customHeight="false" outlineLevel="0" collapsed="false">
      <c r="A466" s="374"/>
      <c r="B466" s="374" t="n">
        <v>0</v>
      </c>
      <c r="D466" s="374"/>
      <c r="E466" s="374"/>
      <c r="J466" s="0" t="n">
        <v>0</v>
      </c>
      <c r="K466" s="0" t="str">
        <f aca="false">IF(ISBLANK(J466),,J466&amp;", ")</f>
        <v>0,</v>
      </c>
    </row>
    <row r="467" customFormat="false" ht="15.75" hidden="false" customHeight="false" outlineLevel="0" collapsed="false">
      <c r="A467" s="374"/>
      <c r="B467" s="374" t="n">
        <v>0</v>
      </c>
      <c r="D467" s="374"/>
      <c r="E467" s="374"/>
      <c r="J467" s="0" t="n">
        <v>0</v>
      </c>
      <c r="K467" s="0" t="str">
        <f aca="false">IF(ISBLANK(J467),,J467&amp;", ")</f>
        <v>0,</v>
      </c>
    </row>
    <row r="468" customFormat="false" ht="15.75" hidden="false" customHeight="false" outlineLevel="0" collapsed="false">
      <c r="A468" s="374"/>
      <c r="B468" s="374" t="n">
        <v>0</v>
      </c>
      <c r="D468" s="374"/>
      <c r="E468" s="374"/>
      <c r="J468" s="0" t="n">
        <v>0</v>
      </c>
      <c r="K468" s="0" t="str">
        <f aca="false">IF(ISBLANK(J468),,J468&amp;", ")</f>
        <v>0,</v>
      </c>
    </row>
    <row r="469" customFormat="false" ht="15.75" hidden="false" customHeight="false" outlineLevel="0" collapsed="false">
      <c r="A469" s="374"/>
      <c r="B469" s="374" t="n">
        <v>0</v>
      </c>
      <c r="D469" s="374"/>
      <c r="E469" s="374"/>
      <c r="J469" s="0" t="n">
        <v>0</v>
      </c>
      <c r="K469" s="0" t="str">
        <f aca="false">IF(ISBLANK(J469),,J469&amp;", ")</f>
        <v>0,</v>
      </c>
    </row>
    <row r="470" customFormat="false" ht="15.75" hidden="false" customHeight="false" outlineLevel="0" collapsed="false">
      <c r="A470" s="374"/>
      <c r="B470" s="374" t="n">
        <v>0</v>
      </c>
      <c r="D470" s="374"/>
      <c r="E470" s="374"/>
      <c r="J470" s="0" t="n">
        <v>0</v>
      </c>
      <c r="K470" s="0" t="str">
        <f aca="false">IF(ISBLANK(J470),,J470&amp;", ")</f>
        <v>0,</v>
      </c>
    </row>
    <row r="471" customFormat="false" ht="15.75" hidden="false" customHeight="false" outlineLevel="0" collapsed="false">
      <c r="A471" s="374"/>
      <c r="B471" s="374" t="n">
        <v>0</v>
      </c>
      <c r="D471" s="374"/>
      <c r="E471" s="374"/>
      <c r="J471" s="0" t="n">
        <v>0</v>
      </c>
      <c r="K471" s="0" t="str">
        <f aca="false">IF(ISBLANK(J471),,J471&amp;", ")</f>
        <v>0,</v>
      </c>
    </row>
    <row r="472" customFormat="false" ht="15.75" hidden="false" customHeight="false" outlineLevel="0" collapsed="false">
      <c r="A472" s="374"/>
      <c r="B472" s="374" t="n">
        <v>0</v>
      </c>
      <c r="D472" s="374"/>
      <c r="E472" s="374"/>
      <c r="J472" s="0" t="n">
        <v>0</v>
      </c>
      <c r="K472" s="0" t="str">
        <f aca="false">IF(ISBLANK(J472),,J472&amp;", ")</f>
        <v>0,</v>
      </c>
    </row>
    <row r="473" customFormat="false" ht="15.75" hidden="false" customHeight="false" outlineLevel="0" collapsed="false">
      <c r="A473" s="374"/>
      <c r="B473" s="374" t="n">
        <v>0</v>
      </c>
      <c r="D473" s="374"/>
      <c r="E473" s="374"/>
      <c r="J473" s="0" t="n">
        <v>0</v>
      </c>
      <c r="K473" s="0" t="str">
        <f aca="false">IF(ISBLANK(J473),,J473&amp;", ")</f>
        <v>0,</v>
      </c>
    </row>
    <row r="474" customFormat="false" ht="15.75" hidden="false" customHeight="false" outlineLevel="0" collapsed="false">
      <c r="A474" s="374"/>
      <c r="B474" s="374" t="n">
        <v>0</v>
      </c>
      <c r="D474" s="374"/>
      <c r="E474" s="374"/>
      <c r="J474" s="0" t="n">
        <v>0</v>
      </c>
      <c r="K474" s="0" t="str">
        <f aca="false">IF(ISBLANK(J474),,J474&amp;", ")</f>
        <v>0,</v>
      </c>
    </row>
    <row r="475" customFormat="false" ht="15.75" hidden="false" customHeight="false" outlineLevel="0" collapsed="false">
      <c r="A475" s="374"/>
      <c r="B475" s="374" t="n">
        <v>0</v>
      </c>
      <c r="D475" s="374"/>
      <c r="E475" s="374"/>
      <c r="J475" s="0" t="n">
        <v>0</v>
      </c>
      <c r="K475" s="0" t="str">
        <f aca="false">IF(ISBLANK(J475),,J475&amp;", ")</f>
        <v>0,</v>
      </c>
    </row>
    <row r="476" customFormat="false" ht="15.75" hidden="false" customHeight="false" outlineLevel="0" collapsed="false">
      <c r="A476" s="374"/>
      <c r="B476" s="374" t="n">
        <v>0</v>
      </c>
      <c r="D476" s="374"/>
      <c r="E476" s="374"/>
      <c r="J476" s="0" t="n">
        <v>0</v>
      </c>
      <c r="K476" s="0" t="str">
        <f aca="false">IF(ISBLANK(J476),,J476&amp;", ")</f>
        <v>0,</v>
      </c>
    </row>
    <row r="477" customFormat="false" ht="15.75" hidden="false" customHeight="false" outlineLevel="0" collapsed="false">
      <c r="A477" s="374"/>
      <c r="B477" s="374" t="n">
        <v>0</v>
      </c>
      <c r="D477" s="374"/>
      <c r="E477" s="374"/>
      <c r="J477" s="0" t="n">
        <v>0</v>
      </c>
      <c r="K477" s="0" t="str">
        <f aca="false">IF(ISBLANK(J477),,J477&amp;", ")</f>
        <v>0,</v>
      </c>
    </row>
    <row r="478" customFormat="false" ht="15.75" hidden="false" customHeight="false" outlineLevel="0" collapsed="false">
      <c r="A478" s="374"/>
      <c r="B478" s="374" t="n">
        <v>0</v>
      </c>
      <c r="D478" s="374"/>
      <c r="E478" s="374"/>
      <c r="J478" s="0" t="n">
        <v>0</v>
      </c>
      <c r="K478" s="0" t="str">
        <f aca="false">IF(ISBLANK(J478),,J478&amp;", ")</f>
        <v>0,</v>
      </c>
    </row>
    <row r="479" customFormat="false" ht="15.75" hidden="false" customHeight="false" outlineLevel="0" collapsed="false">
      <c r="A479" s="374"/>
      <c r="B479" s="374" t="n">
        <v>0</v>
      </c>
      <c r="D479" s="374"/>
      <c r="E479" s="374"/>
      <c r="J479" s="0" t="n">
        <v>0</v>
      </c>
      <c r="K479" s="0" t="str">
        <f aca="false">IF(ISBLANK(J479),,J479&amp;", ")</f>
        <v>0,</v>
      </c>
    </row>
    <row r="480" customFormat="false" ht="15.75" hidden="false" customHeight="false" outlineLevel="0" collapsed="false">
      <c r="A480" s="374"/>
      <c r="B480" s="374" t="n">
        <v>0</v>
      </c>
      <c r="D480" s="374"/>
      <c r="E480" s="374"/>
      <c r="J480" s="0" t="n">
        <v>0</v>
      </c>
      <c r="K480" s="0" t="str">
        <f aca="false">IF(ISBLANK(J480),,J480&amp;", ")</f>
        <v>0,</v>
      </c>
    </row>
    <row r="481" customFormat="false" ht="15.75" hidden="false" customHeight="false" outlineLevel="0" collapsed="false">
      <c r="A481" s="374"/>
      <c r="B481" s="374" t="n">
        <v>0</v>
      </c>
      <c r="D481" s="374"/>
      <c r="E481" s="374"/>
      <c r="J481" s="0" t="n">
        <v>0</v>
      </c>
      <c r="K481" s="0" t="str">
        <f aca="false">IF(ISBLANK(J481),,J481&amp;", ")</f>
        <v>0,</v>
      </c>
    </row>
    <row r="482" customFormat="false" ht="15.75" hidden="false" customHeight="false" outlineLevel="0" collapsed="false">
      <c r="A482" s="374"/>
      <c r="B482" s="374" t="n">
        <v>0</v>
      </c>
      <c r="D482" s="374"/>
      <c r="E482" s="374"/>
      <c r="J482" s="0" t="n">
        <v>0</v>
      </c>
      <c r="K482" s="0" t="str">
        <f aca="false">IF(ISBLANK(J482),,J482&amp;", ")</f>
        <v>0,</v>
      </c>
    </row>
    <row r="483" customFormat="false" ht="15.75" hidden="false" customHeight="false" outlineLevel="0" collapsed="false">
      <c r="A483" s="374"/>
      <c r="B483" s="374" t="n">
        <v>0</v>
      </c>
      <c r="D483" s="374"/>
      <c r="E483" s="374"/>
      <c r="J483" s="0" t="n">
        <v>0</v>
      </c>
      <c r="K483" s="0" t="str">
        <f aca="false">IF(ISBLANK(J483),,J483&amp;", ")</f>
        <v>0,</v>
      </c>
    </row>
    <row r="484" customFormat="false" ht="15.75" hidden="false" customHeight="false" outlineLevel="0" collapsed="false">
      <c r="A484" s="374"/>
      <c r="B484" s="374" t="n">
        <v>0</v>
      </c>
      <c r="D484" s="374"/>
      <c r="E484" s="374"/>
      <c r="J484" s="0" t="n">
        <v>0</v>
      </c>
      <c r="K484" s="0" t="str">
        <f aca="false">IF(ISBLANK(J484),,J484&amp;", ")</f>
        <v>0,</v>
      </c>
    </row>
    <row r="485" customFormat="false" ht="15.75" hidden="false" customHeight="false" outlineLevel="0" collapsed="false">
      <c r="A485" s="374"/>
      <c r="B485" s="374" t="n">
        <v>0</v>
      </c>
      <c r="D485" s="374"/>
      <c r="E485" s="374"/>
      <c r="J485" s="0" t="n">
        <v>0</v>
      </c>
      <c r="K485" s="0" t="str">
        <f aca="false">IF(ISBLANK(J485),,J485&amp;", ")</f>
        <v>0,</v>
      </c>
    </row>
    <row r="486" customFormat="false" ht="15.75" hidden="false" customHeight="false" outlineLevel="0" collapsed="false">
      <c r="A486" s="374"/>
      <c r="B486" s="374" t="n">
        <v>0</v>
      </c>
      <c r="D486" s="374"/>
      <c r="E486" s="374"/>
      <c r="J486" s="0" t="n">
        <v>0</v>
      </c>
      <c r="K486" s="0" t="str">
        <f aca="false">IF(ISBLANK(J486),,J486&amp;", ")</f>
        <v>0,</v>
      </c>
    </row>
    <row r="487" customFormat="false" ht="15.75" hidden="false" customHeight="false" outlineLevel="0" collapsed="false">
      <c r="A487" s="374"/>
      <c r="B487" s="374" t="n">
        <v>0</v>
      </c>
      <c r="D487" s="374"/>
      <c r="E487" s="374"/>
      <c r="J487" s="0" t="n">
        <v>0</v>
      </c>
      <c r="K487" s="0" t="str">
        <f aca="false">IF(ISBLANK(J487),,J487&amp;", ")</f>
        <v>0,</v>
      </c>
    </row>
    <row r="488" customFormat="false" ht="15.75" hidden="false" customHeight="false" outlineLevel="0" collapsed="false">
      <c r="A488" s="374"/>
      <c r="B488" s="374" t="n">
        <v>0</v>
      </c>
      <c r="D488" s="374"/>
      <c r="E488" s="374"/>
      <c r="J488" s="0" t="n">
        <v>0</v>
      </c>
      <c r="K488" s="0" t="str">
        <f aca="false">IF(ISBLANK(J488),,J488&amp;", ")</f>
        <v>0,</v>
      </c>
    </row>
    <row r="489" customFormat="false" ht="15.75" hidden="false" customHeight="false" outlineLevel="0" collapsed="false">
      <c r="A489" s="374"/>
      <c r="B489" s="374" t="n">
        <v>0</v>
      </c>
      <c r="D489" s="374"/>
      <c r="E489" s="374"/>
      <c r="J489" s="0" t="n">
        <v>0</v>
      </c>
      <c r="K489" s="0" t="str">
        <f aca="false">IF(ISBLANK(J489),,J489&amp;", ")</f>
        <v>0,</v>
      </c>
    </row>
    <row r="490" customFormat="false" ht="15.75" hidden="false" customHeight="false" outlineLevel="0" collapsed="false">
      <c r="A490" s="374"/>
      <c r="B490" s="374" t="n">
        <v>0</v>
      </c>
      <c r="D490" s="374"/>
      <c r="E490" s="374"/>
      <c r="J490" s="0" t="n">
        <v>0</v>
      </c>
      <c r="K490" s="0" t="str">
        <f aca="false">IF(ISBLANK(J490),,J490&amp;", ")</f>
        <v>0,</v>
      </c>
    </row>
    <row r="491" customFormat="false" ht="15.75" hidden="false" customHeight="false" outlineLevel="0" collapsed="false">
      <c r="A491" s="374"/>
      <c r="B491" s="374" t="n">
        <v>0</v>
      </c>
      <c r="D491" s="374"/>
      <c r="E491" s="374"/>
      <c r="J491" s="0" t="n">
        <v>0</v>
      </c>
      <c r="K491" s="0" t="str">
        <f aca="false">IF(ISBLANK(J491),,J491&amp;", ")</f>
        <v>0,</v>
      </c>
    </row>
    <row r="492" customFormat="false" ht="15.75" hidden="false" customHeight="false" outlineLevel="0" collapsed="false">
      <c r="A492" s="374"/>
      <c r="B492" s="374" t="n">
        <v>0</v>
      </c>
      <c r="D492" s="374"/>
      <c r="E492" s="374"/>
      <c r="J492" s="0" t="n">
        <v>0</v>
      </c>
      <c r="K492" s="0" t="str">
        <f aca="false">IF(ISBLANK(J492),,J492&amp;", ")</f>
        <v>0,</v>
      </c>
    </row>
    <row r="493" customFormat="false" ht="15.75" hidden="false" customHeight="false" outlineLevel="0" collapsed="false">
      <c r="A493" s="374"/>
      <c r="B493" s="374" t="n">
        <v>0</v>
      </c>
      <c r="D493" s="374"/>
      <c r="E493" s="374"/>
      <c r="J493" s="0" t="n">
        <v>0</v>
      </c>
      <c r="K493" s="0" t="str">
        <f aca="false">IF(ISBLANK(J493),,J493&amp;", ")</f>
        <v>0,</v>
      </c>
    </row>
    <row r="494" customFormat="false" ht="15.75" hidden="false" customHeight="false" outlineLevel="0" collapsed="false">
      <c r="A494" s="374"/>
      <c r="B494" s="374" t="n">
        <v>0</v>
      </c>
      <c r="D494" s="374"/>
      <c r="E494" s="374"/>
      <c r="J494" s="0" t="n">
        <v>0</v>
      </c>
      <c r="K494" s="0" t="str">
        <f aca="false">IF(ISBLANK(J494),,J494&amp;", ")</f>
        <v>0,</v>
      </c>
    </row>
    <row r="495" customFormat="false" ht="15.75" hidden="false" customHeight="false" outlineLevel="0" collapsed="false">
      <c r="A495" s="374"/>
      <c r="B495" s="374" t="n">
        <v>0</v>
      </c>
      <c r="D495" s="374"/>
      <c r="E495" s="374"/>
      <c r="J495" s="0" t="n">
        <v>0</v>
      </c>
      <c r="K495" s="0" t="str">
        <f aca="false">IF(ISBLANK(J495),,J495&amp;", ")</f>
        <v>0,</v>
      </c>
    </row>
    <row r="496" customFormat="false" ht="15.75" hidden="false" customHeight="false" outlineLevel="0" collapsed="false">
      <c r="A496" s="374"/>
      <c r="B496" s="374" t="n">
        <v>0</v>
      </c>
      <c r="D496" s="374"/>
      <c r="E496" s="374"/>
      <c r="J496" s="0" t="n">
        <v>0</v>
      </c>
      <c r="K496" s="0" t="str">
        <f aca="false">IF(ISBLANK(J496),,J496&amp;", ")</f>
        <v>0,</v>
      </c>
    </row>
    <row r="497" customFormat="false" ht="15.75" hidden="false" customHeight="false" outlineLevel="0" collapsed="false">
      <c r="A497" s="374"/>
      <c r="B497" s="374" t="n">
        <v>0</v>
      </c>
      <c r="D497" s="374"/>
      <c r="E497" s="374"/>
      <c r="J497" s="0" t="n">
        <v>0</v>
      </c>
      <c r="K497" s="0" t="str">
        <f aca="false">IF(ISBLANK(J497),,J497&amp;", ")</f>
        <v>0,</v>
      </c>
    </row>
    <row r="498" customFormat="false" ht="15.75" hidden="false" customHeight="false" outlineLevel="0" collapsed="false">
      <c r="A498" s="374"/>
      <c r="B498" s="374" t="n">
        <v>0</v>
      </c>
      <c r="D498" s="374"/>
      <c r="E498" s="374"/>
      <c r="J498" s="0" t="n">
        <v>0</v>
      </c>
      <c r="K498" s="0" t="str">
        <f aca="false">IF(ISBLANK(J498),,J498&amp;", ")</f>
        <v>0,</v>
      </c>
    </row>
    <row r="499" customFormat="false" ht="15.75" hidden="false" customHeight="false" outlineLevel="0" collapsed="false">
      <c r="A499" s="374"/>
      <c r="B499" s="374" t="n">
        <v>0</v>
      </c>
      <c r="D499" s="374"/>
      <c r="E499" s="374"/>
      <c r="J499" s="0" t="n">
        <v>0</v>
      </c>
      <c r="K499" s="0" t="str">
        <f aca="false">IF(ISBLANK(J499),,J499&amp;", ")</f>
        <v>0,</v>
      </c>
    </row>
    <row r="500" customFormat="false" ht="15.75" hidden="false" customHeight="false" outlineLevel="0" collapsed="false">
      <c r="A500" s="374"/>
      <c r="B500" s="374" t="n">
        <v>0</v>
      </c>
      <c r="D500" s="374"/>
      <c r="E500" s="374"/>
      <c r="J500" s="0" t="n">
        <v>0</v>
      </c>
      <c r="K500" s="0" t="str">
        <f aca="false">IF(ISBLANK(J500),,J500&amp;", ")</f>
        <v>0,</v>
      </c>
    </row>
    <row r="501" customFormat="false" ht="15.75" hidden="false" customHeight="false" outlineLevel="0" collapsed="false">
      <c r="A501" s="374"/>
      <c r="B501" s="374" t="n">
        <v>0</v>
      </c>
      <c r="D501" s="374"/>
      <c r="E501" s="374"/>
      <c r="J501" s="0" t="n">
        <v>0</v>
      </c>
      <c r="K501" s="0" t="str">
        <f aca="false">IF(ISBLANK(J501),,J501&amp;", ")</f>
        <v>0,</v>
      </c>
    </row>
    <row r="502" customFormat="false" ht="15.75" hidden="false" customHeight="false" outlineLevel="0" collapsed="false">
      <c r="A502" s="374"/>
      <c r="B502" s="374" t="n">
        <v>0</v>
      </c>
      <c r="D502" s="374"/>
      <c r="E502" s="374"/>
      <c r="J502" s="0" t="n">
        <v>0</v>
      </c>
      <c r="K502" s="0" t="str">
        <f aca="false">IF(ISBLANK(J502),,J502&amp;", ")</f>
        <v>0,</v>
      </c>
    </row>
    <row r="503" customFormat="false" ht="15.75" hidden="false" customHeight="false" outlineLevel="0" collapsed="false">
      <c r="A503" s="374"/>
      <c r="B503" s="374" t="n">
        <v>0</v>
      </c>
      <c r="D503" s="374"/>
      <c r="E503" s="374"/>
      <c r="J503" s="0" t="n">
        <v>0</v>
      </c>
      <c r="K503" s="0" t="str">
        <f aca="false">IF(ISBLANK(J503),,J503&amp;", ")</f>
        <v>0,</v>
      </c>
    </row>
    <row r="504" customFormat="false" ht="15.75" hidden="false" customHeight="false" outlineLevel="0" collapsed="false">
      <c r="A504" s="374"/>
      <c r="B504" s="374" t="n">
        <v>0</v>
      </c>
      <c r="D504" s="374"/>
      <c r="E504" s="374"/>
      <c r="J504" s="0" t="n">
        <v>0</v>
      </c>
      <c r="K504" s="0" t="str">
        <f aca="false">IF(ISBLANK(J504),,J504&amp;", ")</f>
        <v>0,</v>
      </c>
    </row>
    <row r="505" customFormat="false" ht="15.75" hidden="false" customHeight="false" outlineLevel="0" collapsed="false">
      <c r="A505" s="374"/>
      <c r="B505" s="374" t="n">
        <v>0</v>
      </c>
      <c r="D505" s="374"/>
      <c r="E505" s="374"/>
      <c r="J505" s="0" t="n">
        <v>0</v>
      </c>
      <c r="K505" s="0" t="str">
        <f aca="false">IF(ISBLANK(J505),,J505&amp;", ")</f>
        <v>0,</v>
      </c>
    </row>
    <row r="506" customFormat="false" ht="15.75" hidden="false" customHeight="false" outlineLevel="0" collapsed="false">
      <c r="A506" s="374"/>
      <c r="B506" s="374" t="n">
        <v>0</v>
      </c>
      <c r="D506" s="374"/>
      <c r="E506" s="374"/>
      <c r="J506" s="0" t="n">
        <v>0</v>
      </c>
      <c r="K506" s="0" t="str">
        <f aca="false">IF(ISBLANK(J506),,J506&amp;", ")</f>
        <v>0,</v>
      </c>
    </row>
    <row r="507" customFormat="false" ht="15.75" hidden="false" customHeight="false" outlineLevel="0" collapsed="false">
      <c r="A507" s="374"/>
      <c r="B507" s="374" t="n">
        <v>0</v>
      </c>
      <c r="D507" s="374"/>
      <c r="E507" s="374"/>
      <c r="J507" s="0" t="n">
        <v>0</v>
      </c>
      <c r="K507" s="0" t="str">
        <f aca="false">IF(ISBLANK(J507),,J507&amp;", ")</f>
        <v>0,</v>
      </c>
    </row>
    <row r="508" customFormat="false" ht="15.75" hidden="false" customHeight="false" outlineLevel="0" collapsed="false">
      <c r="A508" s="374"/>
      <c r="B508" s="374" t="n">
        <v>0</v>
      </c>
      <c r="D508" s="374"/>
      <c r="E508" s="374"/>
      <c r="J508" s="0" t="n">
        <v>0</v>
      </c>
      <c r="K508" s="0" t="str">
        <f aca="false">IF(ISBLANK(J508),,J508&amp;", ")</f>
        <v>0,</v>
      </c>
    </row>
    <row r="509" customFormat="false" ht="15.75" hidden="false" customHeight="false" outlineLevel="0" collapsed="false">
      <c r="A509" s="374"/>
      <c r="B509" s="374" t="n">
        <v>0</v>
      </c>
      <c r="D509" s="374"/>
      <c r="E509" s="374"/>
      <c r="J509" s="0" t="n">
        <v>0</v>
      </c>
      <c r="K509" s="0" t="str">
        <f aca="false">IF(ISBLANK(J509),,J509&amp;", ")</f>
        <v>0,</v>
      </c>
    </row>
    <row r="510" customFormat="false" ht="15.75" hidden="false" customHeight="false" outlineLevel="0" collapsed="false">
      <c r="A510" s="374"/>
      <c r="B510" s="374" t="n">
        <v>0</v>
      </c>
      <c r="D510" s="374"/>
      <c r="E510" s="374"/>
      <c r="J510" s="0" t="n">
        <v>0</v>
      </c>
      <c r="K510" s="0" t="str">
        <f aca="false">IF(ISBLANK(J510),,J510&amp;", ")</f>
        <v>0,</v>
      </c>
    </row>
    <row r="511" customFormat="false" ht="15.75" hidden="false" customHeight="false" outlineLevel="0" collapsed="false">
      <c r="A511" s="374"/>
      <c r="B511" s="374" t="n">
        <v>0</v>
      </c>
      <c r="D511" s="374"/>
      <c r="E511" s="374"/>
      <c r="J511" s="0" t="n">
        <v>0</v>
      </c>
      <c r="K511" s="0" t="str">
        <f aca="false">IF(ISBLANK(J511),,J511&amp;", ")</f>
        <v>0,</v>
      </c>
    </row>
    <row r="512" customFormat="false" ht="15.75" hidden="false" customHeight="false" outlineLevel="0" collapsed="false">
      <c r="A512" s="374"/>
      <c r="B512" s="374" t="n">
        <v>0</v>
      </c>
      <c r="D512" s="374"/>
      <c r="E512" s="374"/>
      <c r="J512" s="0" t="n">
        <v>0</v>
      </c>
      <c r="K512" s="0" t="str">
        <f aca="false">IF(ISBLANK(J512),,J512&amp;", ")</f>
        <v>0,</v>
      </c>
    </row>
    <row r="513" customFormat="false" ht="15.75" hidden="false" customHeight="false" outlineLevel="0" collapsed="false">
      <c r="A513" s="374"/>
      <c r="B513" s="374" t="n">
        <v>0</v>
      </c>
      <c r="D513" s="374"/>
      <c r="E513" s="374"/>
      <c r="J513" s="0" t="n">
        <v>0</v>
      </c>
      <c r="K513" s="0" t="str">
        <f aca="false">IF(ISBLANK(J513),,J513&amp;", ")</f>
        <v>0,</v>
      </c>
    </row>
    <row r="514" customFormat="false" ht="15.75" hidden="false" customHeight="false" outlineLevel="0" collapsed="false">
      <c r="A514" s="374"/>
      <c r="B514" s="374" t="n">
        <v>0</v>
      </c>
      <c r="D514" s="374"/>
      <c r="E514" s="374"/>
      <c r="J514" s="0" t="n">
        <v>0</v>
      </c>
      <c r="K514" s="0" t="str">
        <f aca="false">IF(ISBLANK(J514),,J514&amp;", ")</f>
        <v>0,</v>
      </c>
    </row>
    <row r="515" customFormat="false" ht="15.75" hidden="false" customHeight="false" outlineLevel="0" collapsed="false">
      <c r="A515" s="374"/>
      <c r="B515" s="374" t="n">
        <v>0</v>
      </c>
      <c r="D515" s="374"/>
      <c r="E515" s="374"/>
      <c r="J515" s="0" t="n">
        <v>0</v>
      </c>
      <c r="K515" s="0" t="str">
        <f aca="false">IF(ISBLANK(J515),,J515&amp;", ")</f>
        <v>0,</v>
      </c>
    </row>
    <row r="516" customFormat="false" ht="15.75" hidden="false" customHeight="false" outlineLevel="0" collapsed="false">
      <c r="A516" s="374"/>
      <c r="B516" s="374" t="n">
        <v>0</v>
      </c>
      <c r="D516" s="374"/>
      <c r="E516" s="374"/>
      <c r="J516" s="0" t="n">
        <v>0</v>
      </c>
      <c r="K516" s="0" t="str">
        <f aca="false">IF(ISBLANK(J516),,J516&amp;", ")</f>
        <v>0,</v>
      </c>
    </row>
    <row r="517" customFormat="false" ht="15.75" hidden="false" customHeight="false" outlineLevel="0" collapsed="false">
      <c r="A517" s="374"/>
      <c r="B517" s="374" t="n">
        <v>0</v>
      </c>
      <c r="D517" s="374"/>
      <c r="E517" s="374"/>
      <c r="J517" s="0" t="n">
        <v>0</v>
      </c>
      <c r="K517" s="0" t="str">
        <f aca="false">IF(ISBLANK(J517),,J517&amp;", ")</f>
        <v>0,</v>
      </c>
    </row>
    <row r="518" customFormat="false" ht="15.75" hidden="false" customHeight="false" outlineLevel="0" collapsed="false">
      <c r="A518" s="374"/>
      <c r="B518" s="374" t="n">
        <v>0</v>
      </c>
      <c r="D518" s="374"/>
      <c r="E518" s="374"/>
      <c r="J518" s="0" t="n">
        <v>0</v>
      </c>
      <c r="K518" s="0" t="str">
        <f aca="false">IF(ISBLANK(J518),,J518&amp;", ")</f>
        <v>0,</v>
      </c>
    </row>
    <row r="519" customFormat="false" ht="15.75" hidden="false" customHeight="false" outlineLevel="0" collapsed="false">
      <c r="A519" s="374"/>
      <c r="B519" s="374" t="n">
        <v>0</v>
      </c>
      <c r="D519" s="374"/>
      <c r="E519" s="374"/>
      <c r="J519" s="0" t="n">
        <v>0</v>
      </c>
      <c r="K519" s="0" t="str">
        <f aca="false">IF(ISBLANK(J519),,J519&amp;", ")</f>
        <v>0,</v>
      </c>
    </row>
    <row r="520" customFormat="false" ht="15.75" hidden="false" customHeight="false" outlineLevel="0" collapsed="false">
      <c r="A520" s="374"/>
      <c r="B520" s="374" t="n">
        <v>0</v>
      </c>
      <c r="D520" s="374"/>
      <c r="E520" s="374"/>
      <c r="J520" s="0" t="n">
        <v>0</v>
      </c>
      <c r="K520" s="0" t="str">
        <f aca="false">IF(ISBLANK(J520),,J520&amp;", ")</f>
        <v>0,</v>
      </c>
    </row>
    <row r="521" customFormat="false" ht="15.75" hidden="false" customHeight="false" outlineLevel="0" collapsed="false">
      <c r="A521" s="374"/>
      <c r="B521" s="374" t="n">
        <v>0</v>
      </c>
      <c r="D521" s="374"/>
      <c r="E521" s="374"/>
      <c r="J521" s="0" t="n">
        <v>0</v>
      </c>
      <c r="K521" s="0" t="str">
        <f aca="false">IF(ISBLANK(J521),,J521&amp;", ")</f>
        <v>0,</v>
      </c>
    </row>
    <row r="522" customFormat="false" ht="15.75" hidden="false" customHeight="false" outlineLevel="0" collapsed="false">
      <c r="A522" s="374"/>
      <c r="B522" s="374" t="n">
        <v>0</v>
      </c>
      <c r="D522" s="374"/>
      <c r="E522" s="374"/>
      <c r="J522" s="0" t="n">
        <v>0</v>
      </c>
      <c r="K522" s="0" t="str">
        <f aca="false">IF(ISBLANK(J522),,J522&amp;", ")</f>
        <v>0,</v>
      </c>
    </row>
    <row r="523" customFormat="false" ht="15.75" hidden="false" customHeight="false" outlineLevel="0" collapsed="false">
      <c r="A523" s="374"/>
      <c r="B523" s="374" t="n">
        <v>0</v>
      </c>
      <c r="D523" s="374"/>
      <c r="E523" s="374"/>
      <c r="J523" s="0" t="n">
        <v>0</v>
      </c>
      <c r="K523" s="0" t="str">
        <f aca="false">IF(ISBLANK(J523),,J523&amp;", ")</f>
        <v>0,</v>
      </c>
    </row>
    <row r="524" customFormat="false" ht="15.75" hidden="false" customHeight="false" outlineLevel="0" collapsed="false">
      <c r="A524" s="374"/>
      <c r="B524" s="374" t="n">
        <v>0</v>
      </c>
      <c r="D524" s="374"/>
      <c r="E524" s="374"/>
      <c r="J524" s="0" t="n">
        <v>0</v>
      </c>
      <c r="K524" s="0" t="str">
        <f aca="false">IF(ISBLANK(J524),,J524&amp;", ")</f>
        <v>0,</v>
      </c>
    </row>
    <row r="525" customFormat="false" ht="15.75" hidden="false" customHeight="false" outlineLevel="0" collapsed="false">
      <c r="A525" s="374"/>
      <c r="B525" s="374" t="n">
        <v>0</v>
      </c>
      <c r="D525" s="374"/>
      <c r="E525" s="374"/>
      <c r="J525" s="0" t="n">
        <v>0</v>
      </c>
      <c r="K525" s="0" t="str">
        <f aca="false">IF(ISBLANK(J525),,J525&amp;", ")</f>
        <v>0,</v>
      </c>
    </row>
    <row r="526" customFormat="false" ht="15.75" hidden="false" customHeight="false" outlineLevel="0" collapsed="false">
      <c r="A526" s="374"/>
      <c r="B526" s="374" t="n">
        <v>0</v>
      </c>
      <c r="D526" s="374"/>
      <c r="E526" s="374"/>
      <c r="J526" s="0" t="n">
        <v>0</v>
      </c>
      <c r="K526" s="0" t="str">
        <f aca="false">IF(ISBLANK(J526),,J526&amp;", ")</f>
        <v>0,</v>
      </c>
    </row>
    <row r="527" customFormat="false" ht="15.75" hidden="false" customHeight="false" outlineLevel="0" collapsed="false">
      <c r="A527" s="374"/>
      <c r="B527" s="374" t="n">
        <v>0</v>
      </c>
      <c r="D527" s="374"/>
      <c r="E527" s="374"/>
      <c r="J527" s="0" t="n">
        <v>0</v>
      </c>
      <c r="K527" s="0" t="str">
        <f aca="false">IF(ISBLANK(J527),,J527&amp;", ")</f>
        <v>0,</v>
      </c>
    </row>
    <row r="528" customFormat="false" ht="15.75" hidden="false" customHeight="false" outlineLevel="0" collapsed="false">
      <c r="A528" s="374"/>
      <c r="B528" s="374" t="n">
        <v>0</v>
      </c>
      <c r="D528" s="374"/>
      <c r="E528" s="374"/>
      <c r="J528" s="0" t="n">
        <v>0</v>
      </c>
      <c r="K528" s="0" t="str">
        <f aca="false">IF(ISBLANK(J528),,J528&amp;", ")</f>
        <v>0,</v>
      </c>
    </row>
    <row r="529" customFormat="false" ht="15.75" hidden="false" customHeight="false" outlineLevel="0" collapsed="false">
      <c r="A529" s="374"/>
      <c r="B529" s="374" t="n">
        <v>0</v>
      </c>
      <c r="D529" s="374"/>
      <c r="E529" s="374"/>
      <c r="J529" s="0" t="n">
        <v>0</v>
      </c>
      <c r="K529" s="0" t="str">
        <f aca="false">IF(ISBLANK(J529),,J529&amp;", ")</f>
        <v>0,</v>
      </c>
    </row>
    <row r="530" customFormat="false" ht="15.75" hidden="false" customHeight="false" outlineLevel="0" collapsed="false">
      <c r="A530" s="374"/>
      <c r="B530" s="374" t="n">
        <v>0</v>
      </c>
      <c r="D530" s="374"/>
      <c r="E530" s="374"/>
      <c r="J530" s="0" t="n">
        <v>0</v>
      </c>
      <c r="K530" s="0" t="str">
        <f aca="false">IF(ISBLANK(J530),,J530&amp;", ")</f>
        <v>0,</v>
      </c>
    </row>
    <row r="531" customFormat="false" ht="15.75" hidden="false" customHeight="false" outlineLevel="0" collapsed="false">
      <c r="A531" s="374"/>
      <c r="B531" s="374" t="n">
        <v>0</v>
      </c>
      <c r="D531" s="374"/>
      <c r="E531" s="374"/>
      <c r="J531" s="0" t="n">
        <v>0</v>
      </c>
      <c r="K531" s="0" t="str">
        <f aca="false">IF(ISBLANK(J531),,J531&amp;", ")</f>
        <v>0,</v>
      </c>
    </row>
    <row r="532" customFormat="false" ht="15.75" hidden="false" customHeight="false" outlineLevel="0" collapsed="false">
      <c r="A532" s="374"/>
      <c r="B532" s="374" t="n">
        <v>0</v>
      </c>
      <c r="D532" s="374"/>
      <c r="E532" s="374"/>
      <c r="J532" s="0" t="n">
        <v>0</v>
      </c>
      <c r="K532" s="0" t="str">
        <f aca="false">IF(ISBLANK(J532),,J532&amp;", ")</f>
        <v>0,</v>
      </c>
    </row>
    <row r="533" customFormat="false" ht="15.75" hidden="false" customHeight="false" outlineLevel="0" collapsed="false">
      <c r="A533" s="374"/>
      <c r="B533" s="374" t="n">
        <v>0</v>
      </c>
      <c r="D533" s="374"/>
      <c r="E533" s="374"/>
      <c r="J533" s="0" t="n">
        <v>0</v>
      </c>
      <c r="K533" s="0" t="str">
        <f aca="false">IF(ISBLANK(J533),,J533&amp;", ")</f>
        <v>0,</v>
      </c>
    </row>
    <row r="534" customFormat="false" ht="15.75" hidden="false" customHeight="false" outlineLevel="0" collapsed="false">
      <c r="A534" s="374"/>
      <c r="B534" s="374" t="n">
        <v>0</v>
      </c>
      <c r="D534" s="374"/>
      <c r="E534" s="374"/>
      <c r="J534" s="0" t="n">
        <v>0</v>
      </c>
      <c r="K534" s="0" t="str">
        <f aca="false">IF(ISBLANK(J534),,J534&amp;", ")</f>
        <v>0,</v>
      </c>
    </row>
    <row r="535" customFormat="false" ht="15.75" hidden="false" customHeight="false" outlineLevel="0" collapsed="false">
      <c r="A535" s="374"/>
      <c r="B535" s="374" t="n">
        <v>0</v>
      </c>
      <c r="D535" s="374"/>
      <c r="E535" s="374"/>
      <c r="J535" s="0" t="n">
        <v>0</v>
      </c>
      <c r="K535" s="0" t="str">
        <f aca="false">IF(ISBLANK(J535),,J535&amp;", ")</f>
        <v>0,</v>
      </c>
    </row>
    <row r="536" customFormat="false" ht="15.75" hidden="false" customHeight="false" outlineLevel="0" collapsed="false">
      <c r="A536" s="374"/>
      <c r="B536" s="374" t="n">
        <v>0</v>
      </c>
      <c r="D536" s="374"/>
      <c r="E536" s="374"/>
      <c r="J536" s="0" t="n">
        <v>0</v>
      </c>
      <c r="K536" s="0" t="str">
        <f aca="false">IF(ISBLANK(J536),,J536&amp;", ")</f>
        <v>0,</v>
      </c>
    </row>
    <row r="537" customFormat="false" ht="15.75" hidden="false" customHeight="false" outlineLevel="0" collapsed="false">
      <c r="A537" s="374"/>
      <c r="B537" s="374" t="n">
        <v>0</v>
      </c>
      <c r="D537" s="374"/>
      <c r="E537" s="374"/>
      <c r="J537" s="0" t="n">
        <v>0</v>
      </c>
      <c r="K537" s="0" t="str">
        <f aca="false">IF(ISBLANK(J537),,J537&amp;", ")</f>
        <v>0,</v>
      </c>
    </row>
    <row r="538" customFormat="false" ht="15.75" hidden="false" customHeight="false" outlineLevel="0" collapsed="false">
      <c r="A538" s="374"/>
      <c r="B538" s="374" t="n">
        <v>0</v>
      </c>
      <c r="D538" s="374"/>
      <c r="E538" s="374"/>
      <c r="J538" s="0" t="n">
        <v>0</v>
      </c>
      <c r="K538" s="0" t="str">
        <f aca="false">IF(ISBLANK(J538),,J538&amp;", ")</f>
        <v>0,</v>
      </c>
    </row>
    <row r="539" customFormat="false" ht="15.75" hidden="false" customHeight="false" outlineLevel="0" collapsed="false">
      <c r="A539" s="374"/>
      <c r="B539" s="374" t="n">
        <v>0</v>
      </c>
      <c r="D539" s="374"/>
      <c r="E539" s="374"/>
      <c r="J539" s="0" t="n">
        <v>0</v>
      </c>
      <c r="K539" s="0" t="str">
        <f aca="false">IF(ISBLANK(J539),,J539&amp;", ")</f>
        <v>0,</v>
      </c>
    </row>
    <row r="540" customFormat="false" ht="15.75" hidden="false" customHeight="false" outlineLevel="0" collapsed="false">
      <c r="A540" s="374"/>
      <c r="B540" s="374" t="n">
        <v>0</v>
      </c>
      <c r="D540" s="374"/>
      <c r="E540" s="374"/>
      <c r="J540" s="0" t="n">
        <v>0</v>
      </c>
      <c r="K540" s="0" t="str">
        <f aca="false">IF(ISBLANK(J540),,J540&amp;", ")</f>
        <v>0,</v>
      </c>
    </row>
    <row r="541" customFormat="false" ht="15.75" hidden="false" customHeight="false" outlineLevel="0" collapsed="false">
      <c r="A541" s="374"/>
      <c r="B541" s="374" t="n">
        <v>0</v>
      </c>
      <c r="D541" s="374"/>
      <c r="E541" s="374"/>
      <c r="J541" s="0" t="n">
        <v>0</v>
      </c>
      <c r="K541" s="0" t="str">
        <f aca="false">IF(ISBLANK(J541),,J541&amp;", ")</f>
        <v>0,</v>
      </c>
    </row>
    <row r="542" customFormat="false" ht="15.75" hidden="false" customHeight="false" outlineLevel="0" collapsed="false">
      <c r="A542" s="374"/>
      <c r="B542" s="374" t="n">
        <v>0</v>
      </c>
      <c r="D542" s="374"/>
      <c r="E542" s="374"/>
      <c r="J542" s="0" t="n">
        <v>0</v>
      </c>
      <c r="K542" s="0" t="str">
        <f aca="false">IF(ISBLANK(J542),,J542&amp;", ")</f>
        <v>0,</v>
      </c>
    </row>
    <row r="543" customFormat="false" ht="15.75" hidden="false" customHeight="false" outlineLevel="0" collapsed="false">
      <c r="A543" s="374"/>
      <c r="B543" s="374" t="n">
        <v>0</v>
      </c>
      <c r="D543" s="374"/>
      <c r="E543" s="374"/>
      <c r="J543" s="0" t="n">
        <v>0</v>
      </c>
      <c r="K543" s="0" t="str">
        <f aca="false">IF(ISBLANK(J543),,J543&amp;", ")</f>
        <v>0,</v>
      </c>
    </row>
    <row r="544" customFormat="false" ht="15.75" hidden="false" customHeight="false" outlineLevel="0" collapsed="false">
      <c r="A544" s="374"/>
      <c r="B544" s="374" t="n">
        <v>0</v>
      </c>
      <c r="D544" s="374"/>
      <c r="E544" s="374"/>
      <c r="J544" s="0" t="n">
        <v>0</v>
      </c>
      <c r="K544" s="0" t="str">
        <f aca="false">IF(ISBLANK(J544),,J544&amp;", ")</f>
        <v>0,</v>
      </c>
    </row>
    <row r="545" customFormat="false" ht="15.75" hidden="false" customHeight="false" outlineLevel="0" collapsed="false">
      <c r="A545" s="374"/>
      <c r="B545" s="374" t="n">
        <v>0</v>
      </c>
      <c r="D545" s="374"/>
      <c r="E545" s="374"/>
      <c r="J545" s="0" t="n">
        <v>0</v>
      </c>
      <c r="K545" s="0" t="str">
        <f aca="false">IF(ISBLANK(J545),,J545&amp;", ")</f>
        <v>0,</v>
      </c>
    </row>
    <row r="546" customFormat="false" ht="15.75" hidden="false" customHeight="false" outlineLevel="0" collapsed="false">
      <c r="A546" s="374"/>
      <c r="B546" s="374" t="n">
        <v>0</v>
      </c>
      <c r="D546" s="374"/>
      <c r="E546" s="374"/>
      <c r="J546" s="0" t="n">
        <v>0</v>
      </c>
      <c r="K546" s="0" t="str">
        <f aca="false">IF(ISBLANK(J546),,J546&amp;", ")</f>
        <v>0,</v>
      </c>
    </row>
    <row r="547" customFormat="false" ht="15.75" hidden="false" customHeight="false" outlineLevel="0" collapsed="false">
      <c r="A547" s="374"/>
      <c r="B547" s="374" t="n">
        <v>0</v>
      </c>
      <c r="D547" s="374"/>
      <c r="E547" s="374"/>
      <c r="J547" s="0" t="n">
        <v>0</v>
      </c>
      <c r="K547" s="0" t="str">
        <f aca="false">IF(ISBLANK(J547),,J547&amp;", ")</f>
        <v>0,</v>
      </c>
    </row>
    <row r="548" customFormat="false" ht="15.75" hidden="false" customHeight="false" outlineLevel="0" collapsed="false">
      <c r="A548" s="374"/>
      <c r="B548" s="374" t="n">
        <v>0</v>
      </c>
      <c r="D548" s="374"/>
      <c r="E548" s="374"/>
      <c r="J548" s="0" t="n">
        <v>0</v>
      </c>
      <c r="K548" s="0" t="str">
        <f aca="false">IF(ISBLANK(J548),,J548&amp;", ")</f>
        <v>0,</v>
      </c>
    </row>
    <row r="549" customFormat="false" ht="15.75" hidden="false" customHeight="false" outlineLevel="0" collapsed="false">
      <c r="A549" s="374"/>
      <c r="B549" s="374" t="n">
        <v>0</v>
      </c>
      <c r="D549" s="374"/>
      <c r="E549" s="374"/>
      <c r="J549" s="0" t="n">
        <v>0</v>
      </c>
      <c r="K549" s="0" t="str">
        <f aca="false">IF(ISBLANK(J549),,J549&amp;", ")</f>
        <v>0,</v>
      </c>
    </row>
    <row r="550" customFormat="false" ht="15.75" hidden="false" customHeight="false" outlineLevel="0" collapsed="false">
      <c r="A550" s="374"/>
      <c r="B550" s="374" t="n">
        <v>0</v>
      </c>
      <c r="D550" s="374"/>
      <c r="E550" s="374"/>
      <c r="J550" s="0" t="n">
        <v>0</v>
      </c>
      <c r="K550" s="0" t="str">
        <f aca="false">IF(ISBLANK(J550),,J550&amp;", ")</f>
        <v>0,</v>
      </c>
    </row>
    <row r="551" customFormat="false" ht="15.75" hidden="false" customHeight="false" outlineLevel="0" collapsed="false">
      <c r="A551" s="374"/>
      <c r="B551" s="374" t="n">
        <v>0</v>
      </c>
      <c r="D551" s="374"/>
      <c r="E551" s="374"/>
      <c r="J551" s="0" t="n">
        <v>0</v>
      </c>
      <c r="K551" s="0" t="str">
        <f aca="false">IF(ISBLANK(J551),,J551&amp;", ")</f>
        <v>0,</v>
      </c>
    </row>
    <row r="552" customFormat="false" ht="15.75" hidden="false" customHeight="false" outlineLevel="0" collapsed="false">
      <c r="A552" s="374"/>
      <c r="B552" s="374" t="n">
        <v>0</v>
      </c>
      <c r="D552" s="374"/>
      <c r="E552" s="374"/>
      <c r="J552" s="0" t="n">
        <v>0</v>
      </c>
      <c r="K552" s="0" t="str">
        <f aca="false">IF(ISBLANK(J552),,J552&amp;", ")</f>
        <v>0,</v>
      </c>
    </row>
    <row r="553" customFormat="false" ht="15.75" hidden="false" customHeight="false" outlineLevel="0" collapsed="false">
      <c r="A553" s="374"/>
      <c r="B553" s="374" t="n">
        <v>0</v>
      </c>
      <c r="D553" s="374"/>
      <c r="E553" s="374"/>
      <c r="J553" s="0" t="n">
        <v>0</v>
      </c>
      <c r="K553" s="0" t="str">
        <f aca="false">IF(ISBLANK(J553),,J553&amp;", ")</f>
        <v>0,</v>
      </c>
    </row>
    <row r="554" customFormat="false" ht="15.75" hidden="false" customHeight="false" outlineLevel="0" collapsed="false">
      <c r="A554" s="374"/>
      <c r="B554" s="374" t="n">
        <v>0</v>
      </c>
      <c r="D554" s="374"/>
      <c r="E554" s="374"/>
      <c r="J554" s="0" t="n">
        <v>0</v>
      </c>
      <c r="K554" s="0" t="str">
        <f aca="false">IF(ISBLANK(J554),,J554&amp;", ")</f>
        <v>0,</v>
      </c>
    </row>
    <row r="555" customFormat="false" ht="15.75" hidden="false" customHeight="false" outlineLevel="0" collapsed="false">
      <c r="A555" s="374"/>
      <c r="B555" s="374" t="n">
        <v>0</v>
      </c>
      <c r="D555" s="374"/>
      <c r="E555" s="374"/>
      <c r="J555" s="0" t="n">
        <v>0</v>
      </c>
      <c r="K555" s="0" t="str">
        <f aca="false">IF(ISBLANK(J555),,J555&amp;", ")</f>
        <v>0,</v>
      </c>
    </row>
    <row r="556" customFormat="false" ht="15.75" hidden="false" customHeight="false" outlineLevel="0" collapsed="false">
      <c r="A556" s="374"/>
      <c r="B556" s="374" t="n">
        <v>0</v>
      </c>
      <c r="D556" s="374"/>
      <c r="E556" s="374"/>
      <c r="J556" s="0" t="n">
        <v>0</v>
      </c>
      <c r="K556" s="0" t="str">
        <f aca="false">IF(ISBLANK(J556),,J556&amp;", ")</f>
        <v>0,</v>
      </c>
    </row>
    <row r="557" customFormat="false" ht="15.75" hidden="false" customHeight="false" outlineLevel="0" collapsed="false">
      <c r="A557" s="374"/>
      <c r="B557" s="374" t="n">
        <v>0</v>
      </c>
      <c r="D557" s="374"/>
      <c r="E557" s="374"/>
      <c r="J557" s="0" t="n">
        <v>0</v>
      </c>
      <c r="K557" s="0" t="str">
        <f aca="false">IF(ISBLANK(J557),,J557&amp;", ")</f>
        <v>0,</v>
      </c>
    </row>
    <row r="558" customFormat="false" ht="15.75" hidden="false" customHeight="false" outlineLevel="0" collapsed="false">
      <c r="A558" s="374"/>
      <c r="B558" s="374" t="n">
        <v>0</v>
      </c>
      <c r="D558" s="374"/>
      <c r="E558" s="374"/>
      <c r="J558" s="0" t="n">
        <v>0</v>
      </c>
      <c r="K558" s="0" t="str">
        <f aca="false">IF(ISBLANK(J558),,J558&amp;", ")</f>
        <v>0,</v>
      </c>
    </row>
    <row r="559" customFormat="false" ht="15.75" hidden="false" customHeight="false" outlineLevel="0" collapsed="false">
      <c r="A559" s="374"/>
      <c r="B559" s="374" t="n">
        <v>0</v>
      </c>
      <c r="D559" s="374"/>
      <c r="E559" s="374"/>
      <c r="J559" s="0" t="n">
        <v>0</v>
      </c>
      <c r="K559" s="0" t="str">
        <f aca="false">IF(ISBLANK(J559),,J559&amp;", ")</f>
        <v>0,</v>
      </c>
    </row>
    <row r="560" customFormat="false" ht="15.75" hidden="false" customHeight="false" outlineLevel="0" collapsed="false">
      <c r="A560" s="374"/>
      <c r="B560" s="374" t="n">
        <v>0</v>
      </c>
      <c r="D560" s="374"/>
      <c r="E560" s="374"/>
      <c r="J560" s="0" t="n">
        <v>0</v>
      </c>
      <c r="K560" s="0" t="str">
        <f aca="false">IF(ISBLANK(J560),,J560&amp;", ")</f>
        <v>0,</v>
      </c>
    </row>
    <row r="561" customFormat="false" ht="15.75" hidden="false" customHeight="false" outlineLevel="0" collapsed="false">
      <c r="A561" s="374"/>
      <c r="B561" s="374" t="n">
        <v>0</v>
      </c>
      <c r="D561" s="374"/>
      <c r="E561" s="374"/>
      <c r="J561" s="0" t="n">
        <v>0</v>
      </c>
      <c r="K561" s="0" t="str">
        <f aca="false">IF(ISBLANK(J561),,J561&amp;", ")</f>
        <v>0,</v>
      </c>
    </row>
    <row r="562" customFormat="false" ht="15.75" hidden="false" customHeight="false" outlineLevel="0" collapsed="false">
      <c r="A562" s="374"/>
      <c r="B562" s="374" t="n">
        <v>0</v>
      </c>
      <c r="D562" s="374"/>
      <c r="E562" s="374"/>
      <c r="J562" s="0" t="n">
        <v>0</v>
      </c>
      <c r="K562" s="0" t="str">
        <f aca="false">IF(ISBLANK(J562),,J562&amp;", ")</f>
        <v>0,</v>
      </c>
    </row>
    <row r="563" customFormat="false" ht="15.75" hidden="false" customHeight="false" outlineLevel="0" collapsed="false">
      <c r="A563" s="374"/>
      <c r="B563" s="374" t="n">
        <v>0</v>
      </c>
      <c r="D563" s="374"/>
      <c r="E563" s="374"/>
      <c r="J563" s="0" t="n">
        <v>0</v>
      </c>
      <c r="K563" s="0" t="str">
        <f aca="false">IF(ISBLANK(J563),,J563&amp;", ")</f>
        <v>0,</v>
      </c>
    </row>
    <row r="564" customFormat="false" ht="15.75" hidden="false" customHeight="false" outlineLevel="0" collapsed="false">
      <c r="A564" s="374"/>
      <c r="B564" s="374" t="n">
        <v>0</v>
      </c>
      <c r="D564" s="374"/>
      <c r="E564" s="374"/>
      <c r="J564" s="0" t="n">
        <v>0</v>
      </c>
      <c r="K564" s="0" t="str">
        <f aca="false">IF(ISBLANK(J564),,J564&amp;", ")</f>
        <v>0,</v>
      </c>
    </row>
    <row r="565" customFormat="false" ht="15.75" hidden="false" customHeight="false" outlineLevel="0" collapsed="false">
      <c r="A565" s="374"/>
      <c r="B565" s="374" t="n">
        <v>0</v>
      </c>
      <c r="D565" s="374"/>
      <c r="E565" s="374"/>
      <c r="J565" s="0" t="n">
        <v>0</v>
      </c>
      <c r="K565" s="0" t="str">
        <f aca="false">IF(ISBLANK(J565),,J565&amp;", ")</f>
        <v>0,</v>
      </c>
    </row>
    <row r="566" customFormat="false" ht="15.75" hidden="false" customHeight="false" outlineLevel="0" collapsed="false">
      <c r="A566" s="374"/>
      <c r="B566" s="374" t="n">
        <v>0</v>
      </c>
      <c r="D566" s="374"/>
      <c r="E566" s="374"/>
      <c r="J566" s="0" t="n">
        <v>0</v>
      </c>
      <c r="K566" s="0" t="str">
        <f aca="false">IF(ISBLANK(J566),,J566&amp;", ")</f>
        <v>0,</v>
      </c>
    </row>
    <row r="567" customFormat="false" ht="15.75" hidden="false" customHeight="false" outlineLevel="0" collapsed="false">
      <c r="A567" s="374"/>
      <c r="B567" s="374" t="n">
        <v>0</v>
      </c>
      <c r="D567" s="374"/>
      <c r="E567" s="374"/>
      <c r="J567" s="0" t="n">
        <v>0</v>
      </c>
      <c r="K567" s="0" t="str">
        <f aca="false">IF(ISBLANK(J567),,J567&amp;", ")</f>
        <v>0,</v>
      </c>
    </row>
    <row r="568" customFormat="false" ht="15.75" hidden="false" customHeight="false" outlineLevel="0" collapsed="false">
      <c r="A568" s="374"/>
      <c r="B568" s="374" t="n">
        <v>0</v>
      </c>
      <c r="D568" s="374"/>
      <c r="E568" s="374"/>
      <c r="J568" s="0" t="n">
        <v>0</v>
      </c>
      <c r="K568" s="0" t="str">
        <f aca="false">IF(ISBLANK(J568),,J568&amp;", ")</f>
        <v>0,</v>
      </c>
    </row>
    <row r="569" customFormat="false" ht="15.75" hidden="false" customHeight="false" outlineLevel="0" collapsed="false">
      <c r="A569" s="374"/>
      <c r="B569" s="374" t="n">
        <v>0</v>
      </c>
      <c r="D569" s="374"/>
      <c r="E569" s="374"/>
      <c r="J569" s="0" t="n">
        <v>0</v>
      </c>
      <c r="K569" s="0" t="str">
        <f aca="false">IF(ISBLANK(J569),,J569&amp;", ")</f>
        <v>0,</v>
      </c>
    </row>
    <row r="570" customFormat="false" ht="15.75" hidden="false" customHeight="false" outlineLevel="0" collapsed="false">
      <c r="A570" s="374"/>
      <c r="B570" s="374" t="n">
        <v>0</v>
      </c>
      <c r="D570" s="374"/>
      <c r="E570" s="374"/>
      <c r="J570" s="0" t="n">
        <v>0</v>
      </c>
      <c r="K570" s="0" t="str">
        <f aca="false">IF(ISBLANK(J570),,J570&amp;", ")</f>
        <v>0,</v>
      </c>
    </row>
    <row r="571" customFormat="false" ht="15.75" hidden="false" customHeight="false" outlineLevel="0" collapsed="false">
      <c r="A571" s="374"/>
      <c r="B571" s="374" t="n">
        <v>0</v>
      </c>
      <c r="D571" s="374"/>
      <c r="E571" s="374"/>
      <c r="J571" s="0" t="n">
        <v>0</v>
      </c>
      <c r="K571" s="0" t="str">
        <f aca="false">IF(ISBLANK(J571),,J571&amp;", ")</f>
        <v>0,</v>
      </c>
    </row>
    <row r="572" customFormat="false" ht="15.75" hidden="false" customHeight="false" outlineLevel="0" collapsed="false">
      <c r="A572" s="374"/>
      <c r="B572" s="374" t="n">
        <v>0</v>
      </c>
      <c r="D572" s="374"/>
      <c r="E572" s="374"/>
      <c r="J572" s="0" t="n">
        <v>0</v>
      </c>
      <c r="K572" s="0" t="str">
        <f aca="false">IF(ISBLANK(J572),,J572&amp;", ")</f>
        <v>0,</v>
      </c>
    </row>
    <row r="573" customFormat="false" ht="15.75" hidden="false" customHeight="false" outlineLevel="0" collapsed="false">
      <c r="A573" s="374"/>
      <c r="B573" s="374" t="n">
        <v>0</v>
      </c>
      <c r="D573" s="374"/>
      <c r="E573" s="374"/>
      <c r="J573" s="0" t="n">
        <v>0</v>
      </c>
      <c r="K573" s="0" t="str">
        <f aca="false">IF(ISBLANK(J573),,J573&amp;", ")</f>
        <v>0,</v>
      </c>
    </row>
    <row r="574" customFormat="false" ht="15.75" hidden="false" customHeight="false" outlineLevel="0" collapsed="false">
      <c r="A574" s="374"/>
      <c r="B574" s="374" t="n">
        <v>0</v>
      </c>
      <c r="D574" s="374"/>
      <c r="E574" s="374"/>
      <c r="J574" s="0" t="n">
        <v>0</v>
      </c>
      <c r="K574" s="0" t="str">
        <f aca="false">IF(ISBLANK(J574),,J574&amp;", ")</f>
        <v>0,</v>
      </c>
    </row>
    <row r="575" customFormat="false" ht="15.75" hidden="false" customHeight="false" outlineLevel="0" collapsed="false">
      <c r="A575" s="374"/>
      <c r="B575" s="374" t="n">
        <v>0</v>
      </c>
      <c r="D575" s="374"/>
      <c r="E575" s="374"/>
      <c r="J575" s="0" t="n">
        <v>0</v>
      </c>
      <c r="K575" s="0" t="str">
        <f aca="false">IF(ISBLANK(J575),,J575&amp;", ")</f>
        <v>0,</v>
      </c>
    </row>
    <row r="576" customFormat="false" ht="15.75" hidden="false" customHeight="false" outlineLevel="0" collapsed="false">
      <c r="A576" s="374"/>
      <c r="B576" s="374" t="n">
        <v>0</v>
      </c>
      <c r="D576" s="374"/>
      <c r="E576" s="374"/>
      <c r="J576" s="0" t="n">
        <v>0</v>
      </c>
      <c r="K576" s="0" t="str">
        <f aca="false">IF(ISBLANK(J576),,J576&amp;", ")</f>
        <v>0,</v>
      </c>
    </row>
    <row r="577" customFormat="false" ht="15.75" hidden="false" customHeight="false" outlineLevel="0" collapsed="false">
      <c r="A577" s="374"/>
      <c r="B577" s="374" t="n">
        <v>0</v>
      </c>
      <c r="D577" s="374"/>
      <c r="E577" s="374"/>
      <c r="J577" s="0" t="n">
        <v>0</v>
      </c>
      <c r="K577" s="0" t="str">
        <f aca="false">IF(ISBLANK(J577),,J577&amp;", ")</f>
        <v>0,</v>
      </c>
    </row>
    <row r="578" customFormat="false" ht="15.75" hidden="false" customHeight="false" outlineLevel="0" collapsed="false">
      <c r="A578" s="374"/>
      <c r="B578" s="374" t="n">
        <v>0</v>
      </c>
      <c r="D578" s="374"/>
      <c r="E578" s="374"/>
      <c r="J578" s="0" t="n">
        <v>0</v>
      </c>
      <c r="K578" s="0" t="str">
        <f aca="false">IF(ISBLANK(J578),,J578&amp;", ")</f>
        <v>0,</v>
      </c>
    </row>
    <row r="579" customFormat="false" ht="15.75" hidden="false" customHeight="false" outlineLevel="0" collapsed="false">
      <c r="A579" s="374"/>
      <c r="B579" s="374" t="n">
        <v>0</v>
      </c>
      <c r="D579" s="374"/>
      <c r="E579" s="374"/>
      <c r="J579" s="0" t="n">
        <v>0</v>
      </c>
      <c r="K579" s="0" t="str">
        <f aca="false">IF(ISBLANK(J579),,J579&amp;", ")</f>
        <v>0,</v>
      </c>
    </row>
    <row r="580" customFormat="false" ht="15.75" hidden="false" customHeight="false" outlineLevel="0" collapsed="false">
      <c r="A580" s="374"/>
      <c r="B580" s="374" t="n">
        <v>0</v>
      </c>
      <c r="D580" s="374"/>
      <c r="E580" s="374"/>
      <c r="J580" s="0" t="n">
        <v>0</v>
      </c>
      <c r="K580" s="0" t="str">
        <f aca="false">IF(ISBLANK(J580),,J580&amp;", ")</f>
        <v>0,</v>
      </c>
    </row>
    <row r="581" customFormat="false" ht="15.75" hidden="false" customHeight="false" outlineLevel="0" collapsed="false">
      <c r="A581" s="374"/>
      <c r="B581" s="374" t="n">
        <v>0</v>
      </c>
      <c r="D581" s="374"/>
      <c r="E581" s="374"/>
      <c r="J581" s="0" t="n">
        <v>0</v>
      </c>
      <c r="K581" s="0" t="str">
        <f aca="false">IF(ISBLANK(J581),,J581&amp;", ")</f>
        <v>0,</v>
      </c>
    </row>
    <row r="582" customFormat="false" ht="15.75" hidden="false" customHeight="false" outlineLevel="0" collapsed="false">
      <c r="A582" s="374"/>
      <c r="B582" s="374" t="n">
        <v>0</v>
      </c>
      <c r="D582" s="374"/>
      <c r="E582" s="374"/>
      <c r="J582" s="0" t="n">
        <v>0</v>
      </c>
      <c r="K582" s="0" t="str">
        <f aca="false">IF(ISBLANK(J582),,J582&amp;", ")</f>
        <v>0,</v>
      </c>
    </row>
    <row r="583" customFormat="false" ht="15.75" hidden="false" customHeight="false" outlineLevel="0" collapsed="false">
      <c r="A583" s="374"/>
      <c r="B583" s="374" t="n">
        <v>0</v>
      </c>
      <c r="D583" s="374"/>
      <c r="E583" s="374"/>
      <c r="J583" s="0" t="n">
        <v>0</v>
      </c>
      <c r="K583" s="0" t="str">
        <f aca="false">IF(ISBLANK(J583),,J583&amp;", ")</f>
        <v>0,</v>
      </c>
    </row>
    <row r="584" customFormat="false" ht="15.75" hidden="false" customHeight="false" outlineLevel="0" collapsed="false">
      <c r="A584" s="374"/>
      <c r="B584" s="374" t="n">
        <v>0</v>
      </c>
      <c r="D584" s="374"/>
      <c r="E584" s="374"/>
      <c r="J584" s="0" t="n">
        <v>0</v>
      </c>
      <c r="K584" s="0" t="str">
        <f aca="false">IF(ISBLANK(J584),,J584&amp;", ")</f>
        <v>0,</v>
      </c>
    </row>
    <row r="585" customFormat="false" ht="15.75" hidden="false" customHeight="false" outlineLevel="0" collapsed="false">
      <c r="A585" s="374"/>
      <c r="B585" s="374" t="n">
        <v>0</v>
      </c>
      <c r="D585" s="374"/>
      <c r="E585" s="374"/>
      <c r="J585" s="0" t="n">
        <v>0</v>
      </c>
      <c r="K585" s="0" t="str">
        <f aca="false">IF(ISBLANK(J585),,J585&amp;", ")</f>
        <v>0,</v>
      </c>
    </row>
    <row r="586" customFormat="false" ht="15.75" hidden="false" customHeight="false" outlineLevel="0" collapsed="false">
      <c r="A586" s="374"/>
      <c r="B586" s="374" t="n">
        <v>0</v>
      </c>
      <c r="D586" s="374"/>
      <c r="E586" s="374"/>
      <c r="J586" s="0" t="n">
        <v>0</v>
      </c>
      <c r="K586" s="0" t="str">
        <f aca="false">IF(ISBLANK(J586),,J586&amp;", ")</f>
        <v>0,</v>
      </c>
    </row>
    <row r="587" customFormat="false" ht="15.75" hidden="false" customHeight="false" outlineLevel="0" collapsed="false">
      <c r="A587" s="374"/>
      <c r="B587" s="374" t="n">
        <v>0</v>
      </c>
      <c r="D587" s="374"/>
      <c r="E587" s="374"/>
      <c r="J587" s="0" t="n">
        <v>0</v>
      </c>
      <c r="K587" s="0" t="str">
        <f aca="false">IF(ISBLANK(J587),,J587&amp;", ")</f>
        <v>0,</v>
      </c>
    </row>
    <row r="588" customFormat="false" ht="15.75" hidden="false" customHeight="false" outlineLevel="0" collapsed="false">
      <c r="A588" s="374"/>
      <c r="B588" s="374" t="n">
        <v>0</v>
      </c>
      <c r="D588" s="374"/>
      <c r="E588" s="374"/>
      <c r="J588" s="0" t="n">
        <v>0</v>
      </c>
      <c r="K588" s="0" t="str">
        <f aca="false">IF(ISBLANK(J588),,J588&amp;", ")</f>
        <v>0,</v>
      </c>
    </row>
    <row r="589" customFormat="false" ht="15.75" hidden="false" customHeight="false" outlineLevel="0" collapsed="false">
      <c r="A589" s="374"/>
      <c r="B589" s="374" t="n">
        <v>0</v>
      </c>
      <c r="D589" s="374"/>
      <c r="E589" s="374"/>
      <c r="J589" s="0" t="n">
        <v>0</v>
      </c>
      <c r="K589" s="0" t="str">
        <f aca="false">IF(ISBLANK(J589),,J589&amp;", ")</f>
        <v>0,</v>
      </c>
    </row>
    <row r="590" customFormat="false" ht="15.75" hidden="false" customHeight="false" outlineLevel="0" collapsed="false">
      <c r="A590" s="374"/>
      <c r="B590" s="374" t="n">
        <v>0</v>
      </c>
      <c r="D590" s="374"/>
      <c r="E590" s="374"/>
      <c r="J590" s="0" t="n">
        <v>0</v>
      </c>
      <c r="K590" s="0" t="str">
        <f aca="false">IF(ISBLANK(J590),,J590&amp;", ")</f>
        <v>0,</v>
      </c>
    </row>
    <row r="591" customFormat="false" ht="15.75" hidden="false" customHeight="false" outlineLevel="0" collapsed="false">
      <c r="A591" s="374"/>
      <c r="B591" s="374" t="n">
        <v>0</v>
      </c>
      <c r="D591" s="374"/>
      <c r="E591" s="374"/>
      <c r="J591" s="0" t="n">
        <v>0</v>
      </c>
      <c r="K591" s="0" t="str">
        <f aca="false">IF(ISBLANK(J591),,J591&amp;", ")</f>
        <v>0,</v>
      </c>
    </row>
    <row r="592" customFormat="false" ht="15.75" hidden="false" customHeight="false" outlineLevel="0" collapsed="false">
      <c r="A592" s="374"/>
      <c r="B592" s="374" t="n">
        <v>0</v>
      </c>
      <c r="D592" s="374"/>
      <c r="E592" s="374"/>
      <c r="J592" s="0" t="n">
        <v>0</v>
      </c>
      <c r="K592" s="0" t="str">
        <f aca="false">IF(ISBLANK(J592),,J592&amp;", ")</f>
        <v>0,</v>
      </c>
    </row>
    <row r="593" customFormat="false" ht="15.75" hidden="false" customHeight="false" outlineLevel="0" collapsed="false">
      <c r="A593" s="374"/>
      <c r="B593" s="374" t="n">
        <v>0</v>
      </c>
      <c r="D593" s="374"/>
      <c r="E593" s="374"/>
      <c r="J593" s="0" t="n">
        <v>0</v>
      </c>
      <c r="K593" s="0" t="str">
        <f aca="false">IF(ISBLANK(J593),,J593&amp;", ")</f>
        <v>0,</v>
      </c>
    </row>
    <row r="594" customFormat="false" ht="15.75" hidden="false" customHeight="false" outlineLevel="0" collapsed="false">
      <c r="A594" s="374"/>
      <c r="B594" s="374" t="n">
        <v>0</v>
      </c>
      <c r="D594" s="374"/>
      <c r="E594" s="374"/>
      <c r="J594" s="0" t="n">
        <v>0</v>
      </c>
      <c r="K594" s="0" t="str">
        <f aca="false">IF(ISBLANK(J594),,J594&amp;", ")</f>
        <v>0,</v>
      </c>
    </row>
    <row r="595" customFormat="false" ht="15.75" hidden="false" customHeight="false" outlineLevel="0" collapsed="false">
      <c r="A595" s="374"/>
      <c r="B595" s="374" t="n">
        <v>0</v>
      </c>
      <c r="D595" s="374"/>
      <c r="E595" s="374"/>
      <c r="J595" s="0" t="n">
        <v>0</v>
      </c>
      <c r="K595" s="0" t="str">
        <f aca="false">IF(ISBLANK(J595),,J595&amp;", ")</f>
        <v>0,</v>
      </c>
    </row>
    <row r="596" customFormat="false" ht="15.75" hidden="false" customHeight="false" outlineLevel="0" collapsed="false">
      <c r="A596" s="374"/>
      <c r="B596" s="374" t="n">
        <v>0</v>
      </c>
      <c r="D596" s="374"/>
      <c r="E596" s="374"/>
      <c r="J596" s="0" t="n">
        <v>0</v>
      </c>
      <c r="K596" s="0" t="str">
        <f aca="false">IF(ISBLANK(J596),,J596&amp;", ")</f>
        <v>0,</v>
      </c>
    </row>
    <row r="597" customFormat="false" ht="15.75" hidden="false" customHeight="false" outlineLevel="0" collapsed="false">
      <c r="A597" s="374"/>
      <c r="B597" s="374" t="n">
        <v>0</v>
      </c>
      <c r="D597" s="374"/>
      <c r="E597" s="374"/>
      <c r="J597" s="0" t="n">
        <v>0</v>
      </c>
      <c r="K597" s="0" t="str">
        <f aca="false">IF(ISBLANK(J597),,J597&amp;", ")</f>
        <v>0,</v>
      </c>
    </row>
    <row r="598" customFormat="false" ht="15.75" hidden="false" customHeight="false" outlineLevel="0" collapsed="false">
      <c r="A598" s="374"/>
      <c r="B598" s="374" t="n">
        <v>0</v>
      </c>
      <c r="D598" s="374"/>
      <c r="E598" s="374"/>
      <c r="J598" s="0" t="n">
        <v>0</v>
      </c>
      <c r="K598" s="0" t="str">
        <f aca="false">IF(ISBLANK(J598),,J598&amp;", ")</f>
        <v>0,</v>
      </c>
    </row>
    <row r="599" customFormat="false" ht="15.75" hidden="false" customHeight="false" outlineLevel="0" collapsed="false">
      <c r="A599" s="374"/>
      <c r="B599" s="374" t="n">
        <v>0</v>
      </c>
      <c r="D599" s="374"/>
      <c r="E599" s="374"/>
      <c r="J599" s="0" t="n">
        <v>0</v>
      </c>
      <c r="K599" s="0" t="str">
        <f aca="false">IF(ISBLANK(J599),,J599&amp;", ")</f>
        <v>0,</v>
      </c>
    </row>
    <row r="600" customFormat="false" ht="15.75" hidden="false" customHeight="false" outlineLevel="0" collapsed="false">
      <c r="A600" s="374"/>
      <c r="B600" s="374" t="n">
        <v>0</v>
      </c>
      <c r="D600" s="374"/>
      <c r="E600" s="374"/>
      <c r="J600" s="0" t="n">
        <v>0</v>
      </c>
      <c r="K600" s="0" t="str">
        <f aca="false">IF(ISBLANK(J600),,J600&amp;", ")</f>
        <v>0,</v>
      </c>
    </row>
    <row r="601" customFormat="false" ht="15.75" hidden="false" customHeight="false" outlineLevel="0" collapsed="false">
      <c r="A601" s="374"/>
      <c r="B601" s="374" t="n">
        <v>0</v>
      </c>
      <c r="D601" s="374"/>
      <c r="E601" s="374"/>
      <c r="J601" s="0" t="n">
        <v>0</v>
      </c>
      <c r="K601" s="0" t="str">
        <f aca="false">IF(ISBLANK(J601),,J601&amp;", ")</f>
        <v>0,</v>
      </c>
    </row>
    <row r="602" customFormat="false" ht="15.75" hidden="false" customHeight="false" outlineLevel="0" collapsed="false">
      <c r="A602" s="374"/>
      <c r="B602" s="374" t="n">
        <v>0</v>
      </c>
      <c r="D602" s="374"/>
      <c r="E602" s="374"/>
      <c r="J602" s="0" t="n">
        <v>0</v>
      </c>
      <c r="K602" s="0" t="str">
        <f aca="false">IF(ISBLANK(J602),,J602&amp;", ")</f>
        <v>0,</v>
      </c>
    </row>
    <row r="603" customFormat="false" ht="15.75" hidden="false" customHeight="false" outlineLevel="0" collapsed="false">
      <c r="A603" s="374"/>
      <c r="B603" s="374" t="n">
        <v>0</v>
      </c>
      <c r="D603" s="374"/>
      <c r="E603" s="374"/>
      <c r="J603" s="0" t="n">
        <v>0</v>
      </c>
      <c r="K603" s="0" t="str">
        <f aca="false">IF(ISBLANK(J603),,J603&amp;", ")</f>
        <v>0,</v>
      </c>
    </row>
    <row r="604" customFormat="false" ht="15.75" hidden="false" customHeight="false" outlineLevel="0" collapsed="false">
      <c r="A604" s="374"/>
      <c r="B604" s="374" t="n">
        <v>0</v>
      </c>
      <c r="D604" s="374"/>
      <c r="E604" s="374"/>
      <c r="J604" s="0" t="n">
        <v>0</v>
      </c>
      <c r="K604" s="0" t="str">
        <f aca="false">IF(ISBLANK(J604),,J604&amp;", ")</f>
        <v>0,</v>
      </c>
    </row>
    <row r="605" customFormat="false" ht="15.75" hidden="false" customHeight="false" outlineLevel="0" collapsed="false">
      <c r="A605" s="374"/>
      <c r="B605" s="374" t="n">
        <v>0</v>
      </c>
      <c r="D605" s="374"/>
      <c r="E605" s="374"/>
      <c r="J605" s="0" t="n">
        <v>0</v>
      </c>
      <c r="K605" s="0" t="str">
        <f aca="false">IF(ISBLANK(J605),,J605&amp;", ")</f>
        <v>0,</v>
      </c>
    </row>
    <row r="606" customFormat="false" ht="15.75" hidden="false" customHeight="false" outlineLevel="0" collapsed="false">
      <c r="A606" s="374"/>
      <c r="B606" s="374" t="n">
        <v>0</v>
      </c>
      <c r="D606" s="374"/>
      <c r="E606" s="374"/>
      <c r="J606" s="0" t="n">
        <v>0</v>
      </c>
      <c r="K606" s="0" t="str">
        <f aca="false">IF(ISBLANK(J606),,J606&amp;", ")</f>
        <v>0,</v>
      </c>
    </row>
    <row r="607" customFormat="false" ht="15.75" hidden="false" customHeight="false" outlineLevel="0" collapsed="false">
      <c r="A607" s="374"/>
      <c r="B607" s="374" t="n">
        <v>0</v>
      </c>
      <c r="D607" s="374"/>
      <c r="E607" s="374"/>
      <c r="J607" s="0" t="n">
        <v>0</v>
      </c>
      <c r="K607" s="0" t="str">
        <f aca="false">IF(ISBLANK(J607),,J607&amp;", ")</f>
        <v>0,</v>
      </c>
    </row>
    <row r="608" customFormat="false" ht="15.75" hidden="false" customHeight="false" outlineLevel="0" collapsed="false">
      <c r="A608" s="374"/>
      <c r="B608" s="374" t="n">
        <v>0</v>
      </c>
      <c r="D608" s="374"/>
      <c r="E608" s="374"/>
      <c r="J608" s="0" t="n">
        <v>0</v>
      </c>
      <c r="K608" s="0" t="str">
        <f aca="false">IF(ISBLANK(J608),,J608&amp;", ")</f>
        <v>0,</v>
      </c>
    </row>
    <row r="609" customFormat="false" ht="15.75" hidden="false" customHeight="false" outlineLevel="0" collapsed="false">
      <c r="A609" s="374"/>
      <c r="B609" s="374" t="n">
        <v>0</v>
      </c>
      <c r="D609" s="374"/>
      <c r="E609" s="374"/>
      <c r="J609" s="0" t="n">
        <v>0</v>
      </c>
      <c r="K609" s="0" t="str">
        <f aca="false">IF(ISBLANK(J609),,J609&amp;", ")</f>
        <v>0,</v>
      </c>
    </row>
    <row r="610" customFormat="false" ht="15.75" hidden="false" customHeight="false" outlineLevel="0" collapsed="false">
      <c r="A610" s="374"/>
      <c r="B610" s="374" t="n">
        <v>0</v>
      </c>
      <c r="D610" s="374"/>
      <c r="E610" s="374"/>
      <c r="J610" s="0" t="n">
        <v>0</v>
      </c>
      <c r="K610" s="0" t="str">
        <f aca="false">IF(ISBLANK(J610),,J610&amp;", ")</f>
        <v>0,</v>
      </c>
    </row>
    <row r="611" customFormat="false" ht="15.75" hidden="false" customHeight="false" outlineLevel="0" collapsed="false">
      <c r="A611" s="374"/>
      <c r="B611" s="374" t="n">
        <v>0</v>
      </c>
      <c r="D611" s="374"/>
      <c r="E611" s="374"/>
      <c r="J611" s="0" t="n">
        <v>0</v>
      </c>
      <c r="K611" s="0" t="str">
        <f aca="false">IF(ISBLANK(J611),,J611&amp;", ")</f>
        <v>0,</v>
      </c>
    </row>
    <row r="612" customFormat="false" ht="15.75" hidden="false" customHeight="false" outlineLevel="0" collapsed="false">
      <c r="A612" s="374"/>
      <c r="B612" s="374" t="n">
        <v>0</v>
      </c>
      <c r="D612" s="374"/>
      <c r="E612" s="374"/>
      <c r="J612" s="0" t="n">
        <v>0</v>
      </c>
      <c r="K612" s="0" t="str">
        <f aca="false">IF(ISBLANK(J612),,J612&amp;", ")</f>
        <v>0,</v>
      </c>
    </row>
    <row r="613" customFormat="false" ht="15.75" hidden="false" customHeight="false" outlineLevel="0" collapsed="false">
      <c r="A613" s="374"/>
      <c r="B613" s="374" t="n">
        <v>0</v>
      </c>
      <c r="D613" s="374"/>
      <c r="E613" s="374"/>
      <c r="J613" s="0" t="n">
        <v>0</v>
      </c>
      <c r="K613" s="0" t="str">
        <f aca="false">IF(ISBLANK(J613),,J613&amp;", ")</f>
        <v>0,</v>
      </c>
    </row>
    <row r="614" customFormat="false" ht="15.75" hidden="false" customHeight="false" outlineLevel="0" collapsed="false">
      <c r="A614" s="374"/>
      <c r="B614" s="374" t="n">
        <v>0</v>
      </c>
      <c r="D614" s="374"/>
      <c r="E614" s="374"/>
      <c r="J614" s="0" t="n">
        <v>0</v>
      </c>
      <c r="K614" s="0" t="str">
        <f aca="false">IF(ISBLANK(J614),,J614&amp;", ")</f>
        <v>0,</v>
      </c>
    </row>
    <row r="615" customFormat="false" ht="15.75" hidden="false" customHeight="false" outlineLevel="0" collapsed="false">
      <c r="A615" s="374"/>
      <c r="B615" s="374" t="n">
        <v>0</v>
      </c>
      <c r="D615" s="374"/>
      <c r="E615" s="374"/>
      <c r="J615" s="0" t="n">
        <v>0</v>
      </c>
      <c r="K615" s="0" t="str">
        <f aca="false">IF(ISBLANK(J615),,J615&amp;", ")</f>
        <v>0,</v>
      </c>
    </row>
    <row r="616" customFormat="false" ht="15.75" hidden="false" customHeight="false" outlineLevel="0" collapsed="false">
      <c r="A616" s="374"/>
      <c r="B616" s="374" t="n">
        <v>0</v>
      </c>
      <c r="D616" s="374"/>
      <c r="E616" s="374"/>
      <c r="J616" s="0" t="n">
        <v>0</v>
      </c>
      <c r="K616" s="0" t="str">
        <f aca="false">IF(ISBLANK(J616),,J616&amp;", ")</f>
        <v>0,</v>
      </c>
    </row>
    <row r="617" customFormat="false" ht="15.75" hidden="false" customHeight="false" outlineLevel="0" collapsed="false">
      <c r="A617" s="374"/>
      <c r="B617" s="374" t="n">
        <v>0</v>
      </c>
      <c r="D617" s="374"/>
      <c r="E617" s="374"/>
      <c r="J617" s="0" t="n">
        <v>0</v>
      </c>
      <c r="K617" s="0" t="str">
        <f aca="false">IF(ISBLANK(J617),,J617&amp;", ")</f>
        <v>0,</v>
      </c>
    </row>
    <row r="618" customFormat="false" ht="15.75" hidden="false" customHeight="false" outlineLevel="0" collapsed="false">
      <c r="A618" s="374"/>
      <c r="B618" s="374" t="n">
        <v>0</v>
      </c>
      <c r="D618" s="374"/>
      <c r="E618" s="374"/>
      <c r="J618" s="0" t="n">
        <v>0</v>
      </c>
      <c r="K618" s="0" t="str">
        <f aca="false">IF(ISBLANK(J618),,J618&amp;", ")</f>
        <v>0,</v>
      </c>
    </row>
    <row r="619" customFormat="false" ht="15.75" hidden="false" customHeight="false" outlineLevel="0" collapsed="false">
      <c r="A619" s="374"/>
      <c r="B619" s="374" t="n">
        <v>0</v>
      </c>
      <c r="D619" s="374"/>
      <c r="E619" s="374"/>
      <c r="J619" s="0" t="n">
        <v>0</v>
      </c>
      <c r="K619" s="0" t="str">
        <f aca="false">IF(ISBLANK(J619),,J619&amp;", ")</f>
        <v>0,</v>
      </c>
    </row>
    <row r="620" customFormat="false" ht="15.75" hidden="false" customHeight="false" outlineLevel="0" collapsed="false">
      <c r="A620" s="374"/>
      <c r="B620" s="374" t="n">
        <v>0</v>
      </c>
      <c r="D620" s="374"/>
      <c r="E620" s="374"/>
      <c r="J620" s="0" t="n">
        <v>0</v>
      </c>
      <c r="K620" s="0" t="str">
        <f aca="false">IF(ISBLANK(J620),,J620&amp;", ")</f>
        <v>0,</v>
      </c>
    </row>
    <row r="621" customFormat="false" ht="15.75" hidden="false" customHeight="false" outlineLevel="0" collapsed="false">
      <c r="A621" s="374"/>
      <c r="B621" s="374" t="n">
        <v>0</v>
      </c>
      <c r="D621" s="374"/>
      <c r="E621" s="374"/>
      <c r="J621" s="0" t="n">
        <v>0</v>
      </c>
      <c r="K621" s="0" t="str">
        <f aca="false">IF(ISBLANK(J621),,J621&amp;", ")</f>
        <v>0,</v>
      </c>
    </row>
    <row r="622" customFormat="false" ht="15.75" hidden="false" customHeight="false" outlineLevel="0" collapsed="false">
      <c r="A622" s="374"/>
      <c r="B622" s="374" t="n">
        <v>0</v>
      </c>
      <c r="D622" s="374"/>
      <c r="E622" s="374"/>
      <c r="J622" s="0" t="n">
        <v>0</v>
      </c>
      <c r="K622" s="0" t="str">
        <f aca="false">IF(ISBLANK(J622),,J622&amp;", ")</f>
        <v>0,</v>
      </c>
    </row>
    <row r="623" customFormat="false" ht="15.75" hidden="false" customHeight="false" outlineLevel="0" collapsed="false">
      <c r="A623" s="374"/>
      <c r="B623" s="374" t="n">
        <v>0</v>
      </c>
      <c r="D623" s="374"/>
      <c r="E623" s="374"/>
      <c r="J623" s="0" t="n">
        <v>0</v>
      </c>
      <c r="K623" s="0" t="str">
        <f aca="false">IF(ISBLANK(J623),,J623&amp;", ")</f>
        <v>0,</v>
      </c>
    </row>
    <row r="624" customFormat="false" ht="15.75" hidden="false" customHeight="false" outlineLevel="0" collapsed="false">
      <c r="A624" s="374"/>
      <c r="B624" s="374" t="n">
        <v>0</v>
      </c>
      <c r="D624" s="374"/>
      <c r="E624" s="374"/>
      <c r="J624" s="0" t="n">
        <v>0</v>
      </c>
      <c r="K624" s="0" t="str">
        <f aca="false">IF(ISBLANK(J624),,J624&amp;", ")</f>
        <v>0,</v>
      </c>
    </row>
    <row r="625" customFormat="false" ht="15.75" hidden="false" customHeight="false" outlineLevel="0" collapsed="false">
      <c r="A625" s="374"/>
      <c r="B625" s="374" t="n">
        <v>0</v>
      </c>
      <c r="D625" s="374"/>
      <c r="E625" s="374"/>
      <c r="J625" s="0" t="n">
        <v>0</v>
      </c>
      <c r="K625" s="0" t="str">
        <f aca="false">IF(ISBLANK(J625),,J625&amp;", ")</f>
        <v>0,</v>
      </c>
    </row>
    <row r="626" customFormat="false" ht="15.75" hidden="false" customHeight="false" outlineLevel="0" collapsed="false">
      <c r="A626" s="374"/>
      <c r="B626" s="374" t="n">
        <v>0</v>
      </c>
      <c r="D626" s="374"/>
      <c r="E626" s="374"/>
      <c r="J626" s="0" t="n">
        <v>0</v>
      </c>
      <c r="K626" s="0" t="str">
        <f aca="false">IF(ISBLANK(J626),,J626&amp;", ")</f>
        <v>0,</v>
      </c>
    </row>
    <row r="627" customFormat="false" ht="15.75" hidden="false" customHeight="false" outlineLevel="0" collapsed="false">
      <c r="A627" s="374"/>
      <c r="B627" s="374" t="n">
        <v>0</v>
      </c>
      <c r="D627" s="374"/>
      <c r="E627" s="374"/>
      <c r="J627" s="0" t="n">
        <v>0</v>
      </c>
      <c r="K627" s="0" t="str">
        <f aca="false">IF(ISBLANK(J627),,J627&amp;", ")</f>
        <v>0,</v>
      </c>
    </row>
    <row r="628" customFormat="false" ht="15.75" hidden="false" customHeight="false" outlineLevel="0" collapsed="false">
      <c r="A628" s="374"/>
      <c r="B628" s="374" t="n">
        <v>0</v>
      </c>
      <c r="D628" s="374"/>
      <c r="E628" s="374"/>
      <c r="J628" s="0" t="n">
        <v>0</v>
      </c>
      <c r="K628" s="0" t="str">
        <f aca="false">IF(ISBLANK(J628),,J628&amp;", ")</f>
        <v>0,</v>
      </c>
    </row>
    <row r="629" customFormat="false" ht="15.75" hidden="false" customHeight="false" outlineLevel="0" collapsed="false">
      <c r="A629" s="374"/>
      <c r="B629" s="374" t="n">
        <v>0</v>
      </c>
      <c r="D629" s="374"/>
      <c r="E629" s="374"/>
      <c r="J629" s="0" t="n">
        <v>0</v>
      </c>
      <c r="K629" s="0" t="str">
        <f aca="false">IF(ISBLANK(J629),,J629&amp;", ")</f>
        <v>0,</v>
      </c>
    </row>
    <row r="630" customFormat="false" ht="15.75" hidden="false" customHeight="false" outlineLevel="0" collapsed="false">
      <c r="A630" s="374"/>
      <c r="B630" s="374" t="n">
        <v>0</v>
      </c>
      <c r="D630" s="374"/>
      <c r="E630" s="374"/>
      <c r="J630" s="0" t="n">
        <v>0</v>
      </c>
      <c r="K630" s="0" t="str">
        <f aca="false">IF(ISBLANK(J630),,J630&amp;", ")</f>
        <v>0,</v>
      </c>
    </row>
    <row r="631" customFormat="false" ht="15.75" hidden="false" customHeight="false" outlineLevel="0" collapsed="false">
      <c r="A631" s="374"/>
      <c r="B631" s="374" t="n">
        <v>0</v>
      </c>
      <c r="D631" s="374"/>
      <c r="E631" s="374"/>
      <c r="J631" s="0" t="n">
        <v>0</v>
      </c>
      <c r="K631" s="0" t="str">
        <f aca="false">IF(ISBLANK(J631),,J631&amp;", ")</f>
        <v>0,</v>
      </c>
    </row>
    <row r="632" customFormat="false" ht="15.75" hidden="false" customHeight="false" outlineLevel="0" collapsed="false">
      <c r="A632" s="374"/>
      <c r="B632" s="374" t="n">
        <v>0</v>
      </c>
      <c r="D632" s="374"/>
      <c r="E632" s="374"/>
      <c r="J632" s="0" t="n">
        <v>0</v>
      </c>
      <c r="K632" s="0" t="str">
        <f aca="false">IF(ISBLANK(J632),,J632&amp;", ")</f>
        <v>0,</v>
      </c>
    </row>
    <row r="633" customFormat="false" ht="15.75" hidden="false" customHeight="false" outlineLevel="0" collapsed="false">
      <c r="A633" s="374"/>
      <c r="B633" s="374" t="n">
        <v>0</v>
      </c>
      <c r="D633" s="374"/>
      <c r="E633" s="374"/>
      <c r="J633" s="0" t="n">
        <v>0</v>
      </c>
      <c r="K633" s="0" t="str">
        <f aca="false">IF(ISBLANK(J633),,J633&amp;", ")</f>
        <v>0,</v>
      </c>
    </row>
    <row r="634" customFormat="false" ht="15.75" hidden="false" customHeight="false" outlineLevel="0" collapsed="false">
      <c r="A634" s="374"/>
      <c r="B634" s="374" t="n">
        <v>0</v>
      </c>
      <c r="D634" s="374"/>
      <c r="E634" s="374"/>
      <c r="J634" s="0" t="n">
        <v>0</v>
      </c>
      <c r="K634" s="0" t="str">
        <f aca="false">IF(ISBLANK(J634),,J634&amp;", ")</f>
        <v>0,</v>
      </c>
    </row>
    <row r="635" customFormat="false" ht="15.75" hidden="false" customHeight="false" outlineLevel="0" collapsed="false">
      <c r="A635" s="374"/>
      <c r="B635" s="374" t="n">
        <v>0</v>
      </c>
      <c r="D635" s="374"/>
      <c r="E635" s="374"/>
      <c r="J635" s="0" t="n">
        <v>0</v>
      </c>
      <c r="K635" s="0" t="str">
        <f aca="false">IF(ISBLANK(J635),,J635&amp;", ")</f>
        <v>0,</v>
      </c>
    </row>
    <row r="636" customFormat="false" ht="15.75" hidden="false" customHeight="false" outlineLevel="0" collapsed="false">
      <c r="A636" s="374"/>
      <c r="B636" s="374" t="n">
        <v>0</v>
      </c>
      <c r="D636" s="374"/>
      <c r="E636" s="374"/>
      <c r="J636" s="0" t="n">
        <v>0</v>
      </c>
      <c r="K636" s="0" t="str">
        <f aca="false">IF(ISBLANK(J636),,J636&amp;", ")</f>
        <v>0,</v>
      </c>
    </row>
    <row r="637" customFormat="false" ht="15.75" hidden="false" customHeight="false" outlineLevel="0" collapsed="false">
      <c r="A637" s="374"/>
      <c r="B637" s="374" t="n">
        <v>0</v>
      </c>
      <c r="D637" s="374"/>
      <c r="E637" s="374"/>
      <c r="J637" s="0" t="n">
        <v>0</v>
      </c>
      <c r="K637" s="0" t="str">
        <f aca="false">IF(ISBLANK(J637),,J637&amp;", ")</f>
        <v>0,</v>
      </c>
    </row>
    <row r="638" customFormat="false" ht="15.75" hidden="false" customHeight="false" outlineLevel="0" collapsed="false">
      <c r="A638" s="374"/>
      <c r="B638" s="374" t="n">
        <v>0</v>
      </c>
      <c r="D638" s="374"/>
      <c r="E638" s="374"/>
      <c r="J638" s="0" t="n">
        <v>0</v>
      </c>
      <c r="K638" s="0" t="str">
        <f aca="false">IF(ISBLANK(J638),,J638&amp;", ")</f>
        <v>0,</v>
      </c>
    </row>
    <row r="639" customFormat="false" ht="15.75" hidden="false" customHeight="false" outlineLevel="0" collapsed="false">
      <c r="A639" s="374"/>
      <c r="B639" s="374" t="n">
        <v>0</v>
      </c>
      <c r="D639" s="374"/>
      <c r="E639" s="374"/>
      <c r="J639" s="0" t="n">
        <v>0</v>
      </c>
      <c r="K639" s="0" t="str">
        <f aca="false">IF(ISBLANK(J639),,J639&amp;", ")</f>
        <v>0,</v>
      </c>
    </row>
    <row r="640" customFormat="false" ht="15.75" hidden="false" customHeight="false" outlineLevel="0" collapsed="false">
      <c r="A640" s="374"/>
      <c r="B640" s="374" t="n">
        <v>0</v>
      </c>
      <c r="D640" s="374"/>
      <c r="E640" s="374"/>
      <c r="J640" s="0" t="n">
        <v>0</v>
      </c>
      <c r="K640" s="0" t="str">
        <f aca="false">IF(ISBLANK(J640),,J640&amp;", ")</f>
        <v>0,</v>
      </c>
    </row>
    <row r="641" customFormat="false" ht="15.75" hidden="false" customHeight="false" outlineLevel="0" collapsed="false">
      <c r="A641" s="374"/>
      <c r="B641" s="374" t="n">
        <v>0</v>
      </c>
      <c r="D641" s="374"/>
      <c r="E641" s="374"/>
      <c r="J641" s="0" t="n">
        <v>0</v>
      </c>
      <c r="K641" s="0" t="str">
        <f aca="false">IF(ISBLANK(J641),,J641&amp;", ")</f>
        <v>0,</v>
      </c>
    </row>
    <row r="642" customFormat="false" ht="15.75" hidden="false" customHeight="false" outlineLevel="0" collapsed="false">
      <c r="A642" s="374"/>
      <c r="B642" s="374" t="n">
        <v>0</v>
      </c>
      <c r="D642" s="374"/>
      <c r="E642" s="374"/>
      <c r="J642" s="0" t="n">
        <v>0</v>
      </c>
      <c r="K642" s="0" t="str">
        <f aca="false">IF(ISBLANK(J642),,J642&amp;", ")</f>
        <v>0,</v>
      </c>
    </row>
    <row r="643" customFormat="false" ht="15.75" hidden="false" customHeight="false" outlineLevel="0" collapsed="false">
      <c r="A643" s="374"/>
      <c r="B643" s="374" t="n">
        <v>0</v>
      </c>
      <c r="D643" s="374"/>
      <c r="E643" s="374"/>
      <c r="J643" s="0" t="n">
        <v>0</v>
      </c>
      <c r="K643" s="0" t="str">
        <f aca="false">IF(ISBLANK(J643),,J643&amp;", ")</f>
        <v>0,</v>
      </c>
    </row>
    <row r="644" customFormat="false" ht="15.75" hidden="false" customHeight="false" outlineLevel="0" collapsed="false">
      <c r="A644" s="374"/>
      <c r="B644" s="374" t="n">
        <v>0</v>
      </c>
      <c r="D644" s="374"/>
      <c r="E644" s="374"/>
      <c r="J644" s="0" t="n">
        <v>0</v>
      </c>
      <c r="K644" s="0" t="str">
        <f aca="false">IF(ISBLANK(J644),,J644&amp;", ")</f>
        <v>0,</v>
      </c>
    </row>
    <row r="645" customFormat="false" ht="15.75" hidden="false" customHeight="false" outlineLevel="0" collapsed="false">
      <c r="A645" s="374"/>
      <c r="B645" s="374" t="n">
        <v>0</v>
      </c>
      <c r="D645" s="374"/>
      <c r="E645" s="374"/>
      <c r="J645" s="0" t="n">
        <v>0</v>
      </c>
      <c r="K645" s="0" t="str">
        <f aca="false">IF(ISBLANK(J645),,J645&amp;", ")</f>
        <v>0,</v>
      </c>
    </row>
    <row r="646" customFormat="false" ht="15.75" hidden="false" customHeight="false" outlineLevel="0" collapsed="false">
      <c r="A646" s="374"/>
      <c r="B646" s="374" t="n">
        <v>0</v>
      </c>
      <c r="D646" s="374"/>
      <c r="E646" s="374"/>
      <c r="J646" s="0" t="n">
        <v>0</v>
      </c>
      <c r="K646" s="0" t="str">
        <f aca="false">IF(ISBLANK(J646),,J646&amp;", ")</f>
        <v>0,</v>
      </c>
    </row>
    <row r="647" customFormat="false" ht="15.75" hidden="false" customHeight="false" outlineLevel="0" collapsed="false">
      <c r="A647" s="374"/>
      <c r="B647" s="374" t="n">
        <v>0</v>
      </c>
      <c r="D647" s="374"/>
      <c r="E647" s="374"/>
      <c r="J647" s="0" t="n">
        <v>0</v>
      </c>
      <c r="K647" s="0" t="str">
        <f aca="false">IF(ISBLANK(J647),,J647&amp;", ")</f>
        <v>0,</v>
      </c>
    </row>
    <row r="648" customFormat="false" ht="15.75" hidden="false" customHeight="false" outlineLevel="0" collapsed="false">
      <c r="A648" s="374"/>
      <c r="B648" s="374" t="n">
        <v>0</v>
      </c>
      <c r="D648" s="374"/>
      <c r="E648" s="374"/>
      <c r="J648" s="0" t="n">
        <v>0</v>
      </c>
      <c r="K648" s="0" t="str">
        <f aca="false">IF(ISBLANK(J648),,J648&amp;", ")</f>
        <v>0,</v>
      </c>
    </row>
    <row r="649" customFormat="false" ht="15.75" hidden="false" customHeight="false" outlineLevel="0" collapsed="false">
      <c r="A649" s="374"/>
      <c r="B649" s="374" t="n">
        <v>0</v>
      </c>
      <c r="D649" s="374"/>
      <c r="E649" s="374"/>
      <c r="J649" s="0" t="n">
        <v>0</v>
      </c>
      <c r="K649" s="0" t="str">
        <f aca="false">IF(ISBLANK(J649),,J649&amp;", ")</f>
        <v>0,</v>
      </c>
    </row>
    <row r="650" customFormat="false" ht="15.75" hidden="false" customHeight="false" outlineLevel="0" collapsed="false">
      <c r="A650" s="374"/>
      <c r="B650" s="374" t="n">
        <v>0</v>
      </c>
      <c r="D650" s="374"/>
      <c r="E650" s="374"/>
      <c r="J650" s="0" t="n">
        <v>0</v>
      </c>
      <c r="K650" s="0" t="str">
        <f aca="false">IF(ISBLANK(J650),,J650&amp;", ")</f>
        <v>0,</v>
      </c>
    </row>
    <row r="651" customFormat="false" ht="15.75" hidden="false" customHeight="false" outlineLevel="0" collapsed="false">
      <c r="A651" s="374"/>
      <c r="B651" s="374" t="n">
        <v>0</v>
      </c>
      <c r="D651" s="374"/>
      <c r="E651" s="374"/>
      <c r="J651" s="0" t="n">
        <v>0</v>
      </c>
      <c r="K651" s="0" t="str">
        <f aca="false">IF(ISBLANK(J651),,J651&amp;", ")</f>
        <v>0,</v>
      </c>
    </row>
    <row r="652" customFormat="false" ht="15.75" hidden="false" customHeight="false" outlineLevel="0" collapsed="false">
      <c r="A652" s="374"/>
      <c r="B652" s="374" t="n">
        <v>0</v>
      </c>
      <c r="D652" s="374"/>
      <c r="E652" s="374"/>
      <c r="J652" s="0" t="n">
        <v>0</v>
      </c>
      <c r="K652" s="0" t="str">
        <f aca="false">IF(ISBLANK(J652),,J652&amp;", ")</f>
        <v>0,</v>
      </c>
    </row>
    <row r="653" customFormat="false" ht="15.75" hidden="false" customHeight="false" outlineLevel="0" collapsed="false">
      <c r="A653" s="374"/>
      <c r="B653" s="374" t="n">
        <v>0</v>
      </c>
      <c r="D653" s="374"/>
      <c r="E653" s="374"/>
      <c r="J653" s="0" t="n">
        <v>0</v>
      </c>
      <c r="K653" s="0" t="str">
        <f aca="false">IF(ISBLANK(J653),,J653&amp;", ")</f>
        <v>0,</v>
      </c>
    </row>
    <row r="654" customFormat="false" ht="15.75" hidden="false" customHeight="false" outlineLevel="0" collapsed="false">
      <c r="A654" s="374"/>
      <c r="B654" s="374" t="n">
        <v>0</v>
      </c>
      <c r="D654" s="374"/>
      <c r="E654" s="374"/>
      <c r="J654" s="0" t="n">
        <v>0</v>
      </c>
      <c r="K654" s="0" t="str">
        <f aca="false">IF(ISBLANK(J654),,J654&amp;", ")</f>
        <v>0,</v>
      </c>
    </row>
    <row r="655" customFormat="false" ht="15.75" hidden="false" customHeight="false" outlineLevel="0" collapsed="false">
      <c r="A655" s="374"/>
      <c r="B655" s="374" t="n">
        <v>0</v>
      </c>
      <c r="D655" s="374"/>
      <c r="E655" s="374"/>
      <c r="J655" s="0" t="n">
        <v>0</v>
      </c>
      <c r="K655" s="0" t="str">
        <f aca="false">IF(ISBLANK(J655),,J655&amp;", ")</f>
        <v>0,</v>
      </c>
    </row>
    <row r="656" customFormat="false" ht="15.75" hidden="false" customHeight="false" outlineLevel="0" collapsed="false">
      <c r="A656" s="374"/>
      <c r="B656" s="374" t="n">
        <v>0</v>
      </c>
      <c r="D656" s="374"/>
      <c r="E656" s="374"/>
      <c r="J656" s="0" t="n">
        <v>0</v>
      </c>
      <c r="K656" s="0" t="str">
        <f aca="false">IF(ISBLANK(J656),,J656&amp;", ")</f>
        <v>0,</v>
      </c>
    </row>
    <row r="657" customFormat="false" ht="15.75" hidden="false" customHeight="false" outlineLevel="0" collapsed="false">
      <c r="A657" s="374"/>
      <c r="B657" s="374" t="n">
        <v>0</v>
      </c>
      <c r="D657" s="374"/>
      <c r="E657" s="374"/>
      <c r="J657" s="0" t="n">
        <v>0</v>
      </c>
      <c r="K657" s="0" t="str">
        <f aca="false">IF(ISBLANK(J657),,J657&amp;", ")</f>
        <v>0,</v>
      </c>
    </row>
    <row r="658" customFormat="false" ht="15.75" hidden="false" customHeight="false" outlineLevel="0" collapsed="false">
      <c r="A658" s="374"/>
      <c r="B658" s="374" t="n">
        <v>0</v>
      </c>
      <c r="D658" s="374"/>
      <c r="E658" s="374"/>
      <c r="J658" s="0" t="n">
        <v>0</v>
      </c>
      <c r="K658" s="0" t="str">
        <f aca="false">IF(ISBLANK(J658),,J658&amp;", ")</f>
        <v>0,</v>
      </c>
    </row>
    <row r="659" customFormat="false" ht="15.75" hidden="false" customHeight="false" outlineLevel="0" collapsed="false">
      <c r="A659" s="374"/>
      <c r="B659" s="374" t="n">
        <v>0</v>
      </c>
      <c r="D659" s="374"/>
      <c r="E659" s="374"/>
      <c r="J659" s="0" t="n">
        <v>0</v>
      </c>
      <c r="K659" s="0" t="str">
        <f aca="false">IF(ISBLANK(J659),,J659&amp;", ")</f>
        <v>0,</v>
      </c>
    </row>
    <row r="660" customFormat="false" ht="15.75" hidden="false" customHeight="false" outlineLevel="0" collapsed="false">
      <c r="A660" s="374"/>
      <c r="B660" s="374" t="n">
        <v>0</v>
      </c>
      <c r="D660" s="374"/>
      <c r="E660" s="374"/>
      <c r="J660" s="0" t="n">
        <v>0</v>
      </c>
      <c r="K660" s="0" t="str">
        <f aca="false">IF(ISBLANK(J660),,J660&amp;", ")</f>
        <v>0,</v>
      </c>
    </row>
    <row r="661" customFormat="false" ht="15.75" hidden="false" customHeight="false" outlineLevel="0" collapsed="false">
      <c r="A661" s="374"/>
      <c r="B661" s="374" t="n">
        <v>0</v>
      </c>
      <c r="D661" s="374"/>
      <c r="E661" s="374"/>
      <c r="J661" s="0" t="n">
        <v>0</v>
      </c>
      <c r="K661" s="0" t="str">
        <f aca="false">IF(ISBLANK(J661),,J661&amp;", ")</f>
        <v>0,</v>
      </c>
    </row>
    <row r="662" customFormat="false" ht="15.75" hidden="false" customHeight="false" outlineLevel="0" collapsed="false">
      <c r="A662" s="374"/>
      <c r="B662" s="374" t="n">
        <v>0</v>
      </c>
      <c r="D662" s="374"/>
      <c r="E662" s="374"/>
      <c r="J662" s="0" t="n">
        <v>0</v>
      </c>
      <c r="K662" s="0" t="str">
        <f aca="false">IF(ISBLANK(J662),,J662&amp;", ")</f>
        <v>0,</v>
      </c>
    </row>
    <row r="663" customFormat="false" ht="15.75" hidden="false" customHeight="false" outlineLevel="0" collapsed="false">
      <c r="A663" s="374"/>
      <c r="B663" s="374" t="n">
        <v>0</v>
      </c>
      <c r="D663" s="374"/>
      <c r="E663" s="374"/>
      <c r="J663" s="0" t="n">
        <v>0</v>
      </c>
      <c r="K663" s="0" t="str">
        <f aca="false">IF(ISBLANK(J663),,J663&amp;", ")</f>
        <v>0,</v>
      </c>
    </row>
    <row r="664" customFormat="false" ht="15.75" hidden="false" customHeight="false" outlineLevel="0" collapsed="false">
      <c r="A664" s="374"/>
      <c r="B664" s="374" t="n">
        <v>0</v>
      </c>
      <c r="D664" s="374"/>
      <c r="E664" s="374"/>
      <c r="J664" s="0" t="n">
        <v>0</v>
      </c>
      <c r="K664" s="0" t="str">
        <f aca="false">IF(ISBLANK(J664),,J664&amp;", ")</f>
        <v>0,</v>
      </c>
    </row>
    <row r="665" customFormat="false" ht="15.75" hidden="false" customHeight="false" outlineLevel="0" collapsed="false">
      <c r="A665" s="374"/>
      <c r="B665" s="374" t="n">
        <v>0</v>
      </c>
      <c r="D665" s="374"/>
      <c r="E665" s="374"/>
      <c r="J665" s="0" t="n">
        <v>0</v>
      </c>
      <c r="K665" s="0" t="str">
        <f aca="false">IF(ISBLANK(J665),,J665&amp;", ")</f>
        <v>0,</v>
      </c>
    </row>
    <row r="666" customFormat="false" ht="15.75" hidden="false" customHeight="false" outlineLevel="0" collapsed="false">
      <c r="A666" s="374"/>
      <c r="B666" s="374" t="n">
        <v>0</v>
      </c>
      <c r="D666" s="374"/>
      <c r="E666" s="374"/>
      <c r="J666" s="0" t="n">
        <v>0</v>
      </c>
      <c r="K666" s="0" t="str">
        <f aca="false">IF(ISBLANK(J666),,J666&amp;", ")</f>
        <v>0,</v>
      </c>
    </row>
    <row r="667" customFormat="false" ht="15.75" hidden="false" customHeight="false" outlineLevel="0" collapsed="false">
      <c r="A667" s="374"/>
      <c r="B667" s="374" t="n">
        <v>0</v>
      </c>
      <c r="D667" s="374"/>
      <c r="E667" s="374"/>
      <c r="J667" s="0" t="n">
        <v>0</v>
      </c>
      <c r="K667" s="0" t="str">
        <f aca="false">IF(ISBLANK(J667),,J667&amp;", ")</f>
        <v>0,</v>
      </c>
    </row>
    <row r="668" customFormat="false" ht="15.75" hidden="false" customHeight="false" outlineLevel="0" collapsed="false">
      <c r="A668" s="374"/>
      <c r="B668" s="374" t="n">
        <v>0</v>
      </c>
      <c r="D668" s="374"/>
      <c r="E668" s="374"/>
      <c r="J668" s="0" t="n">
        <v>0</v>
      </c>
      <c r="K668" s="0" t="str">
        <f aca="false">IF(ISBLANK(J668),,J668&amp;", ")</f>
        <v>0,</v>
      </c>
    </row>
    <row r="669" customFormat="false" ht="15.75" hidden="false" customHeight="false" outlineLevel="0" collapsed="false">
      <c r="A669" s="374"/>
      <c r="B669" s="374" t="n">
        <v>0</v>
      </c>
      <c r="D669" s="374"/>
      <c r="E669" s="374"/>
      <c r="J669" s="0" t="n">
        <v>0</v>
      </c>
      <c r="K669" s="0" t="str">
        <f aca="false">IF(ISBLANK(J669),,J669&amp;", ")</f>
        <v>0,</v>
      </c>
    </row>
    <row r="670" customFormat="false" ht="15.75" hidden="false" customHeight="false" outlineLevel="0" collapsed="false">
      <c r="A670" s="374"/>
      <c r="B670" s="374" t="n">
        <v>0</v>
      </c>
      <c r="D670" s="374"/>
      <c r="E670" s="374"/>
      <c r="J670" s="0" t="n">
        <v>0</v>
      </c>
      <c r="K670" s="0" t="str">
        <f aca="false">IF(ISBLANK(J670),,J670&amp;", ")</f>
        <v>0,</v>
      </c>
    </row>
    <row r="671" customFormat="false" ht="15.75" hidden="false" customHeight="false" outlineLevel="0" collapsed="false">
      <c r="A671" s="374"/>
      <c r="B671" s="374" t="n">
        <v>0</v>
      </c>
      <c r="D671" s="374"/>
      <c r="E671" s="374"/>
      <c r="J671" s="0" t="n">
        <v>0</v>
      </c>
      <c r="K671" s="0" t="str">
        <f aca="false">IF(ISBLANK(J671),,J671&amp;", ")</f>
        <v>0,</v>
      </c>
    </row>
    <row r="672" customFormat="false" ht="15.75" hidden="false" customHeight="false" outlineLevel="0" collapsed="false">
      <c r="A672" s="374"/>
      <c r="B672" s="374" t="n">
        <v>0</v>
      </c>
      <c r="D672" s="374"/>
      <c r="E672" s="374"/>
      <c r="J672" s="0" t="n">
        <v>0</v>
      </c>
      <c r="K672" s="0" t="str">
        <f aca="false">IF(ISBLANK(J672),,J672&amp;", ")</f>
        <v>0,</v>
      </c>
    </row>
    <row r="673" customFormat="false" ht="15.75" hidden="false" customHeight="false" outlineLevel="0" collapsed="false">
      <c r="A673" s="374"/>
      <c r="B673" s="374" t="n">
        <v>0</v>
      </c>
      <c r="D673" s="374"/>
      <c r="E673" s="374"/>
      <c r="J673" s="0" t="n">
        <v>0</v>
      </c>
      <c r="K673" s="0" t="str">
        <f aca="false">IF(ISBLANK(J673),,J673&amp;", ")</f>
        <v>0,</v>
      </c>
    </row>
    <row r="674" customFormat="false" ht="15.75" hidden="false" customHeight="false" outlineLevel="0" collapsed="false">
      <c r="A674" s="374"/>
      <c r="B674" s="374" t="n">
        <v>0</v>
      </c>
      <c r="D674" s="374"/>
      <c r="E674" s="374"/>
      <c r="J674" s="0" t="n">
        <v>0</v>
      </c>
      <c r="K674" s="0" t="str">
        <f aca="false">IF(ISBLANK(J674),,J674&amp;", ")</f>
        <v>0,</v>
      </c>
    </row>
    <row r="675" customFormat="false" ht="15.75" hidden="false" customHeight="false" outlineLevel="0" collapsed="false">
      <c r="A675" s="374"/>
      <c r="B675" s="374" t="n">
        <v>0</v>
      </c>
      <c r="D675" s="374"/>
      <c r="E675" s="374"/>
      <c r="J675" s="0" t="n">
        <v>0</v>
      </c>
      <c r="K675" s="0" t="str">
        <f aca="false">IF(ISBLANK(J675),,J675&amp;", ")</f>
        <v>0,</v>
      </c>
    </row>
    <row r="676" customFormat="false" ht="15.75" hidden="false" customHeight="false" outlineLevel="0" collapsed="false">
      <c r="A676" s="374"/>
      <c r="B676" s="374" t="n">
        <v>0</v>
      </c>
      <c r="D676" s="374"/>
      <c r="E676" s="374"/>
      <c r="J676" s="0" t="n">
        <v>0</v>
      </c>
      <c r="K676" s="0" t="str">
        <f aca="false">IF(ISBLANK(J676),,J676&amp;", ")</f>
        <v>0,</v>
      </c>
    </row>
    <row r="677" customFormat="false" ht="15.75" hidden="false" customHeight="false" outlineLevel="0" collapsed="false">
      <c r="A677" s="374"/>
      <c r="B677" s="374" t="n">
        <v>0</v>
      </c>
      <c r="D677" s="374"/>
      <c r="E677" s="374"/>
      <c r="J677" s="0" t="n">
        <v>0</v>
      </c>
      <c r="K677" s="0" t="str">
        <f aca="false">IF(ISBLANK(J677),,J677&amp;", ")</f>
        <v>0,</v>
      </c>
    </row>
    <row r="678" customFormat="false" ht="15.75" hidden="false" customHeight="false" outlineLevel="0" collapsed="false">
      <c r="A678" s="374"/>
      <c r="B678" s="374" t="n">
        <v>0</v>
      </c>
      <c r="D678" s="374"/>
      <c r="E678" s="374"/>
      <c r="J678" s="0" t="n">
        <v>0</v>
      </c>
      <c r="K678" s="0" t="str">
        <f aca="false">IF(ISBLANK(J678),,J678&amp;", ")</f>
        <v>0,</v>
      </c>
    </row>
    <row r="679" customFormat="false" ht="15.75" hidden="false" customHeight="false" outlineLevel="0" collapsed="false">
      <c r="A679" s="374"/>
      <c r="B679" s="374" t="n">
        <v>0</v>
      </c>
      <c r="D679" s="374"/>
      <c r="E679" s="374"/>
      <c r="J679" s="0" t="n">
        <v>0</v>
      </c>
      <c r="K679" s="0" t="str">
        <f aca="false">IF(ISBLANK(J679),,J679&amp;", ")</f>
        <v>0,</v>
      </c>
    </row>
    <row r="680" customFormat="false" ht="15.75" hidden="false" customHeight="false" outlineLevel="0" collapsed="false">
      <c r="A680" s="374"/>
      <c r="B680" s="374" t="n">
        <v>0</v>
      </c>
      <c r="D680" s="374"/>
      <c r="E680" s="374"/>
      <c r="J680" s="0" t="n">
        <v>0</v>
      </c>
      <c r="K680" s="0" t="str">
        <f aca="false">IF(ISBLANK(J680),,J680&amp;", ")</f>
        <v>0,</v>
      </c>
    </row>
    <row r="681" customFormat="false" ht="15.75" hidden="false" customHeight="false" outlineLevel="0" collapsed="false">
      <c r="A681" s="374"/>
      <c r="B681" s="374" t="n">
        <v>0</v>
      </c>
      <c r="D681" s="374"/>
      <c r="E681" s="374"/>
      <c r="J681" s="0" t="n">
        <v>0</v>
      </c>
      <c r="K681" s="0" t="str">
        <f aca="false">IF(ISBLANK(J681),,J681&amp;", ")</f>
        <v>0,</v>
      </c>
    </row>
    <row r="682" customFormat="false" ht="15.75" hidden="false" customHeight="false" outlineLevel="0" collapsed="false">
      <c r="A682" s="374"/>
      <c r="B682" s="374" t="n">
        <v>0</v>
      </c>
      <c r="D682" s="374"/>
      <c r="E682" s="374"/>
      <c r="J682" s="0" t="n">
        <v>0</v>
      </c>
      <c r="K682" s="0" t="str">
        <f aca="false">IF(ISBLANK(J682),,J682&amp;", ")</f>
        <v>0,</v>
      </c>
    </row>
    <row r="683" customFormat="false" ht="15.75" hidden="false" customHeight="false" outlineLevel="0" collapsed="false">
      <c r="A683" s="374"/>
      <c r="B683" s="374" t="n">
        <v>0</v>
      </c>
      <c r="D683" s="374"/>
      <c r="E683" s="374"/>
      <c r="J683" s="0" t="n">
        <v>0</v>
      </c>
      <c r="K683" s="0" t="str">
        <f aca="false">IF(ISBLANK(J683),,J683&amp;", ")</f>
        <v>0,</v>
      </c>
    </row>
    <row r="684" customFormat="false" ht="15.75" hidden="false" customHeight="false" outlineLevel="0" collapsed="false">
      <c r="A684" s="374"/>
      <c r="B684" s="374" t="n">
        <v>0</v>
      </c>
      <c r="D684" s="374"/>
      <c r="E684" s="374"/>
      <c r="J684" s="0" t="n">
        <v>0</v>
      </c>
      <c r="K684" s="0" t="str">
        <f aca="false">IF(ISBLANK(J684),,J684&amp;", ")</f>
        <v>0,</v>
      </c>
    </row>
    <row r="685" customFormat="false" ht="15.75" hidden="false" customHeight="false" outlineLevel="0" collapsed="false">
      <c r="A685" s="374"/>
      <c r="B685" s="374" t="n">
        <v>0</v>
      </c>
      <c r="D685" s="374"/>
      <c r="E685" s="374"/>
      <c r="J685" s="0" t="n">
        <v>0</v>
      </c>
      <c r="K685" s="0" t="str">
        <f aca="false">IF(ISBLANK(J685),,J685&amp;", ")</f>
        <v>0,</v>
      </c>
    </row>
    <row r="686" customFormat="false" ht="15.75" hidden="false" customHeight="false" outlineLevel="0" collapsed="false">
      <c r="A686" s="374"/>
      <c r="B686" s="374" t="n">
        <v>0</v>
      </c>
      <c r="D686" s="374"/>
      <c r="E686" s="374"/>
      <c r="J686" s="0" t="n">
        <v>0</v>
      </c>
      <c r="K686" s="0" t="str">
        <f aca="false">IF(ISBLANK(J686),,J686&amp;", ")</f>
        <v>0,</v>
      </c>
    </row>
    <row r="687" customFormat="false" ht="15.75" hidden="false" customHeight="false" outlineLevel="0" collapsed="false">
      <c r="A687" s="374"/>
      <c r="B687" s="374" t="n">
        <v>0</v>
      </c>
      <c r="D687" s="374"/>
      <c r="E687" s="374"/>
      <c r="J687" s="0" t="n">
        <v>0</v>
      </c>
      <c r="K687" s="0" t="str">
        <f aca="false">IF(ISBLANK(J687),,J687&amp;", ")</f>
        <v>0,</v>
      </c>
    </row>
    <row r="688" customFormat="false" ht="15.75" hidden="false" customHeight="false" outlineLevel="0" collapsed="false">
      <c r="A688" s="374"/>
      <c r="B688" s="374" t="n">
        <v>0</v>
      </c>
      <c r="D688" s="374"/>
      <c r="E688" s="374"/>
      <c r="J688" s="0" t="n">
        <v>0</v>
      </c>
      <c r="K688" s="0" t="str">
        <f aca="false">IF(ISBLANK(J688),,J688&amp;", ")</f>
        <v>0,</v>
      </c>
    </row>
    <row r="689" customFormat="false" ht="15.75" hidden="false" customHeight="false" outlineLevel="0" collapsed="false">
      <c r="A689" s="374"/>
      <c r="B689" s="374" t="n">
        <v>0</v>
      </c>
      <c r="D689" s="374"/>
      <c r="E689" s="374"/>
      <c r="J689" s="0" t="n">
        <v>0</v>
      </c>
      <c r="K689" s="0" t="str">
        <f aca="false">IF(ISBLANK(J689),,J689&amp;", ")</f>
        <v>0,</v>
      </c>
    </row>
    <row r="690" customFormat="false" ht="15.75" hidden="false" customHeight="false" outlineLevel="0" collapsed="false">
      <c r="A690" s="374"/>
      <c r="B690" s="374" t="n">
        <v>0</v>
      </c>
      <c r="D690" s="374"/>
      <c r="E690" s="374"/>
      <c r="J690" s="0" t="n">
        <v>0</v>
      </c>
      <c r="K690" s="0" t="str">
        <f aca="false">IF(ISBLANK(J690),,J690&amp;", ")</f>
        <v>0,</v>
      </c>
    </row>
    <row r="691" customFormat="false" ht="15.75" hidden="false" customHeight="false" outlineLevel="0" collapsed="false">
      <c r="A691" s="374"/>
      <c r="B691" s="374" t="n">
        <v>0</v>
      </c>
      <c r="D691" s="374"/>
      <c r="E691" s="374"/>
      <c r="J691" s="0" t="n">
        <v>0</v>
      </c>
      <c r="K691" s="0" t="str">
        <f aca="false">IF(ISBLANK(J691),,J691&amp;", ")</f>
        <v>0,</v>
      </c>
    </row>
    <row r="692" customFormat="false" ht="15.75" hidden="false" customHeight="false" outlineLevel="0" collapsed="false">
      <c r="A692" s="374"/>
      <c r="B692" s="374" t="n">
        <v>0</v>
      </c>
      <c r="D692" s="374"/>
      <c r="E692" s="374"/>
      <c r="J692" s="0" t="n">
        <v>0</v>
      </c>
      <c r="K692" s="0" t="str">
        <f aca="false">IF(ISBLANK(J692),,J692&amp;", ")</f>
        <v>0,</v>
      </c>
    </row>
    <row r="693" customFormat="false" ht="15.75" hidden="false" customHeight="false" outlineLevel="0" collapsed="false">
      <c r="A693" s="374"/>
      <c r="B693" s="374" t="n">
        <v>0</v>
      </c>
      <c r="D693" s="374"/>
      <c r="E693" s="374"/>
      <c r="J693" s="0" t="n">
        <v>0</v>
      </c>
      <c r="K693" s="0" t="str">
        <f aca="false">IF(ISBLANK(J693),,J693&amp;", ")</f>
        <v>0,</v>
      </c>
    </row>
    <row r="694" customFormat="false" ht="15.75" hidden="false" customHeight="false" outlineLevel="0" collapsed="false">
      <c r="A694" s="374"/>
      <c r="B694" s="374" t="n">
        <v>0</v>
      </c>
      <c r="D694" s="374"/>
      <c r="E694" s="374"/>
      <c r="J694" s="0" t="n">
        <v>0</v>
      </c>
      <c r="K694" s="0" t="str">
        <f aca="false">IF(ISBLANK(J694),,J694&amp;", ")</f>
        <v>0,</v>
      </c>
    </row>
    <row r="695" customFormat="false" ht="15.75" hidden="false" customHeight="false" outlineLevel="0" collapsed="false">
      <c r="A695" s="374"/>
      <c r="B695" s="374" t="n">
        <v>0</v>
      </c>
      <c r="D695" s="374"/>
      <c r="E695" s="374"/>
      <c r="J695" s="0" t="n">
        <v>0</v>
      </c>
      <c r="K695" s="0" t="str">
        <f aca="false">IF(ISBLANK(J695),,J695&amp;", ")</f>
        <v>0,</v>
      </c>
    </row>
    <row r="696" customFormat="false" ht="15.75" hidden="false" customHeight="false" outlineLevel="0" collapsed="false">
      <c r="A696" s="374"/>
      <c r="B696" s="374" t="n">
        <v>0</v>
      </c>
      <c r="D696" s="374"/>
      <c r="E696" s="374"/>
      <c r="J696" s="0" t="n">
        <v>0</v>
      </c>
      <c r="K696" s="0" t="str">
        <f aca="false">IF(ISBLANK(J696),,J696&amp;", ")</f>
        <v>0,</v>
      </c>
    </row>
    <row r="697" customFormat="false" ht="15.75" hidden="false" customHeight="false" outlineLevel="0" collapsed="false">
      <c r="A697" s="374"/>
      <c r="B697" s="374" t="n">
        <v>0</v>
      </c>
      <c r="D697" s="374"/>
      <c r="E697" s="374"/>
      <c r="J697" s="0" t="n">
        <v>0</v>
      </c>
      <c r="K697" s="0" t="str">
        <f aca="false">IF(ISBLANK(J697),,J697&amp;", ")</f>
        <v>0,</v>
      </c>
    </row>
    <row r="698" customFormat="false" ht="15.75" hidden="false" customHeight="false" outlineLevel="0" collapsed="false">
      <c r="A698" s="374"/>
      <c r="B698" s="374" t="n">
        <v>0</v>
      </c>
      <c r="D698" s="374"/>
      <c r="E698" s="374"/>
      <c r="J698" s="0" t="n">
        <v>0</v>
      </c>
      <c r="K698" s="0" t="str">
        <f aca="false">IF(ISBLANK(J698),,J698&amp;", ")</f>
        <v>0,</v>
      </c>
    </row>
    <row r="699" customFormat="false" ht="15.75" hidden="false" customHeight="false" outlineLevel="0" collapsed="false">
      <c r="A699" s="374"/>
      <c r="B699" s="374" t="n">
        <v>0</v>
      </c>
      <c r="D699" s="374"/>
      <c r="E699" s="374"/>
      <c r="J699" s="0" t="n">
        <v>0</v>
      </c>
      <c r="K699" s="0" t="str">
        <f aca="false">IF(ISBLANK(J699),,J699&amp;", ")</f>
        <v>0,</v>
      </c>
    </row>
    <row r="700" customFormat="false" ht="15.75" hidden="false" customHeight="false" outlineLevel="0" collapsed="false">
      <c r="A700" s="374"/>
      <c r="B700" s="374" t="n">
        <v>0</v>
      </c>
      <c r="D700" s="374"/>
      <c r="E700" s="374"/>
      <c r="J700" s="0" t="n">
        <v>0</v>
      </c>
      <c r="K700" s="0" t="str">
        <f aca="false">IF(ISBLANK(J700),,J700&amp;", ")</f>
        <v>0,</v>
      </c>
    </row>
    <row r="701" customFormat="false" ht="15.75" hidden="false" customHeight="false" outlineLevel="0" collapsed="false">
      <c r="A701" s="374"/>
      <c r="B701" s="374" t="n">
        <v>0</v>
      </c>
      <c r="D701" s="374"/>
      <c r="E701" s="374"/>
      <c r="J701" s="0" t="n">
        <v>0</v>
      </c>
      <c r="K701" s="0" t="str">
        <f aca="false">IF(ISBLANK(J701),,J701&amp;", ")</f>
        <v>0,</v>
      </c>
    </row>
    <row r="702" customFormat="false" ht="15.75" hidden="false" customHeight="false" outlineLevel="0" collapsed="false">
      <c r="A702" s="374"/>
      <c r="B702" s="374" t="n">
        <v>0</v>
      </c>
      <c r="D702" s="374"/>
      <c r="E702" s="374"/>
      <c r="J702" s="0" t="n">
        <v>0</v>
      </c>
      <c r="K702" s="0" t="str">
        <f aca="false">IF(ISBLANK(J702),,J702&amp;", ")</f>
        <v>0,</v>
      </c>
    </row>
    <row r="703" customFormat="false" ht="15.75" hidden="false" customHeight="false" outlineLevel="0" collapsed="false">
      <c r="A703" s="374"/>
      <c r="B703" s="374" t="n">
        <v>0</v>
      </c>
      <c r="D703" s="374"/>
      <c r="E703" s="374"/>
      <c r="J703" s="0" t="n">
        <v>0</v>
      </c>
      <c r="K703" s="0" t="str">
        <f aca="false">IF(ISBLANK(J703),,J703&amp;", ")</f>
        <v>0,</v>
      </c>
    </row>
    <row r="704" customFormat="false" ht="15.75" hidden="false" customHeight="false" outlineLevel="0" collapsed="false">
      <c r="A704" s="374"/>
      <c r="B704" s="374" t="n">
        <v>0</v>
      </c>
      <c r="D704" s="374"/>
      <c r="E704" s="374"/>
      <c r="J704" s="0" t="n">
        <v>0</v>
      </c>
      <c r="K704" s="0" t="str">
        <f aca="false">IF(ISBLANK(J704),,J704&amp;", ")</f>
        <v>0,</v>
      </c>
    </row>
    <row r="705" customFormat="false" ht="15.75" hidden="false" customHeight="false" outlineLevel="0" collapsed="false">
      <c r="A705" s="374"/>
      <c r="B705" s="374" t="n">
        <v>0</v>
      </c>
      <c r="D705" s="374"/>
      <c r="E705" s="374"/>
      <c r="J705" s="0" t="n">
        <v>0</v>
      </c>
      <c r="K705" s="0" t="str">
        <f aca="false">IF(ISBLANK(J705),,J705&amp;", ")</f>
        <v>0,</v>
      </c>
    </row>
    <row r="706" customFormat="false" ht="15.75" hidden="false" customHeight="false" outlineLevel="0" collapsed="false">
      <c r="A706" s="374"/>
      <c r="B706" s="374" t="n">
        <v>0</v>
      </c>
      <c r="D706" s="374"/>
      <c r="E706" s="374"/>
      <c r="J706" s="0" t="n">
        <v>0</v>
      </c>
      <c r="K706" s="0" t="str">
        <f aca="false">IF(ISBLANK(J706),,J706&amp;", ")</f>
        <v>0,</v>
      </c>
    </row>
    <row r="707" customFormat="false" ht="15.75" hidden="false" customHeight="false" outlineLevel="0" collapsed="false">
      <c r="A707" s="374"/>
      <c r="B707" s="374" t="n">
        <v>0</v>
      </c>
      <c r="D707" s="374"/>
      <c r="E707" s="374"/>
      <c r="J707" s="0" t="n">
        <v>0</v>
      </c>
      <c r="K707" s="0" t="str">
        <f aca="false">IF(ISBLANK(J707),,J707&amp;", ")</f>
        <v>0,</v>
      </c>
    </row>
    <row r="708" customFormat="false" ht="15.75" hidden="false" customHeight="false" outlineLevel="0" collapsed="false">
      <c r="A708" s="374"/>
      <c r="B708" s="374" t="n">
        <v>0</v>
      </c>
      <c r="D708" s="374"/>
      <c r="E708" s="374"/>
      <c r="J708" s="0" t="n">
        <v>0</v>
      </c>
      <c r="K708" s="0" t="str">
        <f aca="false">IF(ISBLANK(J708),,J708&amp;", ")</f>
        <v>0,</v>
      </c>
    </row>
    <row r="709" customFormat="false" ht="15.75" hidden="false" customHeight="false" outlineLevel="0" collapsed="false">
      <c r="A709" s="374"/>
      <c r="B709" s="374" t="n">
        <v>0</v>
      </c>
      <c r="D709" s="374"/>
      <c r="E709" s="374"/>
      <c r="J709" s="0" t="n">
        <v>0</v>
      </c>
      <c r="K709" s="0" t="str">
        <f aca="false">IF(ISBLANK(J709),,J709&amp;", ")</f>
        <v>0,</v>
      </c>
    </row>
    <row r="710" customFormat="false" ht="15.75" hidden="false" customHeight="false" outlineLevel="0" collapsed="false">
      <c r="A710" s="374"/>
      <c r="B710" s="374" t="n">
        <v>0</v>
      </c>
      <c r="D710" s="374"/>
      <c r="E710" s="374"/>
      <c r="J710" s="0" t="n">
        <v>0</v>
      </c>
      <c r="K710" s="0" t="str">
        <f aca="false">IF(ISBLANK(J710),,J710&amp;", ")</f>
        <v>0,</v>
      </c>
    </row>
    <row r="711" customFormat="false" ht="15.75" hidden="false" customHeight="false" outlineLevel="0" collapsed="false">
      <c r="A711" s="374"/>
      <c r="B711" s="374" t="n">
        <v>0</v>
      </c>
      <c r="D711" s="374"/>
      <c r="E711" s="374"/>
      <c r="J711" s="0" t="n">
        <v>0</v>
      </c>
      <c r="K711" s="0" t="str">
        <f aca="false">IF(ISBLANK(J711),,J711&amp;", ")</f>
        <v>0,</v>
      </c>
    </row>
    <row r="712" customFormat="false" ht="15.75" hidden="false" customHeight="false" outlineLevel="0" collapsed="false">
      <c r="A712" s="374"/>
      <c r="B712" s="374" t="n">
        <v>0</v>
      </c>
      <c r="D712" s="374"/>
      <c r="E712" s="374"/>
      <c r="J712" s="0" t="n">
        <v>0</v>
      </c>
      <c r="K712" s="0" t="str">
        <f aca="false">IF(ISBLANK(J712),,J712&amp;", ")</f>
        <v>0,</v>
      </c>
    </row>
    <row r="713" customFormat="false" ht="15.75" hidden="false" customHeight="false" outlineLevel="0" collapsed="false">
      <c r="A713" s="374"/>
      <c r="B713" s="374" t="n">
        <v>0</v>
      </c>
      <c r="D713" s="374"/>
      <c r="E713" s="374"/>
      <c r="J713" s="0" t="n">
        <v>0</v>
      </c>
      <c r="K713" s="0" t="str">
        <f aca="false">IF(ISBLANK(J713),,J713&amp;", ")</f>
        <v>0,</v>
      </c>
    </row>
    <row r="714" customFormat="false" ht="15.75" hidden="false" customHeight="false" outlineLevel="0" collapsed="false">
      <c r="A714" s="374"/>
      <c r="B714" s="374" t="n">
        <v>0</v>
      </c>
      <c r="D714" s="374"/>
      <c r="E714" s="374"/>
      <c r="J714" s="0" t="n">
        <v>0</v>
      </c>
      <c r="K714" s="0" t="str">
        <f aca="false">IF(ISBLANK(J714),,J714&amp;", ")</f>
        <v>0,</v>
      </c>
    </row>
    <row r="715" customFormat="false" ht="15.75" hidden="false" customHeight="false" outlineLevel="0" collapsed="false">
      <c r="A715" s="374"/>
      <c r="B715" s="374" t="n">
        <v>0</v>
      </c>
      <c r="D715" s="374"/>
      <c r="E715" s="374"/>
      <c r="J715" s="0" t="n">
        <v>0</v>
      </c>
      <c r="K715" s="0" t="str">
        <f aca="false">IF(ISBLANK(J715),,J715&amp;", ")</f>
        <v>0,</v>
      </c>
    </row>
    <row r="716" customFormat="false" ht="15.75" hidden="false" customHeight="false" outlineLevel="0" collapsed="false">
      <c r="A716" s="374"/>
      <c r="B716" s="374" t="n">
        <v>0</v>
      </c>
      <c r="D716" s="374"/>
      <c r="E716" s="374"/>
      <c r="J716" s="0" t="n">
        <v>0</v>
      </c>
      <c r="K716" s="0" t="str">
        <f aca="false">IF(ISBLANK(J716),,J716&amp;", ")</f>
        <v>0,</v>
      </c>
    </row>
    <row r="717" customFormat="false" ht="15.75" hidden="false" customHeight="false" outlineLevel="0" collapsed="false">
      <c r="A717" s="374"/>
      <c r="B717" s="374" t="n">
        <v>0</v>
      </c>
      <c r="D717" s="374"/>
      <c r="E717" s="374"/>
      <c r="J717" s="0" t="n">
        <v>0</v>
      </c>
      <c r="K717" s="0" t="str">
        <f aca="false">IF(ISBLANK(J717),,J717&amp;", ")</f>
        <v>0,</v>
      </c>
    </row>
    <row r="718" customFormat="false" ht="15.75" hidden="false" customHeight="false" outlineLevel="0" collapsed="false">
      <c r="A718" s="374"/>
      <c r="B718" s="374" t="n">
        <v>0</v>
      </c>
      <c r="D718" s="374"/>
      <c r="E718" s="374"/>
      <c r="J718" s="0" t="n">
        <v>0</v>
      </c>
      <c r="K718" s="0" t="str">
        <f aca="false">IF(ISBLANK(J718),,J718&amp;", ")</f>
        <v>0,</v>
      </c>
    </row>
    <row r="719" customFormat="false" ht="15.75" hidden="false" customHeight="false" outlineLevel="0" collapsed="false">
      <c r="A719" s="374"/>
      <c r="B719" s="374" t="n">
        <v>0</v>
      </c>
      <c r="D719" s="374"/>
      <c r="E719" s="374"/>
      <c r="J719" s="0" t="n">
        <v>0</v>
      </c>
      <c r="K719" s="0" t="str">
        <f aca="false">IF(ISBLANK(J719),,J719&amp;", ")</f>
        <v>0,</v>
      </c>
    </row>
    <row r="720" customFormat="false" ht="15.75" hidden="false" customHeight="false" outlineLevel="0" collapsed="false">
      <c r="A720" s="374"/>
      <c r="B720" s="374" t="n">
        <v>0</v>
      </c>
      <c r="D720" s="374"/>
      <c r="E720" s="374"/>
      <c r="J720" s="0" t="n">
        <v>0</v>
      </c>
      <c r="K720" s="0" t="str">
        <f aca="false">IF(ISBLANK(J720),,J720&amp;", ")</f>
        <v>0,</v>
      </c>
    </row>
    <row r="721" customFormat="false" ht="15.75" hidden="false" customHeight="false" outlineLevel="0" collapsed="false">
      <c r="A721" s="374"/>
      <c r="B721" s="374" t="n">
        <v>0</v>
      </c>
      <c r="D721" s="374"/>
      <c r="E721" s="374"/>
      <c r="J721" s="0" t="n">
        <v>0</v>
      </c>
      <c r="K721" s="0" t="str">
        <f aca="false">IF(ISBLANK(J721),,J721&amp;", ")</f>
        <v>0,</v>
      </c>
    </row>
    <row r="722" customFormat="false" ht="15.75" hidden="false" customHeight="false" outlineLevel="0" collapsed="false">
      <c r="A722" s="374"/>
      <c r="B722" s="374" t="n">
        <v>0</v>
      </c>
      <c r="D722" s="374"/>
      <c r="E722" s="374"/>
      <c r="J722" s="0" t="n">
        <v>0</v>
      </c>
      <c r="K722" s="0" t="str">
        <f aca="false">IF(ISBLANK(J722),,J722&amp;", ")</f>
        <v>0,</v>
      </c>
    </row>
    <row r="723" customFormat="false" ht="15.75" hidden="false" customHeight="false" outlineLevel="0" collapsed="false">
      <c r="A723" s="374"/>
      <c r="B723" s="374" t="n">
        <v>0</v>
      </c>
      <c r="D723" s="374"/>
      <c r="E723" s="374"/>
      <c r="J723" s="0" t="n">
        <v>0</v>
      </c>
      <c r="K723" s="0" t="str">
        <f aca="false">IF(ISBLANK(J723),,J723&amp;", ")</f>
        <v>0,</v>
      </c>
    </row>
    <row r="724" customFormat="false" ht="15.75" hidden="false" customHeight="false" outlineLevel="0" collapsed="false">
      <c r="A724" s="374"/>
      <c r="B724" s="374" t="n">
        <v>0</v>
      </c>
      <c r="D724" s="374"/>
      <c r="E724" s="374"/>
      <c r="J724" s="0" t="n">
        <v>0</v>
      </c>
      <c r="K724" s="0" t="str">
        <f aca="false">IF(ISBLANK(J724),,J724&amp;", ")</f>
        <v>0,</v>
      </c>
    </row>
    <row r="725" customFormat="false" ht="15.75" hidden="false" customHeight="false" outlineLevel="0" collapsed="false">
      <c r="A725" s="374"/>
      <c r="B725" s="374" t="n">
        <v>0</v>
      </c>
      <c r="D725" s="374"/>
      <c r="E725" s="374"/>
      <c r="J725" s="0" t="n">
        <v>0</v>
      </c>
      <c r="K725" s="0" t="str">
        <f aca="false">IF(ISBLANK(J725),,J725&amp;", ")</f>
        <v>0,</v>
      </c>
    </row>
    <row r="726" customFormat="false" ht="15.75" hidden="false" customHeight="false" outlineLevel="0" collapsed="false">
      <c r="A726" s="374"/>
      <c r="B726" s="374" t="n">
        <v>0</v>
      </c>
      <c r="D726" s="374"/>
      <c r="E726" s="374"/>
      <c r="J726" s="0" t="n">
        <v>0</v>
      </c>
      <c r="K726" s="0" t="str">
        <f aca="false">IF(ISBLANK(J726),,J726&amp;", ")</f>
        <v>0,</v>
      </c>
    </row>
    <row r="727" customFormat="false" ht="15.75" hidden="false" customHeight="false" outlineLevel="0" collapsed="false">
      <c r="A727" s="374"/>
      <c r="B727" s="374" t="n">
        <v>0</v>
      </c>
      <c r="D727" s="374"/>
      <c r="E727" s="374"/>
      <c r="J727" s="0" t="n">
        <v>0</v>
      </c>
      <c r="K727" s="0" t="str">
        <f aca="false">IF(ISBLANK(J727),,J727&amp;", ")</f>
        <v>0,</v>
      </c>
    </row>
    <row r="728" customFormat="false" ht="15.75" hidden="false" customHeight="false" outlineLevel="0" collapsed="false">
      <c r="A728" s="374"/>
      <c r="B728" s="374" t="n">
        <v>0</v>
      </c>
      <c r="D728" s="374"/>
      <c r="E728" s="374"/>
      <c r="J728" s="0" t="n">
        <v>0</v>
      </c>
      <c r="K728" s="0" t="str">
        <f aca="false">IF(ISBLANK(J728),,J728&amp;", ")</f>
        <v>0,</v>
      </c>
    </row>
    <row r="729" customFormat="false" ht="15.75" hidden="false" customHeight="false" outlineLevel="0" collapsed="false">
      <c r="A729" s="374"/>
      <c r="B729" s="374" t="n">
        <v>0</v>
      </c>
      <c r="D729" s="374"/>
      <c r="E729" s="374"/>
      <c r="J729" s="0" t="n">
        <v>0</v>
      </c>
      <c r="K729" s="0" t="str">
        <f aca="false">IF(ISBLANK(J729),,J729&amp;", ")</f>
        <v>0,</v>
      </c>
    </row>
    <row r="730" customFormat="false" ht="15.75" hidden="false" customHeight="false" outlineLevel="0" collapsed="false">
      <c r="A730" s="374"/>
      <c r="B730" s="374" t="n">
        <v>0</v>
      </c>
      <c r="D730" s="374"/>
      <c r="E730" s="374"/>
      <c r="J730" s="0" t="n">
        <v>0</v>
      </c>
      <c r="K730" s="0" t="str">
        <f aca="false">IF(ISBLANK(J730),,J730&amp;", ")</f>
        <v>0,</v>
      </c>
    </row>
    <row r="731" customFormat="false" ht="15.75" hidden="false" customHeight="false" outlineLevel="0" collapsed="false">
      <c r="A731" s="374"/>
      <c r="B731" s="374" t="n">
        <v>0</v>
      </c>
      <c r="D731" s="374"/>
      <c r="E731" s="374"/>
      <c r="J731" s="0" t="n">
        <v>0</v>
      </c>
      <c r="K731" s="0" t="str">
        <f aca="false">IF(ISBLANK(J731),,J731&amp;", ")</f>
        <v>0,</v>
      </c>
    </row>
    <row r="732" customFormat="false" ht="15.75" hidden="false" customHeight="false" outlineLevel="0" collapsed="false">
      <c r="A732" s="374"/>
      <c r="B732" s="374" t="n">
        <v>0</v>
      </c>
      <c r="D732" s="374"/>
      <c r="E732" s="374"/>
      <c r="J732" s="0" t="n">
        <v>0</v>
      </c>
      <c r="K732" s="0" t="str">
        <f aca="false">IF(ISBLANK(J732),,J732&amp;", ")</f>
        <v>0,</v>
      </c>
    </row>
    <row r="733" customFormat="false" ht="15.75" hidden="false" customHeight="false" outlineLevel="0" collapsed="false">
      <c r="A733" s="374"/>
      <c r="B733" s="374" t="n">
        <v>0</v>
      </c>
      <c r="D733" s="374"/>
      <c r="E733" s="374"/>
      <c r="J733" s="0" t="n">
        <v>0</v>
      </c>
      <c r="K733" s="0" t="str">
        <f aca="false">IF(ISBLANK(J733),,J733&amp;", ")</f>
        <v>0,</v>
      </c>
    </row>
    <row r="734" customFormat="false" ht="15.75" hidden="false" customHeight="false" outlineLevel="0" collapsed="false">
      <c r="A734" s="374"/>
      <c r="B734" s="374" t="n">
        <v>0</v>
      </c>
      <c r="D734" s="374"/>
      <c r="E734" s="374"/>
      <c r="J734" s="0" t="n">
        <v>0</v>
      </c>
      <c r="K734" s="0" t="str">
        <f aca="false">IF(ISBLANK(J734),,J734&amp;", ")</f>
        <v>0,</v>
      </c>
    </row>
    <row r="735" customFormat="false" ht="15.75" hidden="false" customHeight="false" outlineLevel="0" collapsed="false">
      <c r="A735" s="374"/>
      <c r="B735" s="374" t="n">
        <v>0</v>
      </c>
      <c r="D735" s="374"/>
      <c r="E735" s="374"/>
      <c r="J735" s="0" t="n">
        <v>0</v>
      </c>
      <c r="K735" s="0" t="str">
        <f aca="false">IF(ISBLANK(J735),,J735&amp;", ")</f>
        <v>0,</v>
      </c>
    </row>
    <row r="736" customFormat="false" ht="15.75" hidden="false" customHeight="false" outlineLevel="0" collapsed="false">
      <c r="A736" s="374"/>
      <c r="B736" s="374" t="n">
        <v>0</v>
      </c>
      <c r="D736" s="374"/>
      <c r="E736" s="374"/>
      <c r="J736" s="0" t="n">
        <v>0</v>
      </c>
      <c r="K736" s="0" t="str">
        <f aca="false">IF(ISBLANK(J736),,J736&amp;", ")</f>
        <v>0,</v>
      </c>
    </row>
    <row r="737" customFormat="false" ht="15.75" hidden="false" customHeight="false" outlineLevel="0" collapsed="false">
      <c r="A737" s="374"/>
      <c r="B737" s="374" t="n">
        <v>0</v>
      </c>
      <c r="D737" s="374"/>
      <c r="E737" s="374"/>
      <c r="J737" s="0" t="n">
        <v>0</v>
      </c>
      <c r="K737" s="0" t="str">
        <f aca="false">IF(ISBLANK(J737),,J737&amp;", ")</f>
        <v>0,</v>
      </c>
    </row>
    <row r="738" customFormat="false" ht="15.75" hidden="false" customHeight="false" outlineLevel="0" collapsed="false">
      <c r="A738" s="374"/>
      <c r="B738" s="374" t="n">
        <v>0</v>
      </c>
      <c r="D738" s="374"/>
      <c r="E738" s="374"/>
      <c r="J738" s="0" t="n">
        <v>0</v>
      </c>
      <c r="K738" s="0" t="str">
        <f aca="false">IF(ISBLANK(J738),,J738&amp;", ")</f>
        <v>0,</v>
      </c>
    </row>
    <row r="739" customFormat="false" ht="15.75" hidden="false" customHeight="false" outlineLevel="0" collapsed="false">
      <c r="A739" s="374"/>
      <c r="B739" s="374" t="n">
        <v>0</v>
      </c>
      <c r="D739" s="374"/>
      <c r="E739" s="374"/>
      <c r="J739" s="0" t="n">
        <v>0</v>
      </c>
      <c r="K739" s="0" t="str">
        <f aca="false">IF(ISBLANK(J739),,J739&amp;", ")</f>
        <v>0,</v>
      </c>
    </row>
    <row r="740" customFormat="false" ht="15.75" hidden="false" customHeight="false" outlineLevel="0" collapsed="false">
      <c r="A740" s="374"/>
      <c r="B740" s="374" t="n">
        <v>0</v>
      </c>
      <c r="D740" s="374"/>
      <c r="E740" s="374"/>
      <c r="J740" s="0" t="n">
        <v>0</v>
      </c>
      <c r="K740" s="0" t="str">
        <f aca="false">IF(ISBLANK(J740),,J740&amp;", ")</f>
        <v>0,</v>
      </c>
    </row>
    <row r="741" customFormat="false" ht="15.75" hidden="false" customHeight="false" outlineLevel="0" collapsed="false">
      <c r="A741" s="374"/>
      <c r="B741" s="374" t="n">
        <v>0</v>
      </c>
      <c r="D741" s="374"/>
      <c r="E741" s="374"/>
      <c r="J741" s="0" t="n">
        <v>0</v>
      </c>
      <c r="K741" s="0" t="str">
        <f aca="false">IF(ISBLANK(J741),,J741&amp;", ")</f>
        <v>0,</v>
      </c>
    </row>
    <row r="742" customFormat="false" ht="15.75" hidden="false" customHeight="false" outlineLevel="0" collapsed="false">
      <c r="A742" s="374"/>
      <c r="B742" s="374" t="n">
        <v>0</v>
      </c>
      <c r="D742" s="374"/>
      <c r="E742" s="374"/>
      <c r="J742" s="0" t="n">
        <v>0</v>
      </c>
      <c r="K742" s="0" t="str">
        <f aca="false">IF(ISBLANK(J742),,J742&amp;", ")</f>
        <v>0,</v>
      </c>
    </row>
    <row r="743" customFormat="false" ht="15.75" hidden="false" customHeight="false" outlineLevel="0" collapsed="false">
      <c r="A743" s="374"/>
      <c r="B743" s="374" t="n">
        <v>0</v>
      </c>
      <c r="D743" s="374"/>
      <c r="E743" s="374"/>
      <c r="J743" s="0" t="n">
        <v>0</v>
      </c>
      <c r="K743" s="0" t="str">
        <f aca="false">IF(ISBLANK(J743),,J743&amp;", ")</f>
        <v>0,</v>
      </c>
    </row>
    <row r="744" customFormat="false" ht="15.75" hidden="false" customHeight="false" outlineLevel="0" collapsed="false">
      <c r="A744" s="374"/>
      <c r="B744" s="374" t="n">
        <v>0</v>
      </c>
      <c r="D744" s="374"/>
      <c r="E744" s="374"/>
      <c r="J744" s="0" t="n">
        <v>0</v>
      </c>
      <c r="K744" s="0" t="str">
        <f aca="false">IF(ISBLANK(J744),,J744&amp;", ")</f>
        <v>0,</v>
      </c>
    </row>
    <row r="745" customFormat="false" ht="15.75" hidden="false" customHeight="false" outlineLevel="0" collapsed="false">
      <c r="A745" s="374"/>
      <c r="B745" s="374" t="n">
        <v>0</v>
      </c>
      <c r="D745" s="374"/>
      <c r="E745" s="374"/>
      <c r="J745" s="0" t="n">
        <v>0</v>
      </c>
      <c r="K745" s="0" t="str">
        <f aca="false">IF(ISBLANK(J745),,J745&amp;", ")</f>
        <v>0,</v>
      </c>
    </row>
    <row r="746" customFormat="false" ht="15.75" hidden="false" customHeight="false" outlineLevel="0" collapsed="false">
      <c r="A746" s="374"/>
      <c r="B746" s="374" t="n">
        <v>0</v>
      </c>
      <c r="D746" s="374"/>
      <c r="E746" s="374"/>
      <c r="J746" s="0" t="n">
        <v>0</v>
      </c>
      <c r="K746" s="0" t="str">
        <f aca="false">IF(ISBLANK(J746),,J746&amp;", ")</f>
        <v>0,</v>
      </c>
    </row>
    <row r="747" customFormat="false" ht="15.75" hidden="false" customHeight="false" outlineLevel="0" collapsed="false">
      <c r="A747" s="374"/>
      <c r="B747" s="374" t="n">
        <v>0</v>
      </c>
      <c r="D747" s="374"/>
      <c r="E747" s="374"/>
      <c r="J747" s="0" t="n">
        <v>0</v>
      </c>
      <c r="K747" s="0" t="str">
        <f aca="false">IF(ISBLANK(J747),,J747&amp;", ")</f>
        <v>0,</v>
      </c>
    </row>
    <row r="748" customFormat="false" ht="15.75" hidden="false" customHeight="false" outlineLevel="0" collapsed="false">
      <c r="A748" s="374"/>
      <c r="B748" s="374" t="n">
        <v>0</v>
      </c>
      <c r="D748" s="374"/>
      <c r="E748" s="374"/>
      <c r="J748" s="0" t="n">
        <v>0</v>
      </c>
      <c r="K748" s="0" t="str">
        <f aca="false">IF(ISBLANK(J748),,J748&amp;", ")</f>
        <v>0,</v>
      </c>
    </row>
    <row r="749" customFormat="false" ht="15.75" hidden="false" customHeight="false" outlineLevel="0" collapsed="false">
      <c r="A749" s="374"/>
      <c r="B749" s="374" t="n">
        <v>0</v>
      </c>
      <c r="D749" s="374"/>
      <c r="E749" s="374"/>
      <c r="J749" s="0" t="n">
        <v>0</v>
      </c>
      <c r="K749" s="0" t="str">
        <f aca="false">IF(ISBLANK(J749),,J749&amp;", ")</f>
        <v>0,</v>
      </c>
    </row>
    <row r="750" customFormat="false" ht="15.75" hidden="false" customHeight="false" outlineLevel="0" collapsed="false">
      <c r="A750" s="374"/>
      <c r="B750" s="374" t="n">
        <v>0</v>
      </c>
      <c r="D750" s="374"/>
      <c r="E750" s="374"/>
      <c r="J750" s="0" t="n">
        <v>0</v>
      </c>
      <c r="K750" s="0" t="str">
        <f aca="false">IF(ISBLANK(J750),,J750&amp;", ")</f>
        <v>0,</v>
      </c>
    </row>
    <row r="751" customFormat="false" ht="15.75" hidden="false" customHeight="false" outlineLevel="0" collapsed="false">
      <c r="A751" s="374"/>
      <c r="B751" s="374" t="n">
        <v>0</v>
      </c>
      <c r="D751" s="374"/>
      <c r="E751" s="374"/>
      <c r="J751" s="0" t="n">
        <v>0</v>
      </c>
      <c r="K751" s="0" t="str">
        <f aca="false">IF(ISBLANK(J751),,J751&amp;", ")</f>
        <v>0,</v>
      </c>
    </row>
    <row r="752" customFormat="false" ht="15.75" hidden="false" customHeight="false" outlineLevel="0" collapsed="false">
      <c r="A752" s="374"/>
      <c r="B752" s="374" t="n">
        <v>0</v>
      </c>
      <c r="D752" s="374"/>
      <c r="E752" s="374"/>
      <c r="J752" s="0" t="n">
        <v>0</v>
      </c>
      <c r="K752" s="0" t="str">
        <f aca="false">IF(ISBLANK(J752),,J752&amp;", ")</f>
        <v>0,</v>
      </c>
    </row>
    <row r="753" customFormat="false" ht="15.75" hidden="false" customHeight="false" outlineLevel="0" collapsed="false">
      <c r="A753" s="374"/>
      <c r="B753" s="374" t="n">
        <v>0</v>
      </c>
      <c r="D753" s="374"/>
      <c r="E753" s="374"/>
      <c r="J753" s="0" t="n">
        <v>0</v>
      </c>
      <c r="K753" s="0" t="str">
        <f aca="false">IF(ISBLANK(J753),,J753&amp;", ")</f>
        <v>0,</v>
      </c>
    </row>
    <row r="754" customFormat="false" ht="15.75" hidden="false" customHeight="false" outlineLevel="0" collapsed="false">
      <c r="A754" s="374"/>
      <c r="B754" s="374" t="n">
        <v>0</v>
      </c>
      <c r="D754" s="374"/>
      <c r="E754" s="374"/>
      <c r="J754" s="0" t="n">
        <v>0</v>
      </c>
      <c r="K754" s="0" t="str">
        <f aca="false">IF(ISBLANK(J754),,J754&amp;", ")</f>
        <v>0,</v>
      </c>
    </row>
    <row r="755" customFormat="false" ht="15.75" hidden="false" customHeight="false" outlineLevel="0" collapsed="false">
      <c r="A755" s="374"/>
      <c r="B755" s="374" t="n">
        <v>0</v>
      </c>
      <c r="D755" s="374"/>
      <c r="E755" s="374"/>
      <c r="J755" s="0" t="n">
        <v>0</v>
      </c>
      <c r="K755" s="0" t="str">
        <f aca="false">IF(ISBLANK(J755),,J755&amp;", ")</f>
        <v>0,</v>
      </c>
    </row>
    <row r="756" customFormat="false" ht="15.75" hidden="false" customHeight="false" outlineLevel="0" collapsed="false">
      <c r="A756" s="374"/>
      <c r="B756" s="374" t="n">
        <v>0</v>
      </c>
      <c r="D756" s="374"/>
      <c r="E756" s="374"/>
      <c r="J756" s="0" t="n">
        <v>0</v>
      </c>
      <c r="K756" s="0" t="str">
        <f aca="false">IF(ISBLANK(J756),,J756&amp;", ")</f>
        <v>0,</v>
      </c>
    </row>
    <row r="757" customFormat="false" ht="15.75" hidden="false" customHeight="false" outlineLevel="0" collapsed="false">
      <c r="A757" s="374"/>
      <c r="B757" s="374" t="n">
        <v>0</v>
      </c>
      <c r="D757" s="374"/>
      <c r="E757" s="374"/>
      <c r="J757" s="0" t="n">
        <v>0</v>
      </c>
      <c r="K757" s="0" t="str">
        <f aca="false">IF(ISBLANK(J757),,J757&amp;", ")</f>
        <v>0,</v>
      </c>
    </row>
    <row r="758" customFormat="false" ht="15.75" hidden="false" customHeight="false" outlineLevel="0" collapsed="false">
      <c r="A758" s="374"/>
      <c r="B758" s="374" t="n">
        <v>0</v>
      </c>
      <c r="D758" s="374"/>
      <c r="E758" s="374"/>
      <c r="J758" s="0" t="n">
        <v>0</v>
      </c>
      <c r="K758" s="0" t="str">
        <f aca="false">IF(ISBLANK(J758),,J758&amp;", ")</f>
        <v>0,</v>
      </c>
    </row>
    <row r="759" customFormat="false" ht="15.75" hidden="false" customHeight="false" outlineLevel="0" collapsed="false">
      <c r="A759" s="374"/>
      <c r="B759" s="374" t="n">
        <v>0</v>
      </c>
      <c r="D759" s="374"/>
      <c r="E759" s="374"/>
      <c r="J759" s="0" t="n">
        <v>0</v>
      </c>
      <c r="K759" s="0" t="str">
        <f aca="false">IF(ISBLANK(J759),,J759&amp;", ")</f>
        <v>0,</v>
      </c>
    </row>
    <row r="760" customFormat="false" ht="15.75" hidden="false" customHeight="false" outlineLevel="0" collapsed="false">
      <c r="A760" s="374"/>
      <c r="B760" s="374" t="n">
        <v>0</v>
      </c>
      <c r="D760" s="374"/>
      <c r="E760" s="374"/>
      <c r="J760" s="0" t="n">
        <v>0</v>
      </c>
      <c r="K760" s="0" t="str">
        <f aca="false">IF(ISBLANK(J760),,J760&amp;", ")</f>
        <v>0,</v>
      </c>
    </row>
    <row r="761" customFormat="false" ht="15.75" hidden="false" customHeight="false" outlineLevel="0" collapsed="false">
      <c r="A761" s="374"/>
      <c r="B761" s="374" t="n">
        <v>0</v>
      </c>
      <c r="D761" s="374"/>
      <c r="E761" s="374"/>
      <c r="J761" s="0" t="n">
        <v>0</v>
      </c>
      <c r="K761" s="0" t="str">
        <f aca="false">IF(ISBLANK(J761),,J761&amp;", ")</f>
        <v>0,</v>
      </c>
    </row>
    <row r="762" customFormat="false" ht="15.75" hidden="false" customHeight="false" outlineLevel="0" collapsed="false">
      <c r="A762" s="374"/>
      <c r="B762" s="374" t="n">
        <v>0</v>
      </c>
      <c r="D762" s="374"/>
      <c r="E762" s="374"/>
      <c r="J762" s="0" t="n">
        <v>0</v>
      </c>
      <c r="K762" s="0" t="str">
        <f aca="false">IF(ISBLANK(J762),,J762&amp;", ")</f>
        <v>0,</v>
      </c>
    </row>
    <row r="763" customFormat="false" ht="15.75" hidden="false" customHeight="false" outlineLevel="0" collapsed="false">
      <c r="A763" s="374"/>
      <c r="B763" s="374" t="n">
        <v>0</v>
      </c>
      <c r="D763" s="374"/>
      <c r="E763" s="374"/>
      <c r="J763" s="0" t="n">
        <v>0</v>
      </c>
      <c r="K763" s="0" t="str">
        <f aca="false">IF(ISBLANK(J763),,J763&amp;", ")</f>
        <v>0,</v>
      </c>
    </row>
    <row r="764" customFormat="false" ht="15.75" hidden="false" customHeight="false" outlineLevel="0" collapsed="false">
      <c r="A764" s="374"/>
      <c r="B764" s="374" t="n">
        <v>0</v>
      </c>
      <c r="D764" s="374"/>
      <c r="E764" s="374"/>
      <c r="J764" s="0" t="n">
        <v>0</v>
      </c>
      <c r="K764" s="0" t="str">
        <f aca="false">IF(ISBLANK(J764),,J764&amp;", ")</f>
        <v>0,</v>
      </c>
    </row>
    <row r="765" customFormat="false" ht="15.75" hidden="false" customHeight="false" outlineLevel="0" collapsed="false">
      <c r="A765" s="374"/>
      <c r="B765" s="374" t="n">
        <v>0</v>
      </c>
      <c r="D765" s="374"/>
      <c r="E765" s="374"/>
      <c r="J765" s="0" t="n">
        <v>0</v>
      </c>
      <c r="K765" s="0" t="str">
        <f aca="false">IF(ISBLANK(J765),,J765&amp;", ")</f>
        <v>0,</v>
      </c>
    </row>
    <row r="766" customFormat="false" ht="15.75" hidden="false" customHeight="false" outlineLevel="0" collapsed="false">
      <c r="A766" s="374"/>
      <c r="B766" s="374" t="n">
        <v>0</v>
      </c>
      <c r="D766" s="374"/>
      <c r="E766" s="374"/>
      <c r="J766" s="0" t="n">
        <v>0</v>
      </c>
      <c r="K766" s="0" t="str">
        <f aca="false">IF(ISBLANK(J766),,J766&amp;", ")</f>
        <v>0,</v>
      </c>
    </row>
    <row r="767" customFormat="false" ht="15.75" hidden="false" customHeight="false" outlineLevel="0" collapsed="false">
      <c r="A767" s="374"/>
      <c r="B767" s="374" t="n">
        <v>0</v>
      </c>
      <c r="D767" s="374"/>
      <c r="E767" s="374"/>
      <c r="J767" s="0" t="n">
        <v>0</v>
      </c>
      <c r="K767" s="0" t="str">
        <f aca="false">IF(ISBLANK(J767),,J767&amp;", ")</f>
        <v>0,</v>
      </c>
    </row>
    <row r="768" customFormat="false" ht="15.75" hidden="false" customHeight="false" outlineLevel="0" collapsed="false">
      <c r="A768" s="374"/>
      <c r="B768" s="374" t="n">
        <v>0</v>
      </c>
      <c r="D768" s="374"/>
      <c r="E768" s="374"/>
      <c r="J768" s="0" t="n">
        <v>0</v>
      </c>
      <c r="K768" s="0" t="str">
        <f aca="false">IF(ISBLANK(J768),,J768&amp;", ")</f>
        <v>0,</v>
      </c>
    </row>
    <row r="769" customFormat="false" ht="15.75" hidden="false" customHeight="false" outlineLevel="0" collapsed="false">
      <c r="A769" s="374"/>
      <c r="B769" s="374" t="n">
        <v>0</v>
      </c>
      <c r="D769" s="374"/>
      <c r="E769" s="374"/>
      <c r="J769" s="0" t="n">
        <v>0</v>
      </c>
      <c r="K769" s="0" t="str">
        <f aca="false">IF(ISBLANK(J769),,J769&amp;", ")</f>
        <v>0,</v>
      </c>
    </row>
    <row r="770" customFormat="false" ht="15.75" hidden="false" customHeight="false" outlineLevel="0" collapsed="false">
      <c r="A770" s="374"/>
      <c r="B770" s="374" t="n">
        <v>0</v>
      </c>
      <c r="D770" s="374"/>
      <c r="E770" s="374"/>
      <c r="J770" s="0" t="n">
        <v>0</v>
      </c>
      <c r="K770" s="0" t="str">
        <f aca="false">IF(ISBLANK(J770),,J770&amp;", ")</f>
        <v>0,</v>
      </c>
    </row>
    <row r="771" customFormat="false" ht="15.75" hidden="false" customHeight="false" outlineLevel="0" collapsed="false">
      <c r="A771" s="374"/>
      <c r="B771" s="374" t="n">
        <v>0</v>
      </c>
      <c r="D771" s="374"/>
      <c r="E771" s="374"/>
      <c r="J771" s="0" t="n">
        <v>0</v>
      </c>
      <c r="K771" s="0" t="str">
        <f aca="false">IF(ISBLANK(J771),,J771&amp;", ")</f>
        <v>0,</v>
      </c>
    </row>
    <row r="772" customFormat="false" ht="15.75" hidden="false" customHeight="false" outlineLevel="0" collapsed="false">
      <c r="A772" s="374"/>
      <c r="B772" s="374" t="n">
        <v>0</v>
      </c>
      <c r="D772" s="374"/>
      <c r="E772" s="374"/>
      <c r="J772" s="0" t="n">
        <v>0</v>
      </c>
      <c r="K772" s="0" t="str">
        <f aca="false">IF(ISBLANK(J772),,J772&amp;", ")</f>
        <v>0,</v>
      </c>
    </row>
    <row r="773" customFormat="false" ht="15.75" hidden="false" customHeight="false" outlineLevel="0" collapsed="false">
      <c r="A773" s="374"/>
      <c r="B773" s="374" t="n">
        <v>0</v>
      </c>
      <c r="D773" s="374"/>
      <c r="E773" s="374"/>
      <c r="J773" s="0" t="n">
        <v>0</v>
      </c>
      <c r="K773" s="0" t="str">
        <f aca="false">IF(ISBLANK(J773),,J773&amp;", ")</f>
        <v>0,</v>
      </c>
    </row>
    <row r="774" customFormat="false" ht="15.75" hidden="false" customHeight="false" outlineLevel="0" collapsed="false">
      <c r="A774" s="374"/>
      <c r="B774" s="374" t="n">
        <v>0</v>
      </c>
      <c r="D774" s="374"/>
      <c r="E774" s="374"/>
      <c r="J774" s="0" t="n">
        <v>0</v>
      </c>
      <c r="K774" s="0" t="str">
        <f aca="false">IF(ISBLANK(J774),,J774&amp;", ")</f>
        <v>0,</v>
      </c>
    </row>
    <row r="775" customFormat="false" ht="15.75" hidden="false" customHeight="false" outlineLevel="0" collapsed="false">
      <c r="A775" s="374"/>
      <c r="B775" s="374" t="n">
        <v>0</v>
      </c>
      <c r="D775" s="374"/>
      <c r="E775" s="374"/>
      <c r="J775" s="0" t="n">
        <v>0</v>
      </c>
      <c r="K775" s="0" t="str">
        <f aca="false">IF(ISBLANK(J775),,J775&amp;", ")</f>
        <v>0,</v>
      </c>
    </row>
    <row r="776" customFormat="false" ht="15.75" hidden="false" customHeight="false" outlineLevel="0" collapsed="false">
      <c r="A776" s="374"/>
      <c r="B776" s="374" t="n">
        <v>0</v>
      </c>
      <c r="D776" s="374"/>
      <c r="E776" s="374"/>
      <c r="J776" s="0" t="n">
        <v>0</v>
      </c>
      <c r="K776" s="0" t="str">
        <f aca="false">IF(ISBLANK(J776),,J776&amp;", ")</f>
        <v>0,</v>
      </c>
    </row>
    <row r="777" customFormat="false" ht="15.75" hidden="false" customHeight="false" outlineLevel="0" collapsed="false">
      <c r="A777" s="374"/>
      <c r="B777" s="374" t="n">
        <v>0</v>
      </c>
      <c r="D777" s="374"/>
      <c r="E777" s="374"/>
      <c r="J777" s="0" t="n">
        <v>0</v>
      </c>
      <c r="K777" s="0" t="str">
        <f aca="false">IF(ISBLANK(J777),,J777&amp;", ")</f>
        <v>0,</v>
      </c>
    </row>
    <row r="778" customFormat="false" ht="15.75" hidden="false" customHeight="false" outlineLevel="0" collapsed="false">
      <c r="A778" s="374"/>
      <c r="B778" s="374" t="n">
        <v>0</v>
      </c>
      <c r="D778" s="374"/>
      <c r="E778" s="374"/>
      <c r="J778" s="0" t="n">
        <v>0</v>
      </c>
      <c r="K778" s="0" t="str">
        <f aca="false">IF(ISBLANK(J778),,J778&amp;", ")</f>
        <v>0,</v>
      </c>
    </row>
    <row r="779" customFormat="false" ht="15.75" hidden="false" customHeight="false" outlineLevel="0" collapsed="false">
      <c r="A779" s="374"/>
      <c r="B779" s="374" t="n">
        <v>0</v>
      </c>
      <c r="D779" s="374"/>
      <c r="E779" s="374"/>
      <c r="J779" s="0" t="n">
        <v>0</v>
      </c>
      <c r="K779" s="0" t="str">
        <f aca="false">IF(ISBLANK(J779),,J779&amp;", ")</f>
        <v>0,</v>
      </c>
    </row>
    <row r="780" customFormat="false" ht="15.75" hidden="false" customHeight="false" outlineLevel="0" collapsed="false">
      <c r="A780" s="374"/>
      <c r="B780" s="374" t="n">
        <v>0</v>
      </c>
      <c r="D780" s="374"/>
      <c r="E780" s="374"/>
      <c r="J780" s="0" t="n">
        <v>0</v>
      </c>
      <c r="K780" s="0" t="str">
        <f aca="false">IF(ISBLANK(J780),,J780&amp;", ")</f>
        <v>0,</v>
      </c>
    </row>
    <row r="781" customFormat="false" ht="15.75" hidden="false" customHeight="false" outlineLevel="0" collapsed="false">
      <c r="A781" s="374"/>
      <c r="B781" s="374" t="n">
        <v>0</v>
      </c>
      <c r="D781" s="374"/>
      <c r="E781" s="374"/>
      <c r="J781" s="0" t="n">
        <v>0</v>
      </c>
      <c r="K781" s="0" t="str">
        <f aca="false">IF(ISBLANK(J781),,J781&amp;", ")</f>
        <v>0,</v>
      </c>
    </row>
    <row r="782" customFormat="false" ht="15.75" hidden="false" customHeight="false" outlineLevel="0" collapsed="false">
      <c r="A782" s="374"/>
      <c r="B782" s="374" t="n">
        <v>0</v>
      </c>
      <c r="D782" s="374"/>
      <c r="E782" s="374"/>
      <c r="J782" s="0" t="n">
        <v>0</v>
      </c>
      <c r="K782" s="0" t="str">
        <f aca="false">IF(ISBLANK(J782),,J782&amp;", ")</f>
        <v>0,</v>
      </c>
    </row>
    <row r="783" customFormat="false" ht="15.75" hidden="false" customHeight="false" outlineLevel="0" collapsed="false">
      <c r="A783" s="374"/>
      <c r="B783" s="374" t="n">
        <v>0</v>
      </c>
      <c r="D783" s="374"/>
      <c r="E783" s="374"/>
      <c r="J783" s="0" t="n">
        <v>0</v>
      </c>
      <c r="K783" s="0" t="str">
        <f aca="false">IF(ISBLANK(J783),,J783&amp;", ")</f>
        <v>0,</v>
      </c>
    </row>
    <row r="784" customFormat="false" ht="15.75" hidden="false" customHeight="false" outlineLevel="0" collapsed="false">
      <c r="A784" s="374"/>
      <c r="B784" s="374" t="n">
        <v>0</v>
      </c>
      <c r="D784" s="374"/>
      <c r="E784" s="374"/>
      <c r="J784" s="0" t="n">
        <v>0</v>
      </c>
      <c r="K784" s="0" t="str">
        <f aca="false">IF(ISBLANK(J784),,J784&amp;", ")</f>
        <v>0,</v>
      </c>
    </row>
    <row r="785" customFormat="false" ht="15.75" hidden="false" customHeight="false" outlineLevel="0" collapsed="false">
      <c r="A785" s="374"/>
      <c r="B785" s="374" t="n">
        <v>0</v>
      </c>
      <c r="D785" s="374"/>
      <c r="E785" s="374"/>
      <c r="J785" s="0" t="n">
        <v>0</v>
      </c>
      <c r="K785" s="0" t="str">
        <f aca="false">IF(ISBLANK(J785),,J785&amp;", ")</f>
        <v>0,</v>
      </c>
    </row>
    <row r="786" customFormat="false" ht="15.75" hidden="false" customHeight="false" outlineLevel="0" collapsed="false">
      <c r="A786" s="374"/>
      <c r="B786" s="374" t="n">
        <v>0</v>
      </c>
      <c r="D786" s="374"/>
      <c r="E786" s="374"/>
      <c r="J786" s="0" t="n">
        <v>0</v>
      </c>
      <c r="K786" s="0" t="str">
        <f aca="false">IF(ISBLANK(J786),,J786&amp;", ")</f>
        <v>0,</v>
      </c>
    </row>
    <row r="787" customFormat="false" ht="15.75" hidden="false" customHeight="false" outlineLevel="0" collapsed="false">
      <c r="A787" s="374"/>
      <c r="B787" s="374" t="n">
        <v>0</v>
      </c>
      <c r="D787" s="374"/>
      <c r="E787" s="374"/>
      <c r="J787" s="0" t="n">
        <v>0</v>
      </c>
      <c r="K787" s="0" t="str">
        <f aca="false">IF(ISBLANK(J787),,J787&amp;", ")</f>
        <v>0,</v>
      </c>
    </row>
    <row r="788" customFormat="false" ht="15.75" hidden="false" customHeight="false" outlineLevel="0" collapsed="false">
      <c r="A788" s="374"/>
      <c r="B788" s="374" t="n">
        <v>0</v>
      </c>
      <c r="D788" s="374"/>
      <c r="E788" s="374"/>
      <c r="J788" s="0" t="n">
        <v>0</v>
      </c>
      <c r="K788" s="0" t="str">
        <f aca="false">IF(ISBLANK(J788),,J788&amp;", ")</f>
        <v>0,</v>
      </c>
    </row>
    <row r="789" customFormat="false" ht="15.75" hidden="false" customHeight="false" outlineLevel="0" collapsed="false">
      <c r="A789" s="374"/>
      <c r="B789" s="374" t="n">
        <v>0</v>
      </c>
      <c r="D789" s="374"/>
      <c r="E789" s="374"/>
      <c r="J789" s="0" t="n">
        <v>0</v>
      </c>
      <c r="K789" s="0" t="str">
        <f aca="false">IF(ISBLANK(J789),,J789&amp;", ")</f>
        <v>0,</v>
      </c>
    </row>
    <row r="790" customFormat="false" ht="15.75" hidden="false" customHeight="false" outlineLevel="0" collapsed="false">
      <c r="A790" s="374"/>
      <c r="B790" s="374" t="n">
        <v>0</v>
      </c>
      <c r="D790" s="374"/>
      <c r="E790" s="374"/>
      <c r="J790" s="0" t="n">
        <v>0</v>
      </c>
      <c r="K790" s="0" t="str">
        <f aca="false">IF(ISBLANK(J790),,J790&amp;", ")</f>
        <v>0,</v>
      </c>
    </row>
    <row r="791" customFormat="false" ht="15.75" hidden="false" customHeight="false" outlineLevel="0" collapsed="false">
      <c r="A791" s="374"/>
      <c r="B791" s="374" t="n">
        <v>0</v>
      </c>
      <c r="D791" s="374"/>
      <c r="E791" s="374"/>
      <c r="J791" s="0" t="n">
        <v>0</v>
      </c>
      <c r="K791" s="0" t="str">
        <f aca="false">IF(ISBLANK(J791),,J791&amp;", ")</f>
        <v>0,</v>
      </c>
    </row>
    <row r="792" customFormat="false" ht="15.75" hidden="false" customHeight="false" outlineLevel="0" collapsed="false">
      <c r="A792" s="374"/>
      <c r="B792" s="374" t="n">
        <v>0</v>
      </c>
      <c r="D792" s="374"/>
      <c r="E792" s="374"/>
      <c r="J792" s="0" t="n">
        <v>0</v>
      </c>
      <c r="K792" s="0" t="str">
        <f aca="false">IF(ISBLANK(J792),,J792&amp;", ")</f>
        <v>0,</v>
      </c>
    </row>
    <row r="793" customFormat="false" ht="15.75" hidden="false" customHeight="false" outlineLevel="0" collapsed="false">
      <c r="A793" s="374"/>
      <c r="B793" s="374" t="n">
        <v>0</v>
      </c>
      <c r="D793" s="374"/>
      <c r="E793" s="374"/>
      <c r="J793" s="0" t="n">
        <v>0</v>
      </c>
      <c r="K793" s="0" t="str">
        <f aca="false">IF(ISBLANK(J793),,J793&amp;", ")</f>
        <v>0,</v>
      </c>
    </row>
    <row r="794" customFormat="false" ht="15.75" hidden="false" customHeight="false" outlineLevel="0" collapsed="false">
      <c r="A794" s="374"/>
      <c r="B794" s="374" t="n">
        <v>0</v>
      </c>
      <c r="D794" s="374"/>
      <c r="E794" s="374"/>
      <c r="J794" s="0" t="n">
        <v>0</v>
      </c>
      <c r="K794" s="0" t="str">
        <f aca="false">IF(ISBLANK(J794),,J794&amp;", ")</f>
        <v>0,</v>
      </c>
    </row>
    <row r="795" customFormat="false" ht="15.75" hidden="false" customHeight="false" outlineLevel="0" collapsed="false">
      <c r="A795" s="374"/>
      <c r="B795" s="374" t="n">
        <v>0</v>
      </c>
      <c r="D795" s="374"/>
      <c r="E795" s="374"/>
      <c r="J795" s="0" t="n">
        <v>0</v>
      </c>
      <c r="K795" s="0" t="str">
        <f aca="false">IF(ISBLANK(J795),,J795&amp;", ")</f>
        <v>0,</v>
      </c>
    </row>
    <row r="796" customFormat="false" ht="15.75" hidden="false" customHeight="false" outlineLevel="0" collapsed="false">
      <c r="A796" s="374"/>
      <c r="B796" s="374" t="n">
        <v>0</v>
      </c>
      <c r="D796" s="374"/>
      <c r="E796" s="374"/>
      <c r="J796" s="0" t="n">
        <v>0</v>
      </c>
      <c r="K796" s="0" t="str">
        <f aca="false">IF(ISBLANK(J796),,J796&amp;", ")</f>
        <v>0,</v>
      </c>
    </row>
    <row r="797" customFormat="false" ht="15.75" hidden="false" customHeight="false" outlineLevel="0" collapsed="false">
      <c r="A797" s="374"/>
      <c r="B797" s="374" t="n">
        <v>0</v>
      </c>
      <c r="D797" s="374"/>
      <c r="E797" s="374"/>
      <c r="J797" s="0" t="n">
        <v>0</v>
      </c>
      <c r="K797" s="0" t="str">
        <f aca="false">IF(ISBLANK(J797),,J797&amp;", ")</f>
        <v>0,</v>
      </c>
    </row>
    <row r="798" customFormat="false" ht="15.75" hidden="false" customHeight="false" outlineLevel="0" collapsed="false">
      <c r="A798" s="374"/>
      <c r="B798" s="374" t="n">
        <v>0</v>
      </c>
      <c r="D798" s="374"/>
      <c r="E798" s="374"/>
      <c r="J798" s="0" t="n">
        <v>0</v>
      </c>
      <c r="K798" s="0" t="str">
        <f aca="false">IF(ISBLANK(J798),,J798&amp;", ")</f>
        <v>0,</v>
      </c>
    </row>
    <row r="799" customFormat="false" ht="15.75" hidden="false" customHeight="false" outlineLevel="0" collapsed="false">
      <c r="A799" s="374"/>
      <c r="B799" s="374" t="n">
        <v>0</v>
      </c>
      <c r="D799" s="374"/>
      <c r="E799" s="374"/>
      <c r="J799" s="0" t="n">
        <v>0</v>
      </c>
      <c r="K799" s="0" t="str">
        <f aca="false">IF(ISBLANK(J799),,J799&amp;", ")</f>
        <v>0,</v>
      </c>
    </row>
    <row r="800" customFormat="false" ht="15.75" hidden="false" customHeight="false" outlineLevel="0" collapsed="false">
      <c r="A800" s="374"/>
      <c r="B800" s="374" t="n">
        <v>0</v>
      </c>
      <c r="D800" s="374"/>
      <c r="E800" s="374"/>
      <c r="J800" s="0" t="n">
        <v>0</v>
      </c>
      <c r="K800" s="0" t="str">
        <f aca="false">IF(ISBLANK(J800),,J800&amp;", ")</f>
        <v>0,</v>
      </c>
    </row>
    <row r="801" customFormat="false" ht="15.75" hidden="false" customHeight="false" outlineLevel="0" collapsed="false">
      <c r="A801" s="374"/>
      <c r="B801" s="374" t="n">
        <v>0</v>
      </c>
      <c r="D801" s="374"/>
      <c r="E801" s="374"/>
      <c r="J801" s="0" t="n">
        <v>0</v>
      </c>
      <c r="K801" s="0" t="str">
        <f aca="false">IF(ISBLANK(J801),,J801&amp;", ")</f>
        <v>0,</v>
      </c>
    </row>
    <row r="802" customFormat="false" ht="15.75" hidden="false" customHeight="false" outlineLevel="0" collapsed="false">
      <c r="A802" s="374"/>
      <c r="B802" s="374" t="n">
        <v>0</v>
      </c>
      <c r="D802" s="374"/>
      <c r="E802" s="374"/>
      <c r="J802" s="0" t="n">
        <v>0</v>
      </c>
      <c r="K802" s="0" t="str">
        <f aca="false">IF(ISBLANK(J802),,J802&amp;", ")</f>
        <v>0,</v>
      </c>
    </row>
    <row r="803" customFormat="false" ht="15.75" hidden="false" customHeight="false" outlineLevel="0" collapsed="false">
      <c r="A803" s="374"/>
      <c r="B803" s="374" t="n">
        <v>0</v>
      </c>
      <c r="D803" s="374"/>
      <c r="E803" s="374"/>
      <c r="J803" s="0" t="n">
        <v>0</v>
      </c>
      <c r="K803" s="0" t="str">
        <f aca="false">IF(ISBLANK(J803),,J803&amp;", ")</f>
        <v>0,</v>
      </c>
    </row>
    <row r="804" customFormat="false" ht="15.75" hidden="false" customHeight="false" outlineLevel="0" collapsed="false">
      <c r="A804" s="374"/>
      <c r="B804" s="374" t="n">
        <v>0</v>
      </c>
      <c r="D804" s="374"/>
      <c r="E804" s="374"/>
      <c r="J804" s="0" t="n">
        <v>0</v>
      </c>
      <c r="K804" s="0" t="str">
        <f aca="false">IF(ISBLANK(J804),,J804&amp;", ")</f>
        <v>0,</v>
      </c>
    </row>
    <row r="805" customFormat="false" ht="15.75" hidden="false" customHeight="false" outlineLevel="0" collapsed="false">
      <c r="A805" s="374"/>
      <c r="B805" s="374" t="n">
        <v>0</v>
      </c>
      <c r="D805" s="374"/>
      <c r="E805" s="374"/>
      <c r="J805" s="0" t="n">
        <v>0</v>
      </c>
      <c r="K805" s="0" t="str">
        <f aca="false">IF(ISBLANK(J805),,J805&amp;", ")</f>
        <v>0,</v>
      </c>
    </row>
    <row r="806" customFormat="false" ht="15.75" hidden="false" customHeight="false" outlineLevel="0" collapsed="false">
      <c r="A806" s="374"/>
      <c r="B806" s="374" t="n">
        <v>0</v>
      </c>
      <c r="D806" s="374"/>
      <c r="E806" s="374"/>
      <c r="J806" s="0" t="n">
        <v>0</v>
      </c>
      <c r="K806" s="0" t="str">
        <f aca="false">IF(ISBLANK(J806),,J806&amp;", ")</f>
        <v>0,</v>
      </c>
    </row>
    <row r="807" customFormat="false" ht="15.75" hidden="false" customHeight="false" outlineLevel="0" collapsed="false">
      <c r="A807" s="374"/>
      <c r="B807" s="374" t="n">
        <v>0</v>
      </c>
      <c r="D807" s="374"/>
      <c r="E807" s="374"/>
      <c r="J807" s="0" t="n">
        <v>0</v>
      </c>
      <c r="K807" s="0" t="str">
        <f aca="false">IF(ISBLANK(J807),,J807&amp;", ")</f>
        <v>0,</v>
      </c>
    </row>
    <row r="808" customFormat="false" ht="15.75" hidden="false" customHeight="false" outlineLevel="0" collapsed="false">
      <c r="A808" s="374"/>
      <c r="B808" s="374" t="n">
        <v>0</v>
      </c>
      <c r="D808" s="374"/>
      <c r="E808" s="374"/>
      <c r="J808" s="0" t="n">
        <v>0</v>
      </c>
      <c r="K808" s="0" t="str">
        <f aca="false">IF(ISBLANK(J808),,J808&amp;", ")</f>
        <v>0,</v>
      </c>
    </row>
    <row r="809" customFormat="false" ht="15.75" hidden="false" customHeight="false" outlineLevel="0" collapsed="false">
      <c r="A809" s="374"/>
      <c r="B809" s="374" t="n">
        <v>0</v>
      </c>
      <c r="D809" s="374"/>
      <c r="E809" s="374"/>
      <c r="J809" s="0" t="n">
        <v>0</v>
      </c>
      <c r="K809" s="0" t="str">
        <f aca="false">IF(ISBLANK(J809),,J809&amp;", ")</f>
        <v>0,</v>
      </c>
    </row>
    <row r="810" customFormat="false" ht="15.75" hidden="false" customHeight="false" outlineLevel="0" collapsed="false">
      <c r="A810" s="374"/>
      <c r="B810" s="374" t="n">
        <v>0</v>
      </c>
      <c r="D810" s="374"/>
      <c r="E810" s="374"/>
      <c r="J810" s="0" t="n">
        <v>0</v>
      </c>
      <c r="K810" s="0" t="str">
        <f aca="false">IF(ISBLANK(J810),,J810&amp;", ")</f>
        <v>0,</v>
      </c>
    </row>
    <row r="811" customFormat="false" ht="15.75" hidden="false" customHeight="false" outlineLevel="0" collapsed="false">
      <c r="A811" s="374"/>
      <c r="B811" s="374" t="n">
        <v>0</v>
      </c>
      <c r="D811" s="374"/>
      <c r="E811" s="374"/>
      <c r="J811" s="0" t="n">
        <v>0</v>
      </c>
      <c r="K811" s="0" t="str">
        <f aca="false">IF(ISBLANK(J811),,J811&amp;", ")</f>
        <v>0,</v>
      </c>
    </row>
    <row r="812" customFormat="false" ht="15.75" hidden="false" customHeight="false" outlineLevel="0" collapsed="false">
      <c r="A812" s="374"/>
      <c r="B812" s="374" t="n">
        <v>0</v>
      </c>
      <c r="D812" s="374"/>
      <c r="E812" s="374"/>
      <c r="J812" s="0" t="n">
        <v>0</v>
      </c>
      <c r="K812" s="0" t="str">
        <f aca="false">IF(ISBLANK(J812),,J812&amp;", ")</f>
        <v>0,</v>
      </c>
    </row>
    <row r="813" customFormat="false" ht="15.75" hidden="false" customHeight="false" outlineLevel="0" collapsed="false">
      <c r="A813" s="374"/>
      <c r="B813" s="374" t="n">
        <v>0</v>
      </c>
      <c r="D813" s="374"/>
      <c r="E813" s="374"/>
      <c r="J813" s="0" t="n">
        <v>0</v>
      </c>
      <c r="K813" s="0" t="str">
        <f aca="false">IF(ISBLANK(J813),,J813&amp;", ")</f>
        <v>0,</v>
      </c>
    </row>
    <row r="814" customFormat="false" ht="15.75" hidden="false" customHeight="false" outlineLevel="0" collapsed="false">
      <c r="A814" s="374"/>
      <c r="B814" s="374" t="n">
        <v>0</v>
      </c>
      <c r="D814" s="374"/>
      <c r="E814" s="374"/>
      <c r="J814" s="0" t="n">
        <v>0</v>
      </c>
      <c r="K814" s="0" t="str">
        <f aca="false">IF(ISBLANK(J814),,J814&amp;", ")</f>
        <v>0,</v>
      </c>
    </row>
    <row r="815" customFormat="false" ht="15.75" hidden="false" customHeight="false" outlineLevel="0" collapsed="false">
      <c r="A815" s="374"/>
      <c r="B815" s="374" t="n">
        <v>0</v>
      </c>
      <c r="D815" s="374"/>
      <c r="E815" s="374"/>
      <c r="J815" s="0" t="n">
        <v>0</v>
      </c>
      <c r="K815" s="0" t="str">
        <f aca="false">IF(ISBLANK(J815),,J815&amp;", ")</f>
        <v>0,</v>
      </c>
    </row>
    <row r="816" customFormat="false" ht="15.75" hidden="false" customHeight="false" outlineLevel="0" collapsed="false">
      <c r="A816" s="374"/>
      <c r="B816" s="374" t="n">
        <v>0</v>
      </c>
      <c r="D816" s="374"/>
      <c r="E816" s="374"/>
      <c r="J816" s="0" t="n">
        <v>0</v>
      </c>
      <c r="K816" s="0" t="str">
        <f aca="false">IF(ISBLANK(J816),,J816&amp;", ")</f>
        <v>0,</v>
      </c>
    </row>
    <row r="817" customFormat="false" ht="15.75" hidden="false" customHeight="false" outlineLevel="0" collapsed="false">
      <c r="A817" s="374"/>
      <c r="B817" s="374" t="n">
        <v>0</v>
      </c>
      <c r="D817" s="374"/>
      <c r="E817" s="374"/>
      <c r="J817" s="0" t="n">
        <v>0</v>
      </c>
      <c r="K817" s="0" t="str">
        <f aca="false">IF(ISBLANK(J817),,J817&amp;", ")</f>
        <v>0,</v>
      </c>
    </row>
    <row r="818" customFormat="false" ht="15.75" hidden="false" customHeight="false" outlineLevel="0" collapsed="false">
      <c r="A818" s="374"/>
      <c r="B818" s="374" t="n">
        <v>0</v>
      </c>
      <c r="D818" s="374"/>
      <c r="E818" s="374"/>
      <c r="J818" s="0" t="n">
        <v>0</v>
      </c>
      <c r="K818" s="0" t="str">
        <f aca="false">IF(ISBLANK(J818),,J818&amp;", ")</f>
        <v>0,</v>
      </c>
    </row>
    <row r="819" customFormat="false" ht="15.75" hidden="false" customHeight="false" outlineLevel="0" collapsed="false">
      <c r="A819" s="374"/>
      <c r="B819" s="374" t="n">
        <v>0</v>
      </c>
      <c r="D819" s="374"/>
      <c r="E819" s="374"/>
      <c r="J819" s="0" t="n">
        <v>0</v>
      </c>
      <c r="K819" s="0" t="str">
        <f aca="false">IF(ISBLANK(J819),,J819&amp;", ")</f>
        <v>0,</v>
      </c>
    </row>
    <row r="820" customFormat="false" ht="15.75" hidden="false" customHeight="false" outlineLevel="0" collapsed="false">
      <c r="A820" s="374"/>
      <c r="B820" s="374" t="n">
        <v>0</v>
      </c>
      <c r="D820" s="374"/>
      <c r="E820" s="374"/>
      <c r="J820" s="0" t="n">
        <v>0</v>
      </c>
      <c r="K820" s="0" t="str">
        <f aca="false">IF(ISBLANK(J820),,J820&amp;", ")</f>
        <v>0,</v>
      </c>
    </row>
    <row r="821" customFormat="false" ht="15.75" hidden="false" customHeight="false" outlineLevel="0" collapsed="false">
      <c r="A821" s="374"/>
      <c r="B821" s="374" t="n">
        <v>0</v>
      </c>
      <c r="D821" s="374"/>
      <c r="E821" s="374"/>
      <c r="J821" s="0" t="n">
        <v>0</v>
      </c>
      <c r="K821" s="0" t="str">
        <f aca="false">IF(ISBLANK(J821),,J821&amp;", ")</f>
        <v>0,</v>
      </c>
    </row>
    <row r="822" customFormat="false" ht="15.75" hidden="false" customHeight="false" outlineLevel="0" collapsed="false">
      <c r="A822" s="374"/>
      <c r="B822" s="374" t="n">
        <v>0</v>
      </c>
      <c r="D822" s="374"/>
      <c r="E822" s="374"/>
      <c r="J822" s="0" t="n">
        <v>0</v>
      </c>
      <c r="K822" s="0" t="str">
        <f aca="false">IF(ISBLANK(J822),,J822&amp;", ")</f>
        <v>0,</v>
      </c>
    </row>
    <row r="823" customFormat="false" ht="15.75" hidden="false" customHeight="false" outlineLevel="0" collapsed="false">
      <c r="A823" s="374"/>
      <c r="B823" s="374" t="n">
        <v>0</v>
      </c>
      <c r="D823" s="374"/>
      <c r="E823" s="374"/>
      <c r="J823" s="0" t="n">
        <v>0</v>
      </c>
      <c r="K823" s="0" t="str">
        <f aca="false">IF(ISBLANK(J823),,J823&amp;", ")</f>
        <v>0,</v>
      </c>
    </row>
    <row r="824" customFormat="false" ht="15.75" hidden="false" customHeight="false" outlineLevel="0" collapsed="false">
      <c r="A824" s="374"/>
      <c r="B824" s="374" t="n">
        <v>0</v>
      </c>
      <c r="D824" s="374"/>
      <c r="E824" s="374"/>
      <c r="J824" s="0" t="n">
        <v>0</v>
      </c>
      <c r="K824" s="0" t="str">
        <f aca="false">IF(ISBLANK(J824),,J824&amp;", ")</f>
        <v>0,</v>
      </c>
    </row>
    <row r="825" customFormat="false" ht="15.75" hidden="false" customHeight="false" outlineLevel="0" collapsed="false">
      <c r="A825" s="374"/>
      <c r="B825" s="374" t="n">
        <v>0</v>
      </c>
      <c r="D825" s="374"/>
      <c r="E825" s="374"/>
      <c r="J825" s="0" t="n">
        <v>0</v>
      </c>
      <c r="K825" s="0" t="str">
        <f aca="false">IF(ISBLANK(J825),,J825&amp;", ")</f>
        <v>0,</v>
      </c>
    </row>
    <row r="826" customFormat="false" ht="15.75" hidden="false" customHeight="false" outlineLevel="0" collapsed="false">
      <c r="A826" s="374"/>
      <c r="B826" s="374" t="n">
        <v>0</v>
      </c>
      <c r="D826" s="374"/>
      <c r="E826" s="374"/>
      <c r="J826" s="0" t="n">
        <v>0</v>
      </c>
      <c r="K826" s="0" t="str">
        <f aca="false">IF(ISBLANK(J826),,J826&amp;", ")</f>
        <v>0,</v>
      </c>
    </row>
    <row r="827" customFormat="false" ht="15.75" hidden="false" customHeight="false" outlineLevel="0" collapsed="false">
      <c r="A827" s="374"/>
      <c r="B827" s="374" t="n">
        <v>0</v>
      </c>
      <c r="D827" s="374"/>
      <c r="E827" s="374"/>
      <c r="J827" s="0" t="n">
        <v>0</v>
      </c>
      <c r="K827" s="0" t="str">
        <f aca="false">IF(ISBLANK(J827),,J827&amp;", ")</f>
        <v>0,</v>
      </c>
    </row>
    <row r="828" customFormat="false" ht="15.75" hidden="false" customHeight="false" outlineLevel="0" collapsed="false">
      <c r="A828" s="374"/>
      <c r="B828" s="374" t="n">
        <v>0</v>
      </c>
      <c r="D828" s="374"/>
      <c r="E828" s="374"/>
      <c r="J828" s="0" t="n">
        <v>0</v>
      </c>
      <c r="K828" s="0" t="str">
        <f aca="false">IF(ISBLANK(J828),,J828&amp;", ")</f>
        <v>0,</v>
      </c>
    </row>
    <row r="829" customFormat="false" ht="15.75" hidden="false" customHeight="false" outlineLevel="0" collapsed="false">
      <c r="A829" s="374"/>
      <c r="B829" s="374" t="n">
        <v>0</v>
      </c>
      <c r="D829" s="374"/>
      <c r="E829" s="374"/>
      <c r="J829" s="0" t="n">
        <v>0</v>
      </c>
      <c r="K829" s="0" t="str">
        <f aca="false">IF(ISBLANK(J829),,J829&amp;", ")</f>
        <v>0,</v>
      </c>
    </row>
    <row r="830" customFormat="false" ht="15.75" hidden="false" customHeight="false" outlineLevel="0" collapsed="false">
      <c r="A830" s="374"/>
      <c r="B830" s="374" t="n">
        <v>0</v>
      </c>
      <c r="D830" s="374"/>
      <c r="E830" s="374"/>
      <c r="J830" s="0" t="n">
        <v>0</v>
      </c>
      <c r="K830" s="0" t="str">
        <f aca="false">IF(ISBLANK(J830),,J830&amp;", ")</f>
        <v>0,</v>
      </c>
    </row>
    <row r="831" customFormat="false" ht="15.75" hidden="false" customHeight="false" outlineLevel="0" collapsed="false">
      <c r="A831" s="374"/>
      <c r="B831" s="374" t="n">
        <v>0</v>
      </c>
      <c r="D831" s="374"/>
      <c r="E831" s="374"/>
      <c r="J831" s="0" t="n">
        <v>0</v>
      </c>
      <c r="K831" s="0" t="str">
        <f aca="false">IF(ISBLANK(J831),,J831&amp;", ")</f>
        <v>0,</v>
      </c>
    </row>
    <row r="832" customFormat="false" ht="15.75" hidden="false" customHeight="false" outlineLevel="0" collapsed="false">
      <c r="A832" s="374"/>
      <c r="B832" s="374" t="n">
        <v>0</v>
      </c>
      <c r="D832" s="374"/>
      <c r="E832" s="374"/>
      <c r="J832" s="0" t="n">
        <v>0</v>
      </c>
      <c r="K832" s="0" t="str">
        <f aca="false">IF(ISBLANK(J832),,J832&amp;", ")</f>
        <v>0,</v>
      </c>
    </row>
    <row r="833" customFormat="false" ht="15.75" hidden="false" customHeight="false" outlineLevel="0" collapsed="false">
      <c r="A833" s="374"/>
      <c r="B833" s="374" t="n">
        <v>0</v>
      </c>
      <c r="D833" s="374"/>
      <c r="E833" s="374"/>
      <c r="J833" s="0" t="n">
        <v>0</v>
      </c>
      <c r="K833" s="0" t="str">
        <f aca="false">IF(ISBLANK(J833),,J833&amp;", ")</f>
        <v>0,</v>
      </c>
    </row>
    <row r="834" customFormat="false" ht="15.75" hidden="false" customHeight="false" outlineLevel="0" collapsed="false">
      <c r="A834" s="374"/>
      <c r="B834" s="374" t="n">
        <v>0</v>
      </c>
      <c r="D834" s="374"/>
      <c r="E834" s="374"/>
      <c r="J834" s="0" t="n">
        <v>0</v>
      </c>
      <c r="K834" s="0" t="str">
        <f aca="false">IF(ISBLANK(J834),,J834&amp;", ")</f>
        <v>0,</v>
      </c>
    </row>
    <row r="835" customFormat="false" ht="15.75" hidden="false" customHeight="false" outlineLevel="0" collapsed="false">
      <c r="A835" s="374"/>
      <c r="B835" s="374" t="n">
        <v>0</v>
      </c>
      <c r="D835" s="374"/>
      <c r="E835" s="374"/>
      <c r="J835" s="0" t="n">
        <v>0</v>
      </c>
      <c r="K835" s="0" t="str">
        <f aca="false">IF(ISBLANK(J835),,J835&amp;", ")</f>
        <v>0,</v>
      </c>
    </row>
    <row r="836" customFormat="false" ht="15.75" hidden="false" customHeight="false" outlineLevel="0" collapsed="false">
      <c r="A836" s="374"/>
      <c r="B836" s="374" t="n">
        <v>0</v>
      </c>
      <c r="D836" s="374"/>
      <c r="E836" s="374"/>
      <c r="J836" s="0" t="n">
        <v>0</v>
      </c>
      <c r="K836" s="0" t="str">
        <f aca="false">IF(ISBLANK(J836),,J836&amp;", ")</f>
        <v>0,</v>
      </c>
    </row>
    <row r="837" customFormat="false" ht="15.75" hidden="false" customHeight="false" outlineLevel="0" collapsed="false">
      <c r="A837" s="374"/>
      <c r="B837" s="374" t="n">
        <v>0</v>
      </c>
      <c r="D837" s="374"/>
      <c r="E837" s="374"/>
      <c r="J837" s="0" t="n">
        <v>0</v>
      </c>
      <c r="K837" s="0" t="str">
        <f aca="false">IF(ISBLANK(J837),,J837&amp;", ")</f>
        <v>0,</v>
      </c>
    </row>
    <row r="838" customFormat="false" ht="15.75" hidden="false" customHeight="false" outlineLevel="0" collapsed="false">
      <c r="A838" s="374"/>
      <c r="B838" s="374" t="n">
        <v>0</v>
      </c>
      <c r="D838" s="374"/>
      <c r="E838" s="374"/>
      <c r="J838" s="0" t="n">
        <v>0</v>
      </c>
      <c r="K838" s="0" t="str">
        <f aca="false">IF(ISBLANK(J838),,J838&amp;", ")</f>
        <v>0,</v>
      </c>
    </row>
    <row r="839" customFormat="false" ht="15.75" hidden="false" customHeight="false" outlineLevel="0" collapsed="false">
      <c r="A839" s="374"/>
      <c r="B839" s="374" t="n">
        <v>0</v>
      </c>
      <c r="D839" s="374"/>
      <c r="E839" s="374"/>
      <c r="J839" s="0" t="n">
        <v>0</v>
      </c>
      <c r="K839" s="0" t="str">
        <f aca="false">IF(ISBLANK(J839),,J839&amp;", ")</f>
        <v>0,</v>
      </c>
    </row>
    <row r="840" customFormat="false" ht="15.75" hidden="false" customHeight="false" outlineLevel="0" collapsed="false">
      <c r="A840" s="374"/>
      <c r="B840" s="374" t="n">
        <v>0</v>
      </c>
      <c r="D840" s="374"/>
      <c r="E840" s="374"/>
      <c r="J840" s="0" t="n">
        <v>0</v>
      </c>
      <c r="K840" s="0" t="str">
        <f aca="false">IF(ISBLANK(J840),,J840&amp;", ")</f>
        <v>0,</v>
      </c>
    </row>
    <row r="841" customFormat="false" ht="15.75" hidden="false" customHeight="false" outlineLevel="0" collapsed="false">
      <c r="A841" s="374"/>
      <c r="B841" s="374" t="n">
        <v>0</v>
      </c>
      <c r="D841" s="374"/>
      <c r="E841" s="374"/>
      <c r="J841" s="0" t="n">
        <v>0</v>
      </c>
      <c r="K841" s="0" t="str">
        <f aca="false">IF(ISBLANK(J841),,J841&amp;", ")</f>
        <v>0,</v>
      </c>
    </row>
    <row r="842" customFormat="false" ht="15.75" hidden="false" customHeight="false" outlineLevel="0" collapsed="false">
      <c r="A842" s="374"/>
      <c r="B842" s="374" t="n">
        <v>0</v>
      </c>
      <c r="D842" s="374"/>
      <c r="E842" s="374"/>
      <c r="J842" s="0" t="n">
        <v>0</v>
      </c>
      <c r="K842" s="0" t="str">
        <f aca="false">IF(ISBLANK(J842),,J842&amp;", ")</f>
        <v>0,</v>
      </c>
    </row>
    <row r="843" customFormat="false" ht="15.75" hidden="false" customHeight="false" outlineLevel="0" collapsed="false">
      <c r="A843" s="374"/>
      <c r="B843" s="374" t="n">
        <v>0</v>
      </c>
      <c r="D843" s="374"/>
      <c r="E843" s="374"/>
      <c r="J843" s="0" t="n">
        <v>0</v>
      </c>
      <c r="K843" s="0" t="str">
        <f aca="false">IF(ISBLANK(J843),,J843&amp;", ")</f>
        <v>0,</v>
      </c>
    </row>
    <row r="844" customFormat="false" ht="15.75" hidden="false" customHeight="false" outlineLevel="0" collapsed="false">
      <c r="A844" s="374"/>
      <c r="B844" s="374" t="n">
        <v>0</v>
      </c>
      <c r="D844" s="374"/>
      <c r="E844" s="374"/>
      <c r="J844" s="0" t="n">
        <v>0</v>
      </c>
      <c r="K844" s="0" t="str">
        <f aca="false">IF(ISBLANK(J844),,J844&amp;", ")</f>
        <v>0,</v>
      </c>
    </row>
    <row r="845" customFormat="false" ht="15.75" hidden="false" customHeight="false" outlineLevel="0" collapsed="false">
      <c r="A845" s="374"/>
      <c r="B845" s="374" t="n">
        <v>0</v>
      </c>
      <c r="D845" s="374"/>
      <c r="E845" s="374"/>
      <c r="J845" s="0" t="n">
        <v>0</v>
      </c>
      <c r="K845" s="0" t="str">
        <f aca="false">IF(ISBLANK(J845),,J845&amp;", ")</f>
        <v>0,</v>
      </c>
    </row>
    <row r="846" customFormat="false" ht="15.75" hidden="false" customHeight="false" outlineLevel="0" collapsed="false">
      <c r="A846" s="374"/>
      <c r="B846" s="374" t="n">
        <v>0</v>
      </c>
      <c r="D846" s="374"/>
      <c r="E846" s="374"/>
      <c r="J846" s="0" t="n">
        <v>0</v>
      </c>
      <c r="K846" s="0" t="str">
        <f aca="false">IF(ISBLANK(J846),,J846&amp;", ")</f>
        <v>0,</v>
      </c>
    </row>
    <row r="847" customFormat="false" ht="15.75" hidden="false" customHeight="false" outlineLevel="0" collapsed="false">
      <c r="A847" s="374"/>
      <c r="B847" s="374" t="n">
        <v>0</v>
      </c>
      <c r="D847" s="374"/>
      <c r="E847" s="374"/>
      <c r="J847" s="0" t="n">
        <v>0</v>
      </c>
      <c r="K847" s="0" t="str">
        <f aca="false">IF(ISBLANK(J847),,J847&amp;", ")</f>
        <v>0,</v>
      </c>
    </row>
    <row r="848" customFormat="false" ht="15.75" hidden="false" customHeight="false" outlineLevel="0" collapsed="false">
      <c r="A848" s="374"/>
      <c r="B848" s="374" t="n">
        <v>0</v>
      </c>
      <c r="D848" s="374"/>
      <c r="E848" s="374"/>
      <c r="J848" s="0" t="n">
        <v>0</v>
      </c>
      <c r="K848" s="0" t="str">
        <f aca="false">IF(ISBLANK(J848),,J848&amp;", ")</f>
        <v>0,</v>
      </c>
    </row>
    <row r="849" customFormat="false" ht="15.75" hidden="false" customHeight="false" outlineLevel="0" collapsed="false">
      <c r="A849" s="374"/>
      <c r="B849" s="374" t="n">
        <v>0</v>
      </c>
      <c r="D849" s="374"/>
      <c r="E849" s="374"/>
      <c r="J849" s="0" t="n">
        <v>0</v>
      </c>
      <c r="K849" s="0" t="str">
        <f aca="false">IF(ISBLANK(J849),,J849&amp;", ")</f>
        <v>0,</v>
      </c>
    </row>
    <row r="850" customFormat="false" ht="15.75" hidden="false" customHeight="false" outlineLevel="0" collapsed="false">
      <c r="A850" s="374"/>
      <c r="B850" s="374" t="n">
        <v>0</v>
      </c>
      <c r="D850" s="374"/>
      <c r="E850" s="374"/>
      <c r="J850" s="0" t="n">
        <v>0</v>
      </c>
      <c r="K850" s="0" t="str">
        <f aca="false">IF(ISBLANK(J850),,J850&amp;", ")</f>
        <v>0,</v>
      </c>
    </row>
    <row r="851" customFormat="false" ht="15.75" hidden="false" customHeight="false" outlineLevel="0" collapsed="false">
      <c r="A851" s="374"/>
      <c r="B851" s="374" t="n">
        <v>0</v>
      </c>
      <c r="D851" s="374"/>
      <c r="E851" s="374"/>
      <c r="J851" s="0" t="n">
        <v>0</v>
      </c>
      <c r="K851" s="0" t="str">
        <f aca="false">IF(ISBLANK(J851),,J851&amp;", ")</f>
        <v>0,</v>
      </c>
    </row>
    <row r="852" customFormat="false" ht="15.75" hidden="false" customHeight="false" outlineLevel="0" collapsed="false">
      <c r="A852" s="374"/>
      <c r="B852" s="374" t="n">
        <v>0</v>
      </c>
      <c r="D852" s="374"/>
      <c r="E852" s="374"/>
      <c r="J852" s="0" t="n">
        <v>0</v>
      </c>
      <c r="K852" s="0" t="str">
        <f aca="false">IF(ISBLANK(J852),,J852&amp;", ")</f>
        <v>0,</v>
      </c>
    </row>
    <row r="853" customFormat="false" ht="15.75" hidden="false" customHeight="false" outlineLevel="0" collapsed="false">
      <c r="A853" s="374"/>
      <c r="B853" s="374" t="n">
        <v>0</v>
      </c>
      <c r="D853" s="374"/>
      <c r="E853" s="374"/>
      <c r="J853" s="0" t="n">
        <v>0</v>
      </c>
      <c r="K853" s="0" t="str">
        <f aca="false">IF(ISBLANK(J853),,J853&amp;", ")</f>
        <v>0,</v>
      </c>
    </row>
    <row r="854" customFormat="false" ht="15.75" hidden="false" customHeight="false" outlineLevel="0" collapsed="false">
      <c r="A854" s="374"/>
      <c r="B854" s="374" t="n">
        <v>0</v>
      </c>
      <c r="D854" s="374"/>
      <c r="E854" s="374"/>
      <c r="J854" s="0" t="n">
        <v>0</v>
      </c>
      <c r="K854" s="0" t="str">
        <f aca="false">IF(ISBLANK(J854),,J854&amp;", ")</f>
        <v>0,</v>
      </c>
    </row>
    <row r="855" customFormat="false" ht="15.75" hidden="false" customHeight="false" outlineLevel="0" collapsed="false">
      <c r="A855" s="374"/>
      <c r="B855" s="374" t="n">
        <v>0</v>
      </c>
      <c r="D855" s="374"/>
      <c r="E855" s="374"/>
      <c r="J855" s="0" t="n">
        <v>0</v>
      </c>
      <c r="K855" s="0" t="str">
        <f aca="false">IF(ISBLANK(J855),,J855&amp;", ")</f>
        <v>0,</v>
      </c>
    </row>
    <row r="856" customFormat="false" ht="15.75" hidden="false" customHeight="false" outlineLevel="0" collapsed="false">
      <c r="A856" s="374"/>
      <c r="B856" s="374" t="n">
        <v>0</v>
      </c>
      <c r="D856" s="374"/>
      <c r="E856" s="374"/>
      <c r="J856" s="0" t="n">
        <v>0</v>
      </c>
      <c r="K856" s="0" t="str">
        <f aca="false">IF(ISBLANK(J856),,J856&amp;", ")</f>
        <v>0,</v>
      </c>
    </row>
    <row r="857" customFormat="false" ht="15.75" hidden="false" customHeight="false" outlineLevel="0" collapsed="false">
      <c r="A857" s="374"/>
      <c r="B857" s="374" t="n">
        <v>0</v>
      </c>
      <c r="D857" s="374"/>
      <c r="E857" s="374"/>
      <c r="J857" s="0" t="n">
        <v>0</v>
      </c>
      <c r="K857" s="0" t="str">
        <f aca="false">IF(ISBLANK(J857),,J857&amp;", ")</f>
        <v>0,</v>
      </c>
    </row>
    <row r="858" customFormat="false" ht="15.75" hidden="false" customHeight="false" outlineLevel="0" collapsed="false">
      <c r="A858" s="374"/>
      <c r="B858" s="374" t="n">
        <v>0</v>
      </c>
      <c r="D858" s="374"/>
      <c r="E858" s="374"/>
      <c r="J858" s="0" t="n">
        <v>0</v>
      </c>
      <c r="K858" s="0" t="str">
        <f aca="false">IF(ISBLANK(J858),,J858&amp;", ")</f>
        <v>0,</v>
      </c>
    </row>
    <row r="859" customFormat="false" ht="15.75" hidden="false" customHeight="false" outlineLevel="0" collapsed="false">
      <c r="A859" s="374"/>
      <c r="B859" s="374" t="n">
        <v>0</v>
      </c>
      <c r="D859" s="374"/>
      <c r="E859" s="374"/>
      <c r="J859" s="0" t="n">
        <v>0</v>
      </c>
      <c r="K859" s="0" t="str">
        <f aca="false">IF(ISBLANK(J859),,J859&amp;", ")</f>
        <v>0,</v>
      </c>
    </row>
    <row r="860" customFormat="false" ht="15.75" hidden="false" customHeight="false" outlineLevel="0" collapsed="false">
      <c r="A860" s="374"/>
      <c r="B860" s="374" t="n">
        <v>0</v>
      </c>
      <c r="D860" s="374"/>
      <c r="E860" s="374"/>
      <c r="J860" s="0" t="n">
        <v>0</v>
      </c>
      <c r="K860" s="0" t="str">
        <f aca="false">IF(ISBLANK(J860),,J860&amp;", ")</f>
        <v>0,</v>
      </c>
    </row>
    <row r="861" customFormat="false" ht="15.75" hidden="false" customHeight="false" outlineLevel="0" collapsed="false">
      <c r="A861" s="374"/>
      <c r="B861" s="374" t="n">
        <v>0</v>
      </c>
      <c r="D861" s="374"/>
      <c r="E861" s="374"/>
      <c r="J861" s="0" t="n">
        <v>0</v>
      </c>
      <c r="K861" s="0" t="str">
        <f aca="false">IF(ISBLANK(J861),,J861&amp;", ")</f>
        <v>0,</v>
      </c>
    </row>
    <row r="862" customFormat="false" ht="15.75" hidden="false" customHeight="false" outlineLevel="0" collapsed="false">
      <c r="A862" s="374"/>
      <c r="B862" s="374" t="n">
        <v>0</v>
      </c>
      <c r="D862" s="374"/>
      <c r="E862" s="374"/>
      <c r="J862" s="0" t="n">
        <v>0</v>
      </c>
      <c r="K862" s="0" t="str">
        <f aca="false">IF(ISBLANK(J862),,J862&amp;", ")</f>
        <v>0,</v>
      </c>
    </row>
    <row r="863" customFormat="false" ht="15.75" hidden="false" customHeight="false" outlineLevel="0" collapsed="false">
      <c r="A863" s="374"/>
      <c r="B863" s="374" t="n">
        <v>0</v>
      </c>
      <c r="D863" s="374"/>
      <c r="E863" s="374"/>
      <c r="J863" s="0" t="n">
        <v>0</v>
      </c>
      <c r="K863" s="0" t="str">
        <f aca="false">IF(ISBLANK(J863),,J863&amp;", ")</f>
        <v>0,</v>
      </c>
    </row>
    <row r="864" customFormat="false" ht="15.75" hidden="false" customHeight="false" outlineLevel="0" collapsed="false">
      <c r="A864" s="374"/>
      <c r="B864" s="374" t="n">
        <v>0</v>
      </c>
      <c r="D864" s="374"/>
      <c r="E864" s="374"/>
      <c r="J864" s="0" t="n">
        <v>0</v>
      </c>
      <c r="K864" s="0" t="str">
        <f aca="false">IF(ISBLANK(J864),,J864&amp;", ")</f>
        <v>0,</v>
      </c>
    </row>
    <row r="865" customFormat="false" ht="15.75" hidden="false" customHeight="false" outlineLevel="0" collapsed="false">
      <c r="A865" s="374"/>
      <c r="B865" s="374" t="n">
        <v>0</v>
      </c>
      <c r="D865" s="374"/>
      <c r="E865" s="374"/>
      <c r="J865" s="0" t="n">
        <v>0</v>
      </c>
      <c r="K865" s="0" t="str">
        <f aca="false">IF(ISBLANK(J865),,J865&amp;", ")</f>
        <v>0,</v>
      </c>
    </row>
    <row r="866" customFormat="false" ht="15.75" hidden="false" customHeight="false" outlineLevel="0" collapsed="false">
      <c r="A866" s="374"/>
      <c r="B866" s="374" t="n">
        <v>0</v>
      </c>
      <c r="D866" s="374"/>
      <c r="E866" s="374"/>
      <c r="J866" s="0" t="n">
        <v>0</v>
      </c>
      <c r="K866" s="0" t="str">
        <f aca="false">IF(ISBLANK(J866),,J866&amp;", ")</f>
        <v>0,</v>
      </c>
    </row>
    <row r="867" customFormat="false" ht="15.75" hidden="false" customHeight="false" outlineLevel="0" collapsed="false">
      <c r="A867" s="374"/>
      <c r="B867" s="374" t="n">
        <v>0</v>
      </c>
      <c r="D867" s="374"/>
      <c r="E867" s="374"/>
      <c r="J867" s="0" t="n">
        <v>0</v>
      </c>
      <c r="K867" s="0" t="str">
        <f aca="false">IF(ISBLANK(J867),,J867&amp;", ")</f>
        <v>0,</v>
      </c>
    </row>
    <row r="868" customFormat="false" ht="15.75" hidden="false" customHeight="false" outlineLevel="0" collapsed="false">
      <c r="A868" s="374"/>
      <c r="B868" s="374" t="n">
        <v>0</v>
      </c>
      <c r="D868" s="374"/>
      <c r="E868" s="374"/>
      <c r="J868" s="0" t="n">
        <v>0</v>
      </c>
      <c r="K868" s="0" t="str">
        <f aca="false">IF(ISBLANK(J868),,J868&amp;", ")</f>
        <v>0,</v>
      </c>
    </row>
    <row r="869" customFormat="false" ht="15.75" hidden="false" customHeight="false" outlineLevel="0" collapsed="false">
      <c r="A869" s="374"/>
      <c r="B869" s="374" t="n">
        <v>0</v>
      </c>
      <c r="D869" s="374"/>
      <c r="E869" s="374"/>
      <c r="J869" s="0" t="n">
        <v>0</v>
      </c>
      <c r="K869" s="0" t="str">
        <f aca="false">IF(ISBLANK(J869),,J869&amp;", ")</f>
        <v>0,</v>
      </c>
    </row>
    <row r="870" customFormat="false" ht="15.75" hidden="false" customHeight="false" outlineLevel="0" collapsed="false">
      <c r="A870" s="374"/>
      <c r="B870" s="374" t="n">
        <v>0</v>
      </c>
      <c r="D870" s="374"/>
      <c r="E870" s="374"/>
      <c r="J870" s="0" t="n">
        <v>0</v>
      </c>
      <c r="K870" s="0" t="str">
        <f aca="false">IF(ISBLANK(J870),,J870&amp;", ")</f>
        <v>0,</v>
      </c>
    </row>
    <row r="871" customFormat="false" ht="15.75" hidden="false" customHeight="false" outlineLevel="0" collapsed="false">
      <c r="A871" s="374"/>
      <c r="B871" s="374" t="n">
        <v>0</v>
      </c>
      <c r="D871" s="374"/>
      <c r="E871" s="374"/>
      <c r="J871" s="0" t="n">
        <v>0</v>
      </c>
      <c r="K871" s="0" t="str">
        <f aca="false">IF(ISBLANK(J871),,J871&amp;", ")</f>
        <v>0,</v>
      </c>
    </row>
    <row r="872" customFormat="false" ht="15.75" hidden="false" customHeight="false" outlineLevel="0" collapsed="false">
      <c r="A872" s="374"/>
      <c r="B872" s="374" t="n">
        <v>0</v>
      </c>
      <c r="D872" s="374"/>
      <c r="E872" s="374"/>
      <c r="J872" s="0" t="n">
        <v>0</v>
      </c>
      <c r="K872" s="0" t="str">
        <f aca="false">IF(ISBLANK(J872),,J872&amp;", ")</f>
        <v>0,</v>
      </c>
    </row>
    <row r="873" customFormat="false" ht="15.75" hidden="false" customHeight="false" outlineLevel="0" collapsed="false">
      <c r="A873" s="374"/>
      <c r="B873" s="374" t="n">
        <v>0</v>
      </c>
      <c r="D873" s="374"/>
      <c r="E873" s="374"/>
      <c r="J873" s="0" t="n">
        <v>0</v>
      </c>
      <c r="K873" s="0" t="str">
        <f aca="false">IF(ISBLANK(J873),,J873&amp;", ")</f>
        <v>0,</v>
      </c>
    </row>
    <row r="874" customFormat="false" ht="15.75" hidden="false" customHeight="false" outlineLevel="0" collapsed="false">
      <c r="A874" s="374"/>
      <c r="B874" s="374" t="n">
        <v>0</v>
      </c>
      <c r="D874" s="374"/>
      <c r="E874" s="374"/>
      <c r="J874" s="0" t="n">
        <v>0</v>
      </c>
      <c r="K874" s="0" t="str">
        <f aca="false">IF(ISBLANK(J874),,J874&amp;", ")</f>
        <v>0,</v>
      </c>
    </row>
    <row r="875" customFormat="false" ht="15.75" hidden="false" customHeight="false" outlineLevel="0" collapsed="false">
      <c r="A875" s="374"/>
      <c r="B875" s="374" t="n">
        <v>0</v>
      </c>
      <c r="D875" s="374"/>
      <c r="E875" s="374"/>
      <c r="J875" s="0" t="n">
        <v>0</v>
      </c>
      <c r="K875" s="0" t="str">
        <f aca="false">IF(ISBLANK(J875),,J875&amp;", ")</f>
        <v>0,</v>
      </c>
    </row>
    <row r="876" customFormat="false" ht="15.75" hidden="false" customHeight="false" outlineLevel="0" collapsed="false">
      <c r="A876" s="374"/>
      <c r="B876" s="374" t="n">
        <v>0</v>
      </c>
      <c r="D876" s="374"/>
      <c r="E876" s="374"/>
      <c r="J876" s="0" t="n">
        <v>0</v>
      </c>
      <c r="K876" s="0" t="str">
        <f aca="false">IF(ISBLANK(J876),,J876&amp;", ")</f>
        <v>0,</v>
      </c>
    </row>
    <row r="877" customFormat="false" ht="15.75" hidden="false" customHeight="false" outlineLevel="0" collapsed="false">
      <c r="A877" s="374"/>
      <c r="B877" s="374" t="n">
        <v>0</v>
      </c>
      <c r="D877" s="374"/>
      <c r="E877" s="374"/>
      <c r="J877" s="0" t="n">
        <v>0</v>
      </c>
      <c r="K877" s="0" t="str">
        <f aca="false">IF(ISBLANK(J877),,J877&amp;", ")</f>
        <v>0,</v>
      </c>
    </row>
    <row r="878" customFormat="false" ht="15.75" hidden="false" customHeight="false" outlineLevel="0" collapsed="false">
      <c r="A878" s="374"/>
      <c r="B878" s="374" t="n">
        <v>0</v>
      </c>
      <c r="D878" s="374"/>
      <c r="E878" s="374"/>
      <c r="J878" s="0" t="n">
        <v>0</v>
      </c>
      <c r="K878" s="0" t="str">
        <f aca="false">IF(ISBLANK(J878),,J878&amp;", ")</f>
        <v>0,</v>
      </c>
    </row>
    <row r="879" customFormat="false" ht="15.75" hidden="false" customHeight="false" outlineLevel="0" collapsed="false">
      <c r="A879" s="374"/>
      <c r="B879" s="374" t="n">
        <v>0</v>
      </c>
      <c r="D879" s="374"/>
      <c r="E879" s="374"/>
      <c r="J879" s="0" t="n">
        <v>0</v>
      </c>
      <c r="K879" s="0" t="str">
        <f aca="false">IF(ISBLANK(J879),,J879&amp;", ")</f>
        <v>0,</v>
      </c>
    </row>
    <row r="880" customFormat="false" ht="15.75" hidden="false" customHeight="false" outlineLevel="0" collapsed="false">
      <c r="A880" s="374"/>
      <c r="B880" s="374" t="n">
        <v>0</v>
      </c>
      <c r="D880" s="374"/>
      <c r="E880" s="374"/>
      <c r="J880" s="0" t="n">
        <v>0</v>
      </c>
      <c r="K880" s="0" t="str">
        <f aca="false">IF(ISBLANK(J880),,J880&amp;", ")</f>
        <v>0,</v>
      </c>
    </row>
    <row r="881" customFormat="false" ht="15.75" hidden="false" customHeight="false" outlineLevel="0" collapsed="false">
      <c r="A881" s="374"/>
      <c r="B881" s="374" t="n">
        <v>0</v>
      </c>
      <c r="D881" s="374"/>
      <c r="E881" s="374"/>
      <c r="J881" s="0" t="n">
        <v>0</v>
      </c>
      <c r="K881" s="0" t="str">
        <f aca="false">IF(ISBLANK(J881),,J881&amp;", ")</f>
        <v>0,</v>
      </c>
    </row>
    <row r="882" customFormat="false" ht="15.75" hidden="false" customHeight="false" outlineLevel="0" collapsed="false">
      <c r="A882" s="374"/>
      <c r="B882" s="374" t="n">
        <v>0</v>
      </c>
      <c r="D882" s="374"/>
      <c r="E882" s="374"/>
      <c r="J882" s="0" t="n">
        <v>0</v>
      </c>
      <c r="K882" s="0" t="str">
        <f aca="false">IF(ISBLANK(J882),,J882&amp;", ")</f>
        <v>0,</v>
      </c>
    </row>
    <row r="883" customFormat="false" ht="15.75" hidden="false" customHeight="false" outlineLevel="0" collapsed="false">
      <c r="A883" s="374"/>
      <c r="B883" s="374" t="n">
        <v>0</v>
      </c>
      <c r="D883" s="374"/>
      <c r="E883" s="374"/>
      <c r="J883" s="0" t="n">
        <v>0</v>
      </c>
      <c r="K883" s="0" t="str">
        <f aca="false">IF(ISBLANK(J883),,J883&amp;", ")</f>
        <v>0,</v>
      </c>
    </row>
    <row r="884" customFormat="false" ht="15.75" hidden="false" customHeight="false" outlineLevel="0" collapsed="false">
      <c r="A884" s="374"/>
      <c r="B884" s="374" t="n">
        <v>0</v>
      </c>
      <c r="D884" s="374"/>
      <c r="E884" s="374"/>
      <c r="J884" s="0" t="n">
        <v>0</v>
      </c>
      <c r="K884" s="0" t="str">
        <f aca="false">IF(ISBLANK(J884),,J884&amp;", ")</f>
        <v>0,</v>
      </c>
    </row>
    <row r="885" customFormat="false" ht="15.75" hidden="false" customHeight="false" outlineLevel="0" collapsed="false">
      <c r="A885" s="374"/>
      <c r="B885" s="374" t="n">
        <v>0</v>
      </c>
      <c r="D885" s="374"/>
      <c r="E885" s="374"/>
      <c r="J885" s="0" t="n">
        <v>0</v>
      </c>
      <c r="K885" s="0" t="str">
        <f aca="false">IF(ISBLANK(J885),,J885&amp;", ")</f>
        <v>0,</v>
      </c>
    </row>
    <row r="886" customFormat="false" ht="15.75" hidden="false" customHeight="false" outlineLevel="0" collapsed="false">
      <c r="A886" s="374"/>
      <c r="B886" s="374" t="n">
        <v>0</v>
      </c>
      <c r="D886" s="374"/>
      <c r="E886" s="374"/>
      <c r="J886" s="0" t="n">
        <v>0</v>
      </c>
      <c r="K886" s="0" t="str">
        <f aca="false">IF(ISBLANK(J886),,J886&amp;", ")</f>
        <v>0,</v>
      </c>
    </row>
    <row r="887" customFormat="false" ht="15.75" hidden="false" customHeight="false" outlineLevel="0" collapsed="false">
      <c r="A887" s="374"/>
      <c r="B887" s="374" t="n">
        <v>0</v>
      </c>
      <c r="D887" s="374"/>
      <c r="E887" s="374"/>
      <c r="J887" s="0" t="n">
        <v>0</v>
      </c>
      <c r="K887" s="0" t="str">
        <f aca="false">IF(ISBLANK(J887),,J887&amp;", ")</f>
        <v>0,</v>
      </c>
    </row>
    <row r="888" customFormat="false" ht="15.75" hidden="false" customHeight="false" outlineLevel="0" collapsed="false">
      <c r="A888" s="374"/>
      <c r="B888" s="374" t="n">
        <v>0</v>
      </c>
      <c r="D888" s="374"/>
      <c r="E888" s="374"/>
      <c r="J888" s="0" t="n">
        <v>0</v>
      </c>
      <c r="K888" s="0" t="str">
        <f aca="false">IF(ISBLANK(J888),,J888&amp;", ")</f>
        <v>0,</v>
      </c>
    </row>
    <row r="889" customFormat="false" ht="15.75" hidden="false" customHeight="false" outlineLevel="0" collapsed="false">
      <c r="A889" s="374"/>
      <c r="B889" s="374" t="n">
        <v>0</v>
      </c>
      <c r="D889" s="374"/>
      <c r="E889" s="374"/>
      <c r="J889" s="0" t="n">
        <v>0</v>
      </c>
      <c r="K889" s="0" t="str">
        <f aca="false">IF(ISBLANK(J889),,J889&amp;", ")</f>
        <v>0,</v>
      </c>
    </row>
    <row r="890" customFormat="false" ht="15.75" hidden="false" customHeight="false" outlineLevel="0" collapsed="false">
      <c r="A890" s="374"/>
      <c r="B890" s="374" t="n">
        <v>0</v>
      </c>
      <c r="D890" s="374"/>
      <c r="E890" s="374"/>
      <c r="J890" s="0" t="n">
        <v>0</v>
      </c>
      <c r="K890" s="0" t="str">
        <f aca="false">IF(ISBLANK(J890),,J890&amp;", ")</f>
        <v>0,</v>
      </c>
    </row>
    <row r="891" customFormat="false" ht="15.75" hidden="false" customHeight="false" outlineLevel="0" collapsed="false">
      <c r="A891" s="374"/>
      <c r="B891" s="374" t="n">
        <v>0</v>
      </c>
      <c r="D891" s="374"/>
      <c r="E891" s="374"/>
      <c r="J891" s="0" t="n">
        <v>0</v>
      </c>
      <c r="K891" s="0" t="str">
        <f aca="false">IF(ISBLANK(J891),,J891&amp;", ")</f>
        <v>0,</v>
      </c>
    </row>
    <row r="892" customFormat="false" ht="15.75" hidden="false" customHeight="false" outlineLevel="0" collapsed="false">
      <c r="A892" s="374"/>
      <c r="B892" s="374" t="n">
        <v>0</v>
      </c>
      <c r="D892" s="374"/>
      <c r="E892" s="374"/>
      <c r="J892" s="0" t="n">
        <v>0</v>
      </c>
      <c r="K892" s="0" t="str">
        <f aca="false">IF(ISBLANK(J892),,J892&amp;", ")</f>
        <v>0,</v>
      </c>
    </row>
    <row r="893" customFormat="false" ht="15.75" hidden="false" customHeight="false" outlineLevel="0" collapsed="false">
      <c r="A893" s="374"/>
      <c r="B893" s="374" t="n">
        <v>0</v>
      </c>
      <c r="D893" s="374"/>
      <c r="E893" s="374"/>
      <c r="J893" s="0" t="n">
        <v>0</v>
      </c>
      <c r="K893" s="0" t="str">
        <f aca="false">IF(ISBLANK(J893),,J893&amp;", ")</f>
        <v>0,</v>
      </c>
    </row>
    <row r="894" customFormat="false" ht="15.75" hidden="false" customHeight="false" outlineLevel="0" collapsed="false">
      <c r="A894" s="374"/>
      <c r="B894" s="374" t="n">
        <v>0</v>
      </c>
      <c r="D894" s="374"/>
      <c r="E894" s="374"/>
      <c r="J894" s="0" t="n">
        <v>0</v>
      </c>
      <c r="K894" s="0" t="str">
        <f aca="false">IF(ISBLANK(J894),,J894&amp;", ")</f>
        <v>0,</v>
      </c>
    </row>
    <row r="895" customFormat="false" ht="15.75" hidden="false" customHeight="false" outlineLevel="0" collapsed="false">
      <c r="A895" s="374"/>
      <c r="B895" s="374" t="n">
        <v>0</v>
      </c>
      <c r="D895" s="374"/>
      <c r="E895" s="374"/>
      <c r="J895" s="0" t="n">
        <v>0</v>
      </c>
      <c r="K895" s="0" t="str">
        <f aca="false">IF(ISBLANK(J895),,J895&amp;", ")</f>
        <v>0,</v>
      </c>
    </row>
    <row r="896" customFormat="false" ht="15.75" hidden="false" customHeight="false" outlineLevel="0" collapsed="false">
      <c r="A896" s="374"/>
      <c r="B896" s="374" t="n">
        <v>0</v>
      </c>
      <c r="D896" s="374"/>
      <c r="E896" s="374"/>
      <c r="J896" s="0" t="n">
        <v>0</v>
      </c>
      <c r="K896" s="0" t="str">
        <f aca="false">IF(ISBLANK(J896),,J896&amp;", ")</f>
        <v>0,</v>
      </c>
    </row>
    <row r="897" customFormat="false" ht="15.75" hidden="false" customHeight="false" outlineLevel="0" collapsed="false">
      <c r="A897" s="374"/>
      <c r="B897" s="374" t="n">
        <v>0</v>
      </c>
      <c r="D897" s="374"/>
      <c r="E897" s="374"/>
      <c r="J897" s="0" t="n">
        <v>0</v>
      </c>
      <c r="K897" s="0" t="str">
        <f aca="false">IF(ISBLANK(J897),,J897&amp;", ")</f>
        <v>0,</v>
      </c>
    </row>
    <row r="898" customFormat="false" ht="15.75" hidden="false" customHeight="false" outlineLevel="0" collapsed="false">
      <c r="A898" s="374"/>
      <c r="B898" s="374" t="n">
        <v>0</v>
      </c>
      <c r="D898" s="374"/>
      <c r="E898" s="374"/>
      <c r="J898" s="0" t="n">
        <v>0</v>
      </c>
      <c r="K898" s="0" t="str">
        <f aca="false">IF(ISBLANK(J898),,J898&amp;", ")</f>
        <v>0,</v>
      </c>
    </row>
    <row r="899" customFormat="false" ht="15.75" hidden="false" customHeight="false" outlineLevel="0" collapsed="false">
      <c r="A899" s="374"/>
      <c r="B899" s="374" t="n">
        <v>0</v>
      </c>
      <c r="D899" s="374"/>
      <c r="E899" s="374"/>
      <c r="J899" s="0" t="n">
        <v>0</v>
      </c>
      <c r="K899" s="0" t="str">
        <f aca="false">IF(ISBLANK(J899),,J899&amp;", ")</f>
        <v>0,</v>
      </c>
    </row>
    <row r="900" customFormat="false" ht="15.75" hidden="false" customHeight="false" outlineLevel="0" collapsed="false">
      <c r="A900" s="374"/>
      <c r="B900" s="374" t="n">
        <v>0</v>
      </c>
      <c r="D900" s="374"/>
      <c r="E900" s="374"/>
      <c r="J900" s="0" t="n">
        <v>0</v>
      </c>
      <c r="K900" s="0" t="str">
        <f aca="false">IF(ISBLANK(J900),,J900&amp;", ")</f>
        <v>0,</v>
      </c>
    </row>
    <row r="901" customFormat="false" ht="15.75" hidden="false" customHeight="false" outlineLevel="0" collapsed="false">
      <c r="A901" s="374"/>
      <c r="B901" s="374" t="n">
        <v>0</v>
      </c>
      <c r="D901" s="374"/>
      <c r="E901" s="374"/>
      <c r="J901" s="0" t="n">
        <v>0</v>
      </c>
      <c r="K901" s="0" t="str">
        <f aca="false">IF(ISBLANK(J901),,J901&amp;", ")</f>
        <v>0,</v>
      </c>
    </row>
    <row r="902" customFormat="false" ht="15.75" hidden="false" customHeight="false" outlineLevel="0" collapsed="false">
      <c r="A902" s="374"/>
      <c r="B902" s="374" t="n">
        <v>0</v>
      </c>
      <c r="D902" s="374"/>
      <c r="E902" s="374"/>
      <c r="J902" s="0" t="n">
        <v>0</v>
      </c>
      <c r="K902" s="0" t="str">
        <f aca="false">IF(ISBLANK(J902),,J902&amp;", ")</f>
        <v>0,</v>
      </c>
    </row>
    <row r="903" customFormat="false" ht="15.75" hidden="false" customHeight="false" outlineLevel="0" collapsed="false">
      <c r="A903" s="374"/>
      <c r="B903" s="374" t="n">
        <v>0</v>
      </c>
      <c r="D903" s="374"/>
      <c r="E903" s="374"/>
      <c r="J903" s="0" t="n">
        <v>0</v>
      </c>
      <c r="K903" s="0" t="str">
        <f aca="false">IF(ISBLANK(J903),,J903&amp;", ")</f>
        <v>0,</v>
      </c>
    </row>
    <row r="904" customFormat="false" ht="15.75" hidden="false" customHeight="false" outlineLevel="0" collapsed="false">
      <c r="A904" s="374"/>
      <c r="B904" s="374" t="n">
        <v>0</v>
      </c>
      <c r="D904" s="374"/>
      <c r="E904" s="374"/>
      <c r="J904" s="0" t="n">
        <v>0</v>
      </c>
      <c r="K904" s="0" t="str">
        <f aca="false">IF(ISBLANK(J904),,J904&amp;", ")</f>
        <v>0,</v>
      </c>
    </row>
    <row r="905" customFormat="false" ht="15.75" hidden="false" customHeight="false" outlineLevel="0" collapsed="false">
      <c r="A905" s="374"/>
      <c r="B905" s="374" t="n">
        <v>0</v>
      </c>
      <c r="D905" s="374"/>
      <c r="E905" s="374"/>
      <c r="J905" s="0" t="n">
        <v>0</v>
      </c>
      <c r="K905" s="0" t="str">
        <f aca="false">IF(ISBLANK(J905),,J905&amp;", ")</f>
        <v>0,</v>
      </c>
    </row>
    <row r="906" customFormat="false" ht="15.75" hidden="false" customHeight="false" outlineLevel="0" collapsed="false">
      <c r="A906" s="374"/>
      <c r="B906" s="374" t="n">
        <v>0</v>
      </c>
      <c r="D906" s="374"/>
      <c r="E906" s="374"/>
      <c r="J906" s="0" t="n">
        <v>0</v>
      </c>
      <c r="K906" s="0" t="str">
        <f aca="false">IF(ISBLANK(J906),,J906&amp;", ")</f>
        <v>0,</v>
      </c>
    </row>
    <row r="907" customFormat="false" ht="15.75" hidden="false" customHeight="false" outlineLevel="0" collapsed="false">
      <c r="A907" s="374"/>
      <c r="B907" s="374" t="n">
        <v>0</v>
      </c>
      <c r="D907" s="374"/>
      <c r="E907" s="374"/>
      <c r="J907" s="0" t="n">
        <v>0</v>
      </c>
      <c r="K907" s="0" t="str">
        <f aca="false">IF(ISBLANK(J907),,J907&amp;", ")</f>
        <v>0,</v>
      </c>
    </row>
    <row r="908" customFormat="false" ht="15.75" hidden="false" customHeight="false" outlineLevel="0" collapsed="false">
      <c r="A908" s="374"/>
      <c r="B908" s="374" t="n">
        <v>0</v>
      </c>
      <c r="D908" s="374"/>
      <c r="E908" s="374"/>
      <c r="J908" s="0" t="n">
        <v>0</v>
      </c>
      <c r="K908" s="0" t="str">
        <f aca="false">IF(ISBLANK(J908),,J908&amp;", ")</f>
        <v>0,</v>
      </c>
    </row>
    <row r="909" customFormat="false" ht="15.75" hidden="false" customHeight="false" outlineLevel="0" collapsed="false">
      <c r="A909" s="374"/>
      <c r="B909" s="374" t="n">
        <v>0</v>
      </c>
      <c r="D909" s="374"/>
      <c r="E909" s="374"/>
      <c r="J909" s="0" t="n">
        <v>0</v>
      </c>
      <c r="K909" s="0" t="str">
        <f aca="false">IF(ISBLANK(J909),,J909&amp;", ")</f>
        <v>0,</v>
      </c>
    </row>
    <row r="910" customFormat="false" ht="15.75" hidden="false" customHeight="false" outlineLevel="0" collapsed="false">
      <c r="A910" s="374"/>
      <c r="B910" s="374" t="n">
        <v>0</v>
      </c>
      <c r="D910" s="374"/>
      <c r="E910" s="374"/>
      <c r="J910" s="0" t="n">
        <v>0</v>
      </c>
      <c r="K910" s="0" t="str">
        <f aca="false">IF(ISBLANK(J910),,J910&amp;", ")</f>
        <v>0,</v>
      </c>
    </row>
    <row r="911" customFormat="false" ht="15.75" hidden="false" customHeight="false" outlineLevel="0" collapsed="false">
      <c r="A911" s="374"/>
      <c r="B911" s="374" t="n">
        <v>0</v>
      </c>
      <c r="D911" s="374"/>
      <c r="E911" s="374"/>
      <c r="J911" s="0" t="n">
        <v>0</v>
      </c>
      <c r="K911" s="0" t="str">
        <f aca="false">IF(ISBLANK(J911),,J911&amp;", ")</f>
        <v>0,</v>
      </c>
    </row>
    <row r="912" customFormat="false" ht="15.75" hidden="false" customHeight="false" outlineLevel="0" collapsed="false">
      <c r="A912" s="374"/>
      <c r="B912" s="374" t="n">
        <v>0</v>
      </c>
      <c r="D912" s="374"/>
      <c r="E912" s="374"/>
      <c r="J912" s="0" t="n">
        <v>0</v>
      </c>
      <c r="K912" s="0" t="str">
        <f aca="false">IF(ISBLANK(J912),,J912&amp;", ")</f>
        <v>0,</v>
      </c>
    </row>
    <row r="913" customFormat="false" ht="15.75" hidden="false" customHeight="false" outlineLevel="0" collapsed="false">
      <c r="A913" s="374"/>
      <c r="B913" s="374" t="n">
        <v>0</v>
      </c>
      <c r="D913" s="374"/>
      <c r="E913" s="374"/>
      <c r="J913" s="0" t="n">
        <v>0</v>
      </c>
      <c r="K913" s="0" t="str">
        <f aca="false">IF(ISBLANK(J913),,J913&amp;", ")</f>
        <v>0,</v>
      </c>
    </row>
    <row r="914" customFormat="false" ht="15.75" hidden="false" customHeight="false" outlineLevel="0" collapsed="false">
      <c r="A914" s="374"/>
      <c r="B914" s="374" t="n">
        <v>0</v>
      </c>
      <c r="D914" s="374"/>
      <c r="E914" s="374"/>
      <c r="J914" s="0" t="n">
        <v>0</v>
      </c>
      <c r="K914" s="0" t="str">
        <f aca="false">IF(ISBLANK(J914),,J914&amp;", ")</f>
        <v>0,</v>
      </c>
    </row>
    <row r="915" customFormat="false" ht="15.75" hidden="false" customHeight="false" outlineLevel="0" collapsed="false">
      <c r="A915" s="374"/>
      <c r="B915" s="374" t="n">
        <v>0</v>
      </c>
      <c r="D915" s="374"/>
      <c r="E915" s="374"/>
      <c r="J915" s="0" t="n">
        <v>0</v>
      </c>
      <c r="K915" s="0" t="str">
        <f aca="false">IF(ISBLANK(J915),,J915&amp;", ")</f>
        <v>0,</v>
      </c>
    </row>
    <row r="916" customFormat="false" ht="15.75" hidden="false" customHeight="false" outlineLevel="0" collapsed="false">
      <c r="A916" s="374"/>
      <c r="B916" s="374" t="n">
        <v>0</v>
      </c>
      <c r="D916" s="374"/>
      <c r="E916" s="374"/>
      <c r="J916" s="0" t="n">
        <v>0</v>
      </c>
      <c r="K916" s="0" t="str">
        <f aca="false">IF(ISBLANK(J916),,J916&amp;", ")</f>
        <v>0,</v>
      </c>
    </row>
    <row r="917" customFormat="false" ht="15.75" hidden="false" customHeight="false" outlineLevel="0" collapsed="false">
      <c r="A917" s="374"/>
      <c r="B917" s="374" t="n">
        <v>0</v>
      </c>
      <c r="D917" s="374"/>
      <c r="E917" s="374"/>
      <c r="J917" s="0" t="n">
        <v>0</v>
      </c>
      <c r="K917" s="0" t="str">
        <f aca="false">IF(ISBLANK(J917),,J917&amp;", ")</f>
        <v>0,</v>
      </c>
    </row>
    <row r="918" customFormat="false" ht="15.75" hidden="false" customHeight="false" outlineLevel="0" collapsed="false">
      <c r="A918" s="374"/>
      <c r="B918" s="374" t="n">
        <v>0</v>
      </c>
      <c r="D918" s="374"/>
      <c r="E918" s="374"/>
      <c r="J918" s="0" t="n">
        <v>0</v>
      </c>
      <c r="K918" s="0" t="str">
        <f aca="false">IF(ISBLANK(J918),,J918&amp;", ")</f>
        <v>0,</v>
      </c>
    </row>
    <row r="919" customFormat="false" ht="15.75" hidden="false" customHeight="false" outlineLevel="0" collapsed="false">
      <c r="A919" s="374"/>
      <c r="B919" s="374" t="n">
        <v>0</v>
      </c>
      <c r="D919" s="374"/>
      <c r="E919" s="374"/>
      <c r="J919" s="0" t="n">
        <v>0</v>
      </c>
      <c r="K919" s="0" t="str">
        <f aca="false">IF(ISBLANK(J919),,J919&amp;", ")</f>
        <v>0,</v>
      </c>
    </row>
    <row r="920" customFormat="false" ht="15.75" hidden="false" customHeight="false" outlineLevel="0" collapsed="false">
      <c r="A920" s="374"/>
      <c r="B920" s="374" t="n">
        <v>0</v>
      </c>
      <c r="D920" s="374"/>
      <c r="E920" s="374"/>
      <c r="J920" s="0" t="n">
        <v>0</v>
      </c>
      <c r="K920" s="0" t="str">
        <f aca="false">IF(ISBLANK(J920),,J920&amp;", ")</f>
        <v>0,</v>
      </c>
    </row>
    <row r="921" customFormat="false" ht="15.75" hidden="false" customHeight="false" outlineLevel="0" collapsed="false">
      <c r="A921" s="374"/>
      <c r="B921" s="374" t="n">
        <v>0</v>
      </c>
      <c r="D921" s="374"/>
      <c r="E921" s="374"/>
      <c r="J921" s="0" t="n">
        <v>0</v>
      </c>
      <c r="K921" s="0" t="str">
        <f aca="false">IF(ISBLANK(J921),,J921&amp;", ")</f>
        <v>0,</v>
      </c>
    </row>
    <row r="922" customFormat="false" ht="15.75" hidden="false" customHeight="false" outlineLevel="0" collapsed="false">
      <c r="A922" s="374"/>
      <c r="B922" s="374" t="n">
        <v>0</v>
      </c>
      <c r="D922" s="374"/>
      <c r="E922" s="374"/>
      <c r="J922" s="0" t="n">
        <v>0</v>
      </c>
      <c r="K922" s="0" t="str">
        <f aca="false">IF(ISBLANK(J922),,J922&amp;", ")</f>
        <v>0,</v>
      </c>
    </row>
    <row r="923" customFormat="false" ht="15.75" hidden="false" customHeight="false" outlineLevel="0" collapsed="false">
      <c r="A923" s="374"/>
      <c r="B923" s="374" t="n">
        <v>0</v>
      </c>
      <c r="D923" s="374"/>
      <c r="E923" s="374"/>
      <c r="J923" s="0" t="n">
        <v>0</v>
      </c>
      <c r="K923" s="0" t="str">
        <f aca="false">IF(ISBLANK(J923),,J923&amp;", ")</f>
        <v>0,</v>
      </c>
    </row>
    <row r="924" customFormat="false" ht="15.75" hidden="false" customHeight="false" outlineLevel="0" collapsed="false">
      <c r="A924" s="374"/>
      <c r="B924" s="374" t="n">
        <v>0</v>
      </c>
      <c r="D924" s="374"/>
      <c r="E924" s="374"/>
      <c r="J924" s="0" t="n">
        <v>0</v>
      </c>
      <c r="K924" s="0" t="str">
        <f aca="false">IF(ISBLANK(J924),,J924&amp;", ")</f>
        <v>0,</v>
      </c>
    </row>
    <row r="925" customFormat="false" ht="15.75" hidden="false" customHeight="false" outlineLevel="0" collapsed="false">
      <c r="A925" s="374"/>
      <c r="B925" s="374" t="n">
        <v>0</v>
      </c>
      <c r="D925" s="374"/>
      <c r="E925" s="374"/>
      <c r="J925" s="0" t="n">
        <v>0</v>
      </c>
      <c r="K925" s="0" t="str">
        <f aca="false">IF(ISBLANK(J925),,J925&amp;", ")</f>
        <v>0,</v>
      </c>
    </row>
    <row r="926" customFormat="false" ht="15.75" hidden="false" customHeight="false" outlineLevel="0" collapsed="false">
      <c r="A926" s="374"/>
      <c r="B926" s="374" t="n">
        <v>0</v>
      </c>
      <c r="D926" s="374"/>
      <c r="E926" s="374"/>
      <c r="J926" s="0" t="n">
        <v>0</v>
      </c>
      <c r="K926" s="0" t="str">
        <f aca="false">IF(ISBLANK(J926),,J926&amp;", ")</f>
        <v>0,</v>
      </c>
    </row>
    <row r="927" customFormat="false" ht="15.75" hidden="false" customHeight="false" outlineLevel="0" collapsed="false">
      <c r="A927" s="374"/>
      <c r="B927" s="374" t="n">
        <v>0</v>
      </c>
      <c r="D927" s="374"/>
      <c r="E927" s="374"/>
      <c r="J927" s="0" t="n">
        <v>0</v>
      </c>
      <c r="K927" s="0" t="str">
        <f aca="false">IF(ISBLANK(J927),,J927&amp;", ")</f>
        <v>0,</v>
      </c>
    </row>
    <row r="928" customFormat="false" ht="15.75" hidden="false" customHeight="false" outlineLevel="0" collapsed="false">
      <c r="A928" s="374"/>
      <c r="B928" s="374" t="n">
        <v>0</v>
      </c>
      <c r="D928" s="374"/>
      <c r="E928" s="374"/>
      <c r="J928" s="0" t="n">
        <v>0</v>
      </c>
      <c r="K928" s="0" t="str">
        <f aca="false">IF(ISBLANK(J928),,J928&amp;", ")</f>
        <v>0,</v>
      </c>
    </row>
    <row r="929" customFormat="false" ht="15.75" hidden="false" customHeight="false" outlineLevel="0" collapsed="false">
      <c r="A929" s="374"/>
      <c r="B929" s="374" t="n">
        <v>0</v>
      </c>
      <c r="D929" s="374"/>
      <c r="E929" s="374"/>
      <c r="J929" s="0" t="n">
        <v>0</v>
      </c>
      <c r="K929" s="0" t="str">
        <f aca="false">IF(ISBLANK(J929),,J929&amp;", ")</f>
        <v>0,</v>
      </c>
    </row>
    <row r="930" customFormat="false" ht="15.75" hidden="false" customHeight="false" outlineLevel="0" collapsed="false">
      <c r="A930" s="374"/>
      <c r="B930" s="374" t="n">
        <v>0</v>
      </c>
      <c r="D930" s="374"/>
      <c r="E930" s="374"/>
      <c r="J930" s="0" t="n">
        <v>0</v>
      </c>
      <c r="K930" s="0" t="str">
        <f aca="false">IF(ISBLANK(J930),,J930&amp;", ")</f>
        <v>0,</v>
      </c>
    </row>
    <row r="931" customFormat="false" ht="15.75" hidden="false" customHeight="false" outlineLevel="0" collapsed="false">
      <c r="A931" s="374"/>
      <c r="B931" s="374" t="n">
        <v>0</v>
      </c>
      <c r="D931" s="374"/>
      <c r="E931" s="374"/>
      <c r="J931" s="0" t="n">
        <v>0</v>
      </c>
      <c r="K931" s="0" t="str">
        <f aca="false">IF(ISBLANK(J931),,J931&amp;", ")</f>
        <v>0,</v>
      </c>
    </row>
    <row r="932" customFormat="false" ht="15.75" hidden="false" customHeight="false" outlineLevel="0" collapsed="false">
      <c r="A932" s="374"/>
      <c r="B932" s="374" t="n">
        <v>0</v>
      </c>
      <c r="D932" s="374"/>
      <c r="E932" s="374"/>
      <c r="J932" s="0" t="n">
        <v>0</v>
      </c>
      <c r="K932" s="0" t="str">
        <f aca="false">IF(ISBLANK(J932),,J932&amp;", ")</f>
        <v>0,</v>
      </c>
    </row>
    <row r="933" customFormat="false" ht="15.75" hidden="false" customHeight="false" outlineLevel="0" collapsed="false">
      <c r="A933" s="374"/>
      <c r="B933" s="374" t="n">
        <v>0</v>
      </c>
      <c r="D933" s="374"/>
      <c r="E933" s="374"/>
      <c r="J933" s="0" t="n">
        <v>0</v>
      </c>
      <c r="K933" s="0" t="str">
        <f aca="false">IF(ISBLANK(J933),,J933&amp;", ")</f>
        <v>0,</v>
      </c>
    </row>
    <row r="934" customFormat="false" ht="15.75" hidden="false" customHeight="false" outlineLevel="0" collapsed="false">
      <c r="A934" s="374"/>
      <c r="B934" s="374" t="n">
        <v>0</v>
      </c>
      <c r="D934" s="374"/>
      <c r="E934" s="374"/>
      <c r="J934" s="0" t="n">
        <v>0</v>
      </c>
      <c r="K934" s="0" t="str">
        <f aca="false">IF(ISBLANK(J934),,J934&amp;", ")</f>
        <v>0,</v>
      </c>
    </row>
    <row r="935" customFormat="false" ht="15.75" hidden="false" customHeight="false" outlineLevel="0" collapsed="false">
      <c r="A935" s="374"/>
      <c r="B935" s="374" t="n">
        <v>0</v>
      </c>
      <c r="D935" s="374"/>
      <c r="E935" s="374"/>
      <c r="J935" s="0" t="n">
        <v>0</v>
      </c>
      <c r="K935" s="0" t="str">
        <f aca="false">IF(ISBLANK(J935),,J935&amp;", ")</f>
        <v>0,</v>
      </c>
    </row>
    <row r="936" customFormat="false" ht="15.75" hidden="false" customHeight="false" outlineLevel="0" collapsed="false">
      <c r="A936" s="374"/>
      <c r="B936" s="374" t="n">
        <v>0</v>
      </c>
      <c r="D936" s="374"/>
      <c r="E936" s="374"/>
      <c r="J936" s="0" t="n">
        <v>0</v>
      </c>
      <c r="K936" s="0" t="str">
        <f aca="false">IF(ISBLANK(J936),,J936&amp;", ")</f>
        <v>0,</v>
      </c>
    </row>
    <row r="937" customFormat="false" ht="15.75" hidden="false" customHeight="false" outlineLevel="0" collapsed="false">
      <c r="A937" s="374"/>
      <c r="B937" s="374" t="n">
        <v>0</v>
      </c>
      <c r="D937" s="374"/>
      <c r="E937" s="374"/>
      <c r="J937" s="0" t="n">
        <v>0</v>
      </c>
      <c r="K937" s="0" t="str">
        <f aca="false">IF(ISBLANK(J937),,J937&amp;", ")</f>
        <v>0,</v>
      </c>
    </row>
    <row r="938" customFormat="false" ht="15.75" hidden="false" customHeight="false" outlineLevel="0" collapsed="false">
      <c r="A938" s="374"/>
      <c r="B938" s="374" t="n">
        <v>0</v>
      </c>
      <c r="D938" s="374"/>
      <c r="E938" s="374"/>
      <c r="J938" s="0" t="n">
        <v>0</v>
      </c>
      <c r="K938" s="0" t="str">
        <f aca="false">IF(ISBLANK(J938),,J938&amp;", ")</f>
        <v>0,</v>
      </c>
    </row>
    <row r="939" customFormat="false" ht="15.75" hidden="false" customHeight="false" outlineLevel="0" collapsed="false">
      <c r="A939" s="374"/>
      <c r="B939" s="374" t="n">
        <v>0</v>
      </c>
      <c r="D939" s="374"/>
      <c r="E939" s="374"/>
      <c r="J939" s="0" t="n">
        <v>0</v>
      </c>
      <c r="K939" s="0" t="str">
        <f aca="false">IF(ISBLANK(J939),,J939&amp;", ")</f>
        <v>0,</v>
      </c>
    </row>
    <row r="940" customFormat="false" ht="15.75" hidden="false" customHeight="false" outlineLevel="0" collapsed="false">
      <c r="A940" s="374"/>
      <c r="B940" s="374" t="n">
        <v>0</v>
      </c>
      <c r="D940" s="374"/>
      <c r="E940" s="374"/>
      <c r="J940" s="0" t="n">
        <v>0</v>
      </c>
      <c r="K940" s="0" t="str">
        <f aca="false">IF(ISBLANK(J940),,J940&amp;", ")</f>
        <v>0,</v>
      </c>
    </row>
    <row r="941" customFormat="false" ht="15.75" hidden="false" customHeight="false" outlineLevel="0" collapsed="false">
      <c r="A941" s="374"/>
      <c r="B941" s="374" t="n">
        <v>0</v>
      </c>
      <c r="D941" s="374"/>
      <c r="E941" s="374"/>
      <c r="J941" s="0" t="n">
        <v>0</v>
      </c>
      <c r="K941" s="0" t="str">
        <f aca="false">IF(ISBLANK(J941),,J941&amp;", ")</f>
        <v>0,</v>
      </c>
    </row>
    <row r="942" customFormat="false" ht="15.75" hidden="false" customHeight="false" outlineLevel="0" collapsed="false">
      <c r="A942" s="374"/>
      <c r="B942" s="374" t="n">
        <v>0</v>
      </c>
      <c r="D942" s="374"/>
      <c r="E942" s="374"/>
      <c r="J942" s="0" t="n">
        <v>0</v>
      </c>
      <c r="K942" s="0" t="str">
        <f aca="false">IF(ISBLANK(J942),,J942&amp;", ")</f>
        <v>0,</v>
      </c>
    </row>
    <row r="943" customFormat="false" ht="15.75" hidden="false" customHeight="false" outlineLevel="0" collapsed="false">
      <c r="A943" s="374"/>
      <c r="B943" s="374" t="n">
        <v>0</v>
      </c>
      <c r="D943" s="374"/>
      <c r="E943" s="374"/>
      <c r="J943" s="0" t="n">
        <v>0</v>
      </c>
      <c r="K943" s="0" t="str">
        <f aca="false">IF(ISBLANK(J943),,J943&amp;", ")</f>
        <v>0,</v>
      </c>
    </row>
    <row r="944" customFormat="false" ht="15.75" hidden="false" customHeight="false" outlineLevel="0" collapsed="false">
      <c r="A944" s="374"/>
      <c r="B944" s="374" t="n">
        <v>0</v>
      </c>
      <c r="D944" s="374"/>
      <c r="E944" s="374"/>
      <c r="J944" s="0" t="n">
        <v>0</v>
      </c>
      <c r="K944" s="0" t="str">
        <f aca="false">IF(ISBLANK(J944),,J944&amp;", ")</f>
        <v>0,</v>
      </c>
    </row>
    <row r="945" customFormat="false" ht="15.75" hidden="false" customHeight="false" outlineLevel="0" collapsed="false">
      <c r="A945" s="374"/>
      <c r="B945" s="374" t="n">
        <v>0</v>
      </c>
      <c r="D945" s="374"/>
      <c r="E945" s="374"/>
      <c r="J945" s="0" t="n">
        <v>0</v>
      </c>
      <c r="K945" s="0" t="str">
        <f aca="false">IF(ISBLANK(J945),,J945&amp;", ")</f>
        <v>0,</v>
      </c>
    </row>
    <row r="946" customFormat="false" ht="15.75" hidden="false" customHeight="false" outlineLevel="0" collapsed="false">
      <c r="A946" s="374"/>
      <c r="B946" s="374" t="n">
        <v>0</v>
      </c>
      <c r="D946" s="374"/>
      <c r="E946" s="374"/>
      <c r="J946" s="0" t="n">
        <v>0</v>
      </c>
      <c r="K946" s="0" t="str">
        <f aca="false">IF(ISBLANK(J946),,J946&amp;", ")</f>
        <v>0,</v>
      </c>
    </row>
    <row r="947" customFormat="false" ht="15.75" hidden="false" customHeight="false" outlineLevel="0" collapsed="false">
      <c r="A947" s="374"/>
      <c r="B947" s="374" t="n">
        <v>0</v>
      </c>
      <c r="D947" s="374"/>
      <c r="E947" s="374"/>
      <c r="J947" s="0" t="n">
        <v>0</v>
      </c>
      <c r="K947" s="0" t="str">
        <f aca="false">IF(ISBLANK(J947),,J947&amp;", ")</f>
        <v>0,</v>
      </c>
    </row>
    <row r="948" customFormat="false" ht="15.75" hidden="false" customHeight="false" outlineLevel="0" collapsed="false">
      <c r="A948" s="374"/>
      <c r="B948" s="374" t="n">
        <v>0</v>
      </c>
      <c r="D948" s="374"/>
      <c r="E948" s="374"/>
      <c r="J948" s="0" t="n">
        <v>0</v>
      </c>
      <c r="K948" s="0" t="str">
        <f aca="false">IF(ISBLANK(J948),,J948&amp;", ")</f>
        <v>0,</v>
      </c>
    </row>
    <row r="949" customFormat="false" ht="15.75" hidden="false" customHeight="false" outlineLevel="0" collapsed="false">
      <c r="A949" s="374"/>
      <c r="B949" s="374" t="n">
        <v>0</v>
      </c>
      <c r="D949" s="374"/>
      <c r="E949" s="374"/>
      <c r="J949" s="0" t="n">
        <v>0</v>
      </c>
      <c r="K949" s="0" t="str">
        <f aca="false">IF(ISBLANK(J949),,J949&amp;", ")</f>
        <v>0,</v>
      </c>
    </row>
    <row r="950" customFormat="false" ht="15.75" hidden="false" customHeight="false" outlineLevel="0" collapsed="false">
      <c r="A950" s="374"/>
      <c r="B950" s="374" t="n">
        <v>0</v>
      </c>
      <c r="D950" s="374"/>
      <c r="E950" s="374"/>
      <c r="J950" s="0" t="n">
        <v>0</v>
      </c>
      <c r="K950" s="0" t="str">
        <f aca="false">IF(ISBLANK(J950),,J950&amp;", ")</f>
        <v>0,</v>
      </c>
    </row>
    <row r="951" customFormat="false" ht="15.75" hidden="false" customHeight="false" outlineLevel="0" collapsed="false">
      <c r="A951" s="374"/>
      <c r="B951" s="374" t="n">
        <v>0</v>
      </c>
      <c r="D951" s="374"/>
      <c r="E951" s="374"/>
      <c r="J951" s="0" t="n">
        <v>0</v>
      </c>
      <c r="K951" s="0" t="str">
        <f aca="false">IF(ISBLANK(J951),,J951&amp;", ")</f>
        <v>0,</v>
      </c>
    </row>
    <row r="952" customFormat="false" ht="15.75" hidden="false" customHeight="false" outlineLevel="0" collapsed="false">
      <c r="A952" s="374"/>
      <c r="B952" s="374" t="n">
        <v>0</v>
      </c>
      <c r="D952" s="374"/>
      <c r="E952" s="374"/>
      <c r="J952" s="0" t="n">
        <v>0</v>
      </c>
      <c r="K952" s="0" t="str">
        <f aca="false">IF(ISBLANK(J952),,J952&amp;", ")</f>
        <v>0,</v>
      </c>
    </row>
    <row r="953" customFormat="false" ht="15.75" hidden="false" customHeight="false" outlineLevel="0" collapsed="false">
      <c r="A953" s="374"/>
      <c r="B953" s="374" t="n">
        <v>0</v>
      </c>
      <c r="D953" s="374"/>
      <c r="E953" s="374"/>
      <c r="J953" s="0" t="n">
        <v>0</v>
      </c>
      <c r="K953" s="0" t="str">
        <f aca="false">IF(ISBLANK(J953),,J953&amp;", ")</f>
        <v>0,</v>
      </c>
    </row>
    <row r="954" customFormat="false" ht="15.75" hidden="false" customHeight="false" outlineLevel="0" collapsed="false">
      <c r="A954" s="374"/>
      <c r="B954" s="374" t="n">
        <v>0</v>
      </c>
      <c r="D954" s="374"/>
      <c r="E954" s="374"/>
      <c r="J954" s="0" t="n">
        <v>0</v>
      </c>
      <c r="K954" s="0" t="str">
        <f aca="false">IF(ISBLANK(J954),,J954&amp;", ")</f>
        <v>0,</v>
      </c>
    </row>
    <row r="955" customFormat="false" ht="15.75" hidden="false" customHeight="false" outlineLevel="0" collapsed="false">
      <c r="A955" s="374"/>
      <c r="B955" s="374" t="n">
        <v>0</v>
      </c>
      <c r="D955" s="374"/>
      <c r="E955" s="374"/>
      <c r="J955" s="0" t="n">
        <v>0</v>
      </c>
      <c r="K955" s="0" t="str">
        <f aca="false">IF(ISBLANK(J955),,J955&amp;", ")</f>
        <v>0,</v>
      </c>
    </row>
    <row r="956" customFormat="false" ht="15.75" hidden="false" customHeight="false" outlineLevel="0" collapsed="false">
      <c r="A956" s="374"/>
      <c r="B956" s="374" t="n">
        <v>0</v>
      </c>
      <c r="D956" s="374"/>
      <c r="E956" s="374"/>
      <c r="J956" s="0" t="n">
        <v>0</v>
      </c>
      <c r="K956" s="0" t="str">
        <f aca="false">IF(ISBLANK(J956),,J956&amp;", ")</f>
        <v>0,</v>
      </c>
    </row>
    <row r="957" customFormat="false" ht="15.75" hidden="false" customHeight="false" outlineLevel="0" collapsed="false">
      <c r="A957" s="374"/>
      <c r="B957" s="374" t="n">
        <v>0</v>
      </c>
      <c r="D957" s="374"/>
      <c r="E957" s="374"/>
      <c r="J957" s="0" t="n">
        <v>0</v>
      </c>
      <c r="K957" s="0" t="str">
        <f aca="false">IF(ISBLANK(J957),,J957&amp;", ")</f>
        <v>0,</v>
      </c>
    </row>
    <row r="958" customFormat="false" ht="15.75" hidden="false" customHeight="false" outlineLevel="0" collapsed="false">
      <c r="A958" s="374"/>
      <c r="B958" s="374" t="n">
        <v>0</v>
      </c>
      <c r="D958" s="374"/>
      <c r="E958" s="374"/>
      <c r="J958" s="0" t="n">
        <v>0</v>
      </c>
      <c r="K958" s="0" t="str">
        <f aca="false">IF(ISBLANK(J958),,J958&amp;", ")</f>
        <v>0,</v>
      </c>
    </row>
    <row r="959" customFormat="false" ht="15.75" hidden="false" customHeight="false" outlineLevel="0" collapsed="false">
      <c r="A959" s="374"/>
      <c r="B959" s="374" t="n">
        <v>0</v>
      </c>
      <c r="D959" s="374"/>
      <c r="E959" s="374"/>
      <c r="J959" s="0" t="n">
        <v>0</v>
      </c>
      <c r="K959" s="0" t="str">
        <f aca="false">IF(ISBLANK(J959),,J959&amp;", ")</f>
        <v>0,</v>
      </c>
    </row>
    <row r="960" customFormat="false" ht="15.75" hidden="false" customHeight="false" outlineLevel="0" collapsed="false">
      <c r="A960" s="374"/>
      <c r="B960" s="374" t="n">
        <v>0</v>
      </c>
      <c r="D960" s="374"/>
      <c r="E960" s="374"/>
      <c r="J960" s="0" t="n">
        <v>0</v>
      </c>
      <c r="K960" s="0" t="str">
        <f aca="false">IF(ISBLANK(J960),,J960&amp;", ")</f>
        <v>0,</v>
      </c>
    </row>
    <row r="961" customFormat="false" ht="15.75" hidden="false" customHeight="false" outlineLevel="0" collapsed="false">
      <c r="A961" s="374"/>
      <c r="B961" s="374" t="n">
        <v>0</v>
      </c>
      <c r="D961" s="374"/>
      <c r="E961" s="374"/>
      <c r="J961" s="0" t="n">
        <v>0</v>
      </c>
      <c r="K961" s="0" t="str">
        <f aca="false">IF(ISBLANK(J961),,J961&amp;", ")</f>
        <v>0,</v>
      </c>
    </row>
    <row r="962" customFormat="false" ht="15.75" hidden="false" customHeight="false" outlineLevel="0" collapsed="false">
      <c r="A962" s="374"/>
      <c r="B962" s="374" t="n">
        <v>0</v>
      </c>
      <c r="D962" s="374"/>
      <c r="E962" s="374"/>
      <c r="J962" s="0" t="n">
        <v>0</v>
      </c>
      <c r="K962" s="0" t="str">
        <f aca="false">IF(ISBLANK(J962),,J962&amp;", ")</f>
        <v>0,</v>
      </c>
    </row>
    <row r="963" customFormat="false" ht="15.75" hidden="false" customHeight="false" outlineLevel="0" collapsed="false">
      <c r="A963" s="374"/>
      <c r="B963" s="374" t="n">
        <v>0</v>
      </c>
      <c r="D963" s="374"/>
      <c r="E963" s="374"/>
      <c r="J963" s="0" t="n">
        <v>0</v>
      </c>
      <c r="K963" s="0" t="str">
        <f aca="false">IF(ISBLANK(J963),,J963&amp;", ")</f>
        <v>0,</v>
      </c>
    </row>
    <row r="964" customFormat="false" ht="15.75" hidden="false" customHeight="false" outlineLevel="0" collapsed="false">
      <c r="A964" s="374"/>
      <c r="B964" s="374" t="n">
        <v>0</v>
      </c>
      <c r="D964" s="374"/>
      <c r="E964" s="374"/>
      <c r="J964" s="0" t="n">
        <v>0</v>
      </c>
      <c r="K964" s="0" t="str">
        <f aca="false">IF(ISBLANK(J964),,J964&amp;", ")</f>
        <v>0,</v>
      </c>
    </row>
    <row r="965" customFormat="false" ht="15.75" hidden="false" customHeight="false" outlineLevel="0" collapsed="false">
      <c r="A965" s="374"/>
      <c r="B965" s="374" t="n">
        <v>0</v>
      </c>
      <c r="D965" s="374"/>
      <c r="E965" s="374"/>
      <c r="J965" s="0" t="n">
        <v>0</v>
      </c>
      <c r="K965" s="0" t="str">
        <f aca="false">IF(ISBLANK(J965),,J965&amp;", ")</f>
        <v>0,</v>
      </c>
    </row>
    <row r="966" customFormat="false" ht="15.75" hidden="false" customHeight="false" outlineLevel="0" collapsed="false">
      <c r="A966" s="374"/>
      <c r="B966" s="374" t="n">
        <v>0</v>
      </c>
      <c r="D966" s="374"/>
      <c r="E966" s="374"/>
      <c r="J966" s="0" t="n">
        <v>0</v>
      </c>
      <c r="K966" s="0" t="str">
        <f aca="false">IF(ISBLANK(J966),,J966&amp;", ")</f>
        <v>0,</v>
      </c>
    </row>
    <row r="967" customFormat="false" ht="15.75" hidden="false" customHeight="false" outlineLevel="0" collapsed="false">
      <c r="A967" s="374"/>
      <c r="B967" s="374" t="n">
        <v>0</v>
      </c>
      <c r="D967" s="374"/>
      <c r="E967" s="374"/>
      <c r="J967" s="0" t="n">
        <v>0</v>
      </c>
      <c r="K967" s="0" t="str">
        <f aca="false">IF(ISBLANK(J967),,J967&amp;", ")</f>
        <v>0,</v>
      </c>
    </row>
    <row r="968" customFormat="false" ht="15.75" hidden="false" customHeight="false" outlineLevel="0" collapsed="false">
      <c r="A968" s="374"/>
      <c r="B968" s="374" t="n">
        <v>0</v>
      </c>
      <c r="D968" s="374"/>
      <c r="E968" s="374"/>
      <c r="J968" s="0" t="n">
        <v>0</v>
      </c>
      <c r="K968" s="0" t="str">
        <f aca="false">IF(ISBLANK(J968),,J968&amp;", ")</f>
        <v>0,</v>
      </c>
    </row>
    <row r="969" customFormat="false" ht="15.75" hidden="false" customHeight="false" outlineLevel="0" collapsed="false">
      <c r="A969" s="374"/>
      <c r="B969" s="374" t="n">
        <v>0</v>
      </c>
      <c r="D969" s="374"/>
      <c r="E969" s="374"/>
      <c r="J969" s="0" t="n">
        <v>0</v>
      </c>
      <c r="K969" s="0" t="str">
        <f aca="false">IF(ISBLANK(J969),,J969&amp;", ")</f>
        <v>0,</v>
      </c>
    </row>
    <row r="970" customFormat="false" ht="15.75" hidden="false" customHeight="false" outlineLevel="0" collapsed="false">
      <c r="A970" s="374"/>
      <c r="B970" s="374" t="n">
        <v>0</v>
      </c>
      <c r="D970" s="374"/>
      <c r="E970" s="374"/>
      <c r="J970" s="0" t="n">
        <v>0</v>
      </c>
      <c r="K970" s="0" t="str">
        <f aca="false">IF(ISBLANK(J970),,J970&amp;", ")</f>
        <v>0,</v>
      </c>
    </row>
    <row r="971" customFormat="false" ht="15.75" hidden="false" customHeight="false" outlineLevel="0" collapsed="false">
      <c r="A971" s="374"/>
      <c r="B971" s="374" t="n">
        <v>0</v>
      </c>
      <c r="D971" s="374"/>
      <c r="E971" s="374"/>
      <c r="J971" s="0" t="n">
        <v>0</v>
      </c>
      <c r="K971" s="0" t="str">
        <f aca="false">IF(ISBLANK(J971),,J971&amp;", ")</f>
        <v>0,</v>
      </c>
    </row>
    <row r="972" customFormat="false" ht="15.75" hidden="false" customHeight="false" outlineLevel="0" collapsed="false">
      <c r="A972" s="374"/>
      <c r="B972" s="374" t="n">
        <v>0</v>
      </c>
      <c r="D972" s="374"/>
      <c r="E972" s="374"/>
      <c r="J972" s="0" t="n">
        <v>0</v>
      </c>
      <c r="K972" s="0" t="str">
        <f aca="false">IF(ISBLANK(J972),,J972&amp;", ")</f>
        <v>0,</v>
      </c>
    </row>
    <row r="973" customFormat="false" ht="15.75" hidden="false" customHeight="false" outlineLevel="0" collapsed="false">
      <c r="A973" s="374"/>
      <c r="B973" s="374" t="n">
        <v>0</v>
      </c>
      <c r="D973" s="374"/>
      <c r="E973" s="374"/>
      <c r="J973" s="0" t="n">
        <v>0</v>
      </c>
      <c r="K973" s="0" t="str">
        <f aca="false">IF(ISBLANK(J973),,J973&amp;", ")</f>
        <v>0,</v>
      </c>
    </row>
    <row r="974" customFormat="false" ht="15.75" hidden="false" customHeight="false" outlineLevel="0" collapsed="false">
      <c r="A974" s="374"/>
      <c r="B974" s="374" t="n">
        <v>0</v>
      </c>
      <c r="D974" s="374"/>
      <c r="E974" s="374"/>
      <c r="J974" s="0" t="n">
        <v>0</v>
      </c>
      <c r="K974" s="0" t="str">
        <f aca="false">IF(ISBLANK(J974),,J974&amp;", ")</f>
        <v>0,</v>
      </c>
    </row>
    <row r="975" customFormat="false" ht="15.75" hidden="false" customHeight="false" outlineLevel="0" collapsed="false">
      <c r="A975" s="374"/>
      <c r="B975" s="374" t="n">
        <v>0</v>
      </c>
      <c r="D975" s="374"/>
      <c r="E975" s="374"/>
      <c r="J975" s="0" t="n">
        <v>0</v>
      </c>
      <c r="K975" s="0" t="str">
        <f aca="false">IF(ISBLANK(J975),,J975&amp;", ")</f>
        <v>0,</v>
      </c>
    </row>
    <row r="976" customFormat="false" ht="15.75" hidden="false" customHeight="false" outlineLevel="0" collapsed="false">
      <c r="A976" s="374"/>
      <c r="B976" s="374" t="n">
        <v>0</v>
      </c>
      <c r="D976" s="374"/>
      <c r="E976" s="374"/>
      <c r="J976" s="0" t="n">
        <v>0</v>
      </c>
      <c r="K976" s="0" t="str">
        <f aca="false">IF(ISBLANK(J976),,J976&amp;", ")</f>
        <v>0,</v>
      </c>
    </row>
    <row r="977" customFormat="false" ht="15.75" hidden="false" customHeight="false" outlineLevel="0" collapsed="false">
      <c r="A977" s="374"/>
      <c r="B977" s="374" t="n">
        <v>0</v>
      </c>
      <c r="D977" s="374"/>
      <c r="E977" s="374"/>
      <c r="J977" s="0" t="n">
        <v>0</v>
      </c>
      <c r="K977" s="0" t="str">
        <f aca="false">IF(ISBLANK(J977),,J977&amp;", ")</f>
        <v>0,</v>
      </c>
    </row>
    <row r="978" customFormat="false" ht="15.75" hidden="false" customHeight="false" outlineLevel="0" collapsed="false">
      <c r="A978" s="374"/>
      <c r="B978" s="374" t="n">
        <v>0</v>
      </c>
      <c r="D978" s="374"/>
      <c r="E978" s="374"/>
      <c r="J978" s="0" t="n">
        <v>0</v>
      </c>
      <c r="K978" s="0" t="str">
        <f aca="false">IF(ISBLANK(J978),,J978&amp;", ")</f>
        <v>0,</v>
      </c>
    </row>
    <row r="979" customFormat="false" ht="15.75" hidden="false" customHeight="false" outlineLevel="0" collapsed="false">
      <c r="A979" s="374"/>
      <c r="B979" s="374" t="n">
        <v>0</v>
      </c>
      <c r="D979" s="374"/>
      <c r="E979" s="374"/>
      <c r="J979" s="0" t="n">
        <v>0</v>
      </c>
      <c r="K979" s="0" t="str">
        <f aca="false">IF(ISBLANK(J979),,J979&amp;", ")</f>
        <v>0,</v>
      </c>
    </row>
    <row r="980" customFormat="false" ht="15.75" hidden="false" customHeight="false" outlineLevel="0" collapsed="false">
      <c r="A980" s="374"/>
      <c r="B980" s="374" t="n">
        <v>0</v>
      </c>
      <c r="D980" s="374"/>
      <c r="E980" s="374"/>
      <c r="J980" s="0" t="n">
        <v>0</v>
      </c>
      <c r="K980" s="0" t="str">
        <f aca="false">IF(ISBLANK(J980),,J980&amp;", ")</f>
        <v>0,</v>
      </c>
    </row>
    <row r="981" customFormat="false" ht="15.75" hidden="false" customHeight="false" outlineLevel="0" collapsed="false">
      <c r="A981" s="374"/>
      <c r="B981" s="374" t="n">
        <v>0</v>
      </c>
      <c r="D981" s="374"/>
      <c r="E981" s="374"/>
      <c r="J981" s="0" t="n">
        <v>0</v>
      </c>
      <c r="K981" s="0" t="str">
        <f aca="false">IF(ISBLANK(J981),,J981&amp;", ")</f>
        <v>0,</v>
      </c>
    </row>
    <row r="982" customFormat="false" ht="15.75" hidden="false" customHeight="false" outlineLevel="0" collapsed="false">
      <c r="A982" s="374"/>
      <c r="B982" s="374" t="n">
        <v>0</v>
      </c>
      <c r="D982" s="374"/>
      <c r="E982" s="374"/>
      <c r="J982" s="0" t="n">
        <v>0</v>
      </c>
      <c r="K982" s="0" t="str">
        <f aca="false">IF(ISBLANK(J982),,J982&amp;", ")</f>
        <v>0,</v>
      </c>
    </row>
    <row r="983" customFormat="false" ht="15.75" hidden="false" customHeight="false" outlineLevel="0" collapsed="false">
      <c r="A983" s="374"/>
      <c r="B983" s="374" t="n">
        <v>0</v>
      </c>
      <c r="D983" s="374"/>
      <c r="E983" s="374"/>
      <c r="J983" s="0" t="n">
        <v>0</v>
      </c>
      <c r="K983" s="0" t="str">
        <f aca="false">IF(ISBLANK(J983),,J983&amp;", ")</f>
        <v>0,</v>
      </c>
    </row>
    <row r="984" customFormat="false" ht="15.75" hidden="false" customHeight="false" outlineLevel="0" collapsed="false">
      <c r="A984" s="374"/>
      <c r="B984" s="374" t="n">
        <v>0</v>
      </c>
      <c r="D984" s="374"/>
      <c r="E984" s="374"/>
      <c r="J984" s="0" t="n">
        <v>0</v>
      </c>
      <c r="K984" s="0" t="str">
        <f aca="false">IF(ISBLANK(J984),,J984&amp;", ")</f>
        <v>0,</v>
      </c>
    </row>
    <row r="985" customFormat="false" ht="15.75" hidden="false" customHeight="false" outlineLevel="0" collapsed="false">
      <c r="A985" s="374"/>
      <c r="B985" s="374" t="n">
        <v>0</v>
      </c>
      <c r="D985" s="374"/>
      <c r="E985" s="374"/>
      <c r="J985" s="0" t="n">
        <v>0</v>
      </c>
      <c r="K985" s="0" t="str">
        <f aca="false">IF(ISBLANK(J985),,J985&amp;", ")</f>
        <v>0,</v>
      </c>
    </row>
    <row r="986" customFormat="false" ht="15.75" hidden="false" customHeight="false" outlineLevel="0" collapsed="false">
      <c r="A986" s="374"/>
      <c r="B986" s="374" t="n">
        <v>0</v>
      </c>
      <c r="D986" s="374"/>
      <c r="E986" s="374"/>
      <c r="J986" s="0" t="n">
        <v>0</v>
      </c>
      <c r="K986" s="0" t="str">
        <f aca="false">IF(ISBLANK(J986),,J986&amp;", ")</f>
        <v>0,</v>
      </c>
    </row>
    <row r="987" customFormat="false" ht="15.75" hidden="false" customHeight="false" outlineLevel="0" collapsed="false">
      <c r="A987" s="374"/>
      <c r="B987" s="374" t="n">
        <v>0</v>
      </c>
      <c r="D987" s="374"/>
      <c r="E987" s="374"/>
      <c r="J987" s="0" t="n">
        <v>0</v>
      </c>
      <c r="K987" s="0" t="str">
        <f aca="false">IF(ISBLANK(J987),,J987&amp;", ")</f>
        <v>0,</v>
      </c>
    </row>
    <row r="988" customFormat="false" ht="15.75" hidden="false" customHeight="false" outlineLevel="0" collapsed="false">
      <c r="A988" s="374"/>
      <c r="B988" s="374" t="n">
        <v>0</v>
      </c>
      <c r="D988" s="374"/>
      <c r="E988" s="374"/>
      <c r="J988" s="0" t="n">
        <v>0</v>
      </c>
      <c r="K988" s="0" t="str">
        <f aca="false">IF(ISBLANK(J988),,J988&amp;", ")</f>
        <v>0,</v>
      </c>
    </row>
    <row r="989" customFormat="false" ht="15.75" hidden="false" customHeight="false" outlineLevel="0" collapsed="false">
      <c r="A989" s="374"/>
      <c r="B989" s="374" t="n">
        <v>0</v>
      </c>
      <c r="D989" s="374"/>
      <c r="E989" s="374"/>
      <c r="J989" s="0" t="n">
        <v>0</v>
      </c>
      <c r="K989" s="0" t="str">
        <f aca="false">IF(ISBLANK(J989),,J989&amp;", ")</f>
        <v>0,</v>
      </c>
    </row>
    <row r="990" customFormat="false" ht="15.75" hidden="false" customHeight="false" outlineLevel="0" collapsed="false">
      <c r="A990" s="374"/>
      <c r="B990" s="374" t="n">
        <v>0</v>
      </c>
      <c r="D990" s="374"/>
      <c r="E990" s="374"/>
      <c r="J990" s="0" t="n">
        <v>0</v>
      </c>
      <c r="K990" s="0" t="str">
        <f aca="false">IF(ISBLANK(J990),,J990&amp;", ")</f>
        <v>0,</v>
      </c>
    </row>
    <row r="991" customFormat="false" ht="15.75" hidden="false" customHeight="false" outlineLevel="0" collapsed="false">
      <c r="A991" s="374"/>
      <c r="B991" s="374" t="n">
        <v>0</v>
      </c>
      <c r="D991" s="374"/>
      <c r="E991" s="374"/>
      <c r="J991" s="0" t="n">
        <v>0</v>
      </c>
      <c r="K991" s="0" t="str">
        <f aca="false">IF(ISBLANK(J991),,J991&amp;", ")</f>
        <v>0,</v>
      </c>
    </row>
    <row r="992" customFormat="false" ht="15.75" hidden="false" customHeight="false" outlineLevel="0" collapsed="false">
      <c r="A992" s="374"/>
      <c r="B992" s="374" t="n">
        <v>0</v>
      </c>
      <c r="D992" s="374"/>
      <c r="E992" s="374"/>
      <c r="J992" s="0" t="n">
        <v>0</v>
      </c>
      <c r="K992" s="0" t="str">
        <f aca="false">IF(ISBLANK(J992),,J992&amp;", ")</f>
        <v>0,</v>
      </c>
    </row>
    <row r="993" customFormat="false" ht="15.75" hidden="false" customHeight="false" outlineLevel="0" collapsed="false">
      <c r="A993" s="374"/>
      <c r="B993" s="374" t="n">
        <v>0</v>
      </c>
      <c r="D993" s="374"/>
      <c r="E993" s="374"/>
      <c r="J993" s="0" t="n">
        <v>0</v>
      </c>
      <c r="K993" s="0" t="str">
        <f aca="false">IF(ISBLANK(J993),,J993&amp;", ")</f>
        <v>0,</v>
      </c>
    </row>
    <row r="994" customFormat="false" ht="15.75" hidden="false" customHeight="false" outlineLevel="0" collapsed="false">
      <c r="A994" s="374"/>
      <c r="B994" s="374" t="n">
        <v>0</v>
      </c>
      <c r="D994" s="374"/>
      <c r="E994" s="374"/>
      <c r="J994" s="0" t="n">
        <v>0</v>
      </c>
      <c r="K994" s="0" t="str">
        <f aca="false">IF(ISBLANK(J994),,J994&amp;", ")</f>
        <v>0,</v>
      </c>
    </row>
    <row r="995" customFormat="false" ht="15.75" hidden="false" customHeight="false" outlineLevel="0" collapsed="false">
      <c r="A995" s="374"/>
      <c r="B995" s="374" t="n">
        <v>0</v>
      </c>
      <c r="D995" s="374"/>
      <c r="E995" s="374"/>
      <c r="J995" s="0" t="n">
        <v>0</v>
      </c>
      <c r="K995" s="0" t="str">
        <f aca="false">IF(ISBLANK(J995),,J995&amp;", ")</f>
        <v>0,</v>
      </c>
    </row>
    <row r="996" customFormat="false" ht="15.75" hidden="false" customHeight="false" outlineLevel="0" collapsed="false">
      <c r="A996" s="374"/>
      <c r="B996" s="374" t="n">
        <v>0</v>
      </c>
      <c r="D996" s="374"/>
      <c r="E996" s="374"/>
      <c r="J996" s="0" t="n">
        <v>0</v>
      </c>
      <c r="K996" s="0" t="str">
        <f aca="false">IF(ISBLANK(J996),,J996&amp;", ")</f>
        <v>0,</v>
      </c>
    </row>
    <row r="997" customFormat="false" ht="15.75" hidden="false" customHeight="false" outlineLevel="0" collapsed="false">
      <c r="A997" s="374"/>
      <c r="B997" s="374" t="n">
        <v>0</v>
      </c>
      <c r="D997" s="374"/>
      <c r="E997" s="374"/>
      <c r="J997" s="0" t="n">
        <v>0</v>
      </c>
      <c r="K997" s="0" t="str">
        <f aca="false">IF(ISBLANK(J997),,J997&amp;", ")</f>
        <v>0,</v>
      </c>
    </row>
    <row r="998" customFormat="false" ht="15.75" hidden="false" customHeight="false" outlineLevel="0" collapsed="false">
      <c r="A998" s="374"/>
      <c r="B998" s="374" t="n">
        <v>0</v>
      </c>
      <c r="D998" s="374"/>
      <c r="E998" s="374"/>
      <c r="J998" s="0" t="n">
        <v>0</v>
      </c>
      <c r="K998" s="0" t="str">
        <f aca="false">IF(ISBLANK(J998),,J998&amp;", ")</f>
        <v>0,</v>
      </c>
    </row>
    <row r="999" customFormat="false" ht="15.75" hidden="false" customHeight="false" outlineLevel="0" collapsed="false">
      <c r="A999" s="374"/>
      <c r="B999" s="374" t="n">
        <v>0</v>
      </c>
      <c r="D999" s="374"/>
      <c r="E999" s="374"/>
      <c r="J999" s="0" t="n">
        <v>0</v>
      </c>
      <c r="K999" s="0" t="str">
        <f aca="false">IF(ISBLANK(J999),,J999&amp;", ")</f>
        <v>0,</v>
      </c>
    </row>
    <row r="1000" customFormat="false" ht="15.75" hidden="false" customHeight="false" outlineLevel="0" collapsed="false">
      <c r="A1000" s="374"/>
      <c r="B1000" s="374" t="n">
        <v>0</v>
      </c>
      <c r="D1000" s="374"/>
      <c r="E1000" s="374"/>
      <c r="J1000" s="0" t="n">
        <v>0</v>
      </c>
      <c r="K1000" s="0" t="str">
        <f aca="false">IF(ISBLANK(J1000),,J1000&amp;", ")</f>
        <v>0,</v>
      </c>
    </row>
    <row r="1001" customFormat="false" ht="15.75" hidden="false" customHeight="false" outlineLevel="0" collapsed="false">
      <c r="A1001" s="374"/>
      <c r="B1001" s="374" t="n">
        <v>0</v>
      </c>
      <c r="D1001" s="374"/>
      <c r="E1001" s="374"/>
      <c r="J1001" s="0" t="n">
        <v>0</v>
      </c>
      <c r="K1001" s="0" t="str">
        <f aca="false">IF(ISBLANK(J1001),,J1001&amp;", ")</f>
        <v>0,</v>
      </c>
    </row>
    <row r="1002" customFormat="false" ht="15.75" hidden="false" customHeight="false" outlineLevel="0" collapsed="false">
      <c r="A1002" s="374"/>
      <c r="B1002" s="374" t="n">
        <v>0</v>
      </c>
      <c r="D1002" s="374"/>
      <c r="E1002" s="374"/>
      <c r="J1002" s="0" t="n">
        <v>0</v>
      </c>
      <c r="K1002" s="0" t="str">
        <f aca="false">IF(ISBLANK(J1002),,J1002&amp;", ")</f>
        <v>0,</v>
      </c>
    </row>
    <row r="1003" customFormat="false" ht="15.75" hidden="false" customHeight="false" outlineLevel="0" collapsed="false">
      <c r="A1003" s="374"/>
      <c r="B1003" s="374" t="n">
        <v>0</v>
      </c>
      <c r="D1003" s="374"/>
      <c r="E1003" s="374"/>
      <c r="J1003" s="0" t="n">
        <v>0</v>
      </c>
      <c r="K1003" s="0" t="str">
        <f aca="false">IF(ISBLANK(J1003),,J1003&amp;", ")</f>
        <v>0,</v>
      </c>
    </row>
    <row r="1004" customFormat="false" ht="15.75" hidden="false" customHeight="false" outlineLevel="0" collapsed="false">
      <c r="A1004" s="374"/>
      <c r="B1004" s="374" t="n">
        <v>0</v>
      </c>
      <c r="D1004" s="374"/>
      <c r="E1004" s="374"/>
      <c r="J1004" s="0" t="n">
        <v>0</v>
      </c>
      <c r="K1004" s="0" t="str">
        <f aca="false">IF(ISBLANK(J1004),,J1004&amp;", ")</f>
        <v>0,</v>
      </c>
    </row>
    <row r="1005" customFormat="false" ht="15.75" hidden="false" customHeight="false" outlineLevel="0" collapsed="false">
      <c r="A1005" s="374"/>
      <c r="B1005" s="374" t="n">
        <v>0</v>
      </c>
      <c r="D1005" s="374"/>
      <c r="E1005" s="374"/>
      <c r="J1005" s="0" t="n">
        <v>0</v>
      </c>
      <c r="K1005" s="0" t="str">
        <f aca="false">IF(ISBLANK(J1005),,J1005&amp;", ")</f>
        <v>0,</v>
      </c>
    </row>
    <row r="1006" customFormat="false" ht="15.75" hidden="false" customHeight="false" outlineLevel="0" collapsed="false">
      <c r="A1006" s="374"/>
      <c r="B1006" s="374" t="n">
        <v>0</v>
      </c>
      <c r="D1006" s="374"/>
      <c r="E1006" s="374"/>
      <c r="J1006" s="0" t="n">
        <v>0</v>
      </c>
      <c r="K1006" s="0" t="str">
        <f aca="false">IF(ISBLANK(J1006),,J1006&amp;", ")</f>
        <v>0,</v>
      </c>
    </row>
    <row r="1007" customFormat="false" ht="15.75" hidden="false" customHeight="false" outlineLevel="0" collapsed="false">
      <c r="A1007" s="374"/>
      <c r="B1007" s="374" t="n">
        <v>0</v>
      </c>
      <c r="D1007" s="374"/>
      <c r="E1007" s="374"/>
      <c r="J1007" s="0" t="n">
        <v>0</v>
      </c>
      <c r="K1007" s="0" t="str">
        <f aca="false">IF(ISBLANK(J1007),,J1007&amp;", ")</f>
        <v>0,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2" min="1" style="0" width="14.43"/>
    <col collapsed="false" customWidth="true" hidden="false" outlineLevel="0" max="1025" min="3" style="0" width="14.43"/>
  </cols>
  <sheetData>
    <row r="1" customFormat="false" ht="15.75" hidden="false" customHeight="false" outlineLevel="0" collapsed="false">
      <c r="A1" s="260" t="n">
        <v>45</v>
      </c>
      <c r="B1" s="482" t="n">
        <f aca="false">ROUND(A1/45,3)</f>
        <v>1</v>
      </c>
      <c r="C1" s="260" t="s">
        <v>2892</v>
      </c>
      <c r="D1" s="260" t="n">
        <f aca="false">IF('Raid Boss CP Table'!J2="CP Table by minimum IV % and value",2,IF('Raid Boss CP Table'!J2="CP Table by minimum IV value",1,0))</f>
        <v>0</v>
      </c>
      <c r="E1" s="260"/>
      <c r="F1" s="483" t="n">
        <v>1</v>
      </c>
      <c r="G1" s="376" t="n">
        <f aca="false">5-MOD((ROW()-1),6)+10</f>
        <v>15</v>
      </c>
      <c r="H1" s="376" t="n">
        <f aca="false">5-MOD(INT((ROW()-1)/6),6)+10</f>
        <v>15</v>
      </c>
      <c r="I1" s="376" t="n">
        <f aca="false">5-MOD(INT(INT((ROW()-1)/6)/6),6)+10</f>
        <v>15</v>
      </c>
      <c r="J1" s="484" t="n">
        <f aca="false">SUM(G1:I1)</f>
        <v>45</v>
      </c>
      <c r="L1" s="0" t="n">
        <f aca="false">IF(ISBLANK(M1),,SUM(M1:O1))</f>
        <v>45</v>
      </c>
      <c r="M1" s="0" t="n">
        <f aca="false">IFERROR(__xludf.dummyfunction("IF(D1=0,FILTER(G1:I1000,J1:J1000&gt;=D3),IF(D1=1,FILTER(G1:I1000,G1:G1000&gt;=D2,H1:H1000&gt;=D2,I1:I1000&gt;=D2),IF(D1=2,FILTER(G1:I1000,J1:J1000&gt;=D3,G1:G1000&gt;=D2,H1:H1000&gt;=D2,I1:I1000&gt;=D2),FILTER(G1:I1000,J1:J1000=45))))"),15)</f>
        <v>15</v>
      </c>
      <c r="N1" s="0" t="n">
        <f aca="false">IFERROR(__xludf.dummyfunction("""COMPUTED_VALUE"""),15)</f>
        <v>15</v>
      </c>
      <c r="O1" s="0" t="n">
        <f aca="false">IFERROR(__xludf.dummyfunction("""COMPUTED_VALUE"""),15)</f>
        <v>15</v>
      </c>
      <c r="P1" s="0" t="n">
        <f aca="false">IF(ISBLANK(M1),,ROUNDDOWN(($D$5+M1)*($D$6+N1)^0.5*($D$7+O1)^0.5*$D$9^2/10,0))</f>
        <v>1806</v>
      </c>
    </row>
    <row r="2" customFormat="false" ht="15.75" hidden="false" customHeight="false" outlineLevel="0" collapsed="false">
      <c r="A2" s="260" t="n">
        <v>44</v>
      </c>
      <c r="B2" s="482" t="n">
        <f aca="false">ROUND(A2/45,3)</f>
        <v>0.978</v>
      </c>
      <c r="C2" s="260" t="s">
        <v>2893</v>
      </c>
      <c r="D2" s="260" t="n">
        <f aca="false">'Raid Boss CP Table'!K5</f>
        <v>13</v>
      </c>
      <c r="E2" s="260"/>
      <c r="F2" s="483" t="n">
        <v>2</v>
      </c>
      <c r="G2" s="376" t="n">
        <f aca="false">5-MOD((ROW()-1),6)+10</f>
        <v>14</v>
      </c>
      <c r="H2" s="376" t="n">
        <f aca="false">5-MOD(INT((ROW()-1)/6),6)+10</f>
        <v>15</v>
      </c>
      <c r="I2" s="376" t="n">
        <f aca="false">5-MOD(INT(INT((ROW()-1)/6)/6),6)+10</f>
        <v>15</v>
      </c>
      <c r="J2" s="484" t="n">
        <f aca="false">SUM(G2:I2)</f>
        <v>44</v>
      </c>
      <c r="L2" s="0" t="n">
        <f aca="false">IF(ISBLANK(M2),,SUM(M2:O2))</f>
        <v>44</v>
      </c>
      <c r="M2" s="0" t="n">
        <f aca="false">IFERROR(__xludf.dummyfunction("""COMPUTED_VALUE"""),14)</f>
        <v>14</v>
      </c>
      <c r="N2" s="0" t="n">
        <f aca="false">IFERROR(__xludf.dummyfunction("""COMPUTED_VALUE"""),15)</f>
        <v>15</v>
      </c>
      <c r="O2" s="0" t="n">
        <f aca="false">IFERROR(__xludf.dummyfunction("""COMPUTED_VALUE"""),15)</f>
        <v>15</v>
      </c>
      <c r="P2" s="0" t="n">
        <f aca="false">IF(ISBLANK(M2),,ROUNDDOWN(($D$5+M2)*($D$6+N2)^0.5*($D$7+O2)^0.5*$D$9^2/10,0))</f>
        <v>1801</v>
      </c>
    </row>
    <row r="3" customFormat="false" ht="15.75" hidden="false" customHeight="false" outlineLevel="0" collapsed="false">
      <c r="A3" s="260" t="n">
        <v>43</v>
      </c>
      <c r="B3" s="482" t="n">
        <f aca="false">ROUND(A3/45,3)</f>
        <v>0.956</v>
      </c>
      <c r="C3" s="260" t="s">
        <v>2894</v>
      </c>
      <c r="D3" s="260" t="n">
        <f aca="false" t="array" ref="D3:D3">INDEX($A$1:$A$16,MATCH('Raid Boss CP Table'!K4,$B$1:$B$16,0))</f>
        <v>41</v>
      </c>
      <c r="F3" s="483" t="n">
        <v>3</v>
      </c>
      <c r="G3" s="376" t="n">
        <f aca="false">5-MOD((ROW()-1),6)+10</f>
        <v>13</v>
      </c>
      <c r="H3" s="376" t="n">
        <f aca="false">5-MOD(INT((ROW()-1)/6),6)+10</f>
        <v>15</v>
      </c>
      <c r="I3" s="376" t="n">
        <f aca="false">5-MOD(INT(INT((ROW()-1)/6)/6),6)+10</f>
        <v>15</v>
      </c>
      <c r="J3" s="484" t="n">
        <f aca="false">SUM(G3:I3)</f>
        <v>43</v>
      </c>
      <c r="L3" s="0" t="n">
        <f aca="false">IF(ISBLANK(M3),,SUM(M3:O3))</f>
        <v>43</v>
      </c>
      <c r="M3" s="0" t="n">
        <f aca="false">IFERROR(__xludf.dummyfunction("""COMPUTED_VALUE"""),13)</f>
        <v>13</v>
      </c>
      <c r="N3" s="0" t="n">
        <f aca="false">IFERROR(__xludf.dummyfunction("""COMPUTED_VALUE"""),15)</f>
        <v>15</v>
      </c>
      <c r="O3" s="0" t="n">
        <f aca="false">IFERROR(__xludf.dummyfunction("""COMPUTED_VALUE"""),15)</f>
        <v>15</v>
      </c>
      <c r="P3" s="0" t="n">
        <f aca="false">IF(ISBLANK(M3),,ROUNDDOWN(($D$5+M3)*($D$6+N3)^0.5*($D$7+O3)^0.5*$D$9^2/10,0))</f>
        <v>1796</v>
      </c>
    </row>
    <row r="4" customFormat="false" ht="15.75" hidden="false" customHeight="false" outlineLevel="0" collapsed="false">
      <c r="A4" s="260" t="n">
        <v>42</v>
      </c>
      <c r="B4" s="482" t="n">
        <f aca="false">ROUND(A4/45,3)</f>
        <v>0.933</v>
      </c>
      <c r="C4" s="482"/>
      <c r="F4" s="483" t="n">
        <v>4</v>
      </c>
      <c r="G4" s="376" t="n">
        <f aca="false">5-MOD((ROW()-1),6)+10</f>
        <v>12</v>
      </c>
      <c r="H4" s="376" t="n">
        <f aca="false">5-MOD(INT((ROW()-1)/6),6)+10</f>
        <v>15</v>
      </c>
      <c r="I4" s="376" t="n">
        <f aca="false">5-MOD(INT(INT((ROW()-1)/6)/6),6)+10</f>
        <v>15</v>
      </c>
      <c r="J4" s="484" t="n">
        <f aca="false">SUM(G4:I4)</f>
        <v>42</v>
      </c>
      <c r="L4" s="0" t="n">
        <f aca="false">IF(ISBLANK(M4),,SUM(M4:O4))</f>
        <v>42</v>
      </c>
      <c r="M4" s="0" t="n">
        <f aca="false">IFERROR(__xludf.dummyfunction("""COMPUTED_VALUE"""),12)</f>
        <v>12</v>
      </c>
      <c r="N4" s="0" t="n">
        <f aca="false">IFERROR(__xludf.dummyfunction("""COMPUTED_VALUE"""),15)</f>
        <v>15</v>
      </c>
      <c r="O4" s="0" t="n">
        <f aca="false">IFERROR(__xludf.dummyfunction("""COMPUTED_VALUE"""),15)</f>
        <v>15</v>
      </c>
      <c r="P4" s="0" t="n">
        <f aca="false">IF(ISBLANK(M4),,ROUNDDOWN(($D$5+M4)*($D$6+N4)^0.5*($D$7+O4)^0.5*$D$9^2/10,0))</f>
        <v>1790</v>
      </c>
    </row>
    <row r="5" customFormat="false" ht="15.75" hidden="false" customHeight="false" outlineLevel="0" collapsed="false">
      <c r="A5" s="260" t="n">
        <v>41</v>
      </c>
      <c r="B5" s="482" t="n">
        <f aca="false">ROUND(A5/45,3)</f>
        <v>0.911</v>
      </c>
      <c r="C5" s="260" t="s">
        <v>208</v>
      </c>
      <c r="D5" s="0" t="n">
        <f aca="false">'Raid Boss CP Table'!G5</f>
        <v>345</v>
      </c>
      <c r="F5" s="483" t="n">
        <v>5</v>
      </c>
      <c r="G5" s="376" t="n">
        <f aca="false">5-MOD((ROW()-1),6)+10</f>
        <v>11</v>
      </c>
      <c r="H5" s="376" t="n">
        <f aca="false">5-MOD(INT((ROW()-1)/6),6)+10</f>
        <v>15</v>
      </c>
      <c r="I5" s="376" t="n">
        <f aca="false">5-MOD(INT(INT((ROW()-1)/6)/6),6)+10</f>
        <v>15</v>
      </c>
      <c r="J5" s="484" t="n">
        <f aca="false">SUM(G5:I5)</f>
        <v>41</v>
      </c>
      <c r="L5" s="0" t="n">
        <f aca="false">IF(ISBLANK(M5),,SUM(M5:O5))</f>
        <v>41</v>
      </c>
      <c r="M5" s="0" t="n">
        <f aca="false">IFERROR(__xludf.dummyfunction("""COMPUTED_VALUE"""),11)</f>
        <v>11</v>
      </c>
      <c r="N5" s="0" t="n">
        <f aca="false">IFERROR(__xludf.dummyfunction("""COMPUTED_VALUE"""),15)</f>
        <v>15</v>
      </c>
      <c r="O5" s="0" t="n">
        <f aca="false">IFERROR(__xludf.dummyfunction("""COMPUTED_VALUE"""),15)</f>
        <v>15</v>
      </c>
      <c r="P5" s="0" t="n">
        <f aca="false">IF(ISBLANK(M5),,ROUNDDOWN(($D$5+M5)*($D$6+N5)^0.5*($D$7+O5)^0.5*$D$9^2/10,0))</f>
        <v>1785</v>
      </c>
    </row>
    <row r="6" customFormat="false" ht="15.75" hidden="false" customHeight="false" outlineLevel="0" collapsed="false">
      <c r="A6" s="260" t="n">
        <v>40</v>
      </c>
      <c r="B6" s="482" t="n">
        <f aca="false">ROUND(A6/45,3)</f>
        <v>0.889</v>
      </c>
      <c r="C6" s="260" t="s">
        <v>209</v>
      </c>
      <c r="D6" s="0" t="n">
        <f aca="false">'Raid Boss CP Table'!G6</f>
        <v>115</v>
      </c>
      <c r="F6" s="483" t="n">
        <v>6</v>
      </c>
      <c r="G6" s="376" t="n">
        <f aca="false">5-MOD((ROW()-1),6)+10</f>
        <v>10</v>
      </c>
      <c r="H6" s="376" t="n">
        <f aca="false">5-MOD(INT((ROW()-1)/6),6)+10</f>
        <v>15</v>
      </c>
      <c r="I6" s="376" t="n">
        <f aca="false">5-MOD(INT(INT((ROW()-1)/6)/6),6)+10</f>
        <v>15</v>
      </c>
      <c r="J6" s="484" t="n">
        <f aca="false">SUM(G6:I6)</f>
        <v>40</v>
      </c>
      <c r="L6" s="0" t="n">
        <f aca="false">IF(ISBLANK(M6),,SUM(M6:O6))</f>
        <v>44</v>
      </c>
      <c r="M6" s="0" t="n">
        <f aca="false">IFERROR(__xludf.dummyfunction("""COMPUTED_VALUE"""),15)</f>
        <v>15</v>
      </c>
      <c r="N6" s="0" t="n">
        <f aca="false">IFERROR(__xludf.dummyfunction("""COMPUTED_VALUE"""),14)</f>
        <v>14</v>
      </c>
      <c r="O6" s="0" t="n">
        <f aca="false">IFERROR(__xludf.dummyfunction("""COMPUTED_VALUE"""),15)</f>
        <v>15</v>
      </c>
      <c r="P6" s="0" t="n">
        <f aca="false">IF(ISBLANK(M6),,ROUNDDOWN(($D$5+M6)*($D$6+N6)^0.5*($D$7+O6)^0.5*$D$9^2/10,0))</f>
        <v>1799</v>
      </c>
    </row>
    <row r="7" customFormat="false" ht="15.75" hidden="false" customHeight="false" outlineLevel="0" collapsed="false">
      <c r="A7" s="260" t="n">
        <v>39</v>
      </c>
      <c r="B7" s="482" t="n">
        <f aca="false">ROUND(A7/45,3)</f>
        <v>0.867</v>
      </c>
      <c r="C7" s="260" t="s">
        <v>2846</v>
      </c>
      <c r="D7" s="0" t="n">
        <f aca="false">'Raid Boss CP Table'!G7</f>
        <v>137</v>
      </c>
      <c r="F7" s="483" t="n">
        <v>7</v>
      </c>
      <c r="G7" s="376" t="n">
        <f aca="false">5-MOD((ROW()-1),6)+10</f>
        <v>15</v>
      </c>
      <c r="H7" s="376" t="n">
        <f aca="false">5-MOD(INT((ROW()-1)/6),6)+10</f>
        <v>14</v>
      </c>
      <c r="I7" s="376" t="n">
        <f aca="false">5-MOD(INT(INT((ROW()-1)/6)/6),6)+10</f>
        <v>15</v>
      </c>
      <c r="J7" s="484" t="n">
        <f aca="false">SUM(G7:I7)</f>
        <v>44</v>
      </c>
      <c r="L7" s="0" t="n">
        <f aca="false">IF(ISBLANK(M7),,SUM(M7:O7))</f>
        <v>43</v>
      </c>
      <c r="M7" s="0" t="n">
        <f aca="false">IFERROR(__xludf.dummyfunction("""COMPUTED_VALUE"""),14)</f>
        <v>14</v>
      </c>
      <c r="N7" s="0" t="n">
        <f aca="false">IFERROR(__xludf.dummyfunction("""COMPUTED_VALUE"""),14)</f>
        <v>14</v>
      </c>
      <c r="O7" s="0" t="n">
        <f aca="false">IFERROR(__xludf.dummyfunction("""COMPUTED_VALUE"""),15)</f>
        <v>15</v>
      </c>
      <c r="P7" s="0" t="n">
        <f aca="false">IF(ISBLANK(M7),,ROUNDDOWN(($D$5+M7)*($D$6+N7)^0.5*($D$7+O7)^0.5*$D$9^2/10,0))</f>
        <v>1794</v>
      </c>
    </row>
    <row r="8" customFormat="false" ht="15.75" hidden="false" customHeight="false" outlineLevel="0" collapsed="false">
      <c r="A8" s="260" t="n">
        <v>38</v>
      </c>
      <c r="B8" s="482" t="n">
        <f aca="false">ROUND(A8/45,3)</f>
        <v>0.844</v>
      </c>
      <c r="C8" s="482"/>
      <c r="F8" s="483" t="n">
        <v>8</v>
      </c>
      <c r="G8" s="376" t="n">
        <f aca="false">5-MOD((ROW()-1),6)+10</f>
        <v>14</v>
      </c>
      <c r="H8" s="376" t="n">
        <f aca="false">5-MOD(INT((ROW()-1)/6),6)+10</f>
        <v>14</v>
      </c>
      <c r="I8" s="376" t="n">
        <f aca="false">5-MOD(INT(INT((ROW()-1)/6)/6),6)+10</f>
        <v>15</v>
      </c>
      <c r="J8" s="484" t="n">
        <f aca="false">SUM(G8:I8)</f>
        <v>43</v>
      </c>
      <c r="L8" s="0" t="n">
        <f aca="false">IF(ISBLANK(M8),,SUM(M8:O8))</f>
        <v>42</v>
      </c>
      <c r="M8" s="0" t="n">
        <f aca="false">IFERROR(__xludf.dummyfunction("""COMPUTED_VALUE"""),13)</f>
        <v>13</v>
      </c>
      <c r="N8" s="0" t="n">
        <f aca="false">IFERROR(__xludf.dummyfunction("""COMPUTED_VALUE"""),14)</f>
        <v>14</v>
      </c>
      <c r="O8" s="0" t="n">
        <f aca="false">IFERROR(__xludf.dummyfunction("""COMPUTED_VALUE"""),15)</f>
        <v>15</v>
      </c>
      <c r="P8" s="0" t="n">
        <f aca="false">IF(ISBLANK(M8),,ROUNDDOWN(($D$5+M8)*($D$6+N8)^0.5*($D$7+O8)^0.5*$D$9^2/10,0))</f>
        <v>1789</v>
      </c>
    </row>
    <row r="9" customFormat="false" ht="15.75" hidden="false" customHeight="false" outlineLevel="0" collapsed="false">
      <c r="A9" s="260" t="n">
        <v>37</v>
      </c>
      <c r="B9" s="482" t="n">
        <f aca="false">ROUND(A9/45,3)</f>
        <v>0.822</v>
      </c>
      <c r="C9" s="260" t="s">
        <v>2895</v>
      </c>
      <c r="D9" s="0" t="n">
        <f aca="false">IF('Raid Boss CP Table'!C7="Weather-boosted (lv. 25)",0.667934,0.59740001)</f>
        <v>0.59740001</v>
      </c>
      <c r="F9" s="483" t="n">
        <v>9</v>
      </c>
      <c r="G9" s="376" t="n">
        <f aca="false">5-MOD((ROW()-1),6)+10</f>
        <v>13</v>
      </c>
      <c r="H9" s="376" t="n">
        <f aca="false">5-MOD(INT((ROW()-1)/6),6)+10</f>
        <v>14</v>
      </c>
      <c r="I9" s="376" t="n">
        <f aca="false">5-MOD(INT(INT((ROW()-1)/6)/6),6)+10</f>
        <v>15</v>
      </c>
      <c r="J9" s="484" t="n">
        <f aca="false">SUM(G9:I9)</f>
        <v>42</v>
      </c>
      <c r="L9" s="0" t="n">
        <f aca="false">IF(ISBLANK(M9),,SUM(M9:O9))</f>
        <v>41</v>
      </c>
      <c r="M9" s="0" t="n">
        <f aca="false">IFERROR(__xludf.dummyfunction("""COMPUTED_VALUE"""),12)</f>
        <v>12</v>
      </c>
      <c r="N9" s="0" t="n">
        <f aca="false">IFERROR(__xludf.dummyfunction("""COMPUTED_VALUE"""),14)</f>
        <v>14</v>
      </c>
      <c r="O9" s="0" t="n">
        <f aca="false">IFERROR(__xludf.dummyfunction("""COMPUTED_VALUE"""),15)</f>
        <v>15</v>
      </c>
      <c r="P9" s="0" t="n">
        <f aca="false">IF(ISBLANK(M9),,ROUNDDOWN(($D$5+M9)*($D$6+N9)^0.5*($D$7+O9)^0.5*$D$9^2/10,0))</f>
        <v>1784</v>
      </c>
    </row>
    <row r="10" customFormat="false" ht="15.75" hidden="false" customHeight="false" outlineLevel="0" collapsed="false">
      <c r="A10" s="260" t="n">
        <v>36</v>
      </c>
      <c r="B10" s="482" t="n">
        <f aca="false">ROUND(A10/45,3)</f>
        <v>0.8</v>
      </c>
      <c r="C10" s="260"/>
      <c r="D10" s="260"/>
      <c r="F10" s="483" t="n">
        <v>10</v>
      </c>
      <c r="G10" s="376" t="n">
        <f aca="false">5-MOD((ROW()-1),6)+10</f>
        <v>12</v>
      </c>
      <c r="H10" s="376" t="n">
        <f aca="false">5-MOD(INT((ROW()-1)/6),6)+10</f>
        <v>14</v>
      </c>
      <c r="I10" s="376" t="n">
        <f aca="false">5-MOD(INT(INT((ROW()-1)/6)/6),6)+10</f>
        <v>15</v>
      </c>
      <c r="J10" s="484" t="n">
        <f aca="false">SUM(G10:I10)</f>
        <v>41</v>
      </c>
      <c r="L10" s="0" t="n">
        <f aca="false">IF(ISBLANK(M10),,SUM(M10:O10))</f>
        <v>43</v>
      </c>
      <c r="M10" s="0" t="n">
        <f aca="false">IFERROR(__xludf.dummyfunction("""COMPUTED_VALUE"""),15)</f>
        <v>15</v>
      </c>
      <c r="N10" s="0" t="n">
        <f aca="false">IFERROR(__xludf.dummyfunction("""COMPUTED_VALUE"""),13)</f>
        <v>13</v>
      </c>
      <c r="O10" s="0" t="n">
        <f aca="false">IFERROR(__xludf.dummyfunction("""COMPUTED_VALUE"""),15)</f>
        <v>15</v>
      </c>
      <c r="P10" s="0" t="n">
        <f aca="false">IF(ISBLANK(M10),,ROUNDDOWN(($D$5+M10)*($D$6+N10)^0.5*($D$7+O10)^0.5*$D$9^2/10,0))</f>
        <v>1792</v>
      </c>
    </row>
    <row r="11" customFormat="false" ht="15.75" hidden="false" customHeight="false" outlineLevel="0" collapsed="false">
      <c r="A11" s="260" t="n">
        <v>35</v>
      </c>
      <c r="B11" s="482" t="n">
        <f aca="false">ROUND(A11/45,3)</f>
        <v>0.778</v>
      </c>
      <c r="C11" s="482"/>
      <c r="F11" s="483" t="n">
        <v>11</v>
      </c>
      <c r="G11" s="376" t="n">
        <f aca="false">5-MOD((ROW()-1),6)+10</f>
        <v>11</v>
      </c>
      <c r="H11" s="376" t="n">
        <f aca="false">5-MOD(INT((ROW()-1)/6),6)+10</f>
        <v>14</v>
      </c>
      <c r="I11" s="376" t="n">
        <f aca="false">5-MOD(INT(INT((ROW()-1)/6)/6),6)+10</f>
        <v>15</v>
      </c>
      <c r="J11" s="484" t="n">
        <f aca="false">SUM(G11:I11)</f>
        <v>40</v>
      </c>
      <c r="L11" s="0" t="n">
        <f aca="false">IF(ISBLANK(M11),,SUM(M11:O11))</f>
        <v>42</v>
      </c>
      <c r="M11" s="0" t="n">
        <f aca="false">IFERROR(__xludf.dummyfunction("""COMPUTED_VALUE"""),14)</f>
        <v>14</v>
      </c>
      <c r="N11" s="0" t="n">
        <f aca="false">IFERROR(__xludf.dummyfunction("""COMPUTED_VALUE"""),13)</f>
        <v>13</v>
      </c>
      <c r="O11" s="0" t="n">
        <f aca="false">IFERROR(__xludf.dummyfunction("""COMPUTED_VALUE"""),15)</f>
        <v>15</v>
      </c>
      <c r="P11" s="0" t="n">
        <f aca="false">IF(ISBLANK(M11),,ROUNDDOWN(($D$5+M11)*($D$6+N11)^0.5*($D$7+O11)^0.5*$D$9^2/10,0))</f>
        <v>1787</v>
      </c>
    </row>
    <row r="12" customFormat="false" ht="15.75" hidden="false" customHeight="false" outlineLevel="0" collapsed="false">
      <c r="A12" s="260" t="n">
        <v>34</v>
      </c>
      <c r="B12" s="482" t="n">
        <f aca="false">ROUND(A12/45,3)</f>
        <v>0.756</v>
      </c>
      <c r="C12" s="482"/>
      <c r="F12" s="483" t="n">
        <v>12</v>
      </c>
      <c r="G12" s="376" t="n">
        <f aca="false">5-MOD((ROW()-1),6)+10</f>
        <v>10</v>
      </c>
      <c r="H12" s="376" t="n">
        <f aca="false">5-MOD(INT((ROW()-1)/6),6)+10</f>
        <v>14</v>
      </c>
      <c r="I12" s="376" t="n">
        <f aca="false">5-MOD(INT(INT((ROW()-1)/6)/6),6)+10</f>
        <v>15</v>
      </c>
      <c r="J12" s="484" t="n">
        <f aca="false">SUM(G12:I12)</f>
        <v>39</v>
      </c>
      <c r="L12" s="0" t="n">
        <f aca="false">IF(ISBLANK(M12),,SUM(M12:O12))</f>
        <v>41</v>
      </c>
      <c r="M12" s="0" t="n">
        <f aca="false">IFERROR(__xludf.dummyfunction("""COMPUTED_VALUE"""),13)</f>
        <v>13</v>
      </c>
      <c r="N12" s="0" t="n">
        <f aca="false">IFERROR(__xludf.dummyfunction("""COMPUTED_VALUE"""),13)</f>
        <v>13</v>
      </c>
      <c r="O12" s="0" t="n">
        <f aca="false">IFERROR(__xludf.dummyfunction("""COMPUTED_VALUE"""),15)</f>
        <v>15</v>
      </c>
      <c r="P12" s="0" t="n">
        <f aca="false">IF(ISBLANK(M12),,ROUNDDOWN(($D$5+M12)*($D$6+N12)^0.5*($D$7+O12)^0.5*$D$9^2/10,0))</f>
        <v>1782</v>
      </c>
    </row>
    <row r="13" customFormat="false" ht="15.75" hidden="false" customHeight="false" outlineLevel="0" collapsed="false">
      <c r="A13" s="260" t="n">
        <v>33</v>
      </c>
      <c r="B13" s="482" t="n">
        <f aca="false">ROUND(A13/45,3)</f>
        <v>0.733</v>
      </c>
      <c r="C13" s="482"/>
      <c r="F13" s="483" t="n">
        <v>13</v>
      </c>
      <c r="G13" s="376" t="n">
        <f aca="false">5-MOD((ROW()-1),6)+10</f>
        <v>15</v>
      </c>
      <c r="H13" s="376" t="n">
        <f aca="false">5-MOD(INT((ROW()-1)/6),6)+10</f>
        <v>13</v>
      </c>
      <c r="I13" s="376" t="n">
        <f aca="false">5-MOD(INT(INT((ROW()-1)/6)/6),6)+10</f>
        <v>15</v>
      </c>
      <c r="J13" s="484" t="n">
        <f aca="false">SUM(G13:I13)</f>
        <v>43</v>
      </c>
      <c r="L13" s="0" t="n">
        <f aca="false">IF(ISBLANK(M13),,SUM(M13:O13))</f>
        <v>42</v>
      </c>
      <c r="M13" s="0" t="n">
        <f aca="false">IFERROR(__xludf.dummyfunction("""COMPUTED_VALUE"""),15)</f>
        <v>15</v>
      </c>
      <c r="N13" s="0" t="n">
        <f aca="false">IFERROR(__xludf.dummyfunction("""COMPUTED_VALUE"""),12)</f>
        <v>12</v>
      </c>
      <c r="O13" s="0" t="n">
        <f aca="false">IFERROR(__xludf.dummyfunction("""COMPUTED_VALUE"""),15)</f>
        <v>15</v>
      </c>
      <c r="P13" s="0" t="n">
        <f aca="false">IF(ISBLANK(M13),,ROUNDDOWN(($D$5+M13)*($D$6+N13)^0.5*($D$7+O13)^0.5*$D$9^2/10,0))</f>
        <v>1785</v>
      </c>
    </row>
    <row r="14" customFormat="false" ht="15.75" hidden="false" customHeight="false" outlineLevel="0" collapsed="false">
      <c r="A14" s="260" t="n">
        <v>32</v>
      </c>
      <c r="B14" s="482" t="n">
        <f aca="false">ROUND(A14/45,3)</f>
        <v>0.711</v>
      </c>
      <c r="C14" s="482"/>
      <c r="F14" s="483" t="n">
        <v>14</v>
      </c>
      <c r="G14" s="376" t="n">
        <f aca="false">5-MOD((ROW()-1),6)+10</f>
        <v>14</v>
      </c>
      <c r="H14" s="376" t="n">
        <f aca="false">5-MOD(INT((ROW()-1)/6),6)+10</f>
        <v>13</v>
      </c>
      <c r="I14" s="376" t="n">
        <f aca="false">5-MOD(INT(INT((ROW()-1)/6)/6),6)+10</f>
        <v>15</v>
      </c>
      <c r="J14" s="484" t="n">
        <f aca="false">SUM(G14:I14)</f>
        <v>42</v>
      </c>
      <c r="L14" s="0" t="n">
        <f aca="false">IF(ISBLANK(M14),,SUM(M14:O14))</f>
        <v>41</v>
      </c>
      <c r="M14" s="0" t="n">
        <f aca="false">IFERROR(__xludf.dummyfunction("""COMPUTED_VALUE"""),14)</f>
        <v>14</v>
      </c>
      <c r="N14" s="0" t="n">
        <f aca="false">IFERROR(__xludf.dummyfunction("""COMPUTED_VALUE"""),12)</f>
        <v>12</v>
      </c>
      <c r="O14" s="0" t="n">
        <f aca="false">IFERROR(__xludf.dummyfunction("""COMPUTED_VALUE"""),15)</f>
        <v>15</v>
      </c>
      <c r="P14" s="0" t="n">
        <f aca="false">IF(ISBLANK(M14),,ROUNDDOWN(($D$5+M14)*($D$6+N14)^0.5*($D$7+O14)^0.5*$D$9^2/10,0))</f>
        <v>1780</v>
      </c>
    </row>
    <row r="15" customFormat="false" ht="15.75" hidden="false" customHeight="false" outlineLevel="0" collapsed="false">
      <c r="A15" s="260" t="n">
        <v>31</v>
      </c>
      <c r="B15" s="482" t="n">
        <f aca="false">ROUND(A15/45,3)</f>
        <v>0.689</v>
      </c>
      <c r="C15" s="482"/>
      <c r="F15" s="483" t="n">
        <v>15</v>
      </c>
      <c r="G15" s="376" t="n">
        <f aca="false">5-MOD((ROW()-1),6)+10</f>
        <v>13</v>
      </c>
      <c r="H15" s="376" t="n">
        <f aca="false">5-MOD(INT((ROW()-1)/6),6)+10</f>
        <v>13</v>
      </c>
      <c r="I15" s="376" t="n">
        <f aca="false">5-MOD(INT(INT((ROW()-1)/6)/6),6)+10</f>
        <v>15</v>
      </c>
      <c r="J15" s="484" t="n">
        <f aca="false">SUM(G15:I15)</f>
        <v>41</v>
      </c>
      <c r="L15" s="0" t="n">
        <f aca="false">IF(ISBLANK(M15),,SUM(M15:O15))</f>
        <v>41</v>
      </c>
      <c r="M15" s="0" t="n">
        <f aca="false">IFERROR(__xludf.dummyfunction("""COMPUTED_VALUE"""),15)</f>
        <v>15</v>
      </c>
      <c r="N15" s="0" t="n">
        <f aca="false">IFERROR(__xludf.dummyfunction("""COMPUTED_VALUE"""),11)</f>
        <v>11</v>
      </c>
      <c r="O15" s="0" t="n">
        <f aca="false">IFERROR(__xludf.dummyfunction("""COMPUTED_VALUE"""),15)</f>
        <v>15</v>
      </c>
      <c r="P15" s="0" t="n">
        <f aca="false">IF(ISBLANK(M15),,ROUNDDOWN(($D$5+M15)*($D$6+N15)^0.5*($D$7+O15)^0.5*$D$9^2/10,0))</f>
        <v>1778</v>
      </c>
    </row>
    <row r="16" customFormat="false" ht="15.75" hidden="false" customHeight="false" outlineLevel="0" collapsed="false">
      <c r="A16" s="260" t="n">
        <v>30</v>
      </c>
      <c r="B16" s="482" t="n">
        <f aca="false">ROUND(A16/45,3)</f>
        <v>0.667</v>
      </c>
      <c r="C16" s="482"/>
      <c r="F16" s="483" t="n">
        <v>16</v>
      </c>
      <c r="G16" s="376" t="n">
        <f aca="false">5-MOD((ROW()-1),6)+10</f>
        <v>12</v>
      </c>
      <c r="H16" s="376" t="n">
        <f aca="false">5-MOD(INT((ROW()-1)/6),6)+10</f>
        <v>13</v>
      </c>
      <c r="I16" s="376" t="n">
        <f aca="false">5-MOD(INT(INT((ROW()-1)/6)/6),6)+10</f>
        <v>15</v>
      </c>
      <c r="J16" s="484" t="n">
        <f aca="false">SUM(G16:I16)</f>
        <v>40</v>
      </c>
      <c r="L16" s="0" t="n">
        <f aca="false">IF(ISBLANK(M16),,SUM(M16:O16))</f>
        <v>44</v>
      </c>
      <c r="M16" s="0" t="n">
        <f aca="false">IFERROR(__xludf.dummyfunction("""COMPUTED_VALUE"""),15)</f>
        <v>15</v>
      </c>
      <c r="N16" s="0" t="n">
        <f aca="false">IFERROR(__xludf.dummyfunction("""COMPUTED_VALUE"""),15)</f>
        <v>15</v>
      </c>
      <c r="O16" s="0" t="n">
        <f aca="false">IFERROR(__xludf.dummyfunction("""COMPUTED_VALUE"""),14)</f>
        <v>14</v>
      </c>
      <c r="P16" s="0" t="n">
        <f aca="false">IF(ISBLANK(M16),,ROUNDDOWN(($D$5+M16)*($D$6+N16)^0.5*($D$7+O16)^0.5*$D$9^2/10,0))</f>
        <v>1800</v>
      </c>
    </row>
    <row r="17" customFormat="false" ht="15.75" hidden="false" customHeight="false" outlineLevel="0" collapsed="false">
      <c r="A17" s="260"/>
      <c r="B17" s="485"/>
      <c r="C17" s="485"/>
      <c r="F17" s="483" t="n">
        <v>17</v>
      </c>
      <c r="G17" s="376" t="n">
        <f aca="false">5-MOD((ROW()-1),6)+10</f>
        <v>11</v>
      </c>
      <c r="H17" s="376" t="n">
        <f aca="false">5-MOD(INT((ROW()-1)/6),6)+10</f>
        <v>13</v>
      </c>
      <c r="I17" s="376" t="n">
        <f aca="false">5-MOD(INT(INT((ROW()-1)/6)/6),6)+10</f>
        <v>15</v>
      </c>
      <c r="J17" s="484" t="n">
        <f aca="false">SUM(G17:I17)</f>
        <v>39</v>
      </c>
      <c r="L17" s="0" t="n">
        <f aca="false">IF(ISBLANK(M17),,SUM(M17:O17))</f>
        <v>43</v>
      </c>
      <c r="M17" s="0" t="n">
        <f aca="false">IFERROR(__xludf.dummyfunction("""COMPUTED_VALUE"""),14)</f>
        <v>14</v>
      </c>
      <c r="N17" s="0" t="n">
        <f aca="false">IFERROR(__xludf.dummyfunction("""COMPUTED_VALUE"""),15)</f>
        <v>15</v>
      </c>
      <c r="O17" s="0" t="n">
        <f aca="false">IFERROR(__xludf.dummyfunction("""COMPUTED_VALUE"""),14)</f>
        <v>14</v>
      </c>
      <c r="P17" s="0" t="n">
        <f aca="false">IF(ISBLANK(M17),,ROUNDDOWN(($D$5+M17)*($D$6+N17)^0.5*($D$7+O17)^0.5*$D$9^2/10,0))</f>
        <v>1795</v>
      </c>
    </row>
    <row r="18" customFormat="false" ht="15.75" hidden="false" customHeight="false" outlineLevel="0" collapsed="false">
      <c r="A18" s="260"/>
      <c r="B18" s="485"/>
      <c r="C18" s="485"/>
      <c r="F18" s="483" t="n">
        <v>18</v>
      </c>
      <c r="G18" s="376" t="n">
        <f aca="false">5-MOD((ROW()-1),6)+10</f>
        <v>10</v>
      </c>
      <c r="H18" s="376" t="n">
        <f aca="false">5-MOD(INT((ROW()-1)/6),6)+10</f>
        <v>13</v>
      </c>
      <c r="I18" s="376" t="n">
        <f aca="false">5-MOD(INT(INT((ROW()-1)/6)/6),6)+10</f>
        <v>15</v>
      </c>
      <c r="J18" s="484" t="n">
        <f aca="false">SUM(G18:I18)</f>
        <v>38</v>
      </c>
      <c r="L18" s="0" t="n">
        <f aca="false">IF(ISBLANK(M18),,SUM(M18:O18))</f>
        <v>42</v>
      </c>
      <c r="M18" s="0" t="n">
        <f aca="false">IFERROR(__xludf.dummyfunction("""COMPUTED_VALUE"""),13)</f>
        <v>13</v>
      </c>
      <c r="N18" s="0" t="n">
        <f aca="false">IFERROR(__xludf.dummyfunction("""COMPUTED_VALUE"""),15)</f>
        <v>15</v>
      </c>
      <c r="O18" s="0" t="n">
        <f aca="false">IFERROR(__xludf.dummyfunction("""COMPUTED_VALUE"""),14)</f>
        <v>14</v>
      </c>
      <c r="P18" s="0" t="n">
        <f aca="false">IF(ISBLANK(M18),,ROUNDDOWN(($D$5+M18)*($D$6+N18)^0.5*($D$7+O18)^0.5*$D$9^2/10,0))</f>
        <v>1790</v>
      </c>
    </row>
    <row r="19" customFormat="false" ht="15.75" hidden="false" customHeight="false" outlineLevel="0" collapsed="false">
      <c r="A19" s="260"/>
      <c r="B19" s="485"/>
      <c r="C19" s="485"/>
      <c r="F19" s="483" t="n">
        <v>19</v>
      </c>
      <c r="G19" s="376" t="n">
        <f aca="false">5-MOD((ROW()-1),6)+10</f>
        <v>15</v>
      </c>
      <c r="H19" s="376" t="n">
        <f aca="false">5-MOD(INT((ROW()-1)/6),6)+10</f>
        <v>12</v>
      </c>
      <c r="I19" s="376" t="n">
        <f aca="false">5-MOD(INT(INT((ROW()-1)/6)/6),6)+10</f>
        <v>15</v>
      </c>
      <c r="J19" s="484" t="n">
        <f aca="false">SUM(G19:I19)</f>
        <v>42</v>
      </c>
      <c r="L19" s="0" t="n">
        <f aca="false">IF(ISBLANK(M19),,SUM(M19:O19))</f>
        <v>41</v>
      </c>
      <c r="M19" s="0" t="n">
        <f aca="false">IFERROR(__xludf.dummyfunction("""COMPUTED_VALUE"""),12)</f>
        <v>12</v>
      </c>
      <c r="N19" s="0" t="n">
        <f aca="false">IFERROR(__xludf.dummyfunction("""COMPUTED_VALUE"""),15)</f>
        <v>15</v>
      </c>
      <c r="O19" s="0" t="n">
        <f aca="false">IFERROR(__xludf.dummyfunction("""COMPUTED_VALUE"""),14)</f>
        <v>14</v>
      </c>
      <c r="P19" s="0" t="n">
        <f aca="false">IF(ISBLANK(M19),,ROUNDDOWN(($D$5+M19)*($D$6+N19)^0.5*($D$7+O19)^0.5*$D$9^2/10,0))</f>
        <v>1785</v>
      </c>
    </row>
    <row r="20" customFormat="false" ht="15.75" hidden="false" customHeight="false" outlineLevel="0" collapsed="false">
      <c r="A20" s="260"/>
      <c r="B20" s="485"/>
      <c r="C20" s="485"/>
      <c r="F20" s="483" t="n">
        <v>20</v>
      </c>
      <c r="G20" s="376" t="n">
        <f aca="false">5-MOD((ROW()-1),6)+10</f>
        <v>14</v>
      </c>
      <c r="H20" s="376" t="n">
        <f aca="false">5-MOD(INT((ROW()-1)/6),6)+10</f>
        <v>12</v>
      </c>
      <c r="I20" s="376" t="n">
        <f aca="false">5-MOD(INT(INT((ROW()-1)/6)/6),6)+10</f>
        <v>15</v>
      </c>
      <c r="J20" s="484" t="n">
        <f aca="false">SUM(G20:I20)</f>
        <v>41</v>
      </c>
      <c r="L20" s="0" t="n">
        <f aca="false">IF(ISBLANK(M20),,SUM(M20:O20))</f>
        <v>43</v>
      </c>
      <c r="M20" s="0" t="n">
        <f aca="false">IFERROR(__xludf.dummyfunction("""COMPUTED_VALUE"""),15)</f>
        <v>15</v>
      </c>
      <c r="N20" s="0" t="n">
        <f aca="false">IFERROR(__xludf.dummyfunction("""COMPUTED_VALUE"""),14)</f>
        <v>14</v>
      </c>
      <c r="O20" s="0" t="n">
        <f aca="false">IFERROR(__xludf.dummyfunction("""COMPUTED_VALUE"""),14)</f>
        <v>14</v>
      </c>
      <c r="P20" s="0" t="n">
        <f aca="false">IF(ISBLANK(M20),,ROUNDDOWN(($D$5+M20)*($D$6+N20)^0.5*($D$7+O20)^0.5*$D$9^2/10,0))</f>
        <v>1793</v>
      </c>
    </row>
    <row r="21" customFormat="false" ht="15.75" hidden="false" customHeight="false" outlineLevel="0" collapsed="false">
      <c r="A21" s="260"/>
      <c r="B21" s="485"/>
      <c r="C21" s="485"/>
      <c r="F21" s="483" t="n">
        <v>21</v>
      </c>
      <c r="G21" s="376" t="n">
        <f aca="false">5-MOD((ROW()-1),6)+10</f>
        <v>13</v>
      </c>
      <c r="H21" s="376" t="n">
        <f aca="false">5-MOD(INT((ROW()-1)/6),6)+10</f>
        <v>12</v>
      </c>
      <c r="I21" s="376" t="n">
        <f aca="false">5-MOD(INT(INT((ROW()-1)/6)/6),6)+10</f>
        <v>15</v>
      </c>
      <c r="J21" s="484" t="n">
        <f aca="false">SUM(G21:I21)</f>
        <v>40</v>
      </c>
      <c r="L21" s="0" t="n">
        <f aca="false">IF(ISBLANK(M21),,SUM(M21:O21))</f>
        <v>42</v>
      </c>
      <c r="M21" s="0" t="n">
        <f aca="false">IFERROR(__xludf.dummyfunction("""COMPUTED_VALUE"""),14)</f>
        <v>14</v>
      </c>
      <c r="N21" s="0" t="n">
        <f aca="false">IFERROR(__xludf.dummyfunction("""COMPUTED_VALUE"""),14)</f>
        <v>14</v>
      </c>
      <c r="O21" s="0" t="n">
        <f aca="false">IFERROR(__xludf.dummyfunction("""COMPUTED_VALUE"""),14)</f>
        <v>14</v>
      </c>
      <c r="P21" s="0" t="n">
        <f aca="false">IF(ISBLANK(M21),,ROUNDDOWN(($D$5+M21)*($D$6+N21)^0.5*($D$7+O21)^0.5*$D$9^2/10,0))</f>
        <v>1788</v>
      </c>
    </row>
    <row r="22" customFormat="false" ht="15.75" hidden="false" customHeight="false" outlineLevel="0" collapsed="false">
      <c r="A22" s="384"/>
      <c r="B22" s="486"/>
      <c r="C22" s="486"/>
      <c r="F22" s="483" t="n">
        <v>22</v>
      </c>
      <c r="G22" s="376" t="n">
        <f aca="false">5-MOD((ROW()-1),6)+10</f>
        <v>12</v>
      </c>
      <c r="H22" s="376" t="n">
        <f aca="false">5-MOD(INT((ROW()-1)/6),6)+10</f>
        <v>12</v>
      </c>
      <c r="I22" s="376" t="n">
        <f aca="false">5-MOD(INT(INT((ROW()-1)/6)/6),6)+10</f>
        <v>15</v>
      </c>
      <c r="J22" s="484" t="n">
        <f aca="false">SUM(G22:I22)</f>
        <v>39</v>
      </c>
      <c r="L22" s="0" t="n">
        <f aca="false">IF(ISBLANK(M22),,SUM(M22:O22))</f>
        <v>41</v>
      </c>
      <c r="M22" s="0" t="n">
        <f aca="false">IFERROR(__xludf.dummyfunction("""COMPUTED_VALUE"""),13)</f>
        <v>13</v>
      </c>
      <c r="N22" s="0" t="n">
        <f aca="false">IFERROR(__xludf.dummyfunction("""COMPUTED_VALUE"""),14)</f>
        <v>14</v>
      </c>
      <c r="O22" s="0" t="n">
        <f aca="false">IFERROR(__xludf.dummyfunction("""COMPUTED_VALUE"""),14)</f>
        <v>14</v>
      </c>
      <c r="P22" s="0" t="n">
        <f aca="false">IF(ISBLANK(M22),,ROUNDDOWN(($D$5+M22)*($D$6+N22)^0.5*($D$7+O22)^0.5*$D$9^2/10,0))</f>
        <v>1783</v>
      </c>
    </row>
    <row r="23" customFormat="false" ht="15.75" hidden="false" customHeight="false" outlineLevel="0" collapsed="false">
      <c r="A23" s="384"/>
      <c r="B23" s="486"/>
      <c r="C23" s="486"/>
      <c r="F23" s="483" t="n">
        <v>23</v>
      </c>
      <c r="G23" s="376" t="n">
        <f aca="false">5-MOD((ROW()-1),6)+10</f>
        <v>11</v>
      </c>
      <c r="H23" s="376" t="n">
        <f aca="false">5-MOD(INT((ROW()-1)/6),6)+10</f>
        <v>12</v>
      </c>
      <c r="I23" s="376" t="n">
        <f aca="false">5-MOD(INT(INT((ROW()-1)/6)/6),6)+10</f>
        <v>15</v>
      </c>
      <c r="J23" s="484" t="n">
        <f aca="false">SUM(G23:I23)</f>
        <v>38</v>
      </c>
      <c r="L23" s="0" t="n">
        <f aca="false">IF(ISBLANK(M23),,SUM(M23:O23))</f>
        <v>42</v>
      </c>
      <c r="M23" s="0" t="n">
        <f aca="false">IFERROR(__xludf.dummyfunction("""COMPUTED_VALUE"""),15)</f>
        <v>15</v>
      </c>
      <c r="N23" s="0" t="n">
        <f aca="false">IFERROR(__xludf.dummyfunction("""COMPUTED_VALUE"""),13)</f>
        <v>13</v>
      </c>
      <c r="O23" s="0" t="n">
        <f aca="false">IFERROR(__xludf.dummyfunction("""COMPUTED_VALUE"""),14)</f>
        <v>14</v>
      </c>
      <c r="P23" s="0" t="n">
        <f aca="false">IF(ISBLANK(M23),,ROUNDDOWN(($D$5+M23)*($D$6+N23)^0.5*($D$7+O23)^0.5*$D$9^2/10,0))</f>
        <v>1786</v>
      </c>
    </row>
    <row r="24" customFormat="false" ht="15.75" hidden="false" customHeight="false" outlineLevel="0" collapsed="false">
      <c r="A24" s="384"/>
      <c r="B24" s="486"/>
      <c r="C24" s="486"/>
      <c r="F24" s="483" t="n">
        <v>24</v>
      </c>
      <c r="G24" s="376" t="n">
        <f aca="false">5-MOD((ROW()-1),6)+10</f>
        <v>10</v>
      </c>
      <c r="H24" s="376" t="n">
        <f aca="false">5-MOD(INT((ROW()-1)/6),6)+10</f>
        <v>12</v>
      </c>
      <c r="I24" s="376" t="n">
        <f aca="false">5-MOD(INT(INT((ROW()-1)/6)/6),6)+10</f>
        <v>15</v>
      </c>
      <c r="J24" s="484" t="n">
        <f aca="false">SUM(G24:I24)</f>
        <v>37</v>
      </c>
      <c r="L24" s="0" t="n">
        <f aca="false">IF(ISBLANK(M24),,SUM(M24:O24))</f>
        <v>41</v>
      </c>
      <c r="M24" s="0" t="n">
        <f aca="false">IFERROR(__xludf.dummyfunction("""COMPUTED_VALUE"""),14)</f>
        <v>14</v>
      </c>
      <c r="N24" s="0" t="n">
        <f aca="false">IFERROR(__xludf.dummyfunction("""COMPUTED_VALUE"""),13)</f>
        <v>13</v>
      </c>
      <c r="O24" s="0" t="n">
        <f aca="false">IFERROR(__xludf.dummyfunction("""COMPUTED_VALUE"""),14)</f>
        <v>14</v>
      </c>
      <c r="P24" s="0" t="n">
        <f aca="false">IF(ISBLANK(M24),,ROUNDDOWN(($D$5+M24)*($D$6+N24)^0.5*($D$7+O24)^0.5*$D$9^2/10,0))</f>
        <v>1781</v>
      </c>
    </row>
    <row r="25" customFormat="false" ht="15.75" hidden="false" customHeight="false" outlineLevel="0" collapsed="false">
      <c r="A25" s="384"/>
      <c r="B25" s="486"/>
      <c r="C25" s="486"/>
      <c r="F25" s="483" t="n">
        <v>25</v>
      </c>
      <c r="G25" s="376" t="n">
        <f aca="false">5-MOD((ROW()-1),6)+10</f>
        <v>15</v>
      </c>
      <c r="H25" s="376" t="n">
        <f aca="false">5-MOD(INT((ROW()-1)/6),6)+10</f>
        <v>11</v>
      </c>
      <c r="I25" s="376" t="n">
        <f aca="false">5-MOD(INT(INT((ROW()-1)/6)/6),6)+10</f>
        <v>15</v>
      </c>
      <c r="J25" s="484" t="n">
        <f aca="false">SUM(G25:I25)</f>
        <v>41</v>
      </c>
      <c r="L25" s="0" t="n">
        <f aca="false">IF(ISBLANK(M25),,SUM(M25:O25))</f>
        <v>41</v>
      </c>
      <c r="M25" s="0" t="n">
        <f aca="false">IFERROR(__xludf.dummyfunction("""COMPUTED_VALUE"""),15)</f>
        <v>15</v>
      </c>
      <c r="N25" s="0" t="n">
        <f aca="false">IFERROR(__xludf.dummyfunction("""COMPUTED_VALUE"""),12)</f>
        <v>12</v>
      </c>
      <c r="O25" s="0" t="n">
        <f aca="false">IFERROR(__xludf.dummyfunction("""COMPUTED_VALUE"""),14)</f>
        <v>14</v>
      </c>
      <c r="P25" s="0" t="n">
        <f aca="false">IF(ISBLANK(M25),,ROUNDDOWN(($D$5+M25)*($D$6+N25)^0.5*($D$7+O25)^0.5*$D$9^2/10,0))</f>
        <v>1779</v>
      </c>
    </row>
    <row r="26" customFormat="false" ht="15.75" hidden="false" customHeight="false" outlineLevel="0" collapsed="false">
      <c r="A26" s="384"/>
      <c r="B26" s="486"/>
      <c r="C26" s="486"/>
      <c r="F26" s="483" t="n">
        <v>26</v>
      </c>
      <c r="G26" s="376" t="n">
        <f aca="false">5-MOD((ROW()-1),6)+10</f>
        <v>14</v>
      </c>
      <c r="H26" s="376" t="n">
        <f aca="false">5-MOD(INT((ROW()-1)/6),6)+10</f>
        <v>11</v>
      </c>
      <c r="I26" s="376" t="n">
        <f aca="false">5-MOD(INT(INT((ROW()-1)/6)/6),6)+10</f>
        <v>15</v>
      </c>
      <c r="J26" s="484" t="n">
        <f aca="false">SUM(G26:I26)</f>
        <v>40</v>
      </c>
      <c r="L26" s="0" t="n">
        <f aca="false">IF(ISBLANK(M26),,SUM(M26:O26))</f>
        <v>43</v>
      </c>
      <c r="M26" s="0" t="n">
        <f aca="false">IFERROR(__xludf.dummyfunction("""COMPUTED_VALUE"""),15)</f>
        <v>15</v>
      </c>
      <c r="N26" s="0" t="n">
        <f aca="false">IFERROR(__xludf.dummyfunction("""COMPUTED_VALUE"""),15)</f>
        <v>15</v>
      </c>
      <c r="O26" s="0" t="n">
        <f aca="false">IFERROR(__xludf.dummyfunction("""COMPUTED_VALUE"""),13)</f>
        <v>13</v>
      </c>
      <c r="P26" s="0" t="n">
        <f aca="false">IF(ISBLANK(M26),,ROUNDDOWN(($D$5+M26)*($D$6+N26)^0.5*($D$7+O26)^0.5*$D$9^2/10,0))</f>
        <v>1794</v>
      </c>
    </row>
    <row r="27" customFormat="false" ht="15.75" hidden="false" customHeight="false" outlineLevel="0" collapsed="false">
      <c r="A27" s="384"/>
      <c r="B27" s="486"/>
      <c r="C27" s="486"/>
      <c r="F27" s="483" t="n">
        <v>27</v>
      </c>
      <c r="G27" s="376" t="n">
        <f aca="false">5-MOD((ROW()-1),6)+10</f>
        <v>13</v>
      </c>
      <c r="H27" s="376" t="n">
        <f aca="false">5-MOD(INT((ROW()-1)/6),6)+10</f>
        <v>11</v>
      </c>
      <c r="I27" s="376" t="n">
        <f aca="false">5-MOD(INT(INT((ROW()-1)/6)/6),6)+10</f>
        <v>15</v>
      </c>
      <c r="J27" s="484" t="n">
        <f aca="false">SUM(G27:I27)</f>
        <v>39</v>
      </c>
      <c r="L27" s="0" t="n">
        <f aca="false">IF(ISBLANK(M27),,SUM(M27:O27))</f>
        <v>42</v>
      </c>
      <c r="M27" s="0" t="n">
        <f aca="false">IFERROR(__xludf.dummyfunction("""COMPUTED_VALUE"""),14)</f>
        <v>14</v>
      </c>
      <c r="N27" s="0" t="n">
        <f aca="false">IFERROR(__xludf.dummyfunction("""COMPUTED_VALUE"""),15)</f>
        <v>15</v>
      </c>
      <c r="O27" s="0" t="n">
        <f aca="false">IFERROR(__xludf.dummyfunction("""COMPUTED_VALUE"""),13)</f>
        <v>13</v>
      </c>
      <c r="P27" s="0" t="n">
        <f aca="false">IF(ISBLANK(M27),,ROUNDDOWN(($D$5+M27)*($D$6+N27)^0.5*($D$7+O27)^0.5*$D$9^2/10,0))</f>
        <v>1789</v>
      </c>
    </row>
    <row r="28" customFormat="false" ht="15.75" hidden="false" customHeight="false" outlineLevel="0" collapsed="false">
      <c r="A28" s="384"/>
      <c r="B28" s="486"/>
      <c r="C28" s="486"/>
      <c r="F28" s="483" t="n">
        <v>28</v>
      </c>
      <c r="G28" s="376" t="n">
        <f aca="false">5-MOD((ROW()-1),6)+10</f>
        <v>12</v>
      </c>
      <c r="H28" s="376" t="n">
        <f aca="false">5-MOD(INT((ROW()-1)/6),6)+10</f>
        <v>11</v>
      </c>
      <c r="I28" s="376" t="n">
        <f aca="false">5-MOD(INT(INT((ROW()-1)/6)/6),6)+10</f>
        <v>15</v>
      </c>
      <c r="J28" s="484" t="n">
        <f aca="false">SUM(G28:I28)</f>
        <v>38</v>
      </c>
      <c r="L28" s="0" t="n">
        <f aca="false">IF(ISBLANK(M28),,SUM(M28:O28))</f>
        <v>41</v>
      </c>
      <c r="M28" s="0" t="n">
        <f aca="false">IFERROR(__xludf.dummyfunction("""COMPUTED_VALUE"""),13)</f>
        <v>13</v>
      </c>
      <c r="N28" s="0" t="n">
        <f aca="false">IFERROR(__xludf.dummyfunction("""COMPUTED_VALUE"""),15)</f>
        <v>15</v>
      </c>
      <c r="O28" s="0" t="n">
        <f aca="false">IFERROR(__xludf.dummyfunction("""COMPUTED_VALUE"""),13)</f>
        <v>13</v>
      </c>
      <c r="P28" s="0" t="n">
        <f aca="false">IF(ISBLANK(M28),,ROUNDDOWN(($D$5+M28)*($D$6+N28)^0.5*($D$7+O28)^0.5*$D$9^2/10,0))</f>
        <v>1784</v>
      </c>
    </row>
    <row r="29" customFormat="false" ht="15.75" hidden="false" customHeight="false" outlineLevel="0" collapsed="false">
      <c r="A29" s="384"/>
      <c r="B29" s="486"/>
      <c r="C29" s="486"/>
      <c r="F29" s="483" t="n">
        <v>29</v>
      </c>
      <c r="G29" s="376" t="n">
        <f aca="false">5-MOD((ROW()-1),6)+10</f>
        <v>11</v>
      </c>
      <c r="H29" s="376" t="n">
        <f aca="false">5-MOD(INT((ROW()-1)/6),6)+10</f>
        <v>11</v>
      </c>
      <c r="I29" s="376" t="n">
        <f aca="false">5-MOD(INT(INT((ROW()-1)/6)/6),6)+10</f>
        <v>15</v>
      </c>
      <c r="J29" s="484" t="n">
        <f aca="false">SUM(G29:I29)</f>
        <v>37</v>
      </c>
      <c r="L29" s="0" t="n">
        <f aca="false">IF(ISBLANK(M29),,SUM(M29:O29))</f>
        <v>42</v>
      </c>
      <c r="M29" s="0" t="n">
        <f aca="false">IFERROR(__xludf.dummyfunction("""COMPUTED_VALUE"""),15)</f>
        <v>15</v>
      </c>
      <c r="N29" s="0" t="n">
        <f aca="false">IFERROR(__xludf.dummyfunction("""COMPUTED_VALUE"""),14)</f>
        <v>14</v>
      </c>
      <c r="O29" s="0" t="n">
        <f aca="false">IFERROR(__xludf.dummyfunction("""COMPUTED_VALUE"""),13)</f>
        <v>13</v>
      </c>
      <c r="P29" s="0" t="n">
        <f aca="false">IF(ISBLANK(M29),,ROUNDDOWN(($D$5+M29)*($D$6+N29)^0.5*($D$7+O29)^0.5*$D$9^2/10,0))</f>
        <v>1787</v>
      </c>
    </row>
    <row r="30" customFormat="false" ht="15.75" hidden="false" customHeight="false" outlineLevel="0" collapsed="false">
      <c r="A30" s="384"/>
      <c r="B30" s="486"/>
      <c r="C30" s="486"/>
      <c r="F30" s="483" t="n">
        <v>30</v>
      </c>
      <c r="G30" s="376" t="n">
        <f aca="false">5-MOD((ROW()-1),6)+10</f>
        <v>10</v>
      </c>
      <c r="H30" s="376" t="n">
        <f aca="false">5-MOD(INT((ROW()-1)/6),6)+10</f>
        <v>11</v>
      </c>
      <c r="I30" s="376" t="n">
        <f aca="false">5-MOD(INT(INT((ROW()-1)/6)/6),6)+10</f>
        <v>15</v>
      </c>
      <c r="J30" s="484" t="n">
        <f aca="false">SUM(G30:I30)</f>
        <v>36</v>
      </c>
      <c r="L30" s="0" t="n">
        <f aca="false">IF(ISBLANK(M30),,SUM(M30:O30))</f>
        <v>41</v>
      </c>
      <c r="M30" s="0" t="n">
        <f aca="false">IFERROR(__xludf.dummyfunction("""COMPUTED_VALUE"""),14)</f>
        <v>14</v>
      </c>
      <c r="N30" s="0" t="n">
        <f aca="false">IFERROR(__xludf.dummyfunction("""COMPUTED_VALUE"""),14)</f>
        <v>14</v>
      </c>
      <c r="O30" s="0" t="n">
        <f aca="false">IFERROR(__xludf.dummyfunction("""COMPUTED_VALUE"""),13)</f>
        <v>13</v>
      </c>
      <c r="P30" s="0" t="n">
        <f aca="false">IF(ISBLANK(M30),,ROUNDDOWN(($D$5+M30)*($D$6+N30)^0.5*($D$7+O30)^0.5*$D$9^2/10,0))</f>
        <v>1782</v>
      </c>
    </row>
    <row r="31" customFormat="false" ht="15.75" hidden="false" customHeight="false" outlineLevel="0" collapsed="false">
      <c r="A31" s="384"/>
      <c r="B31" s="486"/>
      <c r="C31" s="486"/>
      <c r="F31" s="483" t="n">
        <v>31</v>
      </c>
      <c r="G31" s="376" t="n">
        <f aca="false">5-MOD((ROW()-1),6)+10</f>
        <v>15</v>
      </c>
      <c r="H31" s="376" t="n">
        <f aca="false">5-MOD(INT((ROW()-1)/6),6)+10</f>
        <v>10</v>
      </c>
      <c r="I31" s="376" t="n">
        <f aca="false">5-MOD(INT(INT((ROW()-1)/6)/6),6)+10</f>
        <v>15</v>
      </c>
      <c r="J31" s="484" t="n">
        <f aca="false">SUM(G31:I31)</f>
        <v>40</v>
      </c>
      <c r="L31" s="0" t="n">
        <f aca="false">IF(ISBLANK(M31),,SUM(M31:O31))</f>
        <v>41</v>
      </c>
      <c r="M31" s="0" t="n">
        <f aca="false">IFERROR(__xludf.dummyfunction("""COMPUTED_VALUE"""),15)</f>
        <v>15</v>
      </c>
      <c r="N31" s="0" t="n">
        <f aca="false">IFERROR(__xludf.dummyfunction("""COMPUTED_VALUE"""),13)</f>
        <v>13</v>
      </c>
      <c r="O31" s="0" t="n">
        <f aca="false">IFERROR(__xludf.dummyfunction("""COMPUTED_VALUE"""),13)</f>
        <v>13</v>
      </c>
      <c r="P31" s="0" t="n">
        <f aca="false">IF(ISBLANK(M31),,ROUNDDOWN(($D$5+M31)*($D$6+N31)^0.5*($D$7+O31)^0.5*$D$9^2/10,0))</f>
        <v>1780</v>
      </c>
    </row>
    <row r="32" customFormat="false" ht="15.75" hidden="false" customHeight="false" outlineLevel="0" collapsed="false">
      <c r="A32" s="384"/>
      <c r="B32" s="486"/>
      <c r="C32" s="486"/>
      <c r="F32" s="483" t="n">
        <v>32</v>
      </c>
      <c r="G32" s="376" t="n">
        <f aca="false">5-MOD((ROW()-1),6)+10</f>
        <v>14</v>
      </c>
      <c r="H32" s="376" t="n">
        <f aca="false">5-MOD(INT((ROW()-1)/6),6)+10</f>
        <v>10</v>
      </c>
      <c r="I32" s="376" t="n">
        <f aca="false">5-MOD(INT(INT((ROW()-1)/6)/6),6)+10</f>
        <v>15</v>
      </c>
      <c r="J32" s="484" t="n">
        <f aca="false">SUM(G32:I32)</f>
        <v>39</v>
      </c>
      <c r="L32" s="0" t="n">
        <f aca="false">IF(ISBLANK(M32),,SUM(M32:O32))</f>
        <v>42</v>
      </c>
      <c r="M32" s="0" t="n">
        <f aca="false">IFERROR(__xludf.dummyfunction("""COMPUTED_VALUE"""),15)</f>
        <v>15</v>
      </c>
      <c r="N32" s="0" t="n">
        <f aca="false">IFERROR(__xludf.dummyfunction("""COMPUTED_VALUE"""),15)</f>
        <v>15</v>
      </c>
      <c r="O32" s="0" t="n">
        <f aca="false">IFERROR(__xludf.dummyfunction("""COMPUTED_VALUE"""),12)</f>
        <v>12</v>
      </c>
      <c r="P32" s="0" t="n">
        <f aca="false">IF(ISBLANK(M32),,ROUNDDOWN(($D$5+M32)*($D$6+N32)^0.5*($D$7+O32)^0.5*$D$9^2/10,0))</f>
        <v>1788</v>
      </c>
    </row>
    <row r="33" customFormat="false" ht="15.75" hidden="false" customHeight="false" outlineLevel="0" collapsed="false">
      <c r="A33" s="384"/>
      <c r="B33" s="486"/>
      <c r="C33" s="486"/>
      <c r="F33" s="483" t="n">
        <v>33</v>
      </c>
      <c r="G33" s="376" t="n">
        <f aca="false">5-MOD((ROW()-1),6)+10</f>
        <v>13</v>
      </c>
      <c r="H33" s="376" t="n">
        <f aca="false">5-MOD(INT((ROW()-1)/6),6)+10</f>
        <v>10</v>
      </c>
      <c r="I33" s="376" t="n">
        <f aca="false">5-MOD(INT(INT((ROW()-1)/6)/6),6)+10</f>
        <v>15</v>
      </c>
      <c r="J33" s="484" t="n">
        <f aca="false">SUM(G33:I33)</f>
        <v>38</v>
      </c>
      <c r="L33" s="0" t="n">
        <f aca="false">IF(ISBLANK(M33),,SUM(M33:O33))</f>
        <v>41</v>
      </c>
      <c r="M33" s="0" t="n">
        <f aca="false">IFERROR(__xludf.dummyfunction("""COMPUTED_VALUE"""),14)</f>
        <v>14</v>
      </c>
      <c r="N33" s="0" t="n">
        <f aca="false">IFERROR(__xludf.dummyfunction("""COMPUTED_VALUE"""),15)</f>
        <v>15</v>
      </c>
      <c r="O33" s="0" t="n">
        <f aca="false">IFERROR(__xludf.dummyfunction("""COMPUTED_VALUE"""),12)</f>
        <v>12</v>
      </c>
      <c r="P33" s="0" t="n">
        <f aca="false">IF(ISBLANK(M33),,ROUNDDOWN(($D$5+M33)*($D$6+N33)^0.5*($D$7+O33)^0.5*$D$9^2/10,0))</f>
        <v>1783</v>
      </c>
    </row>
    <row r="34" customFormat="false" ht="15.75" hidden="false" customHeight="false" outlineLevel="0" collapsed="false">
      <c r="A34" s="384"/>
      <c r="B34" s="486"/>
      <c r="C34" s="486"/>
      <c r="F34" s="483" t="n">
        <v>34</v>
      </c>
      <c r="G34" s="376" t="n">
        <f aca="false">5-MOD((ROW()-1),6)+10</f>
        <v>12</v>
      </c>
      <c r="H34" s="376" t="n">
        <f aca="false">5-MOD(INT((ROW()-1)/6),6)+10</f>
        <v>10</v>
      </c>
      <c r="I34" s="376" t="n">
        <f aca="false">5-MOD(INT(INT((ROW()-1)/6)/6),6)+10</f>
        <v>15</v>
      </c>
      <c r="J34" s="484" t="n">
        <f aca="false">SUM(G34:I34)</f>
        <v>37</v>
      </c>
      <c r="L34" s="0" t="n">
        <f aca="false">IF(ISBLANK(M34),,SUM(M34:O34))</f>
        <v>41</v>
      </c>
      <c r="M34" s="0" t="n">
        <f aca="false">IFERROR(__xludf.dummyfunction("""COMPUTED_VALUE"""),15)</f>
        <v>15</v>
      </c>
      <c r="N34" s="0" t="n">
        <f aca="false">IFERROR(__xludf.dummyfunction("""COMPUTED_VALUE"""),14)</f>
        <v>14</v>
      </c>
      <c r="O34" s="0" t="n">
        <f aca="false">IFERROR(__xludf.dummyfunction("""COMPUTED_VALUE"""),12)</f>
        <v>12</v>
      </c>
      <c r="P34" s="0" t="n">
        <f aca="false">IF(ISBLANK(M34),,ROUNDDOWN(($D$5+M34)*($D$6+N34)^0.5*($D$7+O34)^0.5*$D$9^2/10,0))</f>
        <v>1781</v>
      </c>
    </row>
    <row r="35" customFormat="false" ht="15.75" hidden="false" customHeight="false" outlineLevel="0" collapsed="false">
      <c r="A35" s="384"/>
      <c r="B35" s="486"/>
      <c r="C35" s="486"/>
      <c r="F35" s="483" t="n">
        <v>35</v>
      </c>
      <c r="G35" s="376" t="n">
        <f aca="false">5-MOD((ROW()-1),6)+10</f>
        <v>11</v>
      </c>
      <c r="H35" s="376" t="n">
        <f aca="false">5-MOD(INT((ROW()-1)/6),6)+10</f>
        <v>10</v>
      </c>
      <c r="I35" s="376" t="n">
        <f aca="false">5-MOD(INT(INT((ROW()-1)/6)/6),6)+10</f>
        <v>15</v>
      </c>
      <c r="J35" s="484" t="n">
        <f aca="false">SUM(G35:I35)</f>
        <v>36</v>
      </c>
      <c r="L35" s="0" t="n">
        <f aca="false">IF(ISBLANK(M35),,SUM(M35:O35))</f>
        <v>41</v>
      </c>
      <c r="M35" s="0" t="n">
        <f aca="false">IFERROR(__xludf.dummyfunction("""COMPUTED_VALUE"""),15)</f>
        <v>15</v>
      </c>
      <c r="N35" s="0" t="n">
        <f aca="false">IFERROR(__xludf.dummyfunction("""COMPUTED_VALUE"""),15)</f>
        <v>15</v>
      </c>
      <c r="O35" s="0" t="n">
        <f aca="false">IFERROR(__xludf.dummyfunction("""COMPUTED_VALUE"""),11)</f>
        <v>11</v>
      </c>
      <c r="P35" s="0" t="n">
        <f aca="false">IF(ISBLANK(M35),,ROUNDDOWN(($D$5+M35)*($D$6+N35)^0.5*($D$7+O35)^0.5*$D$9^2/10,0))</f>
        <v>1782</v>
      </c>
    </row>
    <row r="36" customFormat="false" ht="15.75" hidden="false" customHeight="false" outlineLevel="0" collapsed="false">
      <c r="A36" s="384"/>
      <c r="B36" s="486"/>
      <c r="C36" s="486"/>
      <c r="F36" s="483" t="n">
        <v>36</v>
      </c>
      <c r="G36" s="376" t="n">
        <f aca="false">5-MOD((ROW()-1),6)+10</f>
        <v>10</v>
      </c>
      <c r="H36" s="376" t="n">
        <f aca="false">5-MOD(INT((ROW()-1)/6),6)+10</f>
        <v>10</v>
      </c>
      <c r="I36" s="376" t="n">
        <f aca="false">5-MOD(INT(INT((ROW()-1)/6)/6),6)+10</f>
        <v>15</v>
      </c>
      <c r="J36" s="484" t="n">
        <f aca="false">SUM(G36:I36)</f>
        <v>35</v>
      </c>
      <c r="L36" s="0" t="n">
        <f aca="false">IF(ISBLANK(M36),,SUM(M36:O36))</f>
        <v>0</v>
      </c>
      <c r="P36" s="0" t="n">
        <f aca="false">IF(ISBLANK(M36),,ROUNDDOWN(($D$5+M36)*($D$6+N36)^0.5*($D$7+O36)^0.5*$D$9^2/10,0))</f>
        <v>0</v>
      </c>
    </row>
    <row r="37" customFormat="false" ht="15.75" hidden="false" customHeight="false" outlineLevel="0" collapsed="false">
      <c r="A37" s="384"/>
      <c r="B37" s="486"/>
      <c r="C37" s="486"/>
      <c r="F37" s="483" t="n">
        <v>37</v>
      </c>
      <c r="G37" s="376" t="n">
        <f aca="false">5-MOD((ROW()-1),6)+10</f>
        <v>15</v>
      </c>
      <c r="H37" s="376" t="n">
        <f aca="false">5-MOD(INT((ROW()-1)/6),6)+10</f>
        <v>15</v>
      </c>
      <c r="I37" s="376" t="n">
        <f aca="false">5-MOD(INT(INT((ROW()-1)/6)/6),6)+10</f>
        <v>14</v>
      </c>
      <c r="J37" s="484" t="n">
        <f aca="false">SUM(G37:I37)</f>
        <v>44</v>
      </c>
      <c r="L37" s="0" t="n">
        <f aca="false">IF(ISBLANK(M37),,SUM(M37:O37))</f>
        <v>0</v>
      </c>
      <c r="P37" s="0" t="n">
        <f aca="false">IF(ISBLANK(M37),,ROUNDDOWN(($D$5+M37)*($D$6+N37)^0.5*($D$7+O37)^0.5*$D$9^2/10,0))</f>
        <v>0</v>
      </c>
    </row>
    <row r="38" customFormat="false" ht="15.75" hidden="false" customHeight="false" outlineLevel="0" collapsed="false">
      <c r="A38" s="384"/>
      <c r="B38" s="486"/>
      <c r="C38" s="486"/>
      <c r="F38" s="483" t="n">
        <v>38</v>
      </c>
      <c r="G38" s="376" t="n">
        <f aca="false">5-MOD((ROW()-1),6)+10</f>
        <v>14</v>
      </c>
      <c r="H38" s="376" t="n">
        <f aca="false">5-MOD(INT((ROW()-1)/6),6)+10</f>
        <v>15</v>
      </c>
      <c r="I38" s="376" t="n">
        <f aca="false">5-MOD(INT(INT((ROW()-1)/6)/6),6)+10</f>
        <v>14</v>
      </c>
      <c r="J38" s="484" t="n">
        <f aca="false">SUM(G38:I38)</f>
        <v>43</v>
      </c>
      <c r="L38" s="0" t="n">
        <f aca="false">IF(ISBLANK(M38),,SUM(M38:O38))</f>
        <v>0</v>
      </c>
      <c r="P38" s="0" t="n">
        <f aca="false">IF(ISBLANK(M38),,ROUNDDOWN(($D$5+M38)*($D$6+N38)^0.5*($D$7+O38)^0.5*$D$9^2/10,0))</f>
        <v>0</v>
      </c>
    </row>
    <row r="39" customFormat="false" ht="15.75" hidden="false" customHeight="false" outlineLevel="0" collapsed="false">
      <c r="A39" s="384"/>
      <c r="B39" s="486"/>
      <c r="C39" s="486"/>
      <c r="F39" s="483" t="n">
        <v>39</v>
      </c>
      <c r="G39" s="376" t="n">
        <f aca="false">5-MOD((ROW()-1),6)+10</f>
        <v>13</v>
      </c>
      <c r="H39" s="376" t="n">
        <f aca="false">5-MOD(INT((ROW()-1)/6),6)+10</f>
        <v>15</v>
      </c>
      <c r="I39" s="376" t="n">
        <f aca="false">5-MOD(INT(INT((ROW()-1)/6)/6),6)+10</f>
        <v>14</v>
      </c>
      <c r="J39" s="484" t="n">
        <f aca="false">SUM(G39:I39)</f>
        <v>42</v>
      </c>
      <c r="L39" s="0" t="n">
        <f aca="false">IF(ISBLANK(M39),,SUM(M39:O39))</f>
        <v>0</v>
      </c>
      <c r="P39" s="0" t="n">
        <f aca="false">IF(ISBLANK(M39),,ROUNDDOWN(($D$5+M39)*($D$6+N39)^0.5*($D$7+O39)^0.5*$D$9^2/10,0))</f>
        <v>0</v>
      </c>
    </row>
    <row r="40" customFormat="false" ht="15.75" hidden="false" customHeight="false" outlineLevel="0" collapsed="false">
      <c r="A40" s="384"/>
      <c r="B40" s="486"/>
      <c r="C40" s="486"/>
      <c r="F40" s="483" t="n">
        <v>40</v>
      </c>
      <c r="G40" s="376" t="n">
        <f aca="false">5-MOD((ROW()-1),6)+10</f>
        <v>12</v>
      </c>
      <c r="H40" s="376" t="n">
        <f aca="false">5-MOD(INT((ROW()-1)/6),6)+10</f>
        <v>15</v>
      </c>
      <c r="I40" s="376" t="n">
        <f aca="false">5-MOD(INT(INT((ROW()-1)/6)/6),6)+10</f>
        <v>14</v>
      </c>
      <c r="J40" s="484" t="n">
        <f aca="false">SUM(G40:I40)</f>
        <v>41</v>
      </c>
      <c r="L40" s="0" t="n">
        <f aca="false">IF(ISBLANK(M40),,SUM(M40:O40))</f>
        <v>0</v>
      </c>
      <c r="P40" s="0" t="n">
        <f aca="false">IF(ISBLANK(M40),,ROUNDDOWN(($D$5+M40)*($D$6+N40)^0.5*($D$7+O40)^0.5*$D$9^2/10,0))</f>
        <v>0</v>
      </c>
    </row>
    <row r="41" customFormat="false" ht="15.75" hidden="false" customHeight="false" outlineLevel="0" collapsed="false">
      <c r="A41" s="384"/>
      <c r="B41" s="486"/>
      <c r="C41" s="486"/>
      <c r="F41" s="483" t="n">
        <v>41</v>
      </c>
      <c r="G41" s="376" t="n">
        <f aca="false">5-MOD((ROW()-1),6)+10</f>
        <v>11</v>
      </c>
      <c r="H41" s="376" t="n">
        <f aca="false">5-MOD(INT((ROW()-1)/6),6)+10</f>
        <v>15</v>
      </c>
      <c r="I41" s="376" t="n">
        <f aca="false">5-MOD(INT(INT((ROW()-1)/6)/6),6)+10</f>
        <v>14</v>
      </c>
      <c r="J41" s="484" t="n">
        <f aca="false">SUM(G41:I41)</f>
        <v>40</v>
      </c>
      <c r="L41" s="0" t="n">
        <f aca="false">IF(ISBLANK(M41),,SUM(M41:O41))</f>
        <v>0</v>
      </c>
      <c r="P41" s="0" t="n">
        <f aca="false">IF(ISBLANK(M41),,ROUNDDOWN(($D$5+M41)*($D$6+N41)^0.5*($D$7+O41)^0.5*$D$9^2/10,0))</f>
        <v>0</v>
      </c>
    </row>
    <row r="42" customFormat="false" ht="15.75" hidden="false" customHeight="false" outlineLevel="0" collapsed="false">
      <c r="A42" s="384"/>
      <c r="B42" s="486"/>
      <c r="C42" s="486"/>
      <c r="F42" s="483" t="n">
        <v>42</v>
      </c>
      <c r="G42" s="376" t="n">
        <f aca="false">5-MOD((ROW()-1),6)+10</f>
        <v>10</v>
      </c>
      <c r="H42" s="376" t="n">
        <f aca="false">5-MOD(INT((ROW()-1)/6),6)+10</f>
        <v>15</v>
      </c>
      <c r="I42" s="376" t="n">
        <f aca="false">5-MOD(INT(INT((ROW()-1)/6)/6),6)+10</f>
        <v>14</v>
      </c>
      <c r="J42" s="484" t="n">
        <f aca="false">SUM(G42:I42)</f>
        <v>39</v>
      </c>
      <c r="L42" s="0" t="n">
        <f aca="false">IF(ISBLANK(M42),,SUM(M42:O42))</f>
        <v>0</v>
      </c>
      <c r="P42" s="0" t="n">
        <f aca="false">IF(ISBLANK(M42),,ROUNDDOWN(($D$5+M42)*($D$6+N42)^0.5*($D$7+O42)^0.5*$D$9^2/10,0))</f>
        <v>0</v>
      </c>
    </row>
    <row r="43" customFormat="false" ht="15.75" hidden="false" customHeight="false" outlineLevel="0" collapsed="false">
      <c r="A43" s="384"/>
      <c r="B43" s="486"/>
      <c r="C43" s="486"/>
      <c r="F43" s="483" t="n">
        <v>43</v>
      </c>
      <c r="G43" s="376" t="n">
        <f aca="false">5-MOD((ROW()-1),6)+10</f>
        <v>15</v>
      </c>
      <c r="H43" s="376" t="n">
        <f aca="false">5-MOD(INT((ROW()-1)/6),6)+10</f>
        <v>14</v>
      </c>
      <c r="I43" s="376" t="n">
        <f aca="false">5-MOD(INT(INT((ROW()-1)/6)/6),6)+10</f>
        <v>14</v>
      </c>
      <c r="J43" s="484" t="n">
        <f aca="false">SUM(G43:I43)</f>
        <v>43</v>
      </c>
      <c r="L43" s="0" t="n">
        <f aca="false">IF(ISBLANK(M43),,SUM(M43:O43))</f>
        <v>0</v>
      </c>
      <c r="P43" s="0" t="n">
        <f aca="false">IF(ISBLANK(M43),,ROUNDDOWN(($D$5+M43)*($D$6+N43)^0.5*($D$7+O43)^0.5*$D$9^2/10,0))</f>
        <v>0</v>
      </c>
    </row>
    <row r="44" customFormat="false" ht="15.75" hidden="false" customHeight="false" outlineLevel="0" collapsed="false">
      <c r="A44" s="384"/>
      <c r="B44" s="486"/>
      <c r="C44" s="486"/>
      <c r="F44" s="483" t="n">
        <v>44</v>
      </c>
      <c r="G44" s="376" t="n">
        <f aca="false">5-MOD((ROW()-1),6)+10</f>
        <v>14</v>
      </c>
      <c r="H44" s="376" t="n">
        <f aca="false">5-MOD(INT((ROW()-1)/6),6)+10</f>
        <v>14</v>
      </c>
      <c r="I44" s="376" t="n">
        <f aca="false">5-MOD(INT(INT((ROW()-1)/6)/6),6)+10</f>
        <v>14</v>
      </c>
      <c r="J44" s="484" t="n">
        <f aca="false">SUM(G44:I44)</f>
        <v>42</v>
      </c>
      <c r="L44" s="0" t="n">
        <f aca="false">IF(ISBLANK(M44),,SUM(M44:O44))</f>
        <v>0</v>
      </c>
      <c r="P44" s="0" t="n">
        <f aca="false">IF(ISBLANK(M44),,ROUNDDOWN(($D$5+M44)*($D$6+N44)^0.5*($D$7+O44)^0.5*$D$9^2/10,0))</f>
        <v>0</v>
      </c>
    </row>
    <row r="45" customFormat="false" ht="15.75" hidden="false" customHeight="false" outlineLevel="0" collapsed="false">
      <c r="A45" s="384"/>
      <c r="B45" s="486"/>
      <c r="C45" s="486"/>
      <c r="F45" s="483" t="n">
        <v>45</v>
      </c>
      <c r="G45" s="376" t="n">
        <f aca="false">5-MOD((ROW()-1),6)+10</f>
        <v>13</v>
      </c>
      <c r="H45" s="376" t="n">
        <f aca="false">5-MOD(INT((ROW()-1)/6),6)+10</f>
        <v>14</v>
      </c>
      <c r="I45" s="376" t="n">
        <f aca="false">5-MOD(INT(INT((ROW()-1)/6)/6),6)+10</f>
        <v>14</v>
      </c>
      <c r="J45" s="484" t="n">
        <f aca="false">SUM(G45:I45)</f>
        <v>41</v>
      </c>
      <c r="L45" s="0" t="n">
        <f aca="false">IF(ISBLANK(M45),,SUM(M45:O45))</f>
        <v>0</v>
      </c>
      <c r="P45" s="0" t="n">
        <f aca="false">IF(ISBLANK(M45),,ROUNDDOWN(($D$5+M45)*($D$6+N45)^0.5*($D$7+O45)^0.5*$D$9^2/10,0))</f>
        <v>0</v>
      </c>
    </row>
    <row r="46" customFormat="false" ht="15.75" hidden="false" customHeight="false" outlineLevel="0" collapsed="false">
      <c r="A46" s="384"/>
      <c r="B46" s="486"/>
      <c r="C46" s="486"/>
      <c r="F46" s="483" t="n">
        <v>46</v>
      </c>
      <c r="G46" s="376" t="n">
        <f aca="false">5-MOD((ROW()-1),6)+10</f>
        <v>12</v>
      </c>
      <c r="H46" s="376" t="n">
        <f aca="false">5-MOD(INT((ROW()-1)/6),6)+10</f>
        <v>14</v>
      </c>
      <c r="I46" s="376" t="n">
        <f aca="false">5-MOD(INT(INT((ROW()-1)/6)/6),6)+10</f>
        <v>14</v>
      </c>
      <c r="J46" s="484" t="n">
        <f aca="false">SUM(G46:I46)</f>
        <v>40</v>
      </c>
      <c r="L46" s="0" t="n">
        <f aca="false">IF(ISBLANK(M46),,SUM(M46:O46))</f>
        <v>0</v>
      </c>
      <c r="P46" s="0" t="n">
        <f aca="false">IF(ISBLANK(M46),,ROUNDDOWN(($D$5+M46)*($D$6+N46)^0.5*($D$7+O46)^0.5*$D$9^2/10,0))</f>
        <v>0</v>
      </c>
    </row>
    <row r="47" customFormat="false" ht="15.75" hidden="false" customHeight="false" outlineLevel="0" collapsed="false">
      <c r="A47" s="384"/>
      <c r="B47" s="486"/>
      <c r="C47" s="486"/>
      <c r="F47" s="483" t="n">
        <v>47</v>
      </c>
      <c r="G47" s="376" t="n">
        <f aca="false">5-MOD((ROW()-1),6)+10</f>
        <v>11</v>
      </c>
      <c r="H47" s="376" t="n">
        <f aca="false">5-MOD(INT((ROW()-1)/6),6)+10</f>
        <v>14</v>
      </c>
      <c r="I47" s="376" t="n">
        <f aca="false">5-MOD(INT(INT((ROW()-1)/6)/6),6)+10</f>
        <v>14</v>
      </c>
      <c r="J47" s="484" t="n">
        <f aca="false">SUM(G47:I47)</f>
        <v>39</v>
      </c>
      <c r="L47" s="0" t="n">
        <f aca="false">IF(ISBLANK(M47),,SUM(M47:O47))</f>
        <v>0</v>
      </c>
      <c r="P47" s="0" t="n">
        <f aca="false">IF(ISBLANK(M47),,ROUNDDOWN(($D$5+M47)*($D$6+N47)^0.5*($D$7+O47)^0.5*$D$9^2/10,0))</f>
        <v>0</v>
      </c>
    </row>
    <row r="48" customFormat="false" ht="15.75" hidden="false" customHeight="false" outlineLevel="0" collapsed="false">
      <c r="A48" s="384"/>
      <c r="B48" s="486"/>
      <c r="C48" s="486"/>
      <c r="F48" s="483" t="n">
        <v>48</v>
      </c>
      <c r="G48" s="376" t="n">
        <f aca="false">5-MOD((ROW()-1),6)+10</f>
        <v>10</v>
      </c>
      <c r="H48" s="376" t="n">
        <f aca="false">5-MOD(INT((ROW()-1)/6),6)+10</f>
        <v>14</v>
      </c>
      <c r="I48" s="376" t="n">
        <f aca="false">5-MOD(INT(INT((ROW()-1)/6)/6),6)+10</f>
        <v>14</v>
      </c>
      <c r="J48" s="484" t="n">
        <f aca="false">SUM(G48:I48)</f>
        <v>38</v>
      </c>
      <c r="L48" s="0" t="n">
        <f aca="false">IF(ISBLANK(M48),,SUM(M48:O48))</f>
        <v>0</v>
      </c>
      <c r="P48" s="0" t="n">
        <f aca="false">IF(ISBLANK(M48),,ROUNDDOWN(($D$5+M48)*($D$6+N48)^0.5*($D$7+O48)^0.5*$D$9^2/10,0))</f>
        <v>0</v>
      </c>
    </row>
    <row r="49" customFormat="false" ht="15.75" hidden="false" customHeight="false" outlineLevel="0" collapsed="false">
      <c r="A49" s="384"/>
      <c r="B49" s="486"/>
      <c r="C49" s="486"/>
      <c r="F49" s="483" t="n">
        <v>49</v>
      </c>
      <c r="G49" s="376" t="n">
        <f aca="false">5-MOD((ROW()-1),6)+10</f>
        <v>15</v>
      </c>
      <c r="H49" s="376" t="n">
        <f aca="false">5-MOD(INT((ROW()-1)/6),6)+10</f>
        <v>13</v>
      </c>
      <c r="I49" s="376" t="n">
        <f aca="false">5-MOD(INT(INT((ROW()-1)/6)/6),6)+10</f>
        <v>14</v>
      </c>
      <c r="J49" s="484" t="n">
        <f aca="false">SUM(G49:I49)</f>
        <v>42</v>
      </c>
      <c r="L49" s="0" t="n">
        <f aca="false">IF(ISBLANK(M49),,SUM(M49:O49))</f>
        <v>0</v>
      </c>
      <c r="P49" s="0" t="n">
        <f aca="false">IF(ISBLANK(M49),,ROUNDDOWN(($D$5+M49)*($D$6+N49)^0.5*($D$7+O49)^0.5*$D$9^2/10,0))</f>
        <v>0</v>
      </c>
    </row>
    <row r="50" customFormat="false" ht="15.75" hidden="false" customHeight="false" outlineLevel="0" collapsed="false">
      <c r="A50" s="384"/>
      <c r="B50" s="486"/>
      <c r="C50" s="486"/>
      <c r="F50" s="483" t="n">
        <v>50</v>
      </c>
      <c r="G50" s="376" t="n">
        <f aca="false">5-MOD((ROW()-1),6)+10</f>
        <v>14</v>
      </c>
      <c r="H50" s="376" t="n">
        <f aca="false">5-MOD(INT((ROW()-1)/6),6)+10</f>
        <v>13</v>
      </c>
      <c r="I50" s="376" t="n">
        <f aca="false">5-MOD(INT(INT((ROW()-1)/6)/6),6)+10</f>
        <v>14</v>
      </c>
      <c r="J50" s="484" t="n">
        <f aca="false">SUM(G50:I50)</f>
        <v>41</v>
      </c>
      <c r="L50" s="0" t="n">
        <f aca="false">IF(ISBLANK(M50),,SUM(M50:O50))</f>
        <v>0</v>
      </c>
      <c r="P50" s="0" t="n">
        <f aca="false">IF(ISBLANK(M50),,ROUNDDOWN(($D$5+M50)*($D$6+N50)^0.5*($D$7+O50)^0.5*$D$9^2/10,0))</f>
        <v>0</v>
      </c>
    </row>
    <row r="51" customFormat="false" ht="15.75" hidden="false" customHeight="false" outlineLevel="0" collapsed="false">
      <c r="A51" s="384"/>
      <c r="B51" s="486"/>
      <c r="C51" s="486"/>
      <c r="F51" s="483" t="n">
        <v>51</v>
      </c>
      <c r="G51" s="376" t="n">
        <f aca="false">5-MOD((ROW()-1),6)+10</f>
        <v>13</v>
      </c>
      <c r="H51" s="376" t="n">
        <f aca="false">5-MOD(INT((ROW()-1)/6),6)+10</f>
        <v>13</v>
      </c>
      <c r="I51" s="376" t="n">
        <f aca="false">5-MOD(INT(INT((ROW()-1)/6)/6),6)+10</f>
        <v>14</v>
      </c>
      <c r="J51" s="484" t="n">
        <f aca="false">SUM(G51:I51)</f>
        <v>40</v>
      </c>
      <c r="L51" s="0" t="n">
        <f aca="false">IF(ISBLANK(M51),,SUM(M51:O51))</f>
        <v>0</v>
      </c>
      <c r="P51" s="0" t="n">
        <f aca="false">IF(ISBLANK(M51),,ROUNDDOWN(($D$5+M51)*($D$6+N51)^0.5*($D$7+O51)^0.5*$D$9^2/10,0))</f>
        <v>0</v>
      </c>
    </row>
    <row r="52" customFormat="false" ht="15.75" hidden="false" customHeight="false" outlineLevel="0" collapsed="false">
      <c r="A52" s="384"/>
      <c r="B52" s="486"/>
      <c r="C52" s="486"/>
      <c r="F52" s="483" t="n">
        <v>52</v>
      </c>
      <c r="G52" s="376" t="n">
        <f aca="false">5-MOD((ROW()-1),6)+10</f>
        <v>12</v>
      </c>
      <c r="H52" s="376" t="n">
        <f aca="false">5-MOD(INT((ROW()-1)/6),6)+10</f>
        <v>13</v>
      </c>
      <c r="I52" s="376" t="n">
        <f aca="false">5-MOD(INT(INT((ROW()-1)/6)/6),6)+10</f>
        <v>14</v>
      </c>
      <c r="J52" s="484" t="n">
        <f aca="false">SUM(G52:I52)</f>
        <v>39</v>
      </c>
      <c r="L52" s="0" t="n">
        <f aca="false">IF(ISBLANK(M52),,SUM(M52:O52))</f>
        <v>0</v>
      </c>
      <c r="P52" s="0" t="n">
        <f aca="false">IF(ISBLANK(M52),,ROUNDDOWN(($D$5+M52)*($D$6+N52)^0.5*($D$7+O52)^0.5*$D$9^2/10,0))</f>
        <v>0</v>
      </c>
    </row>
    <row r="53" customFormat="false" ht="15.75" hidden="false" customHeight="false" outlineLevel="0" collapsed="false">
      <c r="A53" s="384"/>
      <c r="B53" s="486"/>
      <c r="C53" s="486"/>
      <c r="F53" s="483" t="n">
        <v>53</v>
      </c>
      <c r="G53" s="376" t="n">
        <f aca="false">5-MOD((ROW()-1),6)+10</f>
        <v>11</v>
      </c>
      <c r="H53" s="376" t="n">
        <f aca="false">5-MOD(INT((ROW()-1)/6),6)+10</f>
        <v>13</v>
      </c>
      <c r="I53" s="376" t="n">
        <f aca="false">5-MOD(INT(INT((ROW()-1)/6)/6),6)+10</f>
        <v>14</v>
      </c>
      <c r="J53" s="484" t="n">
        <f aca="false">SUM(G53:I53)</f>
        <v>38</v>
      </c>
      <c r="L53" s="0" t="n">
        <f aca="false">IF(ISBLANK(M53),,SUM(M53:O53))</f>
        <v>0</v>
      </c>
      <c r="P53" s="0" t="n">
        <f aca="false">IF(ISBLANK(M53),,ROUNDDOWN(($D$5+M53)*($D$6+N53)^0.5*($D$7+O53)^0.5*$D$9^2/10,0))</f>
        <v>0</v>
      </c>
    </row>
    <row r="54" customFormat="false" ht="15.75" hidden="false" customHeight="false" outlineLevel="0" collapsed="false">
      <c r="A54" s="384"/>
      <c r="B54" s="486"/>
      <c r="C54" s="486"/>
      <c r="F54" s="483" t="n">
        <v>54</v>
      </c>
      <c r="G54" s="376" t="n">
        <f aca="false">5-MOD((ROW()-1),6)+10</f>
        <v>10</v>
      </c>
      <c r="H54" s="376" t="n">
        <f aca="false">5-MOD(INT((ROW()-1)/6),6)+10</f>
        <v>13</v>
      </c>
      <c r="I54" s="376" t="n">
        <f aca="false">5-MOD(INT(INT((ROW()-1)/6)/6),6)+10</f>
        <v>14</v>
      </c>
      <c r="J54" s="484" t="n">
        <f aca="false">SUM(G54:I54)</f>
        <v>37</v>
      </c>
      <c r="L54" s="0" t="n">
        <f aca="false">IF(ISBLANK(M54),,SUM(M54:O54))</f>
        <v>0</v>
      </c>
      <c r="P54" s="0" t="n">
        <f aca="false">IF(ISBLANK(M54),,ROUNDDOWN(($D$5+M54)*($D$6+N54)^0.5*($D$7+O54)^0.5*$D$9^2/10,0))</f>
        <v>0</v>
      </c>
    </row>
    <row r="55" customFormat="false" ht="15.75" hidden="false" customHeight="false" outlineLevel="0" collapsed="false">
      <c r="A55" s="384"/>
      <c r="B55" s="486"/>
      <c r="C55" s="486"/>
      <c r="F55" s="483" t="n">
        <v>55</v>
      </c>
      <c r="G55" s="376" t="n">
        <f aca="false">5-MOD((ROW()-1),6)+10</f>
        <v>15</v>
      </c>
      <c r="H55" s="376" t="n">
        <f aca="false">5-MOD(INT((ROW()-1)/6),6)+10</f>
        <v>12</v>
      </c>
      <c r="I55" s="376" t="n">
        <f aca="false">5-MOD(INT(INT((ROW()-1)/6)/6),6)+10</f>
        <v>14</v>
      </c>
      <c r="J55" s="484" t="n">
        <f aca="false">SUM(G55:I55)</f>
        <v>41</v>
      </c>
      <c r="L55" s="0" t="n">
        <f aca="false">IF(ISBLANK(M55),,SUM(M55:O55))</f>
        <v>0</v>
      </c>
      <c r="P55" s="0" t="n">
        <f aca="false">IF(ISBLANK(M55),,ROUNDDOWN(($D$5+M55)*($D$6+N55)^0.5*($D$7+O55)^0.5*$D$9^2/10,0))</f>
        <v>0</v>
      </c>
    </row>
    <row r="56" customFormat="false" ht="15.75" hidden="false" customHeight="false" outlineLevel="0" collapsed="false">
      <c r="A56" s="384"/>
      <c r="B56" s="486"/>
      <c r="C56" s="486"/>
      <c r="F56" s="483" t="n">
        <v>56</v>
      </c>
      <c r="G56" s="376" t="n">
        <f aca="false">5-MOD((ROW()-1),6)+10</f>
        <v>14</v>
      </c>
      <c r="H56" s="376" t="n">
        <f aca="false">5-MOD(INT((ROW()-1)/6),6)+10</f>
        <v>12</v>
      </c>
      <c r="I56" s="376" t="n">
        <f aca="false">5-MOD(INT(INT((ROW()-1)/6)/6),6)+10</f>
        <v>14</v>
      </c>
      <c r="J56" s="484" t="n">
        <f aca="false">SUM(G56:I56)</f>
        <v>40</v>
      </c>
      <c r="L56" s="0" t="n">
        <f aca="false">IF(ISBLANK(M56),,SUM(M56:O56))</f>
        <v>0</v>
      </c>
      <c r="P56" s="0" t="n">
        <f aca="false">IF(ISBLANK(M56),,ROUNDDOWN(($D$5+M56)*($D$6+N56)^0.5*($D$7+O56)^0.5*$D$9^2/10,0))</f>
        <v>0</v>
      </c>
    </row>
    <row r="57" customFormat="false" ht="15.75" hidden="false" customHeight="false" outlineLevel="0" collapsed="false">
      <c r="A57" s="384"/>
      <c r="B57" s="486"/>
      <c r="C57" s="486"/>
      <c r="F57" s="483" t="n">
        <v>57</v>
      </c>
      <c r="G57" s="376" t="n">
        <f aca="false">5-MOD((ROW()-1),6)+10</f>
        <v>13</v>
      </c>
      <c r="H57" s="376" t="n">
        <f aca="false">5-MOD(INT((ROW()-1)/6),6)+10</f>
        <v>12</v>
      </c>
      <c r="I57" s="376" t="n">
        <f aca="false">5-MOD(INT(INT((ROW()-1)/6)/6),6)+10</f>
        <v>14</v>
      </c>
      <c r="J57" s="484" t="n">
        <f aca="false">SUM(G57:I57)</f>
        <v>39</v>
      </c>
      <c r="L57" s="0" t="n">
        <f aca="false">IF(ISBLANK(M57),,SUM(M57:O57))</f>
        <v>0</v>
      </c>
      <c r="P57" s="0" t="n">
        <f aca="false">IF(ISBLANK(M57),,ROUNDDOWN(($D$5+M57)*($D$6+N57)^0.5*($D$7+O57)^0.5*$D$9^2/10,0))</f>
        <v>0</v>
      </c>
    </row>
    <row r="58" customFormat="false" ht="15.75" hidden="false" customHeight="false" outlineLevel="0" collapsed="false">
      <c r="A58" s="384"/>
      <c r="B58" s="486"/>
      <c r="C58" s="486"/>
      <c r="F58" s="483" t="n">
        <v>58</v>
      </c>
      <c r="G58" s="376" t="n">
        <f aca="false">5-MOD((ROW()-1),6)+10</f>
        <v>12</v>
      </c>
      <c r="H58" s="376" t="n">
        <f aca="false">5-MOD(INT((ROW()-1)/6),6)+10</f>
        <v>12</v>
      </c>
      <c r="I58" s="376" t="n">
        <f aca="false">5-MOD(INT(INT((ROW()-1)/6)/6),6)+10</f>
        <v>14</v>
      </c>
      <c r="J58" s="484" t="n">
        <f aca="false">SUM(G58:I58)</f>
        <v>38</v>
      </c>
      <c r="L58" s="0" t="n">
        <f aca="false">IF(ISBLANK(M58),,SUM(M58:O58))</f>
        <v>0</v>
      </c>
      <c r="P58" s="0" t="n">
        <f aca="false">IF(ISBLANK(M58),,ROUNDDOWN(($D$5+M58)*($D$6+N58)^0.5*($D$7+O58)^0.5*$D$9^2/10,0))</f>
        <v>0</v>
      </c>
    </row>
    <row r="59" customFormat="false" ht="15.75" hidden="false" customHeight="false" outlineLevel="0" collapsed="false">
      <c r="A59" s="384"/>
      <c r="B59" s="486"/>
      <c r="C59" s="486"/>
      <c r="F59" s="483" t="n">
        <v>59</v>
      </c>
      <c r="G59" s="376" t="n">
        <f aca="false">5-MOD((ROW()-1),6)+10</f>
        <v>11</v>
      </c>
      <c r="H59" s="376" t="n">
        <f aca="false">5-MOD(INT((ROW()-1)/6),6)+10</f>
        <v>12</v>
      </c>
      <c r="I59" s="376" t="n">
        <f aca="false">5-MOD(INT(INT((ROW()-1)/6)/6),6)+10</f>
        <v>14</v>
      </c>
      <c r="J59" s="484" t="n">
        <f aca="false">SUM(G59:I59)</f>
        <v>37</v>
      </c>
      <c r="L59" s="0" t="n">
        <f aca="false">IF(ISBLANK(M59),,SUM(M59:O59))</f>
        <v>0</v>
      </c>
      <c r="P59" s="0" t="n">
        <f aca="false">IF(ISBLANK(M59),,ROUNDDOWN(($D$5+M59)*($D$6+N59)^0.5*($D$7+O59)^0.5*$D$9^2/10,0))</f>
        <v>0</v>
      </c>
    </row>
    <row r="60" customFormat="false" ht="15.75" hidden="false" customHeight="false" outlineLevel="0" collapsed="false">
      <c r="A60" s="384"/>
      <c r="B60" s="486"/>
      <c r="C60" s="486"/>
      <c r="F60" s="483" t="n">
        <v>60</v>
      </c>
      <c r="G60" s="376" t="n">
        <f aca="false">5-MOD((ROW()-1),6)+10</f>
        <v>10</v>
      </c>
      <c r="H60" s="376" t="n">
        <f aca="false">5-MOD(INT((ROW()-1)/6),6)+10</f>
        <v>12</v>
      </c>
      <c r="I60" s="376" t="n">
        <f aca="false">5-MOD(INT(INT((ROW()-1)/6)/6),6)+10</f>
        <v>14</v>
      </c>
      <c r="J60" s="484" t="n">
        <f aca="false">SUM(G60:I60)</f>
        <v>36</v>
      </c>
      <c r="L60" s="0" t="n">
        <f aca="false">IF(ISBLANK(M60),,SUM(M60:O60))</f>
        <v>0</v>
      </c>
      <c r="P60" s="0" t="n">
        <f aca="false">IF(ISBLANK(M60),,ROUNDDOWN(($D$5+M60)*($D$6+N60)^0.5*($D$7+O60)^0.5*$D$9^2/10,0))</f>
        <v>0</v>
      </c>
    </row>
    <row r="61" customFormat="false" ht="15.75" hidden="false" customHeight="false" outlineLevel="0" collapsed="false">
      <c r="A61" s="384"/>
      <c r="B61" s="486"/>
      <c r="C61" s="486"/>
      <c r="F61" s="483" t="n">
        <v>61</v>
      </c>
      <c r="G61" s="376" t="n">
        <f aca="false">5-MOD((ROW()-1),6)+10</f>
        <v>15</v>
      </c>
      <c r="H61" s="376" t="n">
        <f aca="false">5-MOD(INT((ROW()-1)/6),6)+10</f>
        <v>11</v>
      </c>
      <c r="I61" s="376" t="n">
        <f aca="false">5-MOD(INT(INT((ROW()-1)/6)/6),6)+10</f>
        <v>14</v>
      </c>
      <c r="J61" s="484" t="n">
        <f aca="false">SUM(G61:I61)</f>
        <v>40</v>
      </c>
      <c r="L61" s="0" t="n">
        <f aca="false">IF(ISBLANK(M61),,SUM(M61:O61))</f>
        <v>0</v>
      </c>
      <c r="P61" s="0" t="n">
        <f aca="false">IF(ISBLANK(M61),,ROUNDDOWN(($D$5+M61)*($D$6+N61)^0.5*($D$7+O61)^0.5*$D$9^2/10,0))</f>
        <v>0</v>
      </c>
    </row>
    <row r="62" customFormat="false" ht="15.75" hidden="false" customHeight="false" outlineLevel="0" collapsed="false">
      <c r="A62" s="384"/>
      <c r="B62" s="486"/>
      <c r="C62" s="486"/>
      <c r="F62" s="483" t="n">
        <v>62</v>
      </c>
      <c r="G62" s="376" t="n">
        <f aca="false">5-MOD((ROW()-1),6)+10</f>
        <v>14</v>
      </c>
      <c r="H62" s="376" t="n">
        <f aca="false">5-MOD(INT((ROW()-1)/6),6)+10</f>
        <v>11</v>
      </c>
      <c r="I62" s="376" t="n">
        <f aca="false">5-MOD(INT(INT((ROW()-1)/6)/6),6)+10</f>
        <v>14</v>
      </c>
      <c r="J62" s="484" t="n">
        <f aca="false">SUM(G62:I62)</f>
        <v>39</v>
      </c>
      <c r="L62" s="0" t="n">
        <f aca="false">IF(ISBLANK(M62),,SUM(M62:O62))</f>
        <v>0</v>
      </c>
      <c r="P62" s="0" t="n">
        <f aca="false">IF(ISBLANK(M62),,ROUNDDOWN(($D$5+M62)*($D$6+N62)^0.5*($D$7+O62)^0.5*$D$9^2/10,0))</f>
        <v>0</v>
      </c>
    </row>
    <row r="63" customFormat="false" ht="15.75" hidden="false" customHeight="false" outlineLevel="0" collapsed="false">
      <c r="A63" s="384"/>
      <c r="B63" s="486"/>
      <c r="C63" s="486"/>
      <c r="F63" s="483" t="n">
        <v>63</v>
      </c>
      <c r="G63" s="376" t="n">
        <f aca="false">5-MOD((ROW()-1),6)+10</f>
        <v>13</v>
      </c>
      <c r="H63" s="376" t="n">
        <f aca="false">5-MOD(INT((ROW()-1)/6),6)+10</f>
        <v>11</v>
      </c>
      <c r="I63" s="376" t="n">
        <f aca="false">5-MOD(INT(INT((ROW()-1)/6)/6),6)+10</f>
        <v>14</v>
      </c>
      <c r="J63" s="484" t="n">
        <f aca="false">SUM(G63:I63)</f>
        <v>38</v>
      </c>
      <c r="L63" s="0" t="n">
        <f aca="false">IF(ISBLANK(M63),,SUM(M63:O63))</f>
        <v>0</v>
      </c>
      <c r="P63" s="0" t="n">
        <f aca="false">IF(ISBLANK(M63),,ROUNDDOWN(($D$5+M63)*($D$6+N63)^0.5*($D$7+O63)^0.5*$D$9^2/10,0))</f>
        <v>0</v>
      </c>
    </row>
    <row r="64" customFormat="false" ht="15.75" hidden="false" customHeight="false" outlineLevel="0" collapsed="false">
      <c r="A64" s="384"/>
      <c r="B64" s="486"/>
      <c r="C64" s="486"/>
      <c r="F64" s="483" t="n">
        <v>64</v>
      </c>
      <c r="G64" s="376" t="n">
        <f aca="false">5-MOD((ROW()-1),6)+10</f>
        <v>12</v>
      </c>
      <c r="H64" s="376" t="n">
        <f aca="false">5-MOD(INT((ROW()-1)/6),6)+10</f>
        <v>11</v>
      </c>
      <c r="I64" s="376" t="n">
        <f aca="false">5-MOD(INT(INT((ROW()-1)/6)/6),6)+10</f>
        <v>14</v>
      </c>
      <c r="J64" s="484" t="n">
        <f aca="false">SUM(G64:I64)</f>
        <v>37</v>
      </c>
      <c r="L64" s="0" t="n">
        <f aca="false">IF(ISBLANK(M64),,SUM(M64:O64))</f>
        <v>0</v>
      </c>
      <c r="P64" s="0" t="n">
        <f aca="false">IF(ISBLANK(M64),,ROUNDDOWN(($D$5+M64)*($D$6+N64)^0.5*($D$7+O64)^0.5*$D$9^2/10,0))</f>
        <v>0</v>
      </c>
    </row>
    <row r="65" customFormat="false" ht="15.75" hidden="false" customHeight="false" outlineLevel="0" collapsed="false">
      <c r="A65" s="384"/>
      <c r="B65" s="486"/>
      <c r="C65" s="486"/>
      <c r="F65" s="483" t="n">
        <v>65</v>
      </c>
      <c r="G65" s="376" t="n">
        <f aca="false">5-MOD((ROW()-1),6)+10</f>
        <v>11</v>
      </c>
      <c r="H65" s="376" t="n">
        <f aca="false">5-MOD(INT((ROW()-1)/6),6)+10</f>
        <v>11</v>
      </c>
      <c r="I65" s="376" t="n">
        <f aca="false">5-MOD(INT(INT((ROW()-1)/6)/6),6)+10</f>
        <v>14</v>
      </c>
      <c r="J65" s="484" t="n">
        <f aca="false">SUM(G65:I65)</f>
        <v>36</v>
      </c>
      <c r="L65" s="0" t="n">
        <f aca="false">IF(ISBLANK(M65),,SUM(M65:O65))</f>
        <v>0</v>
      </c>
      <c r="P65" s="0" t="n">
        <f aca="false">IF(ISBLANK(M65),,ROUNDDOWN(($D$5+M65)*($D$6+N65)^0.5*($D$7+O65)^0.5*$D$9^2/10,0))</f>
        <v>0</v>
      </c>
    </row>
    <row r="66" customFormat="false" ht="15.75" hidden="false" customHeight="false" outlineLevel="0" collapsed="false">
      <c r="A66" s="384"/>
      <c r="B66" s="486"/>
      <c r="C66" s="486"/>
      <c r="F66" s="483" t="n">
        <v>66</v>
      </c>
      <c r="G66" s="376" t="n">
        <f aca="false">5-MOD((ROW()-1),6)+10</f>
        <v>10</v>
      </c>
      <c r="H66" s="376" t="n">
        <f aca="false">5-MOD(INT((ROW()-1)/6),6)+10</f>
        <v>11</v>
      </c>
      <c r="I66" s="376" t="n">
        <f aca="false">5-MOD(INT(INT((ROW()-1)/6)/6),6)+10</f>
        <v>14</v>
      </c>
      <c r="J66" s="484" t="n">
        <f aca="false">SUM(G66:I66)</f>
        <v>35</v>
      </c>
      <c r="L66" s="0" t="n">
        <f aca="false">IF(ISBLANK(M66),,SUM(M66:O66))</f>
        <v>0</v>
      </c>
      <c r="P66" s="0" t="n">
        <f aca="false">IF(ISBLANK(M66),,ROUNDDOWN(($D$5+M66)*($D$6+N66)^0.5*($D$7+O66)^0.5*$D$9^2/10,0))</f>
        <v>0</v>
      </c>
    </row>
    <row r="67" customFormat="false" ht="15.75" hidden="false" customHeight="false" outlineLevel="0" collapsed="false">
      <c r="A67" s="384"/>
      <c r="B67" s="486"/>
      <c r="C67" s="486"/>
      <c r="F67" s="483" t="n">
        <v>67</v>
      </c>
      <c r="G67" s="376" t="n">
        <f aca="false">5-MOD((ROW()-1),6)+10</f>
        <v>15</v>
      </c>
      <c r="H67" s="376" t="n">
        <f aca="false">5-MOD(INT((ROW()-1)/6),6)+10</f>
        <v>10</v>
      </c>
      <c r="I67" s="376" t="n">
        <f aca="false">5-MOD(INT(INT((ROW()-1)/6)/6),6)+10</f>
        <v>14</v>
      </c>
      <c r="J67" s="484" t="n">
        <f aca="false">SUM(G67:I67)</f>
        <v>39</v>
      </c>
      <c r="L67" s="0" t="n">
        <f aca="false">IF(ISBLANK(M67),,SUM(M67:O67))</f>
        <v>0</v>
      </c>
      <c r="P67" s="0" t="n">
        <f aca="false">IF(ISBLANK(M67),,ROUNDDOWN(($D$5+M67)*($D$6+N67)^0.5*($D$7+O67)^0.5*$D$9^2/10,0))</f>
        <v>0</v>
      </c>
    </row>
    <row r="68" customFormat="false" ht="15.75" hidden="false" customHeight="false" outlineLevel="0" collapsed="false">
      <c r="A68" s="384"/>
      <c r="B68" s="486"/>
      <c r="C68" s="486"/>
      <c r="F68" s="483" t="n">
        <v>68</v>
      </c>
      <c r="G68" s="376" t="n">
        <f aca="false">5-MOD((ROW()-1),6)+10</f>
        <v>14</v>
      </c>
      <c r="H68" s="376" t="n">
        <f aca="false">5-MOD(INT((ROW()-1)/6),6)+10</f>
        <v>10</v>
      </c>
      <c r="I68" s="376" t="n">
        <f aca="false">5-MOD(INT(INT((ROW()-1)/6)/6),6)+10</f>
        <v>14</v>
      </c>
      <c r="J68" s="484" t="n">
        <f aca="false">SUM(G68:I68)</f>
        <v>38</v>
      </c>
      <c r="L68" s="0" t="n">
        <f aca="false">IF(ISBLANK(M68),,SUM(M68:O68))</f>
        <v>0</v>
      </c>
      <c r="P68" s="0" t="n">
        <f aca="false">IF(ISBLANK(M68),,ROUNDDOWN(($D$5+M68)*($D$6+N68)^0.5*($D$7+O68)^0.5*$D$9^2/10,0))</f>
        <v>0</v>
      </c>
    </row>
    <row r="69" customFormat="false" ht="15.75" hidden="false" customHeight="false" outlineLevel="0" collapsed="false">
      <c r="A69" s="384"/>
      <c r="B69" s="486"/>
      <c r="C69" s="486"/>
      <c r="F69" s="483" t="n">
        <v>69</v>
      </c>
      <c r="G69" s="376" t="n">
        <f aca="false">5-MOD((ROW()-1),6)+10</f>
        <v>13</v>
      </c>
      <c r="H69" s="376" t="n">
        <f aca="false">5-MOD(INT((ROW()-1)/6),6)+10</f>
        <v>10</v>
      </c>
      <c r="I69" s="376" t="n">
        <f aca="false">5-MOD(INT(INT((ROW()-1)/6)/6),6)+10</f>
        <v>14</v>
      </c>
      <c r="J69" s="484" t="n">
        <f aca="false">SUM(G69:I69)</f>
        <v>37</v>
      </c>
      <c r="L69" s="0" t="n">
        <f aca="false">IF(ISBLANK(M69),,SUM(M69:O69))</f>
        <v>0</v>
      </c>
      <c r="P69" s="0" t="n">
        <f aca="false">IF(ISBLANK(M69),,ROUNDDOWN(($D$5+M69)*($D$6+N69)^0.5*($D$7+O69)^0.5*$D$9^2/10,0))</f>
        <v>0</v>
      </c>
    </row>
    <row r="70" customFormat="false" ht="15.75" hidden="false" customHeight="false" outlineLevel="0" collapsed="false">
      <c r="A70" s="384"/>
      <c r="B70" s="486"/>
      <c r="C70" s="486"/>
      <c r="F70" s="483" t="n">
        <v>70</v>
      </c>
      <c r="G70" s="376" t="n">
        <f aca="false">5-MOD((ROW()-1),6)+10</f>
        <v>12</v>
      </c>
      <c r="H70" s="376" t="n">
        <f aca="false">5-MOD(INT((ROW()-1)/6),6)+10</f>
        <v>10</v>
      </c>
      <c r="I70" s="376" t="n">
        <f aca="false">5-MOD(INT(INT((ROW()-1)/6)/6),6)+10</f>
        <v>14</v>
      </c>
      <c r="J70" s="484" t="n">
        <f aca="false">SUM(G70:I70)</f>
        <v>36</v>
      </c>
      <c r="L70" s="0" t="n">
        <f aca="false">IF(ISBLANK(M70),,SUM(M70:O70))</f>
        <v>0</v>
      </c>
      <c r="P70" s="0" t="n">
        <f aca="false">IF(ISBLANK(M70),,ROUNDDOWN(($D$5+M70)*($D$6+N70)^0.5*($D$7+O70)^0.5*$D$9^2/10,0))</f>
        <v>0</v>
      </c>
    </row>
    <row r="71" customFormat="false" ht="15.75" hidden="false" customHeight="false" outlineLevel="0" collapsed="false">
      <c r="A71" s="384"/>
      <c r="B71" s="486"/>
      <c r="C71" s="486"/>
      <c r="F71" s="483" t="n">
        <v>71</v>
      </c>
      <c r="G71" s="376" t="n">
        <f aca="false">5-MOD((ROW()-1),6)+10</f>
        <v>11</v>
      </c>
      <c r="H71" s="376" t="n">
        <f aca="false">5-MOD(INT((ROW()-1)/6),6)+10</f>
        <v>10</v>
      </c>
      <c r="I71" s="376" t="n">
        <f aca="false">5-MOD(INT(INT((ROW()-1)/6)/6),6)+10</f>
        <v>14</v>
      </c>
      <c r="J71" s="484" t="n">
        <f aca="false">SUM(G71:I71)</f>
        <v>35</v>
      </c>
      <c r="L71" s="0" t="n">
        <f aca="false">IF(ISBLANK(M71),,SUM(M71:O71))</f>
        <v>0</v>
      </c>
      <c r="P71" s="0" t="n">
        <f aca="false">IF(ISBLANK(M71),,ROUNDDOWN(($D$5+M71)*($D$6+N71)^0.5*($D$7+O71)^0.5*$D$9^2/10,0))</f>
        <v>0</v>
      </c>
    </row>
    <row r="72" customFormat="false" ht="15.75" hidden="false" customHeight="false" outlineLevel="0" collapsed="false">
      <c r="A72" s="384"/>
      <c r="B72" s="486"/>
      <c r="C72" s="486"/>
      <c r="F72" s="483" t="n">
        <v>72</v>
      </c>
      <c r="G72" s="376" t="n">
        <f aca="false">5-MOD((ROW()-1),6)+10</f>
        <v>10</v>
      </c>
      <c r="H72" s="376" t="n">
        <f aca="false">5-MOD(INT((ROW()-1)/6),6)+10</f>
        <v>10</v>
      </c>
      <c r="I72" s="376" t="n">
        <f aca="false">5-MOD(INT(INT((ROW()-1)/6)/6),6)+10</f>
        <v>14</v>
      </c>
      <c r="J72" s="484" t="n">
        <f aca="false">SUM(G72:I72)</f>
        <v>34</v>
      </c>
      <c r="L72" s="0" t="n">
        <f aca="false">IF(ISBLANK(M72),,SUM(M72:O72))</f>
        <v>0</v>
      </c>
      <c r="P72" s="0" t="n">
        <f aca="false">IF(ISBLANK(M72),,ROUNDDOWN(($D$5+M72)*($D$6+N72)^0.5*($D$7+O72)^0.5*$D$9^2/10,0))</f>
        <v>0</v>
      </c>
    </row>
    <row r="73" customFormat="false" ht="15.75" hidden="false" customHeight="false" outlineLevel="0" collapsed="false">
      <c r="A73" s="384"/>
      <c r="B73" s="486"/>
      <c r="C73" s="486"/>
      <c r="F73" s="483" t="n">
        <v>73</v>
      </c>
      <c r="G73" s="376" t="n">
        <f aca="false">5-MOD((ROW()-1),6)+10</f>
        <v>15</v>
      </c>
      <c r="H73" s="376" t="n">
        <f aca="false">5-MOD(INT((ROW()-1)/6),6)+10</f>
        <v>15</v>
      </c>
      <c r="I73" s="376" t="n">
        <f aca="false">5-MOD(INT(INT((ROW()-1)/6)/6),6)+10</f>
        <v>13</v>
      </c>
      <c r="J73" s="484" t="n">
        <f aca="false">SUM(G73:I73)</f>
        <v>43</v>
      </c>
      <c r="L73" s="0" t="n">
        <f aca="false">IF(ISBLANK(M73),,SUM(M73:O73))</f>
        <v>0</v>
      </c>
      <c r="P73" s="0" t="n">
        <f aca="false">IF(ISBLANK(M73),,ROUNDDOWN(($D$5+M73)*($D$6+N73)^0.5*($D$7+O73)^0.5*$D$9^2/10,0))</f>
        <v>0</v>
      </c>
    </row>
    <row r="74" customFormat="false" ht="15.75" hidden="false" customHeight="false" outlineLevel="0" collapsed="false">
      <c r="A74" s="384"/>
      <c r="B74" s="486"/>
      <c r="C74" s="486"/>
      <c r="F74" s="483" t="n">
        <v>74</v>
      </c>
      <c r="G74" s="376" t="n">
        <f aca="false">5-MOD((ROW()-1),6)+10</f>
        <v>14</v>
      </c>
      <c r="H74" s="376" t="n">
        <f aca="false">5-MOD(INT((ROW()-1)/6),6)+10</f>
        <v>15</v>
      </c>
      <c r="I74" s="376" t="n">
        <f aca="false">5-MOD(INT(INT((ROW()-1)/6)/6),6)+10</f>
        <v>13</v>
      </c>
      <c r="J74" s="484" t="n">
        <f aca="false">SUM(G74:I74)</f>
        <v>42</v>
      </c>
      <c r="L74" s="0" t="n">
        <f aca="false">IF(ISBLANK(M74),,SUM(M74:O74))</f>
        <v>0</v>
      </c>
      <c r="P74" s="0" t="n">
        <f aca="false">IF(ISBLANK(M74),,ROUNDDOWN(($D$5+M74)*($D$6+N74)^0.5*($D$7+O74)^0.5*$D$9^2/10,0))</f>
        <v>0</v>
      </c>
    </row>
    <row r="75" customFormat="false" ht="15.75" hidden="false" customHeight="false" outlineLevel="0" collapsed="false">
      <c r="A75" s="384"/>
      <c r="B75" s="486"/>
      <c r="C75" s="486"/>
      <c r="F75" s="483" t="n">
        <v>75</v>
      </c>
      <c r="G75" s="376" t="n">
        <f aca="false">5-MOD((ROW()-1),6)+10</f>
        <v>13</v>
      </c>
      <c r="H75" s="376" t="n">
        <f aca="false">5-MOD(INT((ROW()-1)/6),6)+10</f>
        <v>15</v>
      </c>
      <c r="I75" s="376" t="n">
        <f aca="false">5-MOD(INT(INT((ROW()-1)/6)/6),6)+10</f>
        <v>13</v>
      </c>
      <c r="J75" s="484" t="n">
        <f aca="false">SUM(G75:I75)</f>
        <v>41</v>
      </c>
      <c r="L75" s="0" t="n">
        <f aca="false">IF(ISBLANK(M75),,SUM(M75:O75))</f>
        <v>0</v>
      </c>
      <c r="P75" s="0" t="n">
        <f aca="false">IF(ISBLANK(M75),,ROUNDDOWN(($D$5+M75)*($D$6+N75)^0.5*($D$7+O75)^0.5*$D$9^2/10,0))</f>
        <v>0</v>
      </c>
    </row>
    <row r="76" customFormat="false" ht="15.75" hidden="false" customHeight="false" outlineLevel="0" collapsed="false">
      <c r="A76" s="384"/>
      <c r="B76" s="486"/>
      <c r="C76" s="486"/>
      <c r="F76" s="483" t="n">
        <v>76</v>
      </c>
      <c r="G76" s="376" t="n">
        <f aca="false">5-MOD((ROW()-1),6)+10</f>
        <v>12</v>
      </c>
      <c r="H76" s="376" t="n">
        <f aca="false">5-MOD(INT((ROW()-1)/6),6)+10</f>
        <v>15</v>
      </c>
      <c r="I76" s="376" t="n">
        <f aca="false">5-MOD(INT(INT((ROW()-1)/6)/6),6)+10</f>
        <v>13</v>
      </c>
      <c r="J76" s="484" t="n">
        <f aca="false">SUM(G76:I76)</f>
        <v>40</v>
      </c>
      <c r="L76" s="0" t="n">
        <f aca="false">IF(ISBLANK(M76),,SUM(M76:O76))</f>
        <v>0</v>
      </c>
      <c r="P76" s="0" t="n">
        <f aca="false">IF(ISBLANK(M76),,ROUNDDOWN(($D$5+M76)*($D$6+N76)^0.5*($D$7+O76)^0.5*$D$9^2/10,0))</f>
        <v>0</v>
      </c>
    </row>
    <row r="77" customFormat="false" ht="15.75" hidden="false" customHeight="false" outlineLevel="0" collapsed="false">
      <c r="A77" s="384"/>
      <c r="B77" s="486"/>
      <c r="C77" s="486"/>
      <c r="F77" s="483" t="n">
        <v>77</v>
      </c>
      <c r="G77" s="376" t="n">
        <f aca="false">5-MOD((ROW()-1),6)+10</f>
        <v>11</v>
      </c>
      <c r="H77" s="376" t="n">
        <f aca="false">5-MOD(INT((ROW()-1)/6),6)+10</f>
        <v>15</v>
      </c>
      <c r="I77" s="376" t="n">
        <f aca="false">5-MOD(INT(INT((ROW()-1)/6)/6),6)+10</f>
        <v>13</v>
      </c>
      <c r="J77" s="484" t="n">
        <f aca="false">SUM(G77:I77)</f>
        <v>39</v>
      </c>
      <c r="L77" s="0" t="n">
        <f aca="false">IF(ISBLANK(M77),,SUM(M77:O77))</f>
        <v>0</v>
      </c>
      <c r="P77" s="0" t="n">
        <f aca="false">IF(ISBLANK(M77),,ROUNDDOWN(($D$5+M77)*($D$6+N77)^0.5*($D$7+O77)^0.5*$D$9^2/10,0))</f>
        <v>0</v>
      </c>
    </row>
    <row r="78" customFormat="false" ht="15.75" hidden="false" customHeight="false" outlineLevel="0" collapsed="false">
      <c r="A78" s="384"/>
      <c r="B78" s="486"/>
      <c r="C78" s="486"/>
      <c r="F78" s="483" t="n">
        <v>78</v>
      </c>
      <c r="G78" s="376" t="n">
        <f aca="false">5-MOD((ROW()-1),6)+10</f>
        <v>10</v>
      </c>
      <c r="H78" s="376" t="n">
        <f aca="false">5-MOD(INT((ROW()-1)/6),6)+10</f>
        <v>15</v>
      </c>
      <c r="I78" s="376" t="n">
        <f aca="false">5-MOD(INT(INT((ROW()-1)/6)/6),6)+10</f>
        <v>13</v>
      </c>
      <c r="J78" s="484" t="n">
        <f aca="false">SUM(G78:I78)</f>
        <v>38</v>
      </c>
      <c r="L78" s="0" t="n">
        <f aca="false">IF(ISBLANK(M78),,SUM(M78:O78))</f>
        <v>0</v>
      </c>
      <c r="P78" s="0" t="n">
        <f aca="false">IF(ISBLANK(M78),,ROUNDDOWN(($D$5+M78)*($D$6+N78)^0.5*($D$7+O78)^0.5*$D$9^2/10,0))</f>
        <v>0</v>
      </c>
    </row>
    <row r="79" customFormat="false" ht="15.75" hidden="false" customHeight="false" outlineLevel="0" collapsed="false">
      <c r="A79" s="384"/>
      <c r="B79" s="486"/>
      <c r="C79" s="486"/>
      <c r="F79" s="483" t="n">
        <v>79</v>
      </c>
      <c r="G79" s="376" t="n">
        <f aca="false">5-MOD((ROW()-1),6)+10</f>
        <v>15</v>
      </c>
      <c r="H79" s="376" t="n">
        <f aca="false">5-MOD(INT((ROW()-1)/6),6)+10</f>
        <v>14</v>
      </c>
      <c r="I79" s="376" t="n">
        <f aca="false">5-MOD(INT(INT((ROW()-1)/6)/6),6)+10</f>
        <v>13</v>
      </c>
      <c r="J79" s="484" t="n">
        <f aca="false">SUM(G79:I79)</f>
        <v>42</v>
      </c>
      <c r="L79" s="0" t="n">
        <f aca="false">IF(ISBLANK(M79),,SUM(M79:O79))</f>
        <v>0</v>
      </c>
      <c r="P79" s="0" t="n">
        <f aca="false">IF(ISBLANK(M79),,ROUNDDOWN(($D$5+M79)*($D$6+N79)^0.5*($D$7+O79)^0.5*$D$9^2/10,0))</f>
        <v>0</v>
      </c>
    </row>
    <row r="80" customFormat="false" ht="15.75" hidden="false" customHeight="false" outlineLevel="0" collapsed="false">
      <c r="A80" s="384"/>
      <c r="B80" s="486"/>
      <c r="C80" s="486"/>
      <c r="F80" s="483" t="n">
        <v>80</v>
      </c>
      <c r="G80" s="376" t="n">
        <f aca="false">5-MOD((ROW()-1),6)+10</f>
        <v>14</v>
      </c>
      <c r="H80" s="376" t="n">
        <f aca="false">5-MOD(INT((ROW()-1)/6),6)+10</f>
        <v>14</v>
      </c>
      <c r="I80" s="376" t="n">
        <f aca="false">5-MOD(INT(INT((ROW()-1)/6)/6),6)+10</f>
        <v>13</v>
      </c>
      <c r="J80" s="484" t="n">
        <f aca="false">SUM(G80:I80)</f>
        <v>41</v>
      </c>
      <c r="L80" s="0" t="n">
        <f aca="false">IF(ISBLANK(M80),,SUM(M80:O80))</f>
        <v>0</v>
      </c>
      <c r="P80" s="0" t="n">
        <f aca="false">IF(ISBLANK(M80),,ROUNDDOWN(($D$5+M80)*($D$6+N80)^0.5*($D$7+O80)^0.5*$D$9^2/10,0))</f>
        <v>0</v>
      </c>
    </row>
    <row r="81" customFormat="false" ht="15.75" hidden="false" customHeight="false" outlineLevel="0" collapsed="false">
      <c r="A81" s="384"/>
      <c r="B81" s="486"/>
      <c r="C81" s="486"/>
      <c r="F81" s="483" t="n">
        <v>81</v>
      </c>
      <c r="G81" s="376" t="n">
        <f aca="false">5-MOD((ROW()-1),6)+10</f>
        <v>13</v>
      </c>
      <c r="H81" s="376" t="n">
        <f aca="false">5-MOD(INT((ROW()-1)/6),6)+10</f>
        <v>14</v>
      </c>
      <c r="I81" s="376" t="n">
        <f aca="false">5-MOD(INT(INT((ROW()-1)/6)/6),6)+10</f>
        <v>13</v>
      </c>
      <c r="J81" s="484" t="n">
        <f aca="false">SUM(G81:I81)</f>
        <v>40</v>
      </c>
      <c r="L81" s="0" t="n">
        <f aca="false">IF(ISBLANK(M81),,SUM(M81:O81))</f>
        <v>0</v>
      </c>
      <c r="P81" s="0" t="n">
        <f aca="false">IF(ISBLANK(M81),,ROUNDDOWN(($D$5+M81)*($D$6+N81)^0.5*($D$7+O81)^0.5*$D$9^2/10,0))</f>
        <v>0</v>
      </c>
    </row>
    <row r="82" customFormat="false" ht="15.75" hidden="false" customHeight="false" outlineLevel="0" collapsed="false">
      <c r="A82" s="384"/>
      <c r="B82" s="486"/>
      <c r="C82" s="486"/>
      <c r="F82" s="483" t="n">
        <v>82</v>
      </c>
      <c r="G82" s="376" t="n">
        <f aca="false">5-MOD((ROW()-1),6)+10</f>
        <v>12</v>
      </c>
      <c r="H82" s="376" t="n">
        <f aca="false">5-MOD(INT((ROW()-1)/6),6)+10</f>
        <v>14</v>
      </c>
      <c r="I82" s="376" t="n">
        <f aca="false">5-MOD(INT(INT((ROW()-1)/6)/6),6)+10</f>
        <v>13</v>
      </c>
      <c r="J82" s="484" t="n">
        <f aca="false">SUM(G82:I82)</f>
        <v>39</v>
      </c>
      <c r="L82" s="0" t="n">
        <f aca="false">IF(ISBLANK(M82),,SUM(M82:O82))</f>
        <v>0</v>
      </c>
      <c r="P82" s="0" t="n">
        <f aca="false">IF(ISBLANK(M82),,ROUNDDOWN(($D$5+M82)*($D$6+N82)^0.5*($D$7+O82)^0.5*$D$9^2/10,0))</f>
        <v>0</v>
      </c>
    </row>
    <row r="83" customFormat="false" ht="15.75" hidden="false" customHeight="false" outlineLevel="0" collapsed="false">
      <c r="A83" s="384"/>
      <c r="B83" s="486"/>
      <c r="C83" s="486"/>
      <c r="F83" s="483" t="n">
        <v>83</v>
      </c>
      <c r="G83" s="376" t="n">
        <f aca="false">5-MOD((ROW()-1),6)+10</f>
        <v>11</v>
      </c>
      <c r="H83" s="376" t="n">
        <f aca="false">5-MOD(INT((ROW()-1)/6),6)+10</f>
        <v>14</v>
      </c>
      <c r="I83" s="376" t="n">
        <f aca="false">5-MOD(INT(INT((ROW()-1)/6)/6),6)+10</f>
        <v>13</v>
      </c>
      <c r="J83" s="484" t="n">
        <f aca="false">SUM(G83:I83)</f>
        <v>38</v>
      </c>
      <c r="L83" s="0" t="n">
        <f aca="false">IF(ISBLANK(M83),,SUM(M83:O83))</f>
        <v>0</v>
      </c>
      <c r="P83" s="0" t="n">
        <f aca="false">IF(ISBLANK(M83),,ROUNDDOWN(($D$5+M83)*($D$6+N83)^0.5*($D$7+O83)^0.5*$D$9^2/10,0))</f>
        <v>0</v>
      </c>
    </row>
    <row r="84" customFormat="false" ht="15.75" hidden="false" customHeight="false" outlineLevel="0" collapsed="false">
      <c r="A84" s="384"/>
      <c r="B84" s="486"/>
      <c r="C84" s="486"/>
      <c r="F84" s="483" t="n">
        <v>84</v>
      </c>
      <c r="G84" s="376" t="n">
        <f aca="false">5-MOD((ROW()-1),6)+10</f>
        <v>10</v>
      </c>
      <c r="H84" s="376" t="n">
        <f aca="false">5-MOD(INT((ROW()-1)/6),6)+10</f>
        <v>14</v>
      </c>
      <c r="I84" s="376" t="n">
        <f aca="false">5-MOD(INT(INT((ROW()-1)/6)/6),6)+10</f>
        <v>13</v>
      </c>
      <c r="J84" s="484" t="n">
        <f aca="false">SUM(G84:I84)</f>
        <v>37</v>
      </c>
      <c r="L84" s="0" t="n">
        <f aca="false">IF(ISBLANK(M84),,SUM(M84:O84))</f>
        <v>0</v>
      </c>
      <c r="P84" s="0" t="n">
        <f aca="false">IF(ISBLANK(M84),,ROUNDDOWN(($D$5+M84)*($D$6+N84)^0.5*($D$7+O84)^0.5*$D$9^2/10,0))</f>
        <v>0</v>
      </c>
    </row>
    <row r="85" customFormat="false" ht="15.75" hidden="false" customHeight="false" outlineLevel="0" collapsed="false">
      <c r="A85" s="384"/>
      <c r="B85" s="486"/>
      <c r="C85" s="486"/>
      <c r="F85" s="483" t="n">
        <v>85</v>
      </c>
      <c r="G85" s="376" t="n">
        <f aca="false">5-MOD((ROW()-1),6)+10</f>
        <v>15</v>
      </c>
      <c r="H85" s="376" t="n">
        <f aca="false">5-MOD(INT((ROW()-1)/6),6)+10</f>
        <v>13</v>
      </c>
      <c r="I85" s="376" t="n">
        <f aca="false">5-MOD(INT(INT((ROW()-1)/6)/6),6)+10</f>
        <v>13</v>
      </c>
      <c r="J85" s="484" t="n">
        <f aca="false">SUM(G85:I85)</f>
        <v>41</v>
      </c>
      <c r="L85" s="0" t="n">
        <f aca="false">IF(ISBLANK(M85),,SUM(M85:O85))</f>
        <v>0</v>
      </c>
      <c r="P85" s="0" t="n">
        <f aca="false">IF(ISBLANK(M85),,ROUNDDOWN(($D$5+M85)*($D$6+N85)^0.5*($D$7+O85)^0.5*$D$9^2/10,0))</f>
        <v>0</v>
      </c>
    </row>
    <row r="86" customFormat="false" ht="15.75" hidden="false" customHeight="false" outlineLevel="0" collapsed="false">
      <c r="A86" s="384"/>
      <c r="B86" s="486"/>
      <c r="C86" s="486"/>
      <c r="F86" s="483" t="n">
        <v>86</v>
      </c>
      <c r="G86" s="376" t="n">
        <f aca="false">5-MOD((ROW()-1),6)+10</f>
        <v>14</v>
      </c>
      <c r="H86" s="376" t="n">
        <f aca="false">5-MOD(INT((ROW()-1)/6),6)+10</f>
        <v>13</v>
      </c>
      <c r="I86" s="376" t="n">
        <f aca="false">5-MOD(INT(INT((ROW()-1)/6)/6),6)+10</f>
        <v>13</v>
      </c>
      <c r="J86" s="484" t="n">
        <f aca="false">SUM(G86:I86)</f>
        <v>40</v>
      </c>
      <c r="L86" s="0" t="n">
        <f aca="false">IF(ISBLANK(M86),,SUM(M86:O86))</f>
        <v>0</v>
      </c>
      <c r="P86" s="0" t="n">
        <f aca="false">IF(ISBLANK(M86),,ROUNDDOWN(($D$5+M86)*($D$6+N86)^0.5*($D$7+O86)^0.5*$D$9^2/10,0))</f>
        <v>0</v>
      </c>
    </row>
    <row r="87" customFormat="false" ht="15.75" hidden="false" customHeight="false" outlineLevel="0" collapsed="false">
      <c r="A87" s="384"/>
      <c r="B87" s="486"/>
      <c r="C87" s="486"/>
      <c r="F87" s="483" t="n">
        <v>87</v>
      </c>
      <c r="G87" s="376" t="n">
        <f aca="false">5-MOD((ROW()-1),6)+10</f>
        <v>13</v>
      </c>
      <c r="H87" s="376" t="n">
        <f aca="false">5-MOD(INT((ROW()-1)/6),6)+10</f>
        <v>13</v>
      </c>
      <c r="I87" s="376" t="n">
        <f aca="false">5-MOD(INT(INT((ROW()-1)/6)/6),6)+10</f>
        <v>13</v>
      </c>
      <c r="J87" s="484" t="n">
        <f aca="false">SUM(G87:I87)</f>
        <v>39</v>
      </c>
      <c r="L87" s="0" t="n">
        <f aca="false">IF(ISBLANK(M87),,SUM(M87:O87))</f>
        <v>0</v>
      </c>
      <c r="P87" s="0" t="n">
        <f aca="false">IF(ISBLANK(M87),,ROUNDDOWN(($D$5+M87)*($D$6+N87)^0.5*($D$7+O87)^0.5*$D$9^2/10,0))</f>
        <v>0</v>
      </c>
    </row>
    <row r="88" customFormat="false" ht="15.75" hidden="false" customHeight="false" outlineLevel="0" collapsed="false">
      <c r="A88" s="384"/>
      <c r="B88" s="486"/>
      <c r="C88" s="486"/>
      <c r="F88" s="483" t="n">
        <v>88</v>
      </c>
      <c r="G88" s="376" t="n">
        <f aca="false">5-MOD((ROW()-1),6)+10</f>
        <v>12</v>
      </c>
      <c r="H88" s="376" t="n">
        <f aca="false">5-MOD(INT((ROW()-1)/6),6)+10</f>
        <v>13</v>
      </c>
      <c r="I88" s="376" t="n">
        <f aca="false">5-MOD(INT(INT((ROW()-1)/6)/6),6)+10</f>
        <v>13</v>
      </c>
      <c r="J88" s="484" t="n">
        <f aca="false">SUM(G88:I88)</f>
        <v>38</v>
      </c>
      <c r="L88" s="0" t="n">
        <f aca="false">IF(ISBLANK(M88),,SUM(M88:O88))</f>
        <v>0</v>
      </c>
      <c r="P88" s="0" t="n">
        <f aca="false">IF(ISBLANK(M88),,ROUNDDOWN(($D$5+M88)*($D$6+N88)^0.5*($D$7+O88)^0.5*$D$9^2/10,0))</f>
        <v>0</v>
      </c>
    </row>
    <row r="89" customFormat="false" ht="15.75" hidden="false" customHeight="false" outlineLevel="0" collapsed="false">
      <c r="A89" s="384"/>
      <c r="B89" s="486"/>
      <c r="C89" s="486"/>
      <c r="F89" s="483" t="n">
        <v>89</v>
      </c>
      <c r="G89" s="376" t="n">
        <f aca="false">5-MOD((ROW()-1),6)+10</f>
        <v>11</v>
      </c>
      <c r="H89" s="376" t="n">
        <f aca="false">5-MOD(INT((ROW()-1)/6),6)+10</f>
        <v>13</v>
      </c>
      <c r="I89" s="376" t="n">
        <f aca="false">5-MOD(INT(INT((ROW()-1)/6)/6),6)+10</f>
        <v>13</v>
      </c>
      <c r="J89" s="484" t="n">
        <f aca="false">SUM(G89:I89)</f>
        <v>37</v>
      </c>
      <c r="L89" s="0" t="n">
        <f aca="false">IF(ISBLANK(M89),,SUM(M89:O89))</f>
        <v>0</v>
      </c>
      <c r="P89" s="0" t="n">
        <f aca="false">IF(ISBLANK(M89),,ROUNDDOWN(($D$5+M89)*($D$6+N89)^0.5*($D$7+O89)^0.5*$D$9^2/10,0))</f>
        <v>0</v>
      </c>
    </row>
    <row r="90" customFormat="false" ht="15.75" hidden="false" customHeight="false" outlineLevel="0" collapsed="false">
      <c r="A90" s="384"/>
      <c r="B90" s="486"/>
      <c r="C90" s="486"/>
      <c r="F90" s="483" t="n">
        <v>90</v>
      </c>
      <c r="G90" s="376" t="n">
        <f aca="false">5-MOD((ROW()-1),6)+10</f>
        <v>10</v>
      </c>
      <c r="H90" s="376" t="n">
        <f aca="false">5-MOD(INT((ROW()-1)/6),6)+10</f>
        <v>13</v>
      </c>
      <c r="I90" s="376" t="n">
        <f aca="false">5-MOD(INT(INT((ROW()-1)/6)/6),6)+10</f>
        <v>13</v>
      </c>
      <c r="J90" s="484" t="n">
        <f aca="false">SUM(G90:I90)</f>
        <v>36</v>
      </c>
      <c r="L90" s="0" t="n">
        <f aca="false">IF(ISBLANK(M90),,SUM(M90:O90))</f>
        <v>0</v>
      </c>
      <c r="P90" s="0" t="n">
        <f aca="false">IF(ISBLANK(M90),,ROUNDDOWN(($D$5+M90)*($D$6+N90)^0.5*($D$7+O90)^0.5*$D$9^2/10,0))</f>
        <v>0</v>
      </c>
    </row>
    <row r="91" customFormat="false" ht="15.75" hidden="false" customHeight="false" outlineLevel="0" collapsed="false">
      <c r="A91" s="384"/>
      <c r="B91" s="486"/>
      <c r="C91" s="486"/>
      <c r="F91" s="483" t="n">
        <v>91</v>
      </c>
      <c r="G91" s="376" t="n">
        <f aca="false">5-MOD((ROW()-1),6)+10</f>
        <v>15</v>
      </c>
      <c r="H91" s="376" t="n">
        <f aca="false">5-MOD(INT((ROW()-1)/6),6)+10</f>
        <v>12</v>
      </c>
      <c r="I91" s="376" t="n">
        <f aca="false">5-MOD(INT(INT((ROW()-1)/6)/6),6)+10</f>
        <v>13</v>
      </c>
      <c r="J91" s="484" t="n">
        <f aca="false">SUM(G91:I91)</f>
        <v>40</v>
      </c>
      <c r="L91" s="0" t="n">
        <f aca="false">IF(ISBLANK(M91),,SUM(M91:O91))</f>
        <v>0</v>
      </c>
      <c r="P91" s="0" t="n">
        <f aca="false">IF(ISBLANK(M91),,ROUNDDOWN(($D$5+M91)*($D$6+N91)^0.5*($D$7+O91)^0.5*$D$9^2/10,0))</f>
        <v>0</v>
      </c>
    </row>
    <row r="92" customFormat="false" ht="15.75" hidden="false" customHeight="false" outlineLevel="0" collapsed="false">
      <c r="A92" s="384"/>
      <c r="B92" s="486"/>
      <c r="C92" s="486"/>
      <c r="F92" s="483" t="n">
        <v>92</v>
      </c>
      <c r="G92" s="376" t="n">
        <f aca="false">5-MOD((ROW()-1),6)+10</f>
        <v>14</v>
      </c>
      <c r="H92" s="376" t="n">
        <f aca="false">5-MOD(INT((ROW()-1)/6),6)+10</f>
        <v>12</v>
      </c>
      <c r="I92" s="376" t="n">
        <f aca="false">5-MOD(INT(INT((ROW()-1)/6)/6),6)+10</f>
        <v>13</v>
      </c>
      <c r="J92" s="484" t="n">
        <f aca="false">SUM(G92:I92)</f>
        <v>39</v>
      </c>
      <c r="L92" s="0" t="n">
        <f aca="false">IF(ISBLANK(M92),,SUM(M92:O92))</f>
        <v>0</v>
      </c>
      <c r="P92" s="0" t="n">
        <f aca="false">IF(ISBLANK(M92),,ROUNDDOWN(($D$5+M92)*($D$6+N92)^0.5*($D$7+O92)^0.5*$D$9^2/10,0))</f>
        <v>0</v>
      </c>
    </row>
    <row r="93" customFormat="false" ht="15.75" hidden="false" customHeight="false" outlineLevel="0" collapsed="false">
      <c r="A93" s="384"/>
      <c r="B93" s="486"/>
      <c r="C93" s="486"/>
      <c r="F93" s="483" t="n">
        <v>93</v>
      </c>
      <c r="G93" s="376" t="n">
        <f aca="false">5-MOD((ROW()-1),6)+10</f>
        <v>13</v>
      </c>
      <c r="H93" s="376" t="n">
        <f aca="false">5-MOD(INT((ROW()-1)/6),6)+10</f>
        <v>12</v>
      </c>
      <c r="I93" s="376" t="n">
        <f aca="false">5-MOD(INT(INT((ROW()-1)/6)/6),6)+10</f>
        <v>13</v>
      </c>
      <c r="J93" s="484" t="n">
        <f aca="false">SUM(G93:I93)</f>
        <v>38</v>
      </c>
      <c r="L93" s="0" t="n">
        <f aca="false">IF(ISBLANK(M93),,SUM(M93:O93))</f>
        <v>0</v>
      </c>
      <c r="P93" s="0" t="n">
        <f aca="false">IF(ISBLANK(M93),,ROUNDDOWN(($D$5+M93)*($D$6+N93)^0.5*($D$7+O93)^0.5*$D$9^2/10,0))</f>
        <v>0</v>
      </c>
    </row>
    <row r="94" customFormat="false" ht="15.75" hidden="false" customHeight="false" outlineLevel="0" collapsed="false">
      <c r="A94" s="384"/>
      <c r="B94" s="486"/>
      <c r="C94" s="486"/>
      <c r="F94" s="483" t="n">
        <v>94</v>
      </c>
      <c r="G94" s="376" t="n">
        <f aca="false">5-MOD((ROW()-1),6)+10</f>
        <v>12</v>
      </c>
      <c r="H94" s="376" t="n">
        <f aca="false">5-MOD(INT((ROW()-1)/6),6)+10</f>
        <v>12</v>
      </c>
      <c r="I94" s="376" t="n">
        <f aca="false">5-MOD(INT(INT((ROW()-1)/6)/6),6)+10</f>
        <v>13</v>
      </c>
      <c r="J94" s="484" t="n">
        <f aca="false">SUM(G94:I94)</f>
        <v>37</v>
      </c>
      <c r="L94" s="0" t="n">
        <f aca="false">IF(ISBLANK(M94),,SUM(M94:O94))</f>
        <v>0</v>
      </c>
      <c r="P94" s="0" t="n">
        <f aca="false">IF(ISBLANK(M94),,ROUNDDOWN(($D$5+M94)*($D$6+N94)^0.5*($D$7+O94)^0.5*$D$9^2/10,0))</f>
        <v>0</v>
      </c>
    </row>
    <row r="95" customFormat="false" ht="15.75" hidden="false" customHeight="false" outlineLevel="0" collapsed="false">
      <c r="A95" s="384"/>
      <c r="B95" s="486"/>
      <c r="C95" s="486"/>
      <c r="F95" s="483" t="n">
        <v>95</v>
      </c>
      <c r="G95" s="376" t="n">
        <f aca="false">5-MOD((ROW()-1),6)+10</f>
        <v>11</v>
      </c>
      <c r="H95" s="376" t="n">
        <f aca="false">5-MOD(INT((ROW()-1)/6),6)+10</f>
        <v>12</v>
      </c>
      <c r="I95" s="376" t="n">
        <f aca="false">5-MOD(INT(INT((ROW()-1)/6)/6),6)+10</f>
        <v>13</v>
      </c>
      <c r="J95" s="484" t="n">
        <f aca="false">SUM(G95:I95)</f>
        <v>36</v>
      </c>
      <c r="L95" s="0" t="n">
        <f aca="false">IF(ISBLANK(M95),,SUM(M95:O95))</f>
        <v>0</v>
      </c>
      <c r="P95" s="0" t="n">
        <f aca="false">IF(ISBLANK(M95),,ROUNDDOWN(($D$5+M95)*($D$6+N95)^0.5*($D$7+O95)^0.5*$D$9^2/10,0))</f>
        <v>0</v>
      </c>
    </row>
    <row r="96" customFormat="false" ht="15.75" hidden="false" customHeight="false" outlineLevel="0" collapsed="false">
      <c r="A96" s="384"/>
      <c r="B96" s="486"/>
      <c r="C96" s="486"/>
      <c r="F96" s="483" t="n">
        <v>96</v>
      </c>
      <c r="G96" s="376" t="n">
        <f aca="false">5-MOD((ROW()-1),6)+10</f>
        <v>10</v>
      </c>
      <c r="H96" s="376" t="n">
        <f aca="false">5-MOD(INT((ROW()-1)/6),6)+10</f>
        <v>12</v>
      </c>
      <c r="I96" s="376" t="n">
        <f aca="false">5-MOD(INT(INT((ROW()-1)/6)/6),6)+10</f>
        <v>13</v>
      </c>
      <c r="J96" s="484" t="n">
        <f aca="false">SUM(G96:I96)</f>
        <v>35</v>
      </c>
      <c r="L96" s="0" t="n">
        <f aca="false">IF(ISBLANK(M96),,SUM(M96:O96))</f>
        <v>0</v>
      </c>
      <c r="P96" s="0" t="n">
        <f aca="false">IF(ISBLANK(M96),,ROUNDDOWN(($D$5+M96)*($D$6+N96)^0.5*($D$7+O96)^0.5*$D$9^2/10,0))</f>
        <v>0</v>
      </c>
    </row>
    <row r="97" customFormat="false" ht="15.75" hidden="false" customHeight="false" outlineLevel="0" collapsed="false">
      <c r="A97" s="384"/>
      <c r="B97" s="486"/>
      <c r="C97" s="486"/>
      <c r="F97" s="483" t="n">
        <v>97</v>
      </c>
      <c r="G97" s="376" t="n">
        <f aca="false">5-MOD((ROW()-1),6)+10</f>
        <v>15</v>
      </c>
      <c r="H97" s="376" t="n">
        <f aca="false">5-MOD(INT((ROW()-1)/6),6)+10</f>
        <v>11</v>
      </c>
      <c r="I97" s="376" t="n">
        <f aca="false">5-MOD(INT(INT((ROW()-1)/6)/6),6)+10</f>
        <v>13</v>
      </c>
      <c r="J97" s="484" t="n">
        <f aca="false">SUM(G97:I97)</f>
        <v>39</v>
      </c>
      <c r="L97" s="0" t="n">
        <f aca="false">IF(ISBLANK(M97),,SUM(M97:O97))</f>
        <v>0</v>
      </c>
      <c r="P97" s="0" t="n">
        <f aca="false">IF(ISBLANK(M97),,ROUNDDOWN(($D$5+M97)*($D$6+N97)^0.5*($D$7+O97)^0.5*$D$9^2/10,0))</f>
        <v>0</v>
      </c>
    </row>
    <row r="98" customFormat="false" ht="15.75" hidden="false" customHeight="false" outlineLevel="0" collapsed="false">
      <c r="A98" s="384"/>
      <c r="B98" s="486"/>
      <c r="C98" s="486"/>
      <c r="F98" s="483" t="n">
        <v>98</v>
      </c>
      <c r="G98" s="376" t="n">
        <f aca="false">5-MOD((ROW()-1),6)+10</f>
        <v>14</v>
      </c>
      <c r="H98" s="376" t="n">
        <f aca="false">5-MOD(INT((ROW()-1)/6),6)+10</f>
        <v>11</v>
      </c>
      <c r="I98" s="376" t="n">
        <f aca="false">5-MOD(INT(INT((ROW()-1)/6)/6),6)+10</f>
        <v>13</v>
      </c>
      <c r="J98" s="484" t="n">
        <f aca="false">SUM(G98:I98)</f>
        <v>38</v>
      </c>
      <c r="L98" s="0" t="n">
        <f aca="false">IF(ISBLANK(M98),,SUM(M98:O98))</f>
        <v>0</v>
      </c>
      <c r="P98" s="0" t="n">
        <f aca="false">IF(ISBLANK(M98),,ROUNDDOWN(($D$5+M98)*($D$6+N98)^0.5*($D$7+O98)^0.5*$D$9^2/10,0))</f>
        <v>0</v>
      </c>
    </row>
    <row r="99" customFormat="false" ht="15.75" hidden="false" customHeight="false" outlineLevel="0" collapsed="false">
      <c r="A99" s="384"/>
      <c r="B99" s="486"/>
      <c r="C99" s="486"/>
      <c r="F99" s="483" t="n">
        <v>99</v>
      </c>
      <c r="G99" s="376" t="n">
        <f aca="false">5-MOD((ROW()-1),6)+10</f>
        <v>13</v>
      </c>
      <c r="H99" s="376" t="n">
        <f aca="false">5-MOD(INT((ROW()-1)/6),6)+10</f>
        <v>11</v>
      </c>
      <c r="I99" s="376" t="n">
        <f aca="false">5-MOD(INT(INT((ROW()-1)/6)/6),6)+10</f>
        <v>13</v>
      </c>
      <c r="J99" s="484" t="n">
        <f aca="false">SUM(G99:I99)</f>
        <v>37</v>
      </c>
      <c r="L99" s="0" t="n">
        <f aca="false">IF(ISBLANK(M99),,SUM(M99:O99))</f>
        <v>0</v>
      </c>
      <c r="P99" s="0" t="n">
        <f aca="false">IF(ISBLANK(M99),,ROUNDDOWN(($D$5+M99)*($D$6+N99)^0.5*($D$7+O99)^0.5*$D$9^2/10,0))</f>
        <v>0</v>
      </c>
    </row>
    <row r="100" customFormat="false" ht="15.75" hidden="false" customHeight="false" outlineLevel="0" collapsed="false">
      <c r="A100" s="384"/>
      <c r="B100" s="486"/>
      <c r="C100" s="486"/>
      <c r="F100" s="483" t="n">
        <v>100</v>
      </c>
      <c r="G100" s="376" t="n">
        <f aca="false">5-MOD((ROW()-1),6)+10</f>
        <v>12</v>
      </c>
      <c r="H100" s="376" t="n">
        <f aca="false">5-MOD(INT((ROW()-1)/6),6)+10</f>
        <v>11</v>
      </c>
      <c r="I100" s="376" t="n">
        <f aca="false">5-MOD(INT(INT((ROW()-1)/6)/6),6)+10</f>
        <v>13</v>
      </c>
      <c r="J100" s="484" t="n">
        <f aca="false">SUM(G100:I100)</f>
        <v>36</v>
      </c>
      <c r="L100" s="0" t="n">
        <f aca="false">IF(ISBLANK(M100),,SUM(M100:O100))</f>
        <v>0</v>
      </c>
      <c r="P100" s="0" t="n">
        <f aca="false">IF(ISBLANK(M100),,ROUNDDOWN(($D$5+M100)*($D$6+N100)^0.5*($D$7+O100)^0.5*$D$9^2/10,0))</f>
        <v>0</v>
      </c>
    </row>
    <row r="101" customFormat="false" ht="15.75" hidden="false" customHeight="false" outlineLevel="0" collapsed="false">
      <c r="A101" s="384"/>
      <c r="B101" s="486"/>
      <c r="C101" s="486"/>
      <c r="F101" s="483" t="n">
        <v>101</v>
      </c>
      <c r="G101" s="376" t="n">
        <f aca="false">5-MOD((ROW()-1),6)+10</f>
        <v>11</v>
      </c>
      <c r="H101" s="376" t="n">
        <f aca="false">5-MOD(INT((ROW()-1)/6),6)+10</f>
        <v>11</v>
      </c>
      <c r="I101" s="376" t="n">
        <f aca="false">5-MOD(INT(INT((ROW()-1)/6)/6),6)+10</f>
        <v>13</v>
      </c>
      <c r="J101" s="484" t="n">
        <f aca="false">SUM(G101:I101)</f>
        <v>35</v>
      </c>
      <c r="L101" s="0" t="n">
        <f aca="false">IF(ISBLANK(M101),,SUM(M101:O101))</f>
        <v>0</v>
      </c>
      <c r="P101" s="0" t="n">
        <f aca="false">IF(ISBLANK(M101),,ROUNDDOWN(($D$5+M101)*($D$6+N101)^0.5*($D$7+O101)^0.5*$D$9^2/10,0))</f>
        <v>0</v>
      </c>
    </row>
    <row r="102" customFormat="false" ht="15.75" hidden="false" customHeight="false" outlineLevel="0" collapsed="false">
      <c r="A102" s="384"/>
      <c r="B102" s="486"/>
      <c r="C102" s="486"/>
      <c r="F102" s="483" t="n">
        <v>102</v>
      </c>
      <c r="G102" s="376" t="n">
        <f aca="false">5-MOD((ROW()-1),6)+10</f>
        <v>10</v>
      </c>
      <c r="H102" s="376" t="n">
        <f aca="false">5-MOD(INT((ROW()-1)/6),6)+10</f>
        <v>11</v>
      </c>
      <c r="I102" s="376" t="n">
        <f aca="false">5-MOD(INT(INT((ROW()-1)/6)/6),6)+10</f>
        <v>13</v>
      </c>
      <c r="J102" s="484" t="n">
        <f aca="false">SUM(G102:I102)</f>
        <v>34</v>
      </c>
      <c r="L102" s="0" t="n">
        <f aca="false">IF(ISBLANK(M102),,SUM(M102:O102))</f>
        <v>0</v>
      </c>
      <c r="P102" s="0" t="n">
        <f aca="false">IF(ISBLANK(M102),,ROUNDDOWN(($D$5+M102)*($D$6+N102)^0.5*($D$7+O102)^0.5*$D$9^2/10,0))</f>
        <v>0</v>
      </c>
    </row>
    <row r="103" customFormat="false" ht="15.75" hidden="false" customHeight="false" outlineLevel="0" collapsed="false">
      <c r="A103" s="384"/>
      <c r="B103" s="486"/>
      <c r="C103" s="486"/>
      <c r="F103" s="483" t="n">
        <v>103</v>
      </c>
      <c r="G103" s="376" t="n">
        <f aca="false">5-MOD((ROW()-1),6)+10</f>
        <v>15</v>
      </c>
      <c r="H103" s="376" t="n">
        <f aca="false">5-MOD(INT((ROW()-1)/6),6)+10</f>
        <v>10</v>
      </c>
      <c r="I103" s="376" t="n">
        <f aca="false">5-MOD(INT(INT((ROW()-1)/6)/6),6)+10</f>
        <v>13</v>
      </c>
      <c r="J103" s="484" t="n">
        <f aca="false">SUM(G103:I103)</f>
        <v>38</v>
      </c>
      <c r="L103" s="0" t="n">
        <f aca="false">IF(ISBLANK(M103),,SUM(M103:O103))</f>
        <v>0</v>
      </c>
      <c r="P103" s="0" t="n">
        <f aca="false">IF(ISBLANK(M103),,ROUNDDOWN(($D$5+M103)*($D$6+N103)^0.5*($D$7+O103)^0.5*$D$9^2/10,0))</f>
        <v>0</v>
      </c>
    </row>
    <row r="104" customFormat="false" ht="15.75" hidden="false" customHeight="false" outlineLevel="0" collapsed="false">
      <c r="A104" s="384"/>
      <c r="B104" s="486"/>
      <c r="C104" s="486"/>
      <c r="F104" s="483" t="n">
        <v>104</v>
      </c>
      <c r="G104" s="376" t="n">
        <f aca="false">5-MOD((ROW()-1),6)+10</f>
        <v>14</v>
      </c>
      <c r="H104" s="376" t="n">
        <f aca="false">5-MOD(INT((ROW()-1)/6),6)+10</f>
        <v>10</v>
      </c>
      <c r="I104" s="376" t="n">
        <f aca="false">5-MOD(INT(INT((ROW()-1)/6)/6),6)+10</f>
        <v>13</v>
      </c>
      <c r="J104" s="484" t="n">
        <f aca="false">SUM(G104:I104)</f>
        <v>37</v>
      </c>
      <c r="L104" s="0" t="n">
        <f aca="false">IF(ISBLANK(M104),,SUM(M104:O104))</f>
        <v>0</v>
      </c>
      <c r="P104" s="0" t="n">
        <f aca="false">IF(ISBLANK(M104),,ROUNDDOWN(($D$5+M104)*($D$6+N104)^0.5*($D$7+O104)^0.5*$D$9^2/10,0))</f>
        <v>0</v>
      </c>
    </row>
    <row r="105" customFormat="false" ht="15.75" hidden="false" customHeight="false" outlineLevel="0" collapsed="false">
      <c r="A105" s="384"/>
      <c r="B105" s="486"/>
      <c r="C105" s="486"/>
      <c r="F105" s="483" t="n">
        <v>105</v>
      </c>
      <c r="G105" s="376" t="n">
        <f aca="false">5-MOD((ROW()-1),6)+10</f>
        <v>13</v>
      </c>
      <c r="H105" s="376" t="n">
        <f aca="false">5-MOD(INT((ROW()-1)/6),6)+10</f>
        <v>10</v>
      </c>
      <c r="I105" s="376" t="n">
        <f aca="false">5-MOD(INT(INT((ROW()-1)/6)/6),6)+10</f>
        <v>13</v>
      </c>
      <c r="J105" s="484" t="n">
        <f aca="false">SUM(G105:I105)</f>
        <v>36</v>
      </c>
      <c r="L105" s="0" t="n">
        <f aca="false">IF(ISBLANK(M105),,SUM(M105:O105))</f>
        <v>0</v>
      </c>
      <c r="P105" s="0" t="n">
        <f aca="false">IF(ISBLANK(M105),,ROUNDDOWN(($D$5+M105)*($D$6+N105)^0.5*($D$7+O105)^0.5*$D$9^2/10,0))</f>
        <v>0</v>
      </c>
    </row>
    <row r="106" customFormat="false" ht="15.75" hidden="false" customHeight="false" outlineLevel="0" collapsed="false">
      <c r="A106" s="384"/>
      <c r="B106" s="486"/>
      <c r="C106" s="486"/>
      <c r="F106" s="483" t="n">
        <v>106</v>
      </c>
      <c r="G106" s="376" t="n">
        <f aca="false">5-MOD((ROW()-1),6)+10</f>
        <v>12</v>
      </c>
      <c r="H106" s="376" t="n">
        <f aca="false">5-MOD(INT((ROW()-1)/6),6)+10</f>
        <v>10</v>
      </c>
      <c r="I106" s="376" t="n">
        <f aca="false">5-MOD(INT(INT((ROW()-1)/6)/6),6)+10</f>
        <v>13</v>
      </c>
      <c r="J106" s="484" t="n">
        <f aca="false">SUM(G106:I106)</f>
        <v>35</v>
      </c>
      <c r="L106" s="0" t="n">
        <f aca="false">IF(ISBLANK(M106),,SUM(M106:O106))</f>
        <v>0</v>
      </c>
      <c r="P106" s="0" t="n">
        <f aca="false">IF(ISBLANK(M106),,ROUNDDOWN(($D$5+M106)*($D$6+N106)^0.5*($D$7+O106)^0.5*$D$9^2/10,0))</f>
        <v>0</v>
      </c>
    </row>
    <row r="107" customFormat="false" ht="15.75" hidden="false" customHeight="false" outlineLevel="0" collapsed="false">
      <c r="A107" s="384"/>
      <c r="B107" s="486"/>
      <c r="C107" s="486"/>
      <c r="F107" s="483" t="n">
        <v>107</v>
      </c>
      <c r="G107" s="376" t="n">
        <f aca="false">5-MOD((ROW()-1),6)+10</f>
        <v>11</v>
      </c>
      <c r="H107" s="376" t="n">
        <f aca="false">5-MOD(INT((ROW()-1)/6),6)+10</f>
        <v>10</v>
      </c>
      <c r="I107" s="376" t="n">
        <f aca="false">5-MOD(INT(INT((ROW()-1)/6)/6),6)+10</f>
        <v>13</v>
      </c>
      <c r="J107" s="484" t="n">
        <f aca="false">SUM(G107:I107)</f>
        <v>34</v>
      </c>
      <c r="L107" s="0" t="n">
        <f aca="false">IF(ISBLANK(M107),,SUM(M107:O107))</f>
        <v>0</v>
      </c>
      <c r="P107" s="0" t="n">
        <f aca="false">IF(ISBLANK(M107),,ROUNDDOWN(($D$5+M107)*($D$6+N107)^0.5*($D$7+O107)^0.5*$D$9^2/10,0))</f>
        <v>0</v>
      </c>
    </row>
    <row r="108" customFormat="false" ht="15.75" hidden="false" customHeight="false" outlineLevel="0" collapsed="false">
      <c r="A108" s="384"/>
      <c r="B108" s="486"/>
      <c r="C108" s="486"/>
      <c r="F108" s="483" t="n">
        <v>108</v>
      </c>
      <c r="G108" s="376" t="n">
        <f aca="false">5-MOD((ROW()-1),6)+10</f>
        <v>10</v>
      </c>
      <c r="H108" s="376" t="n">
        <f aca="false">5-MOD(INT((ROW()-1)/6),6)+10</f>
        <v>10</v>
      </c>
      <c r="I108" s="376" t="n">
        <f aca="false">5-MOD(INT(INT((ROW()-1)/6)/6),6)+10</f>
        <v>13</v>
      </c>
      <c r="J108" s="484" t="n">
        <f aca="false">SUM(G108:I108)</f>
        <v>33</v>
      </c>
      <c r="L108" s="0" t="n">
        <f aca="false">IF(ISBLANK(M108),,SUM(M108:O108))</f>
        <v>0</v>
      </c>
      <c r="P108" s="0" t="n">
        <f aca="false">IF(ISBLANK(M108),,ROUNDDOWN(($D$5+M108)*($D$6+N108)^0.5*($D$7+O108)^0.5*$D$9^2/10,0))</f>
        <v>0</v>
      </c>
    </row>
    <row r="109" customFormat="false" ht="15.75" hidden="false" customHeight="false" outlineLevel="0" collapsed="false">
      <c r="A109" s="384"/>
      <c r="B109" s="486"/>
      <c r="C109" s="486"/>
      <c r="F109" s="483" t="n">
        <v>109</v>
      </c>
      <c r="G109" s="376" t="n">
        <f aca="false">5-MOD((ROW()-1),6)+10</f>
        <v>15</v>
      </c>
      <c r="H109" s="376" t="n">
        <f aca="false">5-MOD(INT((ROW()-1)/6),6)+10</f>
        <v>15</v>
      </c>
      <c r="I109" s="376" t="n">
        <f aca="false">5-MOD(INT(INT((ROW()-1)/6)/6),6)+10</f>
        <v>12</v>
      </c>
      <c r="J109" s="484" t="n">
        <f aca="false">SUM(G109:I109)</f>
        <v>42</v>
      </c>
      <c r="L109" s="0" t="n">
        <f aca="false">IF(ISBLANK(M109),,SUM(M109:O109))</f>
        <v>0</v>
      </c>
      <c r="P109" s="0" t="n">
        <f aca="false">IF(ISBLANK(M109),,ROUNDDOWN(($D$5+M109)*($D$6+N109)^0.5*($D$7+O109)^0.5*$D$9^2/10,0))</f>
        <v>0</v>
      </c>
    </row>
    <row r="110" customFormat="false" ht="15.75" hidden="false" customHeight="false" outlineLevel="0" collapsed="false">
      <c r="A110" s="384"/>
      <c r="B110" s="486"/>
      <c r="C110" s="486"/>
      <c r="F110" s="483" t="n">
        <v>110</v>
      </c>
      <c r="G110" s="376" t="n">
        <f aca="false">5-MOD((ROW()-1),6)+10</f>
        <v>14</v>
      </c>
      <c r="H110" s="376" t="n">
        <f aca="false">5-MOD(INT((ROW()-1)/6),6)+10</f>
        <v>15</v>
      </c>
      <c r="I110" s="376" t="n">
        <f aca="false">5-MOD(INT(INT((ROW()-1)/6)/6),6)+10</f>
        <v>12</v>
      </c>
      <c r="J110" s="484" t="n">
        <f aca="false">SUM(G110:I110)</f>
        <v>41</v>
      </c>
      <c r="L110" s="0" t="n">
        <f aca="false">IF(ISBLANK(M110),,SUM(M110:O110))</f>
        <v>0</v>
      </c>
      <c r="P110" s="0" t="n">
        <f aca="false">IF(ISBLANK(M110),,ROUNDDOWN(($D$5+M110)*($D$6+N110)^0.5*($D$7+O110)^0.5*$D$9^2/10,0))</f>
        <v>0</v>
      </c>
    </row>
    <row r="111" customFormat="false" ht="15.75" hidden="false" customHeight="false" outlineLevel="0" collapsed="false">
      <c r="A111" s="384"/>
      <c r="B111" s="486"/>
      <c r="C111" s="486"/>
      <c r="F111" s="483" t="n">
        <v>111</v>
      </c>
      <c r="G111" s="376" t="n">
        <f aca="false">5-MOD((ROW()-1),6)+10</f>
        <v>13</v>
      </c>
      <c r="H111" s="376" t="n">
        <f aca="false">5-MOD(INT((ROW()-1)/6),6)+10</f>
        <v>15</v>
      </c>
      <c r="I111" s="376" t="n">
        <f aca="false">5-MOD(INT(INT((ROW()-1)/6)/6),6)+10</f>
        <v>12</v>
      </c>
      <c r="J111" s="484" t="n">
        <f aca="false">SUM(G111:I111)</f>
        <v>40</v>
      </c>
      <c r="L111" s="0" t="n">
        <f aca="false">IF(ISBLANK(M111),,SUM(M111:O111))</f>
        <v>0</v>
      </c>
      <c r="P111" s="0" t="n">
        <f aca="false">IF(ISBLANK(M111),,ROUNDDOWN(($D$5+M111)*($D$6+N111)^0.5*($D$7+O111)^0.5*$D$9^2/10,0))</f>
        <v>0</v>
      </c>
    </row>
    <row r="112" customFormat="false" ht="15.75" hidden="false" customHeight="false" outlineLevel="0" collapsed="false">
      <c r="A112" s="384"/>
      <c r="B112" s="486"/>
      <c r="C112" s="486"/>
      <c r="F112" s="483" t="n">
        <v>112</v>
      </c>
      <c r="G112" s="376" t="n">
        <f aca="false">5-MOD((ROW()-1),6)+10</f>
        <v>12</v>
      </c>
      <c r="H112" s="376" t="n">
        <f aca="false">5-MOD(INT((ROW()-1)/6),6)+10</f>
        <v>15</v>
      </c>
      <c r="I112" s="376" t="n">
        <f aca="false">5-MOD(INT(INT((ROW()-1)/6)/6),6)+10</f>
        <v>12</v>
      </c>
      <c r="J112" s="484" t="n">
        <f aca="false">SUM(G112:I112)</f>
        <v>39</v>
      </c>
      <c r="L112" s="0" t="n">
        <f aca="false">IF(ISBLANK(M112),,SUM(M112:O112))</f>
        <v>0</v>
      </c>
      <c r="P112" s="0" t="n">
        <f aca="false">IF(ISBLANK(M112),,ROUNDDOWN(($D$5+M112)*($D$6+N112)^0.5*($D$7+O112)^0.5*$D$9^2/10,0))</f>
        <v>0</v>
      </c>
    </row>
    <row r="113" customFormat="false" ht="15.75" hidden="false" customHeight="false" outlineLevel="0" collapsed="false">
      <c r="A113" s="384"/>
      <c r="B113" s="486"/>
      <c r="C113" s="486"/>
      <c r="F113" s="483" t="n">
        <v>113</v>
      </c>
      <c r="G113" s="376" t="n">
        <f aca="false">5-MOD((ROW()-1),6)+10</f>
        <v>11</v>
      </c>
      <c r="H113" s="376" t="n">
        <f aca="false">5-MOD(INT((ROW()-1)/6),6)+10</f>
        <v>15</v>
      </c>
      <c r="I113" s="376" t="n">
        <f aca="false">5-MOD(INT(INT((ROW()-1)/6)/6),6)+10</f>
        <v>12</v>
      </c>
      <c r="J113" s="484" t="n">
        <f aca="false">SUM(G113:I113)</f>
        <v>38</v>
      </c>
      <c r="L113" s="0" t="n">
        <f aca="false">IF(ISBLANK(M113),,SUM(M113:O113))</f>
        <v>0</v>
      </c>
      <c r="P113" s="0" t="n">
        <f aca="false">IF(ISBLANK(M113),,ROUNDDOWN(($D$5+M113)*($D$6+N113)^0.5*($D$7+O113)^0.5*$D$9^2/10,0))</f>
        <v>0</v>
      </c>
    </row>
    <row r="114" customFormat="false" ht="15.75" hidden="false" customHeight="false" outlineLevel="0" collapsed="false">
      <c r="A114" s="384"/>
      <c r="B114" s="486"/>
      <c r="C114" s="486"/>
      <c r="F114" s="483" t="n">
        <v>114</v>
      </c>
      <c r="G114" s="376" t="n">
        <f aca="false">5-MOD((ROW()-1),6)+10</f>
        <v>10</v>
      </c>
      <c r="H114" s="376" t="n">
        <f aca="false">5-MOD(INT((ROW()-1)/6),6)+10</f>
        <v>15</v>
      </c>
      <c r="I114" s="376" t="n">
        <f aca="false">5-MOD(INT(INT((ROW()-1)/6)/6),6)+10</f>
        <v>12</v>
      </c>
      <c r="J114" s="484" t="n">
        <f aca="false">SUM(G114:I114)</f>
        <v>37</v>
      </c>
      <c r="L114" s="0" t="n">
        <f aca="false">IF(ISBLANK(M114),,SUM(M114:O114))</f>
        <v>0</v>
      </c>
      <c r="P114" s="0" t="n">
        <f aca="false">IF(ISBLANK(M114),,ROUNDDOWN(($D$5+M114)*($D$6+N114)^0.5*($D$7+O114)^0.5*$D$9^2/10,0))</f>
        <v>0</v>
      </c>
    </row>
    <row r="115" customFormat="false" ht="15.75" hidden="false" customHeight="false" outlineLevel="0" collapsed="false">
      <c r="A115" s="384"/>
      <c r="B115" s="486"/>
      <c r="C115" s="486"/>
      <c r="F115" s="483" t="n">
        <v>115</v>
      </c>
      <c r="G115" s="376" t="n">
        <f aca="false">5-MOD((ROW()-1),6)+10</f>
        <v>15</v>
      </c>
      <c r="H115" s="376" t="n">
        <f aca="false">5-MOD(INT((ROW()-1)/6),6)+10</f>
        <v>14</v>
      </c>
      <c r="I115" s="376" t="n">
        <f aca="false">5-MOD(INT(INT((ROW()-1)/6)/6),6)+10</f>
        <v>12</v>
      </c>
      <c r="J115" s="484" t="n">
        <f aca="false">SUM(G115:I115)</f>
        <v>41</v>
      </c>
      <c r="L115" s="0" t="n">
        <f aca="false">IF(ISBLANK(M115),,SUM(M115:O115))</f>
        <v>0</v>
      </c>
      <c r="P115" s="0" t="n">
        <f aca="false">IF(ISBLANK(M115),,ROUNDDOWN(($D$5+M115)*($D$6+N115)^0.5*($D$7+O115)^0.5*$D$9^2/10,0))</f>
        <v>0</v>
      </c>
    </row>
    <row r="116" customFormat="false" ht="15.75" hidden="false" customHeight="false" outlineLevel="0" collapsed="false">
      <c r="A116" s="384"/>
      <c r="B116" s="486"/>
      <c r="C116" s="486"/>
      <c r="F116" s="483" t="n">
        <v>116</v>
      </c>
      <c r="G116" s="376" t="n">
        <f aca="false">5-MOD((ROW()-1),6)+10</f>
        <v>14</v>
      </c>
      <c r="H116" s="376" t="n">
        <f aca="false">5-MOD(INT((ROW()-1)/6),6)+10</f>
        <v>14</v>
      </c>
      <c r="I116" s="376" t="n">
        <f aca="false">5-MOD(INT(INT((ROW()-1)/6)/6),6)+10</f>
        <v>12</v>
      </c>
      <c r="J116" s="484" t="n">
        <f aca="false">SUM(G116:I116)</f>
        <v>40</v>
      </c>
      <c r="L116" s="0" t="n">
        <f aca="false">IF(ISBLANK(M116),,SUM(M116:O116))</f>
        <v>0</v>
      </c>
      <c r="P116" s="0" t="n">
        <f aca="false">IF(ISBLANK(M116),,ROUNDDOWN(($D$5+M116)*($D$6+N116)^0.5*($D$7+O116)^0.5*$D$9^2/10,0))</f>
        <v>0</v>
      </c>
    </row>
    <row r="117" customFormat="false" ht="15.75" hidden="false" customHeight="false" outlineLevel="0" collapsed="false">
      <c r="A117" s="384"/>
      <c r="B117" s="486"/>
      <c r="C117" s="486"/>
      <c r="F117" s="483" t="n">
        <v>117</v>
      </c>
      <c r="G117" s="376" t="n">
        <f aca="false">5-MOD((ROW()-1),6)+10</f>
        <v>13</v>
      </c>
      <c r="H117" s="376" t="n">
        <f aca="false">5-MOD(INT((ROW()-1)/6),6)+10</f>
        <v>14</v>
      </c>
      <c r="I117" s="376" t="n">
        <f aca="false">5-MOD(INT(INT((ROW()-1)/6)/6),6)+10</f>
        <v>12</v>
      </c>
      <c r="J117" s="484" t="n">
        <f aca="false">SUM(G117:I117)</f>
        <v>39</v>
      </c>
      <c r="L117" s="0" t="n">
        <f aca="false">IF(ISBLANK(M117),,SUM(M117:O117))</f>
        <v>0</v>
      </c>
      <c r="P117" s="0" t="n">
        <f aca="false">IF(ISBLANK(M117),,ROUNDDOWN(($D$5+M117)*($D$6+N117)^0.5*($D$7+O117)^0.5*$D$9^2/10,0))</f>
        <v>0</v>
      </c>
    </row>
    <row r="118" customFormat="false" ht="15.75" hidden="false" customHeight="false" outlineLevel="0" collapsed="false">
      <c r="A118" s="384"/>
      <c r="B118" s="486"/>
      <c r="C118" s="486"/>
      <c r="F118" s="483" t="n">
        <v>118</v>
      </c>
      <c r="G118" s="376" t="n">
        <f aca="false">5-MOD((ROW()-1),6)+10</f>
        <v>12</v>
      </c>
      <c r="H118" s="376" t="n">
        <f aca="false">5-MOD(INT((ROW()-1)/6),6)+10</f>
        <v>14</v>
      </c>
      <c r="I118" s="376" t="n">
        <f aca="false">5-MOD(INT(INT((ROW()-1)/6)/6),6)+10</f>
        <v>12</v>
      </c>
      <c r="J118" s="484" t="n">
        <f aca="false">SUM(G118:I118)</f>
        <v>38</v>
      </c>
      <c r="L118" s="0" t="n">
        <f aca="false">IF(ISBLANK(M118),,SUM(M118:O118))</f>
        <v>0</v>
      </c>
      <c r="P118" s="0" t="n">
        <f aca="false">IF(ISBLANK(M118),,ROUNDDOWN(($D$5+M118)*($D$6+N118)^0.5*($D$7+O118)^0.5*$D$9^2/10,0))</f>
        <v>0</v>
      </c>
    </row>
    <row r="119" customFormat="false" ht="15.75" hidden="false" customHeight="false" outlineLevel="0" collapsed="false">
      <c r="A119" s="384"/>
      <c r="B119" s="486"/>
      <c r="C119" s="486"/>
      <c r="F119" s="483" t="n">
        <v>119</v>
      </c>
      <c r="G119" s="376" t="n">
        <f aca="false">5-MOD((ROW()-1),6)+10</f>
        <v>11</v>
      </c>
      <c r="H119" s="376" t="n">
        <f aca="false">5-MOD(INT((ROW()-1)/6),6)+10</f>
        <v>14</v>
      </c>
      <c r="I119" s="376" t="n">
        <f aca="false">5-MOD(INT(INT((ROW()-1)/6)/6),6)+10</f>
        <v>12</v>
      </c>
      <c r="J119" s="484" t="n">
        <f aca="false">SUM(G119:I119)</f>
        <v>37</v>
      </c>
      <c r="L119" s="0" t="n">
        <f aca="false">IF(ISBLANK(M119),,SUM(M119:O119))</f>
        <v>0</v>
      </c>
      <c r="P119" s="0" t="n">
        <f aca="false">IF(ISBLANK(M119),,ROUNDDOWN(($D$5+M119)*($D$6+N119)^0.5*($D$7+O119)^0.5*$D$9^2/10,0))</f>
        <v>0</v>
      </c>
    </row>
    <row r="120" customFormat="false" ht="15.75" hidden="false" customHeight="false" outlineLevel="0" collapsed="false">
      <c r="A120" s="384"/>
      <c r="B120" s="486"/>
      <c r="C120" s="486"/>
      <c r="F120" s="483" t="n">
        <v>120</v>
      </c>
      <c r="G120" s="376" t="n">
        <f aca="false">5-MOD((ROW()-1),6)+10</f>
        <v>10</v>
      </c>
      <c r="H120" s="376" t="n">
        <f aca="false">5-MOD(INT((ROW()-1)/6),6)+10</f>
        <v>14</v>
      </c>
      <c r="I120" s="376" t="n">
        <f aca="false">5-MOD(INT(INT((ROW()-1)/6)/6),6)+10</f>
        <v>12</v>
      </c>
      <c r="J120" s="484" t="n">
        <f aca="false">SUM(G120:I120)</f>
        <v>36</v>
      </c>
      <c r="L120" s="0" t="n">
        <f aca="false">IF(ISBLANK(M120),,SUM(M120:O120))</f>
        <v>0</v>
      </c>
      <c r="P120" s="0" t="n">
        <f aca="false">IF(ISBLANK(M120),,ROUNDDOWN(($D$5+M120)*($D$6+N120)^0.5*($D$7+O120)^0.5*$D$9^2/10,0))</f>
        <v>0</v>
      </c>
    </row>
    <row r="121" customFormat="false" ht="15.75" hidden="false" customHeight="false" outlineLevel="0" collapsed="false">
      <c r="A121" s="384"/>
      <c r="B121" s="486"/>
      <c r="C121" s="486"/>
      <c r="F121" s="483" t="n">
        <v>121</v>
      </c>
      <c r="G121" s="376" t="n">
        <f aca="false">5-MOD((ROW()-1),6)+10</f>
        <v>15</v>
      </c>
      <c r="H121" s="376" t="n">
        <f aca="false">5-MOD(INT((ROW()-1)/6),6)+10</f>
        <v>13</v>
      </c>
      <c r="I121" s="376" t="n">
        <f aca="false">5-MOD(INT(INT((ROW()-1)/6)/6),6)+10</f>
        <v>12</v>
      </c>
      <c r="J121" s="484" t="n">
        <f aca="false">SUM(G121:I121)</f>
        <v>40</v>
      </c>
      <c r="L121" s="0" t="n">
        <f aca="false">IF(ISBLANK(M121),,SUM(M121:O121))</f>
        <v>0</v>
      </c>
      <c r="P121" s="0" t="n">
        <f aca="false">IF(ISBLANK(M121),,ROUNDDOWN(($D$5+M121)*($D$6+N121)^0.5*($D$7+O121)^0.5*$D$9^2/10,0))</f>
        <v>0</v>
      </c>
    </row>
    <row r="122" customFormat="false" ht="15.75" hidden="false" customHeight="false" outlineLevel="0" collapsed="false">
      <c r="A122" s="384"/>
      <c r="B122" s="486"/>
      <c r="C122" s="486"/>
      <c r="F122" s="483" t="n">
        <v>122</v>
      </c>
      <c r="G122" s="376" t="n">
        <f aca="false">5-MOD((ROW()-1),6)+10</f>
        <v>14</v>
      </c>
      <c r="H122" s="376" t="n">
        <f aca="false">5-MOD(INT((ROW()-1)/6),6)+10</f>
        <v>13</v>
      </c>
      <c r="I122" s="376" t="n">
        <f aca="false">5-MOD(INT(INT((ROW()-1)/6)/6),6)+10</f>
        <v>12</v>
      </c>
      <c r="J122" s="484" t="n">
        <f aca="false">SUM(G122:I122)</f>
        <v>39</v>
      </c>
      <c r="L122" s="0" t="n">
        <f aca="false">IF(ISBLANK(M122),,SUM(M122:O122))</f>
        <v>0</v>
      </c>
      <c r="P122" s="0" t="n">
        <f aca="false">IF(ISBLANK(M122),,ROUNDDOWN(($D$5+M122)*($D$6+N122)^0.5*($D$7+O122)^0.5*$D$9^2/10,0))</f>
        <v>0</v>
      </c>
    </row>
    <row r="123" customFormat="false" ht="15.75" hidden="false" customHeight="false" outlineLevel="0" collapsed="false">
      <c r="A123" s="384"/>
      <c r="B123" s="486"/>
      <c r="C123" s="486"/>
      <c r="F123" s="483" t="n">
        <v>123</v>
      </c>
      <c r="G123" s="376" t="n">
        <f aca="false">5-MOD((ROW()-1),6)+10</f>
        <v>13</v>
      </c>
      <c r="H123" s="376" t="n">
        <f aca="false">5-MOD(INT((ROW()-1)/6),6)+10</f>
        <v>13</v>
      </c>
      <c r="I123" s="376" t="n">
        <f aca="false">5-MOD(INT(INT((ROW()-1)/6)/6),6)+10</f>
        <v>12</v>
      </c>
      <c r="J123" s="484" t="n">
        <f aca="false">SUM(G123:I123)</f>
        <v>38</v>
      </c>
      <c r="L123" s="0" t="n">
        <f aca="false">IF(ISBLANK(M123),,SUM(M123:O123))</f>
        <v>0</v>
      </c>
      <c r="P123" s="0" t="n">
        <f aca="false">IF(ISBLANK(M123),,ROUNDDOWN(($D$5+M123)*($D$6+N123)^0.5*($D$7+O123)^0.5*$D$9^2/10,0))</f>
        <v>0</v>
      </c>
    </row>
    <row r="124" customFormat="false" ht="15.75" hidden="false" customHeight="false" outlineLevel="0" collapsed="false">
      <c r="A124" s="384"/>
      <c r="B124" s="486"/>
      <c r="C124" s="486"/>
      <c r="F124" s="483" t="n">
        <v>124</v>
      </c>
      <c r="G124" s="376" t="n">
        <f aca="false">5-MOD((ROW()-1),6)+10</f>
        <v>12</v>
      </c>
      <c r="H124" s="376" t="n">
        <f aca="false">5-MOD(INT((ROW()-1)/6),6)+10</f>
        <v>13</v>
      </c>
      <c r="I124" s="376" t="n">
        <f aca="false">5-MOD(INT(INT((ROW()-1)/6)/6),6)+10</f>
        <v>12</v>
      </c>
      <c r="J124" s="484" t="n">
        <f aca="false">SUM(G124:I124)</f>
        <v>37</v>
      </c>
      <c r="L124" s="0" t="n">
        <f aca="false">IF(ISBLANK(M124),,SUM(M124:O124))</f>
        <v>0</v>
      </c>
      <c r="P124" s="0" t="n">
        <f aca="false">IF(ISBLANK(M124),,ROUNDDOWN(($D$5+M124)*($D$6+N124)^0.5*($D$7+O124)^0.5*$D$9^2/10,0))</f>
        <v>0</v>
      </c>
    </row>
    <row r="125" customFormat="false" ht="15.75" hidden="false" customHeight="false" outlineLevel="0" collapsed="false">
      <c r="A125" s="384"/>
      <c r="B125" s="486"/>
      <c r="C125" s="486"/>
      <c r="F125" s="483" t="n">
        <v>125</v>
      </c>
      <c r="G125" s="376" t="n">
        <f aca="false">5-MOD((ROW()-1),6)+10</f>
        <v>11</v>
      </c>
      <c r="H125" s="376" t="n">
        <f aca="false">5-MOD(INT((ROW()-1)/6),6)+10</f>
        <v>13</v>
      </c>
      <c r="I125" s="376" t="n">
        <f aca="false">5-MOD(INT(INT((ROW()-1)/6)/6),6)+10</f>
        <v>12</v>
      </c>
      <c r="J125" s="484" t="n">
        <f aca="false">SUM(G125:I125)</f>
        <v>36</v>
      </c>
      <c r="L125" s="0" t="n">
        <f aca="false">IF(ISBLANK(M125),,SUM(M125:O125))</f>
        <v>0</v>
      </c>
      <c r="P125" s="0" t="n">
        <f aca="false">IF(ISBLANK(M125),,ROUNDDOWN(($D$5+M125)*($D$6+N125)^0.5*($D$7+O125)^0.5*$D$9^2/10,0))</f>
        <v>0</v>
      </c>
    </row>
    <row r="126" customFormat="false" ht="15.75" hidden="false" customHeight="false" outlineLevel="0" collapsed="false">
      <c r="A126" s="384"/>
      <c r="B126" s="486"/>
      <c r="C126" s="486"/>
      <c r="F126" s="483" t="n">
        <v>126</v>
      </c>
      <c r="G126" s="376" t="n">
        <f aca="false">5-MOD((ROW()-1),6)+10</f>
        <v>10</v>
      </c>
      <c r="H126" s="376" t="n">
        <f aca="false">5-MOD(INT((ROW()-1)/6),6)+10</f>
        <v>13</v>
      </c>
      <c r="I126" s="376" t="n">
        <f aca="false">5-MOD(INT(INT((ROW()-1)/6)/6),6)+10</f>
        <v>12</v>
      </c>
      <c r="J126" s="484" t="n">
        <f aca="false">SUM(G126:I126)</f>
        <v>35</v>
      </c>
      <c r="L126" s="0" t="n">
        <f aca="false">IF(ISBLANK(M126),,SUM(M126:O126))</f>
        <v>0</v>
      </c>
      <c r="P126" s="0" t="n">
        <f aca="false">IF(ISBLANK(M126),,ROUNDDOWN(($D$5+M126)*($D$6+N126)^0.5*($D$7+O126)^0.5*$D$9^2/10,0))</f>
        <v>0</v>
      </c>
    </row>
    <row r="127" customFormat="false" ht="15.75" hidden="false" customHeight="false" outlineLevel="0" collapsed="false">
      <c r="A127" s="384"/>
      <c r="B127" s="486"/>
      <c r="C127" s="486"/>
      <c r="F127" s="483" t="n">
        <v>127</v>
      </c>
      <c r="G127" s="376" t="n">
        <f aca="false">5-MOD((ROW()-1),6)+10</f>
        <v>15</v>
      </c>
      <c r="H127" s="376" t="n">
        <f aca="false">5-MOD(INT((ROW()-1)/6),6)+10</f>
        <v>12</v>
      </c>
      <c r="I127" s="376" t="n">
        <f aca="false">5-MOD(INT(INT((ROW()-1)/6)/6),6)+10</f>
        <v>12</v>
      </c>
      <c r="J127" s="484" t="n">
        <f aca="false">SUM(G127:I127)</f>
        <v>39</v>
      </c>
      <c r="L127" s="0" t="n">
        <f aca="false">IF(ISBLANK(M127),,SUM(M127:O127))</f>
        <v>0</v>
      </c>
      <c r="P127" s="0" t="n">
        <f aca="false">IF(ISBLANK(M127),,ROUNDDOWN(($D$5+M127)*($D$6+N127)^0.5*($D$7+O127)^0.5*$D$9^2/10,0))</f>
        <v>0</v>
      </c>
    </row>
    <row r="128" customFormat="false" ht="15.75" hidden="false" customHeight="false" outlineLevel="0" collapsed="false">
      <c r="A128" s="384"/>
      <c r="B128" s="486"/>
      <c r="C128" s="486"/>
      <c r="F128" s="483" t="n">
        <v>128</v>
      </c>
      <c r="G128" s="376" t="n">
        <f aca="false">5-MOD((ROW()-1),6)+10</f>
        <v>14</v>
      </c>
      <c r="H128" s="376" t="n">
        <f aca="false">5-MOD(INT((ROW()-1)/6),6)+10</f>
        <v>12</v>
      </c>
      <c r="I128" s="376" t="n">
        <f aca="false">5-MOD(INT(INT((ROW()-1)/6)/6),6)+10</f>
        <v>12</v>
      </c>
      <c r="J128" s="484" t="n">
        <f aca="false">SUM(G128:I128)</f>
        <v>38</v>
      </c>
      <c r="L128" s="0" t="n">
        <f aca="false">IF(ISBLANK(M128),,SUM(M128:O128))</f>
        <v>0</v>
      </c>
      <c r="P128" s="0" t="n">
        <f aca="false">IF(ISBLANK(M128),,ROUNDDOWN(($D$5+M128)*($D$6+N128)^0.5*($D$7+O128)^0.5*$D$9^2/10,0))</f>
        <v>0</v>
      </c>
    </row>
    <row r="129" customFormat="false" ht="15.75" hidden="false" customHeight="false" outlineLevel="0" collapsed="false">
      <c r="A129" s="384"/>
      <c r="B129" s="486"/>
      <c r="C129" s="486"/>
      <c r="F129" s="483" t="n">
        <v>129</v>
      </c>
      <c r="G129" s="376" t="n">
        <f aca="false">5-MOD((ROW()-1),6)+10</f>
        <v>13</v>
      </c>
      <c r="H129" s="376" t="n">
        <f aca="false">5-MOD(INT((ROW()-1)/6),6)+10</f>
        <v>12</v>
      </c>
      <c r="I129" s="376" t="n">
        <f aca="false">5-MOD(INT(INT((ROW()-1)/6)/6),6)+10</f>
        <v>12</v>
      </c>
      <c r="J129" s="484" t="n">
        <f aca="false">SUM(G129:I129)</f>
        <v>37</v>
      </c>
      <c r="L129" s="0" t="n">
        <f aca="false">IF(ISBLANK(M129),,SUM(M129:O129))</f>
        <v>0</v>
      </c>
      <c r="P129" s="0" t="n">
        <f aca="false">IF(ISBLANK(M129),,ROUNDDOWN(($D$5+M129)*($D$6+N129)^0.5*($D$7+O129)^0.5*$D$9^2/10,0))</f>
        <v>0</v>
      </c>
    </row>
    <row r="130" customFormat="false" ht="15.75" hidden="false" customHeight="false" outlineLevel="0" collapsed="false">
      <c r="A130" s="384"/>
      <c r="B130" s="486"/>
      <c r="C130" s="486"/>
      <c r="F130" s="483" t="n">
        <v>130</v>
      </c>
      <c r="G130" s="376" t="n">
        <f aca="false">5-MOD((ROW()-1),6)+10</f>
        <v>12</v>
      </c>
      <c r="H130" s="376" t="n">
        <f aca="false">5-MOD(INT((ROW()-1)/6),6)+10</f>
        <v>12</v>
      </c>
      <c r="I130" s="376" t="n">
        <f aca="false">5-MOD(INT(INT((ROW()-1)/6)/6),6)+10</f>
        <v>12</v>
      </c>
      <c r="J130" s="484" t="n">
        <f aca="false">SUM(G130:I130)</f>
        <v>36</v>
      </c>
      <c r="L130" s="0" t="n">
        <f aca="false">IF(ISBLANK(M130),,SUM(M130:O130))</f>
        <v>0</v>
      </c>
      <c r="P130" s="0" t="n">
        <f aca="false">IF(ISBLANK(M130),,ROUNDDOWN(($D$5+M130)*($D$6+N130)^0.5*($D$7+O130)^0.5*$D$9^2/10,0))</f>
        <v>0</v>
      </c>
    </row>
    <row r="131" customFormat="false" ht="15.75" hidden="false" customHeight="false" outlineLevel="0" collapsed="false">
      <c r="A131" s="384"/>
      <c r="B131" s="486"/>
      <c r="C131" s="486"/>
      <c r="F131" s="483" t="n">
        <v>131</v>
      </c>
      <c r="G131" s="376" t="n">
        <f aca="false">5-MOD((ROW()-1),6)+10</f>
        <v>11</v>
      </c>
      <c r="H131" s="376" t="n">
        <f aca="false">5-MOD(INT((ROW()-1)/6),6)+10</f>
        <v>12</v>
      </c>
      <c r="I131" s="376" t="n">
        <f aca="false">5-MOD(INT(INT((ROW()-1)/6)/6),6)+10</f>
        <v>12</v>
      </c>
      <c r="J131" s="484" t="n">
        <f aca="false">SUM(G131:I131)</f>
        <v>35</v>
      </c>
      <c r="L131" s="0" t="n">
        <f aca="false">IF(ISBLANK(M131),,SUM(M131:O131))</f>
        <v>0</v>
      </c>
      <c r="P131" s="0" t="n">
        <f aca="false">IF(ISBLANK(M131),,ROUNDDOWN(($D$5+M131)*($D$6+N131)^0.5*($D$7+O131)^0.5*$D$9^2/10,0))</f>
        <v>0</v>
      </c>
    </row>
    <row r="132" customFormat="false" ht="15.75" hidden="false" customHeight="false" outlineLevel="0" collapsed="false">
      <c r="A132" s="384"/>
      <c r="B132" s="486"/>
      <c r="C132" s="486"/>
      <c r="F132" s="483" t="n">
        <v>132</v>
      </c>
      <c r="G132" s="376" t="n">
        <f aca="false">5-MOD((ROW()-1),6)+10</f>
        <v>10</v>
      </c>
      <c r="H132" s="376" t="n">
        <f aca="false">5-MOD(INT((ROW()-1)/6),6)+10</f>
        <v>12</v>
      </c>
      <c r="I132" s="376" t="n">
        <f aca="false">5-MOD(INT(INT((ROW()-1)/6)/6),6)+10</f>
        <v>12</v>
      </c>
      <c r="J132" s="484" t="n">
        <f aca="false">SUM(G132:I132)</f>
        <v>34</v>
      </c>
      <c r="L132" s="0" t="n">
        <f aca="false">IF(ISBLANK(M132),,SUM(M132:O132))</f>
        <v>0</v>
      </c>
      <c r="P132" s="0" t="n">
        <f aca="false">IF(ISBLANK(M132),,ROUNDDOWN(($D$5+M132)*($D$6+N132)^0.5*($D$7+O132)^0.5*$D$9^2/10,0))</f>
        <v>0</v>
      </c>
    </row>
    <row r="133" customFormat="false" ht="15.75" hidden="false" customHeight="false" outlineLevel="0" collapsed="false">
      <c r="A133" s="384"/>
      <c r="B133" s="486"/>
      <c r="C133" s="486"/>
      <c r="F133" s="483" t="n">
        <v>133</v>
      </c>
      <c r="G133" s="376" t="n">
        <f aca="false">5-MOD((ROW()-1),6)+10</f>
        <v>15</v>
      </c>
      <c r="H133" s="376" t="n">
        <f aca="false">5-MOD(INT((ROW()-1)/6),6)+10</f>
        <v>11</v>
      </c>
      <c r="I133" s="376" t="n">
        <f aca="false">5-MOD(INT(INT((ROW()-1)/6)/6),6)+10</f>
        <v>12</v>
      </c>
      <c r="J133" s="484" t="n">
        <f aca="false">SUM(G133:I133)</f>
        <v>38</v>
      </c>
      <c r="L133" s="0" t="n">
        <f aca="false">IF(ISBLANK(M133),,SUM(M133:O133))</f>
        <v>0</v>
      </c>
      <c r="P133" s="0" t="n">
        <f aca="false">IF(ISBLANK(M133),,ROUNDDOWN(($D$5+M133)*($D$6+N133)^0.5*($D$7+O133)^0.5*$D$9^2/10,0))</f>
        <v>0</v>
      </c>
    </row>
    <row r="134" customFormat="false" ht="15.75" hidden="false" customHeight="false" outlineLevel="0" collapsed="false">
      <c r="A134" s="384"/>
      <c r="B134" s="486"/>
      <c r="C134" s="486"/>
      <c r="F134" s="483" t="n">
        <v>134</v>
      </c>
      <c r="G134" s="376" t="n">
        <f aca="false">5-MOD((ROW()-1),6)+10</f>
        <v>14</v>
      </c>
      <c r="H134" s="376" t="n">
        <f aca="false">5-MOD(INT((ROW()-1)/6),6)+10</f>
        <v>11</v>
      </c>
      <c r="I134" s="376" t="n">
        <f aca="false">5-MOD(INT(INT((ROW()-1)/6)/6),6)+10</f>
        <v>12</v>
      </c>
      <c r="J134" s="484" t="n">
        <f aca="false">SUM(G134:I134)</f>
        <v>37</v>
      </c>
      <c r="L134" s="0" t="n">
        <f aca="false">IF(ISBLANK(M134),,SUM(M134:O134))</f>
        <v>0</v>
      </c>
      <c r="P134" s="0" t="n">
        <f aca="false">IF(ISBLANK(M134),,ROUNDDOWN(($D$5+M134)*($D$6+N134)^0.5*($D$7+O134)^0.5*$D$9^2/10,0))</f>
        <v>0</v>
      </c>
    </row>
    <row r="135" customFormat="false" ht="15.75" hidden="false" customHeight="false" outlineLevel="0" collapsed="false">
      <c r="A135" s="384"/>
      <c r="B135" s="486"/>
      <c r="C135" s="486"/>
      <c r="F135" s="483" t="n">
        <v>135</v>
      </c>
      <c r="G135" s="376" t="n">
        <f aca="false">5-MOD((ROW()-1),6)+10</f>
        <v>13</v>
      </c>
      <c r="H135" s="376" t="n">
        <f aca="false">5-MOD(INT((ROW()-1)/6),6)+10</f>
        <v>11</v>
      </c>
      <c r="I135" s="376" t="n">
        <f aca="false">5-MOD(INT(INT((ROW()-1)/6)/6),6)+10</f>
        <v>12</v>
      </c>
      <c r="J135" s="484" t="n">
        <f aca="false">SUM(G135:I135)</f>
        <v>36</v>
      </c>
      <c r="L135" s="0" t="n">
        <f aca="false">IF(ISBLANK(M135),,SUM(M135:O135))</f>
        <v>0</v>
      </c>
      <c r="P135" s="0" t="n">
        <f aca="false">IF(ISBLANK(M135),,ROUNDDOWN(($D$5+M135)*($D$6+N135)^0.5*($D$7+O135)^0.5*$D$9^2/10,0))</f>
        <v>0</v>
      </c>
    </row>
    <row r="136" customFormat="false" ht="15.75" hidden="false" customHeight="false" outlineLevel="0" collapsed="false">
      <c r="A136" s="384"/>
      <c r="B136" s="486"/>
      <c r="C136" s="486"/>
      <c r="F136" s="483" t="n">
        <v>136</v>
      </c>
      <c r="G136" s="376" t="n">
        <f aca="false">5-MOD((ROW()-1),6)+10</f>
        <v>12</v>
      </c>
      <c r="H136" s="376" t="n">
        <f aca="false">5-MOD(INT((ROW()-1)/6),6)+10</f>
        <v>11</v>
      </c>
      <c r="I136" s="376" t="n">
        <f aca="false">5-MOD(INT(INT((ROW()-1)/6)/6),6)+10</f>
        <v>12</v>
      </c>
      <c r="J136" s="484" t="n">
        <f aca="false">SUM(G136:I136)</f>
        <v>35</v>
      </c>
      <c r="L136" s="0" t="n">
        <f aca="false">IF(ISBLANK(M136),,SUM(M136:O136))</f>
        <v>0</v>
      </c>
      <c r="P136" s="0" t="n">
        <f aca="false">IF(ISBLANK(M136),,ROUNDDOWN(($D$5+M136)*($D$6+N136)^0.5*($D$7+O136)^0.5*$D$9^2/10,0))</f>
        <v>0</v>
      </c>
    </row>
    <row r="137" customFormat="false" ht="15.75" hidden="false" customHeight="false" outlineLevel="0" collapsed="false">
      <c r="A137" s="384"/>
      <c r="B137" s="486"/>
      <c r="C137" s="486"/>
      <c r="F137" s="483" t="n">
        <v>137</v>
      </c>
      <c r="G137" s="376" t="n">
        <f aca="false">5-MOD((ROW()-1),6)+10</f>
        <v>11</v>
      </c>
      <c r="H137" s="376" t="n">
        <f aca="false">5-MOD(INT((ROW()-1)/6),6)+10</f>
        <v>11</v>
      </c>
      <c r="I137" s="376" t="n">
        <f aca="false">5-MOD(INT(INT((ROW()-1)/6)/6),6)+10</f>
        <v>12</v>
      </c>
      <c r="J137" s="484" t="n">
        <f aca="false">SUM(G137:I137)</f>
        <v>34</v>
      </c>
      <c r="L137" s="0" t="n">
        <f aca="false">IF(ISBLANK(M137),,SUM(M137:O137))</f>
        <v>0</v>
      </c>
      <c r="P137" s="0" t="n">
        <f aca="false">IF(ISBLANK(M137),,ROUNDDOWN(($D$5+M137)*($D$6+N137)^0.5*($D$7+O137)^0.5*$D$9^2/10,0))</f>
        <v>0</v>
      </c>
    </row>
    <row r="138" customFormat="false" ht="15.75" hidden="false" customHeight="false" outlineLevel="0" collapsed="false">
      <c r="A138" s="384"/>
      <c r="B138" s="486"/>
      <c r="C138" s="486"/>
      <c r="F138" s="483" t="n">
        <v>138</v>
      </c>
      <c r="G138" s="376" t="n">
        <f aca="false">5-MOD((ROW()-1),6)+10</f>
        <v>10</v>
      </c>
      <c r="H138" s="376" t="n">
        <f aca="false">5-MOD(INT((ROW()-1)/6),6)+10</f>
        <v>11</v>
      </c>
      <c r="I138" s="376" t="n">
        <f aca="false">5-MOD(INT(INT((ROW()-1)/6)/6),6)+10</f>
        <v>12</v>
      </c>
      <c r="J138" s="484" t="n">
        <f aca="false">SUM(G138:I138)</f>
        <v>33</v>
      </c>
      <c r="L138" s="0" t="n">
        <f aca="false">IF(ISBLANK(M138),,SUM(M138:O138))</f>
        <v>0</v>
      </c>
      <c r="P138" s="0" t="n">
        <f aca="false">IF(ISBLANK(M138),,ROUNDDOWN(($D$5+M138)*($D$6+N138)^0.5*($D$7+O138)^0.5*$D$9^2/10,0))</f>
        <v>0</v>
      </c>
    </row>
    <row r="139" customFormat="false" ht="15.75" hidden="false" customHeight="false" outlineLevel="0" collapsed="false">
      <c r="A139" s="384"/>
      <c r="B139" s="486"/>
      <c r="C139" s="486"/>
      <c r="F139" s="483" t="n">
        <v>139</v>
      </c>
      <c r="G139" s="376" t="n">
        <f aca="false">5-MOD((ROW()-1),6)+10</f>
        <v>15</v>
      </c>
      <c r="H139" s="376" t="n">
        <f aca="false">5-MOD(INT((ROW()-1)/6),6)+10</f>
        <v>10</v>
      </c>
      <c r="I139" s="376" t="n">
        <f aca="false">5-MOD(INT(INT((ROW()-1)/6)/6),6)+10</f>
        <v>12</v>
      </c>
      <c r="J139" s="484" t="n">
        <f aca="false">SUM(G139:I139)</f>
        <v>37</v>
      </c>
      <c r="L139" s="0" t="n">
        <f aca="false">IF(ISBLANK(M139),,SUM(M139:O139))</f>
        <v>0</v>
      </c>
      <c r="P139" s="0" t="n">
        <f aca="false">IF(ISBLANK(M139),,ROUNDDOWN(($D$5+M139)*($D$6+N139)^0.5*($D$7+O139)^0.5*$D$9^2/10,0))</f>
        <v>0</v>
      </c>
    </row>
    <row r="140" customFormat="false" ht="15.75" hidden="false" customHeight="false" outlineLevel="0" collapsed="false">
      <c r="A140" s="384"/>
      <c r="B140" s="486"/>
      <c r="C140" s="486"/>
      <c r="F140" s="483" t="n">
        <v>140</v>
      </c>
      <c r="G140" s="376" t="n">
        <f aca="false">5-MOD((ROW()-1),6)+10</f>
        <v>14</v>
      </c>
      <c r="H140" s="376" t="n">
        <f aca="false">5-MOD(INT((ROW()-1)/6),6)+10</f>
        <v>10</v>
      </c>
      <c r="I140" s="376" t="n">
        <f aca="false">5-MOD(INT(INT((ROW()-1)/6)/6),6)+10</f>
        <v>12</v>
      </c>
      <c r="J140" s="484" t="n">
        <f aca="false">SUM(G140:I140)</f>
        <v>36</v>
      </c>
      <c r="L140" s="0" t="n">
        <f aca="false">IF(ISBLANK(M140),,SUM(M140:O140))</f>
        <v>0</v>
      </c>
      <c r="P140" s="0" t="n">
        <f aca="false">IF(ISBLANK(M140),,ROUNDDOWN(($D$5+M140)*($D$6+N140)^0.5*($D$7+O140)^0.5*$D$9^2/10,0))</f>
        <v>0</v>
      </c>
    </row>
    <row r="141" customFormat="false" ht="15.75" hidden="false" customHeight="false" outlineLevel="0" collapsed="false">
      <c r="A141" s="384"/>
      <c r="B141" s="486"/>
      <c r="C141" s="486"/>
      <c r="F141" s="483" t="n">
        <v>141</v>
      </c>
      <c r="G141" s="376" t="n">
        <f aca="false">5-MOD((ROW()-1),6)+10</f>
        <v>13</v>
      </c>
      <c r="H141" s="376" t="n">
        <f aca="false">5-MOD(INT((ROW()-1)/6),6)+10</f>
        <v>10</v>
      </c>
      <c r="I141" s="376" t="n">
        <f aca="false">5-MOD(INT(INT((ROW()-1)/6)/6),6)+10</f>
        <v>12</v>
      </c>
      <c r="J141" s="484" t="n">
        <f aca="false">SUM(G141:I141)</f>
        <v>35</v>
      </c>
      <c r="L141" s="0" t="n">
        <f aca="false">IF(ISBLANK(M141),,SUM(M141:O141))</f>
        <v>0</v>
      </c>
      <c r="P141" s="0" t="n">
        <f aca="false">IF(ISBLANK(M141),,ROUNDDOWN(($D$5+M141)*($D$6+N141)^0.5*($D$7+O141)^0.5*$D$9^2/10,0))</f>
        <v>0</v>
      </c>
    </row>
    <row r="142" customFormat="false" ht="15.75" hidden="false" customHeight="false" outlineLevel="0" collapsed="false">
      <c r="A142" s="384"/>
      <c r="B142" s="486"/>
      <c r="C142" s="486"/>
      <c r="F142" s="483" t="n">
        <v>142</v>
      </c>
      <c r="G142" s="376" t="n">
        <f aca="false">5-MOD((ROW()-1),6)+10</f>
        <v>12</v>
      </c>
      <c r="H142" s="376" t="n">
        <f aca="false">5-MOD(INT((ROW()-1)/6),6)+10</f>
        <v>10</v>
      </c>
      <c r="I142" s="376" t="n">
        <f aca="false">5-MOD(INT(INT((ROW()-1)/6)/6),6)+10</f>
        <v>12</v>
      </c>
      <c r="J142" s="484" t="n">
        <f aca="false">SUM(G142:I142)</f>
        <v>34</v>
      </c>
      <c r="L142" s="0" t="n">
        <f aca="false">IF(ISBLANK(M142),,SUM(M142:O142))</f>
        <v>0</v>
      </c>
      <c r="P142" s="0" t="n">
        <f aca="false">IF(ISBLANK(M142),,ROUNDDOWN(($D$5+M142)*($D$6+N142)^0.5*($D$7+O142)^0.5*$D$9^2/10,0))</f>
        <v>0</v>
      </c>
    </row>
    <row r="143" customFormat="false" ht="15.75" hidden="false" customHeight="false" outlineLevel="0" collapsed="false">
      <c r="A143" s="384"/>
      <c r="B143" s="486"/>
      <c r="C143" s="486"/>
      <c r="F143" s="483" t="n">
        <v>143</v>
      </c>
      <c r="G143" s="376" t="n">
        <f aca="false">5-MOD((ROW()-1),6)+10</f>
        <v>11</v>
      </c>
      <c r="H143" s="376" t="n">
        <f aca="false">5-MOD(INT((ROW()-1)/6),6)+10</f>
        <v>10</v>
      </c>
      <c r="I143" s="376" t="n">
        <f aca="false">5-MOD(INT(INT((ROW()-1)/6)/6),6)+10</f>
        <v>12</v>
      </c>
      <c r="J143" s="484" t="n">
        <f aca="false">SUM(G143:I143)</f>
        <v>33</v>
      </c>
      <c r="L143" s="0" t="n">
        <f aca="false">IF(ISBLANK(M143),,SUM(M143:O143))</f>
        <v>0</v>
      </c>
      <c r="P143" s="0" t="n">
        <f aca="false">IF(ISBLANK(M143),,ROUNDDOWN(($D$5+M143)*($D$6+N143)^0.5*($D$7+O143)^0.5*$D$9^2/10,0))</f>
        <v>0</v>
      </c>
    </row>
    <row r="144" customFormat="false" ht="15.75" hidden="false" customHeight="false" outlineLevel="0" collapsed="false">
      <c r="A144" s="384"/>
      <c r="B144" s="486"/>
      <c r="C144" s="486"/>
      <c r="F144" s="483" t="n">
        <v>144</v>
      </c>
      <c r="G144" s="376" t="n">
        <f aca="false">5-MOD((ROW()-1),6)+10</f>
        <v>10</v>
      </c>
      <c r="H144" s="376" t="n">
        <f aca="false">5-MOD(INT((ROW()-1)/6),6)+10</f>
        <v>10</v>
      </c>
      <c r="I144" s="376" t="n">
        <f aca="false">5-MOD(INT(INT((ROW()-1)/6)/6),6)+10</f>
        <v>12</v>
      </c>
      <c r="J144" s="484" t="n">
        <f aca="false">SUM(G144:I144)</f>
        <v>32</v>
      </c>
      <c r="L144" s="0" t="n">
        <f aca="false">IF(ISBLANK(M144),,SUM(M144:O144))</f>
        <v>0</v>
      </c>
      <c r="P144" s="0" t="n">
        <f aca="false">IF(ISBLANK(M144),,ROUNDDOWN(($D$5+M144)*($D$6+N144)^0.5*($D$7+O144)^0.5*$D$9^2/10,0))</f>
        <v>0</v>
      </c>
    </row>
    <row r="145" customFormat="false" ht="15.75" hidden="false" customHeight="false" outlineLevel="0" collapsed="false">
      <c r="A145" s="384"/>
      <c r="B145" s="486"/>
      <c r="C145" s="486"/>
      <c r="F145" s="483" t="n">
        <v>145</v>
      </c>
      <c r="G145" s="376" t="n">
        <f aca="false">5-MOD((ROW()-1),6)+10</f>
        <v>15</v>
      </c>
      <c r="H145" s="376" t="n">
        <f aca="false">5-MOD(INT((ROW()-1)/6),6)+10</f>
        <v>15</v>
      </c>
      <c r="I145" s="376" t="n">
        <f aca="false">5-MOD(INT(INT((ROW()-1)/6)/6),6)+10</f>
        <v>11</v>
      </c>
      <c r="J145" s="484" t="n">
        <f aca="false">SUM(G145:I145)</f>
        <v>41</v>
      </c>
      <c r="L145" s="0" t="n">
        <f aca="false">IF(ISBLANK(M145),,SUM(M145:O145))</f>
        <v>0</v>
      </c>
      <c r="P145" s="0" t="n">
        <f aca="false">IF(ISBLANK(M145),,ROUNDDOWN(($D$5+M145)*($D$6+N145)^0.5*($D$7+O145)^0.5*$D$9^2/10,0))</f>
        <v>0</v>
      </c>
    </row>
    <row r="146" customFormat="false" ht="15.75" hidden="false" customHeight="false" outlineLevel="0" collapsed="false">
      <c r="A146" s="384"/>
      <c r="B146" s="486"/>
      <c r="C146" s="486"/>
      <c r="F146" s="483" t="n">
        <v>146</v>
      </c>
      <c r="G146" s="376" t="n">
        <f aca="false">5-MOD((ROW()-1),6)+10</f>
        <v>14</v>
      </c>
      <c r="H146" s="376" t="n">
        <f aca="false">5-MOD(INT((ROW()-1)/6),6)+10</f>
        <v>15</v>
      </c>
      <c r="I146" s="376" t="n">
        <f aca="false">5-MOD(INT(INT((ROW()-1)/6)/6),6)+10</f>
        <v>11</v>
      </c>
      <c r="J146" s="484" t="n">
        <f aca="false">SUM(G146:I146)</f>
        <v>40</v>
      </c>
      <c r="L146" s="0" t="n">
        <f aca="false">IF(ISBLANK(M146),,SUM(M146:O146))</f>
        <v>0</v>
      </c>
      <c r="P146" s="0" t="n">
        <f aca="false">IF(ISBLANK(M146),,ROUNDDOWN(($D$5+M146)*($D$6+N146)^0.5*($D$7+O146)^0.5*$D$9^2/10,0))</f>
        <v>0</v>
      </c>
    </row>
    <row r="147" customFormat="false" ht="15.75" hidden="false" customHeight="false" outlineLevel="0" collapsed="false">
      <c r="A147" s="384"/>
      <c r="B147" s="486"/>
      <c r="C147" s="486"/>
      <c r="F147" s="483" t="n">
        <v>147</v>
      </c>
      <c r="G147" s="376" t="n">
        <f aca="false">5-MOD((ROW()-1),6)+10</f>
        <v>13</v>
      </c>
      <c r="H147" s="376" t="n">
        <f aca="false">5-MOD(INT((ROW()-1)/6),6)+10</f>
        <v>15</v>
      </c>
      <c r="I147" s="376" t="n">
        <f aca="false">5-MOD(INT(INT((ROW()-1)/6)/6),6)+10</f>
        <v>11</v>
      </c>
      <c r="J147" s="484" t="n">
        <f aca="false">SUM(G147:I147)</f>
        <v>39</v>
      </c>
      <c r="L147" s="0" t="n">
        <f aca="false">IF(ISBLANK(M147),,SUM(M147:O147))</f>
        <v>0</v>
      </c>
      <c r="P147" s="0" t="n">
        <f aca="false">IF(ISBLANK(M147),,ROUNDDOWN(($D$5+M147)*($D$6+N147)^0.5*($D$7+O147)^0.5*$D$9^2/10,0))</f>
        <v>0</v>
      </c>
    </row>
    <row r="148" customFormat="false" ht="15.75" hidden="false" customHeight="false" outlineLevel="0" collapsed="false">
      <c r="A148" s="384"/>
      <c r="B148" s="486"/>
      <c r="C148" s="486"/>
      <c r="F148" s="483" t="n">
        <v>148</v>
      </c>
      <c r="G148" s="376" t="n">
        <f aca="false">5-MOD((ROW()-1),6)+10</f>
        <v>12</v>
      </c>
      <c r="H148" s="376" t="n">
        <f aca="false">5-MOD(INT((ROW()-1)/6),6)+10</f>
        <v>15</v>
      </c>
      <c r="I148" s="376" t="n">
        <f aca="false">5-MOD(INT(INT((ROW()-1)/6)/6),6)+10</f>
        <v>11</v>
      </c>
      <c r="J148" s="484" t="n">
        <f aca="false">SUM(G148:I148)</f>
        <v>38</v>
      </c>
      <c r="L148" s="0" t="n">
        <f aca="false">IF(ISBLANK(M148),,SUM(M148:O148))</f>
        <v>0</v>
      </c>
      <c r="P148" s="0" t="n">
        <f aca="false">IF(ISBLANK(M148),,ROUNDDOWN(($D$5+M148)*($D$6+N148)^0.5*($D$7+O148)^0.5*$D$9^2/10,0))</f>
        <v>0</v>
      </c>
    </row>
    <row r="149" customFormat="false" ht="15.75" hidden="false" customHeight="false" outlineLevel="0" collapsed="false">
      <c r="A149" s="384"/>
      <c r="B149" s="486"/>
      <c r="C149" s="486"/>
      <c r="F149" s="483" t="n">
        <v>149</v>
      </c>
      <c r="G149" s="376" t="n">
        <f aca="false">5-MOD((ROW()-1),6)+10</f>
        <v>11</v>
      </c>
      <c r="H149" s="376" t="n">
        <f aca="false">5-MOD(INT((ROW()-1)/6),6)+10</f>
        <v>15</v>
      </c>
      <c r="I149" s="376" t="n">
        <f aca="false">5-MOD(INT(INT((ROW()-1)/6)/6),6)+10</f>
        <v>11</v>
      </c>
      <c r="J149" s="484" t="n">
        <f aca="false">SUM(G149:I149)</f>
        <v>37</v>
      </c>
      <c r="L149" s="0" t="n">
        <f aca="false">IF(ISBLANK(M149),,SUM(M149:O149))</f>
        <v>0</v>
      </c>
      <c r="P149" s="0" t="n">
        <f aca="false">IF(ISBLANK(M149),,ROUNDDOWN(($D$5+M149)*($D$6+N149)^0.5*($D$7+O149)^0.5*$D$9^2/10,0))</f>
        <v>0</v>
      </c>
    </row>
    <row r="150" customFormat="false" ht="15.75" hidden="false" customHeight="false" outlineLevel="0" collapsed="false">
      <c r="A150" s="384"/>
      <c r="B150" s="486"/>
      <c r="C150" s="486"/>
      <c r="F150" s="483" t="n">
        <v>150</v>
      </c>
      <c r="G150" s="376" t="n">
        <f aca="false">5-MOD((ROW()-1),6)+10</f>
        <v>10</v>
      </c>
      <c r="H150" s="376" t="n">
        <f aca="false">5-MOD(INT((ROW()-1)/6),6)+10</f>
        <v>15</v>
      </c>
      <c r="I150" s="376" t="n">
        <f aca="false">5-MOD(INT(INT((ROW()-1)/6)/6),6)+10</f>
        <v>11</v>
      </c>
      <c r="J150" s="484" t="n">
        <f aca="false">SUM(G150:I150)</f>
        <v>36</v>
      </c>
      <c r="L150" s="0" t="n">
        <f aca="false">IF(ISBLANK(M150),,SUM(M150:O150))</f>
        <v>0</v>
      </c>
      <c r="P150" s="0" t="n">
        <f aca="false">IF(ISBLANK(M150),,ROUNDDOWN(($D$5+M150)*($D$6+N150)^0.5*($D$7+O150)^0.5*$D$9^2/10,0))</f>
        <v>0</v>
      </c>
    </row>
    <row r="151" customFormat="false" ht="15.75" hidden="false" customHeight="false" outlineLevel="0" collapsed="false">
      <c r="A151" s="384"/>
      <c r="B151" s="486"/>
      <c r="C151" s="486"/>
      <c r="F151" s="483" t="n">
        <v>151</v>
      </c>
      <c r="G151" s="376" t="n">
        <f aca="false">5-MOD((ROW()-1),6)+10</f>
        <v>15</v>
      </c>
      <c r="H151" s="376" t="n">
        <f aca="false">5-MOD(INT((ROW()-1)/6),6)+10</f>
        <v>14</v>
      </c>
      <c r="I151" s="376" t="n">
        <f aca="false">5-MOD(INT(INT((ROW()-1)/6)/6),6)+10</f>
        <v>11</v>
      </c>
      <c r="J151" s="484" t="n">
        <f aca="false">SUM(G151:I151)</f>
        <v>40</v>
      </c>
      <c r="L151" s="0" t="n">
        <f aca="false">IF(ISBLANK(M151),,SUM(M151:O151))</f>
        <v>0</v>
      </c>
      <c r="P151" s="0" t="n">
        <f aca="false">IF(ISBLANK(M151),,ROUNDDOWN(($D$5+M151)*($D$6+N151)^0.5*($D$7+O151)^0.5*$D$9^2/10,0))</f>
        <v>0</v>
      </c>
    </row>
    <row r="152" customFormat="false" ht="15.75" hidden="false" customHeight="false" outlineLevel="0" collapsed="false">
      <c r="A152" s="384"/>
      <c r="B152" s="486"/>
      <c r="C152" s="486"/>
      <c r="F152" s="483" t="n">
        <v>152</v>
      </c>
      <c r="G152" s="376" t="n">
        <f aca="false">5-MOD((ROW()-1),6)+10</f>
        <v>14</v>
      </c>
      <c r="H152" s="376" t="n">
        <f aca="false">5-MOD(INT((ROW()-1)/6),6)+10</f>
        <v>14</v>
      </c>
      <c r="I152" s="376" t="n">
        <f aca="false">5-MOD(INT(INT((ROW()-1)/6)/6),6)+10</f>
        <v>11</v>
      </c>
      <c r="J152" s="484" t="n">
        <f aca="false">SUM(G152:I152)</f>
        <v>39</v>
      </c>
      <c r="L152" s="0" t="n">
        <f aca="false">IF(ISBLANK(M152),,SUM(M152:O152))</f>
        <v>0</v>
      </c>
      <c r="P152" s="0" t="n">
        <f aca="false">IF(ISBLANK(M152),,ROUNDDOWN(($D$5+M152)*($D$6+N152)^0.5*($D$7+O152)^0.5*$D$9^2/10,0))</f>
        <v>0</v>
      </c>
    </row>
    <row r="153" customFormat="false" ht="15.75" hidden="false" customHeight="false" outlineLevel="0" collapsed="false">
      <c r="A153" s="384"/>
      <c r="B153" s="486"/>
      <c r="C153" s="486"/>
      <c r="F153" s="483" t="n">
        <v>153</v>
      </c>
      <c r="G153" s="376" t="n">
        <f aca="false">5-MOD((ROW()-1),6)+10</f>
        <v>13</v>
      </c>
      <c r="H153" s="376" t="n">
        <f aca="false">5-MOD(INT((ROW()-1)/6),6)+10</f>
        <v>14</v>
      </c>
      <c r="I153" s="376" t="n">
        <f aca="false">5-MOD(INT(INT((ROW()-1)/6)/6),6)+10</f>
        <v>11</v>
      </c>
      <c r="J153" s="484" t="n">
        <f aca="false">SUM(G153:I153)</f>
        <v>38</v>
      </c>
      <c r="L153" s="0" t="n">
        <f aca="false">IF(ISBLANK(M153),,SUM(M153:O153))</f>
        <v>0</v>
      </c>
      <c r="P153" s="0" t="n">
        <f aca="false">IF(ISBLANK(M153),,ROUNDDOWN(($D$5+M153)*($D$6+N153)^0.5*($D$7+O153)^0.5*$D$9^2/10,0))</f>
        <v>0</v>
      </c>
    </row>
    <row r="154" customFormat="false" ht="15.75" hidden="false" customHeight="false" outlineLevel="0" collapsed="false">
      <c r="A154" s="384"/>
      <c r="B154" s="486"/>
      <c r="C154" s="486"/>
      <c r="F154" s="483" t="n">
        <v>154</v>
      </c>
      <c r="G154" s="376" t="n">
        <f aca="false">5-MOD((ROW()-1),6)+10</f>
        <v>12</v>
      </c>
      <c r="H154" s="376" t="n">
        <f aca="false">5-MOD(INT((ROW()-1)/6),6)+10</f>
        <v>14</v>
      </c>
      <c r="I154" s="376" t="n">
        <f aca="false">5-MOD(INT(INT((ROW()-1)/6)/6),6)+10</f>
        <v>11</v>
      </c>
      <c r="J154" s="484" t="n">
        <f aca="false">SUM(G154:I154)</f>
        <v>37</v>
      </c>
      <c r="L154" s="0" t="n">
        <f aca="false">IF(ISBLANK(M154),,SUM(M154:O154))</f>
        <v>0</v>
      </c>
      <c r="P154" s="0" t="n">
        <f aca="false">IF(ISBLANK(M154),,ROUNDDOWN(($D$5+M154)*($D$6+N154)^0.5*($D$7+O154)^0.5*$D$9^2/10,0))</f>
        <v>0</v>
      </c>
    </row>
    <row r="155" customFormat="false" ht="15.75" hidden="false" customHeight="false" outlineLevel="0" collapsed="false">
      <c r="A155" s="384"/>
      <c r="B155" s="486"/>
      <c r="C155" s="486"/>
      <c r="F155" s="483" t="n">
        <v>155</v>
      </c>
      <c r="G155" s="376" t="n">
        <f aca="false">5-MOD((ROW()-1),6)+10</f>
        <v>11</v>
      </c>
      <c r="H155" s="376" t="n">
        <f aca="false">5-MOD(INT((ROW()-1)/6),6)+10</f>
        <v>14</v>
      </c>
      <c r="I155" s="376" t="n">
        <f aca="false">5-MOD(INT(INT((ROW()-1)/6)/6),6)+10</f>
        <v>11</v>
      </c>
      <c r="J155" s="484" t="n">
        <f aca="false">SUM(G155:I155)</f>
        <v>36</v>
      </c>
      <c r="L155" s="0" t="n">
        <f aca="false">IF(ISBLANK(M155),,SUM(M155:O155))</f>
        <v>0</v>
      </c>
      <c r="P155" s="0" t="n">
        <f aca="false">IF(ISBLANK(M155),,ROUNDDOWN(($D$5+M155)*($D$6+N155)^0.5*($D$7+O155)^0.5*$D$9^2/10,0))</f>
        <v>0</v>
      </c>
    </row>
    <row r="156" customFormat="false" ht="15.75" hidden="false" customHeight="false" outlineLevel="0" collapsed="false">
      <c r="A156" s="384"/>
      <c r="B156" s="486"/>
      <c r="C156" s="486"/>
      <c r="F156" s="483" t="n">
        <v>156</v>
      </c>
      <c r="G156" s="376" t="n">
        <f aca="false">5-MOD((ROW()-1),6)+10</f>
        <v>10</v>
      </c>
      <c r="H156" s="376" t="n">
        <f aca="false">5-MOD(INT((ROW()-1)/6),6)+10</f>
        <v>14</v>
      </c>
      <c r="I156" s="376" t="n">
        <f aca="false">5-MOD(INT(INT((ROW()-1)/6)/6),6)+10</f>
        <v>11</v>
      </c>
      <c r="J156" s="484" t="n">
        <f aca="false">SUM(G156:I156)</f>
        <v>35</v>
      </c>
      <c r="L156" s="0" t="n">
        <f aca="false">IF(ISBLANK(M156),,SUM(M156:O156))</f>
        <v>0</v>
      </c>
      <c r="P156" s="0" t="n">
        <f aca="false">IF(ISBLANK(M156),,ROUNDDOWN(($D$5+M156)*($D$6+N156)^0.5*($D$7+O156)^0.5*$D$9^2/10,0))</f>
        <v>0</v>
      </c>
    </row>
    <row r="157" customFormat="false" ht="15.75" hidden="false" customHeight="false" outlineLevel="0" collapsed="false">
      <c r="A157" s="384"/>
      <c r="B157" s="486"/>
      <c r="C157" s="486"/>
      <c r="F157" s="483" t="n">
        <v>157</v>
      </c>
      <c r="G157" s="376" t="n">
        <f aca="false">5-MOD((ROW()-1),6)+10</f>
        <v>15</v>
      </c>
      <c r="H157" s="376" t="n">
        <f aca="false">5-MOD(INT((ROW()-1)/6),6)+10</f>
        <v>13</v>
      </c>
      <c r="I157" s="376" t="n">
        <f aca="false">5-MOD(INT(INT((ROW()-1)/6)/6),6)+10</f>
        <v>11</v>
      </c>
      <c r="J157" s="484" t="n">
        <f aca="false">SUM(G157:I157)</f>
        <v>39</v>
      </c>
      <c r="L157" s="0" t="n">
        <f aca="false">IF(ISBLANK(M157),,SUM(M157:O157))</f>
        <v>0</v>
      </c>
      <c r="P157" s="0" t="n">
        <f aca="false">IF(ISBLANK(M157),,ROUNDDOWN(($D$5+M157)*($D$6+N157)^0.5*($D$7+O157)^0.5*$D$9^2/10,0))</f>
        <v>0</v>
      </c>
    </row>
    <row r="158" customFormat="false" ht="15.75" hidden="false" customHeight="false" outlineLevel="0" collapsed="false">
      <c r="A158" s="384"/>
      <c r="B158" s="486"/>
      <c r="C158" s="486"/>
      <c r="F158" s="483" t="n">
        <v>158</v>
      </c>
      <c r="G158" s="376" t="n">
        <f aca="false">5-MOD((ROW()-1),6)+10</f>
        <v>14</v>
      </c>
      <c r="H158" s="376" t="n">
        <f aca="false">5-MOD(INT((ROW()-1)/6),6)+10</f>
        <v>13</v>
      </c>
      <c r="I158" s="376" t="n">
        <f aca="false">5-MOD(INT(INT((ROW()-1)/6)/6),6)+10</f>
        <v>11</v>
      </c>
      <c r="J158" s="484" t="n">
        <f aca="false">SUM(G158:I158)</f>
        <v>38</v>
      </c>
      <c r="L158" s="0" t="n">
        <f aca="false">IF(ISBLANK(M158),,SUM(M158:O158))</f>
        <v>0</v>
      </c>
      <c r="P158" s="0" t="n">
        <f aca="false">IF(ISBLANK(M158),,ROUNDDOWN(($D$5+M158)*($D$6+N158)^0.5*($D$7+O158)^0.5*$D$9^2/10,0))</f>
        <v>0</v>
      </c>
    </row>
    <row r="159" customFormat="false" ht="15.75" hidden="false" customHeight="false" outlineLevel="0" collapsed="false">
      <c r="A159" s="384"/>
      <c r="B159" s="486"/>
      <c r="C159" s="486"/>
      <c r="F159" s="483" t="n">
        <v>159</v>
      </c>
      <c r="G159" s="376" t="n">
        <f aca="false">5-MOD((ROW()-1),6)+10</f>
        <v>13</v>
      </c>
      <c r="H159" s="376" t="n">
        <f aca="false">5-MOD(INT((ROW()-1)/6),6)+10</f>
        <v>13</v>
      </c>
      <c r="I159" s="376" t="n">
        <f aca="false">5-MOD(INT(INT((ROW()-1)/6)/6),6)+10</f>
        <v>11</v>
      </c>
      <c r="J159" s="484" t="n">
        <f aca="false">SUM(G159:I159)</f>
        <v>37</v>
      </c>
      <c r="L159" s="0" t="n">
        <f aca="false">IF(ISBLANK(M159),,SUM(M159:O159))</f>
        <v>0</v>
      </c>
      <c r="P159" s="0" t="n">
        <f aca="false">IF(ISBLANK(M159),,ROUNDDOWN(($D$5+M159)*($D$6+N159)^0.5*($D$7+O159)^0.5*$D$9^2/10,0))</f>
        <v>0</v>
      </c>
    </row>
    <row r="160" customFormat="false" ht="15.75" hidden="false" customHeight="false" outlineLevel="0" collapsed="false">
      <c r="A160" s="384"/>
      <c r="B160" s="486"/>
      <c r="C160" s="486"/>
      <c r="F160" s="483" t="n">
        <v>160</v>
      </c>
      <c r="G160" s="376" t="n">
        <f aca="false">5-MOD((ROW()-1),6)+10</f>
        <v>12</v>
      </c>
      <c r="H160" s="376" t="n">
        <f aca="false">5-MOD(INT((ROW()-1)/6),6)+10</f>
        <v>13</v>
      </c>
      <c r="I160" s="376" t="n">
        <f aca="false">5-MOD(INT(INT((ROW()-1)/6)/6),6)+10</f>
        <v>11</v>
      </c>
      <c r="J160" s="484" t="n">
        <f aca="false">SUM(G160:I160)</f>
        <v>36</v>
      </c>
      <c r="L160" s="0" t="n">
        <f aca="false">IF(ISBLANK(M160),,SUM(M160:O160))</f>
        <v>0</v>
      </c>
      <c r="P160" s="0" t="n">
        <f aca="false">IF(ISBLANK(M160),,ROUNDDOWN(($D$5+M160)*($D$6+N160)^0.5*($D$7+O160)^0.5*$D$9^2/10,0))</f>
        <v>0</v>
      </c>
    </row>
    <row r="161" customFormat="false" ht="15.75" hidden="false" customHeight="false" outlineLevel="0" collapsed="false">
      <c r="A161" s="384"/>
      <c r="B161" s="486"/>
      <c r="C161" s="486"/>
      <c r="F161" s="483" t="n">
        <v>161</v>
      </c>
      <c r="G161" s="376" t="n">
        <f aca="false">5-MOD((ROW()-1),6)+10</f>
        <v>11</v>
      </c>
      <c r="H161" s="376" t="n">
        <f aca="false">5-MOD(INT((ROW()-1)/6),6)+10</f>
        <v>13</v>
      </c>
      <c r="I161" s="376" t="n">
        <f aca="false">5-MOD(INT(INT((ROW()-1)/6)/6),6)+10</f>
        <v>11</v>
      </c>
      <c r="J161" s="484" t="n">
        <f aca="false">SUM(G161:I161)</f>
        <v>35</v>
      </c>
      <c r="L161" s="0" t="n">
        <f aca="false">IF(ISBLANK(M161),,SUM(M161:O161))</f>
        <v>0</v>
      </c>
      <c r="P161" s="0" t="n">
        <f aca="false">IF(ISBLANK(M161),,ROUNDDOWN(($D$5+M161)*($D$6+N161)^0.5*($D$7+O161)^0.5*$D$9^2/10,0))</f>
        <v>0</v>
      </c>
    </row>
    <row r="162" customFormat="false" ht="15.75" hidden="false" customHeight="false" outlineLevel="0" collapsed="false">
      <c r="A162" s="384"/>
      <c r="B162" s="486"/>
      <c r="C162" s="486"/>
      <c r="F162" s="483" t="n">
        <v>162</v>
      </c>
      <c r="G162" s="376" t="n">
        <f aca="false">5-MOD((ROW()-1),6)+10</f>
        <v>10</v>
      </c>
      <c r="H162" s="376" t="n">
        <f aca="false">5-MOD(INT((ROW()-1)/6),6)+10</f>
        <v>13</v>
      </c>
      <c r="I162" s="376" t="n">
        <f aca="false">5-MOD(INT(INT((ROW()-1)/6)/6),6)+10</f>
        <v>11</v>
      </c>
      <c r="J162" s="484" t="n">
        <f aca="false">SUM(G162:I162)</f>
        <v>34</v>
      </c>
      <c r="L162" s="0" t="n">
        <f aca="false">IF(ISBLANK(M162),,SUM(M162:O162))</f>
        <v>0</v>
      </c>
      <c r="P162" s="0" t="n">
        <f aca="false">IF(ISBLANK(M162),,ROUNDDOWN(($D$5+M162)*($D$6+N162)^0.5*($D$7+O162)^0.5*$D$9^2/10,0))</f>
        <v>0</v>
      </c>
    </row>
    <row r="163" customFormat="false" ht="15.75" hidden="false" customHeight="false" outlineLevel="0" collapsed="false">
      <c r="A163" s="384"/>
      <c r="B163" s="486"/>
      <c r="C163" s="486"/>
      <c r="F163" s="483" t="n">
        <v>163</v>
      </c>
      <c r="G163" s="376" t="n">
        <f aca="false">5-MOD((ROW()-1),6)+10</f>
        <v>15</v>
      </c>
      <c r="H163" s="376" t="n">
        <f aca="false">5-MOD(INT((ROW()-1)/6),6)+10</f>
        <v>12</v>
      </c>
      <c r="I163" s="376" t="n">
        <f aca="false">5-MOD(INT(INT((ROW()-1)/6)/6),6)+10</f>
        <v>11</v>
      </c>
      <c r="J163" s="484" t="n">
        <f aca="false">SUM(G163:I163)</f>
        <v>38</v>
      </c>
      <c r="L163" s="0" t="n">
        <f aca="false">IF(ISBLANK(M163),,SUM(M163:O163))</f>
        <v>0</v>
      </c>
      <c r="P163" s="0" t="n">
        <f aca="false">IF(ISBLANK(M163),,ROUNDDOWN(($D$5+M163)*($D$6+N163)^0.5*($D$7+O163)^0.5*$D$9^2/10,0))</f>
        <v>0</v>
      </c>
    </row>
    <row r="164" customFormat="false" ht="15.75" hidden="false" customHeight="false" outlineLevel="0" collapsed="false">
      <c r="A164" s="384"/>
      <c r="B164" s="486"/>
      <c r="C164" s="486"/>
      <c r="F164" s="483" t="n">
        <v>164</v>
      </c>
      <c r="G164" s="376" t="n">
        <f aca="false">5-MOD((ROW()-1),6)+10</f>
        <v>14</v>
      </c>
      <c r="H164" s="376" t="n">
        <f aca="false">5-MOD(INT((ROW()-1)/6),6)+10</f>
        <v>12</v>
      </c>
      <c r="I164" s="376" t="n">
        <f aca="false">5-MOD(INT(INT((ROW()-1)/6)/6),6)+10</f>
        <v>11</v>
      </c>
      <c r="J164" s="484" t="n">
        <f aca="false">SUM(G164:I164)</f>
        <v>37</v>
      </c>
      <c r="L164" s="0" t="n">
        <f aca="false">IF(ISBLANK(M164),,SUM(M164:O164))</f>
        <v>0</v>
      </c>
      <c r="P164" s="0" t="n">
        <f aca="false">IF(ISBLANK(M164),,ROUNDDOWN(($D$5+M164)*($D$6+N164)^0.5*($D$7+O164)^0.5*$D$9^2/10,0))</f>
        <v>0</v>
      </c>
    </row>
    <row r="165" customFormat="false" ht="15.75" hidden="false" customHeight="false" outlineLevel="0" collapsed="false">
      <c r="A165" s="384"/>
      <c r="B165" s="486"/>
      <c r="C165" s="486"/>
      <c r="F165" s="483" t="n">
        <v>165</v>
      </c>
      <c r="G165" s="376" t="n">
        <f aca="false">5-MOD((ROW()-1),6)+10</f>
        <v>13</v>
      </c>
      <c r="H165" s="376" t="n">
        <f aca="false">5-MOD(INT((ROW()-1)/6),6)+10</f>
        <v>12</v>
      </c>
      <c r="I165" s="376" t="n">
        <f aca="false">5-MOD(INT(INT((ROW()-1)/6)/6),6)+10</f>
        <v>11</v>
      </c>
      <c r="J165" s="484" t="n">
        <f aca="false">SUM(G165:I165)</f>
        <v>36</v>
      </c>
      <c r="L165" s="0" t="n">
        <f aca="false">IF(ISBLANK(M165),,SUM(M165:O165))</f>
        <v>0</v>
      </c>
      <c r="P165" s="0" t="n">
        <f aca="false">IF(ISBLANK(M165),,ROUNDDOWN(($D$5+M165)*($D$6+N165)^0.5*($D$7+O165)^0.5*$D$9^2/10,0))</f>
        <v>0</v>
      </c>
    </row>
    <row r="166" customFormat="false" ht="15.75" hidden="false" customHeight="false" outlineLevel="0" collapsed="false">
      <c r="A166" s="384"/>
      <c r="B166" s="486"/>
      <c r="C166" s="486"/>
      <c r="F166" s="483" t="n">
        <v>166</v>
      </c>
      <c r="G166" s="376" t="n">
        <f aca="false">5-MOD((ROW()-1),6)+10</f>
        <v>12</v>
      </c>
      <c r="H166" s="376" t="n">
        <f aca="false">5-MOD(INT((ROW()-1)/6),6)+10</f>
        <v>12</v>
      </c>
      <c r="I166" s="376" t="n">
        <f aca="false">5-MOD(INT(INT((ROW()-1)/6)/6),6)+10</f>
        <v>11</v>
      </c>
      <c r="J166" s="484" t="n">
        <f aca="false">SUM(G166:I166)</f>
        <v>35</v>
      </c>
      <c r="L166" s="0" t="n">
        <f aca="false">IF(ISBLANK(M166),,SUM(M166:O166))</f>
        <v>0</v>
      </c>
      <c r="P166" s="0" t="n">
        <f aca="false">IF(ISBLANK(M166),,ROUNDDOWN(($D$5+M166)*($D$6+N166)^0.5*($D$7+O166)^0.5*$D$9^2/10,0))</f>
        <v>0</v>
      </c>
    </row>
    <row r="167" customFormat="false" ht="15.75" hidden="false" customHeight="false" outlineLevel="0" collapsed="false">
      <c r="A167" s="384"/>
      <c r="B167" s="486"/>
      <c r="C167" s="486"/>
      <c r="F167" s="483" t="n">
        <v>167</v>
      </c>
      <c r="G167" s="376" t="n">
        <f aca="false">5-MOD((ROW()-1),6)+10</f>
        <v>11</v>
      </c>
      <c r="H167" s="376" t="n">
        <f aca="false">5-MOD(INT((ROW()-1)/6),6)+10</f>
        <v>12</v>
      </c>
      <c r="I167" s="376" t="n">
        <f aca="false">5-MOD(INT(INT((ROW()-1)/6)/6),6)+10</f>
        <v>11</v>
      </c>
      <c r="J167" s="484" t="n">
        <f aca="false">SUM(G167:I167)</f>
        <v>34</v>
      </c>
      <c r="L167" s="0" t="n">
        <f aca="false">IF(ISBLANK(M167),,SUM(M167:O167))</f>
        <v>0</v>
      </c>
      <c r="P167" s="0" t="n">
        <f aca="false">IF(ISBLANK(M167),,ROUNDDOWN(($D$5+M167)*($D$6+N167)^0.5*($D$7+O167)^0.5*$D$9^2/10,0))</f>
        <v>0</v>
      </c>
    </row>
    <row r="168" customFormat="false" ht="15.75" hidden="false" customHeight="false" outlineLevel="0" collapsed="false">
      <c r="A168" s="384"/>
      <c r="B168" s="486"/>
      <c r="C168" s="486"/>
      <c r="F168" s="483" t="n">
        <v>168</v>
      </c>
      <c r="G168" s="376" t="n">
        <f aca="false">5-MOD((ROW()-1),6)+10</f>
        <v>10</v>
      </c>
      <c r="H168" s="376" t="n">
        <f aca="false">5-MOD(INT((ROW()-1)/6),6)+10</f>
        <v>12</v>
      </c>
      <c r="I168" s="376" t="n">
        <f aca="false">5-MOD(INT(INT((ROW()-1)/6)/6),6)+10</f>
        <v>11</v>
      </c>
      <c r="J168" s="484" t="n">
        <f aca="false">SUM(G168:I168)</f>
        <v>33</v>
      </c>
      <c r="L168" s="0" t="n">
        <f aca="false">IF(ISBLANK(M168),,SUM(M168:O168))</f>
        <v>0</v>
      </c>
      <c r="P168" s="0" t="n">
        <f aca="false">IF(ISBLANK(M168),,ROUNDDOWN(($D$5+M168)*($D$6+N168)^0.5*($D$7+O168)^0.5*$D$9^2/10,0))</f>
        <v>0</v>
      </c>
    </row>
    <row r="169" customFormat="false" ht="15.75" hidden="false" customHeight="false" outlineLevel="0" collapsed="false">
      <c r="A169" s="384"/>
      <c r="B169" s="486"/>
      <c r="C169" s="486"/>
      <c r="F169" s="483" t="n">
        <v>169</v>
      </c>
      <c r="G169" s="376" t="n">
        <f aca="false">5-MOD((ROW()-1),6)+10</f>
        <v>15</v>
      </c>
      <c r="H169" s="376" t="n">
        <f aca="false">5-MOD(INT((ROW()-1)/6),6)+10</f>
        <v>11</v>
      </c>
      <c r="I169" s="376" t="n">
        <f aca="false">5-MOD(INT(INT((ROW()-1)/6)/6),6)+10</f>
        <v>11</v>
      </c>
      <c r="J169" s="484" t="n">
        <f aca="false">SUM(G169:I169)</f>
        <v>37</v>
      </c>
      <c r="L169" s="0" t="n">
        <f aca="false">IF(ISBLANK(M169),,SUM(M169:O169))</f>
        <v>0</v>
      </c>
      <c r="P169" s="0" t="n">
        <f aca="false">IF(ISBLANK(M169),,ROUNDDOWN(($D$5+M169)*($D$6+N169)^0.5*($D$7+O169)^0.5*$D$9^2/10,0))</f>
        <v>0</v>
      </c>
    </row>
    <row r="170" customFormat="false" ht="15.75" hidden="false" customHeight="false" outlineLevel="0" collapsed="false">
      <c r="A170" s="384"/>
      <c r="B170" s="486"/>
      <c r="C170" s="486"/>
      <c r="F170" s="483" t="n">
        <v>170</v>
      </c>
      <c r="G170" s="376" t="n">
        <f aca="false">5-MOD((ROW()-1),6)+10</f>
        <v>14</v>
      </c>
      <c r="H170" s="376" t="n">
        <f aca="false">5-MOD(INT((ROW()-1)/6),6)+10</f>
        <v>11</v>
      </c>
      <c r="I170" s="376" t="n">
        <f aca="false">5-MOD(INT(INT((ROW()-1)/6)/6),6)+10</f>
        <v>11</v>
      </c>
      <c r="J170" s="484" t="n">
        <f aca="false">SUM(G170:I170)</f>
        <v>36</v>
      </c>
      <c r="L170" s="0" t="n">
        <f aca="false">IF(ISBLANK(M170),,SUM(M170:O170))</f>
        <v>0</v>
      </c>
      <c r="P170" s="0" t="n">
        <f aca="false">IF(ISBLANK(M170),,ROUNDDOWN(($D$5+M170)*($D$6+N170)^0.5*($D$7+O170)^0.5*$D$9^2/10,0))</f>
        <v>0</v>
      </c>
    </row>
    <row r="171" customFormat="false" ht="15.75" hidden="false" customHeight="false" outlineLevel="0" collapsed="false">
      <c r="A171" s="384"/>
      <c r="B171" s="486"/>
      <c r="C171" s="486"/>
      <c r="F171" s="483" t="n">
        <v>171</v>
      </c>
      <c r="G171" s="376" t="n">
        <f aca="false">5-MOD((ROW()-1),6)+10</f>
        <v>13</v>
      </c>
      <c r="H171" s="376" t="n">
        <f aca="false">5-MOD(INT((ROW()-1)/6),6)+10</f>
        <v>11</v>
      </c>
      <c r="I171" s="376" t="n">
        <f aca="false">5-MOD(INT(INT((ROW()-1)/6)/6),6)+10</f>
        <v>11</v>
      </c>
      <c r="J171" s="484" t="n">
        <f aca="false">SUM(G171:I171)</f>
        <v>35</v>
      </c>
      <c r="L171" s="0" t="n">
        <f aca="false">IF(ISBLANK(M171),,SUM(M171:O171))</f>
        <v>0</v>
      </c>
      <c r="P171" s="0" t="n">
        <f aca="false">IF(ISBLANK(M171),,ROUNDDOWN(($D$5+M171)*($D$6+N171)^0.5*($D$7+O171)^0.5*$D$9^2/10,0))</f>
        <v>0</v>
      </c>
    </row>
    <row r="172" customFormat="false" ht="15.75" hidden="false" customHeight="false" outlineLevel="0" collapsed="false">
      <c r="A172" s="384"/>
      <c r="B172" s="486"/>
      <c r="C172" s="486"/>
      <c r="F172" s="483" t="n">
        <v>172</v>
      </c>
      <c r="G172" s="376" t="n">
        <f aca="false">5-MOD((ROW()-1),6)+10</f>
        <v>12</v>
      </c>
      <c r="H172" s="376" t="n">
        <f aca="false">5-MOD(INT((ROW()-1)/6),6)+10</f>
        <v>11</v>
      </c>
      <c r="I172" s="376" t="n">
        <f aca="false">5-MOD(INT(INT((ROW()-1)/6)/6),6)+10</f>
        <v>11</v>
      </c>
      <c r="J172" s="484" t="n">
        <f aca="false">SUM(G172:I172)</f>
        <v>34</v>
      </c>
      <c r="L172" s="0" t="n">
        <f aca="false">IF(ISBLANK(M172),,SUM(M172:O172))</f>
        <v>0</v>
      </c>
      <c r="P172" s="0" t="n">
        <f aca="false">IF(ISBLANK(M172),,ROUNDDOWN(($D$5+M172)*($D$6+N172)^0.5*($D$7+O172)^0.5*$D$9^2/10,0))</f>
        <v>0</v>
      </c>
    </row>
    <row r="173" customFormat="false" ht="15.75" hidden="false" customHeight="false" outlineLevel="0" collapsed="false">
      <c r="A173" s="384"/>
      <c r="B173" s="486"/>
      <c r="C173" s="486"/>
      <c r="F173" s="483" t="n">
        <v>173</v>
      </c>
      <c r="G173" s="376" t="n">
        <f aca="false">5-MOD((ROW()-1),6)+10</f>
        <v>11</v>
      </c>
      <c r="H173" s="376" t="n">
        <f aca="false">5-MOD(INT((ROW()-1)/6),6)+10</f>
        <v>11</v>
      </c>
      <c r="I173" s="376" t="n">
        <f aca="false">5-MOD(INT(INT((ROW()-1)/6)/6),6)+10</f>
        <v>11</v>
      </c>
      <c r="J173" s="484" t="n">
        <f aca="false">SUM(G173:I173)</f>
        <v>33</v>
      </c>
      <c r="L173" s="0" t="n">
        <f aca="false">IF(ISBLANK(M173),,SUM(M173:O173))</f>
        <v>0</v>
      </c>
      <c r="P173" s="0" t="n">
        <f aca="false">IF(ISBLANK(M173),,ROUNDDOWN(($D$5+M173)*($D$6+N173)^0.5*($D$7+O173)^0.5*$D$9^2/10,0))</f>
        <v>0</v>
      </c>
    </row>
    <row r="174" customFormat="false" ht="15.75" hidden="false" customHeight="false" outlineLevel="0" collapsed="false">
      <c r="A174" s="384"/>
      <c r="B174" s="486"/>
      <c r="C174" s="486"/>
      <c r="F174" s="483" t="n">
        <v>174</v>
      </c>
      <c r="G174" s="376" t="n">
        <f aca="false">5-MOD((ROW()-1),6)+10</f>
        <v>10</v>
      </c>
      <c r="H174" s="376" t="n">
        <f aca="false">5-MOD(INT((ROW()-1)/6),6)+10</f>
        <v>11</v>
      </c>
      <c r="I174" s="376" t="n">
        <f aca="false">5-MOD(INT(INT((ROW()-1)/6)/6),6)+10</f>
        <v>11</v>
      </c>
      <c r="J174" s="484" t="n">
        <f aca="false">SUM(G174:I174)</f>
        <v>32</v>
      </c>
      <c r="L174" s="0" t="n">
        <f aca="false">IF(ISBLANK(M174),,SUM(M174:O174))</f>
        <v>0</v>
      </c>
      <c r="P174" s="0" t="n">
        <f aca="false">IF(ISBLANK(M174),,ROUNDDOWN(($D$5+M174)*($D$6+N174)^0.5*($D$7+O174)^0.5*$D$9^2/10,0))</f>
        <v>0</v>
      </c>
    </row>
    <row r="175" customFormat="false" ht="15.75" hidden="false" customHeight="false" outlineLevel="0" collapsed="false">
      <c r="A175" s="384"/>
      <c r="B175" s="486"/>
      <c r="C175" s="486"/>
      <c r="F175" s="483" t="n">
        <v>175</v>
      </c>
      <c r="G175" s="376" t="n">
        <f aca="false">5-MOD((ROW()-1),6)+10</f>
        <v>15</v>
      </c>
      <c r="H175" s="376" t="n">
        <f aca="false">5-MOD(INT((ROW()-1)/6),6)+10</f>
        <v>10</v>
      </c>
      <c r="I175" s="376" t="n">
        <f aca="false">5-MOD(INT(INT((ROW()-1)/6)/6),6)+10</f>
        <v>11</v>
      </c>
      <c r="J175" s="484" t="n">
        <f aca="false">SUM(G175:I175)</f>
        <v>36</v>
      </c>
      <c r="L175" s="0" t="n">
        <f aca="false">IF(ISBLANK(M175),,SUM(M175:O175))</f>
        <v>0</v>
      </c>
      <c r="P175" s="0" t="n">
        <f aca="false">IF(ISBLANK(M175),,ROUNDDOWN(($D$5+M175)*($D$6+N175)^0.5*($D$7+O175)^0.5*$D$9^2/10,0))</f>
        <v>0</v>
      </c>
    </row>
    <row r="176" customFormat="false" ht="15.75" hidden="false" customHeight="false" outlineLevel="0" collapsed="false">
      <c r="A176" s="384"/>
      <c r="B176" s="486"/>
      <c r="C176" s="486"/>
      <c r="F176" s="483" t="n">
        <v>176</v>
      </c>
      <c r="G176" s="376" t="n">
        <f aca="false">5-MOD((ROW()-1),6)+10</f>
        <v>14</v>
      </c>
      <c r="H176" s="376" t="n">
        <f aca="false">5-MOD(INT((ROW()-1)/6),6)+10</f>
        <v>10</v>
      </c>
      <c r="I176" s="376" t="n">
        <f aca="false">5-MOD(INT(INT((ROW()-1)/6)/6),6)+10</f>
        <v>11</v>
      </c>
      <c r="J176" s="484" t="n">
        <f aca="false">SUM(G176:I176)</f>
        <v>35</v>
      </c>
      <c r="L176" s="0" t="n">
        <f aca="false">IF(ISBLANK(M176),,SUM(M176:O176))</f>
        <v>0</v>
      </c>
      <c r="P176" s="0" t="n">
        <f aca="false">IF(ISBLANK(M176),,ROUNDDOWN(($D$5+M176)*($D$6+N176)^0.5*($D$7+O176)^0.5*$D$9^2/10,0))</f>
        <v>0</v>
      </c>
    </row>
    <row r="177" customFormat="false" ht="15.75" hidden="false" customHeight="false" outlineLevel="0" collapsed="false">
      <c r="A177" s="384"/>
      <c r="B177" s="486"/>
      <c r="C177" s="486"/>
      <c r="F177" s="483" t="n">
        <v>177</v>
      </c>
      <c r="G177" s="376" t="n">
        <f aca="false">5-MOD((ROW()-1),6)+10</f>
        <v>13</v>
      </c>
      <c r="H177" s="376" t="n">
        <f aca="false">5-MOD(INT((ROW()-1)/6),6)+10</f>
        <v>10</v>
      </c>
      <c r="I177" s="376" t="n">
        <f aca="false">5-MOD(INT(INT((ROW()-1)/6)/6),6)+10</f>
        <v>11</v>
      </c>
      <c r="J177" s="484" t="n">
        <f aca="false">SUM(G177:I177)</f>
        <v>34</v>
      </c>
      <c r="L177" s="0" t="n">
        <f aca="false">IF(ISBLANK(M177),,SUM(M177:O177))</f>
        <v>0</v>
      </c>
      <c r="P177" s="0" t="n">
        <f aca="false">IF(ISBLANK(M177),,ROUNDDOWN(($D$5+M177)*($D$6+N177)^0.5*($D$7+O177)^0.5*$D$9^2/10,0))</f>
        <v>0</v>
      </c>
    </row>
    <row r="178" customFormat="false" ht="15.75" hidden="false" customHeight="false" outlineLevel="0" collapsed="false">
      <c r="A178" s="384"/>
      <c r="B178" s="486"/>
      <c r="C178" s="486"/>
      <c r="F178" s="483" t="n">
        <v>178</v>
      </c>
      <c r="G178" s="376" t="n">
        <f aca="false">5-MOD((ROW()-1),6)+10</f>
        <v>12</v>
      </c>
      <c r="H178" s="376" t="n">
        <f aca="false">5-MOD(INT((ROW()-1)/6),6)+10</f>
        <v>10</v>
      </c>
      <c r="I178" s="376" t="n">
        <f aca="false">5-MOD(INT(INT((ROW()-1)/6)/6),6)+10</f>
        <v>11</v>
      </c>
      <c r="J178" s="484" t="n">
        <f aca="false">SUM(G178:I178)</f>
        <v>33</v>
      </c>
      <c r="L178" s="0" t="n">
        <f aca="false">IF(ISBLANK(M178),,SUM(M178:O178))</f>
        <v>0</v>
      </c>
      <c r="P178" s="0" t="n">
        <f aca="false">IF(ISBLANK(M178),,ROUNDDOWN(($D$5+M178)*($D$6+N178)^0.5*($D$7+O178)^0.5*$D$9^2/10,0))</f>
        <v>0</v>
      </c>
    </row>
    <row r="179" customFormat="false" ht="15.75" hidden="false" customHeight="false" outlineLevel="0" collapsed="false">
      <c r="A179" s="384"/>
      <c r="B179" s="486"/>
      <c r="C179" s="486"/>
      <c r="F179" s="483" t="n">
        <v>179</v>
      </c>
      <c r="G179" s="376" t="n">
        <f aca="false">5-MOD((ROW()-1),6)+10</f>
        <v>11</v>
      </c>
      <c r="H179" s="376" t="n">
        <f aca="false">5-MOD(INT((ROW()-1)/6),6)+10</f>
        <v>10</v>
      </c>
      <c r="I179" s="376" t="n">
        <f aca="false">5-MOD(INT(INT((ROW()-1)/6)/6),6)+10</f>
        <v>11</v>
      </c>
      <c r="J179" s="484" t="n">
        <f aca="false">SUM(G179:I179)</f>
        <v>32</v>
      </c>
      <c r="L179" s="0" t="n">
        <f aca="false">IF(ISBLANK(M179),,SUM(M179:O179))</f>
        <v>0</v>
      </c>
      <c r="P179" s="0" t="n">
        <f aca="false">IF(ISBLANK(M179),,ROUNDDOWN(($D$5+M179)*($D$6+N179)^0.5*($D$7+O179)^0.5*$D$9^2/10,0))</f>
        <v>0</v>
      </c>
    </row>
    <row r="180" customFormat="false" ht="15.75" hidden="false" customHeight="false" outlineLevel="0" collapsed="false">
      <c r="A180" s="384"/>
      <c r="B180" s="486"/>
      <c r="C180" s="486"/>
      <c r="F180" s="483" t="n">
        <v>180</v>
      </c>
      <c r="G180" s="376" t="n">
        <f aca="false">5-MOD((ROW()-1),6)+10</f>
        <v>10</v>
      </c>
      <c r="H180" s="376" t="n">
        <f aca="false">5-MOD(INT((ROW()-1)/6),6)+10</f>
        <v>10</v>
      </c>
      <c r="I180" s="376" t="n">
        <f aca="false">5-MOD(INT(INT((ROW()-1)/6)/6),6)+10</f>
        <v>11</v>
      </c>
      <c r="J180" s="484" t="n">
        <f aca="false">SUM(G180:I180)</f>
        <v>31</v>
      </c>
      <c r="L180" s="0" t="n">
        <f aca="false">IF(ISBLANK(M180),,SUM(M180:O180))</f>
        <v>0</v>
      </c>
      <c r="P180" s="0" t="n">
        <f aca="false">IF(ISBLANK(M180),,ROUNDDOWN(($D$5+M180)*($D$6+N180)^0.5*($D$7+O180)^0.5*$D$9^2/10,0))</f>
        <v>0</v>
      </c>
    </row>
    <row r="181" customFormat="false" ht="15.75" hidden="false" customHeight="false" outlineLevel="0" collapsed="false">
      <c r="A181" s="384"/>
      <c r="B181" s="486"/>
      <c r="C181" s="486"/>
      <c r="F181" s="483" t="n">
        <v>181</v>
      </c>
      <c r="G181" s="376" t="n">
        <f aca="false">5-MOD((ROW()-1),6)+10</f>
        <v>15</v>
      </c>
      <c r="H181" s="376" t="n">
        <f aca="false">5-MOD(INT((ROW()-1)/6),6)+10</f>
        <v>15</v>
      </c>
      <c r="I181" s="376" t="n">
        <f aca="false">5-MOD(INT(INT((ROW()-1)/6)/6),6)+10</f>
        <v>10</v>
      </c>
      <c r="J181" s="484" t="n">
        <f aca="false">SUM(G181:I181)</f>
        <v>40</v>
      </c>
      <c r="L181" s="0" t="n">
        <f aca="false">IF(ISBLANK(M181),,SUM(M181:O181))</f>
        <v>0</v>
      </c>
      <c r="P181" s="0" t="n">
        <f aca="false">IF(ISBLANK(M181),,ROUNDDOWN(($D$5+M181)*($D$6+N181)^0.5*($D$7+O181)^0.5*$D$9^2/10,0))</f>
        <v>0</v>
      </c>
    </row>
    <row r="182" customFormat="false" ht="15.75" hidden="false" customHeight="false" outlineLevel="0" collapsed="false">
      <c r="A182" s="384"/>
      <c r="B182" s="486"/>
      <c r="C182" s="486"/>
      <c r="F182" s="483" t="n">
        <v>182</v>
      </c>
      <c r="G182" s="376" t="n">
        <f aca="false">5-MOD((ROW()-1),6)+10</f>
        <v>14</v>
      </c>
      <c r="H182" s="376" t="n">
        <f aca="false">5-MOD(INT((ROW()-1)/6),6)+10</f>
        <v>15</v>
      </c>
      <c r="I182" s="376" t="n">
        <f aca="false">5-MOD(INT(INT((ROW()-1)/6)/6),6)+10</f>
        <v>10</v>
      </c>
      <c r="J182" s="484" t="n">
        <f aca="false">SUM(G182:I182)</f>
        <v>39</v>
      </c>
      <c r="L182" s="0" t="n">
        <f aca="false">IF(ISBLANK(M182),,SUM(M182:O182))</f>
        <v>0</v>
      </c>
      <c r="P182" s="0" t="n">
        <f aca="false">IF(ISBLANK(M182),,ROUNDDOWN(($D$5+M182)*($D$6+N182)^0.5*($D$7+O182)^0.5*$D$9^2/10,0))</f>
        <v>0</v>
      </c>
    </row>
    <row r="183" customFormat="false" ht="15.75" hidden="false" customHeight="false" outlineLevel="0" collapsed="false">
      <c r="A183" s="384"/>
      <c r="B183" s="486"/>
      <c r="C183" s="486"/>
      <c r="F183" s="483" t="n">
        <v>183</v>
      </c>
      <c r="G183" s="376" t="n">
        <f aca="false">5-MOD((ROW()-1),6)+10</f>
        <v>13</v>
      </c>
      <c r="H183" s="376" t="n">
        <f aca="false">5-MOD(INT((ROW()-1)/6),6)+10</f>
        <v>15</v>
      </c>
      <c r="I183" s="376" t="n">
        <f aca="false">5-MOD(INT(INT((ROW()-1)/6)/6),6)+10</f>
        <v>10</v>
      </c>
      <c r="J183" s="484" t="n">
        <f aca="false">SUM(G183:I183)</f>
        <v>38</v>
      </c>
      <c r="L183" s="0" t="n">
        <f aca="false">IF(ISBLANK(M183),,SUM(M183:O183))</f>
        <v>0</v>
      </c>
      <c r="P183" s="0" t="n">
        <f aca="false">IF(ISBLANK(M183),,ROUNDDOWN(($D$5+M183)*($D$6+N183)^0.5*($D$7+O183)^0.5*$D$9^2/10,0))</f>
        <v>0</v>
      </c>
    </row>
    <row r="184" customFormat="false" ht="15.75" hidden="false" customHeight="false" outlineLevel="0" collapsed="false">
      <c r="A184" s="384"/>
      <c r="B184" s="486"/>
      <c r="C184" s="486"/>
      <c r="F184" s="483" t="n">
        <v>184</v>
      </c>
      <c r="G184" s="376" t="n">
        <f aca="false">5-MOD((ROW()-1),6)+10</f>
        <v>12</v>
      </c>
      <c r="H184" s="376" t="n">
        <f aca="false">5-MOD(INT((ROW()-1)/6),6)+10</f>
        <v>15</v>
      </c>
      <c r="I184" s="376" t="n">
        <f aca="false">5-MOD(INT(INT((ROW()-1)/6)/6),6)+10</f>
        <v>10</v>
      </c>
      <c r="J184" s="484" t="n">
        <f aca="false">SUM(G184:I184)</f>
        <v>37</v>
      </c>
      <c r="L184" s="0" t="n">
        <f aca="false">IF(ISBLANK(M184),,SUM(M184:O184))</f>
        <v>0</v>
      </c>
      <c r="P184" s="0" t="n">
        <f aca="false">IF(ISBLANK(M184),,ROUNDDOWN(($D$5+M184)*($D$6+N184)^0.5*($D$7+O184)^0.5*$D$9^2/10,0))</f>
        <v>0</v>
      </c>
    </row>
    <row r="185" customFormat="false" ht="15.75" hidden="false" customHeight="false" outlineLevel="0" collapsed="false">
      <c r="A185" s="384"/>
      <c r="B185" s="486"/>
      <c r="C185" s="486"/>
      <c r="F185" s="483" t="n">
        <v>185</v>
      </c>
      <c r="G185" s="376" t="n">
        <f aca="false">5-MOD((ROW()-1),6)+10</f>
        <v>11</v>
      </c>
      <c r="H185" s="376" t="n">
        <f aca="false">5-MOD(INT((ROW()-1)/6),6)+10</f>
        <v>15</v>
      </c>
      <c r="I185" s="376" t="n">
        <f aca="false">5-MOD(INT(INT((ROW()-1)/6)/6),6)+10</f>
        <v>10</v>
      </c>
      <c r="J185" s="484" t="n">
        <f aca="false">SUM(G185:I185)</f>
        <v>36</v>
      </c>
      <c r="L185" s="0" t="n">
        <f aca="false">IF(ISBLANK(M185),,SUM(M185:O185))</f>
        <v>0</v>
      </c>
      <c r="P185" s="0" t="n">
        <f aca="false">IF(ISBLANK(M185),,ROUNDDOWN(($D$5+M185)*($D$6+N185)^0.5*($D$7+O185)^0.5*$D$9^2/10,0))</f>
        <v>0</v>
      </c>
    </row>
    <row r="186" customFormat="false" ht="15.75" hidden="false" customHeight="false" outlineLevel="0" collapsed="false">
      <c r="A186" s="384"/>
      <c r="B186" s="486"/>
      <c r="C186" s="486"/>
      <c r="F186" s="483" t="n">
        <v>186</v>
      </c>
      <c r="G186" s="376" t="n">
        <f aca="false">5-MOD((ROW()-1),6)+10</f>
        <v>10</v>
      </c>
      <c r="H186" s="376" t="n">
        <f aca="false">5-MOD(INT((ROW()-1)/6),6)+10</f>
        <v>15</v>
      </c>
      <c r="I186" s="376" t="n">
        <f aca="false">5-MOD(INT(INT((ROW()-1)/6)/6),6)+10</f>
        <v>10</v>
      </c>
      <c r="J186" s="484" t="n">
        <f aca="false">SUM(G186:I186)</f>
        <v>35</v>
      </c>
      <c r="L186" s="0" t="n">
        <f aca="false">IF(ISBLANK(M186),,SUM(M186:O186))</f>
        <v>0</v>
      </c>
      <c r="P186" s="0" t="n">
        <f aca="false">IF(ISBLANK(M186),,ROUNDDOWN(($D$5+M186)*($D$6+N186)^0.5*($D$7+O186)^0.5*$D$9^2/10,0))</f>
        <v>0</v>
      </c>
    </row>
    <row r="187" customFormat="false" ht="15.75" hidden="false" customHeight="false" outlineLevel="0" collapsed="false">
      <c r="A187" s="384"/>
      <c r="B187" s="486"/>
      <c r="C187" s="486"/>
      <c r="F187" s="483" t="n">
        <v>187</v>
      </c>
      <c r="G187" s="376" t="n">
        <f aca="false">5-MOD((ROW()-1),6)+10</f>
        <v>15</v>
      </c>
      <c r="H187" s="376" t="n">
        <f aca="false">5-MOD(INT((ROW()-1)/6),6)+10</f>
        <v>14</v>
      </c>
      <c r="I187" s="376" t="n">
        <f aca="false">5-MOD(INT(INT((ROW()-1)/6)/6),6)+10</f>
        <v>10</v>
      </c>
      <c r="J187" s="484" t="n">
        <f aca="false">SUM(G187:I187)</f>
        <v>39</v>
      </c>
      <c r="L187" s="0" t="n">
        <f aca="false">IF(ISBLANK(M187),,SUM(M187:O187))</f>
        <v>0</v>
      </c>
      <c r="P187" s="0" t="n">
        <f aca="false">IF(ISBLANK(M187),,ROUNDDOWN(($D$5+M187)*($D$6+N187)^0.5*($D$7+O187)^0.5*$D$9^2/10,0))</f>
        <v>0</v>
      </c>
    </row>
    <row r="188" customFormat="false" ht="15.75" hidden="false" customHeight="false" outlineLevel="0" collapsed="false">
      <c r="A188" s="384"/>
      <c r="B188" s="486"/>
      <c r="C188" s="486"/>
      <c r="F188" s="483" t="n">
        <v>188</v>
      </c>
      <c r="G188" s="376" t="n">
        <f aca="false">5-MOD((ROW()-1),6)+10</f>
        <v>14</v>
      </c>
      <c r="H188" s="376" t="n">
        <f aca="false">5-MOD(INT((ROW()-1)/6),6)+10</f>
        <v>14</v>
      </c>
      <c r="I188" s="376" t="n">
        <f aca="false">5-MOD(INT(INT((ROW()-1)/6)/6),6)+10</f>
        <v>10</v>
      </c>
      <c r="J188" s="484" t="n">
        <f aca="false">SUM(G188:I188)</f>
        <v>38</v>
      </c>
      <c r="L188" s="0" t="n">
        <f aca="false">IF(ISBLANK(M188),,SUM(M188:O188))</f>
        <v>0</v>
      </c>
      <c r="P188" s="0" t="n">
        <f aca="false">IF(ISBLANK(M188),,ROUNDDOWN(($D$5+M188)*($D$6+N188)^0.5*($D$7+O188)^0.5*$D$9^2/10,0))</f>
        <v>0</v>
      </c>
    </row>
    <row r="189" customFormat="false" ht="15.75" hidden="false" customHeight="false" outlineLevel="0" collapsed="false">
      <c r="A189" s="384"/>
      <c r="B189" s="486"/>
      <c r="C189" s="486"/>
      <c r="F189" s="483" t="n">
        <v>189</v>
      </c>
      <c r="G189" s="376" t="n">
        <f aca="false">5-MOD((ROW()-1),6)+10</f>
        <v>13</v>
      </c>
      <c r="H189" s="376" t="n">
        <f aca="false">5-MOD(INT((ROW()-1)/6),6)+10</f>
        <v>14</v>
      </c>
      <c r="I189" s="376" t="n">
        <f aca="false">5-MOD(INT(INT((ROW()-1)/6)/6),6)+10</f>
        <v>10</v>
      </c>
      <c r="J189" s="484" t="n">
        <f aca="false">SUM(G189:I189)</f>
        <v>37</v>
      </c>
      <c r="L189" s="0" t="n">
        <f aca="false">IF(ISBLANK(M189),,SUM(M189:O189))</f>
        <v>0</v>
      </c>
      <c r="P189" s="0" t="n">
        <f aca="false">IF(ISBLANK(M189),,ROUNDDOWN(($D$5+M189)*($D$6+N189)^0.5*($D$7+O189)^0.5*$D$9^2/10,0))</f>
        <v>0</v>
      </c>
    </row>
    <row r="190" customFormat="false" ht="15.75" hidden="false" customHeight="false" outlineLevel="0" collapsed="false">
      <c r="A190" s="384"/>
      <c r="B190" s="486"/>
      <c r="C190" s="486"/>
      <c r="F190" s="483" t="n">
        <v>190</v>
      </c>
      <c r="G190" s="376" t="n">
        <f aca="false">5-MOD((ROW()-1),6)+10</f>
        <v>12</v>
      </c>
      <c r="H190" s="376" t="n">
        <f aca="false">5-MOD(INT((ROW()-1)/6),6)+10</f>
        <v>14</v>
      </c>
      <c r="I190" s="376" t="n">
        <f aca="false">5-MOD(INT(INT((ROW()-1)/6)/6),6)+10</f>
        <v>10</v>
      </c>
      <c r="J190" s="484" t="n">
        <f aca="false">SUM(G190:I190)</f>
        <v>36</v>
      </c>
      <c r="L190" s="0" t="n">
        <f aca="false">IF(ISBLANK(M190),,SUM(M190:O190))</f>
        <v>0</v>
      </c>
      <c r="P190" s="0" t="n">
        <f aca="false">IF(ISBLANK(M190),,ROUNDDOWN(($D$5+M190)*($D$6+N190)^0.5*($D$7+O190)^0.5*$D$9^2/10,0))</f>
        <v>0</v>
      </c>
    </row>
    <row r="191" customFormat="false" ht="15.75" hidden="false" customHeight="false" outlineLevel="0" collapsed="false">
      <c r="A191" s="384"/>
      <c r="B191" s="486"/>
      <c r="C191" s="486"/>
      <c r="F191" s="483" t="n">
        <v>191</v>
      </c>
      <c r="G191" s="376" t="n">
        <f aca="false">5-MOD((ROW()-1),6)+10</f>
        <v>11</v>
      </c>
      <c r="H191" s="376" t="n">
        <f aca="false">5-MOD(INT((ROW()-1)/6),6)+10</f>
        <v>14</v>
      </c>
      <c r="I191" s="376" t="n">
        <f aca="false">5-MOD(INT(INT((ROW()-1)/6)/6),6)+10</f>
        <v>10</v>
      </c>
      <c r="J191" s="484" t="n">
        <f aca="false">SUM(G191:I191)</f>
        <v>35</v>
      </c>
      <c r="L191" s="0" t="n">
        <f aca="false">IF(ISBLANK(M191),,SUM(M191:O191))</f>
        <v>0</v>
      </c>
      <c r="P191" s="0" t="n">
        <f aca="false">IF(ISBLANK(M191),,ROUNDDOWN(($D$5+M191)*($D$6+N191)^0.5*($D$7+O191)^0.5*$D$9^2/10,0))</f>
        <v>0</v>
      </c>
    </row>
    <row r="192" customFormat="false" ht="15.75" hidden="false" customHeight="false" outlineLevel="0" collapsed="false">
      <c r="A192" s="384"/>
      <c r="B192" s="486"/>
      <c r="C192" s="486"/>
      <c r="F192" s="483" t="n">
        <v>192</v>
      </c>
      <c r="G192" s="376" t="n">
        <f aca="false">5-MOD((ROW()-1),6)+10</f>
        <v>10</v>
      </c>
      <c r="H192" s="376" t="n">
        <f aca="false">5-MOD(INT((ROW()-1)/6),6)+10</f>
        <v>14</v>
      </c>
      <c r="I192" s="376" t="n">
        <f aca="false">5-MOD(INT(INT((ROW()-1)/6)/6),6)+10</f>
        <v>10</v>
      </c>
      <c r="J192" s="484" t="n">
        <f aca="false">SUM(G192:I192)</f>
        <v>34</v>
      </c>
      <c r="L192" s="0" t="n">
        <f aca="false">IF(ISBLANK(M192),,SUM(M192:O192))</f>
        <v>0</v>
      </c>
      <c r="P192" s="0" t="n">
        <f aca="false">IF(ISBLANK(M192),,ROUNDDOWN(($D$5+M192)*($D$6+N192)^0.5*($D$7+O192)^0.5*$D$9^2/10,0))</f>
        <v>0</v>
      </c>
    </row>
    <row r="193" customFormat="false" ht="15.75" hidden="false" customHeight="false" outlineLevel="0" collapsed="false">
      <c r="A193" s="384"/>
      <c r="B193" s="486"/>
      <c r="C193" s="486"/>
      <c r="F193" s="483" t="n">
        <v>193</v>
      </c>
      <c r="G193" s="376" t="n">
        <f aca="false">5-MOD((ROW()-1),6)+10</f>
        <v>15</v>
      </c>
      <c r="H193" s="376" t="n">
        <f aca="false">5-MOD(INT((ROW()-1)/6),6)+10</f>
        <v>13</v>
      </c>
      <c r="I193" s="376" t="n">
        <f aca="false">5-MOD(INT(INT((ROW()-1)/6)/6),6)+10</f>
        <v>10</v>
      </c>
      <c r="J193" s="484" t="n">
        <f aca="false">SUM(G193:I193)</f>
        <v>38</v>
      </c>
      <c r="L193" s="0" t="n">
        <f aca="false">IF(ISBLANK(M193),,SUM(M193:O193))</f>
        <v>0</v>
      </c>
      <c r="P193" s="0" t="n">
        <f aca="false">IF(ISBLANK(M193),,ROUNDDOWN(($D$5+M193)*($D$6+N193)^0.5*($D$7+O193)^0.5*$D$9^2/10,0))</f>
        <v>0</v>
      </c>
    </row>
    <row r="194" customFormat="false" ht="15.75" hidden="false" customHeight="false" outlineLevel="0" collapsed="false">
      <c r="A194" s="384"/>
      <c r="B194" s="486"/>
      <c r="C194" s="486"/>
      <c r="F194" s="483" t="n">
        <v>194</v>
      </c>
      <c r="G194" s="376" t="n">
        <f aca="false">5-MOD((ROW()-1),6)+10</f>
        <v>14</v>
      </c>
      <c r="H194" s="376" t="n">
        <f aca="false">5-MOD(INT((ROW()-1)/6),6)+10</f>
        <v>13</v>
      </c>
      <c r="I194" s="376" t="n">
        <f aca="false">5-MOD(INT(INT((ROW()-1)/6)/6),6)+10</f>
        <v>10</v>
      </c>
      <c r="J194" s="484" t="n">
        <f aca="false">SUM(G194:I194)</f>
        <v>37</v>
      </c>
      <c r="L194" s="0" t="n">
        <f aca="false">IF(ISBLANK(M194),,SUM(M194:O194))</f>
        <v>0</v>
      </c>
      <c r="P194" s="0" t="n">
        <f aca="false">IF(ISBLANK(M194),,ROUNDDOWN(($D$5+M194)*($D$6+N194)^0.5*($D$7+O194)^0.5*$D$9^2/10,0))</f>
        <v>0</v>
      </c>
    </row>
    <row r="195" customFormat="false" ht="15.75" hidden="false" customHeight="false" outlineLevel="0" collapsed="false">
      <c r="A195" s="384"/>
      <c r="B195" s="486"/>
      <c r="C195" s="486"/>
      <c r="F195" s="483" t="n">
        <v>195</v>
      </c>
      <c r="G195" s="376" t="n">
        <f aca="false">5-MOD((ROW()-1),6)+10</f>
        <v>13</v>
      </c>
      <c r="H195" s="376" t="n">
        <f aca="false">5-MOD(INT((ROW()-1)/6),6)+10</f>
        <v>13</v>
      </c>
      <c r="I195" s="376" t="n">
        <f aca="false">5-MOD(INT(INT((ROW()-1)/6)/6),6)+10</f>
        <v>10</v>
      </c>
      <c r="J195" s="484" t="n">
        <f aca="false">SUM(G195:I195)</f>
        <v>36</v>
      </c>
      <c r="L195" s="0" t="n">
        <f aca="false">IF(ISBLANK(M195),,SUM(M195:O195))</f>
        <v>0</v>
      </c>
      <c r="P195" s="0" t="n">
        <f aca="false">IF(ISBLANK(M195),,ROUNDDOWN(($D$5+M195)*($D$6+N195)^0.5*($D$7+O195)^0.5*$D$9^2/10,0))</f>
        <v>0</v>
      </c>
    </row>
    <row r="196" customFormat="false" ht="15.75" hidden="false" customHeight="false" outlineLevel="0" collapsed="false">
      <c r="A196" s="384"/>
      <c r="B196" s="486"/>
      <c r="C196" s="486"/>
      <c r="F196" s="483" t="n">
        <v>196</v>
      </c>
      <c r="G196" s="376" t="n">
        <f aca="false">5-MOD((ROW()-1),6)+10</f>
        <v>12</v>
      </c>
      <c r="H196" s="376" t="n">
        <f aca="false">5-MOD(INT((ROW()-1)/6),6)+10</f>
        <v>13</v>
      </c>
      <c r="I196" s="376" t="n">
        <f aca="false">5-MOD(INT(INT((ROW()-1)/6)/6),6)+10</f>
        <v>10</v>
      </c>
      <c r="J196" s="484" t="n">
        <f aca="false">SUM(G196:I196)</f>
        <v>35</v>
      </c>
      <c r="L196" s="0" t="n">
        <f aca="false">IF(ISBLANK(M196),,SUM(M196:O196))</f>
        <v>0</v>
      </c>
      <c r="P196" s="0" t="n">
        <f aca="false">IF(ISBLANK(M196),,ROUNDDOWN(($D$5+M196)*($D$6+N196)^0.5*($D$7+O196)^0.5*$D$9^2/10,0))</f>
        <v>0</v>
      </c>
    </row>
    <row r="197" customFormat="false" ht="15.75" hidden="false" customHeight="false" outlineLevel="0" collapsed="false">
      <c r="A197" s="384"/>
      <c r="B197" s="486"/>
      <c r="C197" s="486"/>
      <c r="F197" s="483" t="n">
        <v>197</v>
      </c>
      <c r="G197" s="376" t="n">
        <f aca="false">5-MOD((ROW()-1),6)+10</f>
        <v>11</v>
      </c>
      <c r="H197" s="376" t="n">
        <f aca="false">5-MOD(INT((ROW()-1)/6),6)+10</f>
        <v>13</v>
      </c>
      <c r="I197" s="376" t="n">
        <f aca="false">5-MOD(INT(INT((ROW()-1)/6)/6),6)+10</f>
        <v>10</v>
      </c>
      <c r="J197" s="484" t="n">
        <f aca="false">SUM(G197:I197)</f>
        <v>34</v>
      </c>
      <c r="L197" s="0" t="n">
        <f aca="false">IF(ISBLANK(M197),,SUM(M197:O197))</f>
        <v>0</v>
      </c>
      <c r="P197" s="0" t="n">
        <f aca="false">IF(ISBLANK(M197),,ROUNDDOWN(($D$5+M197)*($D$6+N197)^0.5*($D$7+O197)^0.5*$D$9^2/10,0))</f>
        <v>0</v>
      </c>
    </row>
    <row r="198" customFormat="false" ht="15.75" hidden="false" customHeight="false" outlineLevel="0" collapsed="false">
      <c r="A198" s="384"/>
      <c r="B198" s="486"/>
      <c r="C198" s="486"/>
      <c r="F198" s="483" t="n">
        <v>198</v>
      </c>
      <c r="G198" s="376" t="n">
        <f aca="false">5-MOD((ROW()-1),6)+10</f>
        <v>10</v>
      </c>
      <c r="H198" s="376" t="n">
        <f aca="false">5-MOD(INT((ROW()-1)/6),6)+10</f>
        <v>13</v>
      </c>
      <c r="I198" s="376" t="n">
        <f aca="false">5-MOD(INT(INT((ROW()-1)/6)/6),6)+10</f>
        <v>10</v>
      </c>
      <c r="J198" s="484" t="n">
        <f aca="false">SUM(G198:I198)</f>
        <v>33</v>
      </c>
      <c r="L198" s="0" t="n">
        <f aca="false">IF(ISBLANK(M198),,SUM(M198:O198))</f>
        <v>0</v>
      </c>
      <c r="P198" s="0" t="n">
        <f aca="false">IF(ISBLANK(M198),,ROUNDDOWN(($D$5+M198)*($D$6+N198)^0.5*($D$7+O198)^0.5*$D$9^2/10,0))</f>
        <v>0</v>
      </c>
    </row>
    <row r="199" customFormat="false" ht="15.75" hidden="false" customHeight="false" outlineLevel="0" collapsed="false">
      <c r="A199" s="384"/>
      <c r="B199" s="486"/>
      <c r="C199" s="486"/>
      <c r="F199" s="483" t="n">
        <v>199</v>
      </c>
      <c r="G199" s="376" t="n">
        <f aca="false">5-MOD((ROW()-1),6)+10</f>
        <v>15</v>
      </c>
      <c r="H199" s="376" t="n">
        <f aca="false">5-MOD(INT((ROW()-1)/6),6)+10</f>
        <v>12</v>
      </c>
      <c r="I199" s="376" t="n">
        <f aca="false">5-MOD(INT(INT((ROW()-1)/6)/6),6)+10</f>
        <v>10</v>
      </c>
      <c r="J199" s="484" t="n">
        <f aca="false">SUM(G199:I199)</f>
        <v>37</v>
      </c>
      <c r="L199" s="0" t="n">
        <f aca="false">IF(ISBLANK(M199),,SUM(M199:O199))</f>
        <v>0</v>
      </c>
      <c r="P199" s="0" t="n">
        <f aca="false">IF(ISBLANK(M199),,ROUNDDOWN(($D$5+M199)*($D$6+N199)^0.5*($D$7+O199)^0.5*$D$9^2/10,0))</f>
        <v>0</v>
      </c>
    </row>
    <row r="200" customFormat="false" ht="15.75" hidden="false" customHeight="false" outlineLevel="0" collapsed="false">
      <c r="A200" s="384"/>
      <c r="B200" s="486"/>
      <c r="C200" s="486"/>
      <c r="F200" s="483" t="n">
        <v>200</v>
      </c>
      <c r="G200" s="376" t="n">
        <f aca="false">5-MOD((ROW()-1),6)+10</f>
        <v>14</v>
      </c>
      <c r="H200" s="376" t="n">
        <f aca="false">5-MOD(INT((ROW()-1)/6),6)+10</f>
        <v>12</v>
      </c>
      <c r="I200" s="376" t="n">
        <f aca="false">5-MOD(INT(INT((ROW()-1)/6)/6),6)+10</f>
        <v>10</v>
      </c>
      <c r="J200" s="484" t="n">
        <f aca="false">SUM(G200:I200)</f>
        <v>36</v>
      </c>
      <c r="L200" s="0" t="n">
        <f aca="false">IF(ISBLANK(M200),,SUM(M200:O200))</f>
        <v>0</v>
      </c>
      <c r="P200" s="0" t="n">
        <f aca="false">IF(ISBLANK(M200),,ROUNDDOWN(($D$5+M200)*($D$6+N200)^0.5*($D$7+O200)^0.5*$D$9^2/10,0))</f>
        <v>0</v>
      </c>
    </row>
    <row r="201" customFormat="false" ht="15.75" hidden="false" customHeight="false" outlineLevel="0" collapsed="false">
      <c r="A201" s="384"/>
      <c r="B201" s="486"/>
      <c r="C201" s="486"/>
      <c r="F201" s="483" t="n">
        <v>201</v>
      </c>
      <c r="G201" s="376" t="n">
        <f aca="false">5-MOD((ROW()-1),6)+10</f>
        <v>13</v>
      </c>
      <c r="H201" s="376" t="n">
        <f aca="false">5-MOD(INT((ROW()-1)/6),6)+10</f>
        <v>12</v>
      </c>
      <c r="I201" s="376" t="n">
        <f aca="false">5-MOD(INT(INT((ROW()-1)/6)/6),6)+10</f>
        <v>10</v>
      </c>
      <c r="J201" s="484" t="n">
        <f aca="false">SUM(G201:I201)</f>
        <v>35</v>
      </c>
      <c r="L201" s="0" t="n">
        <f aca="false">IF(ISBLANK(M201),,SUM(M201:O201))</f>
        <v>0</v>
      </c>
      <c r="P201" s="0" t="n">
        <f aca="false">IF(ISBLANK(M201),,ROUNDDOWN(($D$5+M201)*($D$6+N201)^0.5*($D$7+O201)^0.5*$D$9^2/10,0))</f>
        <v>0</v>
      </c>
    </row>
    <row r="202" customFormat="false" ht="15.75" hidden="false" customHeight="false" outlineLevel="0" collapsed="false">
      <c r="A202" s="384"/>
      <c r="B202" s="486"/>
      <c r="C202" s="486"/>
      <c r="F202" s="483" t="n">
        <v>202</v>
      </c>
      <c r="G202" s="376" t="n">
        <f aca="false">5-MOD((ROW()-1),6)+10</f>
        <v>12</v>
      </c>
      <c r="H202" s="376" t="n">
        <f aca="false">5-MOD(INT((ROW()-1)/6),6)+10</f>
        <v>12</v>
      </c>
      <c r="I202" s="376" t="n">
        <f aca="false">5-MOD(INT(INT((ROW()-1)/6)/6),6)+10</f>
        <v>10</v>
      </c>
      <c r="J202" s="484" t="n">
        <f aca="false">SUM(G202:I202)</f>
        <v>34</v>
      </c>
      <c r="L202" s="0" t="n">
        <f aca="false">IF(ISBLANK(M202),,SUM(M202:O202))</f>
        <v>0</v>
      </c>
      <c r="P202" s="0" t="n">
        <f aca="false">IF(ISBLANK(M202),,ROUNDDOWN(($D$5+M202)*($D$6+N202)^0.5*($D$7+O202)^0.5*$D$9^2/10,0))</f>
        <v>0</v>
      </c>
    </row>
    <row r="203" customFormat="false" ht="15.75" hidden="false" customHeight="false" outlineLevel="0" collapsed="false">
      <c r="A203" s="384"/>
      <c r="B203" s="486"/>
      <c r="C203" s="486"/>
      <c r="F203" s="483" t="n">
        <v>203</v>
      </c>
      <c r="G203" s="376" t="n">
        <f aca="false">5-MOD((ROW()-1),6)+10</f>
        <v>11</v>
      </c>
      <c r="H203" s="376" t="n">
        <f aca="false">5-MOD(INT((ROW()-1)/6),6)+10</f>
        <v>12</v>
      </c>
      <c r="I203" s="376" t="n">
        <f aca="false">5-MOD(INT(INT((ROW()-1)/6)/6),6)+10</f>
        <v>10</v>
      </c>
      <c r="J203" s="484" t="n">
        <f aca="false">SUM(G203:I203)</f>
        <v>33</v>
      </c>
      <c r="L203" s="0" t="n">
        <f aca="false">IF(ISBLANK(M203),,SUM(M203:O203))</f>
        <v>0</v>
      </c>
      <c r="P203" s="0" t="n">
        <f aca="false">IF(ISBLANK(M203),,ROUNDDOWN(($D$5+M203)*($D$6+N203)^0.5*($D$7+O203)^0.5*$D$9^2/10,0))</f>
        <v>0</v>
      </c>
    </row>
    <row r="204" customFormat="false" ht="15.75" hidden="false" customHeight="false" outlineLevel="0" collapsed="false">
      <c r="A204" s="384"/>
      <c r="B204" s="486"/>
      <c r="C204" s="486"/>
      <c r="F204" s="483" t="n">
        <v>204</v>
      </c>
      <c r="G204" s="376" t="n">
        <f aca="false">5-MOD((ROW()-1),6)+10</f>
        <v>10</v>
      </c>
      <c r="H204" s="376" t="n">
        <f aca="false">5-MOD(INT((ROW()-1)/6),6)+10</f>
        <v>12</v>
      </c>
      <c r="I204" s="376" t="n">
        <f aca="false">5-MOD(INT(INT((ROW()-1)/6)/6),6)+10</f>
        <v>10</v>
      </c>
      <c r="J204" s="484" t="n">
        <f aca="false">SUM(G204:I204)</f>
        <v>32</v>
      </c>
      <c r="L204" s="0" t="n">
        <f aca="false">IF(ISBLANK(M204),,SUM(M204:O204))</f>
        <v>0</v>
      </c>
      <c r="P204" s="0" t="n">
        <f aca="false">IF(ISBLANK(M204),,ROUNDDOWN(($D$5+M204)*($D$6+N204)^0.5*($D$7+O204)^0.5*$D$9^2/10,0))</f>
        <v>0</v>
      </c>
    </row>
    <row r="205" customFormat="false" ht="15.75" hidden="false" customHeight="false" outlineLevel="0" collapsed="false">
      <c r="A205" s="384"/>
      <c r="B205" s="486"/>
      <c r="C205" s="486"/>
      <c r="F205" s="483" t="n">
        <v>205</v>
      </c>
      <c r="G205" s="376" t="n">
        <f aca="false">5-MOD((ROW()-1),6)+10</f>
        <v>15</v>
      </c>
      <c r="H205" s="376" t="n">
        <f aca="false">5-MOD(INT((ROW()-1)/6),6)+10</f>
        <v>11</v>
      </c>
      <c r="I205" s="376" t="n">
        <f aca="false">5-MOD(INT(INT((ROW()-1)/6)/6),6)+10</f>
        <v>10</v>
      </c>
      <c r="J205" s="484" t="n">
        <f aca="false">SUM(G205:I205)</f>
        <v>36</v>
      </c>
      <c r="L205" s="0" t="n">
        <f aca="false">IF(ISBLANK(M205),,SUM(M205:O205))</f>
        <v>0</v>
      </c>
      <c r="P205" s="0" t="n">
        <f aca="false">IF(ISBLANK(M205),,ROUNDDOWN(($D$5+M205)*($D$6+N205)^0.5*($D$7+O205)^0.5*$D$9^2/10,0))</f>
        <v>0</v>
      </c>
    </row>
    <row r="206" customFormat="false" ht="15.75" hidden="false" customHeight="false" outlineLevel="0" collapsed="false">
      <c r="A206" s="384"/>
      <c r="B206" s="486"/>
      <c r="C206" s="486"/>
      <c r="F206" s="483" t="n">
        <v>206</v>
      </c>
      <c r="G206" s="376" t="n">
        <f aca="false">5-MOD((ROW()-1),6)+10</f>
        <v>14</v>
      </c>
      <c r="H206" s="376" t="n">
        <f aca="false">5-MOD(INT((ROW()-1)/6),6)+10</f>
        <v>11</v>
      </c>
      <c r="I206" s="376" t="n">
        <f aca="false">5-MOD(INT(INT((ROW()-1)/6)/6),6)+10</f>
        <v>10</v>
      </c>
      <c r="J206" s="484" t="n">
        <f aca="false">SUM(G206:I206)</f>
        <v>35</v>
      </c>
      <c r="L206" s="0" t="n">
        <f aca="false">IF(ISBLANK(M206),,SUM(M206:O206))</f>
        <v>0</v>
      </c>
      <c r="P206" s="0" t="n">
        <f aca="false">IF(ISBLANK(M206),,ROUNDDOWN(($D$5+M206)*($D$6+N206)^0.5*($D$7+O206)^0.5*$D$9^2/10,0))</f>
        <v>0</v>
      </c>
    </row>
    <row r="207" customFormat="false" ht="15.75" hidden="false" customHeight="false" outlineLevel="0" collapsed="false">
      <c r="A207" s="384"/>
      <c r="B207" s="486"/>
      <c r="C207" s="486"/>
      <c r="F207" s="483" t="n">
        <v>207</v>
      </c>
      <c r="G207" s="376" t="n">
        <f aca="false">5-MOD((ROW()-1),6)+10</f>
        <v>13</v>
      </c>
      <c r="H207" s="376" t="n">
        <f aca="false">5-MOD(INT((ROW()-1)/6),6)+10</f>
        <v>11</v>
      </c>
      <c r="I207" s="376" t="n">
        <f aca="false">5-MOD(INT(INT((ROW()-1)/6)/6),6)+10</f>
        <v>10</v>
      </c>
      <c r="J207" s="484" t="n">
        <f aca="false">SUM(G207:I207)</f>
        <v>34</v>
      </c>
      <c r="L207" s="0" t="n">
        <f aca="false">IF(ISBLANK(M207),,SUM(M207:O207))</f>
        <v>0</v>
      </c>
      <c r="P207" s="0" t="n">
        <f aca="false">IF(ISBLANK(M207),,ROUNDDOWN(($D$5+M207)*($D$6+N207)^0.5*($D$7+O207)^0.5*$D$9^2/10,0))</f>
        <v>0</v>
      </c>
    </row>
    <row r="208" customFormat="false" ht="15.75" hidden="false" customHeight="false" outlineLevel="0" collapsed="false">
      <c r="A208" s="384"/>
      <c r="B208" s="486"/>
      <c r="C208" s="486"/>
      <c r="F208" s="483" t="n">
        <v>208</v>
      </c>
      <c r="G208" s="376" t="n">
        <f aca="false">5-MOD((ROW()-1),6)+10</f>
        <v>12</v>
      </c>
      <c r="H208" s="376" t="n">
        <f aca="false">5-MOD(INT((ROW()-1)/6),6)+10</f>
        <v>11</v>
      </c>
      <c r="I208" s="376" t="n">
        <f aca="false">5-MOD(INT(INT((ROW()-1)/6)/6),6)+10</f>
        <v>10</v>
      </c>
      <c r="J208" s="484" t="n">
        <f aca="false">SUM(G208:I208)</f>
        <v>33</v>
      </c>
      <c r="L208" s="0" t="n">
        <f aca="false">IF(ISBLANK(M208),,SUM(M208:O208))</f>
        <v>0</v>
      </c>
      <c r="P208" s="0" t="n">
        <f aca="false">IF(ISBLANK(M208),,ROUNDDOWN(($D$5+M208)*($D$6+N208)^0.5*($D$7+O208)^0.5*$D$9^2/10,0))</f>
        <v>0</v>
      </c>
    </row>
    <row r="209" customFormat="false" ht="15.75" hidden="false" customHeight="false" outlineLevel="0" collapsed="false">
      <c r="A209" s="384"/>
      <c r="B209" s="486"/>
      <c r="C209" s="486"/>
      <c r="F209" s="483" t="n">
        <v>209</v>
      </c>
      <c r="G209" s="376" t="n">
        <f aca="false">5-MOD((ROW()-1),6)+10</f>
        <v>11</v>
      </c>
      <c r="H209" s="376" t="n">
        <f aca="false">5-MOD(INT((ROW()-1)/6),6)+10</f>
        <v>11</v>
      </c>
      <c r="I209" s="376" t="n">
        <f aca="false">5-MOD(INT(INT((ROW()-1)/6)/6),6)+10</f>
        <v>10</v>
      </c>
      <c r="J209" s="484" t="n">
        <f aca="false">SUM(G209:I209)</f>
        <v>32</v>
      </c>
      <c r="L209" s="0" t="n">
        <f aca="false">IF(ISBLANK(M209),,SUM(M209:O209))</f>
        <v>0</v>
      </c>
      <c r="P209" s="0" t="n">
        <f aca="false">IF(ISBLANK(M209),,ROUNDDOWN(($D$5+M209)*($D$6+N209)^0.5*($D$7+O209)^0.5*$D$9^2/10,0))</f>
        <v>0</v>
      </c>
    </row>
    <row r="210" customFormat="false" ht="15.75" hidden="false" customHeight="false" outlineLevel="0" collapsed="false">
      <c r="A210" s="384"/>
      <c r="B210" s="486"/>
      <c r="C210" s="486"/>
      <c r="F210" s="483" t="n">
        <v>210</v>
      </c>
      <c r="G210" s="376" t="n">
        <f aca="false">5-MOD((ROW()-1),6)+10</f>
        <v>10</v>
      </c>
      <c r="H210" s="376" t="n">
        <f aca="false">5-MOD(INT((ROW()-1)/6),6)+10</f>
        <v>11</v>
      </c>
      <c r="I210" s="376" t="n">
        <f aca="false">5-MOD(INT(INT((ROW()-1)/6)/6),6)+10</f>
        <v>10</v>
      </c>
      <c r="J210" s="484" t="n">
        <f aca="false">SUM(G210:I210)</f>
        <v>31</v>
      </c>
      <c r="L210" s="0" t="n">
        <f aca="false">IF(ISBLANK(M210),,SUM(M210:O210))</f>
        <v>0</v>
      </c>
      <c r="P210" s="0" t="n">
        <f aca="false">IF(ISBLANK(M210),,ROUNDDOWN(($D$5+M210)*($D$6+N210)^0.5*($D$7+O210)^0.5*$D$9^2/10,0))</f>
        <v>0</v>
      </c>
    </row>
    <row r="211" customFormat="false" ht="15.75" hidden="false" customHeight="false" outlineLevel="0" collapsed="false">
      <c r="A211" s="384"/>
      <c r="B211" s="486"/>
      <c r="C211" s="486"/>
      <c r="F211" s="483" t="n">
        <v>211</v>
      </c>
      <c r="G211" s="376" t="n">
        <f aca="false">5-MOD((ROW()-1),6)+10</f>
        <v>15</v>
      </c>
      <c r="H211" s="376" t="n">
        <f aca="false">5-MOD(INT((ROW()-1)/6),6)+10</f>
        <v>10</v>
      </c>
      <c r="I211" s="376" t="n">
        <f aca="false">5-MOD(INT(INT((ROW()-1)/6)/6),6)+10</f>
        <v>10</v>
      </c>
      <c r="J211" s="484" t="n">
        <f aca="false">SUM(G211:I211)</f>
        <v>35</v>
      </c>
      <c r="L211" s="0" t="n">
        <f aca="false">IF(ISBLANK(M211),,SUM(M211:O211))</f>
        <v>0</v>
      </c>
      <c r="P211" s="0" t="n">
        <f aca="false">IF(ISBLANK(M211),,ROUNDDOWN(($D$5+M211)*($D$6+N211)^0.5*($D$7+O211)^0.5*$D$9^2/10,0))</f>
        <v>0</v>
      </c>
    </row>
    <row r="212" customFormat="false" ht="15.75" hidden="false" customHeight="false" outlineLevel="0" collapsed="false">
      <c r="A212" s="384"/>
      <c r="B212" s="486"/>
      <c r="C212" s="486"/>
      <c r="F212" s="483" t="n">
        <v>212</v>
      </c>
      <c r="G212" s="376" t="n">
        <f aca="false">5-MOD((ROW()-1),6)+10</f>
        <v>14</v>
      </c>
      <c r="H212" s="376" t="n">
        <f aca="false">5-MOD(INT((ROW()-1)/6),6)+10</f>
        <v>10</v>
      </c>
      <c r="I212" s="376" t="n">
        <f aca="false">5-MOD(INT(INT((ROW()-1)/6)/6),6)+10</f>
        <v>10</v>
      </c>
      <c r="J212" s="484" t="n">
        <f aca="false">SUM(G212:I212)</f>
        <v>34</v>
      </c>
      <c r="L212" s="0" t="n">
        <f aca="false">IF(ISBLANK(M212),,SUM(M212:O212))</f>
        <v>0</v>
      </c>
      <c r="P212" s="0" t="n">
        <f aca="false">IF(ISBLANK(M212),,ROUNDDOWN(($D$5+M212)*($D$6+N212)^0.5*($D$7+O212)^0.5*$D$9^2/10,0))</f>
        <v>0</v>
      </c>
    </row>
    <row r="213" customFormat="false" ht="15.75" hidden="false" customHeight="false" outlineLevel="0" collapsed="false">
      <c r="A213" s="384"/>
      <c r="B213" s="486"/>
      <c r="C213" s="486"/>
      <c r="F213" s="483" t="n">
        <v>213</v>
      </c>
      <c r="G213" s="376" t="n">
        <f aca="false">5-MOD((ROW()-1),6)+10</f>
        <v>13</v>
      </c>
      <c r="H213" s="376" t="n">
        <f aca="false">5-MOD(INT((ROW()-1)/6),6)+10</f>
        <v>10</v>
      </c>
      <c r="I213" s="376" t="n">
        <f aca="false">5-MOD(INT(INT((ROW()-1)/6)/6),6)+10</f>
        <v>10</v>
      </c>
      <c r="J213" s="484" t="n">
        <f aca="false">SUM(G213:I213)</f>
        <v>33</v>
      </c>
      <c r="L213" s="0" t="n">
        <f aca="false">IF(ISBLANK(M213),,SUM(M213:O213))</f>
        <v>0</v>
      </c>
      <c r="P213" s="0" t="n">
        <f aca="false">IF(ISBLANK(M213),,ROUNDDOWN(($D$5+M213)*($D$6+N213)^0.5*($D$7+O213)^0.5*$D$9^2/10,0))</f>
        <v>0</v>
      </c>
    </row>
    <row r="214" customFormat="false" ht="15.75" hidden="false" customHeight="false" outlineLevel="0" collapsed="false">
      <c r="A214" s="384"/>
      <c r="B214" s="486"/>
      <c r="C214" s="486"/>
      <c r="F214" s="483" t="n">
        <v>214</v>
      </c>
      <c r="G214" s="376" t="n">
        <f aca="false">5-MOD((ROW()-1),6)+10</f>
        <v>12</v>
      </c>
      <c r="H214" s="376" t="n">
        <f aca="false">5-MOD(INT((ROW()-1)/6),6)+10</f>
        <v>10</v>
      </c>
      <c r="I214" s="376" t="n">
        <f aca="false">5-MOD(INT(INT((ROW()-1)/6)/6),6)+10</f>
        <v>10</v>
      </c>
      <c r="J214" s="484" t="n">
        <f aca="false">SUM(G214:I214)</f>
        <v>32</v>
      </c>
      <c r="L214" s="0" t="n">
        <f aca="false">IF(ISBLANK(M214),,SUM(M214:O214))</f>
        <v>0</v>
      </c>
      <c r="P214" s="0" t="n">
        <f aca="false">IF(ISBLANK(M214),,ROUNDDOWN(($D$5+M214)*($D$6+N214)^0.5*($D$7+O214)^0.5*$D$9^2/10,0))</f>
        <v>0</v>
      </c>
    </row>
    <row r="215" customFormat="false" ht="15.75" hidden="false" customHeight="false" outlineLevel="0" collapsed="false">
      <c r="A215" s="384"/>
      <c r="B215" s="486"/>
      <c r="C215" s="486"/>
      <c r="F215" s="483" t="n">
        <v>215</v>
      </c>
      <c r="G215" s="376" t="n">
        <f aca="false">5-MOD((ROW()-1),6)+10</f>
        <v>11</v>
      </c>
      <c r="H215" s="376" t="n">
        <f aca="false">5-MOD(INT((ROW()-1)/6),6)+10</f>
        <v>10</v>
      </c>
      <c r="I215" s="376" t="n">
        <f aca="false">5-MOD(INT(INT((ROW()-1)/6)/6),6)+10</f>
        <v>10</v>
      </c>
      <c r="J215" s="484" t="n">
        <f aca="false">SUM(G215:I215)</f>
        <v>31</v>
      </c>
      <c r="L215" s="0" t="n">
        <f aca="false">IF(ISBLANK(M215),,SUM(M215:O215))</f>
        <v>0</v>
      </c>
      <c r="P215" s="0" t="n">
        <f aca="false">IF(ISBLANK(M215),,ROUNDDOWN(($D$5+M215)*($D$6+N215)^0.5*($D$7+O215)^0.5*$D$9^2/10,0))</f>
        <v>0</v>
      </c>
    </row>
    <row r="216" customFormat="false" ht="15.75" hidden="false" customHeight="false" outlineLevel="0" collapsed="false">
      <c r="A216" s="384"/>
      <c r="B216" s="486"/>
      <c r="C216" s="486"/>
      <c r="F216" s="483" t="n">
        <v>216</v>
      </c>
      <c r="G216" s="376" t="n">
        <f aca="false">5-MOD((ROW()-1),6)+10</f>
        <v>10</v>
      </c>
      <c r="H216" s="376" t="n">
        <f aca="false">5-MOD(INT((ROW()-1)/6),6)+10</f>
        <v>10</v>
      </c>
      <c r="I216" s="376" t="n">
        <f aca="false">5-MOD(INT(INT((ROW()-1)/6)/6),6)+10</f>
        <v>10</v>
      </c>
      <c r="J216" s="484" t="n">
        <f aca="false">SUM(G216:I216)</f>
        <v>30</v>
      </c>
      <c r="L216" s="0" t="n">
        <f aca="false">IF(ISBLANK(M216),,SUM(M216:O216))</f>
        <v>0</v>
      </c>
      <c r="P216" s="0" t="n">
        <f aca="false">IF(ISBLANK(M216),,ROUNDDOWN(($D$5+M216)*($D$6+N216)^0.5*($D$7+O216)^0.5*$D$9^2/10,0))</f>
        <v>0</v>
      </c>
    </row>
    <row r="1048576" customFormat="false" ht="15.7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9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true" outlineLevel="0" max="4" min="1" style="0" width="5.29"/>
    <col collapsed="false" customWidth="true" hidden="false" outlineLevel="0" max="6" min="5" style="0" width="5.29"/>
    <col collapsed="false" customWidth="true" hidden="false" outlineLevel="0" max="7" min="7" style="0" width="20.43"/>
    <col collapsed="false" customWidth="true" hidden="false" outlineLevel="0" max="19" min="8" style="0" width="14.43"/>
    <col collapsed="false" customWidth="true" hidden="true" outlineLevel="0" max="21" min="20" style="0" width="14.43"/>
    <col collapsed="false" customWidth="true" hidden="false" outlineLevel="0" max="22" min="22" style="0" width="14.43"/>
    <col collapsed="false" customWidth="true" hidden="false" outlineLevel="0" max="25" min="23" style="0" width="16.43"/>
    <col collapsed="false" customWidth="true" hidden="false" outlineLevel="0" max="1025" min="26" style="0" width="14.43"/>
  </cols>
  <sheetData>
    <row r="1" customFormat="false" ht="15.75" hidden="false" customHeight="false" outlineLevel="0" collapsed="false">
      <c r="B1" s="358"/>
      <c r="C1" s="260"/>
      <c r="D1" s="358"/>
      <c r="E1" s="487" t="s">
        <v>2760</v>
      </c>
      <c r="F1" s="487" t="s">
        <v>5</v>
      </c>
      <c r="G1" s="487" t="s">
        <v>203</v>
      </c>
      <c r="H1" s="487" t="s">
        <v>2880</v>
      </c>
      <c r="I1" s="487" t="s">
        <v>213</v>
      </c>
      <c r="J1" s="487" t="s">
        <v>208</v>
      </c>
      <c r="K1" s="487" t="s">
        <v>209</v>
      </c>
      <c r="L1" s="487" t="s">
        <v>2846</v>
      </c>
      <c r="M1" s="487" t="s">
        <v>2896</v>
      </c>
      <c r="N1" s="487"/>
      <c r="O1" s="488"/>
      <c r="P1" s="487"/>
      <c r="Q1" s="489" t="s">
        <v>2897</v>
      </c>
      <c r="R1" s="487" t="s">
        <v>2898</v>
      </c>
      <c r="S1" s="487" t="s">
        <v>2899</v>
      </c>
      <c r="T1" s="487" t="s">
        <v>2900</v>
      </c>
      <c r="U1" s="487" t="s">
        <v>2901</v>
      </c>
      <c r="V1" s="489" t="s">
        <v>2902</v>
      </c>
      <c r="W1" s="487" t="s">
        <v>2903</v>
      </c>
      <c r="X1" s="487" t="s">
        <v>2904</v>
      </c>
      <c r="Y1" s="489" t="s">
        <v>2905</v>
      </c>
      <c r="Z1" s="487" t="s">
        <v>2906</v>
      </c>
      <c r="AA1" s="487" t="s">
        <v>2907</v>
      </c>
      <c r="AB1" s="488"/>
      <c r="AC1" s="487" t="s">
        <v>4</v>
      </c>
    </row>
    <row r="2" customFormat="false" ht="15.75" hidden="false" customHeight="false" outlineLevel="0" collapsed="false">
      <c r="A2" s="260" t="str">
        <f aca="false">IFERROR(__xludf.dummyfunction("CONCATENATE(FILTER('3.0.0 Reverse Search Helper'!$AC$2:$AC951,NOT(ISBLANK('3.0.0 Reverse Search Helper'!$AC$2:$AC951))))"),"Fearow, Rapidash, Dunsparce, ")</f>
        <v>Fearow, Rapidash, Dunsparce,</v>
      </c>
      <c r="B2" s="367"/>
      <c r="C2" s="260" t="n">
        <f aca="false">IF('Reverse Search'!E19="might be able to",3,IF('Reverse Search'!E19="could",2,1))</f>
        <v>1</v>
      </c>
      <c r="D2" s="358" t="n">
        <f aca="false">IF('Reverse Search'!J19="might be able to",3,IF('Reverse Search'!J19="could",2,1))</f>
        <v>1</v>
      </c>
      <c r="E2" s="260" t="n">
        <v>1</v>
      </c>
      <c r="F2" s="260" t="n">
        <f aca="false" t="array" ref="F2:F2">INDEX('0.0.1 Pokémon Dex Data'!$H$3:$H951,MATCH(E2,'0.0.1 Pokémon Dex Data'!$B$3:$B951,0))</f>
        <v>0</v>
      </c>
      <c r="G2" s="0" t="str">
        <f aca="false" t="array" ref="G2:G2">INDEX('0.0.1 Pokémon Dex Data'!$E$3:$E951,MATCH(E2,'0.0.1 Pokémon Dex Data'!$B$3:$B951,0))</f>
        <v>Bulbasaur</v>
      </c>
      <c r="H2" s="0" t="str">
        <f aca="false" t="array" ref="H2:H2">INDEX('0.0.1 Pokémon Dex Data'!$Q$3:$Q951,MATCH(E2,'0.0.1 Pokémon Dex Data'!$B$3:$B951,0))</f>
        <v>Grass</v>
      </c>
      <c r="I2" s="0" t="str">
        <f aca="false" t="array" ref="I2:I2">INDEX('0.0.1 Pokémon Dex Data'!$R$3:$R951,MATCH(E2,'0.0.1 Pokémon Dex Data'!$B$3:$B951,0))</f>
        <v>Poison</v>
      </c>
      <c r="J2" s="260" t="n">
        <f aca="false" t="array" ref="J2:J2">ROUND(INDEX('0.0.1 Pokémon Dex Data'!$S$3:$S951,MATCH($E2,'0.0.1 Pokémon Dex Data'!$B$3:$B951,0))*INDEX('0.0.1 Pokémon Dex Data'!T$3:T951,MATCH($E2,'0.0.1 Pokémon Dex Data'!$B$3:$B951,0)),0)</f>
        <v>118</v>
      </c>
      <c r="K2" s="260" t="n">
        <f aca="false" t="array" ref="K2:K2">ROUND(INDEX('0.0.1 Pokémon Dex Data'!$S$3:$S951,MATCH($E2,'0.0.1 Pokémon Dex Data'!$B$3:$B951,0))*INDEX('0.0.1 Pokémon Dex Data'!U$3:U951,MATCH($E2,'0.0.1 Pokémon Dex Data'!$B$3:$B951,0)),0)</f>
        <v>111</v>
      </c>
      <c r="L2" s="260" t="n">
        <f aca="false" t="array" ref="L2:L2">ROUND(INDEX('0.0.1 Pokémon Dex Data'!$S$3:$S951,MATCH($E2,'0.0.1 Pokémon Dex Data'!$B$3:$B951,0))*INDEX('0.0.1 Pokémon Dex Data'!V$3:V951,MATCH($E2,'0.0.1 Pokémon Dex Data'!$B$3:$B951,0)),0)</f>
        <v>128</v>
      </c>
      <c r="M2" s="260" t="n">
        <f aca="false" t="array" ref="M2:M2">INDEX('0.0.1 Pokémon Dex Data'!$J$3:$J951,MATCH(E2,'0.0.1 Pokémon Dex Data'!$B$3:$B951,0))</f>
        <v>0</v>
      </c>
      <c r="O2" s="490"/>
      <c r="Q2" s="367" t="n">
        <f aca="false">IF('Reverse Search'!$F$4="All (including temporary formes)",1,IF('Reverse Search'!$F$4="Base Pokémon and permanent formes only",IF(F2&lt;=1,1,0),IF(F2=0,1,0)))</f>
        <v>1</v>
      </c>
      <c r="R2" s="0" t="n">
        <f aca="false">IF('Reverse Search'!$C$7="Disable",1,IF('Reverse Search'!$D$9="Disable",1,IF(OR('Reverse Search'!$F$9=H2,'Reverse Search'!$F$9=I2),1,0)))</f>
        <v>1</v>
      </c>
      <c r="S2" s="0" t="n">
        <f aca="false">IF('Reverse Search'!$C$7="Disable",1,IF('Reverse Search'!$D$10="Disable",1,IF(OR('Reverse Search'!$F$10=H2,'Reverse Search'!$F$10=I2),1,0)))</f>
        <v>1</v>
      </c>
      <c r="T2" s="0" t="n">
        <f aca="false">INDEX($B$4:$B$22,MATCH(H2,$A$4:$A$22,0))</f>
        <v>1</v>
      </c>
      <c r="U2" s="0" t="n">
        <f aca="false">IF(ISBLANK(I2),1,INDEX($B$4:$B$22,MATCH(I2,$A$4:$A$22,0)))</f>
        <v>1</v>
      </c>
      <c r="V2" s="367" t="n">
        <f aca="false">IF('Reverse Search'!$C$7="Disable",1,IF('Reverse Search'!$D$11="Disable",1,IF('Reverse Search'!$E$11="Neutral to:",IF(ROUND(T2*U2,2)&lt;=1,1,0),IF(ROUND(T2*U2,2)&lt;1,1,0))))</f>
        <v>1</v>
      </c>
      <c r="W2" s="0" t="n">
        <f aca="false">IF('Reverse Search'!$N$7="Disable",1,IF('Reverse Search'!$I$9="Disable",1,IF('Reverse Search'!$K$9="≥",IF(J2&gt;='Reverse Search'!$L$9,1,0),IF('Reverse Search'!$K$9="≤",IF(J2&lt;='Reverse Search'!$L$9,1,0),IF(J2='Reverse Search'!$L$9,1,0)))))</f>
        <v>1</v>
      </c>
      <c r="X2" s="0" t="n">
        <f aca="false">IF('Reverse Search'!$N$7="Disable",1,IF('Reverse Search'!$I$10="Disable",1,IF('Reverse Search'!$K$10="≥",IF(K2&gt;='Reverse Search'!$L$10,1,0),IF('Reverse Search'!$K$10="≤",IF(K2&lt;='Reverse Search'!$L$10,1,0),IF(K2='Reverse Search'!$L$10,1,0)))))</f>
        <v>1</v>
      </c>
      <c r="Y2" s="367" t="n">
        <f aca="false">IF('Reverse Search'!$N$7="Disable",1,IF('Reverse Search'!$I$11="Disable",1,IF('Reverse Search'!$K$11="≥",IF(L2&gt;='Reverse Search'!$L$11,1,0),IF('Reverse Search'!$K$11="≤",IF(L2&lt;='Reverse Search'!$L$11,1,0),IF(L2='Reverse Search'!$L$11,1,0)))))</f>
        <v>1</v>
      </c>
      <c r="Z2" s="0" t="n">
        <f aca="true">IF('Reverse Search'!$C$14="Disable",1,IF('Reverse Search'!$D$16="Disable",1,IF($C$2=3,IF($M2=0,0,COUNTIF(INDIRECT("'0.0.2 Pokémon Learnset (Core)'!$D$"&amp;MATCH($E2,'0.0.2 Pokémon Learnset (Core)'!$A$1:$A951,0)&amp;":$FK$"&amp;MATCH($E2,'0.0.2 Pokémon Learnset (Core)'!$A$1:$A951,0)),'Reverse Search'!$E$21)),IF($C$2=2,COUNTIF(INDIRECT("'0.1.1 Pokémon GO Moves'!$B$"&amp;MATCH($E2,'0.1.1 Pokémon GO Moves'!$A$1:$A951,0)&amp;":$R$"&amp;MATCH($E2,'0.1.1 Pokémon GO Moves'!$A$1:$A951,0)),'Reverse Search'!$E$21),COUNTIF(INDIRECT("'0.1.1 Pokémon GO Moves'!$B$"&amp;MATCH($E2,'0.1.1 Pokémon GO Moves'!$A$1:$A951,0)&amp;":$L$"&amp;MATCH($E2,'0.1.1 Pokémon GO Moves'!$A$1:$A951,0)),'Reverse Search'!$E$21)))))</f>
        <v>1</v>
      </c>
      <c r="AA2" s="0" t="n">
        <f aca="true">IF('Reverse Search'!$C$14="Disable",1,IF('Reverse Search'!$I$16="Disable",1,IF($D$2=3,IF($M2=0,0,COUNTIF(INDIRECT("'0.0.2 Pokémon Learnset (Core)'!$D$"&amp;MATCH($E2,'0.0.2 Pokémon Learnset (Core)'!$A$1:$A951,0)&amp;":$FK$"&amp;MATCH($E2,'0.0.2 Pokémon Learnset (Core)'!$A$1:$A951,0)),'Reverse Search'!$J$21)),IF($D$2=2,COUNTIF(INDIRECT("'0.1.1 Pokémon GO Moves'!$B$"&amp;MATCH($E2,'0.1.1 Pokémon GO Moves'!$A$1:$A951,0)&amp;":$R$"&amp;MATCH($E2,'0.1.1 Pokémon GO Moves'!$A$1:$A951,0)),'Reverse Search'!$J$21),COUNTIF(INDIRECT("'0.1.1 Pokémon GO Moves'!$B$"&amp;MATCH($E2,'0.1.1 Pokémon GO Moves'!$A$1:$A951,0)&amp;":$L$"&amp;MATCH($E2,'0.1.1 Pokémon GO Moves'!$A$1:$A951,0)),'Reverse Search'!$J$21)))))</f>
        <v>0</v>
      </c>
      <c r="AB2" s="491"/>
      <c r="AC2" s="260" t="n">
        <f aca="false">IF((Q2+R2+S2+V2+W2+X2+Y2+IF(Z2&gt;=1,1,0)+IF(AA2&gt;=1,1,0))=9,G2&amp;", ",)</f>
        <v>0</v>
      </c>
    </row>
    <row r="3" customFormat="false" ht="15.75" hidden="false" customHeight="false" outlineLevel="0" collapsed="false">
      <c r="A3" s="260"/>
      <c r="B3" s="358" t="str">
        <f aca="false">UPPER('Reverse Search'!F11)</f>
        <v>NORMAL</v>
      </c>
      <c r="C3" s="260" t="str">
        <f aca="false">IFERROR(__xludf.dummyfunction("FILTER('0.1.2 Attack Dex (GO)'!A2:A951,'0.1.2 Attack Dex (GO)'!C2:C951=""Fast"")"),"Acid")</f>
        <v>Acid</v>
      </c>
      <c r="D3" s="358" t="str">
        <f aca="false">IFERROR(__xludf.dummyfunction("FILTER('0.1.2 Attack Dex (GO)'!A2:A951,'0.1.2 Attack Dex (GO)'!C2:C951=""Charge"")"),"Aerial Ace")</f>
        <v>Aerial Ace</v>
      </c>
      <c r="E3" s="260" t="n">
        <v>2</v>
      </c>
      <c r="F3" s="260" t="n">
        <f aca="false" t="array" ref="F3:F3">INDEX('0.0.1 Pokémon Dex Data'!$H$3:$H951,MATCH(E3,'0.0.1 Pokémon Dex Data'!$B$3:$B951,0))</f>
        <v>0</v>
      </c>
      <c r="G3" s="0" t="str">
        <f aca="false" t="array" ref="G3:G3">INDEX('0.0.1 Pokémon Dex Data'!$E$3:$E951,MATCH(E3,'0.0.1 Pokémon Dex Data'!$B$3:$B951,0))</f>
        <v>Ivysaur</v>
      </c>
      <c r="H3" s="0" t="str">
        <f aca="false" t="array" ref="H3:H3">INDEX('0.0.1 Pokémon Dex Data'!$Q$3:$Q951,MATCH(E3,'0.0.1 Pokémon Dex Data'!$B$3:$B951,0))</f>
        <v>Grass</v>
      </c>
      <c r="I3" s="0" t="str">
        <f aca="false" t="array" ref="I3:I3">INDEX('0.0.1 Pokémon Dex Data'!$R$3:$R951,MATCH(E3,'0.0.1 Pokémon Dex Data'!$B$3:$B951,0))</f>
        <v>Poison</v>
      </c>
      <c r="J3" s="260" t="n">
        <f aca="false" t="array" ref="J3:J3">ROUND(INDEX('0.0.1 Pokémon Dex Data'!$S$3:$S951,MATCH($E3,'0.0.1 Pokémon Dex Data'!$B$3:$B951,0))*INDEX('0.0.1 Pokémon Dex Data'!T$3:T951,MATCH($E3,'0.0.1 Pokémon Dex Data'!$B$3:$B951,0)),0)</f>
        <v>151</v>
      </c>
      <c r="K3" s="260" t="n">
        <f aca="false" t="array" ref="K3:K3">ROUND(INDEX('0.0.1 Pokémon Dex Data'!$S$3:$S951,MATCH($E3,'0.0.1 Pokémon Dex Data'!$B$3:$B951,0))*INDEX('0.0.1 Pokémon Dex Data'!U$3:U951,MATCH($E3,'0.0.1 Pokémon Dex Data'!$B$3:$B951,0)),0)</f>
        <v>143</v>
      </c>
      <c r="L3" s="260" t="n">
        <f aca="false" t="array" ref="L3:L3">ROUND(INDEX('0.0.1 Pokémon Dex Data'!$S$3:$S951,MATCH($E3,'0.0.1 Pokémon Dex Data'!$B$3:$B951,0))*INDEX('0.0.1 Pokémon Dex Data'!V$3:V951,MATCH($E3,'0.0.1 Pokémon Dex Data'!$B$3:$B951,0)),0)</f>
        <v>155</v>
      </c>
      <c r="M3" s="260" t="n">
        <f aca="false" t="array" ref="M3:M3">INDEX('0.0.1 Pokémon Dex Data'!$J$3:$J951,MATCH(E3,'0.0.1 Pokémon Dex Data'!$B$3:$B951,0))</f>
        <v>0</v>
      </c>
      <c r="O3" s="490"/>
      <c r="Q3" s="367" t="n">
        <f aca="false">IF('Reverse Search'!$F$4="All (including temporary formes)",1,IF('Reverse Search'!$F$4="Base Pokémon and permanent formes only",IF(F3&lt;=1,1,0),IF(F3=0,1,0)))</f>
        <v>1</v>
      </c>
      <c r="R3" s="0" t="n">
        <f aca="false">IF('Reverse Search'!$C$7="Disable",1,IF('Reverse Search'!$D$9="Disable",1,IF(OR('Reverse Search'!$F$9=H3,'Reverse Search'!$F$9=I3),1,0)))</f>
        <v>1</v>
      </c>
      <c r="S3" s="0" t="n">
        <f aca="false">IF('Reverse Search'!$C$7="Disable",1,IF('Reverse Search'!$D$10="Disable",1,IF(OR('Reverse Search'!$F$10=H3,'Reverse Search'!$F$10=I3),1,0)))</f>
        <v>1</v>
      </c>
      <c r="T3" s="0" t="n">
        <f aca="false">INDEX($B$4:$B$22,MATCH(H3,$A$4:$A$22,0))</f>
        <v>1</v>
      </c>
      <c r="U3" s="0" t="n">
        <f aca="false">IF(ISBLANK(I3),1,INDEX($B$4:$B$22,MATCH(I3,$A$4:$A$22,0)))</f>
        <v>1</v>
      </c>
      <c r="V3" s="367" t="n">
        <f aca="false">IF('Reverse Search'!$C$7="Disable",1,IF('Reverse Search'!$D$11="Disable",1,IF('Reverse Search'!$E$11="Neutral to:",IF(ROUND(T3*U3,2)&lt;=1,1,0),IF(ROUND(T3*U3,2)&lt;1,1,0))))</f>
        <v>1</v>
      </c>
      <c r="W3" s="0" t="n">
        <f aca="false">IF('Reverse Search'!$N$7="Disable",1,IF('Reverse Search'!$I$9="Disable",1,IF('Reverse Search'!$K$9="≥",IF(J3&gt;='Reverse Search'!$L$9,1,0),IF('Reverse Search'!$K$9="≤",IF(J3&lt;='Reverse Search'!$L$9,1,0),IF(J3='Reverse Search'!$L$9,1,0)))))</f>
        <v>1</v>
      </c>
      <c r="X3" s="0" t="n">
        <f aca="false">IF('Reverse Search'!$N$7="Disable",1,IF('Reverse Search'!$I$10="Disable",1,IF('Reverse Search'!$K$10="≥",IF(K3&gt;='Reverse Search'!$L$10,1,0),IF('Reverse Search'!$K$10="≤",IF(K3&lt;='Reverse Search'!$L$10,1,0),IF(K3='Reverse Search'!$L$10,1,0)))))</f>
        <v>1</v>
      </c>
      <c r="Y3" s="367" t="n">
        <f aca="false">IF('Reverse Search'!$N$7="Disable",1,IF('Reverse Search'!$I$11="Disable",1,IF('Reverse Search'!$K$11="≥",IF(L3&gt;='Reverse Search'!$L$11,1,0),IF('Reverse Search'!$K$11="≤",IF(L3&lt;='Reverse Search'!$L$11,1,0),IF(L3='Reverse Search'!$L$11,1,0)))))</f>
        <v>1</v>
      </c>
      <c r="Z3" s="0" t="n">
        <f aca="true">IF('Reverse Search'!$C$14="Disable",1,IF('Reverse Search'!$D$16="Disable",1,IF($C$2=3,IF($M3=0,0,COUNTIF(INDIRECT("'0.0.2 Pokémon Learnset (Core)'!$D$"&amp;MATCH($E3,'0.0.2 Pokémon Learnset (Core)'!$A$1:$A951,0)&amp;":$FK$"&amp;MATCH($E3,'0.0.2 Pokémon Learnset (Core)'!$A$1:$A951,0)),'Reverse Search'!$E$21)),IF($C$2=2,COUNTIF(INDIRECT("'0.1.1 Pokémon GO Moves'!$B$"&amp;MATCH($E3,'0.1.1 Pokémon GO Moves'!$A$1:$A951,0)&amp;":$R$"&amp;MATCH($E3,'0.1.1 Pokémon GO Moves'!$A$1:$A951,0)),'Reverse Search'!$E$21),COUNTIF(INDIRECT("'0.1.1 Pokémon GO Moves'!$B$"&amp;MATCH($E3,'0.1.1 Pokémon GO Moves'!$A$1:$A951,0)&amp;":$L$"&amp;MATCH($E3,'0.1.1 Pokémon GO Moves'!$A$1:$A951,0)),'Reverse Search'!$E$21)))))</f>
        <v>1</v>
      </c>
      <c r="AA3" s="0" t="n">
        <f aca="true">IF('Reverse Search'!$C$14="Disable",1,IF('Reverse Search'!$I$16="Disable",1,IF($D$2=3,IF($M3=0,0,COUNTIF(INDIRECT("'0.0.2 Pokémon Learnset (Core)'!$D$"&amp;MATCH($E3,'0.0.2 Pokémon Learnset (Core)'!$A$1:$A951,0)&amp;":$FK$"&amp;MATCH($E3,'0.0.2 Pokémon Learnset (Core)'!$A$1:$A951,0)),'Reverse Search'!$J$21)),IF($D$2=2,COUNTIF(INDIRECT("'0.1.1 Pokémon GO Moves'!$B$"&amp;MATCH($E3,'0.1.1 Pokémon GO Moves'!$A$1:$A951,0)&amp;":$R$"&amp;MATCH($E3,'0.1.1 Pokémon GO Moves'!$A$1:$A951,0)),'Reverse Search'!$J$21),COUNTIF(INDIRECT("'0.1.1 Pokémon GO Moves'!$B$"&amp;MATCH($E3,'0.1.1 Pokémon GO Moves'!$A$1:$A951,0)&amp;":$L$"&amp;MATCH($E3,'0.1.1 Pokémon GO Moves'!$A$1:$A951,0)),'Reverse Search'!$J$21)))))</f>
        <v>0</v>
      </c>
      <c r="AB3" s="490"/>
      <c r="AC3" s="260" t="n">
        <f aca="false">IF((Q3+R3+S3+V3+W3+X3+Y3+IF(Z3&gt;=1,1,0)+IF(AA3&gt;=1,1,0))=9,G3&amp;", ",)</f>
        <v>0</v>
      </c>
    </row>
    <row r="4" customFormat="false" ht="15.75" hidden="false" customHeight="false" outlineLevel="0" collapsed="false">
      <c r="A4" s="384" t="s">
        <v>144</v>
      </c>
      <c r="B4" s="358" t="n">
        <f aca="false">IFERROR(__xludf.dummyfunction("(FILTER('0.3.1 Type Table'!$C$2:$T$20,'0.3.1 Type Table'!$C$1:$T$1='Reverse Search'!$F$11))"),1)</f>
        <v>1</v>
      </c>
      <c r="C4" s="260" t="str">
        <f aca="false">IFERROR(__xludf.dummyfunction("""COMPUTED_VALUE"""),"Air Slash")</f>
        <v>Air Slash</v>
      </c>
      <c r="D4" s="358" t="str">
        <f aca="false">IFERROR(__xludf.dummyfunction("""COMPUTED_VALUE"""),"Air Cutter")</f>
        <v>Air Cutter</v>
      </c>
      <c r="E4" s="260" t="n">
        <v>3</v>
      </c>
      <c r="F4" s="260" t="n">
        <f aca="false" t="array" ref="F4:F4">INDEX('0.0.1 Pokémon Dex Data'!$H$3:$H951,MATCH(E4,'0.0.1 Pokémon Dex Data'!$B$3:$B951,0))</f>
        <v>0</v>
      </c>
      <c r="G4" s="0" t="str">
        <f aca="false" t="array" ref="G4:G4">INDEX('0.0.1 Pokémon Dex Data'!$E$3:$E951,MATCH(E4,'0.0.1 Pokémon Dex Data'!$B$3:$B951,0))</f>
        <v>Venusaur</v>
      </c>
      <c r="H4" s="0" t="str">
        <f aca="false" t="array" ref="H4:H4">INDEX('0.0.1 Pokémon Dex Data'!$Q$3:$Q951,MATCH(E4,'0.0.1 Pokémon Dex Data'!$B$3:$B951,0))</f>
        <v>Grass</v>
      </c>
      <c r="I4" s="0" t="str">
        <f aca="false" t="array" ref="I4:I4">INDEX('0.0.1 Pokémon Dex Data'!$R$3:$R951,MATCH(E4,'0.0.1 Pokémon Dex Data'!$B$3:$B951,0))</f>
        <v>Poison</v>
      </c>
      <c r="J4" s="260" t="n">
        <f aca="false" t="array" ref="J4:J4">ROUND(INDEX('0.0.1 Pokémon Dex Data'!$S$3:$S951,MATCH($E4,'0.0.1 Pokémon Dex Data'!$B$3:$B951,0))*INDEX('0.0.1 Pokémon Dex Data'!T$3:T951,MATCH($E4,'0.0.1 Pokémon Dex Data'!$B$3:$B951,0)),0)</f>
        <v>198</v>
      </c>
      <c r="K4" s="260" t="n">
        <f aca="false" t="array" ref="K4:K4">ROUND(INDEX('0.0.1 Pokémon Dex Data'!$S$3:$S951,MATCH($E4,'0.0.1 Pokémon Dex Data'!$B$3:$B951,0))*INDEX('0.0.1 Pokémon Dex Data'!U$3:U951,MATCH($E4,'0.0.1 Pokémon Dex Data'!$B$3:$B951,0)),0)</f>
        <v>189</v>
      </c>
      <c r="L4" s="260" t="n">
        <f aca="false" t="array" ref="L4:L4">ROUND(INDEX('0.0.1 Pokémon Dex Data'!$S$3:$S951,MATCH($E4,'0.0.1 Pokémon Dex Data'!$B$3:$B951,0))*INDEX('0.0.1 Pokémon Dex Data'!V$3:V951,MATCH($E4,'0.0.1 Pokémon Dex Data'!$B$3:$B951,0)),0)</f>
        <v>190</v>
      </c>
      <c r="M4" s="260" t="n">
        <f aca="false" t="array" ref="M4:M4">INDEX('0.0.1 Pokémon Dex Data'!$J$3:$J951,MATCH(E4,'0.0.1 Pokémon Dex Data'!$B$3:$B951,0))</f>
        <v>1</v>
      </c>
      <c r="O4" s="490"/>
      <c r="Q4" s="367" t="n">
        <f aca="false">IF('Reverse Search'!$F$4="All (including temporary formes)",1,IF('Reverse Search'!$F$4="Base Pokémon and permanent formes only",IF(F4&lt;=1,1,0),IF(F4=0,1,0)))</f>
        <v>1</v>
      </c>
      <c r="R4" s="0" t="n">
        <f aca="false">IF('Reverse Search'!$C$7="Disable",1,IF('Reverse Search'!$D$9="Disable",1,IF(OR('Reverse Search'!$F$9=H4,'Reverse Search'!$F$9=I4),1,0)))</f>
        <v>1</v>
      </c>
      <c r="S4" s="0" t="n">
        <f aca="false">IF('Reverse Search'!$C$7="Disable",1,IF('Reverse Search'!$D$10="Disable",1,IF(OR('Reverse Search'!$F$10=H4,'Reverse Search'!$F$10=I4),1,0)))</f>
        <v>1</v>
      </c>
      <c r="T4" s="0" t="n">
        <f aca="false">INDEX($B$4:$B$22,MATCH(H4,$A$4:$A$22,0))</f>
        <v>1</v>
      </c>
      <c r="U4" s="0" t="n">
        <f aca="false">IF(ISBLANK(I4),1,INDEX($B$4:$B$22,MATCH(I4,$A$4:$A$22,0)))</f>
        <v>1</v>
      </c>
      <c r="V4" s="367" t="n">
        <f aca="false">IF('Reverse Search'!$C$7="Disable",1,IF('Reverse Search'!$D$11="Disable",1,IF('Reverse Search'!$E$11="Neutral to:",IF(ROUND(T4*U4,2)&lt;=1,1,0),IF(ROUND(T4*U4,2)&lt;1,1,0))))</f>
        <v>1</v>
      </c>
      <c r="W4" s="0" t="n">
        <f aca="false">IF('Reverse Search'!$N$7="Disable",1,IF('Reverse Search'!$I$9="Disable",1,IF('Reverse Search'!$K$9="≥",IF(J4&gt;='Reverse Search'!$L$9,1,0),IF('Reverse Search'!$K$9="≤",IF(J4&lt;='Reverse Search'!$L$9,1,0),IF(J4='Reverse Search'!$L$9,1,0)))))</f>
        <v>1</v>
      </c>
      <c r="X4" s="0" t="n">
        <f aca="false">IF('Reverse Search'!$N$7="Disable",1,IF('Reverse Search'!$I$10="Disable",1,IF('Reverse Search'!$K$10="≥",IF(K4&gt;='Reverse Search'!$L$10,1,0),IF('Reverse Search'!$K$10="≤",IF(K4&lt;='Reverse Search'!$L$10,1,0),IF(K4='Reverse Search'!$L$10,1,0)))))</f>
        <v>1</v>
      </c>
      <c r="Y4" s="367" t="n">
        <f aca="false">IF('Reverse Search'!$N$7="Disable",1,IF('Reverse Search'!$I$11="Disable",1,IF('Reverse Search'!$K$11="≥",IF(L4&gt;='Reverse Search'!$L$11,1,0),IF('Reverse Search'!$K$11="≤",IF(L4&lt;='Reverse Search'!$L$11,1,0),IF(L4='Reverse Search'!$L$11,1,0)))))</f>
        <v>1</v>
      </c>
      <c r="Z4" s="0" t="n">
        <f aca="true">IF('Reverse Search'!$C$14="Disable",1,IF('Reverse Search'!$D$16="Disable",1,IF($C$2=3,IF($M4=0,0,COUNTIF(INDIRECT("'0.0.2 Pokémon Learnset (Core)'!$D$"&amp;MATCH($E4,'0.0.2 Pokémon Learnset (Core)'!$A$1:$A951,0)&amp;":$FK$"&amp;MATCH($E4,'0.0.2 Pokémon Learnset (Core)'!$A$1:$A951,0)),'Reverse Search'!$E$21)),IF($C$2=2,COUNTIF(INDIRECT("'0.1.1 Pokémon GO Moves'!$B$"&amp;MATCH($E4,'0.1.1 Pokémon GO Moves'!$A$1:$A951,0)&amp;":$R$"&amp;MATCH($E4,'0.1.1 Pokémon GO Moves'!$A$1:$A951,0)),'Reverse Search'!$E$21),COUNTIF(INDIRECT("'0.1.1 Pokémon GO Moves'!$B$"&amp;MATCH($E4,'0.1.1 Pokémon GO Moves'!$A$1:$A951,0)&amp;":$L$"&amp;MATCH($E4,'0.1.1 Pokémon GO Moves'!$A$1:$A951,0)),'Reverse Search'!$E$21)))))</f>
        <v>1</v>
      </c>
      <c r="AA4" s="0" t="n">
        <f aca="true">IF('Reverse Search'!$C$14="Disable",1,IF('Reverse Search'!$I$16="Disable",1,IF($D$2=3,IF($M4=0,0,COUNTIF(INDIRECT("'0.0.2 Pokémon Learnset (Core)'!$D$"&amp;MATCH($E4,'0.0.2 Pokémon Learnset (Core)'!$A$1:$A951,0)&amp;":$FK$"&amp;MATCH($E4,'0.0.2 Pokémon Learnset (Core)'!$A$1:$A951,0)),'Reverse Search'!$J$21)),IF($D$2=2,COUNTIF(INDIRECT("'0.1.1 Pokémon GO Moves'!$B$"&amp;MATCH($E4,'0.1.1 Pokémon GO Moves'!$A$1:$A951,0)&amp;":$R$"&amp;MATCH($E4,'0.1.1 Pokémon GO Moves'!$A$1:$A951,0)),'Reverse Search'!$J$21),COUNTIF(INDIRECT("'0.1.1 Pokémon GO Moves'!$B$"&amp;MATCH($E4,'0.1.1 Pokémon GO Moves'!$A$1:$A951,0)&amp;":$L$"&amp;MATCH($E4,'0.1.1 Pokémon GO Moves'!$A$1:$A951,0)),'Reverse Search'!$J$21)))))</f>
        <v>0</v>
      </c>
      <c r="AB4" s="490"/>
      <c r="AC4" s="260" t="n">
        <f aca="false">IF((Q4+R4+S4+V4+W4+X4+Y4+IF(Z4&gt;=1,1,0)+IF(AA4&gt;=1,1,0))=9,G4&amp;", ",)</f>
        <v>0</v>
      </c>
    </row>
    <row r="5" customFormat="false" ht="15.75" hidden="false" customHeight="false" outlineLevel="0" collapsed="false">
      <c r="A5" s="384" t="s">
        <v>145</v>
      </c>
      <c r="B5" s="358" t="n">
        <f aca="false">IFERROR(__xludf.dummyfunction("""COMPUTED_VALUE"""),1)</f>
        <v>1</v>
      </c>
      <c r="C5" s="260" t="str">
        <f aca="false">IFERROR(__xludf.dummyfunction("""COMPUTED_VALUE"""),"Astonish")</f>
        <v>Astonish</v>
      </c>
      <c r="D5" s="358" t="str">
        <f aca="false">IFERROR(__xludf.dummyfunction("""COMPUTED_VALUE"""),"Ancient Power")</f>
        <v>Ancient Power</v>
      </c>
      <c r="E5" s="260" t="n">
        <v>4</v>
      </c>
      <c r="F5" s="260" t="n">
        <f aca="false" t="array" ref="F5:F5">INDEX('0.0.1 Pokémon Dex Data'!$H$3:$H951,MATCH(E5,'0.0.1 Pokémon Dex Data'!$B$3:$B951,0))</f>
        <v>2</v>
      </c>
      <c r="G5" s="0" t="str">
        <f aca="false" t="array" ref="G5:G5">INDEX('0.0.1 Pokémon Dex Data'!$E$3:$E951,MATCH(E5,'0.0.1 Pokémon Dex Data'!$B$3:$B951,0))</f>
        <v>Venusaur-Mega</v>
      </c>
      <c r="H5" s="0" t="str">
        <f aca="false" t="array" ref="H5:H5">INDEX('0.0.1 Pokémon Dex Data'!$Q$3:$Q951,MATCH(E5,'0.0.1 Pokémon Dex Data'!$B$3:$B951,0))</f>
        <v>Grass</v>
      </c>
      <c r="I5" s="0" t="str">
        <f aca="false" t="array" ref="I5:I5">INDEX('0.0.1 Pokémon Dex Data'!$R$3:$R951,MATCH(E5,'0.0.1 Pokémon Dex Data'!$B$3:$B951,0))</f>
        <v>Poison</v>
      </c>
      <c r="J5" s="260" t="n">
        <f aca="false" t="array" ref="J5:J5">ROUND(INDEX('0.0.1 Pokémon Dex Data'!$S$3:$S951,MATCH($E5,'0.0.1 Pokémon Dex Data'!$B$3:$B951,0))*INDEX('0.0.1 Pokémon Dex Data'!T$3:T951,MATCH($E5,'0.0.1 Pokémon Dex Data'!$B$3:$B951,0)),0)</f>
        <v>241</v>
      </c>
      <c r="K5" s="260" t="n">
        <f aca="false" t="array" ref="K5:K5">ROUND(INDEX('0.0.1 Pokémon Dex Data'!$S$3:$S951,MATCH($E5,'0.0.1 Pokémon Dex Data'!$B$3:$B951,0))*INDEX('0.0.1 Pokémon Dex Data'!U$3:U951,MATCH($E5,'0.0.1 Pokémon Dex Data'!$B$3:$B951,0)),0)</f>
        <v>246</v>
      </c>
      <c r="L5" s="260" t="n">
        <f aca="false" t="array" ref="L5:L5">ROUND(INDEX('0.0.1 Pokémon Dex Data'!$S$3:$S951,MATCH($E5,'0.0.1 Pokémon Dex Data'!$B$3:$B951,0))*INDEX('0.0.1 Pokémon Dex Data'!V$3:V951,MATCH($E5,'0.0.1 Pokémon Dex Data'!$B$3:$B951,0)),0)</f>
        <v>190</v>
      </c>
      <c r="M5" s="260" t="n">
        <f aca="false" t="array" ref="M5:M5">INDEX('0.0.1 Pokémon Dex Data'!$J$3:$J951,MATCH(E5,'0.0.1 Pokémon Dex Data'!$B$3:$B951,0))</f>
        <v>1</v>
      </c>
      <c r="O5" s="490"/>
      <c r="Q5" s="367" t="n">
        <f aca="false">IF('Reverse Search'!$F$4="All (including temporary formes)",1,IF('Reverse Search'!$F$4="Base Pokémon and permanent formes only",IF(F5&lt;=1,1,0),IF(F5=0,1,0)))</f>
        <v>0</v>
      </c>
      <c r="R5" s="0" t="n">
        <f aca="false">IF('Reverse Search'!$C$7="Disable",1,IF('Reverse Search'!$D$9="Disable",1,IF(OR('Reverse Search'!$F$9=H5,'Reverse Search'!$F$9=I5),1,0)))</f>
        <v>1</v>
      </c>
      <c r="S5" s="0" t="n">
        <f aca="false">IF('Reverse Search'!$C$7="Disable",1,IF('Reverse Search'!$D$10="Disable",1,IF(OR('Reverse Search'!$F$10=H5,'Reverse Search'!$F$10=I5),1,0)))</f>
        <v>1</v>
      </c>
      <c r="T5" s="0" t="n">
        <f aca="false">INDEX($B$4:$B$22,MATCH(H5,$A$4:$A$22,0))</f>
        <v>1</v>
      </c>
      <c r="U5" s="0" t="n">
        <f aca="false">IF(ISBLANK(I5),1,INDEX($B$4:$B$22,MATCH(I5,$A$4:$A$22,0)))</f>
        <v>1</v>
      </c>
      <c r="V5" s="367" t="n">
        <f aca="false">IF('Reverse Search'!$C$7="Disable",1,IF('Reverse Search'!$D$11="Disable",1,IF('Reverse Search'!$E$11="Neutral to:",IF(ROUND(T5*U5,2)&lt;=1,1,0),IF(ROUND(T5*U5,2)&lt;1,1,0))))</f>
        <v>1</v>
      </c>
      <c r="W5" s="0" t="n">
        <f aca="false">IF('Reverse Search'!$N$7="Disable",1,IF('Reverse Search'!$I$9="Disable",1,IF('Reverse Search'!$K$9="≥",IF(J5&gt;='Reverse Search'!$L$9,1,0),IF('Reverse Search'!$K$9="≤",IF(J5&lt;='Reverse Search'!$L$9,1,0),IF(J5='Reverse Search'!$L$9,1,0)))))</f>
        <v>1</v>
      </c>
      <c r="X5" s="0" t="n">
        <f aca="false">IF('Reverse Search'!$N$7="Disable",1,IF('Reverse Search'!$I$10="Disable",1,IF('Reverse Search'!$K$10="≥",IF(K5&gt;='Reverse Search'!$L$10,1,0),IF('Reverse Search'!$K$10="≤",IF(K5&lt;='Reverse Search'!$L$10,1,0),IF(K5='Reverse Search'!$L$10,1,0)))))</f>
        <v>1</v>
      </c>
      <c r="Y5" s="367" t="n">
        <f aca="false">IF('Reverse Search'!$N$7="Disable",1,IF('Reverse Search'!$I$11="Disable",1,IF('Reverse Search'!$K$11="≥",IF(L5&gt;='Reverse Search'!$L$11,1,0),IF('Reverse Search'!$K$11="≤",IF(L5&lt;='Reverse Search'!$L$11,1,0),IF(L5='Reverse Search'!$L$11,1,0)))))</f>
        <v>1</v>
      </c>
      <c r="Z5" s="0" t="n">
        <f aca="true">IF('Reverse Search'!$C$14="Disable",1,IF('Reverse Search'!$D$16="Disable",1,IF($C$2=3,IF($M5=0,0,COUNTIF(INDIRECT("'0.0.2 Pokémon Learnset (Core)'!$D$"&amp;MATCH($E5,'0.0.2 Pokémon Learnset (Core)'!$A$1:$A951,0)&amp;":$FK$"&amp;MATCH($E5,'0.0.2 Pokémon Learnset (Core)'!$A$1:$A951,0)),'Reverse Search'!$E$21)),IF($C$2=2,COUNTIF(INDIRECT("'0.1.1 Pokémon GO Moves'!$B$"&amp;MATCH($E5,'0.1.1 Pokémon GO Moves'!$A$1:$A951,0)&amp;":$R$"&amp;MATCH($E5,'0.1.1 Pokémon GO Moves'!$A$1:$A951,0)),'Reverse Search'!$E$21),COUNTIF(INDIRECT("'0.1.1 Pokémon GO Moves'!$B$"&amp;MATCH($E5,'0.1.1 Pokémon GO Moves'!$A$1:$A951,0)&amp;":$L$"&amp;MATCH($E5,'0.1.1 Pokémon GO Moves'!$A$1:$A951,0)),'Reverse Search'!$E$21)))))</f>
        <v>1</v>
      </c>
      <c r="AA5" s="0" t="e">
        <f aca="true">IF('Reverse Search'!$C$14="Disable",1,IF('Reverse Search'!$I$16="Disable",1,IF($D$2=3,IF($M5=0,0,COUNTIF(INDIRECT("'0.0.2 Pokémon Learnset (Core)'!$D$"&amp;MATCH($E5,'0.0.2 Pokémon Learnset (Core)'!$A$1:$A951,0)&amp;":$FK$"&amp;MATCH($E5,'0.0.2 Pokémon Learnset (Core)'!$A$1:$A951,0)),'Reverse Search'!$J$21)),IF($D$2=2,COUNTIF(INDIRECT("'0.1.1 Pokémon GO Moves'!$B$"&amp;MATCH($E5,'0.1.1 Pokémon GO Moves'!$A$1:$A951,0)&amp;":$R$"&amp;MATCH($E5,'0.1.1 Pokémon GO Moves'!$A$1:$A951,0)),'Reverse Search'!$J$21),COUNTIF(INDIRECT("'0.1.1 Pokémon GO Moves'!$B$"&amp;MATCH($E5,'0.1.1 Pokémon GO Moves'!$A$1:$A951,0)&amp;":$L$"&amp;MATCH($E5,'0.1.1 Pokémon GO Moves'!$A$1:$A951,0)),'Reverse Search'!$J$21)))))</f>
        <v>#N/A</v>
      </c>
      <c r="AB5" s="490"/>
      <c r="AC5" s="260" t="e">
        <f aca="false">IF((Q5+R5+S5+V5+W5+X5+Y5+IF(Z5&gt;=1,1,0)+IF(AA5&gt;=1,1,0))=9,G5&amp;", ",)</f>
        <v>#N/A</v>
      </c>
    </row>
    <row r="6" customFormat="false" ht="15.75" hidden="false" customHeight="false" outlineLevel="0" collapsed="false">
      <c r="A6" s="384" t="s">
        <v>146</v>
      </c>
      <c r="B6" s="358" t="n">
        <f aca="false">IFERROR(__xludf.dummyfunction("""COMPUTED_VALUE"""),1)</f>
        <v>1</v>
      </c>
      <c r="C6" s="260" t="str">
        <f aca="false">IFERROR(__xludf.dummyfunction("""COMPUTED_VALUE"""),"Bite")</f>
        <v>Bite</v>
      </c>
      <c r="D6" s="358" t="str">
        <f aca="false">IFERROR(__xludf.dummyfunction("""COMPUTED_VALUE"""),"Aqua Jet")</f>
        <v>Aqua Jet</v>
      </c>
      <c r="E6" s="260" t="n">
        <v>5</v>
      </c>
      <c r="F6" s="260" t="n">
        <f aca="false" t="array" ref="F6:F6">INDEX('0.0.1 Pokémon Dex Data'!$H$3:$H951,MATCH(E6,'0.0.1 Pokémon Dex Data'!$B$3:$B951,0))</f>
        <v>0</v>
      </c>
      <c r="G6" s="0" t="str">
        <f aca="false" t="array" ref="G6:G6">INDEX('0.0.1 Pokémon Dex Data'!$E$3:$E951,MATCH(E6,'0.0.1 Pokémon Dex Data'!$B$3:$B951,0))</f>
        <v>Charmander</v>
      </c>
      <c r="H6" s="0" t="str">
        <f aca="false" t="array" ref="H6:H6">INDEX('0.0.1 Pokémon Dex Data'!$Q$3:$Q951,MATCH(E6,'0.0.1 Pokémon Dex Data'!$B$3:$B951,0))</f>
        <v>Fire</v>
      </c>
      <c r="I6" s="0" t="n">
        <f aca="false">INDEX('0.0.1 Pokémon Dex Data'!$R$3:$R951,MATCH(E6,'0.0.1 Pokémon Dex Data'!$B$3:$B951,0))</f>
        <v>0</v>
      </c>
      <c r="J6" s="260" t="n">
        <f aca="false" t="array" ref="J6:J6">ROUND(INDEX('0.0.1 Pokémon Dex Data'!$S$3:$S951,MATCH($E6,'0.0.1 Pokémon Dex Data'!$B$3:$B951,0))*INDEX('0.0.1 Pokémon Dex Data'!T$3:T951,MATCH($E6,'0.0.1 Pokémon Dex Data'!$B$3:$B951,0)),0)</f>
        <v>116</v>
      </c>
      <c r="K6" s="260" t="n">
        <f aca="false" t="array" ref="K6:K6">ROUND(INDEX('0.0.1 Pokémon Dex Data'!$S$3:$S951,MATCH($E6,'0.0.1 Pokémon Dex Data'!$B$3:$B951,0))*INDEX('0.0.1 Pokémon Dex Data'!U$3:U951,MATCH($E6,'0.0.1 Pokémon Dex Data'!$B$3:$B951,0)),0)</f>
        <v>93</v>
      </c>
      <c r="L6" s="260" t="n">
        <f aca="false" t="array" ref="L6:L6">ROUND(INDEX('0.0.1 Pokémon Dex Data'!$S$3:$S951,MATCH($E6,'0.0.1 Pokémon Dex Data'!$B$3:$B951,0))*INDEX('0.0.1 Pokémon Dex Data'!V$3:V951,MATCH($E6,'0.0.1 Pokémon Dex Data'!$B$3:$B951,0)),0)</f>
        <v>118</v>
      </c>
      <c r="M6" s="260" t="n">
        <f aca="false" t="array" ref="M6:M6">INDEX('0.0.1 Pokémon Dex Data'!$J$3:$J951,MATCH(E6,'0.0.1 Pokémon Dex Data'!$B$3:$B951,0))</f>
        <v>0</v>
      </c>
      <c r="O6" s="490"/>
      <c r="Q6" s="367" t="n">
        <f aca="false">IF('Reverse Search'!$F$4="All (including temporary formes)",1,IF('Reverse Search'!$F$4="Base Pokémon and permanent formes only",IF(F6&lt;=1,1,0),IF(F6=0,1,0)))</f>
        <v>1</v>
      </c>
      <c r="R6" s="0" t="n">
        <f aca="false">IF('Reverse Search'!$C$7="Disable",1,IF('Reverse Search'!$D$9="Disable",1,IF(OR('Reverse Search'!$F$9=H6,'Reverse Search'!$F$9=I6),1,0)))</f>
        <v>1</v>
      </c>
      <c r="S6" s="0" t="n">
        <f aca="false">IF('Reverse Search'!$C$7="Disable",1,IF('Reverse Search'!$D$10="Disable",1,IF(OR('Reverse Search'!$F$10=H6,'Reverse Search'!$F$10=I6),1,0)))</f>
        <v>1</v>
      </c>
      <c r="T6" s="0" t="n">
        <f aca="false">INDEX($B$4:$B$22,MATCH(H6,$A$4:$A$22,0))</f>
        <v>1</v>
      </c>
      <c r="U6" s="0" t="e">
        <f aca="false">IF(ISBLANK(I6),1,INDEX($B$4:$B$22,MATCH(I6,$A$4:$A$22,0)))</f>
        <v>#N/A</v>
      </c>
      <c r="V6" s="367" t="n">
        <f aca="false">IF('Reverse Search'!$C$7="Disable",1,IF('Reverse Search'!$D$11="Disable",1,IF('Reverse Search'!$E$11="Neutral to:",IF(ROUND(T6*U6,2)&lt;=1,1,0),IF(ROUND(T6*U6,2)&lt;1,1,0))))</f>
        <v>1</v>
      </c>
      <c r="W6" s="0" t="n">
        <f aca="false">IF('Reverse Search'!$N$7="Disable",1,IF('Reverse Search'!$I$9="Disable",1,IF('Reverse Search'!$K$9="≥",IF(J6&gt;='Reverse Search'!$L$9,1,0),IF('Reverse Search'!$K$9="≤",IF(J6&lt;='Reverse Search'!$L$9,1,0),IF(J6='Reverse Search'!$L$9,1,0)))))</f>
        <v>1</v>
      </c>
      <c r="X6" s="0" t="n">
        <f aca="false">IF('Reverse Search'!$N$7="Disable",1,IF('Reverse Search'!$I$10="Disable",1,IF('Reverse Search'!$K$10="≥",IF(K6&gt;='Reverse Search'!$L$10,1,0),IF('Reverse Search'!$K$10="≤",IF(K6&lt;='Reverse Search'!$L$10,1,0),IF(K6='Reverse Search'!$L$10,1,0)))))</f>
        <v>1</v>
      </c>
      <c r="Y6" s="367" t="n">
        <f aca="false">IF('Reverse Search'!$N$7="Disable",1,IF('Reverse Search'!$I$11="Disable",1,IF('Reverse Search'!$K$11="≥",IF(L6&gt;='Reverse Search'!$L$11,1,0),IF('Reverse Search'!$K$11="≤",IF(L6&lt;='Reverse Search'!$L$11,1,0),IF(L6='Reverse Search'!$L$11,1,0)))))</f>
        <v>1</v>
      </c>
      <c r="Z6" s="0" t="n">
        <f aca="true">IF('Reverse Search'!$C$14="Disable",1,IF('Reverse Search'!$D$16="Disable",1,IF($C$2=3,IF($M6=0,0,COUNTIF(INDIRECT("'0.0.2 Pokémon Learnset (Core)'!$D$"&amp;MATCH($E6,'0.0.2 Pokémon Learnset (Core)'!$A$1:$A951,0)&amp;":$FK$"&amp;MATCH($E6,'0.0.2 Pokémon Learnset (Core)'!$A$1:$A951,0)),'Reverse Search'!$E$21)),IF($C$2=2,COUNTIF(INDIRECT("'0.1.1 Pokémon GO Moves'!$B$"&amp;MATCH($E6,'0.1.1 Pokémon GO Moves'!$A$1:$A951,0)&amp;":$R$"&amp;MATCH($E6,'0.1.1 Pokémon GO Moves'!$A$1:$A951,0)),'Reverse Search'!$E$21),COUNTIF(INDIRECT("'0.1.1 Pokémon GO Moves'!$B$"&amp;MATCH($E6,'0.1.1 Pokémon GO Moves'!$A$1:$A951,0)&amp;":$L$"&amp;MATCH($E6,'0.1.1 Pokémon GO Moves'!$A$1:$A951,0)),'Reverse Search'!$E$21)))))</f>
        <v>1</v>
      </c>
      <c r="AA6" s="0" t="n">
        <f aca="true">IF('Reverse Search'!$C$14="Disable",1,IF('Reverse Search'!$I$16="Disable",1,IF($D$2=3,IF($M6=0,0,COUNTIF(INDIRECT("'0.0.2 Pokémon Learnset (Core)'!$D$"&amp;MATCH($E6,'0.0.2 Pokémon Learnset (Core)'!$A$1:$A951,0)&amp;":$FK$"&amp;MATCH($E6,'0.0.2 Pokémon Learnset (Core)'!$A$1:$A951,0)),'Reverse Search'!$J$21)),IF($D$2=2,COUNTIF(INDIRECT("'0.1.1 Pokémon GO Moves'!$B$"&amp;MATCH($E6,'0.1.1 Pokémon GO Moves'!$A$1:$A951,0)&amp;":$R$"&amp;MATCH($E6,'0.1.1 Pokémon GO Moves'!$A$1:$A951,0)),'Reverse Search'!$J$21),COUNTIF(INDIRECT("'0.1.1 Pokémon GO Moves'!$B$"&amp;MATCH($E6,'0.1.1 Pokémon GO Moves'!$A$1:$A951,0)&amp;":$L$"&amp;MATCH($E6,'0.1.1 Pokémon GO Moves'!$A$1:$A951,0)),'Reverse Search'!$J$21)))))</f>
        <v>0</v>
      </c>
      <c r="AB6" s="490"/>
      <c r="AC6" s="260" t="n">
        <f aca="false">IF((Q6+R6+S6+V6+W6+X6+Y6+IF(Z6&gt;=1,1,0)+IF(AA6&gt;=1,1,0))=9,G6&amp;", ",)</f>
        <v>0</v>
      </c>
    </row>
    <row r="7" customFormat="false" ht="15.75" hidden="false" customHeight="false" outlineLevel="0" collapsed="false">
      <c r="A7" s="384" t="s">
        <v>147</v>
      </c>
      <c r="B7" s="358" t="n">
        <f aca="false">IFERROR(__xludf.dummyfunction("""COMPUTED_VALUE"""),1)</f>
        <v>1</v>
      </c>
      <c r="C7" s="260" t="str">
        <f aca="false">IFERROR(__xludf.dummyfunction("""COMPUTED_VALUE"""),"Bubble")</f>
        <v>Bubble</v>
      </c>
      <c r="D7" s="358" t="str">
        <f aca="false">IFERROR(__xludf.dummyfunction("""COMPUTED_VALUE"""),"Aqua Tail")</f>
        <v>Aqua Tail</v>
      </c>
      <c r="E7" s="260" t="n">
        <v>6</v>
      </c>
      <c r="F7" s="260" t="n">
        <f aca="false" t="array" ref="F7:F7">INDEX('0.0.1 Pokémon Dex Data'!$H$3:$H951,MATCH(E7,'0.0.1 Pokémon Dex Data'!$B$3:$B951,0))</f>
        <v>0</v>
      </c>
      <c r="G7" s="0" t="str">
        <f aca="false" t="array" ref="G7:G7">INDEX('0.0.1 Pokémon Dex Data'!$E$3:$E951,MATCH(E7,'0.0.1 Pokémon Dex Data'!$B$3:$B951,0))</f>
        <v>Charmeleon</v>
      </c>
      <c r="H7" s="0" t="str">
        <f aca="false" t="array" ref="H7:H7">INDEX('0.0.1 Pokémon Dex Data'!$Q$3:$Q951,MATCH(E7,'0.0.1 Pokémon Dex Data'!$B$3:$B951,0))</f>
        <v>Fire</v>
      </c>
      <c r="I7" s="0" t="n">
        <f aca="false">INDEX('0.0.1 Pokémon Dex Data'!$R$3:$R951,MATCH(E7,'0.0.1 Pokémon Dex Data'!$B$3:$B951,0))</f>
        <v>0</v>
      </c>
      <c r="J7" s="260" t="n">
        <f aca="false" t="array" ref="J7:J7">ROUND(INDEX('0.0.1 Pokémon Dex Data'!$S$3:$S951,MATCH($E7,'0.0.1 Pokémon Dex Data'!$B$3:$B951,0))*INDEX('0.0.1 Pokémon Dex Data'!T$3:T951,MATCH($E7,'0.0.1 Pokémon Dex Data'!$B$3:$B951,0)),0)</f>
        <v>158</v>
      </c>
      <c r="K7" s="260" t="n">
        <f aca="false" t="array" ref="K7:K7">ROUND(INDEX('0.0.1 Pokémon Dex Data'!$S$3:$S951,MATCH($E7,'0.0.1 Pokémon Dex Data'!$B$3:$B951,0))*INDEX('0.0.1 Pokémon Dex Data'!U$3:U951,MATCH($E7,'0.0.1 Pokémon Dex Data'!$B$3:$B951,0)),0)</f>
        <v>126</v>
      </c>
      <c r="L7" s="260" t="n">
        <f aca="false" t="array" ref="L7:L7">ROUND(INDEX('0.0.1 Pokémon Dex Data'!$S$3:$S951,MATCH($E7,'0.0.1 Pokémon Dex Data'!$B$3:$B951,0))*INDEX('0.0.1 Pokémon Dex Data'!V$3:V951,MATCH($E7,'0.0.1 Pokémon Dex Data'!$B$3:$B951,0)),0)</f>
        <v>151</v>
      </c>
      <c r="M7" s="260" t="n">
        <f aca="false" t="array" ref="M7:M7">INDEX('0.0.1 Pokémon Dex Data'!$J$3:$J951,MATCH(E7,'0.0.1 Pokémon Dex Data'!$B$3:$B951,0))</f>
        <v>0</v>
      </c>
      <c r="O7" s="490"/>
      <c r="Q7" s="367" t="n">
        <f aca="false">IF('Reverse Search'!$F$4="All (including temporary formes)",1,IF('Reverse Search'!$F$4="Base Pokémon and permanent formes only",IF(F7&lt;=1,1,0),IF(F7=0,1,0)))</f>
        <v>1</v>
      </c>
      <c r="R7" s="0" t="n">
        <f aca="false">IF('Reverse Search'!$C$7="Disable",1,IF('Reverse Search'!$D$9="Disable",1,IF(OR('Reverse Search'!$F$9=H7,'Reverse Search'!$F$9=I7),1,0)))</f>
        <v>1</v>
      </c>
      <c r="S7" s="0" t="n">
        <f aca="false">IF('Reverse Search'!$C$7="Disable",1,IF('Reverse Search'!$D$10="Disable",1,IF(OR('Reverse Search'!$F$10=H7,'Reverse Search'!$F$10=I7),1,0)))</f>
        <v>1</v>
      </c>
      <c r="T7" s="0" t="n">
        <f aca="false">INDEX($B$4:$B$22,MATCH(H7,$A$4:$A$22,0))</f>
        <v>1</v>
      </c>
      <c r="U7" s="0" t="e">
        <f aca="false">IF(ISBLANK(I7),1,INDEX($B$4:$B$22,MATCH(I7,$A$4:$A$22,0)))</f>
        <v>#N/A</v>
      </c>
      <c r="V7" s="367" t="n">
        <f aca="false">IF('Reverse Search'!$C$7="Disable",1,IF('Reverse Search'!$D$11="Disable",1,IF('Reverse Search'!$E$11="Neutral to:",IF(ROUND(T7*U7,2)&lt;=1,1,0),IF(ROUND(T7*U7,2)&lt;1,1,0))))</f>
        <v>1</v>
      </c>
      <c r="W7" s="0" t="n">
        <f aca="false">IF('Reverse Search'!$N$7="Disable",1,IF('Reverse Search'!$I$9="Disable",1,IF('Reverse Search'!$K$9="≥",IF(J7&gt;='Reverse Search'!$L$9,1,0),IF('Reverse Search'!$K$9="≤",IF(J7&lt;='Reverse Search'!$L$9,1,0),IF(J7='Reverse Search'!$L$9,1,0)))))</f>
        <v>1</v>
      </c>
      <c r="X7" s="0" t="n">
        <f aca="false">IF('Reverse Search'!$N$7="Disable",1,IF('Reverse Search'!$I$10="Disable",1,IF('Reverse Search'!$K$10="≥",IF(K7&gt;='Reverse Search'!$L$10,1,0),IF('Reverse Search'!$K$10="≤",IF(K7&lt;='Reverse Search'!$L$10,1,0),IF(K7='Reverse Search'!$L$10,1,0)))))</f>
        <v>1</v>
      </c>
      <c r="Y7" s="367" t="n">
        <f aca="false">IF('Reverse Search'!$N$7="Disable",1,IF('Reverse Search'!$I$11="Disable",1,IF('Reverse Search'!$K$11="≥",IF(L7&gt;='Reverse Search'!$L$11,1,0),IF('Reverse Search'!$K$11="≤",IF(L7&lt;='Reverse Search'!$L$11,1,0),IF(L7='Reverse Search'!$L$11,1,0)))))</f>
        <v>1</v>
      </c>
      <c r="Z7" s="0" t="n">
        <f aca="true">IF('Reverse Search'!$C$14="Disable",1,IF('Reverse Search'!$D$16="Disable",1,IF($C$2=3,IF($M7=0,0,COUNTIF(INDIRECT("'0.0.2 Pokémon Learnset (Core)'!$D$"&amp;MATCH($E7,'0.0.2 Pokémon Learnset (Core)'!$A$1:$A951,0)&amp;":$FK$"&amp;MATCH($E7,'0.0.2 Pokémon Learnset (Core)'!$A$1:$A951,0)),'Reverse Search'!$E$21)),IF($C$2=2,COUNTIF(INDIRECT("'0.1.1 Pokémon GO Moves'!$B$"&amp;MATCH($E7,'0.1.1 Pokémon GO Moves'!$A$1:$A951,0)&amp;":$R$"&amp;MATCH($E7,'0.1.1 Pokémon GO Moves'!$A$1:$A951,0)),'Reverse Search'!$E$21),COUNTIF(INDIRECT("'0.1.1 Pokémon GO Moves'!$B$"&amp;MATCH($E7,'0.1.1 Pokémon GO Moves'!$A$1:$A951,0)&amp;":$L$"&amp;MATCH($E7,'0.1.1 Pokémon GO Moves'!$A$1:$A951,0)),'Reverse Search'!$E$21)))))</f>
        <v>1</v>
      </c>
      <c r="AA7" s="0" t="n">
        <f aca="true">IF('Reverse Search'!$C$14="Disable",1,IF('Reverse Search'!$I$16="Disable",1,IF($D$2=3,IF($M7=0,0,COUNTIF(INDIRECT("'0.0.2 Pokémon Learnset (Core)'!$D$"&amp;MATCH($E7,'0.0.2 Pokémon Learnset (Core)'!$A$1:$A951,0)&amp;":$FK$"&amp;MATCH($E7,'0.0.2 Pokémon Learnset (Core)'!$A$1:$A951,0)),'Reverse Search'!$J$21)),IF($D$2=2,COUNTIF(INDIRECT("'0.1.1 Pokémon GO Moves'!$B$"&amp;MATCH($E7,'0.1.1 Pokémon GO Moves'!$A$1:$A951,0)&amp;":$R$"&amp;MATCH($E7,'0.1.1 Pokémon GO Moves'!$A$1:$A951,0)),'Reverse Search'!$J$21),COUNTIF(INDIRECT("'0.1.1 Pokémon GO Moves'!$B$"&amp;MATCH($E7,'0.1.1 Pokémon GO Moves'!$A$1:$A951,0)&amp;":$L$"&amp;MATCH($E7,'0.1.1 Pokémon GO Moves'!$A$1:$A951,0)),'Reverse Search'!$J$21)))))</f>
        <v>0</v>
      </c>
      <c r="AB7" s="490"/>
      <c r="AC7" s="260" t="n">
        <f aca="false">IF((Q7+R7+S7+V7+W7+X7+Y7+IF(Z7&gt;=1,1,0)+IF(AA7&gt;=1,1,0))=9,G7&amp;", ",)</f>
        <v>0</v>
      </c>
    </row>
    <row r="8" customFormat="false" ht="15.75" hidden="false" customHeight="false" outlineLevel="0" collapsed="false">
      <c r="A8" s="384" t="s">
        <v>148</v>
      </c>
      <c r="B8" s="358" t="n">
        <f aca="false">IFERROR(__xludf.dummyfunction("""COMPUTED_VALUE"""),1)</f>
        <v>1</v>
      </c>
      <c r="C8" s="260" t="str">
        <f aca="false">IFERROR(__xludf.dummyfunction("""COMPUTED_VALUE"""),"Bug Bite")</f>
        <v>Bug Bite</v>
      </c>
      <c r="D8" s="358" t="str">
        <f aca="false">IFERROR(__xludf.dummyfunction("""COMPUTED_VALUE"""),"Aurora Beam")</f>
        <v>Aurora Beam</v>
      </c>
      <c r="E8" s="260" t="n">
        <v>7</v>
      </c>
      <c r="F8" s="260" t="n">
        <f aca="false" t="array" ref="F8:F8">INDEX('0.0.1 Pokémon Dex Data'!$H$3:$H951,MATCH(E8,'0.0.1 Pokémon Dex Data'!$B$3:$B951,0))</f>
        <v>0</v>
      </c>
      <c r="G8" s="0" t="str">
        <f aca="false" t="array" ref="G8:G8">INDEX('0.0.1 Pokémon Dex Data'!$E$3:$E951,MATCH(E8,'0.0.1 Pokémon Dex Data'!$B$3:$B951,0))</f>
        <v>Charizard</v>
      </c>
      <c r="H8" s="0" t="str">
        <f aca="false" t="array" ref="H8:H8">INDEX('0.0.1 Pokémon Dex Data'!$Q$3:$Q951,MATCH(E8,'0.0.1 Pokémon Dex Data'!$B$3:$B951,0))</f>
        <v>Fire</v>
      </c>
      <c r="I8" s="0" t="str">
        <f aca="false" t="array" ref="I8:I8">INDEX('0.0.1 Pokémon Dex Data'!$R$3:$R951,MATCH(E8,'0.0.1 Pokémon Dex Data'!$B$3:$B951,0))</f>
        <v>Flying</v>
      </c>
      <c r="J8" s="260" t="n">
        <f aca="false" t="array" ref="J8:J8">ROUND(INDEX('0.0.1 Pokémon Dex Data'!$S$3:$S951,MATCH($E8,'0.0.1 Pokémon Dex Data'!$B$3:$B951,0))*INDEX('0.0.1 Pokémon Dex Data'!T$3:T951,MATCH($E8,'0.0.1 Pokémon Dex Data'!$B$3:$B951,0)),0)</f>
        <v>223</v>
      </c>
      <c r="K8" s="260" t="n">
        <f aca="false" t="array" ref="K8:K8">ROUND(INDEX('0.0.1 Pokémon Dex Data'!$S$3:$S951,MATCH($E8,'0.0.1 Pokémon Dex Data'!$B$3:$B951,0))*INDEX('0.0.1 Pokémon Dex Data'!U$3:U951,MATCH($E8,'0.0.1 Pokémon Dex Data'!$B$3:$B951,0)),0)</f>
        <v>173</v>
      </c>
      <c r="L8" s="260" t="n">
        <f aca="false" t="array" ref="L8:L8">ROUND(INDEX('0.0.1 Pokémon Dex Data'!$S$3:$S951,MATCH($E8,'0.0.1 Pokémon Dex Data'!$B$3:$B951,0))*INDEX('0.0.1 Pokémon Dex Data'!V$3:V951,MATCH($E8,'0.0.1 Pokémon Dex Data'!$B$3:$B951,0)),0)</f>
        <v>186</v>
      </c>
      <c r="M8" s="260" t="n">
        <f aca="false" t="array" ref="M8:M8">INDEX('0.0.1 Pokémon Dex Data'!$J$3:$J951,MATCH(E8,'0.0.1 Pokémon Dex Data'!$B$3:$B951,0))</f>
        <v>1</v>
      </c>
      <c r="O8" s="490"/>
      <c r="Q8" s="367" t="n">
        <f aca="false">IF('Reverse Search'!$F$4="All (including temporary formes)",1,IF('Reverse Search'!$F$4="Base Pokémon and permanent formes only",IF(F8&lt;=1,1,0),IF(F8=0,1,0)))</f>
        <v>1</v>
      </c>
      <c r="R8" s="0" t="n">
        <f aca="false">IF('Reverse Search'!$C$7="Disable",1,IF('Reverse Search'!$D$9="Disable",1,IF(OR('Reverse Search'!$F$9=H8,'Reverse Search'!$F$9=I8),1,0)))</f>
        <v>1</v>
      </c>
      <c r="S8" s="0" t="n">
        <f aca="false">IF('Reverse Search'!$C$7="Disable",1,IF('Reverse Search'!$D$10="Disable",1,IF(OR('Reverse Search'!$F$10=H8,'Reverse Search'!$F$10=I8),1,0)))</f>
        <v>1</v>
      </c>
      <c r="T8" s="0" t="n">
        <f aca="false">INDEX($B$4:$B$22,MATCH(H8,$A$4:$A$22,0))</f>
        <v>1</v>
      </c>
      <c r="U8" s="0" t="n">
        <f aca="false">IF(ISBLANK(I8),1,INDEX($B$4:$B$22,MATCH(I8,$A$4:$A$22,0)))</f>
        <v>1</v>
      </c>
      <c r="V8" s="367" t="n">
        <f aca="false">IF('Reverse Search'!$C$7="Disable",1,IF('Reverse Search'!$D$11="Disable",1,IF('Reverse Search'!$E$11="Neutral to:",IF(ROUND(T8*U8,2)&lt;=1,1,0),IF(ROUND(T8*U8,2)&lt;1,1,0))))</f>
        <v>1</v>
      </c>
      <c r="W8" s="0" t="n">
        <f aca="false">IF('Reverse Search'!$N$7="Disable",1,IF('Reverse Search'!$I$9="Disable",1,IF('Reverse Search'!$K$9="≥",IF(J8&gt;='Reverse Search'!$L$9,1,0),IF('Reverse Search'!$K$9="≤",IF(J8&lt;='Reverse Search'!$L$9,1,0),IF(J8='Reverse Search'!$L$9,1,0)))))</f>
        <v>1</v>
      </c>
      <c r="X8" s="0" t="n">
        <f aca="false">IF('Reverse Search'!$N$7="Disable",1,IF('Reverse Search'!$I$10="Disable",1,IF('Reverse Search'!$K$10="≥",IF(K8&gt;='Reverse Search'!$L$10,1,0),IF('Reverse Search'!$K$10="≤",IF(K8&lt;='Reverse Search'!$L$10,1,0),IF(K8='Reverse Search'!$L$10,1,0)))))</f>
        <v>1</v>
      </c>
      <c r="Y8" s="367" t="n">
        <f aca="false">IF('Reverse Search'!$N$7="Disable",1,IF('Reverse Search'!$I$11="Disable",1,IF('Reverse Search'!$K$11="≥",IF(L8&gt;='Reverse Search'!$L$11,1,0),IF('Reverse Search'!$K$11="≤",IF(L8&lt;='Reverse Search'!$L$11,1,0),IF(L8='Reverse Search'!$L$11,1,0)))))</f>
        <v>1</v>
      </c>
      <c r="Z8" s="0" t="n">
        <f aca="true">IF('Reverse Search'!$C$14="Disable",1,IF('Reverse Search'!$D$16="Disable",1,IF($C$2=3,IF($M8=0,0,COUNTIF(INDIRECT("'0.0.2 Pokémon Learnset (Core)'!$D$"&amp;MATCH($E8,'0.0.2 Pokémon Learnset (Core)'!$A$1:$A951,0)&amp;":$FK$"&amp;MATCH($E8,'0.0.2 Pokémon Learnset (Core)'!$A$1:$A951,0)),'Reverse Search'!$E$21)),IF($C$2=2,COUNTIF(INDIRECT("'0.1.1 Pokémon GO Moves'!$B$"&amp;MATCH($E8,'0.1.1 Pokémon GO Moves'!$A$1:$A951,0)&amp;":$R$"&amp;MATCH($E8,'0.1.1 Pokémon GO Moves'!$A$1:$A951,0)),'Reverse Search'!$E$21),COUNTIF(INDIRECT("'0.1.1 Pokémon GO Moves'!$B$"&amp;MATCH($E8,'0.1.1 Pokémon GO Moves'!$A$1:$A951,0)&amp;":$L$"&amp;MATCH($E8,'0.1.1 Pokémon GO Moves'!$A$1:$A951,0)),'Reverse Search'!$E$21)))))</f>
        <v>1</v>
      </c>
      <c r="AA8" s="0" t="n">
        <f aca="true">IF('Reverse Search'!$C$14="Disable",1,IF('Reverse Search'!$I$16="Disable",1,IF($D$2=3,IF($M8=0,0,COUNTIF(INDIRECT("'0.0.2 Pokémon Learnset (Core)'!$D$"&amp;MATCH($E8,'0.0.2 Pokémon Learnset (Core)'!$A$1:$A951,0)&amp;":$FK$"&amp;MATCH($E8,'0.0.2 Pokémon Learnset (Core)'!$A$1:$A951,0)),'Reverse Search'!$J$21)),IF($D$2=2,COUNTIF(INDIRECT("'0.1.1 Pokémon GO Moves'!$B$"&amp;MATCH($E8,'0.1.1 Pokémon GO Moves'!$A$1:$A951,0)&amp;":$R$"&amp;MATCH($E8,'0.1.1 Pokémon GO Moves'!$A$1:$A951,0)),'Reverse Search'!$J$21),COUNTIF(INDIRECT("'0.1.1 Pokémon GO Moves'!$B$"&amp;MATCH($E8,'0.1.1 Pokémon GO Moves'!$A$1:$A951,0)&amp;":$L$"&amp;MATCH($E8,'0.1.1 Pokémon GO Moves'!$A$1:$A951,0)),'Reverse Search'!$J$21)))))</f>
        <v>0</v>
      </c>
      <c r="AB8" s="490"/>
      <c r="AC8" s="260" t="n">
        <f aca="false">IF((Q8+R8+S8+V8+W8+X8+Y8+IF(Z8&gt;=1,1,0)+IF(AA8&gt;=1,1,0))=9,G8&amp;", ",)</f>
        <v>0</v>
      </c>
    </row>
    <row r="9" customFormat="false" ht="15.75" hidden="false" customHeight="false" outlineLevel="0" collapsed="false">
      <c r="A9" s="384" t="s">
        <v>149</v>
      </c>
      <c r="B9" s="358" t="n">
        <f aca="false">IFERROR(__xludf.dummyfunction("""COMPUTED_VALUE"""),0.714)</f>
        <v>0.714</v>
      </c>
      <c r="C9" s="260" t="str">
        <f aca="false">IFERROR(__xludf.dummyfunction("""COMPUTED_VALUE"""),"Bullet Punch")</f>
        <v>Bullet Punch</v>
      </c>
      <c r="D9" s="358" t="str">
        <f aca="false">IFERROR(__xludf.dummyfunction("""COMPUTED_VALUE"""),"Avalanche")</f>
        <v>Avalanche</v>
      </c>
      <c r="E9" s="260" t="n">
        <v>8</v>
      </c>
      <c r="F9" s="260" t="n">
        <f aca="false" t="array" ref="F9:F9">INDEX('0.0.1 Pokémon Dex Data'!$H$3:$H951,MATCH(E9,'0.0.1 Pokémon Dex Data'!$B$3:$B951,0))</f>
        <v>2</v>
      </c>
      <c r="G9" s="0" t="str">
        <f aca="false" t="array" ref="G9:G9">INDEX('0.0.1 Pokémon Dex Data'!$E$3:$E951,MATCH(E9,'0.0.1 Pokémon Dex Data'!$B$3:$B951,0))</f>
        <v>Charizard-Mega-X</v>
      </c>
      <c r="H9" s="0" t="str">
        <f aca="false" t="array" ref="H9:H9">INDEX('0.0.1 Pokémon Dex Data'!$Q$3:$Q951,MATCH(E9,'0.0.1 Pokémon Dex Data'!$B$3:$B951,0))</f>
        <v>Fire</v>
      </c>
      <c r="I9" s="0" t="str">
        <f aca="false" t="array" ref="I9:I9">INDEX('0.0.1 Pokémon Dex Data'!$R$3:$R951,MATCH(E9,'0.0.1 Pokémon Dex Data'!$B$3:$B951,0))</f>
        <v>Dragon</v>
      </c>
      <c r="J9" s="260" t="n">
        <f aca="false" t="array" ref="J9:J9">ROUND(INDEX('0.0.1 Pokémon Dex Data'!$S$3:$S951,MATCH($E9,'0.0.1 Pokémon Dex Data'!$B$3:$B951,0))*INDEX('0.0.1 Pokémon Dex Data'!T$3:T951,MATCH($E9,'0.0.1 Pokémon Dex Data'!$B$3:$B951,0)),0)</f>
        <v>273</v>
      </c>
      <c r="K9" s="260" t="n">
        <f aca="false" t="array" ref="K9:K9">ROUND(INDEX('0.0.1 Pokémon Dex Data'!$S$3:$S951,MATCH($E9,'0.0.1 Pokémon Dex Data'!$B$3:$B951,0))*INDEX('0.0.1 Pokémon Dex Data'!U$3:U951,MATCH($E9,'0.0.1 Pokémon Dex Data'!$B$3:$B951,0)),0)</f>
        <v>213</v>
      </c>
      <c r="L9" s="260" t="n">
        <f aca="false" t="array" ref="L9:L9">ROUND(INDEX('0.0.1 Pokémon Dex Data'!$S$3:$S951,MATCH($E9,'0.0.1 Pokémon Dex Data'!$B$3:$B951,0))*INDEX('0.0.1 Pokémon Dex Data'!V$3:V951,MATCH($E9,'0.0.1 Pokémon Dex Data'!$B$3:$B951,0)),0)</f>
        <v>186</v>
      </c>
      <c r="M9" s="260" t="n">
        <f aca="false" t="array" ref="M9:M9">INDEX('0.0.1 Pokémon Dex Data'!$J$3:$J951,MATCH(E9,'0.0.1 Pokémon Dex Data'!$B$3:$B951,0))</f>
        <v>1</v>
      </c>
      <c r="O9" s="490"/>
      <c r="Q9" s="367" t="n">
        <f aca="false">IF('Reverse Search'!$F$4="All (including temporary formes)",1,IF('Reverse Search'!$F$4="Base Pokémon and permanent formes only",IF(F9&lt;=1,1,0),IF(F9=0,1,0)))</f>
        <v>0</v>
      </c>
      <c r="R9" s="0" t="n">
        <f aca="false">IF('Reverse Search'!$C$7="Disable",1,IF('Reverse Search'!$D$9="Disable",1,IF(OR('Reverse Search'!$F$9=H9,'Reverse Search'!$F$9=I9),1,0)))</f>
        <v>1</v>
      </c>
      <c r="S9" s="0" t="n">
        <f aca="false">IF('Reverse Search'!$C$7="Disable",1,IF('Reverse Search'!$D$10="Disable",1,IF(OR('Reverse Search'!$F$10=H9,'Reverse Search'!$F$10=I9),1,0)))</f>
        <v>1</v>
      </c>
      <c r="T9" s="0" t="n">
        <f aca="false">INDEX($B$4:$B$22,MATCH(H9,$A$4:$A$22,0))</f>
        <v>1</v>
      </c>
      <c r="U9" s="0" t="n">
        <f aca="false">IF(ISBLANK(I9),1,INDEX($B$4:$B$22,MATCH(I9,$A$4:$A$22,0)))</f>
        <v>1</v>
      </c>
      <c r="V9" s="367" t="n">
        <f aca="false">IF('Reverse Search'!$C$7="Disable",1,IF('Reverse Search'!$D$11="Disable",1,IF('Reverse Search'!$E$11="Neutral to:",IF(ROUND(T9*U9,2)&lt;=1,1,0),IF(ROUND(T9*U9,2)&lt;1,1,0))))</f>
        <v>1</v>
      </c>
      <c r="W9" s="0" t="n">
        <f aca="false">IF('Reverse Search'!$N$7="Disable",1,IF('Reverse Search'!$I$9="Disable",1,IF('Reverse Search'!$K$9="≥",IF(J9&gt;='Reverse Search'!$L$9,1,0),IF('Reverse Search'!$K$9="≤",IF(J9&lt;='Reverse Search'!$L$9,1,0),IF(J9='Reverse Search'!$L$9,1,0)))))</f>
        <v>1</v>
      </c>
      <c r="X9" s="0" t="n">
        <f aca="false">IF('Reverse Search'!$N$7="Disable",1,IF('Reverse Search'!$I$10="Disable",1,IF('Reverse Search'!$K$10="≥",IF(K9&gt;='Reverse Search'!$L$10,1,0),IF('Reverse Search'!$K$10="≤",IF(K9&lt;='Reverse Search'!$L$10,1,0),IF(K9='Reverse Search'!$L$10,1,0)))))</f>
        <v>1</v>
      </c>
      <c r="Y9" s="367" t="n">
        <f aca="false">IF('Reverse Search'!$N$7="Disable",1,IF('Reverse Search'!$I$11="Disable",1,IF('Reverse Search'!$K$11="≥",IF(L9&gt;='Reverse Search'!$L$11,1,0),IF('Reverse Search'!$K$11="≤",IF(L9&lt;='Reverse Search'!$L$11,1,0),IF(L9='Reverse Search'!$L$11,1,0)))))</f>
        <v>1</v>
      </c>
      <c r="Z9" s="0" t="n">
        <f aca="true">IF('Reverse Search'!$C$14="Disable",1,IF('Reverse Search'!$D$16="Disable",1,IF($C$2=3,IF($M9=0,0,COUNTIF(INDIRECT("'0.0.2 Pokémon Learnset (Core)'!$D$"&amp;MATCH($E9,'0.0.2 Pokémon Learnset (Core)'!$A$1:$A951,0)&amp;":$FK$"&amp;MATCH($E9,'0.0.2 Pokémon Learnset (Core)'!$A$1:$A951,0)),'Reverse Search'!$E$21)),IF($C$2=2,COUNTIF(INDIRECT("'0.1.1 Pokémon GO Moves'!$B$"&amp;MATCH($E9,'0.1.1 Pokémon GO Moves'!$A$1:$A951,0)&amp;":$R$"&amp;MATCH($E9,'0.1.1 Pokémon GO Moves'!$A$1:$A951,0)),'Reverse Search'!$E$21),COUNTIF(INDIRECT("'0.1.1 Pokémon GO Moves'!$B$"&amp;MATCH($E9,'0.1.1 Pokémon GO Moves'!$A$1:$A951,0)&amp;":$L$"&amp;MATCH($E9,'0.1.1 Pokémon GO Moves'!$A$1:$A951,0)),'Reverse Search'!$E$21)))))</f>
        <v>1</v>
      </c>
      <c r="AA9" s="0" t="e">
        <f aca="true">IF('Reverse Search'!$C$14="Disable",1,IF('Reverse Search'!$I$16="Disable",1,IF($D$2=3,IF($M9=0,0,COUNTIF(INDIRECT("'0.0.2 Pokémon Learnset (Core)'!$D$"&amp;MATCH($E9,'0.0.2 Pokémon Learnset (Core)'!$A$1:$A951,0)&amp;":$FK$"&amp;MATCH($E9,'0.0.2 Pokémon Learnset (Core)'!$A$1:$A951,0)),'Reverse Search'!$J$21)),IF($D$2=2,COUNTIF(INDIRECT("'0.1.1 Pokémon GO Moves'!$B$"&amp;MATCH($E9,'0.1.1 Pokémon GO Moves'!$A$1:$A951,0)&amp;":$R$"&amp;MATCH($E9,'0.1.1 Pokémon GO Moves'!$A$1:$A951,0)),'Reverse Search'!$J$21),COUNTIF(INDIRECT("'0.1.1 Pokémon GO Moves'!$B$"&amp;MATCH($E9,'0.1.1 Pokémon GO Moves'!$A$1:$A951,0)&amp;":$L$"&amp;MATCH($E9,'0.1.1 Pokémon GO Moves'!$A$1:$A951,0)),'Reverse Search'!$J$21)))))</f>
        <v>#N/A</v>
      </c>
      <c r="AB9" s="490"/>
      <c r="AC9" s="260" t="e">
        <f aca="false">IF((Q9+R9+S9+V9+W9+X9+Y9+IF(Z9&gt;=1,1,0)+IF(AA9&gt;=1,1,0))=9,G9&amp;", ",)</f>
        <v>#N/A</v>
      </c>
    </row>
    <row r="10" customFormat="false" ht="15.75" hidden="false" customHeight="false" outlineLevel="0" collapsed="false">
      <c r="A10" s="384" t="s">
        <v>150</v>
      </c>
      <c r="B10" s="358" t="n">
        <f aca="false">IFERROR(__xludf.dummyfunction("""COMPUTED_VALUE"""),1)</f>
        <v>1</v>
      </c>
      <c r="C10" s="260" t="str">
        <f aca="false">IFERROR(__xludf.dummyfunction("""COMPUTED_VALUE"""),"Bullet Seed")</f>
        <v>Bullet Seed</v>
      </c>
      <c r="D10" s="358" t="str">
        <f aca="false">IFERROR(__xludf.dummyfunction("""COMPUTED_VALUE"""),"Blizzard")</f>
        <v>Blizzard</v>
      </c>
      <c r="E10" s="260" t="n">
        <v>9</v>
      </c>
      <c r="F10" s="260" t="n">
        <f aca="false" t="array" ref="F10:F10">INDEX('0.0.1 Pokémon Dex Data'!$H$3:$H951,MATCH(E10,'0.0.1 Pokémon Dex Data'!$B$3:$B951,0))</f>
        <v>2</v>
      </c>
      <c r="G10" s="0" t="str">
        <f aca="false" t="array" ref="G10:G10">INDEX('0.0.1 Pokémon Dex Data'!$E$3:$E951,MATCH(E10,'0.0.1 Pokémon Dex Data'!$B$3:$B951,0))</f>
        <v>Charizard-Mega-Y</v>
      </c>
      <c r="H10" s="0" t="str">
        <f aca="false" t="array" ref="H10:H10">INDEX('0.0.1 Pokémon Dex Data'!$Q$3:$Q951,MATCH(E10,'0.0.1 Pokémon Dex Data'!$B$3:$B951,0))</f>
        <v>Fire</v>
      </c>
      <c r="I10" s="0" t="str">
        <f aca="false" t="array" ref="I10:I10">INDEX('0.0.1 Pokémon Dex Data'!$R$3:$R951,MATCH(E10,'0.0.1 Pokémon Dex Data'!$B$3:$B951,0))</f>
        <v>Flying</v>
      </c>
      <c r="J10" s="260" t="n">
        <f aca="false" t="array" ref="J10:J10">ROUND(INDEX('0.0.1 Pokémon Dex Data'!$S$3:$S951,MATCH($E10,'0.0.1 Pokémon Dex Data'!$B$3:$B951,0))*INDEX('0.0.1 Pokémon Dex Data'!T$3:T951,MATCH($E10,'0.0.1 Pokémon Dex Data'!$B$3:$B951,0)),0)</f>
        <v>319</v>
      </c>
      <c r="K10" s="260" t="n">
        <f aca="false" t="array" ref="K10:K10">ROUND(INDEX('0.0.1 Pokémon Dex Data'!$S$3:$S951,MATCH($E10,'0.0.1 Pokémon Dex Data'!$B$3:$B951,0))*INDEX('0.0.1 Pokémon Dex Data'!U$3:U951,MATCH($E10,'0.0.1 Pokémon Dex Data'!$B$3:$B951,0)),0)</f>
        <v>212</v>
      </c>
      <c r="L10" s="260" t="n">
        <f aca="false" t="array" ref="L10:L10">ROUND(INDEX('0.0.1 Pokémon Dex Data'!$S$3:$S951,MATCH($E10,'0.0.1 Pokémon Dex Data'!$B$3:$B951,0))*INDEX('0.0.1 Pokémon Dex Data'!V$3:V951,MATCH($E10,'0.0.1 Pokémon Dex Data'!$B$3:$B951,0)),0)</f>
        <v>186</v>
      </c>
      <c r="M10" s="260" t="n">
        <f aca="false" t="array" ref="M10:M10">INDEX('0.0.1 Pokémon Dex Data'!$J$3:$J951,MATCH(E10,'0.0.1 Pokémon Dex Data'!$B$3:$B951,0))</f>
        <v>1</v>
      </c>
      <c r="O10" s="490"/>
      <c r="Q10" s="367" t="n">
        <f aca="false">IF('Reverse Search'!$F$4="All (including temporary formes)",1,IF('Reverse Search'!$F$4="Base Pokémon and permanent formes only",IF(F10&lt;=1,1,0),IF(F10=0,1,0)))</f>
        <v>0</v>
      </c>
      <c r="R10" s="0" t="n">
        <f aca="false">IF('Reverse Search'!$C$7="Disable",1,IF('Reverse Search'!$D$9="Disable",1,IF(OR('Reverse Search'!$F$9=H10,'Reverse Search'!$F$9=I10),1,0)))</f>
        <v>1</v>
      </c>
      <c r="S10" s="0" t="n">
        <f aca="false">IF('Reverse Search'!$C$7="Disable",1,IF('Reverse Search'!$D$10="Disable",1,IF(OR('Reverse Search'!$F$10=H10,'Reverse Search'!$F$10=I10),1,0)))</f>
        <v>1</v>
      </c>
      <c r="T10" s="0" t="n">
        <f aca="false">INDEX($B$4:$B$22,MATCH(H10,$A$4:$A$22,0))</f>
        <v>1</v>
      </c>
      <c r="U10" s="0" t="n">
        <f aca="false">IF(ISBLANK(I10),1,INDEX($B$4:$B$22,MATCH(I10,$A$4:$A$22,0)))</f>
        <v>1</v>
      </c>
      <c r="V10" s="367" t="n">
        <f aca="false">IF('Reverse Search'!$C$7="Disable",1,IF('Reverse Search'!$D$11="Disable",1,IF('Reverse Search'!$E$11="Neutral to:",IF(ROUND(T10*U10,2)&lt;=1,1,0),IF(ROUND(T10*U10,2)&lt;1,1,0))))</f>
        <v>1</v>
      </c>
      <c r="W10" s="0" t="n">
        <f aca="false">IF('Reverse Search'!$N$7="Disable",1,IF('Reverse Search'!$I$9="Disable",1,IF('Reverse Search'!$K$9="≥",IF(J10&gt;='Reverse Search'!$L$9,1,0),IF('Reverse Search'!$K$9="≤",IF(J10&lt;='Reverse Search'!$L$9,1,0),IF(J10='Reverse Search'!$L$9,1,0)))))</f>
        <v>1</v>
      </c>
      <c r="X10" s="0" t="n">
        <f aca="false">IF('Reverse Search'!$N$7="Disable",1,IF('Reverse Search'!$I$10="Disable",1,IF('Reverse Search'!$K$10="≥",IF(K10&gt;='Reverse Search'!$L$10,1,0),IF('Reverse Search'!$K$10="≤",IF(K10&lt;='Reverse Search'!$L$10,1,0),IF(K10='Reverse Search'!$L$10,1,0)))))</f>
        <v>1</v>
      </c>
      <c r="Y10" s="367" t="n">
        <f aca="false">IF('Reverse Search'!$N$7="Disable",1,IF('Reverse Search'!$I$11="Disable",1,IF('Reverse Search'!$K$11="≥",IF(L10&gt;='Reverse Search'!$L$11,1,0),IF('Reverse Search'!$K$11="≤",IF(L10&lt;='Reverse Search'!$L$11,1,0),IF(L10='Reverse Search'!$L$11,1,0)))))</f>
        <v>1</v>
      </c>
      <c r="Z10" s="0" t="n">
        <f aca="true">IF('Reverse Search'!$C$14="Disable",1,IF('Reverse Search'!$D$16="Disable",1,IF($C$2=3,IF($M10=0,0,COUNTIF(INDIRECT("'0.0.2 Pokémon Learnset (Core)'!$D$"&amp;MATCH($E10,'0.0.2 Pokémon Learnset (Core)'!$A$1:$A951,0)&amp;":$FK$"&amp;MATCH($E10,'0.0.2 Pokémon Learnset (Core)'!$A$1:$A951,0)),'Reverse Search'!$E$21)),IF($C$2=2,COUNTIF(INDIRECT("'0.1.1 Pokémon GO Moves'!$B$"&amp;MATCH($E10,'0.1.1 Pokémon GO Moves'!$A$1:$A951,0)&amp;":$R$"&amp;MATCH($E10,'0.1.1 Pokémon GO Moves'!$A$1:$A951,0)),'Reverse Search'!$E$21),COUNTIF(INDIRECT("'0.1.1 Pokémon GO Moves'!$B$"&amp;MATCH($E10,'0.1.1 Pokémon GO Moves'!$A$1:$A951,0)&amp;":$L$"&amp;MATCH($E10,'0.1.1 Pokémon GO Moves'!$A$1:$A951,0)),'Reverse Search'!$E$21)))))</f>
        <v>1</v>
      </c>
      <c r="AA10" s="0" t="e">
        <f aca="true">IF('Reverse Search'!$C$14="Disable",1,IF('Reverse Search'!$I$16="Disable",1,IF($D$2=3,IF($M10=0,0,COUNTIF(INDIRECT("'0.0.2 Pokémon Learnset (Core)'!$D$"&amp;MATCH($E10,'0.0.2 Pokémon Learnset (Core)'!$A$1:$A951,0)&amp;":$FK$"&amp;MATCH($E10,'0.0.2 Pokémon Learnset (Core)'!$A$1:$A951,0)),'Reverse Search'!$J$21)),IF($D$2=2,COUNTIF(INDIRECT("'0.1.1 Pokémon GO Moves'!$B$"&amp;MATCH($E10,'0.1.1 Pokémon GO Moves'!$A$1:$A951,0)&amp;":$R$"&amp;MATCH($E10,'0.1.1 Pokémon GO Moves'!$A$1:$A951,0)),'Reverse Search'!$J$21),COUNTIF(INDIRECT("'0.1.1 Pokémon GO Moves'!$B$"&amp;MATCH($E10,'0.1.1 Pokémon GO Moves'!$A$1:$A951,0)&amp;":$L$"&amp;MATCH($E10,'0.1.1 Pokémon GO Moves'!$A$1:$A951,0)),'Reverse Search'!$J$21)))))</f>
        <v>#N/A</v>
      </c>
      <c r="AB10" s="490"/>
      <c r="AC10" s="260" t="e">
        <f aca="false">IF((Q10+R10+S10+V10+W10+X10+Y10+IF(Z10&gt;=1,1,0)+IF(AA10&gt;=1,1,0))=9,G10&amp;", ",)</f>
        <v>#N/A</v>
      </c>
    </row>
    <row r="11" customFormat="false" ht="15.75" hidden="false" customHeight="false" outlineLevel="0" collapsed="false">
      <c r="A11" s="384" t="s">
        <v>151</v>
      </c>
      <c r="B11" s="358" t="n">
        <f aca="false">IFERROR(__xludf.dummyfunction("""COMPUTED_VALUE"""),0.51)</f>
        <v>0.51</v>
      </c>
      <c r="C11" s="260" t="str">
        <f aca="false">IFERROR(__xludf.dummyfunction("""COMPUTED_VALUE"""),"Charge Beam")</f>
        <v>Charge Beam</v>
      </c>
      <c r="D11" s="358" t="str">
        <f aca="false">IFERROR(__xludf.dummyfunction("""COMPUTED_VALUE"""),"Body Slam")</f>
        <v>Body Slam</v>
      </c>
      <c r="E11" s="260" t="n">
        <v>10</v>
      </c>
      <c r="F11" s="260" t="n">
        <f aca="false" t="array" ref="F11:F11">INDEX('0.0.1 Pokémon Dex Data'!$H$3:$H951,MATCH(E11,'0.0.1 Pokémon Dex Data'!$B$3:$B951,0))</f>
        <v>0</v>
      </c>
      <c r="G11" s="0" t="str">
        <f aca="false" t="array" ref="G11:G11">INDEX('0.0.1 Pokémon Dex Data'!$E$3:$E951,MATCH(E11,'0.0.1 Pokémon Dex Data'!$B$3:$B951,0))</f>
        <v>Squirtle</v>
      </c>
      <c r="H11" s="0" t="str">
        <f aca="false" t="array" ref="H11:H11">INDEX('0.0.1 Pokémon Dex Data'!$Q$3:$Q951,MATCH(E11,'0.0.1 Pokémon Dex Data'!$B$3:$B951,0))</f>
        <v>Water</v>
      </c>
      <c r="I11" s="0" t="n">
        <f aca="false">INDEX('0.0.1 Pokémon Dex Data'!$R$3:$R951,MATCH(E11,'0.0.1 Pokémon Dex Data'!$B$3:$B951,0))</f>
        <v>0</v>
      </c>
      <c r="J11" s="260" t="n">
        <f aca="false" t="array" ref="J11:J11">ROUND(INDEX('0.0.1 Pokémon Dex Data'!$S$3:$S951,MATCH($E11,'0.0.1 Pokémon Dex Data'!$B$3:$B951,0))*INDEX('0.0.1 Pokémon Dex Data'!T$3:T951,MATCH($E11,'0.0.1 Pokémon Dex Data'!$B$3:$B951,0)),0)</f>
        <v>94</v>
      </c>
      <c r="K11" s="260" t="n">
        <f aca="false" t="array" ref="K11:K11">ROUND(INDEX('0.0.1 Pokémon Dex Data'!$S$3:$S951,MATCH($E11,'0.0.1 Pokémon Dex Data'!$B$3:$B951,0))*INDEX('0.0.1 Pokémon Dex Data'!U$3:U951,MATCH($E11,'0.0.1 Pokémon Dex Data'!$B$3:$B951,0)),0)</f>
        <v>121</v>
      </c>
      <c r="L11" s="260" t="n">
        <f aca="false" t="array" ref="L11:L11">ROUND(INDEX('0.0.1 Pokémon Dex Data'!$S$3:$S951,MATCH($E11,'0.0.1 Pokémon Dex Data'!$B$3:$B951,0))*INDEX('0.0.1 Pokémon Dex Data'!V$3:V951,MATCH($E11,'0.0.1 Pokémon Dex Data'!$B$3:$B951,0)),0)</f>
        <v>127</v>
      </c>
      <c r="M11" s="260" t="n">
        <f aca="false" t="array" ref="M11:M11">INDEX('0.0.1 Pokémon Dex Data'!$J$3:$J951,MATCH(E11,'0.0.1 Pokémon Dex Data'!$B$3:$B951,0))</f>
        <v>0</v>
      </c>
      <c r="O11" s="490"/>
      <c r="Q11" s="367" t="n">
        <f aca="false">IF('Reverse Search'!$F$4="All (including temporary formes)",1,IF('Reverse Search'!$F$4="Base Pokémon and permanent formes only",IF(F11&lt;=1,1,0),IF(F11=0,1,0)))</f>
        <v>1</v>
      </c>
      <c r="R11" s="0" t="n">
        <f aca="false">IF('Reverse Search'!$C$7="Disable",1,IF('Reverse Search'!$D$9="Disable",1,IF(OR('Reverse Search'!$F$9=H11,'Reverse Search'!$F$9=I11),1,0)))</f>
        <v>1</v>
      </c>
      <c r="S11" s="0" t="n">
        <f aca="false">IF('Reverse Search'!$C$7="Disable",1,IF('Reverse Search'!$D$10="Disable",1,IF(OR('Reverse Search'!$F$10=H11,'Reverse Search'!$F$10=I11),1,0)))</f>
        <v>1</v>
      </c>
      <c r="T11" s="0" t="n">
        <f aca="false">INDEX($B$4:$B$22,MATCH(H11,$A$4:$A$22,0))</f>
        <v>1</v>
      </c>
      <c r="U11" s="0" t="e">
        <f aca="false">IF(ISBLANK(I11),1,INDEX($B$4:$B$22,MATCH(I11,$A$4:$A$22,0)))</f>
        <v>#N/A</v>
      </c>
      <c r="V11" s="367" t="n">
        <f aca="false">IF('Reverse Search'!$C$7="Disable",1,IF('Reverse Search'!$D$11="Disable",1,IF('Reverse Search'!$E$11="Neutral to:",IF(ROUND(T11*U11,2)&lt;=1,1,0),IF(ROUND(T11*U11,2)&lt;1,1,0))))</f>
        <v>1</v>
      </c>
      <c r="W11" s="0" t="n">
        <f aca="false">IF('Reverse Search'!$N$7="Disable",1,IF('Reverse Search'!$I$9="Disable",1,IF('Reverse Search'!$K$9="≥",IF(J11&gt;='Reverse Search'!$L$9,1,0),IF('Reverse Search'!$K$9="≤",IF(J11&lt;='Reverse Search'!$L$9,1,0),IF(J11='Reverse Search'!$L$9,1,0)))))</f>
        <v>1</v>
      </c>
      <c r="X11" s="0" t="n">
        <f aca="false">IF('Reverse Search'!$N$7="Disable",1,IF('Reverse Search'!$I$10="Disable",1,IF('Reverse Search'!$K$10="≥",IF(K11&gt;='Reverse Search'!$L$10,1,0),IF('Reverse Search'!$K$10="≤",IF(K11&lt;='Reverse Search'!$L$10,1,0),IF(K11='Reverse Search'!$L$10,1,0)))))</f>
        <v>1</v>
      </c>
      <c r="Y11" s="367" t="n">
        <f aca="false">IF('Reverse Search'!$N$7="Disable",1,IF('Reverse Search'!$I$11="Disable",1,IF('Reverse Search'!$K$11="≥",IF(L11&gt;='Reverse Search'!$L$11,1,0),IF('Reverse Search'!$K$11="≤",IF(L11&lt;='Reverse Search'!$L$11,1,0),IF(L11='Reverse Search'!$L$11,1,0)))))</f>
        <v>1</v>
      </c>
      <c r="Z11" s="0" t="n">
        <f aca="true">IF('Reverse Search'!$C$14="Disable",1,IF('Reverse Search'!$D$16="Disable",1,IF($C$2=3,IF($M11=0,0,COUNTIF(INDIRECT("'0.0.2 Pokémon Learnset (Core)'!$D$"&amp;MATCH($E11,'0.0.2 Pokémon Learnset (Core)'!$A$1:$A951,0)&amp;":$FK$"&amp;MATCH($E11,'0.0.2 Pokémon Learnset (Core)'!$A$1:$A951,0)),'Reverse Search'!$E$21)),IF($C$2=2,COUNTIF(INDIRECT("'0.1.1 Pokémon GO Moves'!$B$"&amp;MATCH($E11,'0.1.1 Pokémon GO Moves'!$A$1:$A951,0)&amp;":$R$"&amp;MATCH($E11,'0.1.1 Pokémon GO Moves'!$A$1:$A951,0)),'Reverse Search'!$E$21),COUNTIF(INDIRECT("'0.1.1 Pokémon GO Moves'!$B$"&amp;MATCH($E11,'0.1.1 Pokémon GO Moves'!$A$1:$A951,0)&amp;":$L$"&amp;MATCH($E11,'0.1.1 Pokémon GO Moves'!$A$1:$A951,0)),'Reverse Search'!$E$21)))))</f>
        <v>1</v>
      </c>
      <c r="AA11" s="0" t="n">
        <f aca="true">IF('Reverse Search'!$C$14="Disable",1,IF('Reverse Search'!$I$16="Disable",1,IF($D$2=3,IF($M11=0,0,COUNTIF(INDIRECT("'0.0.2 Pokémon Learnset (Core)'!$D$"&amp;MATCH($E11,'0.0.2 Pokémon Learnset (Core)'!$A$1:$A951,0)&amp;":$FK$"&amp;MATCH($E11,'0.0.2 Pokémon Learnset (Core)'!$A$1:$A951,0)),'Reverse Search'!$J$21)),IF($D$2=2,COUNTIF(INDIRECT("'0.1.1 Pokémon GO Moves'!$B$"&amp;MATCH($E11,'0.1.1 Pokémon GO Moves'!$A$1:$A951,0)&amp;":$R$"&amp;MATCH($E11,'0.1.1 Pokémon GO Moves'!$A$1:$A951,0)),'Reverse Search'!$J$21),COUNTIF(INDIRECT("'0.1.1 Pokémon GO Moves'!$B$"&amp;MATCH($E11,'0.1.1 Pokémon GO Moves'!$A$1:$A951,0)&amp;":$L$"&amp;MATCH($E11,'0.1.1 Pokémon GO Moves'!$A$1:$A951,0)),'Reverse Search'!$J$21)))))</f>
        <v>0</v>
      </c>
      <c r="AB11" s="490"/>
      <c r="AC11" s="260" t="n">
        <f aca="false">IF((Q11+R11+S11+V11+W11+X11+Y11+IF(Z11&gt;=1,1,0)+IF(AA11&gt;=1,1,0))=9,G11&amp;", ",)</f>
        <v>0</v>
      </c>
    </row>
    <row r="12" customFormat="false" ht="15.75" hidden="false" customHeight="false" outlineLevel="0" collapsed="false">
      <c r="A12" s="384" t="s">
        <v>152</v>
      </c>
      <c r="B12" s="358" t="n">
        <f aca="false">IFERROR(__xludf.dummyfunction("""COMPUTED_VALUE"""),0.714)</f>
        <v>0.714</v>
      </c>
      <c r="C12" s="260" t="str">
        <f aca="false">IFERROR(__xludf.dummyfunction("""COMPUTED_VALUE"""),"Confusion")</f>
        <v>Confusion</v>
      </c>
      <c r="D12" s="358" t="str">
        <f aca="false">IFERROR(__xludf.dummyfunction("""COMPUTED_VALUE"""),"Bone Club")</f>
        <v>Bone Club</v>
      </c>
      <c r="E12" s="260" t="n">
        <v>11</v>
      </c>
      <c r="F12" s="260" t="n">
        <f aca="false" t="array" ref="F12:F12">INDEX('0.0.1 Pokémon Dex Data'!$H$3:$H951,MATCH(E12,'0.0.1 Pokémon Dex Data'!$B$3:$B951,0))</f>
        <v>0</v>
      </c>
      <c r="G12" s="0" t="str">
        <f aca="false" t="array" ref="G12:G12">INDEX('0.0.1 Pokémon Dex Data'!$E$3:$E951,MATCH(E12,'0.0.1 Pokémon Dex Data'!$B$3:$B951,0))</f>
        <v>Wartortle</v>
      </c>
      <c r="H12" s="0" t="str">
        <f aca="false" t="array" ref="H12:H12">INDEX('0.0.1 Pokémon Dex Data'!$Q$3:$Q951,MATCH(E12,'0.0.1 Pokémon Dex Data'!$B$3:$B951,0))</f>
        <v>Water</v>
      </c>
      <c r="I12" s="0" t="n">
        <f aca="false">INDEX('0.0.1 Pokémon Dex Data'!$R$3:$R951,MATCH(E12,'0.0.1 Pokémon Dex Data'!$B$3:$B951,0))</f>
        <v>0</v>
      </c>
      <c r="J12" s="260" t="n">
        <f aca="false" t="array" ref="J12:J12">ROUND(INDEX('0.0.1 Pokémon Dex Data'!$S$3:$S951,MATCH($E12,'0.0.1 Pokémon Dex Data'!$B$3:$B951,0))*INDEX('0.0.1 Pokémon Dex Data'!T$3:T951,MATCH($E12,'0.0.1 Pokémon Dex Data'!$B$3:$B951,0)),0)</f>
        <v>126</v>
      </c>
      <c r="K12" s="260" t="n">
        <f aca="false" t="array" ref="K12:K12">ROUND(INDEX('0.0.1 Pokémon Dex Data'!$S$3:$S951,MATCH($E12,'0.0.1 Pokémon Dex Data'!$B$3:$B951,0))*INDEX('0.0.1 Pokémon Dex Data'!U$3:U951,MATCH($E12,'0.0.1 Pokémon Dex Data'!$B$3:$B951,0)),0)</f>
        <v>155</v>
      </c>
      <c r="L12" s="260" t="n">
        <f aca="false" t="array" ref="L12:L12">ROUND(INDEX('0.0.1 Pokémon Dex Data'!$S$3:$S951,MATCH($E12,'0.0.1 Pokémon Dex Data'!$B$3:$B951,0))*INDEX('0.0.1 Pokémon Dex Data'!V$3:V951,MATCH($E12,'0.0.1 Pokémon Dex Data'!$B$3:$B951,0)),0)</f>
        <v>153</v>
      </c>
      <c r="M12" s="260" t="n">
        <f aca="false" t="array" ref="M12:M12">INDEX('0.0.1 Pokémon Dex Data'!$J$3:$J951,MATCH(E12,'0.0.1 Pokémon Dex Data'!$B$3:$B951,0))</f>
        <v>0</v>
      </c>
      <c r="O12" s="490"/>
      <c r="Q12" s="367" t="n">
        <f aca="false">IF('Reverse Search'!$F$4="All (including temporary formes)",1,IF('Reverse Search'!$F$4="Base Pokémon and permanent formes only",IF(F12&lt;=1,1,0),IF(F12=0,1,0)))</f>
        <v>1</v>
      </c>
      <c r="R12" s="0" t="n">
        <f aca="false">IF('Reverse Search'!$C$7="Disable",1,IF('Reverse Search'!$D$9="Disable",1,IF(OR('Reverse Search'!$F$9=H12,'Reverse Search'!$F$9=I12),1,0)))</f>
        <v>1</v>
      </c>
      <c r="S12" s="0" t="n">
        <f aca="false">IF('Reverse Search'!$C$7="Disable",1,IF('Reverse Search'!$D$10="Disable",1,IF(OR('Reverse Search'!$F$10=H12,'Reverse Search'!$F$10=I12),1,0)))</f>
        <v>1</v>
      </c>
      <c r="T12" s="0" t="n">
        <f aca="false">INDEX($B$4:$B$22,MATCH(H12,$A$4:$A$22,0))</f>
        <v>1</v>
      </c>
      <c r="U12" s="0" t="e">
        <f aca="false">IF(ISBLANK(I12),1,INDEX($B$4:$B$22,MATCH(I12,$A$4:$A$22,0)))</f>
        <v>#N/A</v>
      </c>
      <c r="V12" s="367" t="n">
        <f aca="false">IF('Reverse Search'!$C$7="Disable",1,IF('Reverse Search'!$D$11="Disable",1,IF('Reverse Search'!$E$11="Neutral to:",IF(ROUND(T12*U12,2)&lt;=1,1,0),IF(ROUND(T12*U12,2)&lt;1,1,0))))</f>
        <v>1</v>
      </c>
      <c r="W12" s="0" t="n">
        <f aca="false">IF('Reverse Search'!$N$7="Disable",1,IF('Reverse Search'!$I$9="Disable",1,IF('Reverse Search'!$K$9="≥",IF(J12&gt;='Reverse Search'!$L$9,1,0),IF('Reverse Search'!$K$9="≤",IF(J12&lt;='Reverse Search'!$L$9,1,0),IF(J12='Reverse Search'!$L$9,1,0)))))</f>
        <v>1</v>
      </c>
      <c r="X12" s="0" t="n">
        <f aca="false">IF('Reverse Search'!$N$7="Disable",1,IF('Reverse Search'!$I$10="Disable",1,IF('Reverse Search'!$K$10="≥",IF(K12&gt;='Reverse Search'!$L$10,1,0),IF('Reverse Search'!$K$10="≤",IF(K12&lt;='Reverse Search'!$L$10,1,0),IF(K12='Reverse Search'!$L$10,1,0)))))</f>
        <v>1</v>
      </c>
      <c r="Y12" s="367" t="n">
        <f aca="false">IF('Reverse Search'!$N$7="Disable",1,IF('Reverse Search'!$I$11="Disable",1,IF('Reverse Search'!$K$11="≥",IF(L12&gt;='Reverse Search'!$L$11,1,0),IF('Reverse Search'!$K$11="≤",IF(L12&lt;='Reverse Search'!$L$11,1,0),IF(L12='Reverse Search'!$L$11,1,0)))))</f>
        <v>1</v>
      </c>
      <c r="Z12" s="0" t="n">
        <f aca="true">IF('Reverse Search'!$C$14="Disable",1,IF('Reverse Search'!$D$16="Disable",1,IF($C$2=3,IF($M12=0,0,COUNTIF(INDIRECT("'0.0.2 Pokémon Learnset (Core)'!$D$"&amp;MATCH($E12,'0.0.2 Pokémon Learnset (Core)'!$A$1:$A951,0)&amp;":$FK$"&amp;MATCH($E12,'0.0.2 Pokémon Learnset (Core)'!$A$1:$A951,0)),'Reverse Search'!$E$21)),IF($C$2=2,COUNTIF(INDIRECT("'0.1.1 Pokémon GO Moves'!$B$"&amp;MATCH($E12,'0.1.1 Pokémon GO Moves'!$A$1:$A951,0)&amp;":$R$"&amp;MATCH($E12,'0.1.1 Pokémon GO Moves'!$A$1:$A951,0)),'Reverse Search'!$E$21),COUNTIF(INDIRECT("'0.1.1 Pokémon GO Moves'!$B$"&amp;MATCH($E12,'0.1.1 Pokémon GO Moves'!$A$1:$A951,0)&amp;":$L$"&amp;MATCH($E12,'0.1.1 Pokémon GO Moves'!$A$1:$A951,0)),'Reverse Search'!$E$21)))))</f>
        <v>1</v>
      </c>
      <c r="AA12" s="0" t="n">
        <f aca="true">IF('Reverse Search'!$C$14="Disable",1,IF('Reverse Search'!$I$16="Disable",1,IF($D$2=3,IF($M12=0,0,COUNTIF(INDIRECT("'0.0.2 Pokémon Learnset (Core)'!$D$"&amp;MATCH($E12,'0.0.2 Pokémon Learnset (Core)'!$A$1:$A951,0)&amp;":$FK$"&amp;MATCH($E12,'0.0.2 Pokémon Learnset (Core)'!$A$1:$A951,0)),'Reverse Search'!$J$21)),IF($D$2=2,COUNTIF(INDIRECT("'0.1.1 Pokémon GO Moves'!$B$"&amp;MATCH($E12,'0.1.1 Pokémon GO Moves'!$A$1:$A951,0)&amp;":$R$"&amp;MATCH($E12,'0.1.1 Pokémon GO Moves'!$A$1:$A951,0)),'Reverse Search'!$J$21),COUNTIF(INDIRECT("'0.1.1 Pokémon GO Moves'!$B$"&amp;MATCH($E12,'0.1.1 Pokémon GO Moves'!$A$1:$A951,0)&amp;":$L$"&amp;MATCH($E12,'0.1.1 Pokémon GO Moves'!$A$1:$A951,0)),'Reverse Search'!$J$21)))))</f>
        <v>0</v>
      </c>
      <c r="AB12" s="490"/>
      <c r="AC12" s="260" t="n">
        <f aca="false">IF((Q12+R12+S12+V12+W12+X12+Y12+IF(Z12&gt;=1,1,0)+IF(AA12&gt;=1,1,0))=9,G12&amp;", ",)</f>
        <v>0</v>
      </c>
    </row>
    <row r="13" customFormat="false" ht="15.75" hidden="false" customHeight="false" outlineLevel="0" collapsed="false">
      <c r="A13" s="384" t="s">
        <v>153</v>
      </c>
      <c r="B13" s="358" t="n">
        <f aca="false">IFERROR(__xludf.dummyfunction("""COMPUTED_VALUE"""),1)</f>
        <v>1</v>
      </c>
      <c r="C13" s="260" t="str">
        <f aca="false">IFERROR(__xludf.dummyfunction("""COMPUTED_VALUE"""),"Counter")</f>
        <v>Counter</v>
      </c>
      <c r="D13" s="358" t="str">
        <f aca="false">IFERROR(__xludf.dummyfunction("""COMPUTED_VALUE"""),"Brave Bird")</f>
        <v>Brave Bird</v>
      </c>
      <c r="E13" s="260" t="n">
        <v>12</v>
      </c>
      <c r="F13" s="260" t="n">
        <f aca="false" t="array" ref="F13:F13">INDEX('0.0.1 Pokémon Dex Data'!$H$3:$H951,MATCH(E13,'0.0.1 Pokémon Dex Data'!$B$3:$B951,0))</f>
        <v>0</v>
      </c>
      <c r="G13" s="0" t="str">
        <f aca="false" t="array" ref="G13:G13">INDEX('0.0.1 Pokémon Dex Data'!$E$3:$E951,MATCH(E13,'0.0.1 Pokémon Dex Data'!$B$3:$B951,0))</f>
        <v>Blastoise</v>
      </c>
      <c r="H13" s="0" t="str">
        <f aca="false" t="array" ref="H13:H13">INDEX('0.0.1 Pokémon Dex Data'!$Q$3:$Q951,MATCH(E13,'0.0.1 Pokémon Dex Data'!$B$3:$B951,0))</f>
        <v>Water</v>
      </c>
      <c r="I13" s="0" t="n">
        <f aca="false">INDEX('0.0.1 Pokémon Dex Data'!$R$3:$R951,MATCH(E13,'0.0.1 Pokémon Dex Data'!$B$3:$B951,0))</f>
        <v>0</v>
      </c>
      <c r="J13" s="260" t="n">
        <f aca="false" t="array" ref="J13:J13">ROUND(INDEX('0.0.1 Pokémon Dex Data'!$S$3:$S951,MATCH($E13,'0.0.1 Pokémon Dex Data'!$B$3:$B951,0))*INDEX('0.0.1 Pokémon Dex Data'!T$3:T951,MATCH($E13,'0.0.1 Pokémon Dex Data'!$B$3:$B951,0)),0)</f>
        <v>171</v>
      </c>
      <c r="K13" s="260" t="n">
        <f aca="false" t="array" ref="K13:K13">ROUND(INDEX('0.0.1 Pokémon Dex Data'!$S$3:$S951,MATCH($E13,'0.0.1 Pokémon Dex Data'!$B$3:$B951,0))*INDEX('0.0.1 Pokémon Dex Data'!U$3:U951,MATCH($E13,'0.0.1 Pokémon Dex Data'!$B$3:$B951,0)),0)</f>
        <v>207</v>
      </c>
      <c r="L13" s="260" t="n">
        <f aca="false" t="array" ref="L13:L13">ROUND(INDEX('0.0.1 Pokémon Dex Data'!$S$3:$S951,MATCH($E13,'0.0.1 Pokémon Dex Data'!$B$3:$B951,0))*INDEX('0.0.1 Pokémon Dex Data'!V$3:V951,MATCH($E13,'0.0.1 Pokémon Dex Data'!$B$3:$B951,0)),0)</f>
        <v>188</v>
      </c>
      <c r="M13" s="260" t="n">
        <f aca="false" t="array" ref="M13:M13">INDEX('0.0.1 Pokémon Dex Data'!$J$3:$J951,MATCH(E13,'0.0.1 Pokémon Dex Data'!$B$3:$B951,0))</f>
        <v>1</v>
      </c>
      <c r="O13" s="490"/>
      <c r="Q13" s="367" t="n">
        <f aca="false">IF('Reverse Search'!$F$4="All (including temporary formes)",1,IF('Reverse Search'!$F$4="Base Pokémon and permanent formes only",IF(F13&lt;=1,1,0),IF(F13=0,1,0)))</f>
        <v>1</v>
      </c>
      <c r="R13" s="0" t="n">
        <f aca="false">IF('Reverse Search'!$C$7="Disable",1,IF('Reverse Search'!$D$9="Disable",1,IF(OR('Reverse Search'!$F$9=H13,'Reverse Search'!$F$9=I13),1,0)))</f>
        <v>1</v>
      </c>
      <c r="S13" s="0" t="n">
        <f aca="false">IF('Reverse Search'!$C$7="Disable",1,IF('Reverse Search'!$D$10="Disable",1,IF(OR('Reverse Search'!$F$10=H13,'Reverse Search'!$F$10=I13),1,0)))</f>
        <v>1</v>
      </c>
      <c r="T13" s="0" t="n">
        <f aca="false">INDEX($B$4:$B$22,MATCH(H13,$A$4:$A$22,0))</f>
        <v>1</v>
      </c>
      <c r="U13" s="0" t="e">
        <f aca="false">IF(ISBLANK(I13),1,INDEX($B$4:$B$22,MATCH(I13,$A$4:$A$22,0)))</f>
        <v>#N/A</v>
      </c>
      <c r="V13" s="367" t="n">
        <f aca="false">IF('Reverse Search'!$C$7="Disable",1,IF('Reverse Search'!$D$11="Disable",1,IF('Reverse Search'!$E$11="Neutral to:",IF(ROUND(T13*U13,2)&lt;=1,1,0),IF(ROUND(T13*U13,2)&lt;1,1,0))))</f>
        <v>1</v>
      </c>
      <c r="W13" s="0" t="n">
        <f aca="false">IF('Reverse Search'!$N$7="Disable",1,IF('Reverse Search'!$I$9="Disable",1,IF('Reverse Search'!$K$9="≥",IF(J13&gt;='Reverse Search'!$L$9,1,0),IF('Reverse Search'!$K$9="≤",IF(J13&lt;='Reverse Search'!$L$9,1,0),IF(J13='Reverse Search'!$L$9,1,0)))))</f>
        <v>1</v>
      </c>
      <c r="X13" s="0" t="n">
        <f aca="false">IF('Reverse Search'!$N$7="Disable",1,IF('Reverse Search'!$I$10="Disable",1,IF('Reverse Search'!$K$10="≥",IF(K13&gt;='Reverse Search'!$L$10,1,0),IF('Reverse Search'!$K$10="≤",IF(K13&lt;='Reverse Search'!$L$10,1,0),IF(K13='Reverse Search'!$L$10,1,0)))))</f>
        <v>1</v>
      </c>
      <c r="Y13" s="367" t="n">
        <f aca="false">IF('Reverse Search'!$N$7="Disable",1,IF('Reverse Search'!$I$11="Disable",1,IF('Reverse Search'!$K$11="≥",IF(L13&gt;='Reverse Search'!$L$11,1,0),IF('Reverse Search'!$K$11="≤",IF(L13&lt;='Reverse Search'!$L$11,1,0),IF(L13='Reverse Search'!$L$11,1,0)))))</f>
        <v>1</v>
      </c>
      <c r="Z13" s="0" t="n">
        <f aca="true">IF('Reverse Search'!$C$14="Disable",1,IF('Reverse Search'!$D$16="Disable",1,IF($C$2=3,IF($M13=0,0,COUNTIF(INDIRECT("'0.0.2 Pokémon Learnset (Core)'!$D$"&amp;MATCH($E13,'0.0.2 Pokémon Learnset (Core)'!$A$1:$A951,0)&amp;":$FK$"&amp;MATCH($E13,'0.0.2 Pokémon Learnset (Core)'!$A$1:$A951,0)),'Reverse Search'!$E$21)),IF($C$2=2,COUNTIF(INDIRECT("'0.1.1 Pokémon GO Moves'!$B$"&amp;MATCH($E13,'0.1.1 Pokémon GO Moves'!$A$1:$A951,0)&amp;":$R$"&amp;MATCH($E13,'0.1.1 Pokémon GO Moves'!$A$1:$A951,0)),'Reverse Search'!$E$21),COUNTIF(INDIRECT("'0.1.1 Pokémon GO Moves'!$B$"&amp;MATCH($E13,'0.1.1 Pokémon GO Moves'!$A$1:$A951,0)&amp;":$L$"&amp;MATCH($E13,'0.1.1 Pokémon GO Moves'!$A$1:$A951,0)),'Reverse Search'!$E$21)))))</f>
        <v>1</v>
      </c>
      <c r="AA13" s="0" t="n">
        <f aca="true">IF('Reverse Search'!$C$14="Disable",1,IF('Reverse Search'!$I$16="Disable",1,IF($D$2=3,IF($M13=0,0,COUNTIF(INDIRECT("'0.0.2 Pokémon Learnset (Core)'!$D$"&amp;MATCH($E13,'0.0.2 Pokémon Learnset (Core)'!$A$1:$A951,0)&amp;":$FK$"&amp;MATCH($E13,'0.0.2 Pokémon Learnset (Core)'!$A$1:$A951,0)),'Reverse Search'!$J$21)),IF($D$2=2,COUNTIF(INDIRECT("'0.1.1 Pokémon GO Moves'!$B$"&amp;MATCH($E13,'0.1.1 Pokémon GO Moves'!$A$1:$A951,0)&amp;":$R$"&amp;MATCH($E13,'0.1.1 Pokémon GO Moves'!$A$1:$A951,0)),'Reverse Search'!$J$21),COUNTIF(INDIRECT("'0.1.1 Pokémon GO Moves'!$B$"&amp;MATCH($E13,'0.1.1 Pokémon GO Moves'!$A$1:$A951,0)&amp;":$L$"&amp;MATCH($E13,'0.1.1 Pokémon GO Moves'!$A$1:$A951,0)),'Reverse Search'!$J$21)))))</f>
        <v>0</v>
      </c>
      <c r="AB13" s="490"/>
      <c r="AC13" s="260" t="n">
        <f aca="false">IF((Q13+R13+S13+V13+W13+X13+Y13+IF(Z13&gt;=1,1,0)+IF(AA13&gt;=1,1,0))=9,G13&amp;", ",)</f>
        <v>0</v>
      </c>
    </row>
    <row r="14" customFormat="false" ht="15.75" hidden="false" customHeight="false" outlineLevel="0" collapsed="false">
      <c r="A14" s="384" t="s">
        <v>154</v>
      </c>
      <c r="B14" s="358" t="n">
        <f aca="false">IFERROR(__xludf.dummyfunction("""COMPUTED_VALUE"""),1)</f>
        <v>1</v>
      </c>
      <c r="C14" s="260" t="str">
        <f aca="false">IFERROR(__xludf.dummyfunction("""COMPUTED_VALUE"""),"Cut")</f>
        <v>Cut</v>
      </c>
      <c r="D14" s="358" t="str">
        <f aca="false">IFERROR(__xludf.dummyfunction("""COMPUTED_VALUE"""),"Brick Break")</f>
        <v>Brick Break</v>
      </c>
      <c r="E14" s="260" t="n">
        <v>13</v>
      </c>
      <c r="F14" s="260" t="n">
        <f aca="false" t="array" ref="F14:F14">INDEX('0.0.1 Pokémon Dex Data'!$H$3:$H951,MATCH(E14,'0.0.1 Pokémon Dex Data'!$B$3:$B951,0))</f>
        <v>2</v>
      </c>
      <c r="G14" s="0" t="str">
        <f aca="false" t="array" ref="G14:G14">INDEX('0.0.1 Pokémon Dex Data'!$E$3:$E951,MATCH(E14,'0.0.1 Pokémon Dex Data'!$B$3:$B951,0))</f>
        <v>Blastoise-Mega</v>
      </c>
      <c r="H14" s="0" t="str">
        <f aca="false" t="array" ref="H14:H14">INDEX('0.0.1 Pokémon Dex Data'!$Q$3:$Q951,MATCH(E14,'0.0.1 Pokémon Dex Data'!$B$3:$B951,0))</f>
        <v>Water</v>
      </c>
      <c r="I14" s="0" t="n">
        <f aca="false">INDEX('0.0.1 Pokémon Dex Data'!$R$3:$R951,MATCH(E14,'0.0.1 Pokémon Dex Data'!$B$3:$B951,0))</f>
        <v>0</v>
      </c>
      <c r="J14" s="260" t="n">
        <f aca="false" t="array" ref="J14:J14">ROUND(INDEX('0.0.1 Pokémon Dex Data'!$S$3:$S951,MATCH($E14,'0.0.1 Pokémon Dex Data'!$B$3:$B951,0))*INDEX('0.0.1 Pokémon Dex Data'!T$3:T951,MATCH($E14,'0.0.1 Pokémon Dex Data'!$B$3:$B951,0)),0)</f>
        <v>264</v>
      </c>
      <c r="K14" s="260" t="n">
        <f aca="false" t="array" ref="K14:K14">ROUND(INDEX('0.0.1 Pokémon Dex Data'!$S$3:$S951,MATCH($E14,'0.0.1 Pokémon Dex Data'!$B$3:$B951,0))*INDEX('0.0.1 Pokémon Dex Data'!U$3:U951,MATCH($E14,'0.0.1 Pokémon Dex Data'!$B$3:$B951,0)),0)</f>
        <v>237</v>
      </c>
      <c r="L14" s="260" t="n">
        <f aca="false" t="array" ref="L14:L14">ROUND(INDEX('0.0.1 Pokémon Dex Data'!$S$3:$S951,MATCH($E14,'0.0.1 Pokémon Dex Data'!$B$3:$B951,0))*INDEX('0.0.1 Pokémon Dex Data'!V$3:V951,MATCH($E14,'0.0.1 Pokémon Dex Data'!$B$3:$B951,0)),0)</f>
        <v>188</v>
      </c>
      <c r="M14" s="260" t="n">
        <f aca="false" t="array" ref="M14:M14">INDEX('0.0.1 Pokémon Dex Data'!$J$3:$J951,MATCH(E14,'0.0.1 Pokémon Dex Data'!$B$3:$B951,0))</f>
        <v>1</v>
      </c>
      <c r="O14" s="490"/>
      <c r="Q14" s="367" t="n">
        <f aca="false">IF('Reverse Search'!$F$4="All (including temporary formes)",1,IF('Reverse Search'!$F$4="Base Pokémon and permanent formes only",IF(F14&lt;=1,1,0),IF(F14=0,1,0)))</f>
        <v>0</v>
      </c>
      <c r="R14" s="0" t="n">
        <f aca="false">IF('Reverse Search'!$C$7="Disable",1,IF('Reverse Search'!$D$9="Disable",1,IF(OR('Reverse Search'!$F$9=H14,'Reverse Search'!$F$9=I14),1,0)))</f>
        <v>1</v>
      </c>
      <c r="S14" s="0" t="n">
        <f aca="false">IF('Reverse Search'!$C$7="Disable",1,IF('Reverse Search'!$D$10="Disable",1,IF(OR('Reverse Search'!$F$10=H14,'Reverse Search'!$F$10=I14),1,0)))</f>
        <v>1</v>
      </c>
      <c r="T14" s="0" t="n">
        <f aca="false">INDEX($B$4:$B$22,MATCH(H14,$A$4:$A$22,0))</f>
        <v>1</v>
      </c>
      <c r="U14" s="0" t="e">
        <f aca="false">IF(ISBLANK(I14),1,INDEX($B$4:$B$22,MATCH(I14,$A$4:$A$22,0)))</f>
        <v>#N/A</v>
      </c>
      <c r="V14" s="367" t="n">
        <f aca="false">IF('Reverse Search'!$C$7="Disable",1,IF('Reverse Search'!$D$11="Disable",1,IF('Reverse Search'!$E$11="Neutral to:",IF(ROUND(T14*U14,2)&lt;=1,1,0),IF(ROUND(T14*U14,2)&lt;1,1,0))))</f>
        <v>1</v>
      </c>
      <c r="W14" s="0" t="n">
        <f aca="false">IF('Reverse Search'!$N$7="Disable",1,IF('Reverse Search'!$I$9="Disable",1,IF('Reverse Search'!$K$9="≥",IF(J14&gt;='Reverse Search'!$L$9,1,0),IF('Reverse Search'!$K$9="≤",IF(J14&lt;='Reverse Search'!$L$9,1,0),IF(J14='Reverse Search'!$L$9,1,0)))))</f>
        <v>1</v>
      </c>
      <c r="X14" s="0" t="n">
        <f aca="false">IF('Reverse Search'!$N$7="Disable",1,IF('Reverse Search'!$I$10="Disable",1,IF('Reverse Search'!$K$10="≥",IF(K14&gt;='Reverse Search'!$L$10,1,0),IF('Reverse Search'!$K$10="≤",IF(K14&lt;='Reverse Search'!$L$10,1,0),IF(K14='Reverse Search'!$L$10,1,0)))))</f>
        <v>1</v>
      </c>
      <c r="Y14" s="367" t="n">
        <f aca="false">IF('Reverse Search'!$N$7="Disable",1,IF('Reverse Search'!$I$11="Disable",1,IF('Reverse Search'!$K$11="≥",IF(L14&gt;='Reverse Search'!$L$11,1,0),IF('Reverse Search'!$K$11="≤",IF(L14&lt;='Reverse Search'!$L$11,1,0),IF(L14='Reverse Search'!$L$11,1,0)))))</f>
        <v>1</v>
      </c>
      <c r="Z14" s="0" t="n">
        <f aca="true">IF('Reverse Search'!$C$14="Disable",1,IF('Reverse Search'!$D$16="Disable",1,IF($C$2=3,IF($M14=0,0,COUNTIF(INDIRECT("'0.0.2 Pokémon Learnset (Core)'!$D$"&amp;MATCH($E14,'0.0.2 Pokémon Learnset (Core)'!$A$1:$A951,0)&amp;":$FK$"&amp;MATCH($E14,'0.0.2 Pokémon Learnset (Core)'!$A$1:$A951,0)),'Reverse Search'!$E$21)),IF($C$2=2,COUNTIF(INDIRECT("'0.1.1 Pokémon GO Moves'!$B$"&amp;MATCH($E14,'0.1.1 Pokémon GO Moves'!$A$1:$A951,0)&amp;":$R$"&amp;MATCH($E14,'0.1.1 Pokémon GO Moves'!$A$1:$A951,0)),'Reverse Search'!$E$21),COUNTIF(INDIRECT("'0.1.1 Pokémon GO Moves'!$B$"&amp;MATCH($E14,'0.1.1 Pokémon GO Moves'!$A$1:$A951,0)&amp;":$L$"&amp;MATCH($E14,'0.1.1 Pokémon GO Moves'!$A$1:$A951,0)),'Reverse Search'!$E$21)))))</f>
        <v>1</v>
      </c>
      <c r="AA14" s="0" t="e">
        <f aca="true">IF('Reverse Search'!$C$14="Disable",1,IF('Reverse Search'!$I$16="Disable",1,IF($D$2=3,IF($M14=0,0,COUNTIF(INDIRECT("'0.0.2 Pokémon Learnset (Core)'!$D$"&amp;MATCH($E14,'0.0.2 Pokémon Learnset (Core)'!$A$1:$A951,0)&amp;":$FK$"&amp;MATCH($E14,'0.0.2 Pokémon Learnset (Core)'!$A$1:$A951,0)),'Reverse Search'!$J$21)),IF($D$2=2,COUNTIF(INDIRECT("'0.1.1 Pokémon GO Moves'!$B$"&amp;MATCH($E14,'0.1.1 Pokémon GO Moves'!$A$1:$A951,0)&amp;":$R$"&amp;MATCH($E14,'0.1.1 Pokémon GO Moves'!$A$1:$A951,0)),'Reverse Search'!$J$21),COUNTIF(INDIRECT("'0.1.1 Pokémon GO Moves'!$B$"&amp;MATCH($E14,'0.1.1 Pokémon GO Moves'!$A$1:$A951,0)&amp;":$L$"&amp;MATCH($E14,'0.1.1 Pokémon GO Moves'!$A$1:$A951,0)),'Reverse Search'!$J$21)))))</f>
        <v>#N/A</v>
      </c>
      <c r="AB14" s="490"/>
      <c r="AC14" s="260" t="e">
        <f aca="false">IF((Q14+R14+S14+V14+W14+X14+Y14+IF(Z14&gt;=1,1,0)+IF(AA14&gt;=1,1,0))=9,G14&amp;", ",)</f>
        <v>#N/A</v>
      </c>
    </row>
    <row r="15" customFormat="false" ht="15.75" hidden="false" customHeight="false" outlineLevel="0" collapsed="false">
      <c r="A15" s="384" t="s">
        <v>155</v>
      </c>
      <c r="B15" s="358" t="n">
        <f aca="false">IFERROR(__xludf.dummyfunction("""COMPUTED_VALUE"""),1)</f>
        <v>1</v>
      </c>
      <c r="C15" s="260" t="str">
        <f aca="false">IFERROR(__xludf.dummyfunction("""COMPUTED_VALUE"""),"Dragon Breath")</f>
        <v>Dragon Breath</v>
      </c>
      <c r="D15" s="358" t="str">
        <f aca="false">IFERROR(__xludf.dummyfunction("""COMPUTED_VALUE"""),"Brine")</f>
        <v>Brine</v>
      </c>
      <c r="E15" s="260" t="n">
        <v>14</v>
      </c>
      <c r="F15" s="260" t="n">
        <f aca="false" t="array" ref="F15:F15">INDEX('0.0.1 Pokémon Dex Data'!$H$3:$H951,MATCH(E15,'0.0.1 Pokémon Dex Data'!$B$3:$B951,0))</f>
        <v>0</v>
      </c>
      <c r="G15" s="0" t="str">
        <f aca="false" t="array" ref="G15:G15">INDEX('0.0.1 Pokémon Dex Data'!$E$3:$E951,MATCH(E15,'0.0.1 Pokémon Dex Data'!$B$3:$B951,0))</f>
        <v>Caterpie</v>
      </c>
      <c r="H15" s="0" t="str">
        <f aca="false" t="array" ref="H15:H15">INDEX('0.0.1 Pokémon Dex Data'!$Q$3:$Q951,MATCH(E15,'0.0.1 Pokémon Dex Data'!$B$3:$B951,0))</f>
        <v>Bug</v>
      </c>
      <c r="I15" s="0" t="n">
        <f aca="false">INDEX('0.0.1 Pokémon Dex Data'!$R$3:$R951,MATCH(E15,'0.0.1 Pokémon Dex Data'!$B$3:$B951,0))</f>
        <v>0</v>
      </c>
      <c r="J15" s="260" t="n">
        <f aca="false" t="array" ref="J15:J15">ROUND(INDEX('0.0.1 Pokémon Dex Data'!$S$3:$S951,MATCH($E15,'0.0.1 Pokémon Dex Data'!$B$3:$B951,0))*INDEX('0.0.1 Pokémon Dex Data'!T$3:T951,MATCH($E15,'0.0.1 Pokémon Dex Data'!$B$3:$B951,0)),0)</f>
        <v>55</v>
      </c>
      <c r="K15" s="260" t="n">
        <f aca="false" t="array" ref="K15:K15">ROUND(INDEX('0.0.1 Pokémon Dex Data'!$S$3:$S951,MATCH($E15,'0.0.1 Pokémon Dex Data'!$B$3:$B951,0))*INDEX('0.0.1 Pokémon Dex Data'!U$3:U951,MATCH($E15,'0.0.1 Pokémon Dex Data'!$B$3:$B951,0)),0)</f>
        <v>55</v>
      </c>
      <c r="L15" s="260" t="n">
        <f aca="false" t="array" ref="L15:L15">ROUND(INDEX('0.0.1 Pokémon Dex Data'!$S$3:$S951,MATCH($E15,'0.0.1 Pokémon Dex Data'!$B$3:$B951,0))*INDEX('0.0.1 Pokémon Dex Data'!V$3:V951,MATCH($E15,'0.0.1 Pokémon Dex Data'!$B$3:$B951,0)),0)</f>
        <v>128</v>
      </c>
      <c r="M15" s="260" t="n">
        <f aca="false" t="array" ref="M15:M15">INDEX('0.0.1 Pokémon Dex Data'!$J$3:$J951,MATCH(E15,'0.0.1 Pokémon Dex Data'!$B$3:$B951,0))</f>
        <v>0</v>
      </c>
      <c r="O15" s="490"/>
      <c r="Q15" s="367" t="n">
        <f aca="false">IF('Reverse Search'!$F$4="All (including temporary formes)",1,IF('Reverse Search'!$F$4="Base Pokémon and permanent formes only",IF(F15&lt;=1,1,0),IF(F15=0,1,0)))</f>
        <v>1</v>
      </c>
      <c r="R15" s="0" t="n">
        <f aca="false">IF('Reverse Search'!$C$7="Disable",1,IF('Reverse Search'!$D$9="Disable",1,IF(OR('Reverse Search'!$F$9=H15,'Reverse Search'!$F$9=I15),1,0)))</f>
        <v>1</v>
      </c>
      <c r="S15" s="0" t="n">
        <f aca="false">IF('Reverse Search'!$C$7="Disable",1,IF('Reverse Search'!$D$10="Disable",1,IF(OR('Reverse Search'!$F$10=H15,'Reverse Search'!$F$10=I15),1,0)))</f>
        <v>1</v>
      </c>
      <c r="T15" s="0" t="n">
        <f aca="false">INDEX($B$4:$B$22,MATCH(H15,$A$4:$A$22,0))</f>
        <v>1</v>
      </c>
      <c r="U15" s="0" t="e">
        <f aca="false">IF(ISBLANK(I15),1,INDEX($B$4:$B$22,MATCH(I15,$A$4:$A$22,0)))</f>
        <v>#N/A</v>
      </c>
      <c r="V15" s="367" t="n">
        <f aca="false">IF('Reverse Search'!$C$7="Disable",1,IF('Reverse Search'!$D$11="Disable",1,IF('Reverse Search'!$E$11="Neutral to:",IF(ROUND(T15*U15,2)&lt;=1,1,0),IF(ROUND(T15*U15,2)&lt;1,1,0))))</f>
        <v>1</v>
      </c>
      <c r="W15" s="0" t="n">
        <f aca="false">IF('Reverse Search'!$N$7="Disable",1,IF('Reverse Search'!$I$9="Disable",1,IF('Reverse Search'!$K$9="≥",IF(J15&gt;='Reverse Search'!$L$9,1,0),IF('Reverse Search'!$K$9="≤",IF(J15&lt;='Reverse Search'!$L$9,1,0),IF(J15='Reverse Search'!$L$9,1,0)))))</f>
        <v>1</v>
      </c>
      <c r="X15" s="0" t="n">
        <f aca="false">IF('Reverse Search'!$N$7="Disable",1,IF('Reverse Search'!$I$10="Disable",1,IF('Reverse Search'!$K$10="≥",IF(K15&gt;='Reverse Search'!$L$10,1,0),IF('Reverse Search'!$K$10="≤",IF(K15&lt;='Reverse Search'!$L$10,1,0),IF(K15='Reverse Search'!$L$10,1,0)))))</f>
        <v>1</v>
      </c>
      <c r="Y15" s="367" t="n">
        <f aca="false">IF('Reverse Search'!$N$7="Disable",1,IF('Reverse Search'!$I$11="Disable",1,IF('Reverse Search'!$K$11="≥",IF(L15&gt;='Reverse Search'!$L$11,1,0),IF('Reverse Search'!$K$11="≤",IF(L15&lt;='Reverse Search'!$L$11,1,0),IF(L15='Reverse Search'!$L$11,1,0)))))</f>
        <v>1</v>
      </c>
      <c r="Z15" s="0" t="n">
        <f aca="true">IF('Reverse Search'!$C$14="Disable",1,IF('Reverse Search'!$D$16="Disable",1,IF($C$2=3,IF($M15=0,0,COUNTIF(INDIRECT("'0.0.2 Pokémon Learnset (Core)'!$D$"&amp;MATCH($E15,'0.0.2 Pokémon Learnset (Core)'!$A$1:$A951,0)&amp;":$FK$"&amp;MATCH($E15,'0.0.2 Pokémon Learnset (Core)'!$A$1:$A951,0)),'Reverse Search'!$E$21)),IF($C$2=2,COUNTIF(INDIRECT("'0.1.1 Pokémon GO Moves'!$B$"&amp;MATCH($E15,'0.1.1 Pokémon GO Moves'!$A$1:$A951,0)&amp;":$R$"&amp;MATCH($E15,'0.1.1 Pokémon GO Moves'!$A$1:$A951,0)),'Reverse Search'!$E$21),COUNTIF(INDIRECT("'0.1.1 Pokémon GO Moves'!$B$"&amp;MATCH($E15,'0.1.1 Pokémon GO Moves'!$A$1:$A951,0)&amp;":$L$"&amp;MATCH($E15,'0.1.1 Pokémon GO Moves'!$A$1:$A951,0)),'Reverse Search'!$E$21)))))</f>
        <v>1</v>
      </c>
      <c r="AA15" s="0" t="n">
        <f aca="true">IF('Reverse Search'!$C$14="Disable",1,IF('Reverse Search'!$I$16="Disable",1,IF($D$2=3,IF($M15=0,0,COUNTIF(INDIRECT("'0.0.2 Pokémon Learnset (Core)'!$D$"&amp;MATCH($E15,'0.0.2 Pokémon Learnset (Core)'!$A$1:$A951,0)&amp;":$FK$"&amp;MATCH($E15,'0.0.2 Pokémon Learnset (Core)'!$A$1:$A951,0)),'Reverse Search'!$J$21)),IF($D$2=2,COUNTIF(INDIRECT("'0.1.1 Pokémon GO Moves'!$B$"&amp;MATCH($E15,'0.1.1 Pokémon GO Moves'!$A$1:$A951,0)&amp;":$R$"&amp;MATCH($E15,'0.1.1 Pokémon GO Moves'!$A$1:$A951,0)),'Reverse Search'!$J$21),COUNTIF(INDIRECT("'0.1.1 Pokémon GO Moves'!$B$"&amp;MATCH($E15,'0.1.1 Pokémon GO Moves'!$A$1:$A951,0)&amp;":$L$"&amp;MATCH($E15,'0.1.1 Pokémon GO Moves'!$A$1:$A951,0)),'Reverse Search'!$J$21)))))</f>
        <v>0</v>
      </c>
      <c r="AB15" s="490"/>
      <c r="AC15" s="260" t="n">
        <f aca="false">IF((Q15+R15+S15+V15+W15+X15+Y15+IF(Z15&gt;=1,1,0)+IF(AA15&gt;=1,1,0))=9,G15&amp;", ",)</f>
        <v>0</v>
      </c>
    </row>
    <row r="16" customFormat="false" ht="15.75" hidden="false" customHeight="false" outlineLevel="0" collapsed="false">
      <c r="A16" s="384" t="s">
        <v>156</v>
      </c>
      <c r="B16" s="358" t="n">
        <f aca="false">IFERROR(__xludf.dummyfunction("""COMPUTED_VALUE"""),1)</f>
        <v>1</v>
      </c>
      <c r="C16" s="260" t="str">
        <f aca="false">IFERROR(__xludf.dummyfunction("""COMPUTED_VALUE"""),"Dragon Tail")</f>
        <v>Dragon Tail</v>
      </c>
      <c r="D16" s="358" t="str">
        <f aca="false">IFERROR(__xludf.dummyfunction("""COMPUTED_VALUE"""),"Bubble Beam")</f>
        <v>Bubble Beam</v>
      </c>
      <c r="E16" s="260" t="n">
        <v>15</v>
      </c>
      <c r="F16" s="260" t="n">
        <f aca="false" t="array" ref="F16:F16">INDEX('0.0.1 Pokémon Dex Data'!$H$3:$H951,MATCH(E16,'0.0.1 Pokémon Dex Data'!$B$3:$B951,0))</f>
        <v>0</v>
      </c>
      <c r="G16" s="0" t="str">
        <f aca="false" t="array" ref="G16:G16">INDEX('0.0.1 Pokémon Dex Data'!$E$3:$E951,MATCH(E16,'0.0.1 Pokémon Dex Data'!$B$3:$B951,0))</f>
        <v>Metapod</v>
      </c>
      <c r="H16" s="0" t="str">
        <f aca="false" t="array" ref="H16:H16">INDEX('0.0.1 Pokémon Dex Data'!$Q$3:$Q951,MATCH(E16,'0.0.1 Pokémon Dex Data'!$B$3:$B951,0))</f>
        <v>Bug</v>
      </c>
      <c r="I16" s="0" t="n">
        <f aca="false">INDEX('0.0.1 Pokémon Dex Data'!$R$3:$R951,MATCH(E16,'0.0.1 Pokémon Dex Data'!$B$3:$B951,0))</f>
        <v>0</v>
      </c>
      <c r="J16" s="260" t="n">
        <f aca="false" t="array" ref="J16:J16">ROUND(INDEX('0.0.1 Pokémon Dex Data'!$S$3:$S951,MATCH($E16,'0.0.1 Pokémon Dex Data'!$B$3:$B951,0))*INDEX('0.0.1 Pokémon Dex Data'!T$3:T951,MATCH($E16,'0.0.1 Pokémon Dex Data'!$B$3:$B951,0)),0)</f>
        <v>45</v>
      </c>
      <c r="K16" s="260" t="n">
        <f aca="false" t="array" ref="K16:K16">ROUND(INDEX('0.0.1 Pokémon Dex Data'!$S$3:$S951,MATCH($E16,'0.0.1 Pokémon Dex Data'!$B$3:$B951,0))*INDEX('0.0.1 Pokémon Dex Data'!U$3:U951,MATCH($E16,'0.0.1 Pokémon Dex Data'!$B$3:$B951,0)),0)</f>
        <v>80</v>
      </c>
      <c r="L16" s="260" t="n">
        <f aca="false" t="array" ref="L16:L16">ROUND(INDEX('0.0.1 Pokémon Dex Data'!$S$3:$S951,MATCH($E16,'0.0.1 Pokémon Dex Data'!$B$3:$B951,0))*INDEX('0.0.1 Pokémon Dex Data'!V$3:V951,MATCH($E16,'0.0.1 Pokémon Dex Data'!$B$3:$B951,0)),0)</f>
        <v>137</v>
      </c>
      <c r="M16" s="260" t="n">
        <f aca="false" t="array" ref="M16:M16">INDEX('0.0.1 Pokémon Dex Data'!$J$3:$J951,MATCH(E16,'0.0.1 Pokémon Dex Data'!$B$3:$B951,0))</f>
        <v>0</v>
      </c>
      <c r="O16" s="490"/>
      <c r="Q16" s="367" t="n">
        <f aca="false">IF('Reverse Search'!$F$4="All (including temporary formes)",1,IF('Reverse Search'!$F$4="Base Pokémon and permanent formes only",IF(F16&lt;=1,1,0),IF(F16=0,1,0)))</f>
        <v>1</v>
      </c>
      <c r="R16" s="0" t="n">
        <f aca="false">IF('Reverse Search'!$C$7="Disable",1,IF('Reverse Search'!$D$9="Disable",1,IF(OR('Reverse Search'!$F$9=H16,'Reverse Search'!$F$9=I16),1,0)))</f>
        <v>1</v>
      </c>
      <c r="S16" s="0" t="n">
        <f aca="false">IF('Reverse Search'!$C$7="Disable",1,IF('Reverse Search'!$D$10="Disable",1,IF(OR('Reverse Search'!$F$10=H16,'Reverse Search'!$F$10=I16),1,0)))</f>
        <v>1</v>
      </c>
      <c r="T16" s="0" t="n">
        <f aca="false">INDEX($B$4:$B$22,MATCH(H16,$A$4:$A$22,0))</f>
        <v>1</v>
      </c>
      <c r="U16" s="0" t="e">
        <f aca="false">IF(ISBLANK(I16),1,INDEX($B$4:$B$22,MATCH(I16,$A$4:$A$22,0)))</f>
        <v>#N/A</v>
      </c>
      <c r="V16" s="367" t="n">
        <f aca="false">IF('Reverse Search'!$C$7="Disable",1,IF('Reverse Search'!$D$11="Disable",1,IF('Reverse Search'!$E$11="Neutral to:",IF(ROUND(T16*U16,2)&lt;=1,1,0),IF(ROUND(T16*U16,2)&lt;1,1,0))))</f>
        <v>1</v>
      </c>
      <c r="W16" s="0" t="n">
        <f aca="false">IF('Reverse Search'!$N$7="Disable",1,IF('Reverse Search'!$I$9="Disable",1,IF('Reverse Search'!$K$9="≥",IF(J16&gt;='Reverse Search'!$L$9,1,0),IF('Reverse Search'!$K$9="≤",IF(J16&lt;='Reverse Search'!$L$9,1,0),IF(J16='Reverse Search'!$L$9,1,0)))))</f>
        <v>1</v>
      </c>
      <c r="X16" s="0" t="n">
        <f aca="false">IF('Reverse Search'!$N$7="Disable",1,IF('Reverse Search'!$I$10="Disable",1,IF('Reverse Search'!$K$10="≥",IF(K16&gt;='Reverse Search'!$L$10,1,0),IF('Reverse Search'!$K$10="≤",IF(K16&lt;='Reverse Search'!$L$10,1,0),IF(K16='Reverse Search'!$L$10,1,0)))))</f>
        <v>1</v>
      </c>
      <c r="Y16" s="367" t="n">
        <f aca="false">IF('Reverse Search'!$N$7="Disable",1,IF('Reverse Search'!$I$11="Disable",1,IF('Reverse Search'!$K$11="≥",IF(L16&gt;='Reverse Search'!$L$11,1,0),IF('Reverse Search'!$K$11="≤",IF(L16&lt;='Reverse Search'!$L$11,1,0),IF(L16='Reverse Search'!$L$11,1,0)))))</f>
        <v>1</v>
      </c>
      <c r="Z16" s="0" t="n">
        <f aca="true">IF('Reverse Search'!$C$14="Disable",1,IF('Reverse Search'!$D$16="Disable",1,IF($C$2=3,IF($M16=0,0,COUNTIF(INDIRECT("'0.0.2 Pokémon Learnset (Core)'!$D$"&amp;MATCH($E16,'0.0.2 Pokémon Learnset (Core)'!$A$1:$A951,0)&amp;":$FK$"&amp;MATCH($E16,'0.0.2 Pokémon Learnset (Core)'!$A$1:$A951,0)),'Reverse Search'!$E$21)),IF($C$2=2,COUNTIF(INDIRECT("'0.1.1 Pokémon GO Moves'!$B$"&amp;MATCH($E16,'0.1.1 Pokémon GO Moves'!$A$1:$A951,0)&amp;":$R$"&amp;MATCH($E16,'0.1.1 Pokémon GO Moves'!$A$1:$A951,0)),'Reverse Search'!$E$21),COUNTIF(INDIRECT("'0.1.1 Pokémon GO Moves'!$B$"&amp;MATCH($E16,'0.1.1 Pokémon GO Moves'!$A$1:$A951,0)&amp;":$L$"&amp;MATCH($E16,'0.1.1 Pokémon GO Moves'!$A$1:$A951,0)),'Reverse Search'!$E$21)))))</f>
        <v>1</v>
      </c>
      <c r="AA16" s="0" t="n">
        <f aca="true">IF('Reverse Search'!$C$14="Disable",1,IF('Reverse Search'!$I$16="Disable",1,IF($D$2=3,IF($M16=0,0,COUNTIF(INDIRECT("'0.0.2 Pokémon Learnset (Core)'!$D$"&amp;MATCH($E16,'0.0.2 Pokémon Learnset (Core)'!$A$1:$A951,0)&amp;":$FK$"&amp;MATCH($E16,'0.0.2 Pokémon Learnset (Core)'!$A$1:$A951,0)),'Reverse Search'!$J$21)),IF($D$2=2,COUNTIF(INDIRECT("'0.1.1 Pokémon GO Moves'!$B$"&amp;MATCH($E16,'0.1.1 Pokémon GO Moves'!$A$1:$A951,0)&amp;":$R$"&amp;MATCH($E16,'0.1.1 Pokémon GO Moves'!$A$1:$A951,0)),'Reverse Search'!$J$21),COUNTIF(INDIRECT("'0.1.1 Pokémon GO Moves'!$B$"&amp;MATCH($E16,'0.1.1 Pokémon GO Moves'!$A$1:$A951,0)&amp;":$L$"&amp;MATCH($E16,'0.1.1 Pokémon GO Moves'!$A$1:$A951,0)),'Reverse Search'!$J$21)))))</f>
        <v>0</v>
      </c>
      <c r="AB16" s="490"/>
      <c r="AC16" s="260" t="n">
        <f aca="false">IF((Q16+R16+S16+V16+W16+X16+Y16+IF(Z16&gt;=1,1,0)+IF(AA16&gt;=1,1,0))=9,G16&amp;", ",)</f>
        <v>0</v>
      </c>
    </row>
    <row r="17" customFormat="false" ht="15.75" hidden="false" customHeight="false" outlineLevel="0" collapsed="false">
      <c r="A17" s="384" t="s">
        <v>157</v>
      </c>
      <c r="B17" s="358" t="n">
        <f aca="false">IFERROR(__xludf.dummyfunction("""COMPUTED_VALUE"""),1)</f>
        <v>1</v>
      </c>
      <c r="C17" s="260" t="str">
        <f aca="false">IFERROR(__xludf.dummyfunction("""COMPUTED_VALUE"""),"Ember")</f>
        <v>Ember</v>
      </c>
      <c r="D17" s="358" t="str">
        <f aca="false">IFERROR(__xludf.dummyfunction("""COMPUTED_VALUE"""),"Bug Buzz")</f>
        <v>Bug Buzz</v>
      </c>
      <c r="E17" s="260" t="n">
        <v>16</v>
      </c>
      <c r="F17" s="260" t="n">
        <f aca="false" t="array" ref="F17:F17">INDEX('0.0.1 Pokémon Dex Data'!$H$3:$H951,MATCH(E17,'0.0.1 Pokémon Dex Data'!$B$3:$B951,0))</f>
        <v>0</v>
      </c>
      <c r="G17" s="0" t="str">
        <f aca="false" t="array" ref="G17:G17">INDEX('0.0.1 Pokémon Dex Data'!$E$3:$E951,MATCH(E17,'0.0.1 Pokémon Dex Data'!$B$3:$B951,0))</f>
        <v>Butterfree</v>
      </c>
      <c r="H17" s="0" t="str">
        <f aca="false" t="array" ref="H17:H17">INDEX('0.0.1 Pokémon Dex Data'!$Q$3:$Q951,MATCH(E17,'0.0.1 Pokémon Dex Data'!$B$3:$B951,0))</f>
        <v>Bug</v>
      </c>
      <c r="I17" s="0" t="str">
        <f aca="false" t="array" ref="I17:I17">INDEX('0.0.1 Pokémon Dex Data'!$R$3:$R951,MATCH(E17,'0.0.1 Pokémon Dex Data'!$B$3:$B951,0))</f>
        <v>Flying</v>
      </c>
      <c r="J17" s="260" t="n">
        <f aca="false" t="array" ref="J17:J17">ROUND(INDEX('0.0.1 Pokémon Dex Data'!$S$3:$S951,MATCH($E17,'0.0.1 Pokémon Dex Data'!$B$3:$B951,0))*INDEX('0.0.1 Pokémon Dex Data'!T$3:T951,MATCH($E17,'0.0.1 Pokémon Dex Data'!$B$3:$B951,0)),0)</f>
        <v>167</v>
      </c>
      <c r="K17" s="260" t="n">
        <f aca="false" t="array" ref="K17:K17">ROUND(INDEX('0.0.1 Pokémon Dex Data'!$S$3:$S951,MATCH($E17,'0.0.1 Pokémon Dex Data'!$B$3:$B951,0))*INDEX('0.0.1 Pokémon Dex Data'!U$3:U951,MATCH($E17,'0.0.1 Pokémon Dex Data'!$B$3:$B951,0)),0)</f>
        <v>137</v>
      </c>
      <c r="L17" s="260" t="n">
        <f aca="false" t="array" ref="L17:L17">ROUND(INDEX('0.0.1 Pokémon Dex Data'!$S$3:$S951,MATCH($E17,'0.0.1 Pokémon Dex Data'!$B$3:$B951,0))*INDEX('0.0.1 Pokémon Dex Data'!V$3:V951,MATCH($E17,'0.0.1 Pokémon Dex Data'!$B$3:$B951,0)),0)</f>
        <v>155</v>
      </c>
      <c r="M17" s="260" t="n">
        <f aca="false" t="array" ref="M17:M17">INDEX('0.0.1 Pokémon Dex Data'!$J$3:$J951,MATCH(E17,'0.0.1 Pokémon Dex Data'!$B$3:$B951,0))</f>
        <v>1</v>
      </c>
      <c r="O17" s="490"/>
      <c r="Q17" s="367" t="n">
        <f aca="false">IF('Reverse Search'!$F$4="All (including temporary formes)",1,IF('Reverse Search'!$F$4="Base Pokémon and permanent formes only",IF(F17&lt;=1,1,0),IF(F17=0,1,0)))</f>
        <v>1</v>
      </c>
      <c r="R17" s="0" t="n">
        <f aca="false">IF('Reverse Search'!$C$7="Disable",1,IF('Reverse Search'!$D$9="Disable",1,IF(OR('Reverse Search'!$F$9=H17,'Reverse Search'!$F$9=I17),1,0)))</f>
        <v>1</v>
      </c>
      <c r="S17" s="0" t="n">
        <f aca="false">IF('Reverse Search'!$C$7="Disable",1,IF('Reverse Search'!$D$10="Disable",1,IF(OR('Reverse Search'!$F$10=H17,'Reverse Search'!$F$10=I17),1,0)))</f>
        <v>1</v>
      </c>
      <c r="T17" s="0" t="n">
        <f aca="false">INDEX($B$4:$B$22,MATCH(H17,$A$4:$A$22,0))</f>
        <v>1</v>
      </c>
      <c r="U17" s="0" t="n">
        <f aca="false">IF(ISBLANK(I17),1,INDEX($B$4:$B$22,MATCH(I17,$A$4:$A$22,0)))</f>
        <v>1</v>
      </c>
      <c r="V17" s="367" t="n">
        <f aca="false">IF('Reverse Search'!$C$7="Disable",1,IF('Reverse Search'!$D$11="Disable",1,IF('Reverse Search'!$E$11="Neutral to:",IF(ROUND(T17*U17,2)&lt;=1,1,0),IF(ROUND(T17*U17,2)&lt;1,1,0))))</f>
        <v>1</v>
      </c>
      <c r="W17" s="0" t="n">
        <f aca="false">IF('Reverse Search'!$N$7="Disable",1,IF('Reverse Search'!$I$9="Disable",1,IF('Reverse Search'!$K$9="≥",IF(J17&gt;='Reverse Search'!$L$9,1,0),IF('Reverse Search'!$K$9="≤",IF(J17&lt;='Reverse Search'!$L$9,1,0),IF(J17='Reverse Search'!$L$9,1,0)))))</f>
        <v>1</v>
      </c>
      <c r="X17" s="0" t="n">
        <f aca="false">IF('Reverse Search'!$N$7="Disable",1,IF('Reverse Search'!$I$10="Disable",1,IF('Reverse Search'!$K$10="≥",IF(K17&gt;='Reverse Search'!$L$10,1,0),IF('Reverse Search'!$K$10="≤",IF(K17&lt;='Reverse Search'!$L$10,1,0),IF(K17='Reverse Search'!$L$10,1,0)))))</f>
        <v>1</v>
      </c>
      <c r="Y17" s="367" t="n">
        <f aca="false">IF('Reverse Search'!$N$7="Disable",1,IF('Reverse Search'!$I$11="Disable",1,IF('Reverse Search'!$K$11="≥",IF(L17&gt;='Reverse Search'!$L$11,1,0),IF('Reverse Search'!$K$11="≤",IF(L17&lt;='Reverse Search'!$L$11,1,0),IF(L17='Reverse Search'!$L$11,1,0)))))</f>
        <v>1</v>
      </c>
      <c r="Z17" s="0" t="n">
        <f aca="true">IF('Reverse Search'!$C$14="Disable",1,IF('Reverse Search'!$D$16="Disable",1,IF($C$2=3,IF($M17=0,0,COUNTIF(INDIRECT("'0.0.2 Pokémon Learnset (Core)'!$D$"&amp;MATCH($E17,'0.0.2 Pokémon Learnset (Core)'!$A$1:$A951,0)&amp;":$FK$"&amp;MATCH($E17,'0.0.2 Pokémon Learnset (Core)'!$A$1:$A951,0)),'Reverse Search'!$E$21)),IF($C$2=2,COUNTIF(INDIRECT("'0.1.1 Pokémon GO Moves'!$B$"&amp;MATCH($E17,'0.1.1 Pokémon GO Moves'!$A$1:$A951,0)&amp;":$R$"&amp;MATCH($E17,'0.1.1 Pokémon GO Moves'!$A$1:$A951,0)),'Reverse Search'!$E$21),COUNTIF(INDIRECT("'0.1.1 Pokémon GO Moves'!$B$"&amp;MATCH($E17,'0.1.1 Pokémon GO Moves'!$A$1:$A951,0)&amp;":$L$"&amp;MATCH($E17,'0.1.1 Pokémon GO Moves'!$A$1:$A951,0)),'Reverse Search'!$E$21)))))</f>
        <v>1</v>
      </c>
      <c r="AA17" s="0" t="n">
        <f aca="true">IF('Reverse Search'!$C$14="Disable",1,IF('Reverse Search'!$I$16="Disable",1,IF($D$2=3,IF($M17=0,0,COUNTIF(INDIRECT("'0.0.2 Pokémon Learnset (Core)'!$D$"&amp;MATCH($E17,'0.0.2 Pokémon Learnset (Core)'!$A$1:$A951,0)&amp;":$FK$"&amp;MATCH($E17,'0.0.2 Pokémon Learnset (Core)'!$A$1:$A951,0)),'Reverse Search'!$J$21)),IF($D$2=2,COUNTIF(INDIRECT("'0.1.1 Pokémon GO Moves'!$B$"&amp;MATCH($E17,'0.1.1 Pokémon GO Moves'!$A$1:$A951,0)&amp;":$R$"&amp;MATCH($E17,'0.1.1 Pokémon GO Moves'!$A$1:$A951,0)),'Reverse Search'!$J$21),COUNTIF(INDIRECT("'0.1.1 Pokémon GO Moves'!$B$"&amp;MATCH($E17,'0.1.1 Pokémon GO Moves'!$A$1:$A951,0)&amp;":$L$"&amp;MATCH($E17,'0.1.1 Pokémon GO Moves'!$A$1:$A951,0)),'Reverse Search'!$J$21)))))</f>
        <v>0</v>
      </c>
      <c r="AB17" s="490"/>
      <c r="AC17" s="260" t="n">
        <f aca="false">IF((Q17+R17+S17+V17+W17+X17+Y17+IF(Z17&gt;=1,1,0)+IF(AA17&gt;=1,1,0))=9,G17&amp;", ",)</f>
        <v>0</v>
      </c>
    </row>
    <row r="18" customFormat="false" ht="15.75" hidden="false" customHeight="false" outlineLevel="0" collapsed="false">
      <c r="A18" s="384" t="s">
        <v>158</v>
      </c>
      <c r="B18" s="358" t="n">
        <f aca="false">IFERROR(__xludf.dummyfunction("""COMPUTED_VALUE"""),1)</f>
        <v>1</v>
      </c>
      <c r="C18" s="260" t="str">
        <f aca="false">IFERROR(__xludf.dummyfunction("""COMPUTED_VALUE"""),"Extrasensory")</f>
        <v>Extrasensory</v>
      </c>
      <c r="D18" s="358" t="str">
        <f aca="false">IFERROR(__xludf.dummyfunction("""COMPUTED_VALUE"""),"Bulldoze")</f>
        <v>Bulldoze</v>
      </c>
      <c r="E18" s="260" t="n">
        <v>17</v>
      </c>
      <c r="F18" s="260" t="n">
        <f aca="false" t="array" ref="F18:F18">INDEX('0.0.1 Pokémon Dex Data'!$H$3:$H951,MATCH(E18,'0.0.1 Pokémon Dex Data'!$B$3:$B951,0))</f>
        <v>0</v>
      </c>
      <c r="G18" s="0" t="str">
        <f aca="false" t="array" ref="G18:G18">INDEX('0.0.1 Pokémon Dex Data'!$E$3:$E951,MATCH(E18,'0.0.1 Pokémon Dex Data'!$B$3:$B951,0))</f>
        <v>Weedle</v>
      </c>
      <c r="H18" s="0" t="str">
        <f aca="false" t="array" ref="H18:H18">INDEX('0.0.1 Pokémon Dex Data'!$Q$3:$Q951,MATCH(E18,'0.0.1 Pokémon Dex Data'!$B$3:$B951,0))</f>
        <v>Bug</v>
      </c>
      <c r="I18" s="0" t="str">
        <f aca="false" t="array" ref="I18:I18">INDEX('0.0.1 Pokémon Dex Data'!$R$3:$R951,MATCH(E18,'0.0.1 Pokémon Dex Data'!$B$3:$B951,0))</f>
        <v>Poison</v>
      </c>
      <c r="J18" s="260" t="n">
        <f aca="false" t="array" ref="J18:J18">ROUND(INDEX('0.0.1 Pokémon Dex Data'!$S$3:$S951,MATCH($E18,'0.0.1 Pokémon Dex Data'!$B$3:$B951,0))*INDEX('0.0.1 Pokémon Dex Data'!T$3:T951,MATCH($E18,'0.0.1 Pokémon Dex Data'!$B$3:$B951,0)),0)</f>
        <v>63</v>
      </c>
      <c r="K18" s="260" t="n">
        <f aca="false" t="array" ref="K18:K18">ROUND(INDEX('0.0.1 Pokémon Dex Data'!$S$3:$S951,MATCH($E18,'0.0.1 Pokémon Dex Data'!$B$3:$B951,0))*INDEX('0.0.1 Pokémon Dex Data'!U$3:U951,MATCH($E18,'0.0.1 Pokémon Dex Data'!$B$3:$B951,0)),0)</f>
        <v>50</v>
      </c>
      <c r="L18" s="260" t="n">
        <f aca="false" t="array" ref="L18:L18">ROUND(INDEX('0.0.1 Pokémon Dex Data'!$S$3:$S951,MATCH($E18,'0.0.1 Pokémon Dex Data'!$B$3:$B951,0))*INDEX('0.0.1 Pokémon Dex Data'!V$3:V951,MATCH($E18,'0.0.1 Pokémon Dex Data'!$B$3:$B951,0)),0)</f>
        <v>120</v>
      </c>
      <c r="M18" s="260" t="n">
        <f aca="false" t="array" ref="M18:M18">INDEX('0.0.1 Pokémon Dex Data'!$J$3:$J951,MATCH(E18,'0.0.1 Pokémon Dex Data'!$B$3:$B951,0))</f>
        <v>0</v>
      </c>
      <c r="O18" s="490"/>
      <c r="Q18" s="367" t="n">
        <f aca="false">IF('Reverse Search'!$F$4="All (including temporary formes)",1,IF('Reverse Search'!$F$4="Base Pokémon and permanent formes only",IF(F18&lt;=1,1,0),IF(F18=0,1,0)))</f>
        <v>1</v>
      </c>
      <c r="R18" s="0" t="n">
        <f aca="false">IF('Reverse Search'!$C$7="Disable",1,IF('Reverse Search'!$D$9="Disable",1,IF(OR('Reverse Search'!$F$9=H18,'Reverse Search'!$F$9=I18),1,0)))</f>
        <v>1</v>
      </c>
      <c r="S18" s="0" t="n">
        <f aca="false">IF('Reverse Search'!$C$7="Disable",1,IF('Reverse Search'!$D$10="Disable",1,IF(OR('Reverse Search'!$F$10=H18,'Reverse Search'!$F$10=I18),1,0)))</f>
        <v>1</v>
      </c>
      <c r="T18" s="0" t="n">
        <f aca="false">INDEX($B$4:$B$22,MATCH(H18,$A$4:$A$22,0))</f>
        <v>1</v>
      </c>
      <c r="U18" s="0" t="n">
        <f aca="false">IF(ISBLANK(I18),1,INDEX($B$4:$B$22,MATCH(I18,$A$4:$A$22,0)))</f>
        <v>1</v>
      </c>
      <c r="V18" s="367" t="n">
        <f aca="false">IF('Reverse Search'!$C$7="Disable",1,IF('Reverse Search'!$D$11="Disable",1,IF('Reverse Search'!$E$11="Neutral to:",IF(ROUND(T18*U18,2)&lt;=1,1,0),IF(ROUND(T18*U18,2)&lt;1,1,0))))</f>
        <v>1</v>
      </c>
      <c r="W18" s="0" t="n">
        <f aca="false">IF('Reverse Search'!$N$7="Disable",1,IF('Reverse Search'!$I$9="Disable",1,IF('Reverse Search'!$K$9="≥",IF(J18&gt;='Reverse Search'!$L$9,1,0),IF('Reverse Search'!$K$9="≤",IF(J18&lt;='Reverse Search'!$L$9,1,0),IF(J18='Reverse Search'!$L$9,1,0)))))</f>
        <v>1</v>
      </c>
      <c r="X18" s="0" t="n">
        <f aca="false">IF('Reverse Search'!$N$7="Disable",1,IF('Reverse Search'!$I$10="Disable",1,IF('Reverse Search'!$K$10="≥",IF(K18&gt;='Reverse Search'!$L$10,1,0),IF('Reverse Search'!$K$10="≤",IF(K18&lt;='Reverse Search'!$L$10,1,0),IF(K18='Reverse Search'!$L$10,1,0)))))</f>
        <v>1</v>
      </c>
      <c r="Y18" s="367" t="n">
        <f aca="false">IF('Reverse Search'!$N$7="Disable",1,IF('Reverse Search'!$I$11="Disable",1,IF('Reverse Search'!$K$11="≥",IF(L18&gt;='Reverse Search'!$L$11,1,0),IF('Reverse Search'!$K$11="≤",IF(L18&lt;='Reverse Search'!$L$11,1,0),IF(L18='Reverse Search'!$L$11,1,0)))))</f>
        <v>1</v>
      </c>
      <c r="Z18" s="0" t="n">
        <f aca="true">IF('Reverse Search'!$C$14="Disable",1,IF('Reverse Search'!$D$16="Disable",1,IF($C$2=3,IF($M18=0,0,COUNTIF(INDIRECT("'0.0.2 Pokémon Learnset (Core)'!$D$"&amp;MATCH($E18,'0.0.2 Pokémon Learnset (Core)'!$A$1:$A951,0)&amp;":$FK$"&amp;MATCH($E18,'0.0.2 Pokémon Learnset (Core)'!$A$1:$A951,0)),'Reverse Search'!$E$21)),IF($C$2=2,COUNTIF(INDIRECT("'0.1.1 Pokémon GO Moves'!$B$"&amp;MATCH($E18,'0.1.1 Pokémon GO Moves'!$A$1:$A951,0)&amp;":$R$"&amp;MATCH($E18,'0.1.1 Pokémon GO Moves'!$A$1:$A951,0)),'Reverse Search'!$E$21),COUNTIF(INDIRECT("'0.1.1 Pokémon GO Moves'!$B$"&amp;MATCH($E18,'0.1.1 Pokémon GO Moves'!$A$1:$A951,0)&amp;":$L$"&amp;MATCH($E18,'0.1.1 Pokémon GO Moves'!$A$1:$A951,0)),'Reverse Search'!$E$21)))))</f>
        <v>1</v>
      </c>
      <c r="AA18" s="0" t="n">
        <f aca="true">IF('Reverse Search'!$C$14="Disable",1,IF('Reverse Search'!$I$16="Disable",1,IF($D$2=3,IF($M18=0,0,COUNTIF(INDIRECT("'0.0.2 Pokémon Learnset (Core)'!$D$"&amp;MATCH($E18,'0.0.2 Pokémon Learnset (Core)'!$A$1:$A951,0)&amp;":$FK$"&amp;MATCH($E18,'0.0.2 Pokémon Learnset (Core)'!$A$1:$A951,0)),'Reverse Search'!$J$21)),IF($D$2=2,COUNTIF(INDIRECT("'0.1.1 Pokémon GO Moves'!$B$"&amp;MATCH($E18,'0.1.1 Pokémon GO Moves'!$A$1:$A951,0)&amp;":$R$"&amp;MATCH($E18,'0.1.1 Pokémon GO Moves'!$A$1:$A951,0)),'Reverse Search'!$J$21),COUNTIF(INDIRECT("'0.1.1 Pokémon GO Moves'!$B$"&amp;MATCH($E18,'0.1.1 Pokémon GO Moves'!$A$1:$A951,0)&amp;":$L$"&amp;MATCH($E18,'0.1.1 Pokémon GO Moves'!$A$1:$A951,0)),'Reverse Search'!$J$21)))))</f>
        <v>0</v>
      </c>
      <c r="AB18" s="490"/>
      <c r="AC18" s="260" t="n">
        <f aca="false">IF((Q18+R18+S18+V18+W18+X18+Y18+IF(Z18&gt;=1,1,0)+IF(AA18&gt;=1,1,0))=9,G18&amp;", ",)</f>
        <v>0</v>
      </c>
    </row>
    <row r="19" customFormat="false" ht="15.75" hidden="false" customHeight="false" outlineLevel="0" collapsed="false">
      <c r="A19" s="384" t="s">
        <v>159</v>
      </c>
      <c r="B19" s="358" t="n">
        <f aca="false">IFERROR(__xludf.dummyfunction("""COMPUTED_VALUE"""),1)</f>
        <v>1</v>
      </c>
      <c r="C19" s="260" t="str">
        <f aca="false">IFERROR(__xludf.dummyfunction("""COMPUTED_VALUE"""),"Feint Attack")</f>
        <v>Feint Attack</v>
      </c>
      <c r="D19" s="358" t="str">
        <f aca="false">IFERROR(__xludf.dummyfunction("""COMPUTED_VALUE"""),"Close Combat")</f>
        <v>Close Combat</v>
      </c>
      <c r="E19" s="260" t="n">
        <v>18</v>
      </c>
      <c r="F19" s="260" t="n">
        <f aca="false" t="array" ref="F19:F19">INDEX('0.0.1 Pokémon Dex Data'!$H$3:$H951,MATCH(E19,'0.0.1 Pokémon Dex Data'!$B$3:$B951,0))</f>
        <v>0</v>
      </c>
      <c r="G19" s="0" t="str">
        <f aca="false" t="array" ref="G19:G19">INDEX('0.0.1 Pokémon Dex Data'!$E$3:$E951,MATCH(E19,'0.0.1 Pokémon Dex Data'!$B$3:$B951,0))</f>
        <v>Kakuna</v>
      </c>
      <c r="H19" s="0" t="str">
        <f aca="false" t="array" ref="H19:H19">INDEX('0.0.1 Pokémon Dex Data'!$Q$3:$Q951,MATCH(E19,'0.0.1 Pokémon Dex Data'!$B$3:$B951,0))</f>
        <v>Bug</v>
      </c>
      <c r="I19" s="0" t="str">
        <f aca="false" t="array" ref="I19:I19">INDEX('0.0.1 Pokémon Dex Data'!$R$3:$R951,MATCH(E19,'0.0.1 Pokémon Dex Data'!$B$3:$B951,0))</f>
        <v>Poison</v>
      </c>
      <c r="J19" s="260" t="n">
        <f aca="false" t="array" ref="J19:J19">ROUND(INDEX('0.0.1 Pokémon Dex Data'!$S$3:$S951,MATCH($E19,'0.0.1 Pokémon Dex Data'!$B$3:$B951,0))*INDEX('0.0.1 Pokémon Dex Data'!T$3:T951,MATCH($E19,'0.0.1 Pokémon Dex Data'!$B$3:$B951,0)),0)</f>
        <v>46</v>
      </c>
      <c r="K19" s="260" t="n">
        <f aca="false" t="array" ref="K19:K19">ROUND(INDEX('0.0.1 Pokémon Dex Data'!$S$3:$S951,MATCH($E19,'0.0.1 Pokémon Dex Data'!$B$3:$B951,0))*INDEX('0.0.1 Pokémon Dex Data'!U$3:U951,MATCH($E19,'0.0.1 Pokémon Dex Data'!$B$3:$B951,0)),0)</f>
        <v>75</v>
      </c>
      <c r="L19" s="260" t="n">
        <f aca="false" t="array" ref="L19:L19">ROUND(INDEX('0.0.1 Pokémon Dex Data'!$S$3:$S951,MATCH($E19,'0.0.1 Pokémon Dex Data'!$B$3:$B951,0))*INDEX('0.0.1 Pokémon Dex Data'!V$3:V951,MATCH($E19,'0.0.1 Pokémon Dex Data'!$B$3:$B951,0)),0)</f>
        <v>128</v>
      </c>
      <c r="M19" s="260" t="n">
        <f aca="false" t="array" ref="M19:M19">INDEX('0.0.1 Pokémon Dex Data'!$J$3:$J951,MATCH(E19,'0.0.1 Pokémon Dex Data'!$B$3:$B951,0))</f>
        <v>0</v>
      </c>
      <c r="O19" s="490"/>
      <c r="Q19" s="367" t="n">
        <f aca="false">IF('Reverse Search'!$F$4="All (including temporary formes)",1,IF('Reverse Search'!$F$4="Base Pokémon and permanent formes only",IF(F19&lt;=1,1,0),IF(F19=0,1,0)))</f>
        <v>1</v>
      </c>
      <c r="R19" s="0" t="n">
        <f aca="false">IF('Reverse Search'!$C$7="Disable",1,IF('Reverse Search'!$D$9="Disable",1,IF(OR('Reverse Search'!$F$9=H19,'Reverse Search'!$F$9=I19),1,0)))</f>
        <v>1</v>
      </c>
      <c r="S19" s="0" t="n">
        <f aca="false">IF('Reverse Search'!$C$7="Disable",1,IF('Reverse Search'!$D$10="Disable",1,IF(OR('Reverse Search'!$F$10=H19,'Reverse Search'!$F$10=I19),1,0)))</f>
        <v>1</v>
      </c>
      <c r="T19" s="0" t="n">
        <f aca="false">INDEX($B$4:$B$22,MATCH(H19,$A$4:$A$22,0))</f>
        <v>1</v>
      </c>
      <c r="U19" s="0" t="n">
        <f aca="false">IF(ISBLANK(I19),1,INDEX($B$4:$B$22,MATCH(I19,$A$4:$A$22,0)))</f>
        <v>1</v>
      </c>
      <c r="V19" s="367" t="n">
        <f aca="false">IF('Reverse Search'!$C$7="Disable",1,IF('Reverse Search'!$D$11="Disable",1,IF('Reverse Search'!$E$11="Neutral to:",IF(ROUND(T19*U19,2)&lt;=1,1,0),IF(ROUND(T19*U19,2)&lt;1,1,0))))</f>
        <v>1</v>
      </c>
      <c r="W19" s="0" t="n">
        <f aca="false">IF('Reverse Search'!$N$7="Disable",1,IF('Reverse Search'!$I$9="Disable",1,IF('Reverse Search'!$K$9="≥",IF(J19&gt;='Reverse Search'!$L$9,1,0),IF('Reverse Search'!$K$9="≤",IF(J19&lt;='Reverse Search'!$L$9,1,0),IF(J19='Reverse Search'!$L$9,1,0)))))</f>
        <v>1</v>
      </c>
      <c r="X19" s="0" t="n">
        <f aca="false">IF('Reverse Search'!$N$7="Disable",1,IF('Reverse Search'!$I$10="Disable",1,IF('Reverse Search'!$K$10="≥",IF(K19&gt;='Reverse Search'!$L$10,1,0),IF('Reverse Search'!$K$10="≤",IF(K19&lt;='Reverse Search'!$L$10,1,0),IF(K19='Reverse Search'!$L$10,1,0)))))</f>
        <v>1</v>
      </c>
      <c r="Y19" s="367" t="n">
        <f aca="false">IF('Reverse Search'!$N$7="Disable",1,IF('Reverse Search'!$I$11="Disable",1,IF('Reverse Search'!$K$11="≥",IF(L19&gt;='Reverse Search'!$L$11,1,0),IF('Reverse Search'!$K$11="≤",IF(L19&lt;='Reverse Search'!$L$11,1,0),IF(L19='Reverse Search'!$L$11,1,0)))))</f>
        <v>1</v>
      </c>
      <c r="Z19" s="0" t="n">
        <f aca="true">IF('Reverse Search'!$C$14="Disable",1,IF('Reverse Search'!$D$16="Disable",1,IF($C$2=3,IF($M19=0,0,COUNTIF(INDIRECT("'0.0.2 Pokémon Learnset (Core)'!$D$"&amp;MATCH($E19,'0.0.2 Pokémon Learnset (Core)'!$A$1:$A951,0)&amp;":$FK$"&amp;MATCH($E19,'0.0.2 Pokémon Learnset (Core)'!$A$1:$A951,0)),'Reverse Search'!$E$21)),IF($C$2=2,COUNTIF(INDIRECT("'0.1.1 Pokémon GO Moves'!$B$"&amp;MATCH($E19,'0.1.1 Pokémon GO Moves'!$A$1:$A951,0)&amp;":$R$"&amp;MATCH($E19,'0.1.1 Pokémon GO Moves'!$A$1:$A951,0)),'Reverse Search'!$E$21),COUNTIF(INDIRECT("'0.1.1 Pokémon GO Moves'!$B$"&amp;MATCH($E19,'0.1.1 Pokémon GO Moves'!$A$1:$A951,0)&amp;":$L$"&amp;MATCH($E19,'0.1.1 Pokémon GO Moves'!$A$1:$A951,0)),'Reverse Search'!$E$21)))))</f>
        <v>1</v>
      </c>
      <c r="AA19" s="0" t="n">
        <f aca="true">IF('Reverse Search'!$C$14="Disable",1,IF('Reverse Search'!$I$16="Disable",1,IF($D$2=3,IF($M19=0,0,COUNTIF(INDIRECT("'0.0.2 Pokémon Learnset (Core)'!$D$"&amp;MATCH($E19,'0.0.2 Pokémon Learnset (Core)'!$A$1:$A951,0)&amp;":$FK$"&amp;MATCH($E19,'0.0.2 Pokémon Learnset (Core)'!$A$1:$A951,0)),'Reverse Search'!$J$21)),IF($D$2=2,COUNTIF(INDIRECT("'0.1.1 Pokémon GO Moves'!$B$"&amp;MATCH($E19,'0.1.1 Pokémon GO Moves'!$A$1:$A951,0)&amp;":$R$"&amp;MATCH($E19,'0.1.1 Pokémon GO Moves'!$A$1:$A951,0)),'Reverse Search'!$J$21),COUNTIF(INDIRECT("'0.1.1 Pokémon GO Moves'!$B$"&amp;MATCH($E19,'0.1.1 Pokémon GO Moves'!$A$1:$A951,0)&amp;":$L$"&amp;MATCH($E19,'0.1.1 Pokémon GO Moves'!$A$1:$A951,0)),'Reverse Search'!$J$21)))))</f>
        <v>0</v>
      </c>
      <c r="AB19" s="490"/>
      <c r="AC19" s="260" t="n">
        <f aca="false">IF((Q19+R19+S19+V19+W19+X19+Y19+IF(Z19&gt;=1,1,0)+IF(AA19&gt;=1,1,0))=9,G19&amp;", ",)</f>
        <v>0</v>
      </c>
    </row>
    <row r="20" customFormat="false" ht="15.75" hidden="false" customHeight="false" outlineLevel="0" collapsed="false">
      <c r="A20" s="384" t="s">
        <v>160</v>
      </c>
      <c r="B20" s="358" t="n">
        <f aca="false">IFERROR(__xludf.dummyfunction("""COMPUTED_VALUE"""),1)</f>
        <v>1</v>
      </c>
      <c r="C20" s="260" t="str">
        <f aca="false">IFERROR(__xludf.dummyfunction("""COMPUTED_VALUE"""),"Fire Fang")</f>
        <v>Fire Fang</v>
      </c>
      <c r="D20" s="358" t="str">
        <f aca="false">IFERROR(__xludf.dummyfunction("""COMPUTED_VALUE"""),"Cross Chop")</f>
        <v>Cross Chop</v>
      </c>
      <c r="E20" s="260" t="n">
        <v>19</v>
      </c>
      <c r="F20" s="260" t="n">
        <f aca="false" t="array" ref="F20:F20">INDEX('0.0.1 Pokémon Dex Data'!$H$3:$H951,MATCH(E20,'0.0.1 Pokémon Dex Data'!$B$3:$B951,0))</f>
        <v>0</v>
      </c>
      <c r="G20" s="0" t="str">
        <f aca="false" t="array" ref="G20:G20">INDEX('0.0.1 Pokémon Dex Data'!$E$3:$E951,MATCH(E20,'0.0.1 Pokémon Dex Data'!$B$3:$B951,0))</f>
        <v>Beedrill</v>
      </c>
      <c r="H20" s="0" t="str">
        <f aca="false" t="array" ref="H20:H20">INDEX('0.0.1 Pokémon Dex Data'!$Q$3:$Q951,MATCH(E20,'0.0.1 Pokémon Dex Data'!$B$3:$B951,0))</f>
        <v>Bug</v>
      </c>
      <c r="I20" s="0" t="str">
        <f aca="false" t="array" ref="I20:I20">INDEX('0.0.1 Pokémon Dex Data'!$R$3:$R951,MATCH(E20,'0.0.1 Pokémon Dex Data'!$B$3:$B951,0))</f>
        <v>Poison</v>
      </c>
      <c r="J20" s="260" t="n">
        <f aca="false" t="array" ref="J20:J20">ROUND(INDEX('0.0.1 Pokémon Dex Data'!$S$3:$S951,MATCH($E20,'0.0.1 Pokémon Dex Data'!$B$3:$B951,0))*INDEX('0.0.1 Pokémon Dex Data'!T$3:T951,MATCH($E20,'0.0.1 Pokémon Dex Data'!$B$3:$B951,0)),0)</f>
        <v>169</v>
      </c>
      <c r="K20" s="260" t="n">
        <f aca="false" t="array" ref="K20:K20">ROUND(INDEX('0.0.1 Pokémon Dex Data'!$S$3:$S951,MATCH($E20,'0.0.1 Pokémon Dex Data'!$B$3:$B951,0))*INDEX('0.0.1 Pokémon Dex Data'!U$3:U951,MATCH($E20,'0.0.1 Pokémon Dex Data'!$B$3:$B951,0)),0)</f>
        <v>130</v>
      </c>
      <c r="L20" s="260" t="n">
        <f aca="false" t="array" ref="L20:L20">ROUND(INDEX('0.0.1 Pokémon Dex Data'!$S$3:$S951,MATCH($E20,'0.0.1 Pokémon Dex Data'!$B$3:$B951,0))*INDEX('0.0.1 Pokémon Dex Data'!V$3:V951,MATCH($E20,'0.0.1 Pokémon Dex Data'!$B$3:$B951,0)),0)</f>
        <v>163</v>
      </c>
      <c r="M20" s="260" t="n">
        <f aca="false" t="array" ref="M20:M20">INDEX('0.0.1 Pokémon Dex Data'!$J$3:$J951,MATCH(E20,'0.0.1 Pokémon Dex Data'!$B$3:$B951,0))</f>
        <v>1</v>
      </c>
      <c r="O20" s="490"/>
      <c r="Q20" s="367" t="n">
        <f aca="false">IF('Reverse Search'!$F$4="All (including temporary formes)",1,IF('Reverse Search'!$F$4="Base Pokémon and permanent formes only",IF(F20&lt;=1,1,0),IF(F20=0,1,0)))</f>
        <v>1</v>
      </c>
      <c r="R20" s="0" t="n">
        <f aca="false">IF('Reverse Search'!$C$7="Disable",1,IF('Reverse Search'!$D$9="Disable",1,IF(OR('Reverse Search'!$F$9=H20,'Reverse Search'!$F$9=I20),1,0)))</f>
        <v>1</v>
      </c>
      <c r="S20" s="0" t="n">
        <f aca="false">IF('Reverse Search'!$C$7="Disable",1,IF('Reverse Search'!$D$10="Disable",1,IF(OR('Reverse Search'!$F$10=H20,'Reverse Search'!$F$10=I20),1,0)))</f>
        <v>1</v>
      </c>
      <c r="T20" s="0" t="n">
        <f aca="false">INDEX($B$4:$B$22,MATCH(H20,$A$4:$A$22,0))</f>
        <v>1</v>
      </c>
      <c r="U20" s="0" t="n">
        <f aca="false">IF(ISBLANK(I20),1,INDEX($B$4:$B$22,MATCH(I20,$A$4:$A$22,0)))</f>
        <v>1</v>
      </c>
      <c r="V20" s="367" t="n">
        <f aca="false">IF('Reverse Search'!$C$7="Disable",1,IF('Reverse Search'!$D$11="Disable",1,IF('Reverse Search'!$E$11="Neutral to:",IF(ROUND(T20*U20,2)&lt;=1,1,0),IF(ROUND(T20*U20,2)&lt;1,1,0))))</f>
        <v>1</v>
      </c>
      <c r="W20" s="0" t="n">
        <f aca="false">IF('Reverse Search'!$N$7="Disable",1,IF('Reverse Search'!$I$9="Disable",1,IF('Reverse Search'!$K$9="≥",IF(J20&gt;='Reverse Search'!$L$9,1,0),IF('Reverse Search'!$K$9="≤",IF(J20&lt;='Reverse Search'!$L$9,1,0),IF(J20='Reverse Search'!$L$9,1,0)))))</f>
        <v>1</v>
      </c>
      <c r="X20" s="0" t="n">
        <f aca="false">IF('Reverse Search'!$N$7="Disable",1,IF('Reverse Search'!$I$10="Disable",1,IF('Reverse Search'!$K$10="≥",IF(K20&gt;='Reverse Search'!$L$10,1,0),IF('Reverse Search'!$K$10="≤",IF(K20&lt;='Reverse Search'!$L$10,1,0),IF(K20='Reverse Search'!$L$10,1,0)))))</f>
        <v>1</v>
      </c>
      <c r="Y20" s="367" t="n">
        <f aca="false">IF('Reverse Search'!$N$7="Disable",1,IF('Reverse Search'!$I$11="Disable",1,IF('Reverse Search'!$K$11="≥",IF(L20&gt;='Reverse Search'!$L$11,1,0),IF('Reverse Search'!$K$11="≤",IF(L20&lt;='Reverse Search'!$L$11,1,0),IF(L20='Reverse Search'!$L$11,1,0)))))</f>
        <v>1</v>
      </c>
      <c r="Z20" s="0" t="n">
        <f aca="true">IF('Reverse Search'!$C$14="Disable",1,IF('Reverse Search'!$D$16="Disable",1,IF($C$2=3,IF($M20=0,0,COUNTIF(INDIRECT("'0.0.2 Pokémon Learnset (Core)'!$D$"&amp;MATCH($E20,'0.0.2 Pokémon Learnset (Core)'!$A$1:$A951,0)&amp;":$FK$"&amp;MATCH($E20,'0.0.2 Pokémon Learnset (Core)'!$A$1:$A951,0)),'Reverse Search'!$E$21)),IF($C$2=2,COUNTIF(INDIRECT("'0.1.1 Pokémon GO Moves'!$B$"&amp;MATCH($E20,'0.1.1 Pokémon GO Moves'!$A$1:$A951,0)&amp;":$R$"&amp;MATCH($E20,'0.1.1 Pokémon GO Moves'!$A$1:$A951,0)),'Reverse Search'!$E$21),COUNTIF(INDIRECT("'0.1.1 Pokémon GO Moves'!$B$"&amp;MATCH($E20,'0.1.1 Pokémon GO Moves'!$A$1:$A951,0)&amp;":$L$"&amp;MATCH($E20,'0.1.1 Pokémon GO Moves'!$A$1:$A951,0)),'Reverse Search'!$E$21)))))</f>
        <v>1</v>
      </c>
      <c r="AA20" s="0" t="n">
        <f aca="true">IF('Reverse Search'!$C$14="Disable",1,IF('Reverse Search'!$I$16="Disable",1,IF($D$2=3,IF($M20=0,0,COUNTIF(INDIRECT("'0.0.2 Pokémon Learnset (Core)'!$D$"&amp;MATCH($E20,'0.0.2 Pokémon Learnset (Core)'!$A$1:$A951,0)&amp;":$FK$"&amp;MATCH($E20,'0.0.2 Pokémon Learnset (Core)'!$A$1:$A951,0)),'Reverse Search'!$J$21)),IF($D$2=2,COUNTIF(INDIRECT("'0.1.1 Pokémon GO Moves'!$B$"&amp;MATCH($E20,'0.1.1 Pokémon GO Moves'!$A$1:$A951,0)&amp;":$R$"&amp;MATCH($E20,'0.1.1 Pokémon GO Moves'!$A$1:$A951,0)),'Reverse Search'!$J$21),COUNTIF(INDIRECT("'0.1.1 Pokémon GO Moves'!$B$"&amp;MATCH($E20,'0.1.1 Pokémon GO Moves'!$A$1:$A951,0)&amp;":$L$"&amp;MATCH($E20,'0.1.1 Pokémon GO Moves'!$A$1:$A951,0)),'Reverse Search'!$J$21)))))</f>
        <v>0</v>
      </c>
      <c r="AB20" s="490"/>
      <c r="AC20" s="260" t="n">
        <f aca="false">IF((Q20+R20+S20+V20+W20+X20+Y20+IF(Z20&gt;=1,1,0)+IF(AA20&gt;=1,1,0))=9,G20&amp;", ",)</f>
        <v>0</v>
      </c>
    </row>
    <row r="21" customFormat="false" ht="15.75" hidden="false" customHeight="false" outlineLevel="0" collapsed="false">
      <c r="A21" s="384" t="s">
        <v>161</v>
      </c>
      <c r="B21" s="358" t="n">
        <f aca="false">IFERROR(__xludf.dummyfunction("""COMPUTED_VALUE"""),1)</f>
        <v>1</v>
      </c>
      <c r="C21" s="260" t="str">
        <f aca="false">IFERROR(__xludf.dummyfunction("""COMPUTED_VALUE"""),"Fire Spin")</f>
        <v>Fire Spin</v>
      </c>
      <c r="D21" s="358" t="str">
        <f aca="false">IFERROR(__xludf.dummyfunction("""COMPUTED_VALUE"""),"Cross Poison")</f>
        <v>Cross Poison</v>
      </c>
      <c r="E21" s="260" t="n">
        <v>20</v>
      </c>
      <c r="F21" s="260" t="n">
        <f aca="false" t="array" ref="F21:F21">INDEX('0.0.1 Pokémon Dex Data'!$H$3:$H951,MATCH(E21,'0.0.1 Pokémon Dex Data'!$B$3:$B951,0))</f>
        <v>2</v>
      </c>
      <c r="G21" s="0" t="str">
        <f aca="false" t="array" ref="G21:G21">INDEX('0.0.1 Pokémon Dex Data'!$E$3:$E951,MATCH(E21,'0.0.1 Pokémon Dex Data'!$B$3:$B951,0))</f>
        <v>Beedrill-Mega</v>
      </c>
      <c r="H21" s="0" t="str">
        <f aca="false" t="array" ref="H21:H21">INDEX('0.0.1 Pokémon Dex Data'!$Q$3:$Q951,MATCH(E21,'0.0.1 Pokémon Dex Data'!$B$3:$B951,0))</f>
        <v>Bug</v>
      </c>
      <c r="I21" s="0" t="str">
        <f aca="false" t="array" ref="I21:I21">INDEX('0.0.1 Pokémon Dex Data'!$R$3:$R951,MATCH(E21,'0.0.1 Pokémon Dex Data'!$B$3:$B951,0))</f>
        <v>Poison</v>
      </c>
      <c r="J21" s="260" t="n">
        <f aca="false" t="array" ref="J21:J21">ROUND(INDEX('0.0.1 Pokémon Dex Data'!$S$3:$S951,MATCH($E21,'0.0.1 Pokémon Dex Data'!$B$3:$B951,0))*INDEX('0.0.1 Pokémon Dex Data'!T$3:T951,MATCH($E21,'0.0.1 Pokémon Dex Data'!$B$3:$B951,0)),0)</f>
        <v>303</v>
      </c>
      <c r="K21" s="260" t="n">
        <f aca="false" t="array" ref="K21:K21">ROUND(INDEX('0.0.1 Pokémon Dex Data'!$S$3:$S951,MATCH($E21,'0.0.1 Pokémon Dex Data'!$B$3:$B951,0))*INDEX('0.0.1 Pokémon Dex Data'!U$3:U951,MATCH($E21,'0.0.1 Pokémon Dex Data'!$B$3:$B951,0)),0)</f>
        <v>148</v>
      </c>
      <c r="L21" s="260" t="n">
        <f aca="false" t="array" ref="L21:L21">ROUND(INDEX('0.0.1 Pokémon Dex Data'!$S$3:$S951,MATCH($E21,'0.0.1 Pokémon Dex Data'!$B$3:$B951,0))*INDEX('0.0.1 Pokémon Dex Data'!V$3:V951,MATCH($E21,'0.0.1 Pokémon Dex Data'!$B$3:$B951,0)),0)</f>
        <v>163</v>
      </c>
      <c r="M21" s="260" t="n">
        <f aca="false" t="array" ref="M21:M21">INDEX('0.0.1 Pokémon Dex Data'!$J$3:$J951,MATCH(E21,'0.0.1 Pokémon Dex Data'!$B$3:$B951,0))</f>
        <v>1</v>
      </c>
      <c r="O21" s="490"/>
      <c r="Q21" s="367" t="n">
        <f aca="false">IF('Reverse Search'!$F$4="All (including temporary formes)",1,IF('Reverse Search'!$F$4="Base Pokémon and permanent formes only",IF(F21&lt;=1,1,0),IF(F21=0,1,0)))</f>
        <v>0</v>
      </c>
      <c r="R21" s="0" t="n">
        <f aca="false">IF('Reverse Search'!$C$7="Disable",1,IF('Reverse Search'!$D$9="Disable",1,IF(OR('Reverse Search'!$F$9=H21,'Reverse Search'!$F$9=I21),1,0)))</f>
        <v>1</v>
      </c>
      <c r="S21" s="0" t="n">
        <f aca="false">IF('Reverse Search'!$C$7="Disable",1,IF('Reverse Search'!$D$10="Disable",1,IF(OR('Reverse Search'!$F$10=H21,'Reverse Search'!$F$10=I21),1,0)))</f>
        <v>1</v>
      </c>
      <c r="T21" s="0" t="n">
        <f aca="false">INDEX($B$4:$B$22,MATCH(H21,$A$4:$A$22,0))</f>
        <v>1</v>
      </c>
      <c r="U21" s="0" t="n">
        <f aca="false">IF(ISBLANK(I21),1,INDEX($B$4:$B$22,MATCH(I21,$A$4:$A$22,0)))</f>
        <v>1</v>
      </c>
      <c r="V21" s="367" t="n">
        <f aca="false">IF('Reverse Search'!$C$7="Disable",1,IF('Reverse Search'!$D$11="Disable",1,IF('Reverse Search'!$E$11="Neutral to:",IF(ROUND(T21*U21,2)&lt;=1,1,0),IF(ROUND(T21*U21,2)&lt;1,1,0))))</f>
        <v>1</v>
      </c>
      <c r="W21" s="0" t="n">
        <f aca="false">IF('Reverse Search'!$N$7="Disable",1,IF('Reverse Search'!$I$9="Disable",1,IF('Reverse Search'!$K$9="≥",IF(J21&gt;='Reverse Search'!$L$9,1,0),IF('Reverse Search'!$K$9="≤",IF(J21&lt;='Reverse Search'!$L$9,1,0),IF(J21='Reverse Search'!$L$9,1,0)))))</f>
        <v>1</v>
      </c>
      <c r="X21" s="0" t="n">
        <f aca="false">IF('Reverse Search'!$N$7="Disable",1,IF('Reverse Search'!$I$10="Disable",1,IF('Reverse Search'!$K$10="≥",IF(K21&gt;='Reverse Search'!$L$10,1,0),IF('Reverse Search'!$K$10="≤",IF(K21&lt;='Reverse Search'!$L$10,1,0),IF(K21='Reverse Search'!$L$10,1,0)))))</f>
        <v>1</v>
      </c>
      <c r="Y21" s="367" t="n">
        <f aca="false">IF('Reverse Search'!$N$7="Disable",1,IF('Reverse Search'!$I$11="Disable",1,IF('Reverse Search'!$K$11="≥",IF(L21&gt;='Reverse Search'!$L$11,1,0),IF('Reverse Search'!$K$11="≤",IF(L21&lt;='Reverse Search'!$L$11,1,0),IF(L21='Reverse Search'!$L$11,1,0)))))</f>
        <v>1</v>
      </c>
      <c r="Z21" s="0" t="n">
        <f aca="true">IF('Reverse Search'!$C$14="Disable",1,IF('Reverse Search'!$D$16="Disable",1,IF($C$2=3,IF($M21=0,0,COUNTIF(INDIRECT("'0.0.2 Pokémon Learnset (Core)'!$D$"&amp;MATCH($E21,'0.0.2 Pokémon Learnset (Core)'!$A$1:$A951,0)&amp;":$FK$"&amp;MATCH($E21,'0.0.2 Pokémon Learnset (Core)'!$A$1:$A951,0)),'Reverse Search'!$E$21)),IF($C$2=2,COUNTIF(INDIRECT("'0.1.1 Pokémon GO Moves'!$B$"&amp;MATCH($E21,'0.1.1 Pokémon GO Moves'!$A$1:$A951,0)&amp;":$R$"&amp;MATCH($E21,'0.1.1 Pokémon GO Moves'!$A$1:$A951,0)),'Reverse Search'!$E$21),COUNTIF(INDIRECT("'0.1.1 Pokémon GO Moves'!$B$"&amp;MATCH($E21,'0.1.1 Pokémon GO Moves'!$A$1:$A951,0)&amp;":$L$"&amp;MATCH($E21,'0.1.1 Pokémon GO Moves'!$A$1:$A951,0)),'Reverse Search'!$E$21)))))</f>
        <v>1</v>
      </c>
      <c r="AA21" s="0" t="e">
        <f aca="true">IF('Reverse Search'!$C$14="Disable",1,IF('Reverse Search'!$I$16="Disable",1,IF($D$2=3,IF($M21=0,0,COUNTIF(INDIRECT("'0.0.2 Pokémon Learnset (Core)'!$D$"&amp;MATCH($E21,'0.0.2 Pokémon Learnset (Core)'!$A$1:$A951,0)&amp;":$FK$"&amp;MATCH($E21,'0.0.2 Pokémon Learnset (Core)'!$A$1:$A951,0)),'Reverse Search'!$J$21)),IF($D$2=2,COUNTIF(INDIRECT("'0.1.1 Pokémon GO Moves'!$B$"&amp;MATCH($E21,'0.1.1 Pokémon GO Moves'!$A$1:$A951,0)&amp;":$R$"&amp;MATCH($E21,'0.1.1 Pokémon GO Moves'!$A$1:$A951,0)),'Reverse Search'!$J$21),COUNTIF(INDIRECT("'0.1.1 Pokémon GO Moves'!$B$"&amp;MATCH($E21,'0.1.1 Pokémon GO Moves'!$A$1:$A951,0)&amp;":$L$"&amp;MATCH($E21,'0.1.1 Pokémon GO Moves'!$A$1:$A951,0)),'Reverse Search'!$J$21)))))</f>
        <v>#N/A</v>
      </c>
      <c r="AB21" s="490"/>
      <c r="AC21" s="260" t="e">
        <f aca="false">IF((Q21+R21+S21+V21+W21+X21+Y21+IF(Z21&gt;=1,1,0)+IF(AA21&gt;=1,1,0))=9,G21&amp;", ",)</f>
        <v>#N/A</v>
      </c>
    </row>
    <row r="22" customFormat="false" ht="15.75" hidden="false" customHeight="false" outlineLevel="0" collapsed="false">
      <c r="A22" s="260" t="s">
        <v>162</v>
      </c>
      <c r="B22" s="358" t="n">
        <f aca="false">IFERROR(__xludf.dummyfunction("""COMPUTED_VALUE"""),1)</f>
        <v>1</v>
      </c>
      <c r="C22" s="260" t="str">
        <f aca="false">IFERROR(__xludf.dummyfunction("""COMPUTED_VALUE"""),"Frost Breath")</f>
        <v>Frost Breath</v>
      </c>
      <c r="D22" s="358" t="str">
        <f aca="false">IFERROR(__xludf.dummyfunction("""COMPUTED_VALUE"""),"Crunch")</f>
        <v>Crunch</v>
      </c>
      <c r="E22" s="260" t="n">
        <v>21</v>
      </c>
      <c r="F22" s="260" t="n">
        <f aca="false" t="array" ref="F22:F22">INDEX('0.0.1 Pokémon Dex Data'!$H$3:$H951,MATCH(E22,'0.0.1 Pokémon Dex Data'!$B$3:$B951,0))</f>
        <v>0</v>
      </c>
      <c r="G22" s="0" t="str">
        <f aca="false" t="array" ref="G22:G22">INDEX('0.0.1 Pokémon Dex Data'!$E$3:$E951,MATCH(E22,'0.0.1 Pokémon Dex Data'!$B$3:$B951,0))</f>
        <v>Pidgey</v>
      </c>
      <c r="H22" s="0" t="str">
        <f aca="false" t="array" ref="H22:H22">INDEX('0.0.1 Pokémon Dex Data'!$Q$3:$Q951,MATCH(E22,'0.0.1 Pokémon Dex Data'!$B$3:$B951,0))</f>
        <v>Normal</v>
      </c>
      <c r="I22" s="0" t="str">
        <f aca="false" t="array" ref="I22:I22">INDEX('0.0.1 Pokémon Dex Data'!$R$3:$R951,MATCH(E22,'0.0.1 Pokémon Dex Data'!$B$3:$B951,0))</f>
        <v>Flying</v>
      </c>
      <c r="J22" s="260" t="n">
        <f aca="false" t="array" ref="J22:J22">ROUND(INDEX('0.0.1 Pokémon Dex Data'!$S$3:$S951,MATCH($E22,'0.0.1 Pokémon Dex Data'!$B$3:$B951,0))*INDEX('0.0.1 Pokémon Dex Data'!T$3:T951,MATCH($E22,'0.0.1 Pokémon Dex Data'!$B$3:$B951,0)),0)</f>
        <v>85</v>
      </c>
      <c r="K22" s="260" t="n">
        <f aca="false" t="array" ref="K22:K22">ROUND(INDEX('0.0.1 Pokémon Dex Data'!$S$3:$S951,MATCH($E22,'0.0.1 Pokémon Dex Data'!$B$3:$B951,0))*INDEX('0.0.1 Pokémon Dex Data'!U$3:U951,MATCH($E22,'0.0.1 Pokémon Dex Data'!$B$3:$B951,0)),0)</f>
        <v>73</v>
      </c>
      <c r="L22" s="260" t="n">
        <f aca="false" t="array" ref="L22:L22">ROUND(INDEX('0.0.1 Pokémon Dex Data'!$S$3:$S951,MATCH($E22,'0.0.1 Pokémon Dex Data'!$B$3:$B951,0))*INDEX('0.0.1 Pokémon Dex Data'!V$3:V951,MATCH($E22,'0.0.1 Pokémon Dex Data'!$B$3:$B951,0)),0)</f>
        <v>120</v>
      </c>
      <c r="M22" s="260" t="n">
        <f aca="false" t="array" ref="M22:M22">INDEX('0.0.1 Pokémon Dex Data'!$J$3:$J951,MATCH(E22,'0.0.1 Pokémon Dex Data'!$B$3:$B951,0))</f>
        <v>0</v>
      </c>
      <c r="O22" s="490"/>
      <c r="Q22" s="367" t="n">
        <f aca="false">IF('Reverse Search'!$F$4="All (including temporary formes)",1,IF('Reverse Search'!$F$4="Base Pokémon and permanent formes only",IF(F22&lt;=1,1,0),IF(F22=0,1,0)))</f>
        <v>1</v>
      </c>
      <c r="R22" s="0" t="n">
        <f aca="false">IF('Reverse Search'!$C$7="Disable",1,IF('Reverse Search'!$D$9="Disable",1,IF(OR('Reverse Search'!$F$9=H22,'Reverse Search'!$F$9=I22),1,0)))</f>
        <v>1</v>
      </c>
      <c r="S22" s="0" t="n">
        <f aca="false">IF('Reverse Search'!$C$7="Disable",1,IF('Reverse Search'!$D$10="Disable",1,IF(OR('Reverse Search'!$F$10=H22,'Reverse Search'!$F$10=I22),1,0)))</f>
        <v>1</v>
      </c>
      <c r="T22" s="0" t="n">
        <f aca="false">INDEX($B$4:$B$22,MATCH(H22,$A$4:$A$22,0))</f>
        <v>1</v>
      </c>
      <c r="U22" s="0" t="n">
        <f aca="false">IF(ISBLANK(I22),1,INDEX($B$4:$B$22,MATCH(I22,$A$4:$A$22,0)))</f>
        <v>1</v>
      </c>
      <c r="V22" s="367" t="n">
        <f aca="false">IF('Reverse Search'!$C$7="Disable",1,IF('Reverse Search'!$D$11="Disable",1,IF('Reverse Search'!$E$11="Neutral to:",IF(ROUND(T22*U22,2)&lt;=1,1,0),IF(ROUND(T22*U22,2)&lt;1,1,0))))</f>
        <v>1</v>
      </c>
      <c r="W22" s="0" t="n">
        <f aca="false">IF('Reverse Search'!$N$7="Disable",1,IF('Reverse Search'!$I$9="Disable",1,IF('Reverse Search'!$K$9="≥",IF(J22&gt;='Reverse Search'!$L$9,1,0),IF('Reverse Search'!$K$9="≤",IF(J22&lt;='Reverse Search'!$L$9,1,0),IF(J22='Reverse Search'!$L$9,1,0)))))</f>
        <v>1</v>
      </c>
      <c r="X22" s="0" t="n">
        <f aca="false">IF('Reverse Search'!$N$7="Disable",1,IF('Reverse Search'!$I$10="Disable",1,IF('Reverse Search'!$K$10="≥",IF(K22&gt;='Reverse Search'!$L$10,1,0),IF('Reverse Search'!$K$10="≤",IF(K22&lt;='Reverse Search'!$L$10,1,0),IF(K22='Reverse Search'!$L$10,1,0)))))</f>
        <v>1</v>
      </c>
      <c r="Y22" s="367" t="n">
        <f aca="false">IF('Reverse Search'!$N$7="Disable",1,IF('Reverse Search'!$I$11="Disable",1,IF('Reverse Search'!$K$11="≥",IF(L22&gt;='Reverse Search'!$L$11,1,0),IF('Reverse Search'!$K$11="≤",IF(L22&lt;='Reverse Search'!$L$11,1,0),IF(L22='Reverse Search'!$L$11,1,0)))))</f>
        <v>1</v>
      </c>
      <c r="Z22" s="0" t="n">
        <f aca="true">IF('Reverse Search'!$C$14="Disable",1,IF('Reverse Search'!$D$16="Disable",1,IF($C$2=3,IF($M22=0,0,COUNTIF(INDIRECT("'0.0.2 Pokémon Learnset (Core)'!$D$"&amp;MATCH($E22,'0.0.2 Pokémon Learnset (Core)'!$A$1:$A951,0)&amp;":$FK$"&amp;MATCH($E22,'0.0.2 Pokémon Learnset (Core)'!$A$1:$A951,0)),'Reverse Search'!$E$21)),IF($C$2=2,COUNTIF(INDIRECT("'0.1.1 Pokémon GO Moves'!$B$"&amp;MATCH($E22,'0.1.1 Pokémon GO Moves'!$A$1:$A951,0)&amp;":$R$"&amp;MATCH($E22,'0.1.1 Pokémon GO Moves'!$A$1:$A951,0)),'Reverse Search'!$E$21),COUNTIF(INDIRECT("'0.1.1 Pokémon GO Moves'!$B$"&amp;MATCH($E22,'0.1.1 Pokémon GO Moves'!$A$1:$A951,0)&amp;":$L$"&amp;MATCH($E22,'0.1.1 Pokémon GO Moves'!$A$1:$A951,0)),'Reverse Search'!$E$21)))))</f>
        <v>1</v>
      </c>
      <c r="AA22" s="0" t="n">
        <f aca="true">IF('Reverse Search'!$C$14="Disable",1,IF('Reverse Search'!$I$16="Disable",1,IF($D$2=3,IF($M22=0,0,COUNTIF(INDIRECT("'0.0.2 Pokémon Learnset (Core)'!$D$"&amp;MATCH($E22,'0.0.2 Pokémon Learnset (Core)'!$A$1:$A951,0)&amp;":$FK$"&amp;MATCH($E22,'0.0.2 Pokémon Learnset (Core)'!$A$1:$A951,0)),'Reverse Search'!$J$21)),IF($D$2=2,COUNTIF(INDIRECT("'0.1.1 Pokémon GO Moves'!$B$"&amp;MATCH($E22,'0.1.1 Pokémon GO Moves'!$A$1:$A951,0)&amp;":$R$"&amp;MATCH($E22,'0.1.1 Pokémon GO Moves'!$A$1:$A951,0)),'Reverse Search'!$J$21),COUNTIF(INDIRECT("'0.1.1 Pokémon GO Moves'!$B$"&amp;MATCH($E22,'0.1.1 Pokémon GO Moves'!$A$1:$A951,0)&amp;":$L$"&amp;MATCH($E22,'0.1.1 Pokémon GO Moves'!$A$1:$A951,0)),'Reverse Search'!$J$21)))))</f>
        <v>0</v>
      </c>
      <c r="AB22" s="490"/>
      <c r="AC22" s="260" t="n">
        <f aca="false">IF((Q22+R22+S22+V22+W22+X22+Y22+IF(Z22&gt;=1,1,0)+IF(AA22&gt;=1,1,0))=9,G22&amp;", ",)</f>
        <v>0</v>
      </c>
    </row>
    <row r="23" customFormat="false" ht="15.75" hidden="false" customHeight="false" outlineLevel="0" collapsed="false">
      <c r="B23" s="367"/>
      <c r="C23" s="260" t="str">
        <f aca="false">IFERROR(__xludf.dummyfunction("""COMPUTED_VALUE"""),"Fury Cutter")</f>
        <v>Fury Cutter</v>
      </c>
      <c r="D23" s="358" t="str">
        <f aca="false">IFERROR(__xludf.dummyfunction("""COMPUTED_VALUE"""),"Dark Pulse")</f>
        <v>Dark Pulse</v>
      </c>
      <c r="E23" s="260" t="n">
        <v>22</v>
      </c>
      <c r="F23" s="260" t="n">
        <f aca="false" t="array" ref="F23:F23">INDEX('0.0.1 Pokémon Dex Data'!$H$3:$H951,MATCH(E23,'0.0.1 Pokémon Dex Data'!$B$3:$B951,0))</f>
        <v>0</v>
      </c>
      <c r="G23" s="0" t="str">
        <f aca="false" t="array" ref="G23:G23">INDEX('0.0.1 Pokémon Dex Data'!$E$3:$E951,MATCH(E23,'0.0.1 Pokémon Dex Data'!$B$3:$B951,0))</f>
        <v>Pidgeotto</v>
      </c>
      <c r="H23" s="0" t="str">
        <f aca="false" t="array" ref="H23:H23">INDEX('0.0.1 Pokémon Dex Data'!$Q$3:$Q951,MATCH(E23,'0.0.1 Pokémon Dex Data'!$B$3:$B951,0))</f>
        <v>Normal</v>
      </c>
      <c r="I23" s="0" t="str">
        <f aca="false" t="array" ref="I23:I23">INDEX('0.0.1 Pokémon Dex Data'!$R$3:$R951,MATCH(E23,'0.0.1 Pokémon Dex Data'!$B$3:$B951,0))</f>
        <v>Flying</v>
      </c>
      <c r="J23" s="260" t="n">
        <f aca="false" t="array" ref="J23:J23">ROUND(INDEX('0.0.1 Pokémon Dex Data'!$S$3:$S951,MATCH($E23,'0.0.1 Pokémon Dex Data'!$B$3:$B951,0))*INDEX('0.0.1 Pokémon Dex Data'!T$3:T951,MATCH($E23,'0.0.1 Pokémon Dex Data'!$B$3:$B951,0)),0)</f>
        <v>117</v>
      </c>
      <c r="K23" s="260" t="n">
        <f aca="false" t="array" ref="K23:K23">ROUND(INDEX('0.0.1 Pokémon Dex Data'!$S$3:$S951,MATCH($E23,'0.0.1 Pokémon Dex Data'!$B$3:$B951,0))*INDEX('0.0.1 Pokémon Dex Data'!U$3:U951,MATCH($E23,'0.0.1 Pokémon Dex Data'!$B$3:$B951,0)),0)</f>
        <v>105</v>
      </c>
      <c r="L23" s="260" t="n">
        <f aca="false" t="array" ref="L23:L23">ROUND(INDEX('0.0.1 Pokémon Dex Data'!$S$3:$S951,MATCH($E23,'0.0.1 Pokémon Dex Data'!$B$3:$B951,0))*INDEX('0.0.1 Pokémon Dex Data'!V$3:V951,MATCH($E23,'0.0.1 Pokémon Dex Data'!$B$3:$B951,0)),0)</f>
        <v>160</v>
      </c>
      <c r="M23" s="260" t="n">
        <f aca="false" t="array" ref="M23:M23">INDEX('0.0.1 Pokémon Dex Data'!$J$3:$J951,MATCH(E23,'0.0.1 Pokémon Dex Data'!$B$3:$B951,0))</f>
        <v>0</v>
      </c>
      <c r="O23" s="490"/>
      <c r="Q23" s="367" t="n">
        <f aca="false">IF('Reverse Search'!$F$4="All (including temporary formes)",1,IF('Reverse Search'!$F$4="Base Pokémon and permanent formes only",IF(F23&lt;=1,1,0),IF(F23=0,1,0)))</f>
        <v>1</v>
      </c>
      <c r="R23" s="0" t="n">
        <f aca="false">IF('Reverse Search'!$C$7="Disable",1,IF('Reverse Search'!$D$9="Disable",1,IF(OR('Reverse Search'!$F$9=H23,'Reverse Search'!$F$9=I23),1,0)))</f>
        <v>1</v>
      </c>
      <c r="S23" s="0" t="n">
        <f aca="false">IF('Reverse Search'!$C$7="Disable",1,IF('Reverse Search'!$D$10="Disable",1,IF(OR('Reverse Search'!$F$10=H23,'Reverse Search'!$F$10=I23),1,0)))</f>
        <v>1</v>
      </c>
      <c r="T23" s="0" t="n">
        <f aca="false">INDEX($B$4:$B$22,MATCH(H23,$A$4:$A$22,0))</f>
        <v>1</v>
      </c>
      <c r="U23" s="0" t="n">
        <f aca="false">IF(ISBLANK(I23),1,INDEX($B$4:$B$22,MATCH(I23,$A$4:$A$22,0)))</f>
        <v>1</v>
      </c>
      <c r="V23" s="367" t="n">
        <f aca="false">IF('Reverse Search'!$C$7="Disable",1,IF('Reverse Search'!$D$11="Disable",1,IF('Reverse Search'!$E$11="Neutral to:",IF(ROUND(T23*U23,2)&lt;=1,1,0),IF(ROUND(T23*U23,2)&lt;1,1,0))))</f>
        <v>1</v>
      </c>
      <c r="W23" s="0" t="n">
        <f aca="false">IF('Reverse Search'!$N$7="Disable",1,IF('Reverse Search'!$I$9="Disable",1,IF('Reverse Search'!$K$9="≥",IF(J23&gt;='Reverse Search'!$L$9,1,0),IF('Reverse Search'!$K$9="≤",IF(J23&lt;='Reverse Search'!$L$9,1,0),IF(J23='Reverse Search'!$L$9,1,0)))))</f>
        <v>1</v>
      </c>
      <c r="X23" s="0" t="n">
        <f aca="false">IF('Reverse Search'!$N$7="Disable",1,IF('Reverse Search'!$I$10="Disable",1,IF('Reverse Search'!$K$10="≥",IF(K23&gt;='Reverse Search'!$L$10,1,0),IF('Reverse Search'!$K$10="≤",IF(K23&lt;='Reverse Search'!$L$10,1,0),IF(K23='Reverse Search'!$L$10,1,0)))))</f>
        <v>1</v>
      </c>
      <c r="Y23" s="367" t="n">
        <f aca="false">IF('Reverse Search'!$N$7="Disable",1,IF('Reverse Search'!$I$11="Disable",1,IF('Reverse Search'!$K$11="≥",IF(L23&gt;='Reverse Search'!$L$11,1,0),IF('Reverse Search'!$K$11="≤",IF(L23&lt;='Reverse Search'!$L$11,1,0),IF(L23='Reverse Search'!$L$11,1,0)))))</f>
        <v>1</v>
      </c>
      <c r="Z23" s="0" t="n">
        <f aca="true">IF('Reverse Search'!$C$14="Disable",1,IF('Reverse Search'!$D$16="Disable",1,IF($C$2=3,IF($M23=0,0,COUNTIF(INDIRECT("'0.0.2 Pokémon Learnset (Core)'!$D$"&amp;MATCH($E23,'0.0.2 Pokémon Learnset (Core)'!$A$1:$A951,0)&amp;":$FK$"&amp;MATCH($E23,'0.0.2 Pokémon Learnset (Core)'!$A$1:$A951,0)),'Reverse Search'!$E$21)),IF($C$2=2,COUNTIF(INDIRECT("'0.1.1 Pokémon GO Moves'!$B$"&amp;MATCH($E23,'0.1.1 Pokémon GO Moves'!$A$1:$A951,0)&amp;":$R$"&amp;MATCH($E23,'0.1.1 Pokémon GO Moves'!$A$1:$A951,0)),'Reverse Search'!$E$21),COUNTIF(INDIRECT("'0.1.1 Pokémon GO Moves'!$B$"&amp;MATCH($E23,'0.1.1 Pokémon GO Moves'!$A$1:$A951,0)&amp;":$L$"&amp;MATCH($E23,'0.1.1 Pokémon GO Moves'!$A$1:$A951,0)),'Reverse Search'!$E$21)))))</f>
        <v>1</v>
      </c>
      <c r="AA23" s="0" t="n">
        <f aca="true">IF('Reverse Search'!$C$14="Disable",1,IF('Reverse Search'!$I$16="Disable",1,IF($D$2=3,IF($M23=0,0,COUNTIF(INDIRECT("'0.0.2 Pokémon Learnset (Core)'!$D$"&amp;MATCH($E23,'0.0.2 Pokémon Learnset (Core)'!$A$1:$A951,0)&amp;":$FK$"&amp;MATCH($E23,'0.0.2 Pokémon Learnset (Core)'!$A$1:$A951,0)),'Reverse Search'!$J$21)),IF($D$2=2,COUNTIF(INDIRECT("'0.1.1 Pokémon GO Moves'!$B$"&amp;MATCH($E23,'0.1.1 Pokémon GO Moves'!$A$1:$A951,0)&amp;":$R$"&amp;MATCH($E23,'0.1.1 Pokémon GO Moves'!$A$1:$A951,0)),'Reverse Search'!$J$21),COUNTIF(INDIRECT("'0.1.1 Pokémon GO Moves'!$B$"&amp;MATCH($E23,'0.1.1 Pokémon GO Moves'!$A$1:$A951,0)&amp;":$L$"&amp;MATCH($E23,'0.1.1 Pokémon GO Moves'!$A$1:$A951,0)),'Reverse Search'!$J$21)))))</f>
        <v>0</v>
      </c>
      <c r="AB23" s="490"/>
      <c r="AC23" s="260" t="n">
        <f aca="false">IF((Q23+R23+S23+V23+W23+X23+Y23+IF(Z23&gt;=1,1,0)+IF(AA23&gt;=1,1,0))=9,G23&amp;", ",)</f>
        <v>0</v>
      </c>
    </row>
    <row r="24" customFormat="false" ht="15.75" hidden="false" customHeight="false" outlineLevel="0" collapsed="false">
      <c r="B24" s="367"/>
      <c r="C24" s="260" t="str">
        <f aca="false">IFERROR(__xludf.dummyfunction("""COMPUTED_VALUE"""),"Hex")</f>
        <v>Hex</v>
      </c>
      <c r="D24" s="358" t="str">
        <f aca="false">IFERROR(__xludf.dummyfunction("""COMPUTED_VALUE"""),"Dazzling Gleam")</f>
        <v>Dazzling Gleam</v>
      </c>
      <c r="E24" s="260" t="n">
        <v>23</v>
      </c>
      <c r="F24" s="260" t="n">
        <f aca="false" t="array" ref="F24:F24">INDEX('0.0.1 Pokémon Dex Data'!$H$3:$H951,MATCH(E24,'0.0.1 Pokémon Dex Data'!$B$3:$B951,0))</f>
        <v>0</v>
      </c>
      <c r="G24" s="0" t="str">
        <f aca="false" t="array" ref="G24:G24">INDEX('0.0.1 Pokémon Dex Data'!$E$3:$E951,MATCH(E24,'0.0.1 Pokémon Dex Data'!$B$3:$B951,0))</f>
        <v>Pidgeot</v>
      </c>
      <c r="H24" s="0" t="str">
        <f aca="false" t="array" ref="H24:H24">INDEX('0.0.1 Pokémon Dex Data'!$Q$3:$Q951,MATCH(E24,'0.0.1 Pokémon Dex Data'!$B$3:$B951,0))</f>
        <v>Normal</v>
      </c>
      <c r="I24" s="0" t="str">
        <f aca="false" t="array" ref="I24:I24">INDEX('0.0.1 Pokémon Dex Data'!$R$3:$R951,MATCH(E24,'0.0.1 Pokémon Dex Data'!$B$3:$B951,0))</f>
        <v>Flying</v>
      </c>
      <c r="J24" s="260" t="n">
        <f aca="false" t="array" ref="J24:J24">ROUND(INDEX('0.0.1 Pokémon Dex Data'!$S$3:$S951,MATCH($E24,'0.0.1 Pokémon Dex Data'!$B$3:$B951,0))*INDEX('0.0.1 Pokémon Dex Data'!T$3:T951,MATCH($E24,'0.0.1 Pokémon Dex Data'!$B$3:$B951,0)),0)</f>
        <v>166</v>
      </c>
      <c r="K24" s="260" t="n">
        <f aca="false" t="array" ref="K24:K24">ROUND(INDEX('0.0.1 Pokémon Dex Data'!$S$3:$S951,MATCH($E24,'0.0.1 Pokémon Dex Data'!$B$3:$B951,0))*INDEX('0.0.1 Pokémon Dex Data'!U$3:U951,MATCH($E24,'0.0.1 Pokémon Dex Data'!$B$3:$B951,0)),0)</f>
        <v>154</v>
      </c>
      <c r="L24" s="260" t="n">
        <f aca="false" t="array" ref="L24:L24">ROUND(INDEX('0.0.1 Pokémon Dex Data'!$S$3:$S951,MATCH($E24,'0.0.1 Pokémon Dex Data'!$B$3:$B951,0))*INDEX('0.0.1 Pokémon Dex Data'!V$3:V951,MATCH($E24,'0.0.1 Pokémon Dex Data'!$B$3:$B951,0)),0)</f>
        <v>195</v>
      </c>
      <c r="M24" s="260" t="n">
        <f aca="false" t="array" ref="M24:M24">INDEX('0.0.1 Pokémon Dex Data'!$J$3:$J951,MATCH(E24,'0.0.1 Pokémon Dex Data'!$B$3:$B951,0))</f>
        <v>1</v>
      </c>
      <c r="O24" s="490"/>
      <c r="Q24" s="367" t="n">
        <f aca="false">IF('Reverse Search'!$F$4="All (including temporary formes)",1,IF('Reverse Search'!$F$4="Base Pokémon and permanent formes only",IF(F24&lt;=1,1,0),IF(F24=0,1,0)))</f>
        <v>1</v>
      </c>
      <c r="R24" s="0" t="n">
        <f aca="false">IF('Reverse Search'!$C$7="Disable",1,IF('Reverse Search'!$D$9="Disable",1,IF(OR('Reverse Search'!$F$9=H24,'Reverse Search'!$F$9=I24),1,0)))</f>
        <v>1</v>
      </c>
      <c r="S24" s="0" t="n">
        <f aca="false">IF('Reverse Search'!$C$7="Disable",1,IF('Reverse Search'!$D$10="Disable",1,IF(OR('Reverse Search'!$F$10=H24,'Reverse Search'!$F$10=I24),1,0)))</f>
        <v>1</v>
      </c>
      <c r="T24" s="0" t="n">
        <f aca="false">INDEX($B$4:$B$22,MATCH(H24,$A$4:$A$22,0))</f>
        <v>1</v>
      </c>
      <c r="U24" s="0" t="n">
        <f aca="false">IF(ISBLANK(I24),1,INDEX($B$4:$B$22,MATCH(I24,$A$4:$A$22,0)))</f>
        <v>1</v>
      </c>
      <c r="V24" s="367" t="n">
        <f aca="false">IF('Reverse Search'!$C$7="Disable",1,IF('Reverse Search'!$D$11="Disable",1,IF('Reverse Search'!$E$11="Neutral to:",IF(ROUND(T24*U24,2)&lt;=1,1,0),IF(ROUND(T24*U24,2)&lt;1,1,0))))</f>
        <v>1</v>
      </c>
      <c r="W24" s="0" t="n">
        <f aca="false">IF('Reverse Search'!$N$7="Disable",1,IF('Reverse Search'!$I$9="Disable",1,IF('Reverse Search'!$K$9="≥",IF(J24&gt;='Reverse Search'!$L$9,1,0),IF('Reverse Search'!$K$9="≤",IF(J24&lt;='Reverse Search'!$L$9,1,0),IF(J24='Reverse Search'!$L$9,1,0)))))</f>
        <v>1</v>
      </c>
      <c r="X24" s="0" t="n">
        <f aca="false">IF('Reverse Search'!$N$7="Disable",1,IF('Reverse Search'!$I$10="Disable",1,IF('Reverse Search'!$K$10="≥",IF(K24&gt;='Reverse Search'!$L$10,1,0),IF('Reverse Search'!$K$10="≤",IF(K24&lt;='Reverse Search'!$L$10,1,0),IF(K24='Reverse Search'!$L$10,1,0)))))</f>
        <v>1</v>
      </c>
      <c r="Y24" s="367" t="n">
        <f aca="false">IF('Reverse Search'!$N$7="Disable",1,IF('Reverse Search'!$I$11="Disable",1,IF('Reverse Search'!$K$11="≥",IF(L24&gt;='Reverse Search'!$L$11,1,0),IF('Reverse Search'!$K$11="≤",IF(L24&lt;='Reverse Search'!$L$11,1,0),IF(L24='Reverse Search'!$L$11,1,0)))))</f>
        <v>1</v>
      </c>
      <c r="Z24" s="0" t="n">
        <f aca="true">IF('Reverse Search'!$C$14="Disable",1,IF('Reverse Search'!$D$16="Disable",1,IF($C$2=3,IF($M24=0,0,COUNTIF(INDIRECT("'0.0.2 Pokémon Learnset (Core)'!$D$"&amp;MATCH($E24,'0.0.2 Pokémon Learnset (Core)'!$A$1:$A951,0)&amp;":$FK$"&amp;MATCH($E24,'0.0.2 Pokémon Learnset (Core)'!$A$1:$A951,0)),'Reverse Search'!$E$21)),IF($C$2=2,COUNTIF(INDIRECT("'0.1.1 Pokémon GO Moves'!$B$"&amp;MATCH($E24,'0.1.1 Pokémon GO Moves'!$A$1:$A951,0)&amp;":$R$"&amp;MATCH($E24,'0.1.1 Pokémon GO Moves'!$A$1:$A951,0)),'Reverse Search'!$E$21),COUNTIF(INDIRECT("'0.1.1 Pokémon GO Moves'!$B$"&amp;MATCH($E24,'0.1.1 Pokémon GO Moves'!$A$1:$A951,0)&amp;":$L$"&amp;MATCH($E24,'0.1.1 Pokémon GO Moves'!$A$1:$A951,0)),'Reverse Search'!$E$21)))))</f>
        <v>1</v>
      </c>
      <c r="AA24" s="0" t="n">
        <f aca="true">IF('Reverse Search'!$C$14="Disable",1,IF('Reverse Search'!$I$16="Disable",1,IF($D$2=3,IF($M24=0,0,COUNTIF(INDIRECT("'0.0.2 Pokémon Learnset (Core)'!$D$"&amp;MATCH($E24,'0.0.2 Pokémon Learnset (Core)'!$A$1:$A951,0)&amp;":$FK$"&amp;MATCH($E24,'0.0.2 Pokémon Learnset (Core)'!$A$1:$A951,0)),'Reverse Search'!$J$21)),IF($D$2=2,COUNTIF(INDIRECT("'0.1.1 Pokémon GO Moves'!$B$"&amp;MATCH($E24,'0.1.1 Pokémon GO Moves'!$A$1:$A951,0)&amp;":$R$"&amp;MATCH($E24,'0.1.1 Pokémon GO Moves'!$A$1:$A951,0)),'Reverse Search'!$J$21),COUNTIF(INDIRECT("'0.1.1 Pokémon GO Moves'!$B$"&amp;MATCH($E24,'0.1.1 Pokémon GO Moves'!$A$1:$A951,0)&amp;":$L$"&amp;MATCH($E24,'0.1.1 Pokémon GO Moves'!$A$1:$A951,0)),'Reverse Search'!$J$21)))))</f>
        <v>0</v>
      </c>
      <c r="AB24" s="490"/>
      <c r="AC24" s="260" t="n">
        <f aca="false">IF((Q24+R24+S24+V24+W24+X24+Y24+IF(Z24&gt;=1,1,0)+IF(AA24&gt;=1,1,0))=9,G24&amp;", ",)</f>
        <v>0</v>
      </c>
    </row>
    <row r="25" customFormat="false" ht="15.75" hidden="false" customHeight="false" outlineLevel="0" collapsed="false">
      <c r="A25" s="260"/>
      <c r="B25" s="358"/>
      <c r="C25" s="260" t="str">
        <f aca="false">IFERROR(__xludf.dummyfunction("""COMPUTED_VALUE"""),"Hidden Power")</f>
        <v>Hidden Power</v>
      </c>
      <c r="D25" s="358" t="str">
        <f aca="false">IFERROR(__xludf.dummyfunction("""COMPUTED_VALUE"""),"Dig")</f>
        <v>Dig</v>
      </c>
      <c r="E25" s="260" t="n">
        <v>24</v>
      </c>
      <c r="F25" s="260" t="n">
        <f aca="false" t="array" ref="F25:F25">INDEX('0.0.1 Pokémon Dex Data'!$H$3:$H951,MATCH(E25,'0.0.1 Pokémon Dex Data'!$B$3:$B951,0))</f>
        <v>2</v>
      </c>
      <c r="G25" s="0" t="str">
        <f aca="false" t="array" ref="G25:G25">INDEX('0.0.1 Pokémon Dex Data'!$E$3:$E951,MATCH(E25,'0.0.1 Pokémon Dex Data'!$B$3:$B951,0))</f>
        <v>Pidgeot-Mega</v>
      </c>
      <c r="H25" s="0" t="str">
        <f aca="false" t="array" ref="H25:H25">INDEX('0.0.1 Pokémon Dex Data'!$Q$3:$Q951,MATCH(E25,'0.0.1 Pokémon Dex Data'!$B$3:$B951,0))</f>
        <v>Normal</v>
      </c>
      <c r="I25" s="0" t="str">
        <f aca="false" t="array" ref="I25:I25">INDEX('0.0.1 Pokémon Dex Data'!$R$3:$R951,MATCH(E25,'0.0.1 Pokémon Dex Data'!$B$3:$B951,0))</f>
        <v>Flying</v>
      </c>
      <c r="J25" s="260" t="n">
        <f aca="false" t="array" ref="J25:J25">ROUND(INDEX('0.0.1 Pokémon Dex Data'!$S$3:$S951,MATCH($E25,'0.0.1 Pokémon Dex Data'!$B$3:$B951,0))*INDEX('0.0.1 Pokémon Dex Data'!T$3:T951,MATCH($E25,'0.0.1 Pokémon Dex Data'!$B$3:$B951,0)),0)</f>
        <v>280</v>
      </c>
      <c r="K25" s="260" t="n">
        <f aca="false" t="array" ref="K25:K25">ROUND(INDEX('0.0.1 Pokémon Dex Data'!$S$3:$S951,MATCH($E25,'0.0.1 Pokémon Dex Data'!$B$3:$B951,0))*INDEX('0.0.1 Pokémon Dex Data'!U$3:U951,MATCH($E25,'0.0.1 Pokémon Dex Data'!$B$3:$B951,0)),0)</f>
        <v>175</v>
      </c>
      <c r="L25" s="260" t="n">
        <f aca="false" t="array" ref="L25:L25">ROUND(INDEX('0.0.1 Pokémon Dex Data'!$S$3:$S951,MATCH($E25,'0.0.1 Pokémon Dex Data'!$B$3:$B951,0))*INDEX('0.0.1 Pokémon Dex Data'!V$3:V951,MATCH($E25,'0.0.1 Pokémon Dex Data'!$B$3:$B951,0)),0)</f>
        <v>195</v>
      </c>
      <c r="M25" s="260" t="n">
        <f aca="false" t="array" ref="M25:M25">INDEX('0.0.1 Pokémon Dex Data'!$J$3:$J951,MATCH(E25,'0.0.1 Pokémon Dex Data'!$B$3:$B951,0))</f>
        <v>1</v>
      </c>
      <c r="O25" s="490"/>
      <c r="Q25" s="367" t="n">
        <f aca="false">IF('Reverse Search'!$F$4="All (including temporary formes)",1,IF('Reverse Search'!$F$4="Base Pokémon and permanent formes only",IF(F25&lt;=1,1,0),IF(F25=0,1,0)))</f>
        <v>0</v>
      </c>
      <c r="R25" s="0" t="n">
        <f aca="false">IF('Reverse Search'!$C$7="Disable",1,IF('Reverse Search'!$D$9="Disable",1,IF(OR('Reverse Search'!$F$9=H25,'Reverse Search'!$F$9=I25),1,0)))</f>
        <v>1</v>
      </c>
      <c r="S25" s="0" t="n">
        <f aca="false">IF('Reverse Search'!$C$7="Disable",1,IF('Reverse Search'!$D$10="Disable",1,IF(OR('Reverse Search'!$F$10=H25,'Reverse Search'!$F$10=I25),1,0)))</f>
        <v>1</v>
      </c>
      <c r="T25" s="0" t="n">
        <f aca="false">INDEX($B$4:$B$22,MATCH(H25,$A$4:$A$22,0))</f>
        <v>1</v>
      </c>
      <c r="U25" s="0" t="n">
        <f aca="false">IF(ISBLANK(I25),1,INDEX($B$4:$B$22,MATCH(I25,$A$4:$A$22,0)))</f>
        <v>1</v>
      </c>
      <c r="V25" s="367" t="n">
        <f aca="false">IF('Reverse Search'!$C$7="Disable",1,IF('Reverse Search'!$D$11="Disable",1,IF('Reverse Search'!$E$11="Neutral to:",IF(ROUND(T25*U25,2)&lt;=1,1,0),IF(ROUND(T25*U25,2)&lt;1,1,0))))</f>
        <v>1</v>
      </c>
      <c r="W25" s="0" t="n">
        <f aca="false">IF('Reverse Search'!$N$7="Disable",1,IF('Reverse Search'!$I$9="Disable",1,IF('Reverse Search'!$K$9="≥",IF(J25&gt;='Reverse Search'!$L$9,1,0),IF('Reverse Search'!$K$9="≤",IF(J25&lt;='Reverse Search'!$L$9,1,0),IF(J25='Reverse Search'!$L$9,1,0)))))</f>
        <v>1</v>
      </c>
      <c r="X25" s="0" t="n">
        <f aca="false">IF('Reverse Search'!$N$7="Disable",1,IF('Reverse Search'!$I$10="Disable",1,IF('Reverse Search'!$K$10="≥",IF(K25&gt;='Reverse Search'!$L$10,1,0),IF('Reverse Search'!$K$10="≤",IF(K25&lt;='Reverse Search'!$L$10,1,0),IF(K25='Reverse Search'!$L$10,1,0)))))</f>
        <v>1</v>
      </c>
      <c r="Y25" s="367" t="n">
        <f aca="false">IF('Reverse Search'!$N$7="Disable",1,IF('Reverse Search'!$I$11="Disable",1,IF('Reverse Search'!$K$11="≥",IF(L25&gt;='Reverse Search'!$L$11,1,0),IF('Reverse Search'!$K$11="≤",IF(L25&lt;='Reverse Search'!$L$11,1,0),IF(L25='Reverse Search'!$L$11,1,0)))))</f>
        <v>1</v>
      </c>
      <c r="Z25" s="0" t="n">
        <f aca="true">IF('Reverse Search'!$C$14="Disable",1,IF('Reverse Search'!$D$16="Disable",1,IF($C$2=3,IF($M25=0,0,COUNTIF(INDIRECT("'0.0.2 Pokémon Learnset (Core)'!$D$"&amp;MATCH($E25,'0.0.2 Pokémon Learnset (Core)'!$A$1:$A951,0)&amp;":$FK$"&amp;MATCH($E25,'0.0.2 Pokémon Learnset (Core)'!$A$1:$A951,0)),'Reverse Search'!$E$21)),IF($C$2=2,COUNTIF(INDIRECT("'0.1.1 Pokémon GO Moves'!$B$"&amp;MATCH($E25,'0.1.1 Pokémon GO Moves'!$A$1:$A951,0)&amp;":$R$"&amp;MATCH($E25,'0.1.1 Pokémon GO Moves'!$A$1:$A951,0)),'Reverse Search'!$E$21),COUNTIF(INDIRECT("'0.1.1 Pokémon GO Moves'!$B$"&amp;MATCH($E25,'0.1.1 Pokémon GO Moves'!$A$1:$A951,0)&amp;":$L$"&amp;MATCH($E25,'0.1.1 Pokémon GO Moves'!$A$1:$A951,0)),'Reverse Search'!$E$21)))))</f>
        <v>1</v>
      </c>
      <c r="AA25" s="0" t="e">
        <f aca="true">IF('Reverse Search'!$C$14="Disable",1,IF('Reverse Search'!$I$16="Disable",1,IF($D$2=3,IF($M25=0,0,COUNTIF(INDIRECT("'0.0.2 Pokémon Learnset (Core)'!$D$"&amp;MATCH($E25,'0.0.2 Pokémon Learnset (Core)'!$A$1:$A951,0)&amp;":$FK$"&amp;MATCH($E25,'0.0.2 Pokémon Learnset (Core)'!$A$1:$A951,0)),'Reverse Search'!$J$21)),IF($D$2=2,COUNTIF(INDIRECT("'0.1.1 Pokémon GO Moves'!$B$"&amp;MATCH($E25,'0.1.1 Pokémon GO Moves'!$A$1:$A951,0)&amp;":$R$"&amp;MATCH($E25,'0.1.1 Pokémon GO Moves'!$A$1:$A951,0)),'Reverse Search'!$J$21),COUNTIF(INDIRECT("'0.1.1 Pokémon GO Moves'!$B$"&amp;MATCH($E25,'0.1.1 Pokémon GO Moves'!$A$1:$A951,0)&amp;":$L$"&amp;MATCH($E25,'0.1.1 Pokémon GO Moves'!$A$1:$A951,0)),'Reverse Search'!$J$21)))))</f>
        <v>#N/A</v>
      </c>
      <c r="AB25" s="490"/>
      <c r="AC25" s="260" t="e">
        <f aca="false">IF((Q25+R25+S25+V25+W25+X25+Y25+IF(Z25&gt;=1,1,0)+IF(AA25&gt;=1,1,0))=9,G25&amp;", ",)</f>
        <v>#N/A</v>
      </c>
    </row>
    <row r="26" customFormat="false" ht="15.75" hidden="false" customHeight="false" outlineLevel="0" collapsed="false">
      <c r="A26" s="260"/>
      <c r="B26" s="358"/>
      <c r="C26" s="260" t="str">
        <f aca="false">IFERROR(__xludf.dummyfunction("""COMPUTED_VALUE"""),"Ice Shard")</f>
        <v>Ice Shard</v>
      </c>
      <c r="D26" s="358" t="str">
        <f aca="false">IFERROR(__xludf.dummyfunction("""COMPUTED_VALUE"""),"Disarming Voice")</f>
        <v>Disarming Voice</v>
      </c>
      <c r="E26" s="260" t="n">
        <v>25</v>
      </c>
      <c r="F26" s="260" t="n">
        <f aca="false" t="array" ref="F26:F26">INDEX('0.0.1 Pokémon Dex Data'!$H$3:$H951,MATCH(E26,'0.0.1 Pokémon Dex Data'!$B$3:$B951,0))</f>
        <v>0</v>
      </c>
      <c r="G26" s="0" t="str">
        <f aca="false" t="array" ref="G26:G26">INDEX('0.0.1 Pokémon Dex Data'!$E$3:$E951,MATCH(E26,'0.0.1 Pokémon Dex Data'!$B$3:$B951,0))</f>
        <v>Rattata</v>
      </c>
      <c r="H26" s="0" t="str">
        <f aca="false" t="array" ref="H26:H26">INDEX('0.0.1 Pokémon Dex Data'!$Q$3:$Q951,MATCH(E26,'0.0.1 Pokémon Dex Data'!$B$3:$B951,0))</f>
        <v>Normal</v>
      </c>
      <c r="I26" s="0" t="n">
        <f aca="false">INDEX('0.0.1 Pokémon Dex Data'!$R$3:$R951,MATCH(E26,'0.0.1 Pokémon Dex Data'!$B$3:$B951,0))</f>
        <v>0</v>
      </c>
      <c r="J26" s="260" t="n">
        <f aca="false" t="array" ref="J26:J26">ROUND(INDEX('0.0.1 Pokémon Dex Data'!$S$3:$S951,MATCH($E26,'0.0.1 Pokémon Dex Data'!$B$3:$B951,0))*INDEX('0.0.1 Pokémon Dex Data'!T$3:T951,MATCH($E26,'0.0.1 Pokémon Dex Data'!$B$3:$B951,0)),0)</f>
        <v>103</v>
      </c>
      <c r="K26" s="260" t="n">
        <f aca="false" t="array" ref="K26:K26">ROUND(INDEX('0.0.1 Pokémon Dex Data'!$S$3:$S951,MATCH($E26,'0.0.1 Pokémon Dex Data'!$B$3:$B951,0))*INDEX('0.0.1 Pokémon Dex Data'!U$3:U951,MATCH($E26,'0.0.1 Pokémon Dex Data'!$B$3:$B951,0)),0)</f>
        <v>70</v>
      </c>
      <c r="L26" s="260" t="n">
        <f aca="false" t="array" ref="L26:L26">ROUND(INDEX('0.0.1 Pokémon Dex Data'!$S$3:$S951,MATCH($E26,'0.0.1 Pokémon Dex Data'!$B$3:$B951,0))*INDEX('0.0.1 Pokémon Dex Data'!V$3:V951,MATCH($E26,'0.0.1 Pokémon Dex Data'!$B$3:$B951,0)),0)</f>
        <v>102</v>
      </c>
      <c r="M26" s="260" t="n">
        <f aca="false" t="array" ref="M26:M26">INDEX('0.0.1 Pokémon Dex Data'!$J$3:$J951,MATCH(E26,'0.0.1 Pokémon Dex Data'!$B$3:$B951,0))</f>
        <v>0</v>
      </c>
      <c r="O26" s="490"/>
      <c r="Q26" s="367" t="n">
        <f aca="false">IF('Reverse Search'!$F$4="All (including temporary formes)",1,IF('Reverse Search'!$F$4="Base Pokémon and permanent formes only",IF(F26&lt;=1,1,0),IF(F26=0,1,0)))</f>
        <v>1</v>
      </c>
      <c r="R26" s="0" t="n">
        <f aca="false">IF('Reverse Search'!$C$7="Disable",1,IF('Reverse Search'!$D$9="Disable",1,IF(OR('Reverse Search'!$F$9=H26,'Reverse Search'!$F$9=I26),1,0)))</f>
        <v>1</v>
      </c>
      <c r="S26" s="0" t="n">
        <f aca="false">IF('Reverse Search'!$C$7="Disable",1,IF('Reverse Search'!$D$10="Disable",1,IF(OR('Reverse Search'!$F$10=H26,'Reverse Search'!$F$10=I26),1,0)))</f>
        <v>1</v>
      </c>
      <c r="T26" s="0" t="n">
        <f aca="false">INDEX($B$4:$B$22,MATCH(H26,$A$4:$A$22,0))</f>
        <v>1</v>
      </c>
      <c r="U26" s="0" t="e">
        <f aca="false">IF(ISBLANK(I26),1,INDEX($B$4:$B$22,MATCH(I26,$A$4:$A$22,0)))</f>
        <v>#N/A</v>
      </c>
      <c r="V26" s="367" t="n">
        <f aca="false">IF('Reverse Search'!$C$7="Disable",1,IF('Reverse Search'!$D$11="Disable",1,IF('Reverse Search'!$E$11="Neutral to:",IF(ROUND(T26*U26,2)&lt;=1,1,0),IF(ROUND(T26*U26,2)&lt;1,1,0))))</f>
        <v>1</v>
      </c>
      <c r="W26" s="0" t="n">
        <f aca="false">IF('Reverse Search'!$N$7="Disable",1,IF('Reverse Search'!$I$9="Disable",1,IF('Reverse Search'!$K$9="≥",IF(J26&gt;='Reverse Search'!$L$9,1,0),IF('Reverse Search'!$K$9="≤",IF(J26&lt;='Reverse Search'!$L$9,1,0),IF(J26='Reverse Search'!$L$9,1,0)))))</f>
        <v>1</v>
      </c>
      <c r="X26" s="0" t="n">
        <f aca="false">IF('Reverse Search'!$N$7="Disable",1,IF('Reverse Search'!$I$10="Disable",1,IF('Reverse Search'!$K$10="≥",IF(K26&gt;='Reverse Search'!$L$10,1,0),IF('Reverse Search'!$K$10="≤",IF(K26&lt;='Reverse Search'!$L$10,1,0),IF(K26='Reverse Search'!$L$10,1,0)))))</f>
        <v>1</v>
      </c>
      <c r="Y26" s="367" t="n">
        <f aca="false">IF('Reverse Search'!$N$7="Disable",1,IF('Reverse Search'!$I$11="Disable",1,IF('Reverse Search'!$K$11="≥",IF(L26&gt;='Reverse Search'!$L$11,1,0),IF('Reverse Search'!$K$11="≤",IF(L26&lt;='Reverse Search'!$L$11,1,0),IF(L26='Reverse Search'!$L$11,1,0)))))</f>
        <v>1</v>
      </c>
      <c r="Z26" s="0" t="n">
        <f aca="true">IF('Reverse Search'!$C$14="Disable",1,IF('Reverse Search'!$D$16="Disable",1,IF($C$2=3,IF($M26=0,0,COUNTIF(INDIRECT("'0.0.2 Pokémon Learnset (Core)'!$D$"&amp;MATCH($E26,'0.0.2 Pokémon Learnset (Core)'!$A$1:$A951,0)&amp;":$FK$"&amp;MATCH($E26,'0.0.2 Pokémon Learnset (Core)'!$A$1:$A951,0)),'Reverse Search'!$E$21)),IF($C$2=2,COUNTIF(INDIRECT("'0.1.1 Pokémon GO Moves'!$B$"&amp;MATCH($E26,'0.1.1 Pokémon GO Moves'!$A$1:$A951,0)&amp;":$R$"&amp;MATCH($E26,'0.1.1 Pokémon GO Moves'!$A$1:$A951,0)),'Reverse Search'!$E$21),COUNTIF(INDIRECT("'0.1.1 Pokémon GO Moves'!$B$"&amp;MATCH($E26,'0.1.1 Pokémon GO Moves'!$A$1:$A951,0)&amp;":$L$"&amp;MATCH($E26,'0.1.1 Pokémon GO Moves'!$A$1:$A951,0)),'Reverse Search'!$E$21)))))</f>
        <v>1</v>
      </c>
      <c r="AA26" s="0" t="n">
        <f aca="true">IF('Reverse Search'!$C$14="Disable",1,IF('Reverse Search'!$I$16="Disable",1,IF($D$2=3,IF($M26=0,0,COUNTIF(INDIRECT("'0.0.2 Pokémon Learnset (Core)'!$D$"&amp;MATCH($E26,'0.0.2 Pokémon Learnset (Core)'!$A$1:$A951,0)&amp;":$FK$"&amp;MATCH($E26,'0.0.2 Pokémon Learnset (Core)'!$A$1:$A951,0)),'Reverse Search'!$J$21)),IF($D$2=2,COUNTIF(INDIRECT("'0.1.1 Pokémon GO Moves'!$B$"&amp;MATCH($E26,'0.1.1 Pokémon GO Moves'!$A$1:$A951,0)&amp;":$R$"&amp;MATCH($E26,'0.1.1 Pokémon GO Moves'!$A$1:$A951,0)),'Reverse Search'!$J$21),COUNTIF(INDIRECT("'0.1.1 Pokémon GO Moves'!$B$"&amp;MATCH($E26,'0.1.1 Pokémon GO Moves'!$A$1:$A951,0)&amp;":$L$"&amp;MATCH($E26,'0.1.1 Pokémon GO Moves'!$A$1:$A951,0)),'Reverse Search'!$J$21)))))</f>
        <v>0</v>
      </c>
      <c r="AB26" s="490"/>
      <c r="AC26" s="260" t="n">
        <f aca="false">IF((Q26+R26+S26+V26+W26+X26+Y26+IF(Z26&gt;=1,1,0)+IF(AA26&gt;=1,1,0))=9,G26&amp;", ",)</f>
        <v>0</v>
      </c>
    </row>
    <row r="27" customFormat="false" ht="15.75" hidden="false" customHeight="false" outlineLevel="0" collapsed="false">
      <c r="A27" s="260"/>
      <c r="B27" s="358"/>
      <c r="C27" s="260" t="str">
        <f aca="false">IFERROR(__xludf.dummyfunction("""COMPUTED_VALUE"""),"Infestation")</f>
        <v>Infestation</v>
      </c>
      <c r="D27" s="358" t="str">
        <f aca="false">IFERROR(__xludf.dummyfunction("""COMPUTED_VALUE"""),"Discharge")</f>
        <v>Discharge</v>
      </c>
      <c r="E27" s="260" t="n">
        <v>26</v>
      </c>
      <c r="F27" s="260" t="n">
        <f aca="false" t="array" ref="F27:F27">INDEX('0.0.1 Pokémon Dex Data'!$H$3:$H951,MATCH(E27,'0.0.1 Pokémon Dex Data'!$B$3:$B951,0))</f>
        <v>1</v>
      </c>
      <c r="G27" s="0" t="str">
        <f aca="false" t="array" ref="G27:G27">INDEX('0.0.1 Pokémon Dex Data'!$E$3:$E951,MATCH(E27,'0.0.1 Pokémon Dex Data'!$B$3:$B951,0))</f>
        <v>Rattata-Alolan</v>
      </c>
      <c r="H27" s="0" t="str">
        <f aca="false" t="array" ref="H27:H27">INDEX('0.0.1 Pokémon Dex Data'!$Q$3:$Q951,MATCH(E27,'0.0.1 Pokémon Dex Data'!$B$3:$B951,0))</f>
        <v>Dark</v>
      </c>
      <c r="I27" s="0" t="str">
        <f aca="false" t="array" ref="I27:I27">INDEX('0.0.1 Pokémon Dex Data'!$R$3:$R951,MATCH(E27,'0.0.1 Pokémon Dex Data'!$B$3:$B951,0))</f>
        <v>Normal</v>
      </c>
      <c r="J27" s="260" t="n">
        <f aca="false" t="array" ref="J27:J27">ROUND(INDEX('0.0.1 Pokémon Dex Data'!$S$3:$S951,MATCH($E27,'0.0.1 Pokémon Dex Data'!$B$3:$B951,0))*INDEX('0.0.1 Pokémon Dex Data'!T$3:T951,MATCH($E27,'0.0.1 Pokémon Dex Data'!$B$3:$B951,0)),0)</f>
        <v>103</v>
      </c>
      <c r="K27" s="260" t="n">
        <f aca="false" t="array" ref="K27:K27">ROUND(INDEX('0.0.1 Pokémon Dex Data'!$S$3:$S951,MATCH($E27,'0.0.1 Pokémon Dex Data'!$B$3:$B951,0))*INDEX('0.0.1 Pokémon Dex Data'!U$3:U951,MATCH($E27,'0.0.1 Pokémon Dex Data'!$B$3:$B951,0)),0)</f>
        <v>70</v>
      </c>
      <c r="L27" s="260" t="n">
        <f aca="false" t="array" ref="L27:L27">ROUND(INDEX('0.0.1 Pokémon Dex Data'!$S$3:$S951,MATCH($E27,'0.0.1 Pokémon Dex Data'!$B$3:$B951,0))*INDEX('0.0.1 Pokémon Dex Data'!V$3:V951,MATCH($E27,'0.0.1 Pokémon Dex Data'!$B$3:$B951,0)),0)</f>
        <v>102</v>
      </c>
      <c r="M27" s="260" t="n">
        <f aca="false" t="array" ref="M27:M27">INDEX('0.0.1 Pokémon Dex Data'!$J$3:$J951,MATCH(E27,'0.0.1 Pokémon Dex Data'!$B$3:$B951,0))</f>
        <v>0</v>
      </c>
      <c r="O27" s="490"/>
      <c r="Q27" s="367" t="n">
        <f aca="false">IF('Reverse Search'!$F$4="All (including temporary formes)",1,IF('Reverse Search'!$F$4="Base Pokémon and permanent formes only",IF(F27&lt;=1,1,0),IF(F27=0,1,0)))</f>
        <v>0</v>
      </c>
      <c r="R27" s="0" t="n">
        <f aca="false">IF('Reverse Search'!$C$7="Disable",1,IF('Reverse Search'!$D$9="Disable",1,IF(OR('Reverse Search'!$F$9=H27,'Reverse Search'!$F$9=I27),1,0)))</f>
        <v>1</v>
      </c>
      <c r="S27" s="0" t="n">
        <f aca="false">IF('Reverse Search'!$C$7="Disable",1,IF('Reverse Search'!$D$10="Disable",1,IF(OR('Reverse Search'!$F$10=H27,'Reverse Search'!$F$10=I27),1,0)))</f>
        <v>1</v>
      </c>
      <c r="T27" s="0" t="n">
        <f aca="false">INDEX($B$4:$B$22,MATCH(H27,$A$4:$A$22,0))</f>
        <v>1</v>
      </c>
      <c r="U27" s="0" t="n">
        <f aca="false">IF(ISBLANK(I27),1,INDEX($B$4:$B$22,MATCH(I27,$A$4:$A$22,0)))</f>
        <v>1</v>
      </c>
      <c r="V27" s="367" t="n">
        <f aca="false">IF('Reverse Search'!$C$7="Disable",1,IF('Reverse Search'!$D$11="Disable",1,IF('Reverse Search'!$E$11="Neutral to:",IF(ROUND(T27*U27,2)&lt;=1,1,0),IF(ROUND(T27*U27,2)&lt;1,1,0))))</f>
        <v>1</v>
      </c>
      <c r="W27" s="0" t="n">
        <f aca="false">IF('Reverse Search'!$N$7="Disable",1,IF('Reverse Search'!$I$9="Disable",1,IF('Reverse Search'!$K$9="≥",IF(J27&gt;='Reverse Search'!$L$9,1,0),IF('Reverse Search'!$K$9="≤",IF(J27&lt;='Reverse Search'!$L$9,1,0),IF(J27='Reverse Search'!$L$9,1,0)))))</f>
        <v>1</v>
      </c>
      <c r="X27" s="0" t="n">
        <f aca="false">IF('Reverse Search'!$N$7="Disable",1,IF('Reverse Search'!$I$10="Disable",1,IF('Reverse Search'!$K$10="≥",IF(K27&gt;='Reverse Search'!$L$10,1,0),IF('Reverse Search'!$K$10="≤",IF(K27&lt;='Reverse Search'!$L$10,1,0),IF(K27='Reverse Search'!$L$10,1,0)))))</f>
        <v>1</v>
      </c>
      <c r="Y27" s="367" t="n">
        <f aca="false">IF('Reverse Search'!$N$7="Disable",1,IF('Reverse Search'!$I$11="Disable",1,IF('Reverse Search'!$K$11="≥",IF(L27&gt;='Reverse Search'!$L$11,1,0),IF('Reverse Search'!$K$11="≤",IF(L27&lt;='Reverse Search'!$L$11,1,0),IF(L27='Reverse Search'!$L$11,1,0)))))</f>
        <v>1</v>
      </c>
      <c r="Z27" s="0" t="n">
        <f aca="true">IF('Reverse Search'!$C$14="Disable",1,IF('Reverse Search'!$D$16="Disable",1,IF($C$2=3,IF($M27=0,0,COUNTIF(INDIRECT("'0.0.2 Pokémon Learnset (Core)'!$D$"&amp;MATCH($E27,'0.0.2 Pokémon Learnset (Core)'!$A$1:$A951,0)&amp;":$FK$"&amp;MATCH($E27,'0.0.2 Pokémon Learnset (Core)'!$A$1:$A951,0)),'Reverse Search'!$E$21)),IF($C$2=2,COUNTIF(INDIRECT("'0.1.1 Pokémon GO Moves'!$B$"&amp;MATCH($E27,'0.1.1 Pokémon GO Moves'!$A$1:$A951,0)&amp;":$R$"&amp;MATCH($E27,'0.1.1 Pokémon GO Moves'!$A$1:$A951,0)),'Reverse Search'!$E$21),COUNTIF(INDIRECT("'0.1.1 Pokémon GO Moves'!$B$"&amp;MATCH($E27,'0.1.1 Pokémon GO Moves'!$A$1:$A951,0)&amp;":$L$"&amp;MATCH($E27,'0.1.1 Pokémon GO Moves'!$A$1:$A951,0)),'Reverse Search'!$E$21)))))</f>
        <v>1</v>
      </c>
      <c r="AA27" s="0" t="e">
        <f aca="true">IF('Reverse Search'!$C$14="Disable",1,IF('Reverse Search'!$I$16="Disable",1,IF($D$2=3,IF($M27=0,0,COUNTIF(INDIRECT("'0.0.2 Pokémon Learnset (Core)'!$D$"&amp;MATCH($E27,'0.0.2 Pokémon Learnset (Core)'!$A$1:$A951,0)&amp;":$FK$"&amp;MATCH($E27,'0.0.2 Pokémon Learnset (Core)'!$A$1:$A951,0)),'Reverse Search'!$J$21)),IF($D$2=2,COUNTIF(INDIRECT("'0.1.1 Pokémon GO Moves'!$B$"&amp;MATCH($E27,'0.1.1 Pokémon GO Moves'!$A$1:$A951,0)&amp;":$R$"&amp;MATCH($E27,'0.1.1 Pokémon GO Moves'!$A$1:$A951,0)),'Reverse Search'!$J$21),COUNTIF(INDIRECT("'0.1.1 Pokémon GO Moves'!$B$"&amp;MATCH($E27,'0.1.1 Pokémon GO Moves'!$A$1:$A951,0)&amp;":$L$"&amp;MATCH($E27,'0.1.1 Pokémon GO Moves'!$A$1:$A951,0)),'Reverse Search'!$J$21)))))</f>
        <v>#N/A</v>
      </c>
      <c r="AB27" s="490"/>
      <c r="AC27" s="260" t="e">
        <f aca="false">IF((Q27+R27+S27+V27+W27+X27+Y27+IF(Z27&gt;=1,1,0)+IF(AA27&gt;=1,1,0))=9,G27&amp;", ",)</f>
        <v>#N/A</v>
      </c>
    </row>
    <row r="28" customFormat="false" ht="15.75" hidden="false" customHeight="false" outlineLevel="0" collapsed="false">
      <c r="A28" s="260"/>
      <c r="B28" s="358"/>
      <c r="C28" s="260" t="str">
        <f aca="false">IFERROR(__xludf.dummyfunction("""COMPUTED_VALUE"""),"Iron Tail")</f>
        <v>Iron Tail</v>
      </c>
      <c r="D28" s="358" t="str">
        <f aca="false">IFERROR(__xludf.dummyfunction("""COMPUTED_VALUE"""),"Doom Desire")</f>
        <v>Doom Desire</v>
      </c>
      <c r="E28" s="260" t="n">
        <v>27</v>
      </c>
      <c r="F28" s="260" t="n">
        <f aca="false" t="array" ref="F28:F28">INDEX('0.0.1 Pokémon Dex Data'!$H$3:$H951,MATCH(E28,'0.0.1 Pokémon Dex Data'!$B$3:$B951,0))</f>
        <v>0</v>
      </c>
      <c r="G28" s="0" t="str">
        <f aca="false" t="array" ref="G28:G28">INDEX('0.0.1 Pokémon Dex Data'!$E$3:$E951,MATCH(E28,'0.0.1 Pokémon Dex Data'!$B$3:$B951,0))</f>
        <v>Raticate</v>
      </c>
      <c r="H28" s="0" t="str">
        <f aca="false" t="array" ref="H28:H28">INDEX('0.0.1 Pokémon Dex Data'!$Q$3:$Q951,MATCH(E28,'0.0.1 Pokémon Dex Data'!$B$3:$B951,0))</f>
        <v>Normal</v>
      </c>
      <c r="I28" s="0" t="n">
        <f aca="false">INDEX('0.0.1 Pokémon Dex Data'!$R$3:$R951,MATCH(E28,'0.0.1 Pokémon Dex Data'!$B$3:$B951,0))</f>
        <v>0</v>
      </c>
      <c r="J28" s="260" t="n">
        <f aca="false" t="array" ref="J28:J28">ROUND(INDEX('0.0.1 Pokémon Dex Data'!$S$3:$S951,MATCH($E28,'0.0.1 Pokémon Dex Data'!$B$3:$B951,0))*INDEX('0.0.1 Pokémon Dex Data'!T$3:T951,MATCH($E28,'0.0.1 Pokémon Dex Data'!$B$3:$B951,0)),0)</f>
        <v>161</v>
      </c>
      <c r="K28" s="260" t="n">
        <f aca="false" t="array" ref="K28:K28">ROUND(INDEX('0.0.1 Pokémon Dex Data'!$S$3:$S951,MATCH($E28,'0.0.1 Pokémon Dex Data'!$B$3:$B951,0))*INDEX('0.0.1 Pokémon Dex Data'!U$3:U951,MATCH($E28,'0.0.1 Pokémon Dex Data'!$B$3:$B951,0)),0)</f>
        <v>139</v>
      </c>
      <c r="L28" s="260" t="n">
        <f aca="false" t="array" ref="L28:L28">ROUND(INDEX('0.0.1 Pokémon Dex Data'!$S$3:$S951,MATCH($E28,'0.0.1 Pokémon Dex Data'!$B$3:$B951,0))*INDEX('0.0.1 Pokémon Dex Data'!V$3:V951,MATCH($E28,'0.0.1 Pokémon Dex Data'!$B$3:$B951,0)),0)</f>
        <v>146</v>
      </c>
      <c r="M28" s="260" t="n">
        <f aca="false" t="array" ref="M28:M28">INDEX('0.0.1 Pokémon Dex Data'!$J$3:$J951,MATCH(E28,'0.0.1 Pokémon Dex Data'!$B$3:$B951,0))</f>
        <v>1</v>
      </c>
      <c r="O28" s="490"/>
      <c r="Q28" s="367" t="n">
        <f aca="false">IF('Reverse Search'!$F$4="All (including temporary formes)",1,IF('Reverse Search'!$F$4="Base Pokémon and permanent formes only",IF(F28&lt;=1,1,0),IF(F28=0,1,0)))</f>
        <v>1</v>
      </c>
      <c r="R28" s="0" t="n">
        <f aca="false">IF('Reverse Search'!$C$7="Disable",1,IF('Reverse Search'!$D$9="Disable",1,IF(OR('Reverse Search'!$F$9=H28,'Reverse Search'!$F$9=I28),1,0)))</f>
        <v>1</v>
      </c>
      <c r="S28" s="0" t="n">
        <f aca="false">IF('Reverse Search'!$C$7="Disable",1,IF('Reverse Search'!$D$10="Disable",1,IF(OR('Reverse Search'!$F$10=H28,'Reverse Search'!$F$10=I28),1,0)))</f>
        <v>1</v>
      </c>
      <c r="T28" s="0" t="n">
        <f aca="false">INDEX($B$4:$B$22,MATCH(H28,$A$4:$A$22,0))</f>
        <v>1</v>
      </c>
      <c r="U28" s="0" t="e">
        <f aca="false">IF(ISBLANK(I28),1,INDEX($B$4:$B$22,MATCH(I28,$A$4:$A$22,0)))</f>
        <v>#N/A</v>
      </c>
      <c r="V28" s="367" t="n">
        <f aca="false">IF('Reverse Search'!$C$7="Disable",1,IF('Reverse Search'!$D$11="Disable",1,IF('Reverse Search'!$E$11="Neutral to:",IF(ROUND(T28*U28,2)&lt;=1,1,0),IF(ROUND(T28*U28,2)&lt;1,1,0))))</f>
        <v>1</v>
      </c>
      <c r="W28" s="0" t="n">
        <f aca="false">IF('Reverse Search'!$N$7="Disable",1,IF('Reverse Search'!$I$9="Disable",1,IF('Reverse Search'!$K$9="≥",IF(J28&gt;='Reverse Search'!$L$9,1,0),IF('Reverse Search'!$K$9="≤",IF(J28&lt;='Reverse Search'!$L$9,1,0),IF(J28='Reverse Search'!$L$9,1,0)))))</f>
        <v>1</v>
      </c>
      <c r="X28" s="0" t="n">
        <f aca="false">IF('Reverse Search'!$N$7="Disable",1,IF('Reverse Search'!$I$10="Disable",1,IF('Reverse Search'!$K$10="≥",IF(K28&gt;='Reverse Search'!$L$10,1,0),IF('Reverse Search'!$K$10="≤",IF(K28&lt;='Reverse Search'!$L$10,1,0),IF(K28='Reverse Search'!$L$10,1,0)))))</f>
        <v>1</v>
      </c>
      <c r="Y28" s="367" t="n">
        <f aca="false">IF('Reverse Search'!$N$7="Disable",1,IF('Reverse Search'!$I$11="Disable",1,IF('Reverse Search'!$K$11="≥",IF(L28&gt;='Reverse Search'!$L$11,1,0),IF('Reverse Search'!$K$11="≤",IF(L28&lt;='Reverse Search'!$L$11,1,0),IF(L28='Reverse Search'!$L$11,1,0)))))</f>
        <v>1</v>
      </c>
      <c r="Z28" s="0" t="n">
        <f aca="true">IF('Reverse Search'!$C$14="Disable",1,IF('Reverse Search'!$D$16="Disable",1,IF($C$2=3,IF($M28=0,0,COUNTIF(INDIRECT("'0.0.2 Pokémon Learnset (Core)'!$D$"&amp;MATCH($E28,'0.0.2 Pokémon Learnset (Core)'!$A$1:$A951,0)&amp;":$FK$"&amp;MATCH($E28,'0.0.2 Pokémon Learnset (Core)'!$A$1:$A951,0)),'Reverse Search'!$E$21)),IF($C$2=2,COUNTIF(INDIRECT("'0.1.1 Pokémon GO Moves'!$B$"&amp;MATCH($E28,'0.1.1 Pokémon GO Moves'!$A$1:$A951,0)&amp;":$R$"&amp;MATCH($E28,'0.1.1 Pokémon GO Moves'!$A$1:$A951,0)),'Reverse Search'!$E$21),COUNTIF(INDIRECT("'0.1.1 Pokémon GO Moves'!$B$"&amp;MATCH($E28,'0.1.1 Pokémon GO Moves'!$A$1:$A951,0)&amp;":$L$"&amp;MATCH($E28,'0.1.1 Pokémon GO Moves'!$A$1:$A951,0)),'Reverse Search'!$E$21)))))</f>
        <v>1</v>
      </c>
      <c r="AA28" s="0" t="n">
        <f aca="true">IF('Reverse Search'!$C$14="Disable",1,IF('Reverse Search'!$I$16="Disable",1,IF($D$2=3,IF($M28=0,0,COUNTIF(INDIRECT("'0.0.2 Pokémon Learnset (Core)'!$D$"&amp;MATCH($E28,'0.0.2 Pokémon Learnset (Core)'!$A$1:$A951,0)&amp;":$FK$"&amp;MATCH($E28,'0.0.2 Pokémon Learnset (Core)'!$A$1:$A951,0)),'Reverse Search'!$J$21)),IF($D$2=2,COUNTIF(INDIRECT("'0.1.1 Pokémon GO Moves'!$B$"&amp;MATCH($E28,'0.1.1 Pokémon GO Moves'!$A$1:$A951,0)&amp;":$R$"&amp;MATCH($E28,'0.1.1 Pokémon GO Moves'!$A$1:$A951,0)),'Reverse Search'!$J$21),COUNTIF(INDIRECT("'0.1.1 Pokémon GO Moves'!$B$"&amp;MATCH($E28,'0.1.1 Pokémon GO Moves'!$A$1:$A951,0)&amp;":$L$"&amp;MATCH($E28,'0.1.1 Pokémon GO Moves'!$A$1:$A951,0)),'Reverse Search'!$J$21)))))</f>
        <v>0</v>
      </c>
      <c r="AB28" s="490"/>
      <c r="AC28" s="260" t="n">
        <f aca="false">IF((Q28+R28+S28+V28+W28+X28+Y28+IF(Z28&gt;=1,1,0)+IF(AA28&gt;=1,1,0))=9,G28&amp;", ",)</f>
        <v>0</v>
      </c>
    </row>
    <row r="29" customFormat="false" ht="15.75" hidden="false" customHeight="false" outlineLevel="0" collapsed="false">
      <c r="A29" s="260"/>
      <c r="B29" s="358"/>
      <c r="C29" s="260" t="str">
        <f aca="false">IFERROR(__xludf.dummyfunction("""COMPUTED_VALUE"""),"Karate Chop")</f>
        <v>Karate Chop</v>
      </c>
      <c r="D29" s="358" t="str">
        <f aca="false">IFERROR(__xludf.dummyfunction("""COMPUTED_VALUE"""),"Draco Meteor")</f>
        <v>Draco Meteor</v>
      </c>
      <c r="E29" s="260" t="n">
        <v>28</v>
      </c>
      <c r="F29" s="260" t="n">
        <f aca="false" t="array" ref="F29:F29">INDEX('0.0.1 Pokémon Dex Data'!$H$3:$H951,MATCH(E29,'0.0.1 Pokémon Dex Data'!$B$3:$B951,0))</f>
        <v>1</v>
      </c>
      <c r="G29" s="0" t="str">
        <f aca="false" t="array" ref="G29:G29">INDEX('0.0.1 Pokémon Dex Data'!$E$3:$E951,MATCH(E29,'0.0.1 Pokémon Dex Data'!$B$3:$B951,0))</f>
        <v>Raticate-Alolan</v>
      </c>
      <c r="H29" s="0" t="str">
        <f aca="false" t="array" ref="H29:H29">INDEX('0.0.1 Pokémon Dex Data'!$Q$3:$Q951,MATCH(E29,'0.0.1 Pokémon Dex Data'!$B$3:$B951,0))</f>
        <v>Dark</v>
      </c>
      <c r="I29" s="0" t="str">
        <f aca="false" t="array" ref="I29:I29">INDEX('0.0.1 Pokémon Dex Data'!$R$3:$R951,MATCH(E29,'0.0.1 Pokémon Dex Data'!$B$3:$B951,0))</f>
        <v>Normal</v>
      </c>
      <c r="J29" s="260" t="n">
        <f aca="false" t="array" ref="J29:J29">ROUND(INDEX('0.0.1 Pokémon Dex Data'!$S$3:$S951,MATCH($E29,'0.0.1 Pokémon Dex Data'!$B$3:$B951,0))*INDEX('0.0.1 Pokémon Dex Data'!T$3:T951,MATCH($E29,'0.0.1 Pokémon Dex Data'!$B$3:$B951,0)),0)</f>
        <v>135</v>
      </c>
      <c r="K29" s="260" t="n">
        <f aca="false" t="array" ref="K29:K29">ROUND(INDEX('0.0.1 Pokémon Dex Data'!$S$3:$S951,MATCH($E29,'0.0.1 Pokémon Dex Data'!$B$3:$B951,0))*INDEX('0.0.1 Pokémon Dex Data'!U$3:U951,MATCH($E29,'0.0.1 Pokémon Dex Data'!$B$3:$B951,0)),0)</f>
        <v>154</v>
      </c>
      <c r="L29" s="260" t="n">
        <f aca="false" t="array" ref="L29:L29">ROUND(INDEX('0.0.1 Pokémon Dex Data'!$S$3:$S951,MATCH($E29,'0.0.1 Pokémon Dex Data'!$B$3:$B951,0))*INDEX('0.0.1 Pokémon Dex Data'!V$3:V951,MATCH($E29,'0.0.1 Pokémon Dex Data'!$B$3:$B951,0)),0)</f>
        <v>181</v>
      </c>
      <c r="M29" s="260" t="n">
        <f aca="false" t="array" ref="M29:M29">INDEX('0.0.1 Pokémon Dex Data'!$J$3:$J951,MATCH(E29,'0.0.1 Pokémon Dex Data'!$B$3:$B951,0))</f>
        <v>1</v>
      </c>
      <c r="O29" s="490"/>
      <c r="Q29" s="367" t="n">
        <f aca="false">IF('Reverse Search'!$F$4="All (including temporary formes)",1,IF('Reverse Search'!$F$4="Base Pokémon and permanent formes only",IF(F29&lt;=1,1,0),IF(F29=0,1,0)))</f>
        <v>0</v>
      </c>
      <c r="R29" s="0" t="n">
        <f aca="false">IF('Reverse Search'!$C$7="Disable",1,IF('Reverse Search'!$D$9="Disable",1,IF(OR('Reverse Search'!$F$9=H29,'Reverse Search'!$F$9=I29),1,0)))</f>
        <v>1</v>
      </c>
      <c r="S29" s="0" t="n">
        <f aca="false">IF('Reverse Search'!$C$7="Disable",1,IF('Reverse Search'!$D$10="Disable",1,IF(OR('Reverse Search'!$F$10=H29,'Reverse Search'!$F$10=I29),1,0)))</f>
        <v>1</v>
      </c>
      <c r="T29" s="0" t="n">
        <f aca="false">INDEX($B$4:$B$22,MATCH(H29,$A$4:$A$22,0))</f>
        <v>1</v>
      </c>
      <c r="U29" s="0" t="n">
        <f aca="false">IF(ISBLANK(I29),1,INDEX($B$4:$B$22,MATCH(I29,$A$4:$A$22,0)))</f>
        <v>1</v>
      </c>
      <c r="V29" s="367" t="n">
        <f aca="false">IF('Reverse Search'!$C$7="Disable",1,IF('Reverse Search'!$D$11="Disable",1,IF('Reverse Search'!$E$11="Neutral to:",IF(ROUND(T29*U29,2)&lt;=1,1,0),IF(ROUND(T29*U29,2)&lt;1,1,0))))</f>
        <v>1</v>
      </c>
      <c r="W29" s="0" t="n">
        <f aca="false">IF('Reverse Search'!$N$7="Disable",1,IF('Reverse Search'!$I$9="Disable",1,IF('Reverse Search'!$K$9="≥",IF(J29&gt;='Reverse Search'!$L$9,1,0),IF('Reverse Search'!$K$9="≤",IF(J29&lt;='Reverse Search'!$L$9,1,0),IF(J29='Reverse Search'!$L$9,1,0)))))</f>
        <v>1</v>
      </c>
      <c r="X29" s="0" t="n">
        <f aca="false">IF('Reverse Search'!$N$7="Disable",1,IF('Reverse Search'!$I$10="Disable",1,IF('Reverse Search'!$K$10="≥",IF(K29&gt;='Reverse Search'!$L$10,1,0),IF('Reverse Search'!$K$10="≤",IF(K29&lt;='Reverse Search'!$L$10,1,0),IF(K29='Reverse Search'!$L$10,1,0)))))</f>
        <v>1</v>
      </c>
      <c r="Y29" s="367" t="n">
        <f aca="false">IF('Reverse Search'!$N$7="Disable",1,IF('Reverse Search'!$I$11="Disable",1,IF('Reverse Search'!$K$11="≥",IF(L29&gt;='Reverse Search'!$L$11,1,0),IF('Reverse Search'!$K$11="≤",IF(L29&lt;='Reverse Search'!$L$11,1,0),IF(L29='Reverse Search'!$L$11,1,0)))))</f>
        <v>1</v>
      </c>
      <c r="Z29" s="0" t="n">
        <f aca="true">IF('Reverse Search'!$C$14="Disable",1,IF('Reverse Search'!$D$16="Disable",1,IF($C$2=3,IF($M29=0,0,COUNTIF(INDIRECT("'0.0.2 Pokémon Learnset (Core)'!$D$"&amp;MATCH($E29,'0.0.2 Pokémon Learnset (Core)'!$A$1:$A951,0)&amp;":$FK$"&amp;MATCH($E29,'0.0.2 Pokémon Learnset (Core)'!$A$1:$A951,0)),'Reverse Search'!$E$21)),IF($C$2=2,COUNTIF(INDIRECT("'0.1.1 Pokémon GO Moves'!$B$"&amp;MATCH($E29,'0.1.1 Pokémon GO Moves'!$A$1:$A951,0)&amp;":$R$"&amp;MATCH($E29,'0.1.1 Pokémon GO Moves'!$A$1:$A951,0)),'Reverse Search'!$E$21),COUNTIF(INDIRECT("'0.1.1 Pokémon GO Moves'!$B$"&amp;MATCH($E29,'0.1.1 Pokémon GO Moves'!$A$1:$A951,0)&amp;":$L$"&amp;MATCH($E29,'0.1.1 Pokémon GO Moves'!$A$1:$A951,0)),'Reverse Search'!$E$21)))))</f>
        <v>1</v>
      </c>
      <c r="AA29" s="0" t="e">
        <f aca="true">IF('Reverse Search'!$C$14="Disable",1,IF('Reverse Search'!$I$16="Disable",1,IF($D$2=3,IF($M29=0,0,COUNTIF(INDIRECT("'0.0.2 Pokémon Learnset (Core)'!$D$"&amp;MATCH($E29,'0.0.2 Pokémon Learnset (Core)'!$A$1:$A951,0)&amp;":$FK$"&amp;MATCH($E29,'0.0.2 Pokémon Learnset (Core)'!$A$1:$A951,0)),'Reverse Search'!$J$21)),IF($D$2=2,COUNTIF(INDIRECT("'0.1.1 Pokémon GO Moves'!$B$"&amp;MATCH($E29,'0.1.1 Pokémon GO Moves'!$A$1:$A951,0)&amp;":$R$"&amp;MATCH($E29,'0.1.1 Pokémon GO Moves'!$A$1:$A951,0)),'Reverse Search'!$J$21),COUNTIF(INDIRECT("'0.1.1 Pokémon GO Moves'!$B$"&amp;MATCH($E29,'0.1.1 Pokémon GO Moves'!$A$1:$A951,0)&amp;":$L$"&amp;MATCH($E29,'0.1.1 Pokémon GO Moves'!$A$1:$A951,0)),'Reverse Search'!$J$21)))))</f>
        <v>#N/A</v>
      </c>
      <c r="AB29" s="490"/>
      <c r="AC29" s="260" t="e">
        <f aca="false">IF((Q29+R29+S29+V29+W29+X29+Y29+IF(Z29&gt;=1,1,0)+IF(AA29&gt;=1,1,0))=9,G29&amp;", ",)</f>
        <v>#N/A</v>
      </c>
    </row>
    <row r="30" customFormat="false" ht="15.75" hidden="false" customHeight="false" outlineLevel="0" collapsed="false">
      <c r="A30" s="260"/>
      <c r="B30" s="358"/>
      <c r="C30" s="260" t="str">
        <f aca="false">IFERROR(__xludf.dummyfunction("""COMPUTED_VALUE"""),"Lick")</f>
        <v>Lick</v>
      </c>
      <c r="D30" s="358" t="str">
        <f aca="false">IFERROR(__xludf.dummyfunction("""COMPUTED_VALUE"""),"Dragon Claw")</f>
        <v>Dragon Claw</v>
      </c>
      <c r="E30" s="260" t="n">
        <v>29</v>
      </c>
      <c r="F30" s="260" t="n">
        <f aca="false" t="array" ref="F30:F30">INDEX('0.0.1 Pokémon Dex Data'!$H$3:$H951,MATCH(E30,'0.0.1 Pokémon Dex Data'!$B$3:$B951,0))</f>
        <v>0</v>
      </c>
      <c r="G30" s="0" t="str">
        <f aca="false" t="array" ref="G30:G30">INDEX('0.0.1 Pokémon Dex Data'!$E$3:$E951,MATCH(E30,'0.0.1 Pokémon Dex Data'!$B$3:$B951,0))</f>
        <v>Spearow</v>
      </c>
      <c r="H30" s="0" t="str">
        <f aca="false" t="array" ref="H30:H30">INDEX('0.0.1 Pokémon Dex Data'!$Q$3:$Q951,MATCH(E30,'0.0.1 Pokémon Dex Data'!$B$3:$B951,0))</f>
        <v>Normal</v>
      </c>
      <c r="I30" s="0" t="str">
        <f aca="false" t="array" ref="I30:I30">INDEX('0.0.1 Pokémon Dex Data'!$R$3:$R951,MATCH(E30,'0.0.1 Pokémon Dex Data'!$B$3:$B951,0))</f>
        <v>Flying</v>
      </c>
      <c r="J30" s="260" t="n">
        <f aca="false" t="array" ref="J30:J30">ROUND(INDEX('0.0.1 Pokémon Dex Data'!$S$3:$S951,MATCH($E30,'0.0.1 Pokémon Dex Data'!$B$3:$B951,0))*INDEX('0.0.1 Pokémon Dex Data'!T$3:T951,MATCH($E30,'0.0.1 Pokémon Dex Data'!$B$3:$B951,0)),0)</f>
        <v>112</v>
      </c>
      <c r="K30" s="260" t="n">
        <f aca="false" t="array" ref="K30:K30">ROUND(INDEX('0.0.1 Pokémon Dex Data'!$S$3:$S951,MATCH($E30,'0.0.1 Pokémon Dex Data'!$B$3:$B951,0))*INDEX('0.0.1 Pokémon Dex Data'!U$3:U951,MATCH($E30,'0.0.1 Pokémon Dex Data'!$B$3:$B951,0)),0)</f>
        <v>60</v>
      </c>
      <c r="L30" s="260" t="n">
        <f aca="false" t="array" ref="L30:L30">ROUND(INDEX('0.0.1 Pokémon Dex Data'!$S$3:$S951,MATCH($E30,'0.0.1 Pokémon Dex Data'!$B$3:$B951,0))*INDEX('0.0.1 Pokémon Dex Data'!V$3:V951,MATCH($E30,'0.0.1 Pokémon Dex Data'!$B$3:$B951,0)),0)</f>
        <v>120</v>
      </c>
      <c r="M30" s="260" t="n">
        <f aca="false" t="array" ref="M30:M30">INDEX('0.0.1 Pokémon Dex Data'!$J$3:$J951,MATCH(E30,'0.0.1 Pokémon Dex Data'!$B$3:$B951,0))</f>
        <v>0</v>
      </c>
      <c r="O30" s="490"/>
      <c r="Q30" s="367" t="n">
        <f aca="false">IF('Reverse Search'!$F$4="All (including temporary formes)",1,IF('Reverse Search'!$F$4="Base Pokémon and permanent formes only",IF(F30&lt;=1,1,0),IF(F30=0,1,0)))</f>
        <v>1</v>
      </c>
      <c r="R30" s="0" t="n">
        <f aca="false">IF('Reverse Search'!$C$7="Disable",1,IF('Reverse Search'!$D$9="Disable",1,IF(OR('Reverse Search'!$F$9=H30,'Reverse Search'!$F$9=I30),1,0)))</f>
        <v>1</v>
      </c>
      <c r="S30" s="0" t="n">
        <f aca="false">IF('Reverse Search'!$C$7="Disable",1,IF('Reverse Search'!$D$10="Disable",1,IF(OR('Reverse Search'!$F$10=H30,'Reverse Search'!$F$10=I30),1,0)))</f>
        <v>1</v>
      </c>
      <c r="T30" s="0" t="n">
        <f aca="false">INDEX($B$4:$B$22,MATCH(H30,$A$4:$A$22,0))</f>
        <v>1</v>
      </c>
      <c r="U30" s="0" t="n">
        <f aca="false">IF(ISBLANK(I30),1,INDEX($B$4:$B$22,MATCH(I30,$A$4:$A$22,0)))</f>
        <v>1</v>
      </c>
      <c r="V30" s="367" t="n">
        <f aca="false">IF('Reverse Search'!$C$7="Disable",1,IF('Reverse Search'!$D$11="Disable",1,IF('Reverse Search'!$E$11="Neutral to:",IF(ROUND(T30*U30,2)&lt;=1,1,0),IF(ROUND(T30*U30,2)&lt;1,1,0))))</f>
        <v>1</v>
      </c>
      <c r="W30" s="0" t="n">
        <f aca="false">IF('Reverse Search'!$N$7="Disable",1,IF('Reverse Search'!$I$9="Disable",1,IF('Reverse Search'!$K$9="≥",IF(J30&gt;='Reverse Search'!$L$9,1,0),IF('Reverse Search'!$K$9="≤",IF(J30&lt;='Reverse Search'!$L$9,1,0),IF(J30='Reverse Search'!$L$9,1,0)))))</f>
        <v>1</v>
      </c>
      <c r="X30" s="0" t="n">
        <f aca="false">IF('Reverse Search'!$N$7="Disable",1,IF('Reverse Search'!$I$10="Disable",1,IF('Reverse Search'!$K$10="≥",IF(K30&gt;='Reverse Search'!$L$10,1,0),IF('Reverse Search'!$K$10="≤",IF(K30&lt;='Reverse Search'!$L$10,1,0),IF(K30='Reverse Search'!$L$10,1,0)))))</f>
        <v>1</v>
      </c>
      <c r="Y30" s="367" t="n">
        <f aca="false">IF('Reverse Search'!$N$7="Disable",1,IF('Reverse Search'!$I$11="Disable",1,IF('Reverse Search'!$K$11="≥",IF(L30&gt;='Reverse Search'!$L$11,1,0),IF('Reverse Search'!$K$11="≤",IF(L30&lt;='Reverse Search'!$L$11,1,0),IF(L30='Reverse Search'!$L$11,1,0)))))</f>
        <v>1</v>
      </c>
      <c r="Z30" s="0" t="n">
        <f aca="true">IF('Reverse Search'!$C$14="Disable",1,IF('Reverse Search'!$D$16="Disable",1,IF($C$2=3,IF($M30=0,0,COUNTIF(INDIRECT("'0.0.2 Pokémon Learnset (Core)'!$D$"&amp;MATCH($E30,'0.0.2 Pokémon Learnset (Core)'!$A$1:$A951,0)&amp;":$FK$"&amp;MATCH($E30,'0.0.2 Pokémon Learnset (Core)'!$A$1:$A951,0)),'Reverse Search'!$E$21)),IF($C$2=2,COUNTIF(INDIRECT("'0.1.1 Pokémon GO Moves'!$B$"&amp;MATCH($E30,'0.1.1 Pokémon GO Moves'!$A$1:$A951,0)&amp;":$R$"&amp;MATCH($E30,'0.1.1 Pokémon GO Moves'!$A$1:$A951,0)),'Reverse Search'!$E$21),COUNTIF(INDIRECT("'0.1.1 Pokémon GO Moves'!$B$"&amp;MATCH($E30,'0.1.1 Pokémon GO Moves'!$A$1:$A951,0)&amp;":$L$"&amp;MATCH($E30,'0.1.1 Pokémon GO Moves'!$A$1:$A951,0)),'Reverse Search'!$E$21)))))</f>
        <v>1</v>
      </c>
      <c r="AA30" s="0" t="n">
        <f aca="true">IF('Reverse Search'!$C$14="Disable",1,IF('Reverse Search'!$I$16="Disable",1,IF($D$2=3,IF($M30=0,0,COUNTIF(INDIRECT("'0.0.2 Pokémon Learnset (Core)'!$D$"&amp;MATCH($E30,'0.0.2 Pokémon Learnset (Core)'!$A$1:$A951,0)&amp;":$FK$"&amp;MATCH($E30,'0.0.2 Pokémon Learnset (Core)'!$A$1:$A951,0)),'Reverse Search'!$J$21)),IF($D$2=2,COUNTIF(INDIRECT("'0.1.1 Pokémon GO Moves'!$B$"&amp;MATCH($E30,'0.1.1 Pokémon GO Moves'!$A$1:$A951,0)&amp;":$R$"&amp;MATCH($E30,'0.1.1 Pokémon GO Moves'!$A$1:$A951,0)),'Reverse Search'!$J$21),COUNTIF(INDIRECT("'0.1.1 Pokémon GO Moves'!$B$"&amp;MATCH($E30,'0.1.1 Pokémon GO Moves'!$A$1:$A951,0)&amp;":$L$"&amp;MATCH($E30,'0.1.1 Pokémon GO Moves'!$A$1:$A951,0)),'Reverse Search'!$J$21)))))</f>
        <v>0</v>
      </c>
      <c r="AB30" s="490"/>
      <c r="AC30" s="260" t="n">
        <f aca="false">IF((Q30+R30+S30+V30+W30+X30+Y30+IF(Z30&gt;=1,1,0)+IF(AA30&gt;=1,1,0))=9,G30&amp;", ",)</f>
        <v>0</v>
      </c>
    </row>
    <row r="31" customFormat="false" ht="15.75" hidden="false" customHeight="false" outlineLevel="0" collapsed="false">
      <c r="A31" s="260"/>
      <c r="B31" s="358"/>
      <c r="C31" s="260" t="str">
        <f aca="false">IFERROR(__xludf.dummyfunction("""COMPUTED_VALUE"""),"Low Kick")</f>
        <v>Low Kick</v>
      </c>
      <c r="D31" s="358" t="str">
        <f aca="false">IFERROR(__xludf.dummyfunction("""COMPUTED_VALUE"""),"Dragon Pulse")</f>
        <v>Dragon Pulse</v>
      </c>
      <c r="E31" s="260" t="n">
        <v>30</v>
      </c>
      <c r="F31" s="260" t="n">
        <f aca="false" t="array" ref="F31:F31">INDEX('0.0.1 Pokémon Dex Data'!$H$3:$H951,MATCH(E31,'0.0.1 Pokémon Dex Data'!$B$3:$B951,0))</f>
        <v>0</v>
      </c>
      <c r="G31" s="0" t="str">
        <f aca="false" t="array" ref="G31:G31">INDEX('0.0.1 Pokémon Dex Data'!$E$3:$E951,MATCH(E31,'0.0.1 Pokémon Dex Data'!$B$3:$B951,0))</f>
        <v>Fearow</v>
      </c>
      <c r="H31" s="0" t="str">
        <f aca="false" t="array" ref="H31:H31">INDEX('0.0.1 Pokémon Dex Data'!$Q$3:$Q951,MATCH(E31,'0.0.1 Pokémon Dex Data'!$B$3:$B951,0))</f>
        <v>Normal</v>
      </c>
      <c r="I31" s="0" t="str">
        <f aca="false" t="array" ref="I31:I31">INDEX('0.0.1 Pokémon Dex Data'!$R$3:$R951,MATCH(E31,'0.0.1 Pokémon Dex Data'!$B$3:$B951,0))</f>
        <v>Flying</v>
      </c>
      <c r="J31" s="260" t="n">
        <f aca="false" t="array" ref="J31:J31">ROUND(INDEX('0.0.1 Pokémon Dex Data'!$S$3:$S951,MATCH($E31,'0.0.1 Pokémon Dex Data'!$B$3:$B951,0))*INDEX('0.0.1 Pokémon Dex Data'!T$3:T951,MATCH($E31,'0.0.1 Pokémon Dex Data'!$B$3:$B951,0)),0)</f>
        <v>182</v>
      </c>
      <c r="K31" s="260" t="n">
        <f aca="false" t="array" ref="K31:K31">ROUND(INDEX('0.0.1 Pokémon Dex Data'!$S$3:$S951,MATCH($E31,'0.0.1 Pokémon Dex Data'!$B$3:$B951,0))*INDEX('0.0.1 Pokémon Dex Data'!U$3:U951,MATCH($E31,'0.0.1 Pokémon Dex Data'!$B$3:$B951,0)),0)</f>
        <v>133</v>
      </c>
      <c r="L31" s="260" t="n">
        <f aca="false" t="array" ref="L31:L31">ROUND(INDEX('0.0.1 Pokémon Dex Data'!$S$3:$S951,MATCH($E31,'0.0.1 Pokémon Dex Data'!$B$3:$B951,0))*INDEX('0.0.1 Pokémon Dex Data'!V$3:V951,MATCH($E31,'0.0.1 Pokémon Dex Data'!$B$3:$B951,0)),0)</f>
        <v>163</v>
      </c>
      <c r="M31" s="260" t="n">
        <f aca="false" t="array" ref="M31:M31">INDEX('0.0.1 Pokémon Dex Data'!$J$3:$J951,MATCH(E31,'0.0.1 Pokémon Dex Data'!$B$3:$B951,0))</f>
        <v>1</v>
      </c>
      <c r="O31" s="490"/>
      <c r="Q31" s="367" t="n">
        <f aca="false">IF('Reverse Search'!$F$4="All (including temporary formes)",1,IF('Reverse Search'!$F$4="Base Pokémon and permanent formes only",IF(F31&lt;=1,1,0),IF(F31=0,1,0)))</f>
        <v>1</v>
      </c>
      <c r="R31" s="0" t="n">
        <f aca="false">IF('Reverse Search'!$C$7="Disable",1,IF('Reverse Search'!$D$9="Disable",1,IF(OR('Reverse Search'!$F$9=H31,'Reverse Search'!$F$9=I31),1,0)))</f>
        <v>1</v>
      </c>
      <c r="S31" s="0" t="n">
        <f aca="false">IF('Reverse Search'!$C$7="Disable",1,IF('Reverse Search'!$D$10="Disable",1,IF(OR('Reverse Search'!$F$10=H31,'Reverse Search'!$F$10=I31),1,0)))</f>
        <v>1</v>
      </c>
      <c r="T31" s="0" t="n">
        <f aca="false">INDEX($B$4:$B$22,MATCH(H31,$A$4:$A$22,0))</f>
        <v>1</v>
      </c>
      <c r="U31" s="0" t="n">
        <f aca="false">IF(ISBLANK(I31),1,INDEX($B$4:$B$22,MATCH(I31,$A$4:$A$22,0)))</f>
        <v>1</v>
      </c>
      <c r="V31" s="367" t="n">
        <f aca="false">IF('Reverse Search'!$C$7="Disable",1,IF('Reverse Search'!$D$11="Disable",1,IF('Reverse Search'!$E$11="Neutral to:",IF(ROUND(T31*U31,2)&lt;=1,1,0),IF(ROUND(T31*U31,2)&lt;1,1,0))))</f>
        <v>1</v>
      </c>
      <c r="W31" s="0" t="n">
        <f aca="false">IF('Reverse Search'!$N$7="Disable",1,IF('Reverse Search'!$I$9="Disable",1,IF('Reverse Search'!$K$9="≥",IF(J31&gt;='Reverse Search'!$L$9,1,0),IF('Reverse Search'!$K$9="≤",IF(J31&lt;='Reverse Search'!$L$9,1,0),IF(J31='Reverse Search'!$L$9,1,0)))))</f>
        <v>1</v>
      </c>
      <c r="X31" s="0" t="n">
        <f aca="false">IF('Reverse Search'!$N$7="Disable",1,IF('Reverse Search'!$I$10="Disable",1,IF('Reverse Search'!$K$10="≥",IF(K31&gt;='Reverse Search'!$L$10,1,0),IF('Reverse Search'!$K$10="≤",IF(K31&lt;='Reverse Search'!$L$10,1,0),IF(K31='Reverse Search'!$L$10,1,0)))))</f>
        <v>1</v>
      </c>
      <c r="Y31" s="367" t="n">
        <f aca="false">IF('Reverse Search'!$N$7="Disable",1,IF('Reverse Search'!$I$11="Disable",1,IF('Reverse Search'!$K$11="≥",IF(L31&gt;='Reverse Search'!$L$11,1,0),IF('Reverse Search'!$K$11="≤",IF(L31&lt;='Reverse Search'!$L$11,1,0),IF(L31='Reverse Search'!$L$11,1,0)))))</f>
        <v>1</v>
      </c>
      <c r="Z31" s="0" t="n">
        <f aca="true">IF('Reverse Search'!$C$14="Disable",1,IF('Reverse Search'!$D$16="Disable",1,IF($C$2=3,IF($M31=0,0,COUNTIF(INDIRECT("'0.0.2 Pokémon Learnset (Core)'!$D$"&amp;MATCH($E31,'0.0.2 Pokémon Learnset (Core)'!$A$1:$A951,0)&amp;":$FK$"&amp;MATCH($E31,'0.0.2 Pokémon Learnset (Core)'!$A$1:$A951,0)),'Reverse Search'!$E$21)),IF($C$2=2,COUNTIF(INDIRECT("'0.1.1 Pokémon GO Moves'!$B$"&amp;MATCH($E31,'0.1.1 Pokémon GO Moves'!$A$1:$A951,0)&amp;":$R$"&amp;MATCH($E31,'0.1.1 Pokémon GO Moves'!$A$1:$A951,0)),'Reverse Search'!$E$21),COUNTIF(INDIRECT("'0.1.1 Pokémon GO Moves'!$B$"&amp;MATCH($E31,'0.1.1 Pokémon GO Moves'!$A$1:$A951,0)&amp;":$L$"&amp;MATCH($E31,'0.1.1 Pokémon GO Moves'!$A$1:$A951,0)),'Reverse Search'!$E$21)))))</f>
        <v>1</v>
      </c>
      <c r="AA31" s="0" t="n">
        <f aca="true">IF('Reverse Search'!$C$14="Disable",1,IF('Reverse Search'!$I$16="Disable",1,IF($D$2=3,IF($M31=0,0,COUNTIF(INDIRECT("'0.0.2 Pokémon Learnset (Core)'!$D$"&amp;MATCH($E31,'0.0.2 Pokémon Learnset (Core)'!$A$1:$A951,0)&amp;":$FK$"&amp;MATCH($E31,'0.0.2 Pokémon Learnset (Core)'!$A$1:$A951,0)),'Reverse Search'!$J$21)),IF($D$2=2,COUNTIF(INDIRECT("'0.1.1 Pokémon GO Moves'!$B$"&amp;MATCH($E31,'0.1.1 Pokémon GO Moves'!$A$1:$A951,0)&amp;":$R$"&amp;MATCH($E31,'0.1.1 Pokémon GO Moves'!$A$1:$A951,0)),'Reverse Search'!$J$21),COUNTIF(INDIRECT("'0.1.1 Pokémon GO Moves'!$B$"&amp;MATCH($E31,'0.1.1 Pokémon GO Moves'!$A$1:$A951,0)&amp;":$L$"&amp;MATCH($E31,'0.1.1 Pokémon GO Moves'!$A$1:$A951,0)),'Reverse Search'!$J$21)))))</f>
        <v>1</v>
      </c>
      <c r="AB31" s="490"/>
      <c r="AC31" s="260" t="str">
        <f aca="false">IF((Q31+R31+S31+V31+W31+X31+Y31+IF(Z31&gt;=1,1,0)+IF(AA31&gt;=1,1,0))=9,G31&amp;", ",)</f>
        <v>Fearow, </v>
      </c>
    </row>
    <row r="32" customFormat="false" ht="15.75" hidden="false" customHeight="false" outlineLevel="0" collapsed="false">
      <c r="A32" s="260"/>
      <c r="B32" s="358"/>
      <c r="C32" s="260" t="str">
        <f aca="false">IFERROR(__xludf.dummyfunction("""COMPUTED_VALUE"""),"Metal Claw")</f>
        <v>Metal Claw</v>
      </c>
      <c r="D32" s="358" t="str">
        <f aca="false">IFERROR(__xludf.dummyfunction("""COMPUTED_VALUE"""),"Draining Kiss")</f>
        <v>Draining Kiss</v>
      </c>
      <c r="E32" s="260" t="n">
        <v>31</v>
      </c>
      <c r="F32" s="260" t="n">
        <f aca="false" t="array" ref="F32:F32">INDEX('0.0.1 Pokémon Dex Data'!$H$3:$H951,MATCH(E32,'0.0.1 Pokémon Dex Data'!$B$3:$B951,0))</f>
        <v>0</v>
      </c>
      <c r="G32" s="0" t="str">
        <f aca="false" t="array" ref="G32:G32">INDEX('0.0.1 Pokémon Dex Data'!$E$3:$E951,MATCH(E32,'0.0.1 Pokémon Dex Data'!$B$3:$B951,0))</f>
        <v>Ekans</v>
      </c>
      <c r="H32" s="0" t="str">
        <f aca="false" t="array" ref="H32:H32">INDEX('0.0.1 Pokémon Dex Data'!$Q$3:$Q951,MATCH(E32,'0.0.1 Pokémon Dex Data'!$B$3:$B951,0))</f>
        <v>Poison</v>
      </c>
      <c r="I32" s="0" t="n">
        <f aca="false">INDEX('0.0.1 Pokémon Dex Data'!$R$3:$R951,MATCH(E32,'0.0.1 Pokémon Dex Data'!$B$3:$B951,0))</f>
        <v>0</v>
      </c>
      <c r="J32" s="260" t="n">
        <f aca="false" t="array" ref="J32:J32">ROUND(INDEX('0.0.1 Pokémon Dex Data'!$S$3:$S951,MATCH($E32,'0.0.1 Pokémon Dex Data'!$B$3:$B951,0))*INDEX('0.0.1 Pokémon Dex Data'!T$3:T951,MATCH($E32,'0.0.1 Pokémon Dex Data'!$B$3:$B951,0)),0)</f>
        <v>110</v>
      </c>
      <c r="K32" s="260" t="n">
        <f aca="false" t="array" ref="K32:K32">ROUND(INDEX('0.0.1 Pokémon Dex Data'!$S$3:$S951,MATCH($E32,'0.0.1 Pokémon Dex Data'!$B$3:$B951,0))*INDEX('0.0.1 Pokémon Dex Data'!U$3:U951,MATCH($E32,'0.0.1 Pokémon Dex Data'!$B$3:$B951,0)),0)</f>
        <v>97</v>
      </c>
      <c r="L32" s="260" t="n">
        <f aca="false" t="array" ref="L32:L32">ROUND(INDEX('0.0.1 Pokémon Dex Data'!$S$3:$S951,MATCH($E32,'0.0.1 Pokémon Dex Data'!$B$3:$B951,0))*INDEX('0.0.1 Pokémon Dex Data'!V$3:V951,MATCH($E32,'0.0.1 Pokémon Dex Data'!$B$3:$B951,0)),0)</f>
        <v>111</v>
      </c>
      <c r="M32" s="260" t="n">
        <f aca="false" t="array" ref="M32:M32">INDEX('0.0.1 Pokémon Dex Data'!$J$3:$J951,MATCH(E32,'0.0.1 Pokémon Dex Data'!$B$3:$B951,0))</f>
        <v>0</v>
      </c>
      <c r="O32" s="490"/>
      <c r="Q32" s="367" t="n">
        <f aca="false">IF('Reverse Search'!$F$4="All (including temporary formes)",1,IF('Reverse Search'!$F$4="Base Pokémon and permanent formes only",IF(F32&lt;=1,1,0),IF(F32=0,1,0)))</f>
        <v>1</v>
      </c>
      <c r="R32" s="0" t="n">
        <f aca="false">IF('Reverse Search'!$C$7="Disable",1,IF('Reverse Search'!$D$9="Disable",1,IF(OR('Reverse Search'!$F$9=H32,'Reverse Search'!$F$9=I32),1,0)))</f>
        <v>1</v>
      </c>
      <c r="S32" s="0" t="n">
        <f aca="false">IF('Reverse Search'!$C$7="Disable",1,IF('Reverse Search'!$D$10="Disable",1,IF(OR('Reverse Search'!$F$10=H32,'Reverse Search'!$F$10=I32),1,0)))</f>
        <v>1</v>
      </c>
      <c r="T32" s="0" t="n">
        <f aca="false">INDEX($B$4:$B$22,MATCH(H32,$A$4:$A$22,0))</f>
        <v>1</v>
      </c>
      <c r="U32" s="0" t="e">
        <f aca="false">IF(ISBLANK(I32),1,INDEX($B$4:$B$22,MATCH(I32,$A$4:$A$22,0)))</f>
        <v>#N/A</v>
      </c>
      <c r="V32" s="367" t="n">
        <f aca="false">IF('Reverse Search'!$C$7="Disable",1,IF('Reverse Search'!$D$11="Disable",1,IF('Reverse Search'!$E$11="Neutral to:",IF(ROUND(T32*U32,2)&lt;=1,1,0),IF(ROUND(T32*U32,2)&lt;1,1,0))))</f>
        <v>1</v>
      </c>
      <c r="W32" s="0" t="n">
        <f aca="false">IF('Reverse Search'!$N$7="Disable",1,IF('Reverse Search'!$I$9="Disable",1,IF('Reverse Search'!$K$9="≥",IF(J32&gt;='Reverse Search'!$L$9,1,0),IF('Reverse Search'!$K$9="≤",IF(J32&lt;='Reverse Search'!$L$9,1,0),IF(J32='Reverse Search'!$L$9,1,0)))))</f>
        <v>1</v>
      </c>
      <c r="X32" s="0" t="n">
        <f aca="false">IF('Reverse Search'!$N$7="Disable",1,IF('Reverse Search'!$I$10="Disable",1,IF('Reverse Search'!$K$10="≥",IF(K32&gt;='Reverse Search'!$L$10,1,0),IF('Reverse Search'!$K$10="≤",IF(K32&lt;='Reverse Search'!$L$10,1,0),IF(K32='Reverse Search'!$L$10,1,0)))))</f>
        <v>1</v>
      </c>
      <c r="Y32" s="367" t="n">
        <f aca="false">IF('Reverse Search'!$N$7="Disable",1,IF('Reverse Search'!$I$11="Disable",1,IF('Reverse Search'!$K$11="≥",IF(L32&gt;='Reverse Search'!$L$11,1,0),IF('Reverse Search'!$K$11="≤",IF(L32&lt;='Reverse Search'!$L$11,1,0),IF(L32='Reverse Search'!$L$11,1,0)))))</f>
        <v>1</v>
      </c>
      <c r="Z32" s="0" t="n">
        <f aca="true">IF('Reverse Search'!$C$14="Disable",1,IF('Reverse Search'!$D$16="Disable",1,IF($C$2=3,IF($M32=0,0,COUNTIF(INDIRECT("'0.0.2 Pokémon Learnset (Core)'!$D$"&amp;MATCH($E32,'0.0.2 Pokémon Learnset (Core)'!$A$1:$A951,0)&amp;":$FK$"&amp;MATCH($E32,'0.0.2 Pokémon Learnset (Core)'!$A$1:$A951,0)),'Reverse Search'!$E$21)),IF($C$2=2,COUNTIF(INDIRECT("'0.1.1 Pokémon GO Moves'!$B$"&amp;MATCH($E32,'0.1.1 Pokémon GO Moves'!$A$1:$A951,0)&amp;":$R$"&amp;MATCH($E32,'0.1.1 Pokémon GO Moves'!$A$1:$A951,0)),'Reverse Search'!$E$21),COUNTIF(INDIRECT("'0.1.1 Pokémon GO Moves'!$B$"&amp;MATCH($E32,'0.1.1 Pokémon GO Moves'!$A$1:$A951,0)&amp;":$L$"&amp;MATCH($E32,'0.1.1 Pokémon GO Moves'!$A$1:$A951,0)),'Reverse Search'!$E$21)))))</f>
        <v>1</v>
      </c>
      <c r="AA32" s="0" t="n">
        <f aca="true">IF('Reverse Search'!$C$14="Disable",1,IF('Reverse Search'!$I$16="Disable",1,IF($D$2=3,IF($M32=0,0,COUNTIF(INDIRECT("'0.0.2 Pokémon Learnset (Core)'!$D$"&amp;MATCH($E32,'0.0.2 Pokémon Learnset (Core)'!$A$1:$A951,0)&amp;":$FK$"&amp;MATCH($E32,'0.0.2 Pokémon Learnset (Core)'!$A$1:$A951,0)),'Reverse Search'!$J$21)),IF($D$2=2,COUNTIF(INDIRECT("'0.1.1 Pokémon GO Moves'!$B$"&amp;MATCH($E32,'0.1.1 Pokémon GO Moves'!$A$1:$A951,0)&amp;":$R$"&amp;MATCH($E32,'0.1.1 Pokémon GO Moves'!$A$1:$A951,0)),'Reverse Search'!$J$21),COUNTIF(INDIRECT("'0.1.1 Pokémon GO Moves'!$B$"&amp;MATCH($E32,'0.1.1 Pokémon GO Moves'!$A$1:$A951,0)&amp;":$L$"&amp;MATCH($E32,'0.1.1 Pokémon GO Moves'!$A$1:$A951,0)),'Reverse Search'!$J$21)))))</f>
        <v>0</v>
      </c>
      <c r="AB32" s="490"/>
      <c r="AC32" s="260" t="n">
        <f aca="false">IF((Q32+R32+S32+V32+W32+X32+Y32+IF(Z32&gt;=1,1,0)+IF(AA32&gt;=1,1,0))=9,G32&amp;", ",)</f>
        <v>0</v>
      </c>
    </row>
    <row r="33" customFormat="false" ht="15.75" hidden="false" customHeight="false" outlineLevel="0" collapsed="false">
      <c r="A33" s="260"/>
      <c r="B33" s="358"/>
      <c r="C33" s="260" t="str">
        <f aca="false">IFERROR(__xludf.dummyfunction("""COMPUTED_VALUE"""),"Mud Shot")</f>
        <v>Mud Shot</v>
      </c>
      <c r="D33" s="358" t="str">
        <f aca="false">IFERROR(__xludf.dummyfunction("""COMPUTED_VALUE"""),"Drill Peck")</f>
        <v>Drill Peck</v>
      </c>
      <c r="E33" s="260" t="n">
        <v>32</v>
      </c>
      <c r="F33" s="260" t="n">
        <f aca="false" t="array" ref="F33:F33">INDEX('0.0.1 Pokémon Dex Data'!$H$3:$H951,MATCH(E33,'0.0.1 Pokémon Dex Data'!$B$3:$B951,0))</f>
        <v>0</v>
      </c>
      <c r="G33" s="0" t="str">
        <f aca="false" t="array" ref="G33:G33">INDEX('0.0.1 Pokémon Dex Data'!$E$3:$E951,MATCH(E33,'0.0.1 Pokémon Dex Data'!$B$3:$B951,0))</f>
        <v>Arbok</v>
      </c>
      <c r="H33" s="0" t="str">
        <f aca="false" t="array" ref="H33:H33">INDEX('0.0.1 Pokémon Dex Data'!$Q$3:$Q951,MATCH(E33,'0.0.1 Pokémon Dex Data'!$B$3:$B951,0))</f>
        <v>Poison</v>
      </c>
      <c r="I33" s="0" t="n">
        <f aca="false">INDEX('0.0.1 Pokémon Dex Data'!$R$3:$R951,MATCH(E33,'0.0.1 Pokémon Dex Data'!$B$3:$B951,0))</f>
        <v>0</v>
      </c>
      <c r="J33" s="260" t="n">
        <f aca="false" t="array" ref="J33:J33">ROUND(INDEX('0.0.1 Pokémon Dex Data'!$S$3:$S951,MATCH($E33,'0.0.1 Pokémon Dex Data'!$B$3:$B951,0))*INDEX('0.0.1 Pokémon Dex Data'!T$3:T951,MATCH($E33,'0.0.1 Pokémon Dex Data'!$B$3:$B951,0)),0)</f>
        <v>167</v>
      </c>
      <c r="K33" s="260" t="n">
        <f aca="false" t="array" ref="K33:K33">ROUND(INDEX('0.0.1 Pokémon Dex Data'!$S$3:$S951,MATCH($E33,'0.0.1 Pokémon Dex Data'!$B$3:$B951,0))*INDEX('0.0.1 Pokémon Dex Data'!U$3:U951,MATCH($E33,'0.0.1 Pokémon Dex Data'!$B$3:$B951,0)),0)</f>
        <v>153</v>
      </c>
      <c r="L33" s="260" t="n">
        <f aca="false" t="array" ref="L33:L33">ROUND(INDEX('0.0.1 Pokémon Dex Data'!$S$3:$S951,MATCH($E33,'0.0.1 Pokémon Dex Data'!$B$3:$B951,0))*INDEX('0.0.1 Pokémon Dex Data'!V$3:V951,MATCH($E33,'0.0.1 Pokémon Dex Data'!$B$3:$B951,0)),0)</f>
        <v>155</v>
      </c>
      <c r="M33" s="260" t="n">
        <f aca="false" t="array" ref="M33:M33">INDEX('0.0.1 Pokémon Dex Data'!$J$3:$J951,MATCH(E33,'0.0.1 Pokémon Dex Data'!$B$3:$B951,0))</f>
        <v>1</v>
      </c>
      <c r="O33" s="490"/>
      <c r="Q33" s="367" t="n">
        <f aca="false">IF('Reverse Search'!$F$4="All (including temporary formes)",1,IF('Reverse Search'!$F$4="Base Pokémon and permanent formes only",IF(F33&lt;=1,1,0),IF(F33=0,1,0)))</f>
        <v>1</v>
      </c>
      <c r="R33" s="0" t="n">
        <f aca="false">IF('Reverse Search'!$C$7="Disable",1,IF('Reverse Search'!$D$9="Disable",1,IF(OR('Reverse Search'!$F$9=H33,'Reverse Search'!$F$9=I33),1,0)))</f>
        <v>1</v>
      </c>
      <c r="S33" s="0" t="n">
        <f aca="false">IF('Reverse Search'!$C$7="Disable",1,IF('Reverse Search'!$D$10="Disable",1,IF(OR('Reverse Search'!$F$10=H33,'Reverse Search'!$F$10=I33),1,0)))</f>
        <v>1</v>
      </c>
      <c r="T33" s="0" t="n">
        <f aca="false">INDEX($B$4:$B$22,MATCH(H33,$A$4:$A$22,0))</f>
        <v>1</v>
      </c>
      <c r="U33" s="0" t="e">
        <f aca="false">IF(ISBLANK(I33),1,INDEX($B$4:$B$22,MATCH(I33,$A$4:$A$22,0)))</f>
        <v>#N/A</v>
      </c>
      <c r="V33" s="367" t="n">
        <f aca="false">IF('Reverse Search'!$C$7="Disable",1,IF('Reverse Search'!$D$11="Disable",1,IF('Reverse Search'!$E$11="Neutral to:",IF(ROUND(T33*U33,2)&lt;=1,1,0),IF(ROUND(T33*U33,2)&lt;1,1,0))))</f>
        <v>1</v>
      </c>
      <c r="W33" s="0" t="n">
        <f aca="false">IF('Reverse Search'!$N$7="Disable",1,IF('Reverse Search'!$I$9="Disable",1,IF('Reverse Search'!$K$9="≥",IF(J33&gt;='Reverse Search'!$L$9,1,0),IF('Reverse Search'!$K$9="≤",IF(J33&lt;='Reverse Search'!$L$9,1,0),IF(J33='Reverse Search'!$L$9,1,0)))))</f>
        <v>1</v>
      </c>
      <c r="X33" s="0" t="n">
        <f aca="false">IF('Reverse Search'!$N$7="Disable",1,IF('Reverse Search'!$I$10="Disable",1,IF('Reverse Search'!$K$10="≥",IF(K33&gt;='Reverse Search'!$L$10,1,0),IF('Reverse Search'!$K$10="≤",IF(K33&lt;='Reverse Search'!$L$10,1,0),IF(K33='Reverse Search'!$L$10,1,0)))))</f>
        <v>1</v>
      </c>
      <c r="Y33" s="367" t="n">
        <f aca="false">IF('Reverse Search'!$N$7="Disable",1,IF('Reverse Search'!$I$11="Disable",1,IF('Reverse Search'!$K$11="≥",IF(L33&gt;='Reverse Search'!$L$11,1,0),IF('Reverse Search'!$K$11="≤",IF(L33&lt;='Reverse Search'!$L$11,1,0),IF(L33='Reverse Search'!$L$11,1,0)))))</f>
        <v>1</v>
      </c>
      <c r="Z33" s="0" t="n">
        <f aca="true">IF('Reverse Search'!$C$14="Disable",1,IF('Reverse Search'!$D$16="Disable",1,IF($C$2=3,IF($M33=0,0,COUNTIF(INDIRECT("'0.0.2 Pokémon Learnset (Core)'!$D$"&amp;MATCH($E33,'0.0.2 Pokémon Learnset (Core)'!$A$1:$A951,0)&amp;":$FK$"&amp;MATCH($E33,'0.0.2 Pokémon Learnset (Core)'!$A$1:$A951,0)),'Reverse Search'!$E$21)),IF($C$2=2,COUNTIF(INDIRECT("'0.1.1 Pokémon GO Moves'!$B$"&amp;MATCH($E33,'0.1.1 Pokémon GO Moves'!$A$1:$A951,0)&amp;":$R$"&amp;MATCH($E33,'0.1.1 Pokémon GO Moves'!$A$1:$A951,0)),'Reverse Search'!$E$21),COUNTIF(INDIRECT("'0.1.1 Pokémon GO Moves'!$B$"&amp;MATCH($E33,'0.1.1 Pokémon GO Moves'!$A$1:$A951,0)&amp;":$L$"&amp;MATCH($E33,'0.1.1 Pokémon GO Moves'!$A$1:$A951,0)),'Reverse Search'!$E$21)))))</f>
        <v>1</v>
      </c>
      <c r="AA33" s="0" t="n">
        <f aca="true">IF('Reverse Search'!$C$14="Disable",1,IF('Reverse Search'!$I$16="Disable",1,IF($D$2=3,IF($M33=0,0,COUNTIF(INDIRECT("'0.0.2 Pokémon Learnset (Core)'!$D$"&amp;MATCH($E33,'0.0.2 Pokémon Learnset (Core)'!$A$1:$A951,0)&amp;":$FK$"&amp;MATCH($E33,'0.0.2 Pokémon Learnset (Core)'!$A$1:$A951,0)),'Reverse Search'!$J$21)),IF($D$2=2,COUNTIF(INDIRECT("'0.1.1 Pokémon GO Moves'!$B$"&amp;MATCH($E33,'0.1.1 Pokémon GO Moves'!$A$1:$A951,0)&amp;":$R$"&amp;MATCH($E33,'0.1.1 Pokémon GO Moves'!$A$1:$A951,0)),'Reverse Search'!$J$21),COUNTIF(INDIRECT("'0.1.1 Pokémon GO Moves'!$B$"&amp;MATCH($E33,'0.1.1 Pokémon GO Moves'!$A$1:$A951,0)&amp;":$L$"&amp;MATCH($E33,'0.1.1 Pokémon GO Moves'!$A$1:$A951,0)),'Reverse Search'!$J$21)))))</f>
        <v>0</v>
      </c>
      <c r="AB33" s="490"/>
      <c r="AC33" s="260" t="n">
        <f aca="false">IF((Q33+R33+S33+V33+W33+X33+Y33+IF(Z33&gt;=1,1,0)+IF(AA33&gt;=1,1,0))=9,G33&amp;", ",)</f>
        <v>0</v>
      </c>
    </row>
    <row r="34" customFormat="false" ht="15.75" hidden="false" customHeight="false" outlineLevel="0" collapsed="false">
      <c r="A34" s="260"/>
      <c r="B34" s="358"/>
      <c r="C34" s="260" t="str">
        <f aca="false">IFERROR(__xludf.dummyfunction("""COMPUTED_VALUE"""),"Mud-Slap")</f>
        <v>Mud-Slap</v>
      </c>
      <c r="D34" s="358" t="str">
        <f aca="false">IFERROR(__xludf.dummyfunction("""COMPUTED_VALUE"""),"Drill Run")</f>
        <v>Drill Run</v>
      </c>
      <c r="E34" s="260" t="n">
        <v>33</v>
      </c>
      <c r="F34" s="260" t="n">
        <f aca="false" t="array" ref="F34:F34">INDEX('0.0.1 Pokémon Dex Data'!$H$3:$H951,MATCH(E34,'0.0.1 Pokémon Dex Data'!$B$3:$B951,0))</f>
        <v>0</v>
      </c>
      <c r="G34" s="0" t="str">
        <f aca="false" t="array" ref="G34:G34">INDEX('0.0.1 Pokémon Dex Data'!$E$3:$E951,MATCH(E34,'0.0.1 Pokémon Dex Data'!$B$3:$B951,0))</f>
        <v>Pikachu</v>
      </c>
      <c r="H34" s="0" t="str">
        <f aca="false" t="array" ref="H34:H34">INDEX('0.0.1 Pokémon Dex Data'!$Q$3:$Q951,MATCH(E34,'0.0.1 Pokémon Dex Data'!$B$3:$B951,0))</f>
        <v>Electric</v>
      </c>
      <c r="I34" s="0" t="n">
        <f aca="false">INDEX('0.0.1 Pokémon Dex Data'!$R$3:$R951,MATCH(E34,'0.0.1 Pokémon Dex Data'!$B$3:$B951,0))</f>
        <v>0</v>
      </c>
      <c r="J34" s="260" t="n">
        <f aca="false" t="array" ref="J34:J34">ROUND(INDEX('0.0.1 Pokémon Dex Data'!$S$3:$S951,MATCH($E34,'0.0.1 Pokémon Dex Data'!$B$3:$B951,0))*INDEX('0.0.1 Pokémon Dex Data'!T$3:T951,MATCH($E34,'0.0.1 Pokémon Dex Data'!$B$3:$B951,0)),0)</f>
        <v>112</v>
      </c>
      <c r="K34" s="260" t="n">
        <f aca="false" t="array" ref="K34:K34">ROUND(INDEX('0.0.1 Pokémon Dex Data'!$S$3:$S951,MATCH($E34,'0.0.1 Pokémon Dex Data'!$B$3:$B951,0))*INDEX('0.0.1 Pokémon Dex Data'!U$3:U951,MATCH($E34,'0.0.1 Pokémon Dex Data'!$B$3:$B951,0)),0)</f>
        <v>96</v>
      </c>
      <c r="L34" s="260" t="n">
        <f aca="false" t="array" ref="L34:L34">ROUND(INDEX('0.0.1 Pokémon Dex Data'!$S$3:$S951,MATCH($E34,'0.0.1 Pokémon Dex Data'!$B$3:$B951,0))*INDEX('0.0.1 Pokémon Dex Data'!V$3:V951,MATCH($E34,'0.0.1 Pokémon Dex Data'!$B$3:$B951,0)),0)</f>
        <v>111</v>
      </c>
      <c r="M34" s="260" t="n">
        <f aca="false" t="array" ref="M34:M34">INDEX('0.0.1 Pokémon Dex Data'!$J$3:$J951,MATCH(E34,'0.0.1 Pokémon Dex Data'!$B$3:$B951,0))</f>
        <v>0</v>
      </c>
      <c r="O34" s="490"/>
      <c r="Q34" s="367" t="n">
        <f aca="false">IF('Reverse Search'!$F$4="All (including temporary formes)",1,IF('Reverse Search'!$F$4="Base Pokémon and permanent formes only",IF(F34&lt;=1,1,0),IF(F34=0,1,0)))</f>
        <v>1</v>
      </c>
      <c r="R34" s="0" t="n">
        <f aca="false">IF('Reverse Search'!$C$7="Disable",1,IF('Reverse Search'!$D$9="Disable",1,IF(OR('Reverse Search'!$F$9=H34,'Reverse Search'!$F$9=I34),1,0)))</f>
        <v>1</v>
      </c>
      <c r="S34" s="0" t="n">
        <f aca="false">IF('Reverse Search'!$C$7="Disable",1,IF('Reverse Search'!$D$10="Disable",1,IF(OR('Reverse Search'!$F$10=H34,'Reverse Search'!$F$10=I34),1,0)))</f>
        <v>1</v>
      </c>
      <c r="T34" s="0" t="n">
        <f aca="false">INDEX($B$4:$B$22,MATCH(H34,$A$4:$A$22,0))</f>
        <v>1</v>
      </c>
      <c r="U34" s="0" t="e">
        <f aca="false">IF(ISBLANK(I34),1,INDEX($B$4:$B$22,MATCH(I34,$A$4:$A$22,0)))</f>
        <v>#N/A</v>
      </c>
      <c r="V34" s="367" t="n">
        <f aca="false">IF('Reverse Search'!$C$7="Disable",1,IF('Reverse Search'!$D$11="Disable",1,IF('Reverse Search'!$E$11="Neutral to:",IF(ROUND(T34*U34,2)&lt;=1,1,0),IF(ROUND(T34*U34,2)&lt;1,1,0))))</f>
        <v>1</v>
      </c>
      <c r="W34" s="0" t="n">
        <f aca="false">IF('Reverse Search'!$N$7="Disable",1,IF('Reverse Search'!$I$9="Disable",1,IF('Reverse Search'!$K$9="≥",IF(J34&gt;='Reverse Search'!$L$9,1,0),IF('Reverse Search'!$K$9="≤",IF(J34&lt;='Reverse Search'!$L$9,1,0),IF(J34='Reverse Search'!$L$9,1,0)))))</f>
        <v>1</v>
      </c>
      <c r="X34" s="0" t="n">
        <f aca="false">IF('Reverse Search'!$N$7="Disable",1,IF('Reverse Search'!$I$10="Disable",1,IF('Reverse Search'!$K$10="≥",IF(K34&gt;='Reverse Search'!$L$10,1,0),IF('Reverse Search'!$K$10="≤",IF(K34&lt;='Reverse Search'!$L$10,1,0),IF(K34='Reverse Search'!$L$10,1,0)))))</f>
        <v>1</v>
      </c>
      <c r="Y34" s="367" t="n">
        <f aca="false">IF('Reverse Search'!$N$7="Disable",1,IF('Reverse Search'!$I$11="Disable",1,IF('Reverse Search'!$K$11="≥",IF(L34&gt;='Reverse Search'!$L$11,1,0),IF('Reverse Search'!$K$11="≤",IF(L34&lt;='Reverse Search'!$L$11,1,0),IF(L34='Reverse Search'!$L$11,1,0)))))</f>
        <v>1</v>
      </c>
      <c r="Z34" s="0" t="n">
        <f aca="true">IF('Reverse Search'!$C$14="Disable",1,IF('Reverse Search'!$D$16="Disable",1,IF($C$2=3,IF($M34=0,0,COUNTIF(INDIRECT("'0.0.2 Pokémon Learnset (Core)'!$D$"&amp;MATCH($E34,'0.0.2 Pokémon Learnset (Core)'!$A$1:$A951,0)&amp;":$FK$"&amp;MATCH($E34,'0.0.2 Pokémon Learnset (Core)'!$A$1:$A951,0)),'Reverse Search'!$E$21)),IF($C$2=2,COUNTIF(INDIRECT("'0.1.1 Pokémon GO Moves'!$B$"&amp;MATCH($E34,'0.1.1 Pokémon GO Moves'!$A$1:$A951,0)&amp;":$R$"&amp;MATCH($E34,'0.1.1 Pokémon GO Moves'!$A$1:$A951,0)),'Reverse Search'!$E$21),COUNTIF(INDIRECT("'0.1.1 Pokémon GO Moves'!$B$"&amp;MATCH($E34,'0.1.1 Pokémon GO Moves'!$A$1:$A951,0)&amp;":$L$"&amp;MATCH($E34,'0.1.1 Pokémon GO Moves'!$A$1:$A951,0)),'Reverse Search'!$E$21)))))</f>
        <v>1</v>
      </c>
      <c r="AA34" s="0" t="n">
        <f aca="true">IF('Reverse Search'!$C$14="Disable",1,IF('Reverse Search'!$I$16="Disable",1,IF($D$2=3,IF($M34=0,0,COUNTIF(INDIRECT("'0.0.2 Pokémon Learnset (Core)'!$D$"&amp;MATCH($E34,'0.0.2 Pokémon Learnset (Core)'!$A$1:$A951,0)&amp;":$FK$"&amp;MATCH($E34,'0.0.2 Pokémon Learnset (Core)'!$A$1:$A951,0)),'Reverse Search'!$J$21)),IF($D$2=2,COUNTIF(INDIRECT("'0.1.1 Pokémon GO Moves'!$B$"&amp;MATCH($E34,'0.1.1 Pokémon GO Moves'!$A$1:$A951,0)&amp;":$R$"&amp;MATCH($E34,'0.1.1 Pokémon GO Moves'!$A$1:$A951,0)),'Reverse Search'!$J$21),COUNTIF(INDIRECT("'0.1.1 Pokémon GO Moves'!$B$"&amp;MATCH($E34,'0.1.1 Pokémon GO Moves'!$A$1:$A951,0)&amp;":$L$"&amp;MATCH($E34,'0.1.1 Pokémon GO Moves'!$A$1:$A951,0)),'Reverse Search'!$J$21)))))</f>
        <v>0</v>
      </c>
      <c r="AB34" s="490"/>
      <c r="AC34" s="260" t="n">
        <f aca="false">IF((Q34+R34+S34+V34+W34+X34+Y34+IF(Z34&gt;=1,1,0)+IF(AA34&gt;=1,1,0))=9,G34&amp;", ",)</f>
        <v>0</v>
      </c>
    </row>
    <row r="35" customFormat="false" ht="15.75" hidden="false" customHeight="false" outlineLevel="0" collapsed="false">
      <c r="A35" s="260"/>
      <c r="B35" s="358"/>
      <c r="C35" s="260" t="str">
        <f aca="false">IFERROR(__xludf.dummyfunction("""COMPUTED_VALUE"""),"Peck")</f>
        <v>Peck</v>
      </c>
      <c r="D35" s="358" t="str">
        <f aca="false">IFERROR(__xludf.dummyfunction("""COMPUTED_VALUE"""),"Dynamic Punch")</f>
        <v>Dynamic Punch</v>
      </c>
      <c r="E35" s="260" t="n">
        <v>34</v>
      </c>
      <c r="F35" s="260" t="n">
        <f aca="false" t="array" ref="F35:F35">INDEX('0.0.1 Pokémon Dex Data'!$H$3:$H951,MATCH(E35,'0.0.1 Pokémon Dex Data'!$B$3:$B951,0))</f>
        <v>0</v>
      </c>
      <c r="G35" s="0" t="str">
        <f aca="false" t="array" ref="G35:G35">INDEX('0.0.1 Pokémon Dex Data'!$E$3:$E951,MATCH(E35,'0.0.1 Pokémon Dex Data'!$B$3:$B951,0))</f>
        <v>Raichu</v>
      </c>
      <c r="H35" s="0" t="str">
        <f aca="false" t="array" ref="H35:H35">INDEX('0.0.1 Pokémon Dex Data'!$Q$3:$Q951,MATCH(E35,'0.0.1 Pokémon Dex Data'!$B$3:$B951,0))</f>
        <v>Electric</v>
      </c>
      <c r="I35" s="0" t="n">
        <f aca="false">INDEX('0.0.1 Pokémon Dex Data'!$R$3:$R951,MATCH(E35,'0.0.1 Pokémon Dex Data'!$B$3:$B951,0))</f>
        <v>0</v>
      </c>
      <c r="J35" s="260" t="n">
        <f aca="false" t="array" ref="J35:J35">ROUND(INDEX('0.0.1 Pokémon Dex Data'!$S$3:$S951,MATCH($E35,'0.0.1 Pokémon Dex Data'!$B$3:$B951,0))*INDEX('0.0.1 Pokémon Dex Data'!T$3:T951,MATCH($E35,'0.0.1 Pokémon Dex Data'!$B$3:$B951,0)),0)</f>
        <v>193</v>
      </c>
      <c r="K35" s="260" t="n">
        <f aca="false" t="array" ref="K35:K35">ROUND(INDEX('0.0.1 Pokémon Dex Data'!$S$3:$S951,MATCH($E35,'0.0.1 Pokémon Dex Data'!$B$3:$B951,0))*INDEX('0.0.1 Pokémon Dex Data'!U$3:U951,MATCH($E35,'0.0.1 Pokémon Dex Data'!$B$3:$B951,0)),0)</f>
        <v>151</v>
      </c>
      <c r="L35" s="260" t="n">
        <f aca="false" t="array" ref="L35:L35">ROUND(INDEX('0.0.1 Pokémon Dex Data'!$S$3:$S951,MATCH($E35,'0.0.1 Pokémon Dex Data'!$B$3:$B951,0))*INDEX('0.0.1 Pokémon Dex Data'!V$3:V951,MATCH($E35,'0.0.1 Pokémon Dex Data'!$B$3:$B951,0)),0)</f>
        <v>155</v>
      </c>
      <c r="M35" s="260" t="n">
        <f aca="false" t="array" ref="M35:M35">INDEX('0.0.1 Pokémon Dex Data'!$J$3:$J951,MATCH(E35,'0.0.1 Pokémon Dex Data'!$B$3:$B951,0))</f>
        <v>1</v>
      </c>
      <c r="O35" s="490"/>
      <c r="Q35" s="367" t="n">
        <f aca="false">IF('Reverse Search'!$F$4="All (including temporary formes)",1,IF('Reverse Search'!$F$4="Base Pokémon and permanent formes only",IF(F35&lt;=1,1,0),IF(F35=0,1,0)))</f>
        <v>1</v>
      </c>
      <c r="R35" s="0" t="n">
        <f aca="false">IF('Reverse Search'!$C$7="Disable",1,IF('Reverse Search'!$D$9="Disable",1,IF(OR('Reverse Search'!$F$9=H35,'Reverse Search'!$F$9=I35),1,0)))</f>
        <v>1</v>
      </c>
      <c r="S35" s="0" t="n">
        <f aca="false">IF('Reverse Search'!$C$7="Disable",1,IF('Reverse Search'!$D$10="Disable",1,IF(OR('Reverse Search'!$F$10=H35,'Reverse Search'!$F$10=I35),1,0)))</f>
        <v>1</v>
      </c>
      <c r="T35" s="0" t="n">
        <f aca="false">INDEX($B$4:$B$22,MATCH(H35,$A$4:$A$22,0))</f>
        <v>1</v>
      </c>
      <c r="U35" s="0" t="e">
        <f aca="false">IF(ISBLANK(I35),1,INDEX($B$4:$B$22,MATCH(I35,$A$4:$A$22,0)))</f>
        <v>#N/A</v>
      </c>
      <c r="V35" s="367" t="n">
        <f aca="false">IF('Reverse Search'!$C$7="Disable",1,IF('Reverse Search'!$D$11="Disable",1,IF('Reverse Search'!$E$11="Neutral to:",IF(ROUND(T35*U35,2)&lt;=1,1,0),IF(ROUND(T35*U35,2)&lt;1,1,0))))</f>
        <v>1</v>
      </c>
      <c r="W35" s="0" t="n">
        <f aca="false">IF('Reverse Search'!$N$7="Disable",1,IF('Reverse Search'!$I$9="Disable",1,IF('Reverse Search'!$K$9="≥",IF(J35&gt;='Reverse Search'!$L$9,1,0),IF('Reverse Search'!$K$9="≤",IF(J35&lt;='Reverse Search'!$L$9,1,0),IF(J35='Reverse Search'!$L$9,1,0)))))</f>
        <v>1</v>
      </c>
      <c r="X35" s="0" t="n">
        <f aca="false">IF('Reverse Search'!$N$7="Disable",1,IF('Reverse Search'!$I$10="Disable",1,IF('Reverse Search'!$K$10="≥",IF(K35&gt;='Reverse Search'!$L$10,1,0),IF('Reverse Search'!$K$10="≤",IF(K35&lt;='Reverse Search'!$L$10,1,0),IF(K35='Reverse Search'!$L$10,1,0)))))</f>
        <v>1</v>
      </c>
      <c r="Y35" s="367" t="n">
        <f aca="false">IF('Reverse Search'!$N$7="Disable",1,IF('Reverse Search'!$I$11="Disable",1,IF('Reverse Search'!$K$11="≥",IF(L35&gt;='Reverse Search'!$L$11,1,0),IF('Reverse Search'!$K$11="≤",IF(L35&lt;='Reverse Search'!$L$11,1,0),IF(L35='Reverse Search'!$L$11,1,0)))))</f>
        <v>1</v>
      </c>
      <c r="Z35" s="0" t="n">
        <f aca="true">IF('Reverse Search'!$C$14="Disable",1,IF('Reverse Search'!$D$16="Disable",1,IF($C$2=3,IF($M35=0,0,COUNTIF(INDIRECT("'0.0.2 Pokémon Learnset (Core)'!$D$"&amp;MATCH($E35,'0.0.2 Pokémon Learnset (Core)'!$A$1:$A951,0)&amp;":$FK$"&amp;MATCH($E35,'0.0.2 Pokémon Learnset (Core)'!$A$1:$A951,0)),'Reverse Search'!$E$21)),IF($C$2=2,COUNTIF(INDIRECT("'0.1.1 Pokémon GO Moves'!$B$"&amp;MATCH($E35,'0.1.1 Pokémon GO Moves'!$A$1:$A951,0)&amp;":$R$"&amp;MATCH($E35,'0.1.1 Pokémon GO Moves'!$A$1:$A951,0)),'Reverse Search'!$E$21),COUNTIF(INDIRECT("'0.1.1 Pokémon GO Moves'!$B$"&amp;MATCH($E35,'0.1.1 Pokémon GO Moves'!$A$1:$A951,0)&amp;":$L$"&amp;MATCH($E35,'0.1.1 Pokémon GO Moves'!$A$1:$A951,0)),'Reverse Search'!$E$21)))))</f>
        <v>1</v>
      </c>
      <c r="AA35" s="0" t="n">
        <f aca="true">IF('Reverse Search'!$C$14="Disable",1,IF('Reverse Search'!$I$16="Disable",1,IF($D$2=3,IF($M35=0,0,COUNTIF(INDIRECT("'0.0.2 Pokémon Learnset (Core)'!$D$"&amp;MATCH($E35,'0.0.2 Pokémon Learnset (Core)'!$A$1:$A951,0)&amp;":$FK$"&amp;MATCH($E35,'0.0.2 Pokémon Learnset (Core)'!$A$1:$A951,0)),'Reverse Search'!$J$21)),IF($D$2=2,COUNTIF(INDIRECT("'0.1.1 Pokémon GO Moves'!$B$"&amp;MATCH($E35,'0.1.1 Pokémon GO Moves'!$A$1:$A951,0)&amp;":$R$"&amp;MATCH($E35,'0.1.1 Pokémon GO Moves'!$A$1:$A951,0)),'Reverse Search'!$J$21),COUNTIF(INDIRECT("'0.1.1 Pokémon GO Moves'!$B$"&amp;MATCH($E35,'0.1.1 Pokémon GO Moves'!$A$1:$A951,0)&amp;":$L$"&amp;MATCH($E35,'0.1.1 Pokémon GO Moves'!$A$1:$A951,0)),'Reverse Search'!$J$21)))))</f>
        <v>0</v>
      </c>
      <c r="AB35" s="490"/>
      <c r="AC35" s="260" t="n">
        <f aca="false">IF((Q35+R35+S35+V35+W35+X35+Y35+IF(Z35&gt;=1,1,0)+IF(AA35&gt;=1,1,0))=9,G35&amp;", ",)</f>
        <v>0</v>
      </c>
    </row>
    <row r="36" customFormat="false" ht="15.75" hidden="false" customHeight="false" outlineLevel="0" collapsed="false">
      <c r="A36" s="260"/>
      <c r="B36" s="358"/>
      <c r="C36" s="260" t="str">
        <f aca="false">IFERROR(__xludf.dummyfunction("""COMPUTED_VALUE"""),"Poison Jab")</f>
        <v>Poison Jab</v>
      </c>
      <c r="D36" s="358" t="str">
        <f aca="false">IFERROR(__xludf.dummyfunction("""COMPUTED_VALUE"""),"Earthquake")</f>
        <v>Earthquake</v>
      </c>
      <c r="E36" s="260" t="n">
        <v>35</v>
      </c>
      <c r="F36" s="260" t="n">
        <f aca="false" t="array" ref="F36:F36">INDEX('0.0.1 Pokémon Dex Data'!$H$3:$H951,MATCH(E36,'0.0.1 Pokémon Dex Data'!$B$3:$B951,0))</f>
        <v>1</v>
      </c>
      <c r="G36" s="0" t="str">
        <f aca="false" t="array" ref="G36:G36">INDEX('0.0.1 Pokémon Dex Data'!$E$3:$E951,MATCH(E36,'0.0.1 Pokémon Dex Data'!$B$3:$B951,0))</f>
        <v>Raichu-Alolan</v>
      </c>
      <c r="H36" s="0" t="str">
        <f aca="false" t="array" ref="H36:H36">INDEX('0.0.1 Pokémon Dex Data'!$Q$3:$Q951,MATCH(E36,'0.0.1 Pokémon Dex Data'!$B$3:$B951,0))</f>
        <v>Electric</v>
      </c>
      <c r="I36" s="0" t="str">
        <f aca="false" t="array" ref="I36:I36">INDEX('0.0.1 Pokémon Dex Data'!$R$3:$R951,MATCH(E36,'0.0.1 Pokémon Dex Data'!$B$3:$B951,0))</f>
        <v>Psychic</v>
      </c>
      <c r="J36" s="260" t="n">
        <f aca="false" t="array" ref="J36:J36">ROUND(INDEX('0.0.1 Pokémon Dex Data'!$S$3:$S951,MATCH($E36,'0.0.1 Pokémon Dex Data'!$B$3:$B951,0))*INDEX('0.0.1 Pokémon Dex Data'!T$3:T951,MATCH($E36,'0.0.1 Pokémon Dex Data'!$B$3:$B951,0)),0)</f>
        <v>201</v>
      </c>
      <c r="K36" s="260" t="n">
        <f aca="false" t="array" ref="K36:K36">ROUND(INDEX('0.0.1 Pokémon Dex Data'!$S$3:$S951,MATCH($E36,'0.0.1 Pokémon Dex Data'!$B$3:$B951,0))*INDEX('0.0.1 Pokémon Dex Data'!U$3:U951,MATCH($E36,'0.0.1 Pokémon Dex Data'!$B$3:$B951,0)),0)</f>
        <v>154</v>
      </c>
      <c r="L36" s="260" t="n">
        <f aca="false" t="array" ref="L36:L36">ROUND(INDEX('0.0.1 Pokémon Dex Data'!$S$3:$S951,MATCH($E36,'0.0.1 Pokémon Dex Data'!$B$3:$B951,0))*INDEX('0.0.1 Pokémon Dex Data'!V$3:V951,MATCH($E36,'0.0.1 Pokémon Dex Data'!$B$3:$B951,0)),0)</f>
        <v>155</v>
      </c>
      <c r="M36" s="260" t="n">
        <f aca="false" t="array" ref="M36:M36">INDEX('0.0.1 Pokémon Dex Data'!$J$3:$J951,MATCH(E36,'0.0.1 Pokémon Dex Data'!$B$3:$B951,0))</f>
        <v>1</v>
      </c>
      <c r="O36" s="490"/>
      <c r="Q36" s="367" t="n">
        <f aca="false">IF('Reverse Search'!$F$4="All (including temporary formes)",1,IF('Reverse Search'!$F$4="Base Pokémon and permanent formes only",IF(F36&lt;=1,1,0),IF(F36=0,1,0)))</f>
        <v>0</v>
      </c>
      <c r="R36" s="0" t="n">
        <f aca="false">IF('Reverse Search'!$C$7="Disable",1,IF('Reverse Search'!$D$9="Disable",1,IF(OR('Reverse Search'!$F$9=H36,'Reverse Search'!$F$9=I36),1,0)))</f>
        <v>1</v>
      </c>
      <c r="S36" s="0" t="n">
        <f aca="false">IF('Reverse Search'!$C$7="Disable",1,IF('Reverse Search'!$D$10="Disable",1,IF(OR('Reverse Search'!$F$10=H36,'Reverse Search'!$F$10=I36),1,0)))</f>
        <v>1</v>
      </c>
      <c r="T36" s="0" t="n">
        <f aca="false">INDEX($B$4:$B$22,MATCH(H36,$A$4:$A$22,0))</f>
        <v>1</v>
      </c>
      <c r="U36" s="0" t="n">
        <f aca="false">IF(ISBLANK(I36),1,INDEX($B$4:$B$22,MATCH(I36,$A$4:$A$22,0)))</f>
        <v>1</v>
      </c>
      <c r="V36" s="367" t="n">
        <f aca="false">IF('Reverse Search'!$C$7="Disable",1,IF('Reverse Search'!$D$11="Disable",1,IF('Reverse Search'!$E$11="Neutral to:",IF(ROUND(T36*U36,2)&lt;=1,1,0),IF(ROUND(T36*U36,2)&lt;1,1,0))))</f>
        <v>1</v>
      </c>
      <c r="W36" s="0" t="n">
        <f aca="false">IF('Reverse Search'!$N$7="Disable",1,IF('Reverse Search'!$I$9="Disable",1,IF('Reverse Search'!$K$9="≥",IF(J36&gt;='Reverse Search'!$L$9,1,0),IF('Reverse Search'!$K$9="≤",IF(J36&lt;='Reverse Search'!$L$9,1,0),IF(J36='Reverse Search'!$L$9,1,0)))))</f>
        <v>1</v>
      </c>
      <c r="X36" s="0" t="n">
        <f aca="false">IF('Reverse Search'!$N$7="Disable",1,IF('Reverse Search'!$I$10="Disable",1,IF('Reverse Search'!$K$10="≥",IF(K36&gt;='Reverse Search'!$L$10,1,0),IF('Reverse Search'!$K$10="≤",IF(K36&lt;='Reverse Search'!$L$10,1,0),IF(K36='Reverse Search'!$L$10,1,0)))))</f>
        <v>1</v>
      </c>
      <c r="Y36" s="367" t="n">
        <f aca="false">IF('Reverse Search'!$N$7="Disable",1,IF('Reverse Search'!$I$11="Disable",1,IF('Reverse Search'!$K$11="≥",IF(L36&gt;='Reverse Search'!$L$11,1,0),IF('Reverse Search'!$K$11="≤",IF(L36&lt;='Reverse Search'!$L$11,1,0),IF(L36='Reverse Search'!$L$11,1,0)))))</f>
        <v>1</v>
      </c>
      <c r="Z36" s="0" t="n">
        <f aca="true">IF('Reverse Search'!$C$14="Disable",1,IF('Reverse Search'!$D$16="Disable",1,IF($C$2=3,IF($M36=0,0,COUNTIF(INDIRECT("'0.0.2 Pokémon Learnset (Core)'!$D$"&amp;MATCH($E36,'0.0.2 Pokémon Learnset (Core)'!$A$1:$A951,0)&amp;":$FK$"&amp;MATCH($E36,'0.0.2 Pokémon Learnset (Core)'!$A$1:$A951,0)),'Reverse Search'!$E$21)),IF($C$2=2,COUNTIF(INDIRECT("'0.1.1 Pokémon GO Moves'!$B$"&amp;MATCH($E36,'0.1.1 Pokémon GO Moves'!$A$1:$A951,0)&amp;":$R$"&amp;MATCH($E36,'0.1.1 Pokémon GO Moves'!$A$1:$A951,0)),'Reverse Search'!$E$21),COUNTIF(INDIRECT("'0.1.1 Pokémon GO Moves'!$B$"&amp;MATCH($E36,'0.1.1 Pokémon GO Moves'!$A$1:$A951,0)&amp;":$L$"&amp;MATCH($E36,'0.1.1 Pokémon GO Moves'!$A$1:$A951,0)),'Reverse Search'!$E$21)))))</f>
        <v>1</v>
      </c>
      <c r="AA36" s="0" t="e">
        <f aca="true">IF('Reverse Search'!$C$14="Disable",1,IF('Reverse Search'!$I$16="Disable",1,IF($D$2=3,IF($M36=0,0,COUNTIF(INDIRECT("'0.0.2 Pokémon Learnset (Core)'!$D$"&amp;MATCH($E36,'0.0.2 Pokémon Learnset (Core)'!$A$1:$A951,0)&amp;":$FK$"&amp;MATCH($E36,'0.0.2 Pokémon Learnset (Core)'!$A$1:$A951,0)),'Reverse Search'!$J$21)),IF($D$2=2,COUNTIF(INDIRECT("'0.1.1 Pokémon GO Moves'!$B$"&amp;MATCH($E36,'0.1.1 Pokémon GO Moves'!$A$1:$A951,0)&amp;":$R$"&amp;MATCH($E36,'0.1.1 Pokémon GO Moves'!$A$1:$A951,0)),'Reverse Search'!$J$21),COUNTIF(INDIRECT("'0.1.1 Pokémon GO Moves'!$B$"&amp;MATCH($E36,'0.1.1 Pokémon GO Moves'!$A$1:$A951,0)&amp;":$L$"&amp;MATCH($E36,'0.1.1 Pokémon GO Moves'!$A$1:$A951,0)),'Reverse Search'!$J$21)))))</f>
        <v>#N/A</v>
      </c>
      <c r="AB36" s="490"/>
      <c r="AC36" s="260" t="e">
        <f aca="false">IF((Q36+R36+S36+V36+W36+X36+Y36+IF(Z36&gt;=1,1,0)+IF(AA36&gt;=1,1,0))=9,G36&amp;", ",)</f>
        <v>#N/A</v>
      </c>
    </row>
    <row r="37" customFormat="false" ht="15.75" hidden="false" customHeight="false" outlineLevel="0" collapsed="false">
      <c r="A37" s="260"/>
      <c r="B37" s="358"/>
      <c r="C37" s="260" t="str">
        <f aca="false">IFERROR(__xludf.dummyfunction("""COMPUTED_VALUE"""),"Poison Sting")</f>
        <v>Poison Sting</v>
      </c>
      <c r="D37" s="358" t="str">
        <f aca="false">IFERROR(__xludf.dummyfunction("""COMPUTED_VALUE"""),"Energy Ball")</f>
        <v>Energy Ball</v>
      </c>
      <c r="E37" s="260" t="n">
        <v>36</v>
      </c>
      <c r="F37" s="260" t="n">
        <f aca="false" t="array" ref="F37:F37">INDEX('0.0.1 Pokémon Dex Data'!$H$3:$H951,MATCH(E37,'0.0.1 Pokémon Dex Data'!$B$3:$B951,0))</f>
        <v>0</v>
      </c>
      <c r="G37" s="0" t="str">
        <f aca="false" t="array" ref="G37:G37">INDEX('0.0.1 Pokémon Dex Data'!$E$3:$E951,MATCH(E37,'0.0.1 Pokémon Dex Data'!$B$3:$B951,0))</f>
        <v>Sandshrew</v>
      </c>
      <c r="H37" s="0" t="str">
        <f aca="false" t="array" ref="H37:H37">INDEX('0.0.1 Pokémon Dex Data'!$Q$3:$Q951,MATCH(E37,'0.0.1 Pokémon Dex Data'!$B$3:$B951,0))</f>
        <v>Ground</v>
      </c>
      <c r="I37" s="0" t="n">
        <f aca="false">INDEX('0.0.1 Pokémon Dex Data'!$R$3:$R951,MATCH(E37,'0.0.1 Pokémon Dex Data'!$B$3:$B951,0))</f>
        <v>0</v>
      </c>
      <c r="J37" s="260" t="n">
        <f aca="false" t="array" ref="J37:J37">ROUND(INDEX('0.0.1 Pokémon Dex Data'!$S$3:$S951,MATCH($E37,'0.0.1 Pokémon Dex Data'!$B$3:$B951,0))*INDEX('0.0.1 Pokémon Dex Data'!T$3:T951,MATCH($E37,'0.0.1 Pokémon Dex Data'!$B$3:$B951,0)),0)</f>
        <v>126</v>
      </c>
      <c r="K37" s="260" t="n">
        <f aca="false" t="array" ref="K37:K37">ROUND(INDEX('0.0.1 Pokémon Dex Data'!$S$3:$S951,MATCH($E37,'0.0.1 Pokémon Dex Data'!$B$3:$B951,0))*INDEX('0.0.1 Pokémon Dex Data'!U$3:U951,MATCH($E37,'0.0.1 Pokémon Dex Data'!$B$3:$B951,0)),0)</f>
        <v>120</v>
      </c>
      <c r="L37" s="260" t="n">
        <f aca="false" t="array" ref="L37:L37">ROUND(INDEX('0.0.1 Pokémon Dex Data'!$S$3:$S951,MATCH($E37,'0.0.1 Pokémon Dex Data'!$B$3:$B951,0))*INDEX('0.0.1 Pokémon Dex Data'!V$3:V951,MATCH($E37,'0.0.1 Pokémon Dex Data'!$B$3:$B951,0)),0)</f>
        <v>137</v>
      </c>
      <c r="M37" s="260" t="n">
        <f aca="false" t="array" ref="M37:M37">INDEX('0.0.1 Pokémon Dex Data'!$J$3:$J951,MATCH(E37,'0.0.1 Pokémon Dex Data'!$B$3:$B951,0))</f>
        <v>0</v>
      </c>
      <c r="O37" s="490"/>
      <c r="Q37" s="367" t="n">
        <f aca="false">IF('Reverse Search'!$F$4="All (including temporary formes)",1,IF('Reverse Search'!$F$4="Base Pokémon and permanent formes only",IF(F37&lt;=1,1,0),IF(F37=0,1,0)))</f>
        <v>1</v>
      </c>
      <c r="R37" s="0" t="n">
        <f aca="false">IF('Reverse Search'!$C$7="Disable",1,IF('Reverse Search'!$D$9="Disable",1,IF(OR('Reverse Search'!$F$9=H37,'Reverse Search'!$F$9=I37),1,0)))</f>
        <v>1</v>
      </c>
      <c r="S37" s="0" t="n">
        <f aca="false">IF('Reverse Search'!$C$7="Disable",1,IF('Reverse Search'!$D$10="Disable",1,IF(OR('Reverse Search'!$F$10=H37,'Reverse Search'!$F$10=I37),1,0)))</f>
        <v>1</v>
      </c>
      <c r="T37" s="0" t="n">
        <f aca="false">INDEX($B$4:$B$22,MATCH(H37,$A$4:$A$22,0))</f>
        <v>1</v>
      </c>
      <c r="U37" s="0" t="e">
        <f aca="false">IF(ISBLANK(I37),1,INDEX($B$4:$B$22,MATCH(I37,$A$4:$A$22,0)))</f>
        <v>#N/A</v>
      </c>
      <c r="V37" s="367" t="n">
        <f aca="false">IF('Reverse Search'!$C$7="Disable",1,IF('Reverse Search'!$D$11="Disable",1,IF('Reverse Search'!$E$11="Neutral to:",IF(ROUND(T37*U37,2)&lt;=1,1,0),IF(ROUND(T37*U37,2)&lt;1,1,0))))</f>
        <v>1</v>
      </c>
      <c r="W37" s="0" t="n">
        <f aca="false">IF('Reverse Search'!$N$7="Disable",1,IF('Reverse Search'!$I$9="Disable",1,IF('Reverse Search'!$K$9="≥",IF(J37&gt;='Reverse Search'!$L$9,1,0),IF('Reverse Search'!$K$9="≤",IF(J37&lt;='Reverse Search'!$L$9,1,0),IF(J37='Reverse Search'!$L$9,1,0)))))</f>
        <v>1</v>
      </c>
      <c r="X37" s="0" t="n">
        <f aca="false">IF('Reverse Search'!$N$7="Disable",1,IF('Reverse Search'!$I$10="Disable",1,IF('Reverse Search'!$K$10="≥",IF(K37&gt;='Reverse Search'!$L$10,1,0),IF('Reverse Search'!$K$10="≤",IF(K37&lt;='Reverse Search'!$L$10,1,0),IF(K37='Reverse Search'!$L$10,1,0)))))</f>
        <v>1</v>
      </c>
      <c r="Y37" s="367" t="n">
        <f aca="false">IF('Reverse Search'!$N$7="Disable",1,IF('Reverse Search'!$I$11="Disable",1,IF('Reverse Search'!$K$11="≥",IF(L37&gt;='Reverse Search'!$L$11,1,0),IF('Reverse Search'!$K$11="≤",IF(L37&lt;='Reverse Search'!$L$11,1,0),IF(L37='Reverse Search'!$L$11,1,0)))))</f>
        <v>1</v>
      </c>
      <c r="Z37" s="0" t="n">
        <f aca="true">IF('Reverse Search'!$C$14="Disable",1,IF('Reverse Search'!$D$16="Disable",1,IF($C$2=3,IF($M37=0,0,COUNTIF(INDIRECT("'0.0.2 Pokémon Learnset (Core)'!$D$"&amp;MATCH($E37,'0.0.2 Pokémon Learnset (Core)'!$A$1:$A951,0)&amp;":$FK$"&amp;MATCH($E37,'0.0.2 Pokémon Learnset (Core)'!$A$1:$A951,0)),'Reverse Search'!$E$21)),IF($C$2=2,COUNTIF(INDIRECT("'0.1.1 Pokémon GO Moves'!$B$"&amp;MATCH($E37,'0.1.1 Pokémon GO Moves'!$A$1:$A951,0)&amp;":$R$"&amp;MATCH($E37,'0.1.1 Pokémon GO Moves'!$A$1:$A951,0)),'Reverse Search'!$E$21),COUNTIF(INDIRECT("'0.1.1 Pokémon GO Moves'!$B$"&amp;MATCH($E37,'0.1.1 Pokémon GO Moves'!$A$1:$A951,0)&amp;":$L$"&amp;MATCH($E37,'0.1.1 Pokémon GO Moves'!$A$1:$A951,0)),'Reverse Search'!$E$21)))))</f>
        <v>1</v>
      </c>
      <c r="AA37" s="0" t="n">
        <f aca="true">IF('Reverse Search'!$C$14="Disable",1,IF('Reverse Search'!$I$16="Disable",1,IF($D$2=3,IF($M37=0,0,COUNTIF(INDIRECT("'0.0.2 Pokémon Learnset (Core)'!$D$"&amp;MATCH($E37,'0.0.2 Pokémon Learnset (Core)'!$A$1:$A951,0)&amp;":$FK$"&amp;MATCH($E37,'0.0.2 Pokémon Learnset (Core)'!$A$1:$A951,0)),'Reverse Search'!$J$21)),IF($D$2=2,COUNTIF(INDIRECT("'0.1.1 Pokémon GO Moves'!$B$"&amp;MATCH($E37,'0.1.1 Pokémon GO Moves'!$A$1:$A951,0)&amp;":$R$"&amp;MATCH($E37,'0.1.1 Pokémon GO Moves'!$A$1:$A951,0)),'Reverse Search'!$J$21),COUNTIF(INDIRECT("'0.1.1 Pokémon GO Moves'!$B$"&amp;MATCH($E37,'0.1.1 Pokémon GO Moves'!$A$1:$A951,0)&amp;":$L$"&amp;MATCH($E37,'0.1.1 Pokémon GO Moves'!$A$1:$A951,0)),'Reverse Search'!$J$21)))))</f>
        <v>0</v>
      </c>
      <c r="AB37" s="490"/>
      <c r="AC37" s="260" t="n">
        <f aca="false">IF((Q37+R37+S37+V37+W37+X37+Y37+IF(Z37&gt;=1,1,0)+IF(AA37&gt;=1,1,0))=9,G37&amp;", ",)</f>
        <v>0</v>
      </c>
    </row>
    <row r="38" customFormat="false" ht="15.75" hidden="false" customHeight="false" outlineLevel="0" collapsed="false">
      <c r="A38" s="260"/>
      <c r="B38" s="358"/>
      <c r="C38" s="260" t="str">
        <f aca="false">IFERROR(__xludf.dummyfunction("""COMPUTED_VALUE"""),"Pound")</f>
        <v>Pound</v>
      </c>
      <c r="D38" s="358" t="str">
        <f aca="false">IFERROR(__xludf.dummyfunction("""COMPUTED_VALUE"""),"Fire Blast")</f>
        <v>Fire Blast</v>
      </c>
      <c r="E38" s="260" t="n">
        <v>37</v>
      </c>
      <c r="F38" s="260" t="n">
        <f aca="false" t="array" ref="F38:F38">INDEX('0.0.1 Pokémon Dex Data'!$H$3:$H951,MATCH(E38,'0.0.1 Pokémon Dex Data'!$B$3:$B951,0))</f>
        <v>1</v>
      </c>
      <c r="G38" s="0" t="str">
        <f aca="false" t="array" ref="G38:G38">INDEX('0.0.1 Pokémon Dex Data'!$E$3:$E951,MATCH(E38,'0.0.1 Pokémon Dex Data'!$B$3:$B951,0))</f>
        <v>Sandshrew-Alolan</v>
      </c>
      <c r="H38" s="0" t="str">
        <f aca="false" t="array" ref="H38:H38">INDEX('0.0.1 Pokémon Dex Data'!$Q$3:$Q951,MATCH(E38,'0.0.1 Pokémon Dex Data'!$B$3:$B951,0))</f>
        <v>Ice</v>
      </c>
      <c r="I38" s="0" t="str">
        <f aca="false" t="array" ref="I38:I38">INDEX('0.0.1 Pokémon Dex Data'!$R$3:$R951,MATCH(E38,'0.0.1 Pokémon Dex Data'!$B$3:$B951,0))</f>
        <v>Steel</v>
      </c>
      <c r="J38" s="260" t="n">
        <f aca="false" t="array" ref="J38:J38">ROUND(INDEX('0.0.1 Pokémon Dex Data'!$S$3:$S951,MATCH($E38,'0.0.1 Pokémon Dex Data'!$B$3:$B951,0))*INDEX('0.0.1 Pokémon Dex Data'!T$3:T951,MATCH($E38,'0.0.1 Pokémon Dex Data'!$B$3:$B951,0)),0)</f>
        <v>125</v>
      </c>
      <c r="K38" s="260" t="n">
        <f aca="false" t="array" ref="K38:K38">ROUND(INDEX('0.0.1 Pokémon Dex Data'!$S$3:$S951,MATCH($E38,'0.0.1 Pokémon Dex Data'!$B$3:$B951,0))*INDEX('0.0.1 Pokémon Dex Data'!U$3:U951,MATCH($E38,'0.0.1 Pokémon Dex Data'!$B$3:$B951,0)),0)</f>
        <v>129</v>
      </c>
      <c r="L38" s="260" t="n">
        <f aca="false" t="array" ref="L38:L38">ROUND(INDEX('0.0.1 Pokémon Dex Data'!$S$3:$S951,MATCH($E38,'0.0.1 Pokémon Dex Data'!$B$3:$B951,0))*INDEX('0.0.1 Pokémon Dex Data'!V$3:V951,MATCH($E38,'0.0.1 Pokémon Dex Data'!$B$3:$B951,0)),0)</f>
        <v>137</v>
      </c>
      <c r="M38" s="260" t="n">
        <f aca="false" t="array" ref="M38:M38">INDEX('0.0.1 Pokémon Dex Data'!$J$3:$J951,MATCH(E38,'0.0.1 Pokémon Dex Data'!$B$3:$B951,0))</f>
        <v>0</v>
      </c>
      <c r="O38" s="490"/>
      <c r="Q38" s="367" t="n">
        <f aca="false">IF('Reverse Search'!$F$4="All (including temporary formes)",1,IF('Reverse Search'!$F$4="Base Pokémon and permanent formes only",IF(F38&lt;=1,1,0),IF(F38=0,1,0)))</f>
        <v>0</v>
      </c>
      <c r="R38" s="0" t="n">
        <f aca="false">IF('Reverse Search'!$C$7="Disable",1,IF('Reverse Search'!$D$9="Disable",1,IF(OR('Reverse Search'!$F$9=H38,'Reverse Search'!$F$9=I38),1,0)))</f>
        <v>1</v>
      </c>
      <c r="S38" s="0" t="n">
        <f aca="false">IF('Reverse Search'!$C$7="Disable",1,IF('Reverse Search'!$D$10="Disable",1,IF(OR('Reverse Search'!$F$10=H38,'Reverse Search'!$F$10=I38),1,0)))</f>
        <v>1</v>
      </c>
      <c r="T38" s="0" t="n">
        <f aca="false">INDEX($B$4:$B$22,MATCH(H38,$A$4:$A$22,0))</f>
        <v>1</v>
      </c>
      <c r="U38" s="0" t="n">
        <f aca="false">IF(ISBLANK(I38),1,INDEX($B$4:$B$22,MATCH(I38,$A$4:$A$22,0)))</f>
        <v>0.714</v>
      </c>
      <c r="V38" s="367" t="n">
        <f aca="false">IF('Reverse Search'!$C$7="Disable",1,IF('Reverse Search'!$D$11="Disable",1,IF('Reverse Search'!$E$11="Neutral to:",IF(ROUND(T38*U38,2)&lt;=1,1,0),IF(ROUND(T38*U38,2)&lt;1,1,0))))</f>
        <v>1</v>
      </c>
      <c r="W38" s="0" t="n">
        <f aca="false">IF('Reverse Search'!$N$7="Disable",1,IF('Reverse Search'!$I$9="Disable",1,IF('Reverse Search'!$K$9="≥",IF(J38&gt;='Reverse Search'!$L$9,1,0),IF('Reverse Search'!$K$9="≤",IF(J38&lt;='Reverse Search'!$L$9,1,0),IF(J38='Reverse Search'!$L$9,1,0)))))</f>
        <v>1</v>
      </c>
      <c r="X38" s="0" t="n">
        <f aca="false">IF('Reverse Search'!$N$7="Disable",1,IF('Reverse Search'!$I$10="Disable",1,IF('Reverse Search'!$K$10="≥",IF(K38&gt;='Reverse Search'!$L$10,1,0),IF('Reverse Search'!$K$10="≤",IF(K38&lt;='Reverse Search'!$L$10,1,0),IF(K38='Reverse Search'!$L$10,1,0)))))</f>
        <v>1</v>
      </c>
      <c r="Y38" s="367" t="n">
        <f aca="false">IF('Reverse Search'!$N$7="Disable",1,IF('Reverse Search'!$I$11="Disable",1,IF('Reverse Search'!$K$11="≥",IF(L38&gt;='Reverse Search'!$L$11,1,0),IF('Reverse Search'!$K$11="≤",IF(L38&lt;='Reverse Search'!$L$11,1,0),IF(L38='Reverse Search'!$L$11,1,0)))))</f>
        <v>1</v>
      </c>
      <c r="Z38" s="0" t="n">
        <f aca="true">IF('Reverse Search'!$C$14="Disable",1,IF('Reverse Search'!$D$16="Disable",1,IF($C$2=3,IF($M38=0,0,COUNTIF(INDIRECT("'0.0.2 Pokémon Learnset (Core)'!$D$"&amp;MATCH($E38,'0.0.2 Pokémon Learnset (Core)'!$A$1:$A951,0)&amp;":$FK$"&amp;MATCH($E38,'0.0.2 Pokémon Learnset (Core)'!$A$1:$A951,0)),'Reverse Search'!$E$21)),IF($C$2=2,COUNTIF(INDIRECT("'0.1.1 Pokémon GO Moves'!$B$"&amp;MATCH($E38,'0.1.1 Pokémon GO Moves'!$A$1:$A951,0)&amp;":$R$"&amp;MATCH($E38,'0.1.1 Pokémon GO Moves'!$A$1:$A951,0)),'Reverse Search'!$E$21),COUNTIF(INDIRECT("'0.1.1 Pokémon GO Moves'!$B$"&amp;MATCH($E38,'0.1.1 Pokémon GO Moves'!$A$1:$A951,0)&amp;":$L$"&amp;MATCH($E38,'0.1.1 Pokémon GO Moves'!$A$1:$A951,0)),'Reverse Search'!$E$21)))))</f>
        <v>1</v>
      </c>
      <c r="AA38" s="0" t="e">
        <f aca="true">IF('Reverse Search'!$C$14="Disable",1,IF('Reverse Search'!$I$16="Disable",1,IF($D$2=3,IF($M38=0,0,COUNTIF(INDIRECT("'0.0.2 Pokémon Learnset (Core)'!$D$"&amp;MATCH($E38,'0.0.2 Pokémon Learnset (Core)'!$A$1:$A951,0)&amp;":$FK$"&amp;MATCH($E38,'0.0.2 Pokémon Learnset (Core)'!$A$1:$A951,0)),'Reverse Search'!$J$21)),IF($D$2=2,COUNTIF(INDIRECT("'0.1.1 Pokémon GO Moves'!$B$"&amp;MATCH($E38,'0.1.1 Pokémon GO Moves'!$A$1:$A951,0)&amp;":$R$"&amp;MATCH($E38,'0.1.1 Pokémon GO Moves'!$A$1:$A951,0)),'Reverse Search'!$J$21),COUNTIF(INDIRECT("'0.1.1 Pokémon GO Moves'!$B$"&amp;MATCH($E38,'0.1.1 Pokémon GO Moves'!$A$1:$A951,0)&amp;":$L$"&amp;MATCH($E38,'0.1.1 Pokémon GO Moves'!$A$1:$A951,0)),'Reverse Search'!$J$21)))))</f>
        <v>#N/A</v>
      </c>
      <c r="AB38" s="490"/>
      <c r="AC38" s="260" t="e">
        <f aca="false">IF((Q38+R38+S38+V38+W38+X38+Y38+IF(Z38&gt;=1,1,0)+IF(AA38&gt;=1,1,0))=9,G38&amp;", ",)</f>
        <v>#N/A</v>
      </c>
    </row>
    <row r="39" customFormat="false" ht="15.75" hidden="false" customHeight="false" outlineLevel="0" collapsed="false">
      <c r="A39" s="260"/>
      <c r="B39" s="358"/>
      <c r="C39" s="260" t="str">
        <f aca="false">IFERROR(__xludf.dummyfunction("""COMPUTED_VALUE"""),"Powder Snow")</f>
        <v>Powder Snow</v>
      </c>
      <c r="D39" s="358" t="str">
        <f aca="false">IFERROR(__xludf.dummyfunction("""COMPUTED_VALUE"""),"Fire Punch")</f>
        <v>Fire Punch</v>
      </c>
      <c r="E39" s="260" t="n">
        <v>38</v>
      </c>
      <c r="F39" s="260" t="n">
        <f aca="false" t="array" ref="F39:F39">INDEX('0.0.1 Pokémon Dex Data'!$H$3:$H951,MATCH(E39,'0.0.1 Pokémon Dex Data'!$B$3:$B951,0))</f>
        <v>0</v>
      </c>
      <c r="G39" s="0" t="str">
        <f aca="false" t="array" ref="G39:G39">INDEX('0.0.1 Pokémon Dex Data'!$E$3:$E951,MATCH(E39,'0.0.1 Pokémon Dex Data'!$B$3:$B951,0))</f>
        <v>Sandslash</v>
      </c>
      <c r="H39" s="0" t="str">
        <f aca="false" t="array" ref="H39:H39">INDEX('0.0.1 Pokémon Dex Data'!$Q$3:$Q951,MATCH(E39,'0.0.1 Pokémon Dex Data'!$B$3:$B951,0))</f>
        <v>Ground</v>
      </c>
      <c r="I39" s="0" t="n">
        <f aca="false">INDEX('0.0.1 Pokémon Dex Data'!$R$3:$R951,MATCH(E39,'0.0.1 Pokémon Dex Data'!$B$3:$B951,0))</f>
        <v>0</v>
      </c>
      <c r="J39" s="260" t="n">
        <f aca="false" t="array" ref="J39:J39">ROUND(INDEX('0.0.1 Pokémon Dex Data'!$S$3:$S951,MATCH($E39,'0.0.1 Pokémon Dex Data'!$B$3:$B951,0))*INDEX('0.0.1 Pokémon Dex Data'!T$3:T951,MATCH($E39,'0.0.1 Pokémon Dex Data'!$B$3:$B951,0)),0)</f>
        <v>182</v>
      </c>
      <c r="K39" s="260" t="n">
        <f aca="false" t="array" ref="K39:K39">ROUND(INDEX('0.0.1 Pokémon Dex Data'!$S$3:$S951,MATCH($E39,'0.0.1 Pokémon Dex Data'!$B$3:$B951,0))*INDEX('0.0.1 Pokémon Dex Data'!U$3:U951,MATCH($E39,'0.0.1 Pokémon Dex Data'!$B$3:$B951,0)),0)</f>
        <v>175</v>
      </c>
      <c r="L39" s="260" t="n">
        <f aca="false" t="array" ref="L39:L39">ROUND(INDEX('0.0.1 Pokémon Dex Data'!$S$3:$S951,MATCH($E39,'0.0.1 Pokémon Dex Data'!$B$3:$B951,0))*INDEX('0.0.1 Pokémon Dex Data'!V$3:V951,MATCH($E39,'0.0.1 Pokémon Dex Data'!$B$3:$B951,0)),0)</f>
        <v>181</v>
      </c>
      <c r="M39" s="260" t="n">
        <f aca="false" t="array" ref="M39:M39">INDEX('0.0.1 Pokémon Dex Data'!$J$3:$J951,MATCH(E39,'0.0.1 Pokémon Dex Data'!$B$3:$B951,0))</f>
        <v>1</v>
      </c>
      <c r="O39" s="490"/>
      <c r="Q39" s="367" t="n">
        <f aca="false">IF('Reverse Search'!$F$4="All (including temporary formes)",1,IF('Reverse Search'!$F$4="Base Pokémon and permanent formes only",IF(F39&lt;=1,1,0),IF(F39=0,1,0)))</f>
        <v>1</v>
      </c>
      <c r="R39" s="0" t="n">
        <f aca="false">IF('Reverse Search'!$C$7="Disable",1,IF('Reverse Search'!$D$9="Disable",1,IF(OR('Reverse Search'!$F$9=H39,'Reverse Search'!$F$9=I39),1,0)))</f>
        <v>1</v>
      </c>
      <c r="S39" s="0" t="n">
        <f aca="false">IF('Reverse Search'!$C$7="Disable",1,IF('Reverse Search'!$D$10="Disable",1,IF(OR('Reverse Search'!$F$10=H39,'Reverse Search'!$F$10=I39),1,0)))</f>
        <v>1</v>
      </c>
      <c r="T39" s="0" t="n">
        <f aca="false">INDEX($B$4:$B$22,MATCH(H39,$A$4:$A$22,0))</f>
        <v>1</v>
      </c>
      <c r="U39" s="0" t="e">
        <f aca="false">IF(ISBLANK(I39),1,INDEX($B$4:$B$22,MATCH(I39,$A$4:$A$22,0)))</f>
        <v>#N/A</v>
      </c>
      <c r="V39" s="367" t="n">
        <f aca="false">IF('Reverse Search'!$C$7="Disable",1,IF('Reverse Search'!$D$11="Disable",1,IF('Reverse Search'!$E$11="Neutral to:",IF(ROUND(T39*U39,2)&lt;=1,1,0),IF(ROUND(T39*U39,2)&lt;1,1,0))))</f>
        <v>1</v>
      </c>
      <c r="W39" s="0" t="n">
        <f aca="false">IF('Reverse Search'!$N$7="Disable",1,IF('Reverse Search'!$I$9="Disable",1,IF('Reverse Search'!$K$9="≥",IF(J39&gt;='Reverse Search'!$L$9,1,0),IF('Reverse Search'!$K$9="≤",IF(J39&lt;='Reverse Search'!$L$9,1,0),IF(J39='Reverse Search'!$L$9,1,0)))))</f>
        <v>1</v>
      </c>
      <c r="X39" s="0" t="n">
        <f aca="false">IF('Reverse Search'!$N$7="Disable",1,IF('Reverse Search'!$I$10="Disable",1,IF('Reverse Search'!$K$10="≥",IF(K39&gt;='Reverse Search'!$L$10,1,0),IF('Reverse Search'!$K$10="≤",IF(K39&lt;='Reverse Search'!$L$10,1,0),IF(K39='Reverse Search'!$L$10,1,0)))))</f>
        <v>1</v>
      </c>
      <c r="Y39" s="367" t="n">
        <f aca="false">IF('Reverse Search'!$N$7="Disable",1,IF('Reverse Search'!$I$11="Disable",1,IF('Reverse Search'!$K$11="≥",IF(L39&gt;='Reverse Search'!$L$11,1,0),IF('Reverse Search'!$K$11="≤",IF(L39&lt;='Reverse Search'!$L$11,1,0),IF(L39='Reverse Search'!$L$11,1,0)))))</f>
        <v>1</v>
      </c>
      <c r="Z39" s="0" t="n">
        <f aca="true">IF('Reverse Search'!$C$14="Disable",1,IF('Reverse Search'!$D$16="Disable",1,IF($C$2=3,IF($M39=0,0,COUNTIF(INDIRECT("'0.0.2 Pokémon Learnset (Core)'!$D$"&amp;MATCH($E39,'0.0.2 Pokémon Learnset (Core)'!$A$1:$A951,0)&amp;":$FK$"&amp;MATCH($E39,'0.0.2 Pokémon Learnset (Core)'!$A$1:$A951,0)),'Reverse Search'!$E$21)),IF($C$2=2,COUNTIF(INDIRECT("'0.1.1 Pokémon GO Moves'!$B$"&amp;MATCH($E39,'0.1.1 Pokémon GO Moves'!$A$1:$A951,0)&amp;":$R$"&amp;MATCH($E39,'0.1.1 Pokémon GO Moves'!$A$1:$A951,0)),'Reverse Search'!$E$21),COUNTIF(INDIRECT("'0.1.1 Pokémon GO Moves'!$B$"&amp;MATCH($E39,'0.1.1 Pokémon GO Moves'!$A$1:$A951,0)&amp;":$L$"&amp;MATCH($E39,'0.1.1 Pokémon GO Moves'!$A$1:$A951,0)),'Reverse Search'!$E$21)))))</f>
        <v>1</v>
      </c>
      <c r="AA39" s="0" t="n">
        <f aca="true">IF('Reverse Search'!$C$14="Disable",1,IF('Reverse Search'!$I$16="Disable",1,IF($D$2=3,IF($M39=0,0,COUNTIF(INDIRECT("'0.0.2 Pokémon Learnset (Core)'!$D$"&amp;MATCH($E39,'0.0.2 Pokémon Learnset (Core)'!$A$1:$A951,0)&amp;":$FK$"&amp;MATCH($E39,'0.0.2 Pokémon Learnset (Core)'!$A$1:$A951,0)),'Reverse Search'!$J$21)),IF($D$2=2,COUNTIF(INDIRECT("'0.1.1 Pokémon GO Moves'!$B$"&amp;MATCH($E39,'0.1.1 Pokémon GO Moves'!$A$1:$A951,0)&amp;":$R$"&amp;MATCH($E39,'0.1.1 Pokémon GO Moves'!$A$1:$A951,0)),'Reverse Search'!$J$21),COUNTIF(INDIRECT("'0.1.1 Pokémon GO Moves'!$B$"&amp;MATCH($E39,'0.1.1 Pokémon GO Moves'!$A$1:$A951,0)&amp;":$L$"&amp;MATCH($E39,'0.1.1 Pokémon GO Moves'!$A$1:$A951,0)),'Reverse Search'!$J$21)))))</f>
        <v>0</v>
      </c>
      <c r="AB39" s="490"/>
      <c r="AC39" s="260" t="n">
        <f aca="false">IF((Q39+R39+S39+V39+W39+X39+Y39+IF(Z39&gt;=1,1,0)+IF(AA39&gt;=1,1,0))=9,G39&amp;", ",)</f>
        <v>0</v>
      </c>
    </row>
    <row r="40" customFormat="false" ht="15.75" hidden="false" customHeight="false" outlineLevel="0" collapsed="false">
      <c r="A40" s="260"/>
      <c r="B40" s="358"/>
      <c r="C40" s="260" t="str">
        <f aca="false">IFERROR(__xludf.dummyfunction("""COMPUTED_VALUE"""),"Present")</f>
        <v>Present</v>
      </c>
      <c r="D40" s="358" t="str">
        <f aca="false">IFERROR(__xludf.dummyfunction("""COMPUTED_VALUE"""),"Flame Burst")</f>
        <v>Flame Burst</v>
      </c>
      <c r="E40" s="260" t="n">
        <v>39</v>
      </c>
      <c r="F40" s="260" t="n">
        <f aca="false" t="array" ref="F40:F40">INDEX('0.0.1 Pokémon Dex Data'!$H$3:$H951,MATCH(E40,'0.0.1 Pokémon Dex Data'!$B$3:$B951,0))</f>
        <v>1</v>
      </c>
      <c r="G40" s="0" t="str">
        <f aca="false" t="array" ref="G40:G40">INDEX('0.0.1 Pokémon Dex Data'!$E$3:$E951,MATCH(E40,'0.0.1 Pokémon Dex Data'!$B$3:$B951,0))</f>
        <v>Sandslash-Alolan</v>
      </c>
      <c r="H40" s="0" t="str">
        <f aca="false" t="array" ref="H40:H40">INDEX('0.0.1 Pokémon Dex Data'!$Q$3:$Q951,MATCH(E40,'0.0.1 Pokémon Dex Data'!$B$3:$B951,0))</f>
        <v>Ice</v>
      </c>
      <c r="I40" s="0" t="str">
        <f aca="false" t="array" ref="I40:I40">INDEX('0.0.1 Pokémon Dex Data'!$R$3:$R951,MATCH(E40,'0.0.1 Pokémon Dex Data'!$B$3:$B951,0))</f>
        <v>Steel</v>
      </c>
      <c r="J40" s="260" t="n">
        <f aca="false" t="array" ref="J40:J40">ROUND(INDEX('0.0.1 Pokémon Dex Data'!$S$3:$S951,MATCH($E40,'0.0.1 Pokémon Dex Data'!$B$3:$B951,0))*INDEX('0.0.1 Pokémon Dex Data'!T$3:T951,MATCH($E40,'0.0.1 Pokémon Dex Data'!$B$3:$B951,0)),0)</f>
        <v>177</v>
      </c>
      <c r="K40" s="260" t="n">
        <f aca="false" t="array" ref="K40:K40">ROUND(INDEX('0.0.1 Pokémon Dex Data'!$S$3:$S951,MATCH($E40,'0.0.1 Pokémon Dex Data'!$B$3:$B951,0))*INDEX('0.0.1 Pokémon Dex Data'!U$3:U951,MATCH($E40,'0.0.1 Pokémon Dex Data'!$B$3:$B951,0)),0)</f>
        <v>195</v>
      </c>
      <c r="L40" s="260" t="n">
        <f aca="false" t="array" ref="L40:L40">ROUND(INDEX('0.0.1 Pokémon Dex Data'!$S$3:$S951,MATCH($E40,'0.0.1 Pokémon Dex Data'!$B$3:$B951,0))*INDEX('0.0.1 Pokémon Dex Data'!V$3:V951,MATCH($E40,'0.0.1 Pokémon Dex Data'!$B$3:$B951,0)),0)</f>
        <v>181</v>
      </c>
      <c r="M40" s="260" t="n">
        <f aca="false" t="array" ref="M40:M40">INDEX('0.0.1 Pokémon Dex Data'!$J$3:$J951,MATCH(E40,'0.0.1 Pokémon Dex Data'!$B$3:$B951,0))</f>
        <v>1</v>
      </c>
      <c r="O40" s="490"/>
      <c r="Q40" s="367" t="n">
        <f aca="false">IF('Reverse Search'!$F$4="All (including temporary formes)",1,IF('Reverse Search'!$F$4="Base Pokémon and permanent formes only",IF(F40&lt;=1,1,0),IF(F40=0,1,0)))</f>
        <v>0</v>
      </c>
      <c r="R40" s="0" t="n">
        <f aca="false">IF('Reverse Search'!$C$7="Disable",1,IF('Reverse Search'!$D$9="Disable",1,IF(OR('Reverse Search'!$F$9=H40,'Reverse Search'!$F$9=I40),1,0)))</f>
        <v>1</v>
      </c>
      <c r="S40" s="0" t="n">
        <f aca="false">IF('Reverse Search'!$C$7="Disable",1,IF('Reverse Search'!$D$10="Disable",1,IF(OR('Reverse Search'!$F$10=H40,'Reverse Search'!$F$10=I40),1,0)))</f>
        <v>1</v>
      </c>
      <c r="T40" s="0" t="n">
        <f aca="false">INDEX($B$4:$B$22,MATCH(H40,$A$4:$A$22,0))</f>
        <v>1</v>
      </c>
      <c r="U40" s="0" t="n">
        <f aca="false">IF(ISBLANK(I40),1,INDEX($B$4:$B$22,MATCH(I40,$A$4:$A$22,0)))</f>
        <v>0.714</v>
      </c>
      <c r="V40" s="367" t="n">
        <f aca="false">IF('Reverse Search'!$C$7="Disable",1,IF('Reverse Search'!$D$11="Disable",1,IF('Reverse Search'!$E$11="Neutral to:",IF(ROUND(T40*U40,2)&lt;=1,1,0),IF(ROUND(T40*U40,2)&lt;1,1,0))))</f>
        <v>1</v>
      </c>
      <c r="W40" s="0" t="n">
        <f aca="false">IF('Reverse Search'!$N$7="Disable",1,IF('Reverse Search'!$I$9="Disable",1,IF('Reverse Search'!$K$9="≥",IF(J40&gt;='Reverse Search'!$L$9,1,0),IF('Reverse Search'!$K$9="≤",IF(J40&lt;='Reverse Search'!$L$9,1,0),IF(J40='Reverse Search'!$L$9,1,0)))))</f>
        <v>1</v>
      </c>
      <c r="X40" s="0" t="n">
        <f aca="false">IF('Reverse Search'!$N$7="Disable",1,IF('Reverse Search'!$I$10="Disable",1,IF('Reverse Search'!$K$10="≥",IF(K40&gt;='Reverse Search'!$L$10,1,0),IF('Reverse Search'!$K$10="≤",IF(K40&lt;='Reverse Search'!$L$10,1,0),IF(K40='Reverse Search'!$L$10,1,0)))))</f>
        <v>1</v>
      </c>
      <c r="Y40" s="367" t="n">
        <f aca="false">IF('Reverse Search'!$N$7="Disable",1,IF('Reverse Search'!$I$11="Disable",1,IF('Reverse Search'!$K$11="≥",IF(L40&gt;='Reverse Search'!$L$11,1,0),IF('Reverse Search'!$K$11="≤",IF(L40&lt;='Reverse Search'!$L$11,1,0),IF(L40='Reverse Search'!$L$11,1,0)))))</f>
        <v>1</v>
      </c>
      <c r="Z40" s="0" t="n">
        <f aca="true">IF('Reverse Search'!$C$14="Disable",1,IF('Reverse Search'!$D$16="Disable",1,IF($C$2=3,IF($M40=0,0,COUNTIF(INDIRECT("'0.0.2 Pokémon Learnset (Core)'!$D$"&amp;MATCH($E40,'0.0.2 Pokémon Learnset (Core)'!$A$1:$A951,0)&amp;":$FK$"&amp;MATCH($E40,'0.0.2 Pokémon Learnset (Core)'!$A$1:$A951,0)),'Reverse Search'!$E$21)),IF($C$2=2,COUNTIF(INDIRECT("'0.1.1 Pokémon GO Moves'!$B$"&amp;MATCH($E40,'0.1.1 Pokémon GO Moves'!$A$1:$A951,0)&amp;":$R$"&amp;MATCH($E40,'0.1.1 Pokémon GO Moves'!$A$1:$A951,0)),'Reverse Search'!$E$21),COUNTIF(INDIRECT("'0.1.1 Pokémon GO Moves'!$B$"&amp;MATCH($E40,'0.1.1 Pokémon GO Moves'!$A$1:$A951,0)&amp;":$L$"&amp;MATCH($E40,'0.1.1 Pokémon GO Moves'!$A$1:$A951,0)),'Reverse Search'!$E$21)))))</f>
        <v>1</v>
      </c>
      <c r="AA40" s="0" t="e">
        <f aca="true">IF('Reverse Search'!$C$14="Disable",1,IF('Reverse Search'!$I$16="Disable",1,IF($D$2=3,IF($M40=0,0,COUNTIF(INDIRECT("'0.0.2 Pokémon Learnset (Core)'!$D$"&amp;MATCH($E40,'0.0.2 Pokémon Learnset (Core)'!$A$1:$A951,0)&amp;":$FK$"&amp;MATCH($E40,'0.0.2 Pokémon Learnset (Core)'!$A$1:$A951,0)),'Reverse Search'!$J$21)),IF($D$2=2,COUNTIF(INDIRECT("'0.1.1 Pokémon GO Moves'!$B$"&amp;MATCH($E40,'0.1.1 Pokémon GO Moves'!$A$1:$A951,0)&amp;":$R$"&amp;MATCH($E40,'0.1.1 Pokémon GO Moves'!$A$1:$A951,0)),'Reverse Search'!$J$21),COUNTIF(INDIRECT("'0.1.1 Pokémon GO Moves'!$B$"&amp;MATCH($E40,'0.1.1 Pokémon GO Moves'!$A$1:$A951,0)&amp;":$L$"&amp;MATCH($E40,'0.1.1 Pokémon GO Moves'!$A$1:$A951,0)),'Reverse Search'!$J$21)))))</f>
        <v>#N/A</v>
      </c>
      <c r="AB40" s="490"/>
      <c r="AC40" s="260" t="e">
        <f aca="false">IF((Q40+R40+S40+V40+W40+X40+Y40+IF(Z40&gt;=1,1,0)+IF(AA40&gt;=1,1,0))=9,G40&amp;", ",)</f>
        <v>#N/A</v>
      </c>
    </row>
    <row r="41" customFormat="false" ht="15.75" hidden="false" customHeight="false" outlineLevel="0" collapsed="false">
      <c r="A41" s="260"/>
      <c r="B41" s="358"/>
      <c r="C41" s="260" t="str">
        <f aca="false">IFERROR(__xludf.dummyfunction("""COMPUTED_VALUE"""),"Psycho Cut")</f>
        <v>Psycho Cut</v>
      </c>
      <c r="D41" s="358" t="str">
        <f aca="false">IFERROR(__xludf.dummyfunction("""COMPUTED_VALUE"""),"Flame Charge")</f>
        <v>Flame Charge</v>
      </c>
      <c r="E41" s="260" t="n">
        <v>40</v>
      </c>
      <c r="F41" s="260" t="n">
        <f aca="false" t="array" ref="F41:F41">INDEX('0.0.1 Pokémon Dex Data'!$H$3:$H951,MATCH(E41,'0.0.1 Pokémon Dex Data'!$B$3:$B951,0))</f>
        <v>0</v>
      </c>
      <c r="G41" s="0" t="str">
        <f aca="false" t="array" ref="G41:G41">INDEX('0.0.1 Pokémon Dex Data'!$E$3:$E951,MATCH(E41,'0.0.1 Pokémon Dex Data'!$B$3:$B951,0))</f>
        <v>Nidoran♀</v>
      </c>
      <c r="H41" s="0" t="str">
        <f aca="false" t="array" ref="H41:H41">INDEX('0.0.1 Pokémon Dex Data'!$Q$3:$Q951,MATCH(E41,'0.0.1 Pokémon Dex Data'!$B$3:$B951,0))</f>
        <v>Poison</v>
      </c>
      <c r="I41" s="0" t="n">
        <f aca="false">INDEX('0.0.1 Pokémon Dex Data'!$R$3:$R951,MATCH(E41,'0.0.1 Pokémon Dex Data'!$B$3:$B951,0))</f>
        <v>0</v>
      </c>
      <c r="J41" s="260" t="n">
        <f aca="false" t="array" ref="J41:J41">ROUND(INDEX('0.0.1 Pokémon Dex Data'!$S$3:$S951,MATCH($E41,'0.0.1 Pokémon Dex Data'!$B$3:$B951,0))*INDEX('0.0.1 Pokémon Dex Data'!T$3:T951,MATCH($E41,'0.0.1 Pokémon Dex Data'!$B$3:$B951,0)),0)</f>
        <v>86</v>
      </c>
      <c r="K41" s="260" t="n">
        <f aca="false" t="array" ref="K41:K41">ROUND(INDEX('0.0.1 Pokémon Dex Data'!$S$3:$S951,MATCH($E41,'0.0.1 Pokémon Dex Data'!$B$3:$B951,0))*INDEX('0.0.1 Pokémon Dex Data'!U$3:U951,MATCH($E41,'0.0.1 Pokémon Dex Data'!$B$3:$B951,0)),0)</f>
        <v>89</v>
      </c>
      <c r="L41" s="260" t="n">
        <f aca="false" t="array" ref="L41:L41">ROUND(INDEX('0.0.1 Pokémon Dex Data'!$S$3:$S951,MATCH($E41,'0.0.1 Pokémon Dex Data'!$B$3:$B951,0))*INDEX('0.0.1 Pokémon Dex Data'!V$3:V951,MATCH($E41,'0.0.1 Pokémon Dex Data'!$B$3:$B951,0)),0)</f>
        <v>146</v>
      </c>
      <c r="M41" s="260" t="n">
        <f aca="false" t="array" ref="M41:M41">INDEX('0.0.1 Pokémon Dex Data'!$J$3:$J951,MATCH(E41,'0.0.1 Pokémon Dex Data'!$B$3:$B951,0))</f>
        <v>0</v>
      </c>
      <c r="O41" s="490"/>
      <c r="Q41" s="367" t="n">
        <f aca="false">IF('Reverse Search'!$F$4="All (including temporary formes)",1,IF('Reverse Search'!$F$4="Base Pokémon and permanent formes only",IF(F41&lt;=1,1,0),IF(F41=0,1,0)))</f>
        <v>1</v>
      </c>
      <c r="R41" s="0" t="n">
        <f aca="false">IF('Reverse Search'!$C$7="Disable",1,IF('Reverse Search'!$D$9="Disable",1,IF(OR('Reverse Search'!$F$9=H41,'Reverse Search'!$F$9=I41),1,0)))</f>
        <v>1</v>
      </c>
      <c r="S41" s="0" t="n">
        <f aca="false">IF('Reverse Search'!$C$7="Disable",1,IF('Reverse Search'!$D$10="Disable",1,IF(OR('Reverse Search'!$F$10=H41,'Reverse Search'!$F$10=I41),1,0)))</f>
        <v>1</v>
      </c>
      <c r="T41" s="0" t="n">
        <f aca="false">INDEX($B$4:$B$22,MATCH(H41,$A$4:$A$22,0))</f>
        <v>1</v>
      </c>
      <c r="U41" s="0" t="e">
        <f aca="false">IF(ISBLANK(I41),1,INDEX($B$4:$B$22,MATCH(I41,$A$4:$A$22,0)))</f>
        <v>#N/A</v>
      </c>
      <c r="V41" s="367" t="n">
        <f aca="false">IF('Reverse Search'!$C$7="Disable",1,IF('Reverse Search'!$D$11="Disable",1,IF('Reverse Search'!$E$11="Neutral to:",IF(ROUND(T41*U41,2)&lt;=1,1,0),IF(ROUND(T41*U41,2)&lt;1,1,0))))</f>
        <v>1</v>
      </c>
      <c r="W41" s="0" t="n">
        <f aca="false">IF('Reverse Search'!$N$7="Disable",1,IF('Reverse Search'!$I$9="Disable",1,IF('Reverse Search'!$K$9="≥",IF(J41&gt;='Reverse Search'!$L$9,1,0),IF('Reverse Search'!$K$9="≤",IF(J41&lt;='Reverse Search'!$L$9,1,0),IF(J41='Reverse Search'!$L$9,1,0)))))</f>
        <v>1</v>
      </c>
      <c r="X41" s="0" t="n">
        <f aca="false">IF('Reverse Search'!$N$7="Disable",1,IF('Reverse Search'!$I$10="Disable",1,IF('Reverse Search'!$K$10="≥",IF(K41&gt;='Reverse Search'!$L$10,1,0),IF('Reverse Search'!$K$10="≤",IF(K41&lt;='Reverse Search'!$L$10,1,0),IF(K41='Reverse Search'!$L$10,1,0)))))</f>
        <v>1</v>
      </c>
      <c r="Y41" s="367" t="n">
        <f aca="false">IF('Reverse Search'!$N$7="Disable",1,IF('Reverse Search'!$I$11="Disable",1,IF('Reverse Search'!$K$11="≥",IF(L41&gt;='Reverse Search'!$L$11,1,0),IF('Reverse Search'!$K$11="≤",IF(L41&lt;='Reverse Search'!$L$11,1,0),IF(L41='Reverse Search'!$L$11,1,0)))))</f>
        <v>1</v>
      </c>
      <c r="Z41" s="0" t="n">
        <f aca="true">IF('Reverse Search'!$C$14="Disable",1,IF('Reverse Search'!$D$16="Disable",1,IF($C$2=3,IF($M41=0,0,COUNTIF(INDIRECT("'0.0.2 Pokémon Learnset (Core)'!$D$"&amp;MATCH($E41,'0.0.2 Pokémon Learnset (Core)'!$A$1:$A951,0)&amp;":$FK$"&amp;MATCH($E41,'0.0.2 Pokémon Learnset (Core)'!$A$1:$A951,0)),'Reverse Search'!$E$21)),IF($C$2=2,COUNTIF(INDIRECT("'0.1.1 Pokémon GO Moves'!$B$"&amp;MATCH($E41,'0.1.1 Pokémon GO Moves'!$A$1:$A951,0)&amp;":$R$"&amp;MATCH($E41,'0.1.1 Pokémon GO Moves'!$A$1:$A951,0)),'Reverse Search'!$E$21),COUNTIF(INDIRECT("'0.1.1 Pokémon GO Moves'!$B$"&amp;MATCH($E41,'0.1.1 Pokémon GO Moves'!$A$1:$A951,0)&amp;":$L$"&amp;MATCH($E41,'0.1.1 Pokémon GO Moves'!$A$1:$A951,0)),'Reverse Search'!$E$21)))))</f>
        <v>1</v>
      </c>
      <c r="AA41" s="0" t="n">
        <f aca="true">IF('Reverse Search'!$C$14="Disable",1,IF('Reverse Search'!$I$16="Disable",1,IF($D$2=3,IF($M41=0,0,COUNTIF(INDIRECT("'0.0.2 Pokémon Learnset (Core)'!$D$"&amp;MATCH($E41,'0.0.2 Pokémon Learnset (Core)'!$A$1:$A951,0)&amp;":$FK$"&amp;MATCH($E41,'0.0.2 Pokémon Learnset (Core)'!$A$1:$A951,0)),'Reverse Search'!$J$21)),IF($D$2=2,COUNTIF(INDIRECT("'0.1.1 Pokémon GO Moves'!$B$"&amp;MATCH($E41,'0.1.1 Pokémon GO Moves'!$A$1:$A951,0)&amp;":$R$"&amp;MATCH($E41,'0.1.1 Pokémon GO Moves'!$A$1:$A951,0)),'Reverse Search'!$J$21),COUNTIF(INDIRECT("'0.1.1 Pokémon GO Moves'!$B$"&amp;MATCH($E41,'0.1.1 Pokémon GO Moves'!$A$1:$A951,0)&amp;":$L$"&amp;MATCH($E41,'0.1.1 Pokémon GO Moves'!$A$1:$A951,0)),'Reverse Search'!$J$21)))))</f>
        <v>0</v>
      </c>
      <c r="AB41" s="490"/>
      <c r="AC41" s="260" t="n">
        <f aca="false">IF((Q41+R41+S41+V41+W41+X41+Y41+IF(Z41&gt;=1,1,0)+IF(AA41&gt;=1,1,0))=9,G41&amp;", ",)</f>
        <v>0</v>
      </c>
    </row>
    <row r="42" customFormat="false" ht="15.75" hidden="false" customHeight="false" outlineLevel="0" collapsed="false">
      <c r="A42" s="260"/>
      <c r="B42" s="358"/>
      <c r="C42" s="260" t="str">
        <f aca="false">IFERROR(__xludf.dummyfunction("""COMPUTED_VALUE"""),"Quick Attack")</f>
        <v>Quick Attack</v>
      </c>
      <c r="D42" s="358" t="str">
        <f aca="false">IFERROR(__xludf.dummyfunction("""COMPUTED_VALUE"""),"Flame Wheel")</f>
        <v>Flame Wheel</v>
      </c>
      <c r="E42" s="260" t="n">
        <v>41</v>
      </c>
      <c r="F42" s="260" t="n">
        <f aca="false" t="array" ref="F42:F42">INDEX('0.0.1 Pokémon Dex Data'!$H$3:$H951,MATCH(E42,'0.0.1 Pokémon Dex Data'!$B$3:$B951,0))</f>
        <v>0</v>
      </c>
      <c r="G42" s="0" t="str">
        <f aca="false" t="array" ref="G42:G42">INDEX('0.0.1 Pokémon Dex Data'!$E$3:$E951,MATCH(E42,'0.0.1 Pokémon Dex Data'!$B$3:$B951,0))</f>
        <v>Nidorina</v>
      </c>
      <c r="H42" s="0" t="str">
        <f aca="false" t="array" ref="H42:H42">INDEX('0.0.1 Pokémon Dex Data'!$Q$3:$Q951,MATCH(E42,'0.0.1 Pokémon Dex Data'!$B$3:$B951,0))</f>
        <v>Poison</v>
      </c>
      <c r="I42" s="0" t="n">
        <f aca="false">INDEX('0.0.1 Pokémon Dex Data'!$R$3:$R951,MATCH(E42,'0.0.1 Pokémon Dex Data'!$B$3:$B951,0))</f>
        <v>0</v>
      </c>
      <c r="J42" s="260" t="n">
        <f aca="false" t="array" ref="J42:J42">ROUND(INDEX('0.0.1 Pokémon Dex Data'!$S$3:$S951,MATCH($E42,'0.0.1 Pokémon Dex Data'!$B$3:$B951,0))*INDEX('0.0.1 Pokémon Dex Data'!T$3:T951,MATCH($E42,'0.0.1 Pokémon Dex Data'!$B$3:$B951,0)),0)</f>
        <v>117</v>
      </c>
      <c r="K42" s="260" t="n">
        <f aca="false" t="array" ref="K42:K42">ROUND(INDEX('0.0.1 Pokémon Dex Data'!$S$3:$S951,MATCH($E42,'0.0.1 Pokémon Dex Data'!$B$3:$B951,0))*INDEX('0.0.1 Pokémon Dex Data'!U$3:U951,MATCH($E42,'0.0.1 Pokémon Dex Data'!$B$3:$B951,0)),0)</f>
        <v>120</v>
      </c>
      <c r="L42" s="260" t="n">
        <f aca="false" t="array" ref="L42:L42">ROUND(INDEX('0.0.1 Pokémon Dex Data'!$S$3:$S951,MATCH($E42,'0.0.1 Pokémon Dex Data'!$B$3:$B951,0))*INDEX('0.0.1 Pokémon Dex Data'!V$3:V951,MATCH($E42,'0.0.1 Pokémon Dex Data'!$B$3:$B951,0)),0)</f>
        <v>172</v>
      </c>
      <c r="M42" s="260" t="n">
        <f aca="false" t="array" ref="M42:M42">INDEX('0.0.1 Pokémon Dex Data'!$J$3:$J951,MATCH(E42,'0.0.1 Pokémon Dex Data'!$B$3:$B951,0))</f>
        <v>0</v>
      </c>
      <c r="O42" s="490"/>
      <c r="Q42" s="367" t="n">
        <f aca="false">IF('Reverse Search'!$F$4="All (including temporary formes)",1,IF('Reverse Search'!$F$4="Base Pokémon and permanent formes only",IF(F42&lt;=1,1,0),IF(F42=0,1,0)))</f>
        <v>1</v>
      </c>
      <c r="R42" s="0" t="n">
        <f aca="false">IF('Reverse Search'!$C$7="Disable",1,IF('Reverse Search'!$D$9="Disable",1,IF(OR('Reverse Search'!$F$9=H42,'Reverse Search'!$F$9=I42),1,0)))</f>
        <v>1</v>
      </c>
      <c r="S42" s="0" t="n">
        <f aca="false">IF('Reverse Search'!$C$7="Disable",1,IF('Reverse Search'!$D$10="Disable",1,IF(OR('Reverse Search'!$F$10=H42,'Reverse Search'!$F$10=I42),1,0)))</f>
        <v>1</v>
      </c>
      <c r="T42" s="0" t="n">
        <f aca="false">INDEX($B$4:$B$22,MATCH(H42,$A$4:$A$22,0))</f>
        <v>1</v>
      </c>
      <c r="U42" s="0" t="e">
        <f aca="false">IF(ISBLANK(I42),1,INDEX($B$4:$B$22,MATCH(I42,$A$4:$A$22,0)))</f>
        <v>#N/A</v>
      </c>
      <c r="V42" s="367" t="n">
        <f aca="false">IF('Reverse Search'!$C$7="Disable",1,IF('Reverse Search'!$D$11="Disable",1,IF('Reverse Search'!$E$11="Neutral to:",IF(ROUND(T42*U42,2)&lt;=1,1,0),IF(ROUND(T42*U42,2)&lt;1,1,0))))</f>
        <v>1</v>
      </c>
      <c r="W42" s="0" t="n">
        <f aca="false">IF('Reverse Search'!$N$7="Disable",1,IF('Reverse Search'!$I$9="Disable",1,IF('Reverse Search'!$K$9="≥",IF(J42&gt;='Reverse Search'!$L$9,1,0),IF('Reverse Search'!$K$9="≤",IF(J42&lt;='Reverse Search'!$L$9,1,0),IF(J42='Reverse Search'!$L$9,1,0)))))</f>
        <v>1</v>
      </c>
      <c r="X42" s="0" t="n">
        <f aca="false">IF('Reverse Search'!$N$7="Disable",1,IF('Reverse Search'!$I$10="Disable",1,IF('Reverse Search'!$K$10="≥",IF(K42&gt;='Reverse Search'!$L$10,1,0),IF('Reverse Search'!$K$10="≤",IF(K42&lt;='Reverse Search'!$L$10,1,0),IF(K42='Reverse Search'!$L$10,1,0)))))</f>
        <v>1</v>
      </c>
      <c r="Y42" s="367" t="n">
        <f aca="false">IF('Reverse Search'!$N$7="Disable",1,IF('Reverse Search'!$I$11="Disable",1,IF('Reverse Search'!$K$11="≥",IF(L42&gt;='Reverse Search'!$L$11,1,0),IF('Reverse Search'!$K$11="≤",IF(L42&lt;='Reverse Search'!$L$11,1,0),IF(L42='Reverse Search'!$L$11,1,0)))))</f>
        <v>1</v>
      </c>
      <c r="Z42" s="0" t="n">
        <f aca="true">IF('Reverse Search'!$C$14="Disable",1,IF('Reverse Search'!$D$16="Disable",1,IF($C$2=3,IF($M42=0,0,COUNTIF(INDIRECT("'0.0.2 Pokémon Learnset (Core)'!$D$"&amp;MATCH($E42,'0.0.2 Pokémon Learnset (Core)'!$A$1:$A951,0)&amp;":$FK$"&amp;MATCH($E42,'0.0.2 Pokémon Learnset (Core)'!$A$1:$A951,0)),'Reverse Search'!$E$21)),IF($C$2=2,COUNTIF(INDIRECT("'0.1.1 Pokémon GO Moves'!$B$"&amp;MATCH($E42,'0.1.1 Pokémon GO Moves'!$A$1:$A951,0)&amp;":$R$"&amp;MATCH($E42,'0.1.1 Pokémon GO Moves'!$A$1:$A951,0)),'Reverse Search'!$E$21),COUNTIF(INDIRECT("'0.1.1 Pokémon GO Moves'!$B$"&amp;MATCH($E42,'0.1.1 Pokémon GO Moves'!$A$1:$A951,0)&amp;":$L$"&amp;MATCH($E42,'0.1.1 Pokémon GO Moves'!$A$1:$A951,0)),'Reverse Search'!$E$21)))))</f>
        <v>1</v>
      </c>
      <c r="AA42" s="0" t="n">
        <f aca="true">IF('Reverse Search'!$C$14="Disable",1,IF('Reverse Search'!$I$16="Disable",1,IF($D$2=3,IF($M42=0,0,COUNTIF(INDIRECT("'0.0.2 Pokémon Learnset (Core)'!$D$"&amp;MATCH($E42,'0.0.2 Pokémon Learnset (Core)'!$A$1:$A951,0)&amp;":$FK$"&amp;MATCH($E42,'0.0.2 Pokémon Learnset (Core)'!$A$1:$A951,0)),'Reverse Search'!$J$21)),IF($D$2=2,COUNTIF(INDIRECT("'0.1.1 Pokémon GO Moves'!$B$"&amp;MATCH($E42,'0.1.1 Pokémon GO Moves'!$A$1:$A951,0)&amp;":$R$"&amp;MATCH($E42,'0.1.1 Pokémon GO Moves'!$A$1:$A951,0)),'Reverse Search'!$J$21),COUNTIF(INDIRECT("'0.1.1 Pokémon GO Moves'!$B$"&amp;MATCH($E42,'0.1.1 Pokémon GO Moves'!$A$1:$A951,0)&amp;":$L$"&amp;MATCH($E42,'0.1.1 Pokémon GO Moves'!$A$1:$A951,0)),'Reverse Search'!$J$21)))))</f>
        <v>0</v>
      </c>
      <c r="AB42" s="490"/>
      <c r="AC42" s="260" t="n">
        <f aca="false">IF((Q42+R42+S42+V42+W42+X42+Y42+IF(Z42&gt;=1,1,0)+IF(AA42&gt;=1,1,0))=9,G42&amp;", ",)</f>
        <v>0</v>
      </c>
    </row>
    <row r="43" customFormat="false" ht="15.75" hidden="false" customHeight="false" outlineLevel="0" collapsed="false">
      <c r="A43" s="260"/>
      <c r="B43" s="358"/>
      <c r="C43" s="260" t="str">
        <f aca="false">IFERROR(__xludf.dummyfunction("""COMPUTED_VALUE"""),"Razor Leaf")</f>
        <v>Razor Leaf</v>
      </c>
      <c r="D43" s="358" t="str">
        <f aca="false">IFERROR(__xludf.dummyfunction("""COMPUTED_VALUE"""),"Flamethrower")</f>
        <v>Flamethrower</v>
      </c>
      <c r="E43" s="260" t="n">
        <v>42</v>
      </c>
      <c r="F43" s="260" t="n">
        <f aca="false" t="array" ref="F43:F43">INDEX('0.0.1 Pokémon Dex Data'!$H$3:$H951,MATCH(E43,'0.0.1 Pokémon Dex Data'!$B$3:$B951,0))</f>
        <v>0</v>
      </c>
      <c r="G43" s="0" t="str">
        <f aca="false" t="array" ref="G43:G43">INDEX('0.0.1 Pokémon Dex Data'!$E$3:$E951,MATCH(E43,'0.0.1 Pokémon Dex Data'!$B$3:$B951,0))</f>
        <v>Nidoqueen</v>
      </c>
      <c r="H43" s="0" t="str">
        <f aca="false" t="array" ref="H43:H43">INDEX('0.0.1 Pokémon Dex Data'!$Q$3:$Q951,MATCH(E43,'0.0.1 Pokémon Dex Data'!$B$3:$B951,0))</f>
        <v>Poison</v>
      </c>
      <c r="I43" s="0" t="str">
        <f aca="false" t="array" ref="I43:I43">INDEX('0.0.1 Pokémon Dex Data'!$R$3:$R951,MATCH(E43,'0.0.1 Pokémon Dex Data'!$B$3:$B951,0))</f>
        <v>Ground</v>
      </c>
      <c r="J43" s="260" t="n">
        <f aca="false" t="array" ref="J43:J43">ROUND(INDEX('0.0.1 Pokémon Dex Data'!$S$3:$S951,MATCH($E43,'0.0.1 Pokémon Dex Data'!$B$3:$B951,0))*INDEX('0.0.1 Pokémon Dex Data'!T$3:T951,MATCH($E43,'0.0.1 Pokémon Dex Data'!$B$3:$B951,0)),0)</f>
        <v>180</v>
      </c>
      <c r="K43" s="260" t="n">
        <f aca="false" t="array" ref="K43:K43">ROUND(INDEX('0.0.1 Pokémon Dex Data'!$S$3:$S951,MATCH($E43,'0.0.1 Pokémon Dex Data'!$B$3:$B951,0))*INDEX('0.0.1 Pokémon Dex Data'!U$3:U951,MATCH($E43,'0.0.1 Pokémon Dex Data'!$B$3:$B951,0)),0)</f>
        <v>173</v>
      </c>
      <c r="L43" s="260" t="n">
        <f aca="false" t="array" ref="L43:L43">ROUND(INDEX('0.0.1 Pokémon Dex Data'!$S$3:$S951,MATCH($E43,'0.0.1 Pokémon Dex Data'!$B$3:$B951,0))*INDEX('0.0.1 Pokémon Dex Data'!V$3:V951,MATCH($E43,'0.0.1 Pokémon Dex Data'!$B$3:$B951,0)),0)</f>
        <v>207</v>
      </c>
      <c r="M43" s="260" t="n">
        <f aca="false" t="array" ref="M43:M43">INDEX('0.0.1 Pokémon Dex Data'!$J$3:$J951,MATCH(E43,'0.0.1 Pokémon Dex Data'!$B$3:$B951,0))</f>
        <v>1</v>
      </c>
      <c r="O43" s="490"/>
      <c r="Q43" s="367" t="n">
        <f aca="false">IF('Reverse Search'!$F$4="All (including temporary formes)",1,IF('Reverse Search'!$F$4="Base Pokémon and permanent formes only",IF(F43&lt;=1,1,0),IF(F43=0,1,0)))</f>
        <v>1</v>
      </c>
      <c r="R43" s="0" t="n">
        <f aca="false">IF('Reverse Search'!$C$7="Disable",1,IF('Reverse Search'!$D$9="Disable",1,IF(OR('Reverse Search'!$F$9=H43,'Reverse Search'!$F$9=I43),1,0)))</f>
        <v>1</v>
      </c>
      <c r="S43" s="0" t="n">
        <f aca="false">IF('Reverse Search'!$C$7="Disable",1,IF('Reverse Search'!$D$10="Disable",1,IF(OR('Reverse Search'!$F$10=H43,'Reverse Search'!$F$10=I43),1,0)))</f>
        <v>1</v>
      </c>
      <c r="T43" s="0" t="n">
        <f aca="false">INDEX($B$4:$B$22,MATCH(H43,$A$4:$A$22,0))</f>
        <v>1</v>
      </c>
      <c r="U43" s="0" t="n">
        <f aca="false">IF(ISBLANK(I43),1,INDEX($B$4:$B$22,MATCH(I43,$A$4:$A$22,0)))</f>
        <v>1</v>
      </c>
      <c r="V43" s="367" t="n">
        <f aca="false">IF('Reverse Search'!$C$7="Disable",1,IF('Reverse Search'!$D$11="Disable",1,IF('Reverse Search'!$E$11="Neutral to:",IF(ROUND(T43*U43,2)&lt;=1,1,0),IF(ROUND(T43*U43,2)&lt;1,1,0))))</f>
        <v>1</v>
      </c>
      <c r="W43" s="0" t="n">
        <f aca="false">IF('Reverse Search'!$N$7="Disable",1,IF('Reverse Search'!$I$9="Disable",1,IF('Reverse Search'!$K$9="≥",IF(J43&gt;='Reverse Search'!$L$9,1,0),IF('Reverse Search'!$K$9="≤",IF(J43&lt;='Reverse Search'!$L$9,1,0),IF(J43='Reverse Search'!$L$9,1,0)))))</f>
        <v>1</v>
      </c>
      <c r="X43" s="0" t="n">
        <f aca="false">IF('Reverse Search'!$N$7="Disable",1,IF('Reverse Search'!$I$10="Disable",1,IF('Reverse Search'!$K$10="≥",IF(K43&gt;='Reverse Search'!$L$10,1,0),IF('Reverse Search'!$K$10="≤",IF(K43&lt;='Reverse Search'!$L$10,1,0),IF(K43='Reverse Search'!$L$10,1,0)))))</f>
        <v>1</v>
      </c>
      <c r="Y43" s="367" t="n">
        <f aca="false">IF('Reverse Search'!$N$7="Disable",1,IF('Reverse Search'!$I$11="Disable",1,IF('Reverse Search'!$K$11="≥",IF(L43&gt;='Reverse Search'!$L$11,1,0),IF('Reverse Search'!$K$11="≤",IF(L43&lt;='Reverse Search'!$L$11,1,0),IF(L43='Reverse Search'!$L$11,1,0)))))</f>
        <v>1</v>
      </c>
      <c r="Z43" s="0" t="n">
        <f aca="true">IF('Reverse Search'!$C$14="Disable",1,IF('Reverse Search'!$D$16="Disable",1,IF($C$2=3,IF($M43=0,0,COUNTIF(INDIRECT("'0.0.2 Pokémon Learnset (Core)'!$D$"&amp;MATCH($E43,'0.0.2 Pokémon Learnset (Core)'!$A$1:$A951,0)&amp;":$FK$"&amp;MATCH($E43,'0.0.2 Pokémon Learnset (Core)'!$A$1:$A951,0)),'Reverse Search'!$E$21)),IF($C$2=2,COUNTIF(INDIRECT("'0.1.1 Pokémon GO Moves'!$B$"&amp;MATCH($E43,'0.1.1 Pokémon GO Moves'!$A$1:$A951,0)&amp;":$R$"&amp;MATCH($E43,'0.1.1 Pokémon GO Moves'!$A$1:$A951,0)),'Reverse Search'!$E$21),COUNTIF(INDIRECT("'0.1.1 Pokémon GO Moves'!$B$"&amp;MATCH($E43,'0.1.1 Pokémon GO Moves'!$A$1:$A951,0)&amp;":$L$"&amp;MATCH($E43,'0.1.1 Pokémon GO Moves'!$A$1:$A951,0)),'Reverse Search'!$E$21)))))</f>
        <v>1</v>
      </c>
      <c r="AA43" s="0" t="n">
        <f aca="true">IF('Reverse Search'!$C$14="Disable",1,IF('Reverse Search'!$I$16="Disable",1,IF($D$2=3,IF($M43=0,0,COUNTIF(INDIRECT("'0.0.2 Pokémon Learnset (Core)'!$D$"&amp;MATCH($E43,'0.0.2 Pokémon Learnset (Core)'!$A$1:$A951,0)&amp;":$FK$"&amp;MATCH($E43,'0.0.2 Pokémon Learnset (Core)'!$A$1:$A951,0)),'Reverse Search'!$J$21)),IF($D$2=2,COUNTIF(INDIRECT("'0.1.1 Pokémon GO Moves'!$B$"&amp;MATCH($E43,'0.1.1 Pokémon GO Moves'!$A$1:$A951,0)&amp;":$R$"&amp;MATCH($E43,'0.1.1 Pokémon GO Moves'!$A$1:$A951,0)),'Reverse Search'!$J$21),COUNTIF(INDIRECT("'0.1.1 Pokémon GO Moves'!$B$"&amp;MATCH($E43,'0.1.1 Pokémon GO Moves'!$A$1:$A951,0)&amp;":$L$"&amp;MATCH($E43,'0.1.1 Pokémon GO Moves'!$A$1:$A951,0)),'Reverse Search'!$J$21)))))</f>
        <v>0</v>
      </c>
      <c r="AB43" s="490"/>
      <c r="AC43" s="260" t="n">
        <f aca="false">IF((Q43+R43+S43+V43+W43+X43+Y43+IF(Z43&gt;=1,1,0)+IF(AA43&gt;=1,1,0))=9,G43&amp;", ",)</f>
        <v>0</v>
      </c>
    </row>
    <row r="44" customFormat="false" ht="15.75" hidden="false" customHeight="false" outlineLevel="0" collapsed="false">
      <c r="A44" s="260"/>
      <c r="B44" s="358"/>
      <c r="C44" s="260" t="str">
        <f aca="false">IFERROR(__xludf.dummyfunction("""COMPUTED_VALUE"""),"Rock Smash")</f>
        <v>Rock Smash</v>
      </c>
      <c r="D44" s="358" t="str">
        <f aca="false">IFERROR(__xludf.dummyfunction("""COMPUTED_VALUE"""),"Flash Cannon")</f>
        <v>Flash Cannon</v>
      </c>
      <c r="E44" s="260" t="n">
        <v>43</v>
      </c>
      <c r="F44" s="260" t="n">
        <f aca="false" t="array" ref="F44:F44">INDEX('0.0.1 Pokémon Dex Data'!$H$3:$H951,MATCH(E44,'0.0.1 Pokémon Dex Data'!$B$3:$B951,0))</f>
        <v>0</v>
      </c>
      <c r="G44" s="0" t="str">
        <f aca="false" t="array" ref="G44:G44">INDEX('0.0.1 Pokémon Dex Data'!$E$3:$E951,MATCH(E44,'0.0.1 Pokémon Dex Data'!$B$3:$B951,0))</f>
        <v>Nidoran♂</v>
      </c>
      <c r="H44" s="0" t="str">
        <f aca="false" t="array" ref="H44:H44">INDEX('0.0.1 Pokémon Dex Data'!$Q$3:$Q951,MATCH(E44,'0.0.1 Pokémon Dex Data'!$B$3:$B951,0))</f>
        <v>Poison</v>
      </c>
      <c r="I44" s="0" t="n">
        <f aca="false">INDEX('0.0.1 Pokémon Dex Data'!$R$3:$R951,MATCH(E44,'0.0.1 Pokémon Dex Data'!$B$3:$B951,0))</f>
        <v>0</v>
      </c>
      <c r="J44" s="260" t="n">
        <f aca="false" t="array" ref="J44:J44">ROUND(INDEX('0.0.1 Pokémon Dex Data'!$S$3:$S951,MATCH($E44,'0.0.1 Pokémon Dex Data'!$B$3:$B951,0))*INDEX('0.0.1 Pokémon Dex Data'!T$3:T951,MATCH($E44,'0.0.1 Pokémon Dex Data'!$B$3:$B951,0)),0)</f>
        <v>105</v>
      </c>
      <c r="K44" s="260" t="n">
        <f aca="false" t="array" ref="K44:K44">ROUND(INDEX('0.0.1 Pokémon Dex Data'!$S$3:$S951,MATCH($E44,'0.0.1 Pokémon Dex Data'!$B$3:$B951,0))*INDEX('0.0.1 Pokémon Dex Data'!U$3:U951,MATCH($E44,'0.0.1 Pokémon Dex Data'!$B$3:$B951,0)),0)</f>
        <v>76</v>
      </c>
      <c r="L44" s="260" t="n">
        <f aca="false" t="array" ref="L44:L44">ROUND(INDEX('0.0.1 Pokémon Dex Data'!$S$3:$S951,MATCH($E44,'0.0.1 Pokémon Dex Data'!$B$3:$B951,0))*INDEX('0.0.1 Pokémon Dex Data'!V$3:V951,MATCH($E44,'0.0.1 Pokémon Dex Data'!$B$3:$B951,0)),0)</f>
        <v>130</v>
      </c>
      <c r="M44" s="260" t="n">
        <f aca="false" t="array" ref="M44:M44">INDEX('0.0.1 Pokémon Dex Data'!$J$3:$J951,MATCH(E44,'0.0.1 Pokémon Dex Data'!$B$3:$B951,0))</f>
        <v>0</v>
      </c>
      <c r="O44" s="490"/>
      <c r="Q44" s="367" t="n">
        <f aca="false">IF('Reverse Search'!$F$4="All (including temporary formes)",1,IF('Reverse Search'!$F$4="Base Pokémon and permanent formes only",IF(F44&lt;=1,1,0),IF(F44=0,1,0)))</f>
        <v>1</v>
      </c>
      <c r="R44" s="0" t="n">
        <f aca="false">IF('Reverse Search'!$C$7="Disable",1,IF('Reverse Search'!$D$9="Disable",1,IF(OR('Reverse Search'!$F$9=H44,'Reverse Search'!$F$9=I44),1,0)))</f>
        <v>1</v>
      </c>
      <c r="S44" s="0" t="n">
        <f aca="false">IF('Reverse Search'!$C$7="Disable",1,IF('Reverse Search'!$D$10="Disable",1,IF(OR('Reverse Search'!$F$10=H44,'Reverse Search'!$F$10=I44),1,0)))</f>
        <v>1</v>
      </c>
      <c r="T44" s="0" t="n">
        <f aca="false">INDEX($B$4:$B$22,MATCH(H44,$A$4:$A$22,0))</f>
        <v>1</v>
      </c>
      <c r="U44" s="0" t="e">
        <f aca="false">IF(ISBLANK(I44),1,INDEX($B$4:$B$22,MATCH(I44,$A$4:$A$22,0)))</f>
        <v>#N/A</v>
      </c>
      <c r="V44" s="367" t="n">
        <f aca="false">IF('Reverse Search'!$C$7="Disable",1,IF('Reverse Search'!$D$11="Disable",1,IF('Reverse Search'!$E$11="Neutral to:",IF(ROUND(T44*U44,2)&lt;=1,1,0),IF(ROUND(T44*U44,2)&lt;1,1,0))))</f>
        <v>1</v>
      </c>
      <c r="W44" s="0" t="n">
        <f aca="false">IF('Reverse Search'!$N$7="Disable",1,IF('Reverse Search'!$I$9="Disable",1,IF('Reverse Search'!$K$9="≥",IF(J44&gt;='Reverse Search'!$L$9,1,0),IF('Reverse Search'!$K$9="≤",IF(J44&lt;='Reverse Search'!$L$9,1,0),IF(J44='Reverse Search'!$L$9,1,0)))))</f>
        <v>1</v>
      </c>
      <c r="X44" s="0" t="n">
        <f aca="false">IF('Reverse Search'!$N$7="Disable",1,IF('Reverse Search'!$I$10="Disable",1,IF('Reverse Search'!$K$10="≥",IF(K44&gt;='Reverse Search'!$L$10,1,0),IF('Reverse Search'!$K$10="≤",IF(K44&lt;='Reverse Search'!$L$10,1,0),IF(K44='Reverse Search'!$L$10,1,0)))))</f>
        <v>1</v>
      </c>
      <c r="Y44" s="367" t="n">
        <f aca="false">IF('Reverse Search'!$N$7="Disable",1,IF('Reverse Search'!$I$11="Disable",1,IF('Reverse Search'!$K$11="≥",IF(L44&gt;='Reverse Search'!$L$11,1,0),IF('Reverse Search'!$K$11="≤",IF(L44&lt;='Reverse Search'!$L$11,1,0),IF(L44='Reverse Search'!$L$11,1,0)))))</f>
        <v>1</v>
      </c>
      <c r="Z44" s="0" t="n">
        <f aca="true">IF('Reverse Search'!$C$14="Disable",1,IF('Reverse Search'!$D$16="Disable",1,IF($C$2=3,IF($M44=0,0,COUNTIF(INDIRECT("'0.0.2 Pokémon Learnset (Core)'!$D$"&amp;MATCH($E44,'0.0.2 Pokémon Learnset (Core)'!$A$1:$A951,0)&amp;":$FK$"&amp;MATCH($E44,'0.0.2 Pokémon Learnset (Core)'!$A$1:$A951,0)),'Reverse Search'!$E$21)),IF($C$2=2,COUNTIF(INDIRECT("'0.1.1 Pokémon GO Moves'!$B$"&amp;MATCH($E44,'0.1.1 Pokémon GO Moves'!$A$1:$A951,0)&amp;":$R$"&amp;MATCH($E44,'0.1.1 Pokémon GO Moves'!$A$1:$A951,0)),'Reverse Search'!$E$21),COUNTIF(INDIRECT("'0.1.1 Pokémon GO Moves'!$B$"&amp;MATCH($E44,'0.1.1 Pokémon GO Moves'!$A$1:$A951,0)&amp;":$L$"&amp;MATCH($E44,'0.1.1 Pokémon GO Moves'!$A$1:$A951,0)),'Reverse Search'!$E$21)))))</f>
        <v>1</v>
      </c>
      <c r="AA44" s="0" t="n">
        <f aca="true">IF('Reverse Search'!$C$14="Disable",1,IF('Reverse Search'!$I$16="Disable",1,IF($D$2=3,IF($M44=0,0,COUNTIF(INDIRECT("'0.0.2 Pokémon Learnset (Core)'!$D$"&amp;MATCH($E44,'0.0.2 Pokémon Learnset (Core)'!$A$1:$A951,0)&amp;":$FK$"&amp;MATCH($E44,'0.0.2 Pokémon Learnset (Core)'!$A$1:$A951,0)),'Reverse Search'!$J$21)),IF($D$2=2,COUNTIF(INDIRECT("'0.1.1 Pokémon GO Moves'!$B$"&amp;MATCH($E44,'0.1.1 Pokémon GO Moves'!$A$1:$A951,0)&amp;":$R$"&amp;MATCH($E44,'0.1.1 Pokémon GO Moves'!$A$1:$A951,0)),'Reverse Search'!$J$21),COUNTIF(INDIRECT("'0.1.1 Pokémon GO Moves'!$B$"&amp;MATCH($E44,'0.1.1 Pokémon GO Moves'!$A$1:$A951,0)&amp;":$L$"&amp;MATCH($E44,'0.1.1 Pokémon GO Moves'!$A$1:$A951,0)),'Reverse Search'!$J$21)))))</f>
        <v>0</v>
      </c>
      <c r="AB44" s="490"/>
      <c r="AC44" s="260" t="n">
        <f aca="false">IF((Q44+R44+S44+V44+W44+X44+Y44+IF(Z44&gt;=1,1,0)+IF(AA44&gt;=1,1,0))=9,G44&amp;", ",)</f>
        <v>0</v>
      </c>
    </row>
    <row r="45" customFormat="false" ht="15.75" hidden="false" customHeight="false" outlineLevel="0" collapsed="false">
      <c r="A45" s="260"/>
      <c r="B45" s="358"/>
      <c r="C45" s="260" t="str">
        <f aca="false">IFERROR(__xludf.dummyfunction("""COMPUTED_VALUE"""),"Rock Throw")</f>
        <v>Rock Throw</v>
      </c>
      <c r="D45" s="358" t="str">
        <f aca="false">IFERROR(__xludf.dummyfunction("""COMPUTED_VALUE"""),"Focus Blast")</f>
        <v>Focus Blast</v>
      </c>
      <c r="E45" s="260" t="n">
        <v>44</v>
      </c>
      <c r="F45" s="260" t="n">
        <f aca="false" t="array" ref="F45:F45">INDEX('0.0.1 Pokémon Dex Data'!$H$3:$H951,MATCH(E45,'0.0.1 Pokémon Dex Data'!$B$3:$B951,0))</f>
        <v>0</v>
      </c>
      <c r="G45" s="0" t="str">
        <f aca="false" t="array" ref="G45:G45">INDEX('0.0.1 Pokémon Dex Data'!$E$3:$E951,MATCH(E45,'0.0.1 Pokémon Dex Data'!$B$3:$B951,0))</f>
        <v>Nidorino</v>
      </c>
      <c r="H45" s="0" t="str">
        <f aca="false" t="array" ref="H45:H45">INDEX('0.0.1 Pokémon Dex Data'!$Q$3:$Q951,MATCH(E45,'0.0.1 Pokémon Dex Data'!$B$3:$B951,0))</f>
        <v>Poison</v>
      </c>
      <c r="I45" s="0" t="n">
        <f aca="false">INDEX('0.0.1 Pokémon Dex Data'!$R$3:$R951,MATCH(E45,'0.0.1 Pokémon Dex Data'!$B$3:$B951,0))</f>
        <v>0</v>
      </c>
      <c r="J45" s="260" t="n">
        <f aca="false" t="array" ref="J45:J45">ROUND(INDEX('0.0.1 Pokémon Dex Data'!$S$3:$S951,MATCH($E45,'0.0.1 Pokémon Dex Data'!$B$3:$B951,0))*INDEX('0.0.1 Pokémon Dex Data'!T$3:T951,MATCH($E45,'0.0.1 Pokémon Dex Data'!$B$3:$B951,0)),0)</f>
        <v>137</v>
      </c>
      <c r="K45" s="260" t="n">
        <f aca="false" t="array" ref="K45:K45">ROUND(INDEX('0.0.1 Pokémon Dex Data'!$S$3:$S951,MATCH($E45,'0.0.1 Pokémon Dex Data'!$B$3:$B951,0))*INDEX('0.0.1 Pokémon Dex Data'!U$3:U951,MATCH($E45,'0.0.1 Pokémon Dex Data'!$B$3:$B951,0)),0)</f>
        <v>111</v>
      </c>
      <c r="L45" s="260" t="n">
        <f aca="false" t="array" ref="L45:L45">ROUND(INDEX('0.0.1 Pokémon Dex Data'!$S$3:$S951,MATCH($E45,'0.0.1 Pokémon Dex Data'!$B$3:$B951,0))*INDEX('0.0.1 Pokémon Dex Data'!V$3:V951,MATCH($E45,'0.0.1 Pokémon Dex Data'!$B$3:$B951,0)),0)</f>
        <v>156</v>
      </c>
      <c r="M45" s="260" t="n">
        <f aca="false" t="array" ref="M45:M45">INDEX('0.0.1 Pokémon Dex Data'!$J$3:$J951,MATCH(E45,'0.0.1 Pokémon Dex Data'!$B$3:$B951,0))</f>
        <v>0</v>
      </c>
      <c r="O45" s="490"/>
      <c r="Q45" s="367" t="n">
        <f aca="false">IF('Reverse Search'!$F$4="All (including temporary formes)",1,IF('Reverse Search'!$F$4="Base Pokémon and permanent formes only",IF(F45&lt;=1,1,0),IF(F45=0,1,0)))</f>
        <v>1</v>
      </c>
      <c r="R45" s="0" t="n">
        <f aca="false">IF('Reverse Search'!$C$7="Disable",1,IF('Reverse Search'!$D$9="Disable",1,IF(OR('Reverse Search'!$F$9=H45,'Reverse Search'!$F$9=I45),1,0)))</f>
        <v>1</v>
      </c>
      <c r="S45" s="0" t="n">
        <f aca="false">IF('Reverse Search'!$C$7="Disable",1,IF('Reverse Search'!$D$10="Disable",1,IF(OR('Reverse Search'!$F$10=H45,'Reverse Search'!$F$10=I45),1,0)))</f>
        <v>1</v>
      </c>
      <c r="T45" s="0" t="n">
        <f aca="false">INDEX($B$4:$B$22,MATCH(H45,$A$4:$A$22,0))</f>
        <v>1</v>
      </c>
      <c r="U45" s="0" t="e">
        <f aca="false">IF(ISBLANK(I45),1,INDEX($B$4:$B$22,MATCH(I45,$A$4:$A$22,0)))</f>
        <v>#N/A</v>
      </c>
      <c r="V45" s="367" t="n">
        <f aca="false">IF('Reverse Search'!$C$7="Disable",1,IF('Reverse Search'!$D$11="Disable",1,IF('Reverse Search'!$E$11="Neutral to:",IF(ROUND(T45*U45,2)&lt;=1,1,0),IF(ROUND(T45*U45,2)&lt;1,1,0))))</f>
        <v>1</v>
      </c>
      <c r="W45" s="0" t="n">
        <f aca="false">IF('Reverse Search'!$N$7="Disable",1,IF('Reverse Search'!$I$9="Disable",1,IF('Reverse Search'!$K$9="≥",IF(J45&gt;='Reverse Search'!$L$9,1,0),IF('Reverse Search'!$K$9="≤",IF(J45&lt;='Reverse Search'!$L$9,1,0),IF(J45='Reverse Search'!$L$9,1,0)))))</f>
        <v>1</v>
      </c>
      <c r="X45" s="0" t="n">
        <f aca="false">IF('Reverse Search'!$N$7="Disable",1,IF('Reverse Search'!$I$10="Disable",1,IF('Reverse Search'!$K$10="≥",IF(K45&gt;='Reverse Search'!$L$10,1,0),IF('Reverse Search'!$K$10="≤",IF(K45&lt;='Reverse Search'!$L$10,1,0),IF(K45='Reverse Search'!$L$10,1,0)))))</f>
        <v>1</v>
      </c>
      <c r="Y45" s="367" t="n">
        <f aca="false">IF('Reverse Search'!$N$7="Disable",1,IF('Reverse Search'!$I$11="Disable",1,IF('Reverse Search'!$K$11="≥",IF(L45&gt;='Reverse Search'!$L$11,1,0),IF('Reverse Search'!$K$11="≤",IF(L45&lt;='Reverse Search'!$L$11,1,0),IF(L45='Reverse Search'!$L$11,1,0)))))</f>
        <v>1</v>
      </c>
      <c r="Z45" s="0" t="n">
        <f aca="true">IF('Reverse Search'!$C$14="Disable",1,IF('Reverse Search'!$D$16="Disable",1,IF($C$2=3,IF($M45=0,0,COUNTIF(INDIRECT("'0.0.2 Pokémon Learnset (Core)'!$D$"&amp;MATCH($E45,'0.0.2 Pokémon Learnset (Core)'!$A$1:$A951,0)&amp;":$FK$"&amp;MATCH($E45,'0.0.2 Pokémon Learnset (Core)'!$A$1:$A951,0)),'Reverse Search'!$E$21)),IF($C$2=2,COUNTIF(INDIRECT("'0.1.1 Pokémon GO Moves'!$B$"&amp;MATCH($E45,'0.1.1 Pokémon GO Moves'!$A$1:$A951,0)&amp;":$R$"&amp;MATCH($E45,'0.1.1 Pokémon GO Moves'!$A$1:$A951,0)),'Reverse Search'!$E$21),COUNTIF(INDIRECT("'0.1.1 Pokémon GO Moves'!$B$"&amp;MATCH($E45,'0.1.1 Pokémon GO Moves'!$A$1:$A951,0)&amp;":$L$"&amp;MATCH($E45,'0.1.1 Pokémon GO Moves'!$A$1:$A951,0)),'Reverse Search'!$E$21)))))</f>
        <v>1</v>
      </c>
      <c r="AA45" s="0" t="n">
        <f aca="true">IF('Reverse Search'!$C$14="Disable",1,IF('Reverse Search'!$I$16="Disable",1,IF($D$2=3,IF($M45=0,0,COUNTIF(INDIRECT("'0.0.2 Pokémon Learnset (Core)'!$D$"&amp;MATCH($E45,'0.0.2 Pokémon Learnset (Core)'!$A$1:$A951,0)&amp;":$FK$"&amp;MATCH($E45,'0.0.2 Pokémon Learnset (Core)'!$A$1:$A951,0)),'Reverse Search'!$J$21)),IF($D$2=2,COUNTIF(INDIRECT("'0.1.1 Pokémon GO Moves'!$B$"&amp;MATCH($E45,'0.1.1 Pokémon GO Moves'!$A$1:$A951,0)&amp;":$R$"&amp;MATCH($E45,'0.1.1 Pokémon GO Moves'!$A$1:$A951,0)),'Reverse Search'!$J$21),COUNTIF(INDIRECT("'0.1.1 Pokémon GO Moves'!$B$"&amp;MATCH($E45,'0.1.1 Pokémon GO Moves'!$A$1:$A951,0)&amp;":$L$"&amp;MATCH($E45,'0.1.1 Pokémon GO Moves'!$A$1:$A951,0)),'Reverse Search'!$J$21)))))</f>
        <v>0</v>
      </c>
      <c r="AB45" s="490"/>
      <c r="AC45" s="260" t="n">
        <f aca="false">IF((Q45+R45+S45+V45+W45+X45+Y45+IF(Z45&gt;=1,1,0)+IF(AA45&gt;=1,1,0))=9,G45&amp;", ",)</f>
        <v>0</v>
      </c>
    </row>
    <row r="46" customFormat="false" ht="15.75" hidden="false" customHeight="false" outlineLevel="0" collapsed="false">
      <c r="A46" s="260"/>
      <c r="B46" s="358"/>
      <c r="C46" s="260" t="str">
        <f aca="false">IFERROR(__xludf.dummyfunction("""COMPUTED_VALUE"""),"Scratch")</f>
        <v>Scratch</v>
      </c>
      <c r="D46" s="358" t="str">
        <f aca="false">IFERROR(__xludf.dummyfunction("""COMPUTED_VALUE"""),"Foul Play")</f>
        <v>Foul Play</v>
      </c>
      <c r="E46" s="260" t="n">
        <v>45</v>
      </c>
      <c r="F46" s="260" t="n">
        <f aca="false" t="array" ref="F46:F46">INDEX('0.0.1 Pokémon Dex Data'!$H$3:$H951,MATCH(E46,'0.0.1 Pokémon Dex Data'!$B$3:$B951,0))</f>
        <v>0</v>
      </c>
      <c r="G46" s="0" t="str">
        <f aca="false" t="array" ref="G46:G46">INDEX('0.0.1 Pokémon Dex Data'!$E$3:$E951,MATCH(E46,'0.0.1 Pokémon Dex Data'!$B$3:$B951,0))</f>
        <v>Nidoking</v>
      </c>
      <c r="H46" s="0" t="str">
        <f aca="false" t="array" ref="H46:H46">INDEX('0.0.1 Pokémon Dex Data'!$Q$3:$Q951,MATCH(E46,'0.0.1 Pokémon Dex Data'!$B$3:$B951,0))</f>
        <v>Poison</v>
      </c>
      <c r="I46" s="0" t="str">
        <f aca="false" t="array" ref="I46:I46">INDEX('0.0.1 Pokémon Dex Data'!$R$3:$R951,MATCH(E46,'0.0.1 Pokémon Dex Data'!$B$3:$B951,0))</f>
        <v>Ground</v>
      </c>
      <c r="J46" s="260" t="n">
        <f aca="false" t="array" ref="J46:J46">ROUND(INDEX('0.0.1 Pokémon Dex Data'!$S$3:$S951,MATCH($E46,'0.0.1 Pokémon Dex Data'!$B$3:$B951,0))*INDEX('0.0.1 Pokémon Dex Data'!T$3:T951,MATCH($E46,'0.0.1 Pokémon Dex Data'!$B$3:$B951,0)),0)</f>
        <v>204</v>
      </c>
      <c r="K46" s="260" t="n">
        <f aca="false" t="array" ref="K46:K46">ROUND(INDEX('0.0.1 Pokémon Dex Data'!$S$3:$S951,MATCH($E46,'0.0.1 Pokémon Dex Data'!$B$3:$B951,0))*INDEX('0.0.1 Pokémon Dex Data'!U$3:U951,MATCH($E46,'0.0.1 Pokémon Dex Data'!$B$3:$B951,0)),0)</f>
        <v>156</v>
      </c>
      <c r="L46" s="260" t="n">
        <f aca="false" t="array" ref="L46:L46">ROUND(INDEX('0.0.1 Pokémon Dex Data'!$S$3:$S951,MATCH($E46,'0.0.1 Pokémon Dex Data'!$B$3:$B951,0))*INDEX('0.0.1 Pokémon Dex Data'!V$3:V951,MATCH($E46,'0.0.1 Pokémon Dex Data'!$B$3:$B951,0)),0)</f>
        <v>191</v>
      </c>
      <c r="M46" s="260" t="n">
        <f aca="false" t="array" ref="M46:M46">INDEX('0.0.1 Pokémon Dex Data'!$J$3:$J951,MATCH(E46,'0.0.1 Pokémon Dex Data'!$B$3:$B951,0))</f>
        <v>1</v>
      </c>
      <c r="O46" s="490"/>
      <c r="Q46" s="367" t="n">
        <f aca="false">IF('Reverse Search'!$F$4="All (including temporary formes)",1,IF('Reverse Search'!$F$4="Base Pokémon and permanent formes only",IF(F46&lt;=1,1,0),IF(F46=0,1,0)))</f>
        <v>1</v>
      </c>
      <c r="R46" s="0" t="n">
        <f aca="false">IF('Reverse Search'!$C$7="Disable",1,IF('Reverse Search'!$D$9="Disable",1,IF(OR('Reverse Search'!$F$9=H46,'Reverse Search'!$F$9=I46),1,0)))</f>
        <v>1</v>
      </c>
      <c r="S46" s="0" t="n">
        <f aca="false">IF('Reverse Search'!$C$7="Disable",1,IF('Reverse Search'!$D$10="Disable",1,IF(OR('Reverse Search'!$F$10=H46,'Reverse Search'!$F$10=I46),1,0)))</f>
        <v>1</v>
      </c>
      <c r="T46" s="0" t="n">
        <f aca="false">INDEX($B$4:$B$22,MATCH(H46,$A$4:$A$22,0))</f>
        <v>1</v>
      </c>
      <c r="U46" s="0" t="n">
        <f aca="false">IF(ISBLANK(I46),1,INDEX($B$4:$B$22,MATCH(I46,$A$4:$A$22,0)))</f>
        <v>1</v>
      </c>
      <c r="V46" s="367" t="n">
        <f aca="false">IF('Reverse Search'!$C$7="Disable",1,IF('Reverse Search'!$D$11="Disable",1,IF('Reverse Search'!$E$11="Neutral to:",IF(ROUND(T46*U46,2)&lt;=1,1,0),IF(ROUND(T46*U46,2)&lt;1,1,0))))</f>
        <v>1</v>
      </c>
      <c r="W46" s="0" t="n">
        <f aca="false">IF('Reverse Search'!$N$7="Disable",1,IF('Reverse Search'!$I$9="Disable",1,IF('Reverse Search'!$K$9="≥",IF(J46&gt;='Reverse Search'!$L$9,1,0),IF('Reverse Search'!$K$9="≤",IF(J46&lt;='Reverse Search'!$L$9,1,0),IF(J46='Reverse Search'!$L$9,1,0)))))</f>
        <v>1</v>
      </c>
      <c r="X46" s="0" t="n">
        <f aca="false">IF('Reverse Search'!$N$7="Disable",1,IF('Reverse Search'!$I$10="Disable",1,IF('Reverse Search'!$K$10="≥",IF(K46&gt;='Reverse Search'!$L$10,1,0),IF('Reverse Search'!$K$10="≤",IF(K46&lt;='Reverse Search'!$L$10,1,0),IF(K46='Reverse Search'!$L$10,1,0)))))</f>
        <v>1</v>
      </c>
      <c r="Y46" s="367" t="n">
        <f aca="false">IF('Reverse Search'!$N$7="Disable",1,IF('Reverse Search'!$I$11="Disable",1,IF('Reverse Search'!$K$11="≥",IF(L46&gt;='Reverse Search'!$L$11,1,0),IF('Reverse Search'!$K$11="≤",IF(L46&lt;='Reverse Search'!$L$11,1,0),IF(L46='Reverse Search'!$L$11,1,0)))))</f>
        <v>1</v>
      </c>
      <c r="Z46" s="0" t="n">
        <f aca="true">IF('Reverse Search'!$C$14="Disable",1,IF('Reverse Search'!$D$16="Disable",1,IF($C$2=3,IF($M46=0,0,COUNTIF(INDIRECT("'0.0.2 Pokémon Learnset (Core)'!$D$"&amp;MATCH($E46,'0.0.2 Pokémon Learnset (Core)'!$A$1:$A951,0)&amp;":$FK$"&amp;MATCH($E46,'0.0.2 Pokémon Learnset (Core)'!$A$1:$A951,0)),'Reverse Search'!$E$21)),IF($C$2=2,COUNTIF(INDIRECT("'0.1.1 Pokémon GO Moves'!$B$"&amp;MATCH($E46,'0.1.1 Pokémon GO Moves'!$A$1:$A951,0)&amp;":$R$"&amp;MATCH($E46,'0.1.1 Pokémon GO Moves'!$A$1:$A951,0)),'Reverse Search'!$E$21),COUNTIF(INDIRECT("'0.1.1 Pokémon GO Moves'!$B$"&amp;MATCH($E46,'0.1.1 Pokémon GO Moves'!$A$1:$A951,0)&amp;":$L$"&amp;MATCH($E46,'0.1.1 Pokémon GO Moves'!$A$1:$A951,0)),'Reverse Search'!$E$21)))))</f>
        <v>1</v>
      </c>
      <c r="AA46" s="0" t="n">
        <f aca="true">IF('Reverse Search'!$C$14="Disable",1,IF('Reverse Search'!$I$16="Disable",1,IF($D$2=3,IF($M46=0,0,COUNTIF(INDIRECT("'0.0.2 Pokémon Learnset (Core)'!$D$"&amp;MATCH($E46,'0.0.2 Pokémon Learnset (Core)'!$A$1:$A951,0)&amp;":$FK$"&amp;MATCH($E46,'0.0.2 Pokémon Learnset (Core)'!$A$1:$A951,0)),'Reverse Search'!$J$21)),IF($D$2=2,COUNTIF(INDIRECT("'0.1.1 Pokémon GO Moves'!$B$"&amp;MATCH($E46,'0.1.1 Pokémon GO Moves'!$A$1:$A951,0)&amp;":$R$"&amp;MATCH($E46,'0.1.1 Pokémon GO Moves'!$A$1:$A951,0)),'Reverse Search'!$J$21),COUNTIF(INDIRECT("'0.1.1 Pokémon GO Moves'!$B$"&amp;MATCH($E46,'0.1.1 Pokémon GO Moves'!$A$1:$A951,0)&amp;":$L$"&amp;MATCH($E46,'0.1.1 Pokémon GO Moves'!$A$1:$A951,0)),'Reverse Search'!$J$21)))))</f>
        <v>0</v>
      </c>
      <c r="AB46" s="490"/>
      <c r="AC46" s="260" t="n">
        <f aca="false">IF((Q46+R46+S46+V46+W46+X46+Y46+IF(Z46&gt;=1,1,0)+IF(AA46&gt;=1,1,0))=9,G46&amp;", ",)</f>
        <v>0</v>
      </c>
    </row>
    <row r="47" customFormat="false" ht="15.75" hidden="false" customHeight="false" outlineLevel="0" collapsed="false">
      <c r="A47" s="260"/>
      <c r="B47" s="358"/>
      <c r="C47" s="260" t="str">
        <f aca="false">IFERROR(__xludf.dummyfunction("""COMPUTED_VALUE"""),"Shadow Claw")</f>
        <v>Shadow Claw</v>
      </c>
      <c r="D47" s="358" t="str">
        <f aca="false">IFERROR(__xludf.dummyfunction("""COMPUTED_VALUE"""),"Frenzy Plant")</f>
        <v>Frenzy Plant</v>
      </c>
      <c r="E47" s="260" t="n">
        <v>46</v>
      </c>
      <c r="F47" s="260" t="n">
        <f aca="false" t="array" ref="F47:F47">INDEX('0.0.1 Pokémon Dex Data'!$H$3:$H951,MATCH(E47,'0.0.1 Pokémon Dex Data'!$B$3:$B951,0))</f>
        <v>0</v>
      </c>
      <c r="G47" s="0" t="str">
        <f aca="false" t="array" ref="G47:G47">INDEX('0.0.1 Pokémon Dex Data'!$E$3:$E951,MATCH(E47,'0.0.1 Pokémon Dex Data'!$B$3:$B951,0))</f>
        <v>Clefairy</v>
      </c>
      <c r="H47" s="0" t="str">
        <f aca="false" t="array" ref="H47:H47">INDEX('0.0.1 Pokémon Dex Data'!$Q$3:$Q951,MATCH(E47,'0.0.1 Pokémon Dex Data'!$B$3:$B951,0))</f>
        <v>Fairy</v>
      </c>
      <c r="I47" s="0" t="n">
        <f aca="false">INDEX('0.0.1 Pokémon Dex Data'!$R$3:$R951,MATCH(E47,'0.0.1 Pokémon Dex Data'!$B$3:$B951,0))</f>
        <v>0</v>
      </c>
      <c r="J47" s="260" t="n">
        <f aca="false" t="array" ref="J47:J47">ROUND(INDEX('0.0.1 Pokémon Dex Data'!$S$3:$S951,MATCH($E47,'0.0.1 Pokémon Dex Data'!$B$3:$B951,0))*INDEX('0.0.1 Pokémon Dex Data'!T$3:T951,MATCH($E47,'0.0.1 Pokémon Dex Data'!$B$3:$B951,0)),0)</f>
        <v>107</v>
      </c>
      <c r="K47" s="260" t="n">
        <f aca="false" t="array" ref="K47:K47">ROUND(INDEX('0.0.1 Pokémon Dex Data'!$S$3:$S951,MATCH($E47,'0.0.1 Pokémon Dex Data'!$B$3:$B951,0))*INDEX('0.0.1 Pokémon Dex Data'!U$3:U951,MATCH($E47,'0.0.1 Pokémon Dex Data'!$B$3:$B951,0)),0)</f>
        <v>108</v>
      </c>
      <c r="L47" s="260" t="n">
        <f aca="false" t="array" ref="L47:L47">ROUND(INDEX('0.0.1 Pokémon Dex Data'!$S$3:$S951,MATCH($E47,'0.0.1 Pokémon Dex Data'!$B$3:$B951,0))*INDEX('0.0.1 Pokémon Dex Data'!V$3:V951,MATCH($E47,'0.0.1 Pokémon Dex Data'!$B$3:$B951,0)),0)</f>
        <v>172</v>
      </c>
      <c r="M47" s="260" t="n">
        <f aca="false" t="array" ref="M47:M47">INDEX('0.0.1 Pokémon Dex Data'!$J$3:$J951,MATCH(E47,'0.0.1 Pokémon Dex Data'!$B$3:$B951,0))</f>
        <v>0</v>
      </c>
      <c r="O47" s="490"/>
      <c r="Q47" s="367" t="n">
        <f aca="false">IF('Reverse Search'!$F$4="All (including temporary formes)",1,IF('Reverse Search'!$F$4="Base Pokémon and permanent formes only",IF(F47&lt;=1,1,0),IF(F47=0,1,0)))</f>
        <v>1</v>
      </c>
      <c r="R47" s="0" t="n">
        <f aca="false">IF('Reverse Search'!$C$7="Disable",1,IF('Reverse Search'!$D$9="Disable",1,IF(OR('Reverse Search'!$F$9=H47,'Reverse Search'!$F$9=I47),1,0)))</f>
        <v>1</v>
      </c>
      <c r="S47" s="0" t="n">
        <f aca="false">IF('Reverse Search'!$C$7="Disable",1,IF('Reverse Search'!$D$10="Disable",1,IF(OR('Reverse Search'!$F$10=H47,'Reverse Search'!$F$10=I47),1,0)))</f>
        <v>1</v>
      </c>
      <c r="T47" s="0" t="n">
        <f aca="false">INDEX($B$4:$B$22,MATCH(H47,$A$4:$A$22,0))</f>
        <v>1</v>
      </c>
      <c r="U47" s="0" t="e">
        <f aca="false">IF(ISBLANK(I47),1,INDEX($B$4:$B$22,MATCH(I47,$A$4:$A$22,0)))</f>
        <v>#N/A</v>
      </c>
      <c r="V47" s="367" t="n">
        <f aca="false">IF('Reverse Search'!$C$7="Disable",1,IF('Reverse Search'!$D$11="Disable",1,IF('Reverse Search'!$E$11="Neutral to:",IF(ROUND(T47*U47,2)&lt;=1,1,0),IF(ROUND(T47*U47,2)&lt;1,1,0))))</f>
        <v>1</v>
      </c>
      <c r="W47" s="0" t="n">
        <f aca="false">IF('Reverse Search'!$N$7="Disable",1,IF('Reverse Search'!$I$9="Disable",1,IF('Reverse Search'!$K$9="≥",IF(J47&gt;='Reverse Search'!$L$9,1,0),IF('Reverse Search'!$K$9="≤",IF(J47&lt;='Reverse Search'!$L$9,1,0),IF(J47='Reverse Search'!$L$9,1,0)))))</f>
        <v>1</v>
      </c>
      <c r="X47" s="0" t="n">
        <f aca="false">IF('Reverse Search'!$N$7="Disable",1,IF('Reverse Search'!$I$10="Disable",1,IF('Reverse Search'!$K$10="≥",IF(K47&gt;='Reverse Search'!$L$10,1,0),IF('Reverse Search'!$K$10="≤",IF(K47&lt;='Reverse Search'!$L$10,1,0),IF(K47='Reverse Search'!$L$10,1,0)))))</f>
        <v>1</v>
      </c>
      <c r="Y47" s="367" t="n">
        <f aca="false">IF('Reverse Search'!$N$7="Disable",1,IF('Reverse Search'!$I$11="Disable",1,IF('Reverse Search'!$K$11="≥",IF(L47&gt;='Reverse Search'!$L$11,1,0),IF('Reverse Search'!$K$11="≤",IF(L47&lt;='Reverse Search'!$L$11,1,0),IF(L47='Reverse Search'!$L$11,1,0)))))</f>
        <v>1</v>
      </c>
      <c r="Z47" s="0" t="n">
        <f aca="true">IF('Reverse Search'!$C$14="Disable",1,IF('Reverse Search'!$D$16="Disable",1,IF($C$2=3,IF($M47=0,0,COUNTIF(INDIRECT("'0.0.2 Pokémon Learnset (Core)'!$D$"&amp;MATCH($E47,'0.0.2 Pokémon Learnset (Core)'!$A$1:$A951,0)&amp;":$FK$"&amp;MATCH($E47,'0.0.2 Pokémon Learnset (Core)'!$A$1:$A951,0)),'Reverse Search'!$E$21)),IF($C$2=2,COUNTIF(INDIRECT("'0.1.1 Pokémon GO Moves'!$B$"&amp;MATCH($E47,'0.1.1 Pokémon GO Moves'!$A$1:$A951,0)&amp;":$R$"&amp;MATCH($E47,'0.1.1 Pokémon GO Moves'!$A$1:$A951,0)),'Reverse Search'!$E$21),COUNTIF(INDIRECT("'0.1.1 Pokémon GO Moves'!$B$"&amp;MATCH($E47,'0.1.1 Pokémon GO Moves'!$A$1:$A951,0)&amp;":$L$"&amp;MATCH($E47,'0.1.1 Pokémon GO Moves'!$A$1:$A951,0)),'Reverse Search'!$E$21)))))</f>
        <v>1</v>
      </c>
      <c r="AA47" s="0" t="n">
        <f aca="true">IF('Reverse Search'!$C$14="Disable",1,IF('Reverse Search'!$I$16="Disable",1,IF($D$2=3,IF($M47=0,0,COUNTIF(INDIRECT("'0.0.2 Pokémon Learnset (Core)'!$D$"&amp;MATCH($E47,'0.0.2 Pokémon Learnset (Core)'!$A$1:$A951,0)&amp;":$FK$"&amp;MATCH($E47,'0.0.2 Pokémon Learnset (Core)'!$A$1:$A951,0)),'Reverse Search'!$J$21)),IF($D$2=2,COUNTIF(INDIRECT("'0.1.1 Pokémon GO Moves'!$B$"&amp;MATCH($E47,'0.1.1 Pokémon GO Moves'!$A$1:$A951,0)&amp;":$R$"&amp;MATCH($E47,'0.1.1 Pokémon GO Moves'!$A$1:$A951,0)),'Reverse Search'!$J$21),COUNTIF(INDIRECT("'0.1.1 Pokémon GO Moves'!$B$"&amp;MATCH($E47,'0.1.1 Pokémon GO Moves'!$A$1:$A951,0)&amp;":$L$"&amp;MATCH($E47,'0.1.1 Pokémon GO Moves'!$A$1:$A951,0)),'Reverse Search'!$J$21)))))</f>
        <v>0</v>
      </c>
      <c r="AB47" s="490"/>
      <c r="AC47" s="260" t="n">
        <f aca="false">IF((Q47+R47+S47+V47+W47+X47+Y47+IF(Z47&gt;=1,1,0)+IF(AA47&gt;=1,1,0))=9,G47&amp;", ",)</f>
        <v>0</v>
      </c>
    </row>
    <row r="48" customFormat="false" ht="15.75" hidden="false" customHeight="false" outlineLevel="0" collapsed="false">
      <c r="A48" s="260"/>
      <c r="B48" s="358"/>
      <c r="C48" s="260" t="str">
        <f aca="false">IFERROR(__xludf.dummyfunction("""COMPUTED_VALUE"""),"Snarl")</f>
        <v>Snarl</v>
      </c>
      <c r="D48" s="358" t="str">
        <f aca="false">IFERROR(__xludf.dummyfunction("""COMPUTED_VALUE"""),"Future Sight")</f>
        <v>Future Sight</v>
      </c>
      <c r="E48" s="260" t="n">
        <v>47</v>
      </c>
      <c r="F48" s="260" t="n">
        <f aca="false" t="array" ref="F48:F48">INDEX('0.0.1 Pokémon Dex Data'!$H$3:$H951,MATCH(E48,'0.0.1 Pokémon Dex Data'!$B$3:$B951,0))</f>
        <v>0</v>
      </c>
      <c r="G48" s="0" t="str">
        <f aca="false" t="array" ref="G48:G48">INDEX('0.0.1 Pokémon Dex Data'!$E$3:$E951,MATCH(E48,'0.0.1 Pokémon Dex Data'!$B$3:$B951,0))</f>
        <v>Clefable</v>
      </c>
      <c r="H48" s="0" t="str">
        <f aca="false" t="array" ref="H48:H48">INDEX('0.0.1 Pokémon Dex Data'!$Q$3:$Q951,MATCH(E48,'0.0.1 Pokémon Dex Data'!$B$3:$B951,0))</f>
        <v>Fairy</v>
      </c>
      <c r="I48" s="0" t="n">
        <f aca="false">INDEX('0.0.1 Pokémon Dex Data'!$R$3:$R951,MATCH(E48,'0.0.1 Pokémon Dex Data'!$B$3:$B951,0))</f>
        <v>0</v>
      </c>
      <c r="J48" s="260" t="n">
        <f aca="false" t="array" ref="J48:J48">ROUND(INDEX('0.0.1 Pokémon Dex Data'!$S$3:$S951,MATCH($E48,'0.0.1 Pokémon Dex Data'!$B$3:$B951,0))*INDEX('0.0.1 Pokémon Dex Data'!T$3:T951,MATCH($E48,'0.0.1 Pokémon Dex Data'!$B$3:$B951,0)),0)</f>
        <v>178</v>
      </c>
      <c r="K48" s="260" t="n">
        <f aca="false" t="array" ref="K48:K48">ROUND(INDEX('0.0.1 Pokémon Dex Data'!$S$3:$S951,MATCH($E48,'0.0.1 Pokémon Dex Data'!$B$3:$B951,0))*INDEX('0.0.1 Pokémon Dex Data'!U$3:U951,MATCH($E48,'0.0.1 Pokémon Dex Data'!$B$3:$B951,0)),0)</f>
        <v>162</v>
      </c>
      <c r="L48" s="260" t="n">
        <f aca="false" t="array" ref="L48:L48">ROUND(INDEX('0.0.1 Pokémon Dex Data'!$S$3:$S951,MATCH($E48,'0.0.1 Pokémon Dex Data'!$B$3:$B951,0))*INDEX('0.0.1 Pokémon Dex Data'!V$3:V951,MATCH($E48,'0.0.1 Pokémon Dex Data'!$B$3:$B951,0)),0)</f>
        <v>216</v>
      </c>
      <c r="M48" s="260" t="n">
        <f aca="false" t="array" ref="M48:M48">INDEX('0.0.1 Pokémon Dex Data'!$J$3:$J951,MATCH(E48,'0.0.1 Pokémon Dex Data'!$B$3:$B951,0))</f>
        <v>1</v>
      </c>
      <c r="O48" s="490"/>
      <c r="Q48" s="367" t="n">
        <f aca="false">IF('Reverse Search'!$F$4="All (including temporary formes)",1,IF('Reverse Search'!$F$4="Base Pokémon and permanent formes only",IF(F48&lt;=1,1,0),IF(F48=0,1,0)))</f>
        <v>1</v>
      </c>
      <c r="R48" s="0" t="n">
        <f aca="false">IF('Reverse Search'!$C$7="Disable",1,IF('Reverse Search'!$D$9="Disable",1,IF(OR('Reverse Search'!$F$9=H48,'Reverse Search'!$F$9=I48),1,0)))</f>
        <v>1</v>
      </c>
      <c r="S48" s="0" t="n">
        <f aca="false">IF('Reverse Search'!$C$7="Disable",1,IF('Reverse Search'!$D$10="Disable",1,IF(OR('Reverse Search'!$F$10=H48,'Reverse Search'!$F$10=I48),1,0)))</f>
        <v>1</v>
      </c>
      <c r="T48" s="0" t="n">
        <f aca="false">INDEX($B$4:$B$22,MATCH(H48,$A$4:$A$22,0))</f>
        <v>1</v>
      </c>
      <c r="U48" s="0" t="e">
        <f aca="false">IF(ISBLANK(I48),1,INDEX($B$4:$B$22,MATCH(I48,$A$4:$A$22,0)))</f>
        <v>#N/A</v>
      </c>
      <c r="V48" s="367" t="n">
        <f aca="false">IF('Reverse Search'!$C$7="Disable",1,IF('Reverse Search'!$D$11="Disable",1,IF('Reverse Search'!$E$11="Neutral to:",IF(ROUND(T48*U48,2)&lt;=1,1,0),IF(ROUND(T48*U48,2)&lt;1,1,0))))</f>
        <v>1</v>
      </c>
      <c r="W48" s="0" t="n">
        <f aca="false">IF('Reverse Search'!$N$7="Disable",1,IF('Reverse Search'!$I$9="Disable",1,IF('Reverse Search'!$K$9="≥",IF(J48&gt;='Reverse Search'!$L$9,1,0),IF('Reverse Search'!$K$9="≤",IF(J48&lt;='Reverse Search'!$L$9,1,0),IF(J48='Reverse Search'!$L$9,1,0)))))</f>
        <v>1</v>
      </c>
      <c r="X48" s="0" t="n">
        <f aca="false">IF('Reverse Search'!$N$7="Disable",1,IF('Reverse Search'!$I$10="Disable",1,IF('Reverse Search'!$K$10="≥",IF(K48&gt;='Reverse Search'!$L$10,1,0),IF('Reverse Search'!$K$10="≤",IF(K48&lt;='Reverse Search'!$L$10,1,0),IF(K48='Reverse Search'!$L$10,1,0)))))</f>
        <v>1</v>
      </c>
      <c r="Y48" s="367" t="n">
        <f aca="false">IF('Reverse Search'!$N$7="Disable",1,IF('Reverse Search'!$I$11="Disable",1,IF('Reverse Search'!$K$11="≥",IF(L48&gt;='Reverse Search'!$L$11,1,0),IF('Reverse Search'!$K$11="≤",IF(L48&lt;='Reverse Search'!$L$11,1,0),IF(L48='Reverse Search'!$L$11,1,0)))))</f>
        <v>1</v>
      </c>
      <c r="Z48" s="0" t="n">
        <f aca="true">IF('Reverse Search'!$C$14="Disable",1,IF('Reverse Search'!$D$16="Disable",1,IF($C$2=3,IF($M48=0,0,COUNTIF(INDIRECT("'0.0.2 Pokémon Learnset (Core)'!$D$"&amp;MATCH($E48,'0.0.2 Pokémon Learnset (Core)'!$A$1:$A951,0)&amp;":$FK$"&amp;MATCH($E48,'0.0.2 Pokémon Learnset (Core)'!$A$1:$A951,0)),'Reverse Search'!$E$21)),IF($C$2=2,COUNTIF(INDIRECT("'0.1.1 Pokémon GO Moves'!$B$"&amp;MATCH($E48,'0.1.1 Pokémon GO Moves'!$A$1:$A951,0)&amp;":$R$"&amp;MATCH($E48,'0.1.1 Pokémon GO Moves'!$A$1:$A951,0)),'Reverse Search'!$E$21),COUNTIF(INDIRECT("'0.1.1 Pokémon GO Moves'!$B$"&amp;MATCH($E48,'0.1.1 Pokémon GO Moves'!$A$1:$A951,0)&amp;":$L$"&amp;MATCH($E48,'0.1.1 Pokémon GO Moves'!$A$1:$A951,0)),'Reverse Search'!$E$21)))))</f>
        <v>1</v>
      </c>
      <c r="AA48" s="0" t="n">
        <f aca="true">IF('Reverse Search'!$C$14="Disable",1,IF('Reverse Search'!$I$16="Disable",1,IF($D$2=3,IF($M48=0,0,COUNTIF(INDIRECT("'0.0.2 Pokémon Learnset (Core)'!$D$"&amp;MATCH($E48,'0.0.2 Pokémon Learnset (Core)'!$A$1:$A951,0)&amp;":$FK$"&amp;MATCH($E48,'0.0.2 Pokémon Learnset (Core)'!$A$1:$A951,0)),'Reverse Search'!$J$21)),IF($D$2=2,COUNTIF(INDIRECT("'0.1.1 Pokémon GO Moves'!$B$"&amp;MATCH($E48,'0.1.1 Pokémon GO Moves'!$A$1:$A951,0)&amp;":$R$"&amp;MATCH($E48,'0.1.1 Pokémon GO Moves'!$A$1:$A951,0)),'Reverse Search'!$J$21),COUNTIF(INDIRECT("'0.1.1 Pokémon GO Moves'!$B$"&amp;MATCH($E48,'0.1.1 Pokémon GO Moves'!$A$1:$A951,0)&amp;":$L$"&amp;MATCH($E48,'0.1.1 Pokémon GO Moves'!$A$1:$A951,0)),'Reverse Search'!$J$21)))))</f>
        <v>0</v>
      </c>
      <c r="AB48" s="490"/>
      <c r="AC48" s="260" t="n">
        <f aca="false">IF((Q48+R48+S48+V48+W48+X48+Y48+IF(Z48&gt;=1,1,0)+IF(AA48&gt;=1,1,0))=9,G48&amp;", ",)</f>
        <v>0</v>
      </c>
    </row>
    <row r="49" customFormat="false" ht="15.75" hidden="false" customHeight="false" outlineLevel="0" collapsed="false">
      <c r="A49" s="260"/>
      <c r="B49" s="358"/>
      <c r="C49" s="260" t="str">
        <f aca="false">IFERROR(__xludf.dummyfunction("""COMPUTED_VALUE"""),"Spark")</f>
        <v>Spark</v>
      </c>
      <c r="D49" s="358" t="str">
        <f aca="false">IFERROR(__xludf.dummyfunction("""COMPUTED_VALUE"""),"Giga Drain")</f>
        <v>Giga Drain</v>
      </c>
      <c r="E49" s="260" t="n">
        <v>48</v>
      </c>
      <c r="F49" s="260" t="n">
        <f aca="false" t="array" ref="F49:F49">INDEX('0.0.1 Pokémon Dex Data'!$H$3:$H951,MATCH(E49,'0.0.1 Pokémon Dex Data'!$B$3:$B951,0))</f>
        <v>0</v>
      </c>
      <c r="G49" s="0" t="str">
        <f aca="false" t="array" ref="G49:G49">INDEX('0.0.1 Pokémon Dex Data'!$E$3:$E951,MATCH(E49,'0.0.1 Pokémon Dex Data'!$B$3:$B951,0))</f>
        <v>Vulpix</v>
      </c>
      <c r="H49" s="0" t="str">
        <f aca="false" t="array" ref="H49:H49">INDEX('0.0.1 Pokémon Dex Data'!$Q$3:$Q951,MATCH(E49,'0.0.1 Pokémon Dex Data'!$B$3:$B951,0))</f>
        <v>Fire</v>
      </c>
      <c r="I49" s="0" t="n">
        <f aca="false">INDEX('0.0.1 Pokémon Dex Data'!$R$3:$R951,MATCH(E49,'0.0.1 Pokémon Dex Data'!$B$3:$B951,0))</f>
        <v>0</v>
      </c>
      <c r="J49" s="260" t="n">
        <f aca="false" t="array" ref="J49:J49">ROUND(INDEX('0.0.1 Pokémon Dex Data'!$S$3:$S951,MATCH($E49,'0.0.1 Pokémon Dex Data'!$B$3:$B951,0))*INDEX('0.0.1 Pokémon Dex Data'!T$3:T951,MATCH($E49,'0.0.1 Pokémon Dex Data'!$B$3:$B951,0)),0)</f>
        <v>96</v>
      </c>
      <c r="K49" s="260" t="n">
        <f aca="false" t="array" ref="K49:K49">ROUND(INDEX('0.0.1 Pokémon Dex Data'!$S$3:$S951,MATCH($E49,'0.0.1 Pokémon Dex Data'!$B$3:$B951,0))*INDEX('0.0.1 Pokémon Dex Data'!U$3:U951,MATCH($E49,'0.0.1 Pokémon Dex Data'!$B$3:$B951,0)),0)</f>
        <v>109</v>
      </c>
      <c r="L49" s="260" t="n">
        <f aca="false" t="array" ref="L49:L49">ROUND(INDEX('0.0.1 Pokémon Dex Data'!$S$3:$S951,MATCH($E49,'0.0.1 Pokémon Dex Data'!$B$3:$B951,0))*INDEX('0.0.1 Pokémon Dex Data'!V$3:V951,MATCH($E49,'0.0.1 Pokémon Dex Data'!$B$3:$B951,0)),0)</f>
        <v>116</v>
      </c>
      <c r="M49" s="260" t="n">
        <f aca="false" t="array" ref="M49:M49">INDEX('0.0.1 Pokémon Dex Data'!$J$3:$J951,MATCH(E49,'0.0.1 Pokémon Dex Data'!$B$3:$B951,0))</f>
        <v>0</v>
      </c>
      <c r="O49" s="490"/>
      <c r="Q49" s="367" t="n">
        <f aca="false">IF('Reverse Search'!$F$4="All (including temporary formes)",1,IF('Reverse Search'!$F$4="Base Pokémon and permanent formes only",IF(F49&lt;=1,1,0),IF(F49=0,1,0)))</f>
        <v>1</v>
      </c>
      <c r="R49" s="0" t="n">
        <f aca="false">IF('Reverse Search'!$C$7="Disable",1,IF('Reverse Search'!$D$9="Disable",1,IF(OR('Reverse Search'!$F$9=H49,'Reverse Search'!$F$9=I49),1,0)))</f>
        <v>1</v>
      </c>
      <c r="S49" s="0" t="n">
        <f aca="false">IF('Reverse Search'!$C$7="Disable",1,IF('Reverse Search'!$D$10="Disable",1,IF(OR('Reverse Search'!$F$10=H49,'Reverse Search'!$F$10=I49),1,0)))</f>
        <v>1</v>
      </c>
      <c r="T49" s="0" t="n">
        <f aca="false">INDEX($B$4:$B$22,MATCH(H49,$A$4:$A$22,0))</f>
        <v>1</v>
      </c>
      <c r="U49" s="0" t="e">
        <f aca="false">IF(ISBLANK(I49),1,INDEX($B$4:$B$22,MATCH(I49,$A$4:$A$22,0)))</f>
        <v>#N/A</v>
      </c>
      <c r="V49" s="367" t="n">
        <f aca="false">IF('Reverse Search'!$C$7="Disable",1,IF('Reverse Search'!$D$11="Disable",1,IF('Reverse Search'!$E$11="Neutral to:",IF(ROUND(T49*U49,2)&lt;=1,1,0),IF(ROUND(T49*U49,2)&lt;1,1,0))))</f>
        <v>1</v>
      </c>
      <c r="W49" s="0" t="n">
        <f aca="false">IF('Reverse Search'!$N$7="Disable",1,IF('Reverse Search'!$I$9="Disable",1,IF('Reverse Search'!$K$9="≥",IF(J49&gt;='Reverse Search'!$L$9,1,0),IF('Reverse Search'!$K$9="≤",IF(J49&lt;='Reverse Search'!$L$9,1,0),IF(J49='Reverse Search'!$L$9,1,0)))))</f>
        <v>1</v>
      </c>
      <c r="X49" s="0" t="n">
        <f aca="false">IF('Reverse Search'!$N$7="Disable",1,IF('Reverse Search'!$I$10="Disable",1,IF('Reverse Search'!$K$10="≥",IF(K49&gt;='Reverse Search'!$L$10,1,0),IF('Reverse Search'!$K$10="≤",IF(K49&lt;='Reverse Search'!$L$10,1,0),IF(K49='Reverse Search'!$L$10,1,0)))))</f>
        <v>1</v>
      </c>
      <c r="Y49" s="367" t="n">
        <f aca="false">IF('Reverse Search'!$N$7="Disable",1,IF('Reverse Search'!$I$11="Disable",1,IF('Reverse Search'!$K$11="≥",IF(L49&gt;='Reverse Search'!$L$11,1,0),IF('Reverse Search'!$K$11="≤",IF(L49&lt;='Reverse Search'!$L$11,1,0),IF(L49='Reverse Search'!$L$11,1,0)))))</f>
        <v>1</v>
      </c>
      <c r="Z49" s="0" t="n">
        <f aca="true">IF('Reverse Search'!$C$14="Disable",1,IF('Reverse Search'!$D$16="Disable",1,IF($C$2=3,IF($M49=0,0,COUNTIF(INDIRECT("'0.0.2 Pokémon Learnset (Core)'!$D$"&amp;MATCH($E49,'0.0.2 Pokémon Learnset (Core)'!$A$1:$A951,0)&amp;":$FK$"&amp;MATCH($E49,'0.0.2 Pokémon Learnset (Core)'!$A$1:$A951,0)),'Reverse Search'!$E$21)),IF($C$2=2,COUNTIF(INDIRECT("'0.1.1 Pokémon GO Moves'!$B$"&amp;MATCH($E49,'0.1.1 Pokémon GO Moves'!$A$1:$A951,0)&amp;":$R$"&amp;MATCH($E49,'0.1.1 Pokémon GO Moves'!$A$1:$A951,0)),'Reverse Search'!$E$21),COUNTIF(INDIRECT("'0.1.1 Pokémon GO Moves'!$B$"&amp;MATCH($E49,'0.1.1 Pokémon GO Moves'!$A$1:$A951,0)&amp;":$L$"&amp;MATCH($E49,'0.1.1 Pokémon GO Moves'!$A$1:$A951,0)),'Reverse Search'!$E$21)))))</f>
        <v>1</v>
      </c>
      <c r="AA49" s="0" t="n">
        <f aca="true">IF('Reverse Search'!$C$14="Disable",1,IF('Reverse Search'!$I$16="Disable",1,IF($D$2=3,IF($M49=0,0,COUNTIF(INDIRECT("'0.0.2 Pokémon Learnset (Core)'!$D$"&amp;MATCH($E49,'0.0.2 Pokémon Learnset (Core)'!$A$1:$A951,0)&amp;":$FK$"&amp;MATCH($E49,'0.0.2 Pokémon Learnset (Core)'!$A$1:$A951,0)),'Reverse Search'!$J$21)),IF($D$2=2,COUNTIF(INDIRECT("'0.1.1 Pokémon GO Moves'!$B$"&amp;MATCH($E49,'0.1.1 Pokémon GO Moves'!$A$1:$A951,0)&amp;":$R$"&amp;MATCH($E49,'0.1.1 Pokémon GO Moves'!$A$1:$A951,0)),'Reverse Search'!$J$21),COUNTIF(INDIRECT("'0.1.1 Pokémon GO Moves'!$B$"&amp;MATCH($E49,'0.1.1 Pokémon GO Moves'!$A$1:$A951,0)&amp;":$L$"&amp;MATCH($E49,'0.1.1 Pokémon GO Moves'!$A$1:$A951,0)),'Reverse Search'!$J$21)))))</f>
        <v>0</v>
      </c>
      <c r="AB49" s="490"/>
      <c r="AC49" s="260" t="n">
        <f aca="false">IF((Q49+R49+S49+V49+W49+X49+Y49+IF(Z49&gt;=1,1,0)+IF(AA49&gt;=1,1,0))=9,G49&amp;", ",)</f>
        <v>0</v>
      </c>
    </row>
    <row r="50" customFormat="false" ht="15.75" hidden="false" customHeight="false" outlineLevel="0" collapsed="false">
      <c r="A50" s="260"/>
      <c r="B50" s="358"/>
      <c r="C50" s="260" t="str">
        <f aca="false">IFERROR(__xludf.dummyfunction("""COMPUTED_VALUE"""),"Splash")</f>
        <v>Splash</v>
      </c>
      <c r="D50" s="358" t="str">
        <f aca="false">IFERROR(__xludf.dummyfunction("""COMPUTED_VALUE"""),"Grass Knot")</f>
        <v>Grass Knot</v>
      </c>
      <c r="E50" s="260" t="n">
        <v>49</v>
      </c>
      <c r="F50" s="260" t="n">
        <f aca="false" t="array" ref="F50:F50">INDEX('0.0.1 Pokémon Dex Data'!$H$3:$H951,MATCH(E50,'0.0.1 Pokémon Dex Data'!$B$3:$B951,0))</f>
        <v>1</v>
      </c>
      <c r="G50" s="0" t="str">
        <f aca="false" t="array" ref="G50:G50">INDEX('0.0.1 Pokémon Dex Data'!$E$3:$E951,MATCH(E50,'0.0.1 Pokémon Dex Data'!$B$3:$B951,0))</f>
        <v>Vulpix-Alolan</v>
      </c>
      <c r="H50" s="0" t="str">
        <f aca="false" t="array" ref="H50:H50">INDEX('0.0.1 Pokémon Dex Data'!$Q$3:$Q951,MATCH(E50,'0.0.1 Pokémon Dex Data'!$B$3:$B951,0))</f>
        <v>Ice</v>
      </c>
      <c r="I50" s="0" t="n">
        <f aca="false">INDEX('0.0.1 Pokémon Dex Data'!$R$3:$R951,MATCH(E50,'0.0.1 Pokémon Dex Data'!$B$3:$B951,0))</f>
        <v>0</v>
      </c>
      <c r="J50" s="260" t="n">
        <f aca="false" t="array" ref="J50:J50">ROUND(INDEX('0.0.1 Pokémon Dex Data'!$S$3:$S951,MATCH($E50,'0.0.1 Pokémon Dex Data'!$B$3:$B951,0))*INDEX('0.0.1 Pokémon Dex Data'!T$3:T951,MATCH($E50,'0.0.1 Pokémon Dex Data'!$B$3:$B951,0)),0)</f>
        <v>96</v>
      </c>
      <c r="K50" s="260" t="n">
        <f aca="false" t="array" ref="K50:K50">ROUND(INDEX('0.0.1 Pokémon Dex Data'!$S$3:$S951,MATCH($E50,'0.0.1 Pokémon Dex Data'!$B$3:$B951,0))*INDEX('0.0.1 Pokémon Dex Data'!U$3:U951,MATCH($E50,'0.0.1 Pokémon Dex Data'!$B$3:$B951,0)),0)</f>
        <v>109</v>
      </c>
      <c r="L50" s="260" t="n">
        <f aca="false" t="array" ref="L50:L50">ROUND(INDEX('0.0.1 Pokémon Dex Data'!$S$3:$S951,MATCH($E50,'0.0.1 Pokémon Dex Data'!$B$3:$B951,0))*INDEX('0.0.1 Pokémon Dex Data'!V$3:V951,MATCH($E50,'0.0.1 Pokémon Dex Data'!$B$3:$B951,0)),0)</f>
        <v>116</v>
      </c>
      <c r="M50" s="260" t="n">
        <f aca="false" t="array" ref="M50:M50">INDEX('0.0.1 Pokémon Dex Data'!$J$3:$J951,MATCH(E50,'0.0.1 Pokémon Dex Data'!$B$3:$B951,0))</f>
        <v>0</v>
      </c>
      <c r="O50" s="490"/>
      <c r="Q50" s="367" t="n">
        <f aca="false">IF('Reverse Search'!$F$4="All (including temporary formes)",1,IF('Reverse Search'!$F$4="Base Pokémon and permanent formes only",IF(F50&lt;=1,1,0),IF(F50=0,1,0)))</f>
        <v>0</v>
      </c>
      <c r="R50" s="0" t="n">
        <f aca="false">IF('Reverse Search'!$C$7="Disable",1,IF('Reverse Search'!$D$9="Disable",1,IF(OR('Reverse Search'!$F$9=H50,'Reverse Search'!$F$9=I50),1,0)))</f>
        <v>1</v>
      </c>
      <c r="S50" s="0" t="n">
        <f aca="false">IF('Reverse Search'!$C$7="Disable",1,IF('Reverse Search'!$D$10="Disable",1,IF(OR('Reverse Search'!$F$10=H50,'Reverse Search'!$F$10=I50),1,0)))</f>
        <v>1</v>
      </c>
      <c r="T50" s="0" t="n">
        <f aca="false">INDEX($B$4:$B$22,MATCH(H50,$A$4:$A$22,0))</f>
        <v>1</v>
      </c>
      <c r="U50" s="0" t="e">
        <f aca="false">IF(ISBLANK(I50),1,INDEX($B$4:$B$22,MATCH(I50,$A$4:$A$22,0)))</f>
        <v>#N/A</v>
      </c>
      <c r="V50" s="367" t="n">
        <f aca="false">IF('Reverse Search'!$C$7="Disable",1,IF('Reverse Search'!$D$11="Disable",1,IF('Reverse Search'!$E$11="Neutral to:",IF(ROUND(T50*U50,2)&lt;=1,1,0),IF(ROUND(T50*U50,2)&lt;1,1,0))))</f>
        <v>1</v>
      </c>
      <c r="W50" s="0" t="n">
        <f aca="false">IF('Reverse Search'!$N$7="Disable",1,IF('Reverse Search'!$I$9="Disable",1,IF('Reverse Search'!$K$9="≥",IF(J50&gt;='Reverse Search'!$L$9,1,0),IF('Reverse Search'!$K$9="≤",IF(J50&lt;='Reverse Search'!$L$9,1,0),IF(J50='Reverse Search'!$L$9,1,0)))))</f>
        <v>1</v>
      </c>
      <c r="X50" s="0" t="n">
        <f aca="false">IF('Reverse Search'!$N$7="Disable",1,IF('Reverse Search'!$I$10="Disable",1,IF('Reverse Search'!$K$10="≥",IF(K50&gt;='Reverse Search'!$L$10,1,0),IF('Reverse Search'!$K$10="≤",IF(K50&lt;='Reverse Search'!$L$10,1,0),IF(K50='Reverse Search'!$L$10,1,0)))))</f>
        <v>1</v>
      </c>
      <c r="Y50" s="367" t="n">
        <f aca="false">IF('Reverse Search'!$N$7="Disable",1,IF('Reverse Search'!$I$11="Disable",1,IF('Reverse Search'!$K$11="≥",IF(L50&gt;='Reverse Search'!$L$11,1,0),IF('Reverse Search'!$K$11="≤",IF(L50&lt;='Reverse Search'!$L$11,1,0),IF(L50='Reverse Search'!$L$11,1,0)))))</f>
        <v>1</v>
      </c>
      <c r="Z50" s="0" t="n">
        <f aca="true">IF('Reverse Search'!$C$14="Disable",1,IF('Reverse Search'!$D$16="Disable",1,IF($C$2=3,IF($M50=0,0,COUNTIF(INDIRECT("'0.0.2 Pokémon Learnset (Core)'!$D$"&amp;MATCH($E50,'0.0.2 Pokémon Learnset (Core)'!$A$1:$A951,0)&amp;":$FK$"&amp;MATCH($E50,'0.0.2 Pokémon Learnset (Core)'!$A$1:$A951,0)),'Reverse Search'!$E$21)),IF($C$2=2,COUNTIF(INDIRECT("'0.1.1 Pokémon GO Moves'!$B$"&amp;MATCH($E50,'0.1.1 Pokémon GO Moves'!$A$1:$A951,0)&amp;":$R$"&amp;MATCH($E50,'0.1.1 Pokémon GO Moves'!$A$1:$A951,0)),'Reverse Search'!$E$21),COUNTIF(INDIRECT("'0.1.1 Pokémon GO Moves'!$B$"&amp;MATCH($E50,'0.1.1 Pokémon GO Moves'!$A$1:$A951,0)&amp;":$L$"&amp;MATCH($E50,'0.1.1 Pokémon GO Moves'!$A$1:$A951,0)),'Reverse Search'!$E$21)))))</f>
        <v>1</v>
      </c>
      <c r="AA50" s="0" t="e">
        <f aca="true">IF('Reverse Search'!$C$14="Disable",1,IF('Reverse Search'!$I$16="Disable",1,IF($D$2=3,IF($M50=0,0,COUNTIF(INDIRECT("'0.0.2 Pokémon Learnset (Core)'!$D$"&amp;MATCH($E50,'0.0.2 Pokémon Learnset (Core)'!$A$1:$A951,0)&amp;":$FK$"&amp;MATCH($E50,'0.0.2 Pokémon Learnset (Core)'!$A$1:$A951,0)),'Reverse Search'!$J$21)),IF($D$2=2,COUNTIF(INDIRECT("'0.1.1 Pokémon GO Moves'!$B$"&amp;MATCH($E50,'0.1.1 Pokémon GO Moves'!$A$1:$A951,0)&amp;":$R$"&amp;MATCH($E50,'0.1.1 Pokémon GO Moves'!$A$1:$A951,0)),'Reverse Search'!$J$21),COUNTIF(INDIRECT("'0.1.1 Pokémon GO Moves'!$B$"&amp;MATCH($E50,'0.1.1 Pokémon GO Moves'!$A$1:$A951,0)&amp;":$L$"&amp;MATCH($E50,'0.1.1 Pokémon GO Moves'!$A$1:$A951,0)),'Reverse Search'!$J$21)))))</f>
        <v>#N/A</v>
      </c>
      <c r="AB50" s="490"/>
      <c r="AC50" s="260" t="e">
        <f aca="false">IF((Q50+R50+S50+V50+W50+X50+Y50+IF(Z50&gt;=1,1,0)+IF(AA50&gt;=1,1,0))=9,G50&amp;", ",)</f>
        <v>#N/A</v>
      </c>
    </row>
    <row r="51" customFormat="false" ht="15.75" hidden="false" customHeight="false" outlineLevel="0" collapsed="false">
      <c r="A51" s="260"/>
      <c r="B51" s="358"/>
      <c r="C51" s="260" t="str">
        <f aca="false">IFERROR(__xludf.dummyfunction("""COMPUTED_VALUE"""),"Steel Wing")</f>
        <v>Steel Wing</v>
      </c>
      <c r="D51" s="358" t="str">
        <f aca="false">IFERROR(__xludf.dummyfunction("""COMPUTED_VALUE"""),"Gunk Shot")</f>
        <v>Gunk Shot</v>
      </c>
      <c r="E51" s="260" t="n">
        <v>50</v>
      </c>
      <c r="F51" s="260" t="n">
        <f aca="false" t="array" ref="F51:F51">INDEX('0.0.1 Pokémon Dex Data'!$H$3:$H951,MATCH(E51,'0.0.1 Pokémon Dex Data'!$B$3:$B951,0))</f>
        <v>0</v>
      </c>
      <c r="G51" s="0" t="str">
        <f aca="false" t="array" ref="G51:G51">INDEX('0.0.1 Pokémon Dex Data'!$E$3:$E951,MATCH(E51,'0.0.1 Pokémon Dex Data'!$B$3:$B951,0))</f>
        <v>Ninetales</v>
      </c>
      <c r="H51" s="0" t="str">
        <f aca="false" t="array" ref="H51:H51">INDEX('0.0.1 Pokémon Dex Data'!$Q$3:$Q951,MATCH(E51,'0.0.1 Pokémon Dex Data'!$B$3:$B951,0))</f>
        <v>Fire</v>
      </c>
      <c r="I51" s="0" t="n">
        <f aca="false">INDEX('0.0.1 Pokémon Dex Data'!$R$3:$R951,MATCH(E51,'0.0.1 Pokémon Dex Data'!$B$3:$B951,0))</f>
        <v>0</v>
      </c>
      <c r="J51" s="260" t="n">
        <f aca="false" t="array" ref="J51:J51">ROUND(INDEX('0.0.1 Pokémon Dex Data'!$S$3:$S951,MATCH($E51,'0.0.1 Pokémon Dex Data'!$B$3:$B951,0))*INDEX('0.0.1 Pokémon Dex Data'!T$3:T951,MATCH($E51,'0.0.1 Pokémon Dex Data'!$B$3:$B951,0)),0)</f>
        <v>169</v>
      </c>
      <c r="K51" s="260" t="n">
        <f aca="false" t="array" ref="K51:K51">ROUND(INDEX('0.0.1 Pokémon Dex Data'!$S$3:$S951,MATCH($E51,'0.0.1 Pokémon Dex Data'!$B$3:$B951,0))*INDEX('0.0.1 Pokémon Dex Data'!U$3:U951,MATCH($E51,'0.0.1 Pokémon Dex Data'!$B$3:$B951,0)),0)</f>
        <v>190</v>
      </c>
      <c r="L51" s="260" t="n">
        <f aca="false" t="array" ref="L51:L51">ROUND(INDEX('0.0.1 Pokémon Dex Data'!$S$3:$S951,MATCH($E51,'0.0.1 Pokémon Dex Data'!$B$3:$B951,0))*INDEX('0.0.1 Pokémon Dex Data'!V$3:V951,MATCH($E51,'0.0.1 Pokémon Dex Data'!$B$3:$B951,0)),0)</f>
        <v>177</v>
      </c>
      <c r="M51" s="260" t="n">
        <f aca="false" t="array" ref="M51:M51">INDEX('0.0.1 Pokémon Dex Data'!$J$3:$J951,MATCH(E51,'0.0.1 Pokémon Dex Data'!$B$3:$B951,0))</f>
        <v>1</v>
      </c>
      <c r="O51" s="490"/>
      <c r="Q51" s="367" t="n">
        <f aca="false">IF('Reverse Search'!$F$4="All (including temporary formes)",1,IF('Reverse Search'!$F$4="Base Pokémon and permanent formes only",IF(F51&lt;=1,1,0),IF(F51=0,1,0)))</f>
        <v>1</v>
      </c>
      <c r="R51" s="0" t="n">
        <f aca="false">IF('Reverse Search'!$C$7="Disable",1,IF('Reverse Search'!$D$9="Disable",1,IF(OR('Reverse Search'!$F$9=H51,'Reverse Search'!$F$9=I51),1,0)))</f>
        <v>1</v>
      </c>
      <c r="S51" s="0" t="n">
        <f aca="false">IF('Reverse Search'!$C$7="Disable",1,IF('Reverse Search'!$D$10="Disable",1,IF(OR('Reverse Search'!$F$10=H51,'Reverse Search'!$F$10=I51),1,0)))</f>
        <v>1</v>
      </c>
      <c r="T51" s="0" t="n">
        <f aca="false">INDEX($B$4:$B$22,MATCH(H51,$A$4:$A$22,0))</f>
        <v>1</v>
      </c>
      <c r="U51" s="0" t="e">
        <f aca="false">IF(ISBLANK(I51),1,INDEX($B$4:$B$22,MATCH(I51,$A$4:$A$22,0)))</f>
        <v>#N/A</v>
      </c>
      <c r="V51" s="367" t="n">
        <f aca="false">IF('Reverse Search'!$C$7="Disable",1,IF('Reverse Search'!$D$11="Disable",1,IF('Reverse Search'!$E$11="Neutral to:",IF(ROUND(T51*U51,2)&lt;=1,1,0),IF(ROUND(T51*U51,2)&lt;1,1,0))))</f>
        <v>1</v>
      </c>
      <c r="W51" s="0" t="n">
        <f aca="false">IF('Reverse Search'!$N$7="Disable",1,IF('Reverse Search'!$I$9="Disable",1,IF('Reverse Search'!$K$9="≥",IF(J51&gt;='Reverse Search'!$L$9,1,0),IF('Reverse Search'!$K$9="≤",IF(J51&lt;='Reverse Search'!$L$9,1,0),IF(J51='Reverse Search'!$L$9,1,0)))))</f>
        <v>1</v>
      </c>
      <c r="X51" s="0" t="n">
        <f aca="false">IF('Reverse Search'!$N$7="Disable",1,IF('Reverse Search'!$I$10="Disable",1,IF('Reverse Search'!$K$10="≥",IF(K51&gt;='Reverse Search'!$L$10,1,0),IF('Reverse Search'!$K$10="≤",IF(K51&lt;='Reverse Search'!$L$10,1,0),IF(K51='Reverse Search'!$L$10,1,0)))))</f>
        <v>1</v>
      </c>
      <c r="Y51" s="367" t="n">
        <f aca="false">IF('Reverse Search'!$N$7="Disable",1,IF('Reverse Search'!$I$11="Disable",1,IF('Reverse Search'!$K$11="≥",IF(L51&gt;='Reverse Search'!$L$11,1,0),IF('Reverse Search'!$K$11="≤",IF(L51&lt;='Reverse Search'!$L$11,1,0),IF(L51='Reverse Search'!$L$11,1,0)))))</f>
        <v>1</v>
      </c>
      <c r="Z51" s="0" t="n">
        <f aca="true">IF('Reverse Search'!$C$14="Disable",1,IF('Reverse Search'!$D$16="Disable",1,IF($C$2=3,IF($M51=0,0,COUNTIF(INDIRECT("'0.0.2 Pokémon Learnset (Core)'!$D$"&amp;MATCH($E51,'0.0.2 Pokémon Learnset (Core)'!$A$1:$A951,0)&amp;":$FK$"&amp;MATCH($E51,'0.0.2 Pokémon Learnset (Core)'!$A$1:$A951,0)),'Reverse Search'!$E$21)),IF($C$2=2,COUNTIF(INDIRECT("'0.1.1 Pokémon GO Moves'!$B$"&amp;MATCH($E51,'0.1.1 Pokémon GO Moves'!$A$1:$A951,0)&amp;":$R$"&amp;MATCH($E51,'0.1.1 Pokémon GO Moves'!$A$1:$A951,0)),'Reverse Search'!$E$21),COUNTIF(INDIRECT("'0.1.1 Pokémon GO Moves'!$B$"&amp;MATCH($E51,'0.1.1 Pokémon GO Moves'!$A$1:$A951,0)&amp;":$L$"&amp;MATCH($E51,'0.1.1 Pokémon GO Moves'!$A$1:$A951,0)),'Reverse Search'!$E$21)))))</f>
        <v>1</v>
      </c>
      <c r="AA51" s="0" t="n">
        <f aca="true">IF('Reverse Search'!$C$14="Disable",1,IF('Reverse Search'!$I$16="Disable",1,IF($D$2=3,IF($M51=0,0,COUNTIF(INDIRECT("'0.0.2 Pokémon Learnset (Core)'!$D$"&amp;MATCH($E51,'0.0.2 Pokémon Learnset (Core)'!$A$1:$A951,0)&amp;":$FK$"&amp;MATCH($E51,'0.0.2 Pokémon Learnset (Core)'!$A$1:$A951,0)),'Reverse Search'!$J$21)),IF($D$2=2,COUNTIF(INDIRECT("'0.1.1 Pokémon GO Moves'!$B$"&amp;MATCH($E51,'0.1.1 Pokémon GO Moves'!$A$1:$A951,0)&amp;":$R$"&amp;MATCH($E51,'0.1.1 Pokémon GO Moves'!$A$1:$A951,0)),'Reverse Search'!$J$21),COUNTIF(INDIRECT("'0.1.1 Pokémon GO Moves'!$B$"&amp;MATCH($E51,'0.1.1 Pokémon GO Moves'!$A$1:$A951,0)&amp;":$L$"&amp;MATCH($E51,'0.1.1 Pokémon GO Moves'!$A$1:$A951,0)),'Reverse Search'!$J$21)))))</f>
        <v>0</v>
      </c>
      <c r="AB51" s="490"/>
      <c r="AC51" s="260" t="n">
        <f aca="false">IF((Q51+R51+S51+V51+W51+X51+Y51+IF(Z51&gt;=1,1,0)+IF(AA51&gt;=1,1,0))=9,G51&amp;", ",)</f>
        <v>0</v>
      </c>
    </row>
    <row r="52" customFormat="false" ht="15.75" hidden="false" customHeight="false" outlineLevel="0" collapsed="false">
      <c r="A52" s="260"/>
      <c r="B52" s="358"/>
      <c r="C52" s="260" t="str">
        <f aca="false">IFERROR(__xludf.dummyfunction("""COMPUTED_VALUE"""),"Struggle Bug")</f>
        <v>Struggle Bug</v>
      </c>
      <c r="D52" s="358" t="str">
        <f aca="false">IFERROR(__xludf.dummyfunction("""COMPUTED_VALUE"""),"Gyro Ball")</f>
        <v>Gyro Ball</v>
      </c>
      <c r="E52" s="260" t="n">
        <v>51</v>
      </c>
      <c r="F52" s="260" t="n">
        <f aca="false" t="array" ref="F52:F52">INDEX('0.0.1 Pokémon Dex Data'!$H$3:$H951,MATCH(E52,'0.0.1 Pokémon Dex Data'!$B$3:$B951,0))</f>
        <v>1</v>
      </c>
      <c r="G52" s="0" t="str">
        <f aca="false" t="array" ref="G52:G52">INDEX('0.0.1 Pokémon Dex Data'!$E$3:$E951,MATCH(E52,'0.0.1 Pokémon Dex Data'!$B$3:$B951,0))</f>
        <v>Ninetales-Alolan</v>
      </c>
      <c r="H52" s="0" t="str">
        <f aca="false" t="array" ref="H52:H52">INDEX('0.0.1 Pokémon Dex Data'!$Q$3:$Q951,MATCH(E52,'0.0.1 Pokémon Dex Data'!$B$3:$B951,0))</f>
        <v>Ice</v>
      </c>
      <c r="I52" s="0" t="str">
        <f aca="false" t="array" ref="I52:I52">INDEX('0.0.1 Pokémon Dex Data'!$R$3:$R951,MATCH(E52,'0.0.1 Pokémon Dex Data'!$B$3:$B951,0))</f>
        <v>Fairy</v>
      </c>
      <c r="J52" s="260" t="n">
        <f aca="false" t="array" ref="J52:J52">ROUND(INDEX('0.0.1 Pokémon Dex Data'!$S$3:$S951,MATCH($E52,'0.0.1 Pokémon Dex Data'!$B$3:$B951,0))*INDEX('0.0.1 Pokémon Dex Data'!T$3:T951,MATCH($E52,'0.0.1 Pokémon Dex Data'!$B$3:$B951,0)),0)</f>
        <v>170</v>
      </c>
      <c r="K52" s="260" t="n">
        <f aca="false" t="array" ref="K52:K52">ROUND(INDEX('0.0.1 Pokémon Dex Data'!$S$3:$S951,MATCH($E52,'0.0.1 Pokémon Dex Data'!$B$3:$B951,0))*INDEX('0.0.1 Pokémon Dex Data'!U$3:U951,MATCH($E52,'0.0.1 Pokémon Dex Data'!$B$3:$B951,0)),0)</f>
        <v>193</v>
      </c>
      <c r="L52" s="260" t="n">
        <f aca="false" t="array" ref="L52:L52">ROUND(INDEX('0.0.1 Pokémon Dex Data'!$S$3:$S951,MATCH($E52,'0.0.1 Pokémon Dex Data'!$B$3:$B951,0))*INDEX('0.0.1 Pokémon Dex Data'!V$3:V951,MATCH($E52,'0.0.1 Pokémon Dex Data'!$B$3:$B951,0)),0)</f>
        <v>177</v>
      </c>
      <c r="M52" s="260" t="n">
        <f aca="false" t="array" ref="M52:M52">INDEX('0.0.1 Pokémon Dex Data'!$J$3:$J951,MATCH(E52,'0.0.1 Pokémon Dex Data'!$B$3:$B951,0))</f>
        <v>1</v>
      </c>
      <c r="O52" s="490"/>
      <c r="Q52" s="367" t="n">
        <f aca="false">IF('Reverse Search'!$F$4="All (including temporary formes)",1,IF('Reverse Search'!$F$4="Base Pokémon and permanent formes only",IF(F52&lt;=1,1,0),IF(F52=0,1,0)))</f>
        <v>0</v>
      </c>
      <c r="R52" s="0" t="n">
        <f aca="false">IF('Reverse Search'!$C$7="Disable",1,IF('Reverse Search'!$D$9="Disable",1,IF(OR('Reverse Search'!$F$9=H52,'Reverse Search'!$F$9=I52),1,0)))</f>
        <v>1</v>
      </c>
      <c r="S52" s="0" t="n">
        <f aca="false">IF('Reverse Search'!$C$7="Disable",1,IF('Reverse Search'!$D$10="Disable",1,IF(OR('Reverse Search'!$F$10=H52,'Reverse Search'!$F$10=I52),1,0)))</f>
        <v>1</v>
      </c>
      <c r="T52" s="0" t="n">
        <f aca="false">INDEX($B$4:$B$22,MATCH(H52,$A$4:$A$22,0))</f>
        <v>1</v>
      </c>
      <c r="U52" s="0" t="n">
        <f aca="false">IF(ISBLANK(I52),1,INDEX($B$4:$B$22,MATCH(I52,$A$4:$A$22,0)))</f>
        <v>1</v>
      </c>
      <c r="V52" s="367" t="n">
        <f aca="false">IF('Reverse Search'!$C$7="Disable",1,IF('Reverse Search'!$D$11="Disable",1,IF('Reverse Search'!$E$11="Neutral to:",IF(ROUND(T52*U52,2)&lt;=1,1,0),IF(ROUND(T52*U52,2)&lt;1,1,0))))</f>
        <v>1</v>
      </c>
      <c r="W52" s="0" t="n">
        <f aca="false">IF('Reverse Search'!$N$7="Disable",1,IF('Reverse Search'!$I$9="Disable",1,IF('Reverse Search'!$K$9="≥",IF(J52&gt;='Reverse Search'!$L$9,1,0),IF('Reverse Search'!$K$9="≤",IF(J52&lt;='Reverse Search'!$L$9,1,0),IF(J52='Reverse Search'!$L$9,1,0)))))</f>
        <v>1</v>
      </c>
      <c r="X52" s="0" t="n">
        <f aca="false">IF('Reverse Search'!$N$7="Disable",1,IF('Reverse Search'!$I$10="Disable",1,IF('Reverse Search'!$K$10="≥",IF(K52&gt;='Reverse Search'!$L$10,1,0),IF('Reverse Search'!$K$10="≤",IF(K52&lt;='Reverse Search'!$L$10,1,0),IF(K52='Reverse Search'!$L$10,1,0)))))</f>
        <v>1</v>
      </c>
      <c r="Y52" s="367" t="n">
        <f aca="false">IF('Reverse Search'!$N$7="Disable",1,IF('Reverse Search'!$I$11="Disable",1,IF('Reverse Search'!$K$11="≥",IF(L52&gt;='Reverse Search'!$L$11,1,0),IF('Reverse Search'!$K$11="≤",IF(L52&lt;='Reverse Search'!$L$11,1,0),IF(L52='Reverse Search'!$L$11,1,0)))))</f>
        <v>1</v>
      </c>
      <c r="Z52" s="0" t="n">
        <f aca="true">IF('Reverse Search'!$C$14="Disable",1,IF('Reverse Search'!$D$16="Disable",1,IF($C$2=3,IF($M52=0,0,COUNTIF(INDIRECT("'0.0.2 Pokémon Learnset (Core)'!$D$"&amp;MATCH($E52,'0.0.2 Pokémon Learnset (Core)'!$A$1:$A951,0)&amp;":$FK$"&amp;MATCH($E52,'0.0.2 Pokémon Learnset (Core)'!$A$1:$A951,0)),'Reverse Search'!$E$21)),IF($C$2=2,COUNTIF(INDIRECT("'0.1.1 Pokémon GO Moves'!$B$"&amp;MATCH($E52,'0.1.1 Pokémon GO Moves'!$A$1:$A951,0)&amp;":$R$"&amp;MATCH($E52,'0.1.1 Pokémon GO Moves'!$A$1:$A951,0)),'Reverse Search'!$E$21),COUNTIF(INDIRECT("'0.1.1 Pokémon GO Moves'!$B$"&amp;MATCH($E52,'0.1.1 Pokémon GO Moves'!$A$1:$A951,0)&amp;":$L$"&amp;MATCH($E52,'0.1.1 Pokémon GO Moves'!$A$1:$A951,0)),'Reverse Search'!$E$21)))))</f>
        <v>1</v>
      </c>
      <c r="AA52" s="0" t="e">
        <f aca="true">IF('Reverse Search'!$C$14="Disable",1,IF('Reverse Search'!$I$16="Disable",1,IF($D$2=3,IF($M52=0,0,COUNTIF(INDIRECT("'0.0.2 Pokémon Learnset (Core)'!$D$"&amp;MATCH($E52,'0.0.2 Pokémon Learnset (Core)'!$A$1:$A951,0)&amp;":$FK$"&amp;MATCH($E52,'0.0.2 Pokémon Learnset (Core)'!$A$1:$A951,0)),'Reverse Search'!$J$21)),IF($D$2=2,COUNTIF(INDIRECT("'0.1.1 Pokémon GO Moves'!$B$"&amp;MATCH($E52,'0.1.1 Pokémon GO Moves'!$A$1:$A951,0)&amp;":$R$"&amp;MATCH($E52,'0.1.1 Pokémon GO Moves'!$A$1:$A951,0)),'Reverse Search'!$J$21),COUNTIF(INDIRECT("'0.1.1 Pokémon GO Moves'!$B$"&amp;MATCH($E52,'0.1.1 Pokémon GO Moves'!$A$1:$A951,0)&amp;":$L$"&amp;MATCH($E52,'0.1.1 Pokémon GO Moves'!$A$1:$A951,0)),'Reverse Search'!$J$21)))))</f>
        <v>#N/A</v>
      </c>
      <c r="AB52" s="490"/>
      <c r="AC52" s="260" t="e">
        <f aca="false">IF((Q52+R52+S52+V52+W52+X52+Y52+IF(Z52&gt;=1,1,0)+IF(AA52&gt;=1,1,0))=9,G52&amp;", ",)</f>
        <v>#N/A</v>
      </c>
    </row>
    <row r="53" customFormat="false" ht="15.75" hidden="false" customHeight="false" outlineLevel="0" collapsed="false">
      <c r="A53" s="260"/>
      <c r="B53" s="358"/>
      <c r="C53" s="260" t="str">
        <f aca="false">IFERROR(__xludf.dummyfunction("""COMPUTED_VALUE"""),"Sucker Punch")</f>
        <v>Sucker Punch</v>
      </c>
      <c r="D53" s="358" t="str">
        <f aca="false">IFERROR(__xludf.dummyfunction("""COMPUTED_VALUE"""),"Heart Stamp")</f>
        <v>Heart Stamp</v>
      </c>
      <c r="E53" s="260" t="n">
        <v>52</v>
      </c>
      <c r="F53" s="260" t="n">
        <f aca="false" t="array" ref="F53:F53">INDEX('0.0.1 Pokémon Dex Data'!$H$3:$H951,MATCH(E53,'0.0.1 Pokémon Dex Data'!$B$3:$B951,0))</f>
        <v>0</v>
      </c>
      <c r="G53" s="0" t="str">
        <f aca="false" t="array" ref="G53:G53">INDEX('0.0.1 Pokémon Dex Data'!$E$3:$E951,MATCH(E53,'0.0.1 Pokémon Dex Data'!$B$3:$B951,0))</f>
        <v>Jigglypuff</v>
      </c>
      <c r="H53" s="0" t="str">
        <f aca="false" t="array" ref="H53:H53">INDEX('0.0.1 Pokémon Dex Data'!$Q$3:$Q951,MATCH(E53,'0.0.1 Pokémon Dex Data'!$B$3:$B951,0))</f>
        <v>Normal</v>
      </c>
      <c r="I53" s="0" t="str">
        <f aca="false" t="array" ref="I53:I53">INDEX('0.0.1 Pokémon Dex Data'!$R$3:$R951,MATCH(E53,'0.0.1 Pokémon Dex Data'!$B$3:$B951,0))</f>
        <v>Fairy</v>
      </c>
      <c r="J53" s="260" t="n">
        <f aca="false" t="array" ref="J53:J53">ROUND(INDEX('0.0.1 Pokémon Dex Data'!$S$3:$S951,MATCH($E53,'0.0.1 Pokémon Dex Data'!$B$3:$B951,0))*INDEX('0.0.1 Pokémon Dex Data'!T$3:T951,MATCH($E53,'0.0.1 Pokémon Dex Data'!$B$3:$B951,0)),0)</f>
        <v>80</v>
      </c>
      <c r="K53" s="260" t="n">
        <f aca="false" t="array" ref="K53:K53">ROUND(INDEX('0.0.1 Pokémon Dex Data'!$S$3:$S951,MATCH($E53,'0.0.1 Pokémon Dex Data'!$B$3:$B951,0))*INDEX('0.0.1 Pokémon Dex Data'!U$3:U951,MATCH($E53,'0.0.1 Pokémon Dex Data'!$B$3:$B951,0)),0)</f>
        <v>41</v>
      </c>
      <c r="L53" s="260" t="n">
        <f aca="false" t="array" ref="L53:L53">ROUND(INDEX('0.0.1 Pokémon Dex Data'!$S$3:$S951,MATCH($E53,'0.0.1 Pokémon Dex Data'!$B$3:$B951,0))*INDEX('0.0.1 Pokémon Dex Data'!V$3:V951,MATCH($E53,'0.0.1 Pokémon Dex Data'!$B$3:$B951,0)),0)</f>
        <v>251</v>
      </c>
      <c r="M53" s="260" t="n">
        <f aca="false" t="array" ref="M53:M53">INDEX('0.0.1 Pokémon Dex Data'!$J$3:$J951,MATCH(E53,'0.0.1 Pokémon Dex Data'!$B$3:$B951,0))</f>
        <v>0</v>
      </c>
      <c r="O53" s="490"/>
      <c r="Q53" s="367" t="n">
        <f aca="false">IF('Reverse Search'!$F$4="All (including temporary formes)",1,IF('Reverse Search'!$F$4="Base Pokémon and permanent formes only",IF(F53&lt;=1,1,0),IF(F53=0,1,0)))</f>
        <v>1</v>
      </c>
      <c r="R53" s="0" t="n">
        <f aca="false">IF('Reverse Search'!$C$7="Disable",1,IF('Reverse Search'!$D$9="Disable",1,IF(OR('Reverse Search'!$F$9=H53,'Reverse Search'!$F$9=I53),1,0)))</f>
        <v>1</v>
      </c>
      <c r="S53" s="0" t="n">
        <f aca="false">IF('Reverse Search'!$C$7="Disable",1,IF('Reverse Search'!$D$10="Disable",1,IF(OR('Reverse Search'!$F$10=H53,'Reverse Search'!$F$10=I53),1,0)))</f>
        <v>1</v>
      </c>
      <c r="T53" s="0" t="n">
        <f aca="false">INDEX($B$4:$B$22,MATCH(H53,$A$4:$A$22,0))</f>
        <v>1</v>
      </c>
      <c r="U53" s="0" t="n">
        <f aca="false">IF(ISBLANK(I53),1,INDEX($B$4:$B$22,MATCH(I53,$A$4:$A$22,0)))</f>
        <v>1</v>
      </c>
      <c r="V53" s="367" t="n">
        <f aca="false">IF('Reverse Search'!$C$7="Disable",1,IF('Reverse Search'!$D$11="Disable",1,IF('Reverse Search'!$E$11="Neutral to:",IF(ROUND(T53*U53,2)&lt;=1,1,0),IF(ROUND(T53*U53,2)&lt;1,1,0))))</f>
        <v>1</v>
      </c>
      <c r="W53" s="0" t="n">
        <f aca="false">IF('Reverse Search'!$N$7="Disable",1,IF('Reverse Search'!$I$9="Disable",1,IF('Reverse Search'!$K$9="≥",IF(J53&gt;='Reverse Search'!$L$9,1,0),IF('Reverse Search'!$K$9="≤",IF(J53&lt;='Reverse Search'!$L$9,1,0),IF(J53='Reverse Search'!$L$9,1,0)))))</f>
        <v>1</v>
      </c>
      <c r="X53" s="0" t="n">
        <f aca="false">IF('Reverse Search'!$N$7="Disable",1,IF('Reverse Search'!$I$10="Disable",1,IF('Reverse Search'!$K$10="≥",IF(K53&gt;='Reverse Search'!$L$10,1,0),IF('Reverse Search'!$K$10="≤",IF(K53&lt;='Reverse Search'!$L$10,1,0),IF(K53='Reverse Search'!$L$10,1,0)))))</f>
        <v>1</v>
      </c>
      <c r="Y53" s="367" t="n">
        <f aca="false">IF('Reverse Search'!$N$7="Disable",1,IF('Reverse Search'!$I$11="Disable",1,IF('Reverse Search'!$K$11="≥",IF(L53&gt;='Reverse Search'!$L$11,1,0),IF('Reverse Search'!$K$11="≤",IF(L53&lt;='Reverse Search'!$L$11,1,0),IF(L53='Reverse Search'!$L$11,1,0)))))</f>
        <v>1</v>
      </c>
      <c r="Z53" s="0" t="n">
        <f aca="true">IF('Reverse Search'!$C$14="Disable",1,IF('Reverse Search'!$D$16="Disable",1,IF($C$2=3,IF($M53=0,0,COUNTIF(INDIRECT("'0.0.2 Pokémon Learnset (Core)'!$D$"&amp;MATCH($E53,'0.0.2 Pokémon Learnset (Core)'!$A$1:$A951,0)&amp;":$FK$"&amp;MATCH($E53,'0.0.2 Pokémon Learnset (Core)'!$A$1:$A951,0)),'Reverse Search'!$E$21)),IF($C$2=2,COUNTIF(INDIRECT("'0.1.1 Pokémon GO Moves'!$B$"&amp;MATCH($E53,'0.1.1 Pokémon GO Moves'!$A$1:$A951,0)&amp;":$R$"&amp;MATCH($E53,'0.1.1 Pokémon GO Moves'!$A$1:$A951,0)),'Reverse Search'!$E$21),COUNTIF(INDIRECT("'0.1.1 Pokémon GO Moves'!$B$"&amp;MATCH($E53,'0.1.1 Pokémon GO Moves'!$A$1:$A951,0)&amp;":$L$"&amp;MATCH($E53,'0.1.1 Pokémon GO Moves'!$A$1:$A951,0)),'Reverse Search'!$E$21)))))</f>
        <v>1</v>
      </c>
      <c r="AA53" s="0" t="n">
        <f aca="true">IF('Reverse Search'!$C$14="Disable",1,IF('Reverse Search'!$I$16="Disable",1,IF($D$2=3,IF($M53=0,0,COUNTIF(INDIRECT("'0.0.2 Pokémon Learnset (Core)'!$D$"&amp;MATCH($E53,'0.0.2 Pokémon Learnset (Core)'!$A$1:$A951,0)&amp;":$FK$"&amp;MATCH($E53,'0.0.2 Pokémon Learnset (Core)'!$A$1:$A951,0)),'Reverse Search'!$J$21)),IF($D$2=2,COUNTIF(INDIRECT("'0.1.1 Pokémon GO Moves'!$B$"&amp;MATCH($E53,'0.1.1 Pokémon GO Moves'!$A$1:$A951,0)&amp;":$R$"&amp;MATCH($E53,'0.1.1 Pokémon GO Moves'!$A$1:$A951,0)),'Reverse Search'!$J$21),COUNTIF(INDIRECT("'0.1.1 Pokémon GO Moves'!$B$"&amp;MATCH($E53,'0.1.1 Pokémon GO Moves'!$A$1:$A951,0)&amp;":$L$"&amp;MATCH($E53,'0.1.1 Pokémon GO Moves'!$A$1:$A951,0)),'Reverse Search'!$J$21)))))</f>
        <v>0</v>
      </c>
      <c r="AB53" s="490"/>
      <c r="AC53" s="260" t="n">
        <f aca="false">IF((Q53+R53+S53+V53+W53+X53+Y53+IF(Z53&gt;=1,1,0)+IF(AA53&gt;=1,1,0))=9,G53&amp;", ",)</f>
        <v>0</v>
      </c>
    </row>
    <row r="54" customFormat="false" ht="15.75" hidden="false" customHeight="false" outlineLevel="0" collapsed="false">
      <c r="A54" s="260"/>
      <c r="B54" s="358"/>
      <c r="C54" s="260" t="str">
        <f aca="false">IFERROR(__xludf.dummyfunction("""COMPUTED_VALUE"""),"Tackle")</f>
        <v>Tackle</v>
      </c>
      <c r="D54" s="358" t="str">
        <f aca="false">IFERROR(__xludf.dummyfunction("""COMPUTED_VALUE"""),"Heat Wave")</f>
        <v>Heat Wave</v>
      </c>
      <c r="E54" s="260" t="n">
        <v>53</v>
      </c>
      <c r="F54" s="260" t="n">
        <f aca="false" t="array" ref="F54:F54">INDEX('0.0.1 Pokémon Dex Data'!$H$3:$H951,MATCH(E54,'0.0.1 Pokémon Dex Data'!$B$3:$B951,0))</f>
        <v>0</v>
      </c>
      <c r="G54" s="0" t="str">
        <f aca="false" t="array" ref="G54:G54">INDEX('0.0.1 Pokémon Dex Data'!$E$3:$E951,MATCH(E54,'0.0.1 Pokémon Dex Data'!$B$3:$B951,0))</f>
        <v>Wigglytuff</v>
      </c>
      <c r="H54" s="0" t="str">
        <f aca="false" t="array" ref="H54:H54">INDEX('0.0.1 Pokémon Dex Data'!$Q$3:$Q951,MATCH(E54,'0.0.1 Pokémon Dex Data'!$B$3:$B951,0))</f>
        <v>Normal</v>
      </c>
      <c r="I54" s="0" t="str">
        <f aca="false" t="array" ref="I54:I54">INDEX('0.0.1 Pokémon Dex Data'!$R$3:$R951,MATCH(E54,'0.0.1 Pokémon Dex Data'!$B$3:$B951,0))</f>
        <v>Fairy</v>
      </c>
      <c r="J54" s="260" t="n">
        <f aca="false" t="array" ref="J54:J54">ROUND(INDEX('0.0.1 Pokémon Dex Data'!$S$3:$S951,MATCH($E54,'0.0.1 Pokémon Dex Data'!$B$3:$B951,0))*INDEX('0.0.1 Pokémon Dex Data'!T$3:T951,MATCH($E54,'0.0.1 Pokémon Dex Data'!$B$3:$B951,0)),0)</f>
        <v>156</v>
      </c>
      <c r="K54" s="260" t="n">
        <f aca="false" t="array" ref="K54:K54">ROUND(INDEX('0.0.1 Pokémon Dex Data'!$S$3:$S951,MATCH($E54,'0.0.1 Pokémon Dex Data'!$B$3:$B951,0))*INDEX('0.0.1 Pokémon Dex Data'!U$3:U951,MATCH($E54,'0.0.1 Pokémon Dex Data'!$B$3:$B951,0)),0)</f>
        <v>90</v>
      </c>
      <c r="L54" s="260" t="n">
        <f aca="false" t="array" ref="L54:L54">ROUND(INDEX('0.0.1 Pokémon Dex Data'!$S$3:$S951,MATCH($E54,'0.0.1 Pokémon Dex Data'!$B$3:$B951,0))*INDEX('0.0.1 Pokémon Dex Data'!V$3:V951,MATCH($E54,'0.0.1 Pokémon Dex Data'!$B$3:$B951,0)),0)</f>
        <v>295</v>
      </c>
      <c r="M54" s="260" t="n">
        <f aca="false" t="array" ref="M54:M54">INDEX('0.0.1 Pokémon Dex Data'!$J$3:$J951,MATCH(E54,'0.0.1 Pokémon Dex Data'!$B$3:$B951,0))</f>
        <v>1</v>
      </c>
      <c r="O54" s="490"/>
      <c r="Q54" s="367" t="n">
        <f aca="false">IF('Reverse Search'!$F$4="All (including temporary formes)",1,IF('Reverse Search'!$F$4="Base Pokémon and permanent formes only",IF(F54&lt;=1,1,0),IF(F54=0,1,0)))</f>
        <v>1</v>
      </c>
      <c r="R54" s="0" t="n">
        <f aca="false">IF('Reverse Search'!$C$7="Disable",1,IF('Reverse Search'!$D$9="Disable",1,IF(OR('Reverse Search'!$F$9=H54,'Reverse Search'!$F$9=I54),1,0)))</f>
        <v>1</v>
      </c>
      <c r="S54" s="0" t="n">
        <f aca="false">IF('Reverse Search'!$C$7="Disable",1,IF('Reverse Search'!$D$10="Disable",1,IF(OR('Reverse Search'!$F$10=H54,'Reverse Search'!$F$10=I54),1,0)))</f>
        <v>1</v>
      </c>
      <c r="T54" s="0" t="n">
        <f aca="false">INDEX($B$4:$B$22,MATCH(H54,$A$4:$A$22,0))</f>
        <v>1</v>
      </c>
      <c r="U54" s="0" t="n">
        <f aca="false">IF(ISBLANK(I54),1,INDEX($B$4:$B$22,MATCH(I54,$A$4:$A$22,0)))</f>
        <v>1</v>
      </c>
      <c r="V54" s="367" t="n">
        <f aca="false">IF('Reverse Search'!$C$7="Disable",1,IF('Reverse Search'!$D$11="Disable",1,IF('Reverse Search'!$E$11="Neutral to:",IF(ROUND(T54*U54,2)&lt;=1,1,0),IF(ROUND(T54*U54,2)&lt;1,1,0))))</f>
        <v>1</v>
      </c>
      <c r="W54" s="0" t="n">
        <f aca="false">IF('Reverse Search'!$N$7="Disable",1,IF('Reverse Search'!$I$9="Disable",1,IF('Reverse Search'!$K$9="≥",IF(J54&gt;='Reverse Search'!$L$9,1,0),IF('Reverse Search'!$K$9="≤",IF(J54&lt;='Reverse Search'!$L$9,1,0),IF(J54='Reverse Search'!$L$9,1,0)))))</f>
        <v>1</v>
      </c>
      <c r="X54" s="0" t="n">
        <f aca="false">IF('Reverse Search'!$N$7="Disable",1,IF('Reverse Search'!$I$10="Disable",1,IF('Reverse Search'!$K$10="≥",IF(K54&gt;='Reverse Search'!$L$10,1,0),IF('Reverse Search'!$K$10="≤",IF(K54&lt;='Reverse Search'!$L$10,1,0),IF(K54='Reverse Search'!$L$10,1,0)))))</f>
        <v>1</v>
      </c>
      <c r="Y54" s="367" t="n">
        <f aca="false">IF('Reverse Search'!$N$7="Disable",1,IF('Reverse Search'!$I$11="Disable",1,IF('Reverse Search'!$K$11="≥",IF(L54&gt;='Reverse Search'!$L$11,1,0),IF('Reverse Search'!$K$11="≤",IF(L54&lt;='Reverse Search'!$L$11,1,0),IF(L54='Reverse Search'!$L$11,1,0)))))</f>
        <v>1</v>
      </c>
      <c r="Z54" s="0" t="n">
        <f aca="true">IF('Reverse Search'!$C$14="Disable",1,IF('Reverse Search'!$D$16="Disable",1,IF($C$2=3,IF($M54=0,0,COUNTIF(INDIRECT("'0.0.2 Pokémon Learnset (Core)'!$D$"&amp;MATCH($E54,'0.0.2 Pokémon Learnset (Core)'!$A$1:$A951,0)&amp;":$FK$"&amp;MATCH($E54,'0.0.2 Pokémon Learnset (Core)'!$A$1:$A951,0)),'Reverse Search'!$E$21)),IF($C$2=2,COUNTIF(INDIRECT("'0.1.1 Pokémon GO Moves'!$B$"&amp;MATCH($E54,'0.1.1 Pokémon GO Moves'!$A$1:$A951,0)&amp;":$R$"&amp;MATCH($E54,'0.1.1 Pokémon GO Moves'!$A$1:$A951,0)),'Reverse Search'!$E$21),COUNTIF(INDIRECT("'0.1.1 Pokémon GO Moves'!$B$"&amp;MATCH($E54,'0.1.1 Pokémon GO Moves'!$A$1:$A951,0)&amp;":$L$"&amp;MATCH($E54,'0.1.1 Pokémon GO Moves'!$A$1:$A951,0)),'Reverse Search'!$E$21)))))</f>
        <v>1</v>
      </c>
      <c r="AA54" s="0" t="n">
        <f aca="true">IF('Reverse Search'!$C$14="Disable",1,IF('Reverse Search'!$I$16="Disable",1,IF($D$2=3,IF($M54=0,0,COUNTIF(INDIRECT("'0.0.2 Pokémon Learnset (Core)'!$D$"&amp;MATCH($E54,'0.0.2 Pokémon Learnset (Core)'!$A$1:$A951,0)&amp;":$FK$"&amp;MATCH($E54,'0.0.2 Pokémon Learnset (Core)'!$A$1:$A951,0)),'Reverse Search'!$J$21)),IF($D$2=2,COUNTIF(INDIRECT("'0.1.1 Pokémon GO Moves'!$B$"&amp;MATCH($E54,'0.1.1 Pokémon GO Moves'!$A$1:$A951,0)&amp;":$R$"&amp;MATCH($E54,'0.1.1 Pokémon GO Moves'!$A$1:$A951,0)),'Reverse Search'!$J$21),COUNTIF(INDIRECT("'0.1.1 Pokémon GO Moves'!$B$"&amp;MATCH($E54,'0.1.1 Pokémon GO Moves'!$A$1:$A951,0)&amp;":$L$"&amp;MATCH($E54,'0.1.1 Pokémon GO Moves'!$A$1:$A951,0)),'Reverse Search'!$J$21)))))</f>
        <v>0</v>
      </c>
      <c r="AB54" s="490"/>
      <c r="AC54" s="260" t="n">
        <f aca="false">IF((Q54+R54+S54+V54+W54+X54+Y54+IF(Z54&gt;=1,1,0)+IF(AA54&gt;=1,1,0))=9,G54&amp;", ",)</f>
        <v>0</v>
      </c>
    </row>
    <row r="55" customFormat="false" ht="15.75" hidden="false" customHeight="false" outlineLevel="0" collapsed="false">
      <c r="A55" s="260"/>
      <c r="B55" s="358"/>
      <c r="C55" s="260" t="str">
        <f aca="false">IFERROR(__xludf.dummyfunction("""COMPUTED_VALUE"""),"Take Down")</f>
        <v>Take Down</v>
      </c>
      <c r="D55" s="358" t="str">
        <f aca="false">IFERROR(__xludf.dummyfunction("""COMPUTED_VALUE"""),"Heavy Slam")</f>
        <v>Heavy Slam</v>
      </c>
      <c r="E55" s="260" t="n">
        <v>54</v>
      </c>
      <c r="F55" s="260" t="n">
        <f aca="false" t="array" ref="F55:F55">INDEX('0.0.1 Pokémon Dex Data'!$H$3:$H951,MATCH(E55,'0.0.1 Pokémon Dex Data'!$B$3:$B951,0))</f>
        <v>0</v>
      </c>
      <c r="G55" s="0" t="str">
        <f aca="false" t="array" ref="G55:G55">INDEX('0.0.1 Pokémon Dex Data'!$E$3:$E951,MATCH(E55,'0.0.1 Pokémon Dex Data'!$B$3:$B951,0))</f>
        <v>Zubat</v>
      </c>
      <c r="H55" s="0" t="str">
        <f aca="false" t="array" ref="H55:H55">INDEX('0.0.1 Pokémon Dex Data'!$Q$3:$Q951,MATCH(E55,'0.0.1 Pokémon Dex Data'!$B$3:$B951,0))</f>
        <v>Poison</v>
      </c>
      <c r="I55" s="0" t="str">
        <f aca="false" t="array" ref="I55:I55">INDEX('0.0.1 Pokémon Dex Data'!$R$3:$R951,MATCH(E55,'0.0.1 Pokémon Dex Data'!$B$3:$B951,0))</f>
        <v>Flying</v>
      </c>
      <c r="J55" s="260" t="n">
        <f aca="false" t="array" ref="J55:J55">ROUND(INDEX('0.0.1 Pokémon Dex Data'!$S$3:$S951,MATCH($E55,'0.0.1 Pokémon Dex Data'!$B$3:$B951,0))*INDEX('0.0.1 Pokémon Dex Data'!T$3:T951,MATCH($E55,'0.0.1 Pokémon Dex Data'!$B$3:$B951,0)),0)</f>
        <v>83</v>
      </c>
      <c r="K55" s="260" t="n">
        <f aca="false" t="array" ref="K55:K55">ROUND(INDEX('0.0.1 Pokémon Dex Data'!$S$3:$S951,MATCH($E55,'0.0.1 Pokémon Dex Data'!$B$3:$B951,0))*INDEX('0.0.1 Pokémon Dex Data'!U$3:U951,MATCH($E55,'0.0.1 Pokémon Dex Data'!$B$3:$B951,0)),0)</f>
        <v>73</v>
      </c>
      <c r="L55" s="260" t="n">
        <f aca="false" t="array" ref="L55:L55">ROUND(INDEX('0.0.1 Pokémon Dex Data'!$S$3:$S951,MATCH($E55,'0.0.1 Pokémon Dex Data'!$B$3:$B951,0))*INDEX('0.0.1 Pokémon Dex Data'!V$3:V951,MATCH($E55,'0.0.1 Pokémon Dex Data'!$B$3:$B951,0)),0)</f>
        <v>120</v>
      </c>
      <c r="M55" s="260" t="n">
        <f aca="false" t="array" ref="M55:M55">INDEX('0.0.1 Pokémon Dex Data'!$J$3:$J951,MATCH(E55,'0.0.1 Pokémon Dex Data'!$B$3:$B951,0))</f>
        <v>0</v>
      </c>
      <c r="O55" s="490"/>
      <c r="Q55" s="367" t="n">
        <f aca="false">IF('Reverse Search'!$F$4="All (including temporary formes)",1,IF('Reverse Search'!$F$4="Base Pokémon and permanent formes only",IF(F55&lt;=1,1,0),IF(F55=0,1,0)))</f>
        <v>1</v>
      </c>
      <c r="R55" s="0" t="n">
        <f aca="false">IF('Reverse Search'!$C$7="Disable",1,IF('Reverse Search'!$D$9="Disable",1,IF(OR('Reverse Search'!$F$9=H55,'Reverse Search'!$F$9=I55),1,0)))</f>
        <v>1</v>
      </c>
      <c r="S55" s="0" t="n">
        <f aca="false">IF('Reverse Search'!$C$7="Disable",1,IF('Reverse Search'!$D$10="Disable",1,IF(OR('Reverse Search'!$F$10=H55,'Reverse Search'!$F$10=I55),1,0)))</f>
        <v>1</v>
      </c>
      <c r="T55" s="0" t="n">
        <f aca="false">INDEX($B$4:$B$22,MATCH(H55,$A$4:$A$22,0))</f>
        <v>1</v>
      </c>
      <c r="U55" s="0" t="n">
        <f aca="false">IF(ISBLANK(I55),1,INDEX($B$4:$B$22,MATCH(I55,$A$4:$A$22,0)))</f>
        <v>1</v>
      </c>
      <c r="V55" s="367" t="n">
        <f aca="false">IF('Reverse Search'!$C$7="Disable",1,IF('Reverse Search'!$D$11="Disable",1,IF('Reverse Search'!$E$11="Neutral to:",IF(ROUND(T55*U55,2)&lt;=1,1,0),IF(ROUND(T55*U55,2)&lt;1,1,0))))</f>
        <v>1</v>
      </c>
      <c r="W55" s="0" t="n">
        <f aca="false">IF('Reverse Search'!$N$7="Disable",1,IF('Reverse Search'!$I$9="Disable",1,IF('Reverse Search'!$K$9="≥",IF(J55&gt;='Reverse Search'!$L$9,1,0),IF('Reverse Search'!$K$9="≤",IF(J55&lt;='Reverse Search'!$L$9,1,0),IF(J55='Reverse Search'!$L$9,1,0)))))</f>
        <v>1</v>
      </c>
      <c r="X55" s="0" t="n">
        <f aca="false">IF('Reverse Search'!$N$7="Disable",1,IF('Reverse Search'!$I$10="Disable",1,IF('Reverse Search'!$K$10="≥",IF(K55&gt;='Reverse Search'!$L$10,1,0),IF('Reverse Search'!$K$10="≤",IF(K55&lt;='Reverse Search'!$L$10,1,0),IF(K55='Reverse Search'!$L$10,1,0)))))</f>
        <v>1</v>
      </c>
      <c r="Y55" s="367" t="n">
        <f aca="false">IF('Reverse Search'!$N$7="Disable",1,IF('Reverse Search'!$I$11="Disable",1,IF('Reverse Search'!$K$11="≥",IF(L55&gt;='Reverse Search'!$L$11,1,0),IF('Reverse Search'!$K$11="≤",IF(L55&lt;='Reverse Search'!$L$11,1,0),IF(L55='Reverse Search'!$L$11,1,0)))))</f>
        <v>1</v>
      </c>
      <c r="Z55" s="0" t="n">
        <f aca="true">IF('Reverse Search'!$C$14="Disable",1,IF('Reverse Search'!$D$16="Disable",1,IF($C$2=3,IF($M55=0,0,COUNTIF(INDIRECT("'0.0.2 Pokémon Learnset (Core)'!$D$"&amp;MATCH($E55,'0.0.2 Pokémon Learnset (Core)'!$A$1:$A951,0)&amp;":$FK$"&amp;MATCH($E55,'0.0.2 Pokémon Learnset (Core)'!$A$1:$A951,0)),'Reverse Search'!$E$21)),IF($C$2=2,COUNTIF(INDIRECT("'0.1.1 Pokémon GO Moves'!$B$"&amp;MATCH($E55,'0.1.1 Pokémon GO Moves'!$A$1:$A951,0)&amp;":$R$"&amp;MATCH($E55,'0.1.1 Pokémon GO Moves'!$A$1:$A951,0)),'Reverse Search'!$E$21),COUNTIF(INDIRECT("'0.1.1 Pokémon GO Moves'!$B$"&amp;MATCH($E55,'0.1.1 Pokémon GO Moves'!$A$1:$A951,0)&amp;":$L$"&amp;MATCH($E55,'0.1.1 Pokémon GO Moves'!$A$1:$A951,0)),'Reverse Search'!$E$21)))))</f>
        <v>1</v>
      </c>
      <c r="AA55" s="0" t="n">
        <f aca="true">IF('Reverse Search'!$C$14="Disable",1,IF('Reverse Search'!$I$16="Disable",1,IF($D$2=3,IF($M55=0,0,COUNTIF(INDIRECT("'0.0.2 Pokémon Learnset (Core)'!$D$"&amp;MATCH($E55,'0.0.2 Pokémon Learnset (Core)'!$A$1:$A951,0)&amp;":$FK$"&amp;MATCH($E55,'0.0.2 Pokémon Learnset (Core)'!$A$1:$A951,0)),'Reverse Search'!$J$21)),IF($D$2=2,COUNTIF(INDIRECT("'0.1.1 Pokémon GO Moves'!$B$"&amp;MATCH($E55,'0.1.1 Pokémon GO Moves'!$A$1:$A951,0)&amp;":$R$"&amp;MATCH($E55,'0.1.1 Pokémon GO Moves'!$A$1:$A951,0)),'Reverse Search'!$J$21),COUNTIF(INDIRECT("'0.1.1 Pokémon GO Moves'!$B$"&amp;MATCH($E55,'0.1.1 Pokémon GO Moves'!$A$1:$A951,0)&amp;":$L$"&amp;MATCH($E55,'0.1.1 Pokémon GO Moves'!$A$1:$A951,0)),'Reverse Search'!$J$21)))))</f>
        <v>0</v>
      </c>
      <c r="AB55" s="490"/>
      <c r="AC55" s="260" t="n">
        <f aca="false">IF((Q55+R55+S55+V55+W55+X55+Y55+IF(Z55&gt;=1,1,0)+IF(AA55&gt;=1,1,0))=9,G55&amp;", ",)</f>
        <v>0</v>
      </c>
    </row>
    <row r="56" customFormat="false" ht="15.75" hidden="false" customHeight="false" outlineLevel="0" collapsed="false">
      <c r="A56" s="260"/>
      <c r="B56" s="358"/>
      <c r="C56" s="260" t="str">
        <f aca="false">IFERROR(__xludf.dummyfunction("""COMPUTED_VALUE"""),"Thunder Shock")</f>
        <v>Thunder Shock</v>
      </c>
      <c r="D56" s="358" t="str">
        <f aca="false">IFERROR(__xludf.dummyfunction("""COMPUTED_VALUE"""),"Horn Attack")</f>
        <v>Horn Attack</v>
      </c>
      <c r="E56" s="260" t="n">
        <v>55</v>
      </c>
      <c r="F56" s="260" t="n">
        <f aca="false" t="array" ref="F56:F56">INDEX('0.0.1 Pokémon Dex Data'!$H$3:$H951,MATCH(E56,'0.0.1 Pokémon Dex Data'!$B$3:$B951,0))</f>
        <v>0</v>
      </c>
      <c r="G56" s="0" t="str">
        <f aca="false" t="array" ref="G56:G56">INDEX('0.0.1 Pokémon Dex Data'!$E$3:$E951,MATCH(E56,'0.0.1 Pokémon Dex Data'!$B$3:$B951,0))</f>
        <v>Golbat</v>
      </c>
      <c r="H56" s="0" t="str">
        <f aca="false" t="array" ref="H56:H56">INDEX('0.0.1 Pokémon Dex Data'!$Q$3:$Q951,MATCH(E56,'0.0.1 Pokémon Dex Data'!$B$3:$B951,0))</f>
        <v>Poison</v>
      </c>
      <c r="I56" s="0" t="str">
        <f aca="false" t="array" ref="I56:I56">INDEX('0.0.1 Pokémon Dex Data'!$R$3:$R951,MATCH(E56,'0.0.1 Pokémon Dex Data'!$B$3:$B951,0))</f>
        <v>Flying</v>
      </c>
      <c r="J56" s="260" t="n">
        <f aca="false" t="array" ref="J56:J56">ROUND(INDEX('0.0.1 Pokémon Dex Data'!$S$3:$S951,MATCH($E56,'0.0.1 Pokémon Dex Data'!$B$3:$B951,0))*INDEX('0.0.1 Pokémon Dex Data'!T$3:T951,MATCH($E56,'0.0.1 Pokémon Dex Data'!$B$3:$B951,0)),0)</f>
        <v>161</v>
      </c>
      <c r="K56" s="260" t="n">
        <f aca="false" t="array" ref="K56:K56">ROUND(INDEX('0.0.1 Pokémon Dex Data'!$S$3:$S951,MATCH($E56,'0.0.1 Pokémon Dex Data'!$B$3:$B951,0))*INDEX('0.0.1 Pokémon Dex Data'!U$3:U951,MATCH($E56,'0.0.1 Pokémon Dex Data'!$B$3:$B951,0)),0)</f>
        <v>150</v>
      </c>
      <c r="L56" s="260" t="n">
        <f aca="false" t="array" ref="L56:L56">ROUND(INDEX('0.0.1 Pokémon Dex Data'!$S$3:$S951,MATCH($E56,'0.0.1 Pokémon Dex Data'!$B$3:$B951,0))*INDEX('0.0.1 Pokémon Dex Data'!V$3:V951,MATCH($E56,'0.0.1 Pokémon Dex Data'!$B$3:$B951,0)),0)</f>
        <v>181</v>
      </c>
      <c r="M56" s="260" t="n">
        <f aca="false" t="array" ref="M56:M56">INDEX('0.0.1 Pokémon Dex Data'!$J$3:$J951,MATCH(E56,'0.0.1 Pokémon Dex Data'!$B$3:$B951,0))</f>
        <v>1</v>
      </c>
      <c r="O56" s="490"/>
      <c r="Q56" s="367" t="n">
        <f aca="false">IF('Reverse Search'!$F$4="All (including temporary formes)",1,IF('Reverse Search'!$F$4="Base Pokémon and permanent formes only",IF(F56&lt;=1,1,0),IF(F56=0,1,0)))</f>
        <v>1</v>
      </c>
      <c r="R56" s="0" t="n">
        <f aca="false">IF('Reverse Search'!$C$7="Disable",1,IF('Reverse Search'!$D$9="Disable",1,IF(OR('Reverse Search'!$F$9=H56,'Reverse Search'!$F$9=I56),1,0)))</f>
        <v>1</v>
      </c>
      <c r="S56" s="0" t="n">
        <f aca="false">IF('Reverse Search'!$C$7="Disable",1,IF('Reverse Search'!$D$10="Disable",1,IF(OR('Reverse Search'!$F$10=H56,'Reverse Search'!$F$10=I56),1,0)))</f>
        <v>1</v>
      </c>
      <c r="T56" s="0" t="n">
        <f aca="false">INDEX($B$4:$B$22,MATCH(H56,$A$4:$A$22,0))</f>
        <v>1</v>
      </c>
      <c r="U56" s="0" t="n">
        <f aca="false">IF(ISBLANK(I56),1,INDEX($B$4:$B$22,MATCH(I56,$A$4:$A$22,0)))</f>
        <v>1</v>
      </c>
      <c r="V56" s="367" t="n">
        <f aca="false">IF('Reverse Search'!$C$7="Disable",1,IF('Reverse Search'!$D$11="Disable",1,IF('Reverse Search'!$E$11="Neutral to:",IF(ROUND(T56*U56,2)&lt;=1,1,0),IF(ROUND(T56*U56,2)&lt;1,1,0))))</f>
        <v>1</v>
      </c>
      <c r="W56" s="0" t="n">
        <f aca="false">IF('Reverse Search'!$N$7="Disable",1,IF('Reverse Search'!$I$9="Disable",1,IF('Reverse Search'!$K$9="≥",IF(J56&gt;='Reverse Search'!$L$9,1,0),IF('Reverse Search'!$K$9="≤",IF(J56&lt;='Reverse Search'!$L$9,1,0),IF(J56='Reverse Search'!$L$9,1,0)))))</f>
        <v>1</v>
      </c>
      <c r="X56" s="0" t="n">
        <f aca="false">IF('Reverse Search'!$N$7="Disable",1,IF('Reverse Search'!$I$10="Disable",1,IF('Reverse Search'!$K$10="≥",IF(K56&gt;='Reverse Search'!$L$10,1,0),IF('Reverse Search'!$K$10="≤",IF(K56&lt;='Reverse Search'!$L$10,1,0),IF(K56='Reverse Search'!$L$10,1,0)))))</f>
        <v>1</v>
      </c>
      <c r="Y56" s="367" t="n">
        <f aca="false">IF('Reverse Search'!$N$7="Disable",1,IF('Reverse Search'!$I$11="Disable",1,IF('Reverse Search'!$K$11="≥",IF(L56&gt;='Reverse Search'!$L$11,1,0),IF('Reverse Search'!$K$11="≤",IF(L56&lt;='Reverse Search'!$L$11,1,0),IF(L56='Reverse Search'!$L$11,1,0)))))</f>
        <v>1</v>
      </c>
      <c r="Z56" s="0" t="n">
        <f aca="true">IF('Reverse Search'!$C$14="Disable",1,IF('Reverse Search'!$D$16="Disable",1,IF($C$2=3,IF($M56=0,0,COUNTIF(INDIRECT("'0.0.2 Pokémon Learnset (Core)'!$D$"&amp;MATCH($E56,'0.0.2 Pokémon Learnset (Core)'!$A$1:$A951,0)&amp;":$FK$"&amp;MATCH($E56,'0.0.2 Pokémon Learnset (Core)'!$A$1:$A951,0)),'Reverse Search'!$E$21)),IF($C$2=2,COUNTIF(INDIRECT("'0.1.1 Pokémon GO Moves'!$B$"&amp;MATCH($E56,'0.1.1 Pokémon GO Moves'!$A$1:$A951,0)&amp;":$R$"&amp;MATCH($E56,'0.1.1 Pokémon GO Moves'!$A$1:$A951,0)),'Reverse Search'!$E$21),COUNTIF(INDIRECT("'0.1.1 Pokémon GO Moves'!$B$"&amp;MATCH($E56,'0.1.1 Pokémon GO Moves'!$A$1:$A951,0)&amp;":$L$"&amp;MATCH($E56,'0.1.1 Pokémon GO Moves'!$A$1:$A951,0)),'Reverse Search'!$E$21)))))</f>
        <v>1</v>
      </c>
      <c r="AA56" s="0" t="n">
        <f aca="true">IF('Reverse Search'!$C$14="Disable",1,IF('Reverse Search'!$I$16="Disable",1,IF($D$2=3,IF($M56=0,0,COUNTIF(INDIRECT("'0.0.2 Pokémon Learnset (Core)'!$D$"&amp;MATCH($E56,'0.0.2 Pokémon Learnset (Core)'!$A$1:$A951,0)&amp;":$FK$"&amp;MATCH($E56,'0.0.2 Pokémon Learnset (Core)'!$A$1:$A951,0)),'Reverse Search'!$J$21)),IF($D$2=2,COUNTIF(INDIRECT("'0.1.1 Pokémon GO Moves'!$B$"&amp;MATCH($E56,'0.1.1 Pokémon GO Moves'!$A$1:$A951,0)&amp;":$R$"&amp;MATCH($E56,'0.1.1 Pokémon GO Moves'!$A$1:$A951,0)),'Reverse Search'!$J$21),COUNTIF(INDIRECT("'0.1.1 Pokémon GO Moves'!$B$"&amp;MATCH($E56,'0.1.1 Pokémon GO Moves'!$A$1:$A951,0)&amp;":$L$"&amp;MATCH($E56,'0.1.1 Pokémon GO Moves'!$A$1:$A951,0)),'Reverse Search'!$J$21)))))</f>
        <v>0</v>
      </c>
      <c r="AB56" s="490"/>
      <c r="AC56" s="260" t="n">
        <f aca="false">IF((Q56+R56+S56+V56+W56+X56+Y56+IF(Z56&gt;=1,1,0)+IF(AA56&gt;=1,1,0))=9,G56&amp;", ",)</f>
        <v>0</v>
      </c>
    </row>
    <row r="57" customFormat="false" ht="15.75" hidden="false" customHeight="false" outlineLevel="0" collapsed="false">
      <c r="A57" s="260"/>
      <c r="B57" s="358"/>
      <c r="C57" s="260" t="str">
        <f aca="false">IFERROR(__xludf.dummyfunction("""COMPUTED_VALUE"""),"Transform")</f>
        <v>Transform</v>
      </c>
      <c r="D57" s="358" t="str">
        <f aca="false">IFERROR(__xludf.dummyfunction("""COMPUTED_VALUE"""),"Hurricane")</f>
        <v>Hurricane</v>
      </c>
      <c r="E57" s="260" t="n">
        <v>56</v>
      </c>
      <c r="F57" s="260" t="n">
        <f aca="false" t="array" ref="F57:F57">INDEX('0.0.1 Pokémon Dex Data'!$H$3:$H951,MATCH(E57,'0.0.1 Pokémon Dex Data'!$B$3:$B951,0))</f>
        <v>0</v>
      </c>
      <c r="G57" s="0" t="str">
        <f aca="false" t="array" ref="G57:G57">INDEX('0.0.1 Pokémon Dex Data'!$E$3:$E951,MATCH(E57,'0.0.1 Pokémon Dex Data'!$B$3:$B951,0))</f>
        <v>Oddish</v>
      </c>
      <c r="H57" s="0" t="str">
        <f aca="false" t="array" ref="H57:H57">INDEX('0.0.1 Pokémon Dex Data'!$Q$3:$Q951,MATCH(E57,'0.0.1 Pokémon Dex Data'!$B$3:$B951,0))</f>
        <v>Grass</v>
      </c>
      <c r="I57" s="0" t="str">
        <f aca="false" t="array" ref="I57:I57">INDEX('0.0.1 Pokémon Dex Data'!$R$3:$R951,MATCH(E57,'0.0.1 Pokémon Dex Data'!$B$3:$B951,0))</f>
        <v>Poison</v>
      </c>
      <c r="J57" s="260" t="n">
        <f aca="false" t="array" ref="J57:J57">ROUND(INDEX('0.0.1 Pokémon Dex Data'!$S$3:$S951,MATCH($E57,'0.0.1 Pokémon Dex Data'!$B$3:$B951,0))*INDEX('0.0.1 Pokémon Dex Data'!T$3:T951,MATCH($E57,'0.0.1 Pokémon Dex Data'!$B$3:$B951,0)),0)</f>
        <v>131</v>
      </c>
      <c r="K57" s="260" t="n">
        <f aca="false" t="array" ref="K57:K57">ROUND(INDEX('0.0.1 Pokémon Dex Data'!$S$3:$S951,MATCH($E57,'0.0.1 Pokémon Dex Data'!$B$3:$B951,0))*INDEX('0.0.1 Pokémon Dex Data'!U$3:U951,MATCH($E57,'0.0.1 Pokémon Dex Data'!$B$3:$B951,0)),0)</f>
        <v>112</v>
      </c>
      <c r="L57" s="260" t="n">
        <f aca="false" t="array" ref="L57:L57">ROUND(INDEX('0.0.1 Pokémon Dex Data'!$S$3:$S951,MATCH($E57,'0.0.1 Pokémon Dex Data'!$B$3:$B951,0))*INDEX('0.0.1 Pokémon Dex Data'!V$3:V951,MATCH($E57,'0.0.1 Pokémon Dex Data'!$B$3:$B951,0)),0)</f>
        <v>128</v>
      </c>
      <c r="M57" s="260" t="n">
        <f aca="false" t="array" ref="M57:M57">INDEX('0.0.1 Pokémon Dex Data'!$J$3:$J951,MATCH(E57,'0.0.1 Pokémon Dex Data'!$B$3:$B951,0))</f>
        <v>0</v>
      </c>
      <c r="O57" s="490"/>
      <c r="Q57" s="367" t="n">
        <f aca="false">IF('Reverse Search'!$F$4="All (including temporary formes)",1,IF('Reverse Search'!$F$4="Base Pokémon and permanent formes only",IF(F57&lt;=1,1,0),IF(F57=0,1,0)))</f>
        <v>1</v>
      </c>
      <c r="R57" s="0" t="n">
        <f aca="false">IF('Reverse Search'!$C$7="Disable",1,IF('Reverse Search'!$D$9="Disable",1,IF(OR('Reverse Search'!$F$9=H57,'Reverse Search'!$F$9=I57),1,0)))</f>
        <v>1</v>
      </c>
      <c r="S57" s="0" t="n">
        <f aca="false">IF('Reverse Search'!$C$7="Disable",1,IF('Reverse Search'!$D$10="Disable",1,IF(OR('Reverse Search'!$F$10=H57,'Reverse Search'!$F$10=I57),1,0)))</f>
        <v>1</v>
      </c>
      <c r="T57" s="0" t="n">
        <f aca="false">INDEX($B$4:$B$22,MATCH(H57,$A$4:$A$22,0))</f>
        <v>1</v>
      </c>
      <c r="U57" s="0" t="n">
        <f aca="false">IF(ISBLANK(I57),1,INDEX($B$4:$B$22,MATCH(I57,$A$4:$A$22,0)))</f>
        <v>1</v>
      </c>
      <c r="V57" s="367" t="n">
        <f aca="false">IF('Reverse Search'!$C$7="Disable",1,IF('Reverse Search'!$D$11="Disable",1,IF('Reverse Search'!$E$11="Neutral to:",IF(ROUND(T57*U57,2)&lt;=1,1,0),IF(ROUND(T57*U57,2)&lt;1,1,0))))</f>
        <v>1</v>
      </c>
      <c r="W57" s="0" t="n">
        <f aca="false">IF('Reverse Search'!$N$7="Disable",1,IF('Reverse Search'!$I$9="Disable",1,IF('Reverse Search'!$K$9="≥",IF(J57&gt;='Reverse Search'!$L$9,1,0),IF('Reverse Search'!$K$9="≤",IF(J57&lt;='Reverse Search'!$L$9,1,0),IF(J57='Reverse Search'!$L$9,1,0)))))</f>
        <v>1</v>
      </c>
      <c r="X57" s="0" t="n">
        <f aca="false">IF('Reverse Search'!$N$7="Disable",1,IF('Reverse Search'!$I$10="Disable",1,IF('Reverse Search'!$K$10="≥",IF(K57&gt;='Reverse Search'!$L$10,1,0),IF('Reverse Search'!$K$10="≤",IF(K57&lt;='Reverse Search'!$L$10,1,0),IF(K57='Reverse Search'!$L$10,1,0)))))</f>
        <v>1</v>
      </c>
      <c r="Y57" s="367" t="n">
        <f aca="false">IF('Reverse Search'!$N$7="Disable",1,IF('Reverse Search'!$I$11="Disable",1,IF('Reverse Search'!$K$11="≥",IF(L57&gt;='Reverse Search'!$L$11,1,0),IF('Reverse Search'!$K$11="≤",IF(L57&lt;='Reverse Search'!$L$11,1,0),IF(L57='Reverse Search'!$L$11,1,0)))))</f>
        <v>1</v>
      </c>
      <c r="Z57" s="0" t="n">
        <f aca="true">IF('Reverse Search'!$C$14="Disable",1,IF('Reverse Search'!$D$16="Disable",1,IF($C$2=3,IF($M57=0,0,COUNTIF(INDIRECT("'0.0.2 Pokémon Learnset (Core)'!$D$"&amp;MATCH($E57,'0.0.2 Pokémon Learnset (Core)'!$A$1:$A951,0)&amp;":$FK$"&amp;MATCH($E57,'0.0.2 Pokémon Learnset (Core)'!$A$1:$A951,0)),'Reverse Search'!$E$21)),IF($C$2=2,COUNTIF(INDIRECT("'0.1.1 Pokémon GO Moves'!$B$"&amp;MATCH($E57,'0.1.1 Pokémon GO Moves'!$A$1:$A951,0)&amp;":$R$"&amp;MATCH($E57,'0.1.1 Pokémon GO Moves'!$A$1:$A951,0)),'Reverse Search'!$E$21),COUNTIF(INDIRECT("'0.1.1 Pokémon GO Moves'!$B$"&amp;MATCH($E57,'0.1.1 Pokémon GO Moves'!$A$1:$A951,0)&amp;":$L$"&amp;MATCH($E57,'0.1.1 Pokémon GO Moves'!$A$1:$A951,0)),'Reverse Search'!$E$21)))))</f>
        <v>1</v>
      </c>
      <c r="AA57" s="0" t="n">
        <f aca="true">IF('Reverse Search'!$C$14="Disable",1,IF('Reverse Search'!$I$16="Disable",1,IF($D$2=3,IF($M57=0,0,COUNTIF(INDIRECT("'0.0.2 Pokémon Learnset (Core)'!$D$"&amp;MATCH($E57,'0.0.2 Pokémon Learnset (Core)'!$A$1:$A951,0)&amp;":$FK$"&amp;MATCH($E57,'0.0.2 Pokémon Learnset (Core)'!$A$1:$A951,0)),'Reverse Search'!$J$21)),IF($D$2=2,COUNTIF(INDIRECT("'0.1.1 Pokémon GO Moves'!$B$"&amp;MATCH($E57,'0.1.1 Pokémon GO Moves'!$A$1:$A951,0)&amp;":$R$"&amp;MATCH($E57,'0.1.1 Pokémon GO Moves'!$A$1:$A951,0)),'Reverse Search'!$J$21),COUNTIF(INDIRECT("'0.1.1 Pokémon GO Moves'!$B$"&amp;MATCH($E57,'0.1.1 Pokémon GO Moves'!$A$1:$A951,0)&amp;":$L$"&amp;MATCH($E57,'0.1.1 Pokémon GO Moves'!$A$1:$A951,0)),'Reverse Search'!$J$21)))))</f>
        <v>0</v>
      </c>
      <c r="AB57" s="490"/>
      <c r="AC57" s="260" t="n">
        <f aca="false">IF((Q57+R57+S57+V57+W57+X57+Y57+IF(Z57&gt;=1,1,0)+IF(AA57&gt;=1,1,0))=9,G57&amp;", ",)</f>
        <v>0</v>
      </c>
    </row>
    <row r="58" customFormat="false" ht="15.75" hidden="false" customHeight="false" outlineLevel="0" collapsed="false">
      <c r="A58" s="260"/>
      <c r="B58" s="358"/>
      <c r="C58" s="260" t="str">
        <f aca="false">IFERROR(__xludf.dummyfunction("""COMPUTED_VALUE"""),"Vine Whip")</f>
        <v>Vine Whip</v>
      </c>
      <c r="D58" s="358" t="str">
        <f aca="false">IFERROR(__xludf.dummyfunction("""COMPUTED_VALUE"""),"Hydro Pump")</f>
        <v>Hydro Pump</v>
      </c>
      <c r="E58" s="260" t="n">
        <v>57</v>
      </c>
      <c r="F58" s="260" t="n">
        <f aca="false" t="array" ref="F58:F58">INDEX('0.0.1 Pokémon Dex Data'!$H$3:$H951,MATCH(E58,'0.0.1 Pokémon Dex Data'!$B$3:$B951,0))</f>
        <v>0</v>
      </c>
      <c r="G58" s="0" t="str">
        <f aca="false" t="array" ref="G58:G58">INDEX('0.0.1 Pokémon Dex Data'!$E$3:$E951,MATCH(E58,'0.0.1 Pokémon Dex Data'!$B$3:$B951,0))</f>
        <v>Gloom</v>
      </c>
      <c r="H58" s="0" t="str">
        <f aca="false" t="array" ref="H58:H58">INDEX('0.0.1 Pokémon Dex Data'!$Q$3:$Q951,MATCH(E58,'0.0.1 Pokémon Dex Data'!$B$3:$B951,0))</f>
        <v>Grass</v>
      </c>
      <c r="I58" s="0" t="str">
        <f aca="false" t="array" ref="I58:I58">INDEX('0.0.1 Pokémon Dex Data'!$R$3:$R951,MATCH(E58,'0.0.1 Pokémon Dex Data'!$B$3:$B951,0))</f>
        <v>Poison</v>
      </c>
      <c r="J58" s="260" t="n">
        <f aca="false" t="array" ref="J58:J58">ROUND(INDEX('0.0.1 Pokémon Dex Data'!$S$3:$S951,MATCH($E58,'0.0.1 Pokémon Dex Data'!$B$3:$B951,0))*INDEX('0.0.1 Pokémon Dex Data'!T$3:T951,MATCH($E58,'0.0.1 Pokémon Dex Data'!$B$3:$B951,0)),0)</f>
        <v>153</v>
      </c>
      <c r="K58" s="260" t="n">
        <f aca="false" t="array" ref="K58:K58">ROUND(INDEX('0.0.1 Pokémon Dex Data'!$S$3:$S951,MATCH($E58,'0.0.1 Pokémon Dex Data'!$B$3:$B951,0))*INDEX('0.0.1 Pokémon Dex Data'!U$3:U951,MATCH($E58,'0.0.1 Pokémon Dex Data'!$B$3:$B951,0)),0)</f>
        <v>136</v>
      </c>
      <c r="L58" s="260" t="n">
        <f aca="false" t="array" ref="L58:L58">ROUND(INDEX('0.0.1 Pokémon Dex Data'!$S$3:$S951,MATCH($E58,'0.0.1 Pokémon Dex Data'!$B$3:$B951,0))*INDEX('0.0.1 Pokémon Dex Data'!V$3:V951,MATCH($E58,'0.0.1 Pokémon Dex Data'!$B$3:$B951,0)),0)</f>
        <v>155</v>
      </c>
      <c r="M58" s="260" t="n">
        <f aca="false" t="array" ref="M58:M58">INDEX('0.0.1 Pokémon Dex Data'!$J$3:$J951,MATCH(E58,'0.0.1 Pokémon Dex Data'!$B$3:$B951,0))</f>
        <v>0</v>
      </c>
      <c r="O58" s="490"/>
      <c r="Q58" s="367" t="n">
        <f aca="false">IF('Reverse Search'!$F$4="All (including temporary formes)",1,IF('Reverse Search'!$F$4="Base Pokémon and permanent formes only",IF(F58&lt;=1,1,0),IF(F58=0,1,0)))</f>
        <v>1</v>
      </c>
      <c r="R58" s="0" t="n">
        <f aca="false">IF('Reverse Search'!$C$7="Disable",1,IF('Reverse Search'!$D$9="Disable",1,IF(OR('Reverse Search'!$F$9=H58,'Reverse Search'!$F$9=I58),1,0)))</f>
        <v>1</v>
      </c>
      <c r="S58" s="0" t="n">
        <f aca="false">IF('Reverse Search'!$C$7="Disable",1,IF('Reverse Search'!$D$10="Disable",1,IF(OR('Reverse Search'!$F$10=H58,'Reverse Search'!$F$10=I58),1,0)))</f>
        <v>1</v>
      </c>
      <c r="T58" s="0" t="n">
        <f aca="false">INDEX($B$4:$B$22,MATCH(H58,$A$4:$A$22,0))</f>
        <v>1</v>
      </c>
      <c r="U58" s="0" t="n">
        <f aca="false">IF(ISBLANK(I58),1,INDEX($B$4:$B$22,MATCH(I58,$A$4:$A$22,0)))</f>
        <v>1</v>
      </c>
      <c r="V58" s="367" t="n">
        <f aca="false">IF('Reverse Search'!$C$7="Disable",1,IF('Reverse Search'!$D$11="Disable",1,IF('Reverse Search'!$E$11="Neutral to:",IF(ROUND(T58*U58,2)&lt;=1,1,0),IF(ROUND(T58*U58,2)&lt;1,1,0))))</f>
        <v>1</v>
      </c>
      <c r="W58" s="0" t="n">
        <f aca="false">IF('Reverse Search'!$N$7="Disable",1,IF('Reverse Search'!$I$9="Disable",1,IF('Reverse Search'!$K$9="≥",IF(J58&gt;='Reverse Search'!$L$9,1,0),IF('Reverse Search'!$K$9="≤",IF(J58&lt;='Reverse Search'!$L$9,1,0),IF(J58='Reverse Search'!$L$9,1,0)))))</f>
        <v>1</v>
      </c>
      <c r="X58" s="0" t="n">
        <f aca="false">IF('Reverse Search'!$N$7="Disable",1,IF('Reverse Search'!$I$10="Disable",1,IF('Reverse Search'!$K$10="≥",IF(K58&gt;='Reverse Search'!$L$10,1,0),IF('Reverse Search'!$K$10="≤",IF(K58&lt;='Reverse Search'!$L$10,1,0),IF(K58='Reverse Search'!$L$10,1,0)))))</f>
        <v>1</v>
      </c>
      <c r="Y58" s="367" t="n">
        <f aca="false">IF('Reverse Search'!$N$7="Disable",1,IF('Reverse Search'!$I$11="Disable",1,IF('Reverse Search'!$K$11="≥",IF(L58&gt;='Reverse Search'!$L$11,1,0),IF('Reverse Search'!$K$11="≤",IF(L58&lt;='Reverse Search'!$L$11,1,0),IF(L58='Reverse Search'!$L$11,1,0)))))</f>
        <v>1</v>
      </c>
      <c r="Z58" s="0" t="n">
        <f aca="true">IF('Reverse Search'!$C$14="Disable",1,IF('Reverse Search'!$D$16="Disable",1,IF($C$2=3,IF($M58=0,0,COUNTIF(INDIRECT("'0.0.2 Pokémon Learnset (Core)'!$D$"&amp;MATCH($E58,'0.0.2 Pokémon Learnset (Core)'!$A$1:$A951,0)&amp;":$FK$"&amp;MATCH($E58,'0.0.2 Pokémon Learnset (Core)'!$A$1:$A951,0)),'Reverse Search'!$E$21)),IF($C$2=2,COUNTIF(INDIRECT("'0.1.1 Pokémon GO Moves'!$B$"&amp;MATCH($E58,'0.1.1 Pokémon GO Moves'!$A$1:$A951,0)&amp;":$R$"&amp;MATCH($E58,'0.1.1 Pokémon GO Moves'!$A$1:$A951,0)),'Reverse Search'!$E$21),COUNTIF(INDIRECT("'0.1.1 Pokémon GO Moves'!$B$"&amp;MATCH($E58,'0.1.1 Pokémon GO Moves'!$A$1:$A951,0)&amp;":$L$"&amp;MATCH($E58,'0.1.1 Pokémon GO Moves'!$A$1:$A951,0)),'Reverse Search'!$E$21)))))</f>
        <v>1</v>
      </c>
      <c r="AA58" s="0" t="n">
        <f aca="true">IF('Reverse Search'!$C$14="Disable",1,IF('Reverse Search'!$I$16="Disable",1,IF($D$2=3,IF($M58=0,0,COUNTIF(INDIRECT("'0.0.2 Pokémon Learnset (Core)'!$D$"&amp;MATCH($E58,'0.0.2 Pokémon Learnset (Core)'!$A$1:$A951,0)&amp;":$FK$"&amp;MATCH($E58,'0.0.2 Pokémon Learnset (Core)'!$A$1:$A951,0)),'Reverse Search'!$J$21)),IF($D$2=2,COUNTIF(INDIRECT("'0.1.1 Pokémon GO Moves'!$B$"&amp;MATCH($E58,'0.1.1 Pokémon GO Moves'!$A$1:$A951,0)&amp;":$R$"&amp;MATCH($E58,'0.1.1 Pokémon GO Moves'!$A$1:$A951,0)),'Reverse Search'!$J$21),COUNTIF(INDIRECT("'0.1.1 Pokémon GO Moves'!$B$"&amp;MATCH($E58,'0.1.1 Pokémon GO Moves'!$A$1:$A951,0)&amp;":$L$"&amp;MATCH($E58,'0.1.1 Pokémon GO Moves'!$A$1:$A951,0)),'Reverse Search'!$J$21)))))</f>
        <v>0</v>
      </c>
      <c r="AB58" s="490"/>
      <c r="AC58" s="260" t="n">
        <f aca="false">IF((Q58+R58+S58+V58+W58+X58+Y58+IF(Z58&gt;=1,1,0)+IF(AA58&gt;=1,1,0))=9,G58&amp;", ",)</f>
        <v>0</v>
      </c>
    </row>
    <row r="59" customFormat="false" ht="15.75" hidden="false" customHeight="false" outlineLevel="0" collapsed="false">
      <c r="A59" s="260"/>
      <c r="B59" s="358"/>
      <c r="C59" s="260" t="str">
        <f aca="false">IFERROR(__xludf.dummyfunction("""COMPUTED_VALUE"""),"Volt Switch")</f>
        <v>Volt Switch</v>
      </c>
      <c r="D59" s="358" t="str">
        <f aca="false">IFERROR(__xludf.dummyfunction("""COMPUTED_VALUE"""),"Hyper Beam")</f>
        <v>Hyper Beam</v>
      </c>
      <c r="E59" s="260" t="n">
        <v>58</v>
      </c>
      <c r="F59" s="260" t="n">
        <f aca="false" t="array" ref="F59:F59">INDEX('0.0.1 Pokémon Dex Data'!$H$3:$H951,MATCH(E59,'0.0.1 Pokémon Dex Data'!$B$3:$B951,0))</f>
        <v>0</v>
      </c>
      <c r="G59" s="0" t="str">
        <f aca="false" t="array" ref="G59:G59">INDEX('0.0.1 Pokémon Dex Data'!$E$3:$E951,MATCH(E59,'0.0.1 Pokémon Dex Data'!$B$3:$B951,0))</f>
        <v>Vileplume</v>
      </c>
      <c r="H59" s="0" t="str">
        <f aca="false" t="array" ref="H59:H59">INDEX('0.0.1 Pokémon Dex Data'!$Q$3:$Q951,MATCH(E59,'0.0.1 Pokémon Dex Data'!$B$3:$B951,0))</f>
        <v>Grass</v>
      </c>
      <c r="I59" s="0" t="str">
        <f aca="false" t="array" ref="I59:I59">INDEX('0.0.1 Pokémon Dex Data'!$R$3:$R951,MATCH(E59,'0.0.1 Pokémon Dex Data'!$B$3:$B951,0))</f>
        <v>Poison</v>
      </c>
      <c r="J59" s="260" t="n">
        <f aca="false" t="array" ref="J59:J59">ROUND(INDEX('0.0.1 Pokémon Dex Data'!$S$3:$S951,MATCH($E59,'0.0.1 Pokémon Dex Data'!$B$3:$B951,0))*INDEX('0.0.1 Pokémon Dex Data'!T$3:T951,MATCH($E59,'0.0.1 Pokémon Dex Data'!$B$3:$B951,0)),0)</f>
        <v>202</v>
      </c>
      <c r="K59" s="260" t="n">
        <f aca="false" t="array" ref="K59:K59">ROUND(INDEX('0.0.1 Pokémon Dex Data'!$S$3:$S951,MATCH($E59,'0.0.1 Pokémon Dex Data'!$B$3:$B951,0))*INDEX('0.0.1 Pokémon Dex Data'!U$3:U951,MATCH($E59,'0.0.1 Pokémon Dex Data'!$B$3:$B951,0)),0)</f>
        <v>167</v>
      </c>
      <c r="L59" s="260" t="n">
        <f aca="false" t="array" ref="L59:L59">ROUND(INDEX('0.0.1 Pokémon Dex Data'!$S$3:$S951,MATCH($E59,'0.0.1 Pokémon Dex Data'!$B$3:$B951,0))*INDEX('0.0.1 Pokémon Dex Data'!V$3:V951,MATCH($E59,'0.0.1 Pokémon Dex Data'!$B$3:$B951,0)),0)</f>
        <v>181</v>
      </c>
      <c r="M59" s="260" t="n">
        <f aca="false" t="array" ref="M59:M59">INDEX('0.0.1 Pokémon Dex Data'!$J$3:$J951,MATCH(E59,'0.0.1 Pokémon Dex Data'!$B$3:$B951,0))</f>
        <v>1</v>
      </c>
      <c r="O59" s="490"/>
      <c r="Q59" s="367" t="n">
        <f aca="false">IF('Reverse Search'!$F$4="All (including temporary formes)",1,IF('Reverse Search'!$F$4="Base Pokémon and permanent formes only",IF(F59&lt;=1,1,0),IF(F59=0,1,0)))</f>
        <v>1</v>
      </c>
      <c r="R59" s="0" t="n">
        <f aca="false">IF('Reverse Search'!$C$7="Disable",1,IF('Reverse Search'!$D$9="Disable",1,IF(OR('Reverse Search'!$F$9=H59,'Reverse Search'!$F$9=I59),1,0)))</f>
        <v>1</v>
      </c>
      <c r="S59" s="0" t="n">
        <f aca="false">IF('Reverse Search'!$C$7="Disable",1,IF('Reverse Search'!$D$10="Disable",1,IF(OR('Reverse Search'!$F$10=H59,'Reverse Search'!$F$10=I59),1,0)))</f>
        <v>1</v>
      </c>
      <c r="T59" s="0" t="n">
        <f aca="false">INDEX($B$4:$B$22,MATCH(H59,$A$4:$A$22,0))</f>
        <v>1</v>
      </c>
      <c r="U59" s="0" t="n">
        <f aca="false">IF(ISBLANK(I59),1,INDEX($B$4:$B$22,MATCH(I59,$A$4:$A$22,0)))</f>
        <v>1</v>
      </c>
      <c r="V59" s="367" t="n">
        <f aca="false">IF('Reverse Search'!$C$7="Disable",1,IF('Reverse Search'!$D$11="Disable",1,IF('Reverse Search'!$E$11="Neutral to:",IF(ROUND(T59*U59,2)&lt;=1,1,0),IF(ROUND(T59*U59,2)&lt;1,1,0))))</f>
        <v>1</v>
      </c>
      <c r="W59" s="0" t="n">
        <f aca="false">IF('Reverse Search'!$N$7="Disable",1,IF('Reverse Search'!$I$9="Disable",1,IF('Reverse Search'!$K$9="≥",IF(J59&gt;='Reverse Search'!$L$9,1,0),IF('Reverse Search'!$K$9="≤",IF(J59&lt;='Reverse Search'!$L$9,1,0),IF(J59='Reverse Search'!$L$9,1,0)))))</f>
        <v>1</v>
      </c>
      <c r="X59" s="0" t="n">
        <f aca="false">IF('Reverse Search'!$N$7="Disable",1,IF('Reverse Search'!$I$10="Disable",1,IF('Reverse Search'!$K$10="≥",IF(K59&gt;='Reverse Search'!$L$10,1,0),IF('Reverse Search'!$K$10="≤",IF(K59&lt;='Reverse Search'!$L$10,1,0),IF(K59='Reverse Search'!$L$10,1,0)))))</f>
        <v>1</v>
      </c>
      <c r="Y59" s="367" t="n">
        <f aca="false">IF('Reverse Search'!$N$7="Disable",1,IF('Reverse Search'!$I$11="Disable",1,IF('Reverse Search'!$K$11="≥",IF(L59&gt;='Reverse Search'!$L$11,1,0),IF('Reverse Search'!$K$11="≤",IF(L59&lt;='Reverse Search'!$L$11,1,0),IF(L59='Reverse Search'!$L$11,1,0)))))</f>
        <v>1</v>
      </c>
      <c r="Z59" s="0" t="n">
        <f aca="true">IF('Reverse Search'!$C$14="Disable",1,IF('Reverse Search'!$D$16="Disable",1,IF($C$2=3,IF($M59=0,0,COUNTIF(INDIRECT("'0.0.2 Pokémon Learnset (Core)'!$D$"&amp;MATCH($E59,'0.0.2 Pokémon Learnset (Core)'!$A$1:$A951,0)&amp;":$FK$"&amp;MATCH($E59,'0.0.2 Pokémon Learnset (Core)'!$A$1:$A951,0)),'Reverse Search'!$E$21)),IF($C$2=2,COUNTIF(INDIRECT("'0.1.1 Pokémon GO Moves'!$B$"&amp;MATCH($E59,'0.1.1 Pokémon GO Moves'!$A$1:$A951,0)&amp;":$R$"&amp;MATCH($E59,'0.1.1 Pokémon GO Moves'!$A$1:$A951,0)),'Reverse Search'!$E$21),COUNTIF(INDIRECT("'0.1.1 Pokémon GO Moves'!$B$"&amp;MATCH($E59,'0.1.1 Pokémon GO Moves'!$A$1:$A951,0)&amp;":$L$"&amp;MATCH($E59,'0.1.1 Pokémon GO Moves'!$A$1:$A951,0)),'Reverse Search'!$E$21)))))</f>
        <v>1</v>
      </c>
      <c r="AA59" s="0" t="n">
        <f aca="true">IF('Reverse Search'!$C$14="Disable",1,IF('Reverse Search'!$I$16="Disable",1,IF($D$2=3,IF($M59=0,0,COUNTIF(INDIRECT("'0.0.2 Pokémon Learnset (Core)'!$D$"&amp;MATCH($E59,'0.0.2 Pokémon Learnset (Core)'!$A$1:$A951,0)&amp;":$FK$"&amp;MATCH($E59,'0.0.2 Pokémon Learnset (Core)'!$A$1:$A951,0)),'Reverse Search'!$J$21)),IF($D$2=2,COUNTIF(INDIRECT("'0.1.1 Pokémon GO Moves'!$B$"&amp;MATCH($E59,'0.1.1 Pokémon GO Moves'!$A$1:$A951,0)&amp;":$R$"&amp;MATCH($E59,'0.1.1 Pokémon GO Moves'!$A$1:$A951,0)),'Reverse Search'!$J$21),COUNTIF(INDIRECT("'0.1.1 Pokémon GO Moves'!$B$"&amp;MATCH($E59,'0.1.1 Pokémon GO Moves'!$A$1:$A951,0)&amp;":$L$"&amp;MATCH($E59,'0.1.1 Pokémon GO Moves'!$A$1:$A951,0)),'Reverse Search'!$J$21)))))</f>
        <v>0</v>
      </c>
      <c r="AB59" s="490"/>
      <c r="AC59" s="260" t="n">
        <f aca="false">IF((Q59+R59+S59+V59+W59+X59+Y59+IF(Z59&gt;=1,1,0)+IF(AA59&gt;=1,1,0))=9,G59&amp;", ",)</f>
        <v>0</v>
      </c>
    </row>
    <row r="60" customFormat="false" ht="15.75" hidden="false" customHeight="false" outlineLevel="0" collapsed="false">
      <c r="A60" s="260"/>
      <c r="B60" s="358"/>
      <c r="C60" s="260" t="str">
        <f aca="false">IFERROR(__xludf.dummyfunction("""COMPUTED_VALUE"""),"Water Gun")</f>
        <v>Water Gun</v>
      </c>
      <c r="D60" s="358" t="str">
        <f aca="false">IFERROR(__xludf.dummyfunction("""COMPUTED_VALUE"""),"Hyper Fang")</f>
        <v>Hyper Fang</v>
      </c>
      <c r="E60" s="260" t="n">
        <v>59</v>
      </c>
      <c r="F60" s="260" t="n">
        <f aca="false" t="array" ref="F60:F60">INDEX('0.0.1 Pokémon Dex Data'!$H$3:$H951,MATCH(E60,'0.0.1 Pokémon Dex Data'!$B$3:$B951,0))</f>
        <v>0</v>
      </c>
      <c r="G60" s="0" t="str">
        <f aca="false" t="array" ref="G60:G60">INDEX('0.0.1 Pokémon Dex Data'!$E$3:$E951,MATCH(E60,'0.0.1 Pokémon Dex Data'!$B$3:$B951,0))</f>
        <v>Paras</v>
      </c>
      <c r="H60" s="0" t="str">
        <f aca="false" t="array" ref="H60:H60">INDEX('0.0.1 Pokémon Dex Data'!$Q$3:$Q951,MATCH(E60,'0.0.1 Pokémon Dex Data'!$B$3:$B951,0))</f>
        <v>Bug</v>
      </c>
      <c r="I60" s="0" t="str">
        <f aca="false" t="array" ref="I60:I60">INDEX('0.0.1 Pokémon Dex Data'!$R$3:$R951,MATCH(E60,'0.0.1 Pokémon Dex Data'!$B$3:$B951,0))</f>
        <v>Grass</v>
      </c>
      <c r="J60" s="260" t="n">
        <f aca="false" t="array" ref="J60:J60">ROUND(INDEX('0.0.1 Pokémon Dex Data'!$S$3:$S951,MATCH($E60,'0.0.1 Pokémon Dex Data'!$B$3:$B951,0))*INDEX('0.0.1 Pokémon Dex Data'!T$3:T951,MATCH($E60,'0.0.1 Pokémon Dex Data'!$B$3:$B951,0)),0)</f>
        <v>121</v>
      </c>
      <c r="K60" s="260" t="n">
        <f aca="false" t="array" ref="K60:K60">ROUND(INDEX('0.0.1 Pokémon Dex Data'!$S$3:$S951,MATCH($E60,'0.0.1 Pokémon Dex Data'!$B$3:$B951,0))*INDEX('0.0.1 Pokémon Dex Data'!U$3:U951,MATCH($E60,'0.0.1 Pokémon Dex Data'!$B$3:$B951,0)),0)</f>
        <v>99</v>
      </c>
      <c r="L60" s="260" t="n">
        <f aca="false" t="array" ref="L60:L60">ROUND(INDEX('0.0.1 Pokémon Dex Data'!$S$3:$S951,MATCH($E60,'0.0.1 Pokémon Dex Data'!$B$3:$B951,0))*INDEX('0.0.1 Pokémon Dex Data'!V$3:V951,MATCH($E60,'0.0.1 Pokémon Dex Data'!$B$3:$B951,0)),0)</f>
        <v>111</v>
      </c>
      <c r="M60" s="260" t="n">
        <f aca="false" t="array" ref="M60:M60">INDEX('0.0.1 Pokémon Dex Data'!$J$3:$J951,MATCH(E60,'0.0.1 Pokémon Dex Data'!$B$3:$B951,0))</f>
        <v>0</v>
      </c>
      <c r="O60" s="490"/>
      <c r="Q60" s="367" t="n">
        <f aca="false">IF('Reverse Search'!$F$4="All (including temporary formes)",1,IF('Reverse Search'!$F$4="Base Pokémon and permanent formes only",IF(F60&lt;=1,1,0),IF(F60=0,1,0)))</f>
        <v>1</v>
      </c>
      <c r="R60" s="0" t="n">
        <f aca="false">IF('Reverse Search'!$C$7="Disable",1,IF('Reverse Search'!$D$9="Disable",1,IF(OR('Reverse Search'!$F$9=H60,'Reverse Search'!$F$9=I60),1,0)))</f>
        <v>1</v>
      </c>
      <c r="S60" s="0" t="n">
        <f aca="false">IF('Reverse Search'!$C$7="Disable",1,IF('Reverse Search'!$D$10="Disable",1,IF(OR('Reverse Search'!$F$10=H60,'Reverse Search'!$F$10=I60),1,0)))</f>
        <v>1</v>
      </c>
      <c r="T60" s="0" t="n">
        <f aca="false">INDEX($B$4:$B$22,MATCH(H60,$A$4:$A$22,0))</f>
        <v>1</v>
      </c>
      <c r="U60" s="0" t="n">
        <f aca="false">IF(ISBLANK(I60),1,INDEX($B$4:$B$22,MATCH(I60,$A$4:$A$22,0)))</f>
        <v>1</v>
      </c>
      <c r="V60" s="367" t="n">
        <f aca="false">IF('Reverse Search'!$C$7="Disable",1,IF('Reverse Search'!$D$11="Disable",1,IF('Reverse Search'!$E$11="Neutral to:",IF(ROUND(T60*U60,2)&lt;=1,1,0),IF(ROUND(T60*U60,2)&lt;1,1,0))))</f>
        <v>1</v>
      </c>
      <c r="W60" s="0" t="n">
        <f aca="false">IF('Reverse Search'!$N$7="Disable",1,IF('Reverse Search'!$I$9="Disable",1,IF('Reverse Search'!$K$9="≥",IF(J60&gt;='Reverse Search'!$L$9,1,0),IF('Reverse Search'!$K$9="≤",IF(J60&lt;='Reverse Search'!$L$9,1,0),IF(J60='Reverse Search'!$L$9,1,0)))))</f>
        <v>1</v>
      </c>
      <c r="X60" s="0" t="n">
        <f aca="false">IF('Reverse Search'!$N$7="Disable",1,IF('Reverse Search'!$I$10="Disable",1,IF('Reverse Search'!$K$10="≥",IF(K60&gt;='Reverse Search'!$L$10,1,0),IF('Reverse Search'!$K$10="≤",IF(K60&lt;='Reverse Search'!$L$10,1,0),IF(K60='Reverse Search'!$L$10,1,0)))))</f>
        <v>1</v>
      </c>
      <c r="Y60" s="367" t="n">
        <f aca="false">IF('Reverse Search'!$N$7="Disable",1,IF('Reverse Search'!$I$11="Disable",1,IF('Reverse Search'!$K$11="≥",IF(L60&gt;='Reverse Search'!$L$11,1,0),IF('Reverse Search'!$K$11="≤",IF(L60&lt;='Reverse Search'!$L$11,1,0),IF(L60='Reverse Search'!$L$11,1,0)))))</f>
        <v>1</v>
      </c>
      <c r="Z60" s="0" t="n">
        <f aca="true">IF('Reverse Search'!$C$14="Disable",1,IF('Reverse Search'!$D$16="Disable",1,IF($C$2=3,IF($M60=0,0,COUNTIF(INDIRECT("'0.0.2 Pokémon Learnset (Core)'!$D$"&amp;MATCH($E60,'0.0.2 Pokémon Learnset (Core)'!$A$1:$A951,0)&amp;":$FK$"&amp;MATCH($E60,'0.0.2 Pokémon Learnset (Core)'!$A$1:$A951,0)),'Reverse Search'!$E$21)),IF($C$2=2,COUNTIF(INDIRECT("'0.1.1 Pokémon GO Moves'!$B$"&amp;MATCH($E60,'0.1.1 Pokémon GO Moves'!$A$1:$A951,0)&amp;":$R$"&amp;MATCH($E60,'0.1.1 Pokémon GO Moves'!$A$1:$A951,0)),'Reverse Search'!$E$21),COUNTIF(INDIRECT("'0.1.1 Pokémon GO Moves'!$B$"&amp;MATCH($E60,'0.1.1 Pokémon GO Moves'!$A$1:$A951,0)&amp;":$L$"&amp;MATCH($E60,'0.1.1 Pokémon GO Moves'!$A$1:$A951,0)),'Reverse Search'!$E$21)))))</f>
        <v>1</v>
      </c>
      <c r="AA60" s="0" t="n">
        <f aca="true">IF('Reverse Search'!$C$14="Disable",1,IF('Reverse Search'!$I$16="Disable",1,IF($D$2=3,IF($M60=0,0,COUNTIF(INDIRECT("'0.0.2 Pokémon Learnset (Core)'!$D$"&amp;MATCH($E60,'0.0.2 Pokémon Learnset (Core)'!$A$1:$A951,0)&amp;":$FK$"&amp;MATCH($E60,'0.0.2 Pokémon Learnset (Core)'!$A$1:$A951,0)),'Reverse Search'!$J$21)),IF($D$2=2,COUNTIF(INDIRECT("'0.1.1 Pokémon GO Moves'!$B$"&amp;MATCH($E60,'0.1.1 Pokémon GO Moves'!$A$1:$A951,0)&amp;":$R$"&amp;MATCH($E60,'0.1.1 Pokémon GO Moves'!$A$1:$A951,0)),'Reverse Search'!$J$21),COUNTIF(INDIRECT("'0.1.1 Pokémon GO Moves'!$B$"&amp;MATCH($E60,'0.1.1 Pokémon GO Moves'!$A$1:$A951,0)&amp;":$L$"&amp;MATCH($E60,'0.1.1 Pokémon GO Moves'!$A$1:$A951,0)),'Reverse Search'!$J$21)))))</f>
        <v>0</v>
      </c>
      <c r="AB60" s="490"/>
      <c r="AC60" s="260" t="n">
        <f aca="false">IF((Q60+R60+S60+V60+W60+X60+Y60+IF(Z60&gt;=1,1,0)+IF(AA60&gt;=1,1,0))=9,G60&amp;", ",)</f>
        <v>0</v>
      </c>
    </row>
    <row r="61" customFormat="false" ht="15.75" hidden="false" customHeight="false" outlineLevel="0" collapsed="false">
      <c r="A61" s="260"/>
      <c r="B61" s="358"/>
      <c r="C61" s="260" t="str">
        <f aca="false">IFERROR(__xludf.dummyfunction("""COMPUTED_VALUE"""),"Waterfall")</f>
        <v>Waterfall</v>
      </c>
      <c r="D61" s="358" t="str">
        <f aca="false">IFERROR(__xludf.dummyfunction("""COMPUTED_VALUE"""),"Ice Beam")</f>
        <v>Ice Beam</v>
      </c>
      <c r="E61" s="260" t="n">
        <v>60</v>
      </c>
      <c r="F61" s="260" t="n">
        <f aca="false" t="array" ref="F61:F61">INDEX('0.0.1 Pokémon Dex Data'!$H$3:$H951,MATCH(E61,'0.0.1 Pokémon Dex Data'!$B$3:$B951,0))</f>
        <v>0</v>
      </c>
      <c r="G61" s="0" t="str">
        <f aca="false" t="array" ref="G61:G61">INDEX('0.0.1 Pokémon Dex Data'!$E$3:$E951,MATCH(E61,'0.0.1 Pokémon Dex Data'!$B$3:$B951,0))</f>
        <v>Parasect</v>
      </c>
      <c r="H61" s="0" t="str">
        <f aca="false" t="array" ref="H61:H61">INDEX('0.0.1 Pokémon Dex Data'!$Q$3:$Q951,MATCH(E61,'0.0.1 Pokémon Dex Data'!$B$3:$B951,0))</f>
        <v>Bug</v>
      </c>
      <c r="I61" s="0" t="str">
        <f aca="false" t="array" ref="I61:I61">INDEX('0.0.1 Pokémon Dex Data'!$R$3:$R951,MATCH(E61,'0.0.1 Pokémon Dex Data'!$B$3:$B951,0))</f>
        <v>Grass</v>
      </c>
      <c r="J61" s="260" t="n">
        <f aca="false" t="array" ref="J61:J61">ROUND(INDEX('0.0.1 Pokémon Dex Data'!$S$3:$S951,MATCH($E61,'0.0.1 Pokémon Dex Data'!$B$3:$B951,0))*INDEX('0.0.1 Pokémon Dex Data'!T$3:T951,MATCH($E61,'0.0.1 Pokémon Dex Data'!$B$3:$B951,0)),0)</f>
        <v>165</v>
      </c>
      <c r="K61" s="260" t="n">
        <f aca="false" t="array" ref="K61:K61">ROUND(INDEX('0.0.1 Pokémon Dex Data'!$S$3:$S951,MATCH($E61,'0.0.1 Pokémon Dex Data'!$B$3:$B951,0))*INDEX('0.0.1 Pokémon Dex Data'!U$3:U951,MATCH($E61,'0.0.1 Pokémon Dex Data'!$B$3:$B951,0)),0)</f>
        <v>146</v>
      </c>
      <c r="L61" s="260" t="n">
        <f aca="false" t="array" ref="L61:L61">ROUND(INDEX('0.0.1 Pokémon Dex Data'!$S$3:$S951,MATCH($E61,'0.0.1 Pokémon Dex Data'!$B$3:$B951,0))*INDEX('0.0.1 Pokémon Dex Data'!V$3:V951,MATCH($E61,'0.0.1 Pokémon Dex Data'!$B$3:$B951,0)),0)</f>
        <v>155</v>
      </c>
      <c r="M61" s="260" t="n">
        <f aca="false" t="array" ref="M61:M61">INDEX('0.0.1 Pokémon Dex Data'!$J$3:$J951,MATCH(E61,'0.0.1 Pokémon Dex Data'!$B$3:$B951,0))</f>
        <v>1</v>
      </c>
      <c r="O61" s="490"/>
      <c r="Q61" s="367" t="n">
        <f aca="false">IF('Reverse Search'!$F$4="All (including temporary formes)",1,IF('Reverse Search'!$F$4="Base Pokémon and permanent formes only",IF(F61&lt;=1,1,0),IF(F61=0,1,0)))</f>
        <v>1</v>
      </c>
      <c r="R61" s="0" t="n">
        <f aca="false">IF('Reverse Search'!$C$7="Disable",1,IF('Reverse Search'!$D$9="Disable",1,IF(OR('Reverse Search'!$F$9=H61,'Reverse Search'!$F$9=I61),1,0)))</f>
        <v>1</v>
      </c>
      <c r="S61" s="0" t="n">
        <f aca="false">IF('Reverse Search'!$C$7="Disable",1,IF('Reverse Search'!$D$10="Disable",1,IF(OR('Reverse Search'!$F$10=H61,'Reverse Search'!$F$10=I61),1,0)))</f>
        <v>1</v>
      </c>
      <c r="T61" s="0" t="n">
        <f aca="false">INDEX($B$4:$B$22,MATCH(H61,$A$4:$A$22,0))</f>
        <v>1</v>
      </c>
      <c r="U61" s="0" t="n">
        <f aca="false">IF(ISBLANK(I61),1,INDEX($B$4:$B$22,MATCH(I61,$A$4:$A$22,0)))</f>
        <v>1</v>
      </c>
      <c r="V61" s="367" t="n">
        <f aca="false">IF('Reverse Search'!$C$7="Disable",1,IF('Reverse Search'!$D$11="Disable",1,IF('Reverse Search'!$E$11="Neutral to:",IF(ROUND(T61*U61,2)&lt;=1,1,0),IF(ROUND(T61*U61,2)&lt;1,1,0))))</f>
        <v>1</v>
      </c>
      <c r="W61" s="0" t="n">
        <f aca="false">IF('Reverse Search'!$N$7="Disable",1,IF('Reverse Search'!$I$9="Disable",1,IF('Reverse Search'!$K$9="≥",IF(J61&gt;='Reverse Search'!$L$9,1,0),IF('Reverse Search'!$K$9="≤",IF(J61&lt;='Reverse Search'!$L$9,1,0),IF(J61='Reverse Search'!$L$9,1,0)))))</f>
        <v>1</v>
      </c>
      <c r="X61" s="0" t="n">
        <f aca="false">IF('Reverse Search'!$N$7="Disable",1,IF('Reverse Search'!$I$10="Disable",1,IF('Reverse Search'!$K$10="≥",IF(K61&gt;='Reverse Search'!$L$10,1,0),IF('Reverse Search'!$K$10="≤",IF(K61&lt;='Reverse Search'!$L$10,1,0),IF(K61='Reverse Search'!$L$10,1,0)))))</f>
        <v>1</v>
      </c>
      <c r="Y61" s="367" t="n">
        <f aca="false">IF('Reverse Search'!$N$7="Disable",1,IF('Reverse Search'!$I$11="Disable",1,IF('Reverse Search'!$K$11="≥",IF(L61&gt;='Reverse Search'!$L$11,1,0),IF('Reverse Search'!$K$11="≤",IF(L61&lt;='Reverse Search'!$L$11,1,0),IF(L61='Reverse Search'!$L$11,1,0)))))</f>
        <v>1</v>
      </c>
      <c r="Z61" s="0" t="n">
        <f aca="true">IF('Reverse Search'!$C$14="Disable",1,IF('Reverse Search'!$D$16="Disable",1,IF($C$2=3,IF($M61=0,0,COUNTIF(INDIRECT("'0.0.2 Pokémon Learnset (Core)'!$D$"&amp;MATCH($E61,'0.0.2 Pokémon Learnset (Core)'!$A$1:$A951,0)&amp;":$FK$"&amp;MATCH($E61,'0.0.2 Pokémon Learnset (Core)'!$A$1:$A951,0)),'Reverse Search'!$E$21)),IF($C$2=2,COUNTIF(INDIRECT("'0.1.1 Pokémon GO Moves'!$B$"&amp;MATCH($E61,'0.1.1 Pokémon GO Moves'!$A$1:$A951,0)&amp;":$R$"&amp;MATCH($E61,'0.1.1 Pokémon GO Moves'!$A$1:$A951,0)),'Reverse Search'!$E$21),COUNTIF(INDIRECT("'0.1.1 Pokémon GO Moves'!$B$"&amp;MATCH($E61,'0.1.1 Pokémon GO Moves'!$A$1:$A951,0)&amp;":$L$"&amp;MATCH($E61,'0.1.1 Pokémon GO Moves'!$A$1:$A951,0)),'Reverse Search'!$E$21)))))</f>
        <v>1</v>
      </c>
      <c r="AA61" s="0" t="n">
        <f aca="true">IF('Reverse Search'!$C$14="Disable",1,IF('Reverse Search'!$I$16="Disable",1,IF($D$2=3,IF($M61=0,0,COUNTIF(INDIRECT("'0.0.2 Pokémon Learnset (Core)'!$D$"&amp;MATCH($E61,'0.0.2 Pokémon Learnset (Core)'!$A$1:$A951,0)&amp;":$FK$"&amp;MATCH($E61,'0.0.2 Pokémon Learnset (Core)'!$A$1:$A951,0)),'Reverse Search'!$J$21)),IF($D$2=2,COUNTIF(INDIRECT("'0.1.1 Pokémon GO Moves'!$B$"&amp;MATCH($E61,'0.1.1 Pokémon GO Moves'!$A$1:$A951,0)&amp;":$R$"&amp;MATCH($E61,'0.1.1 Pokémon GO Moves'!$A$1:$A951,0)),'Reverse Search'!$J$21),COUNTIF(INDIRECT("'0.1.1 Pokémon GO Moves'!$B$"&amp;MATCH($E61,'0.1.1 Pokémon GO Moves'!$A$1:$A951,0)&amp;":$L$"&amp;MATCH($E61,'0.1.1 Pokémon GO Moves'!$A$1:$A951,0)),'Reverse Search'!$J$21)))))</f>
        <v>0</v>
      </c>
      <c r="AB61" s="490"/>
      <c r="AC61" s="260" t="n">
        <f aca="false">IF((Q61+R61+S61+V61+W61+X61+Y61+IF(Z61&gt;=1,1,0)+IF(AA61&gt;=1,1,0))=9,G61&amp;", ",)</f>
        <v>0</v>
      </c>
    </row>
    <row r="62" customFormat="false" ht="15.75" hidden="false" customHeight="false" outlineLevel="0" collapsed="false">
      <c r="A62" s="260"/>
      <c r="B62" s="358"/>
      <c r="C62" s="260" t="str">
        <f aca="false">IFERROR(__xludf.dummyfunction("""COMPUTED_VALUE"""),"Wing Attack")</f>
        <v>Wing Attack</v>
      </c>
      <c r="D62" s="358" t="str">
        <f aca="false">IFERROR(__xludf.dummyfunction("""COMPUTED_VALUE"""),"Ice Punch")</f>
        <v>Ice Punch</v>
      </c>
      <c r="E62" s="260" t="n">
        <v>61</v>
      </c>
      <c r="F62" s="260" t="n">
        <f aca="false" t="array" ref="F62:F62">INDEX('0.0.1 Pokémon Dex Data'!$H$3:$H951,MATCH(E62,'0.0.1 Pokémon Dex Data'!$B$3:$B951,0))</f>
        <v>0</v>
      </c>
      <c r="G62" s="0" t="str">
        <f aca="false" t="array" ref="G62:G62">INDEX('0.0.1 Pokémon Dex Data'!$E$3:$E951,MATCH(E62,'0.0.1 Pokémon Dex Data'!$B$3:$B951,0))</f>
        <v>Venonat</v>
      </c>
      <c r="H62" s="0" t="str">
        <f aca="false" t="array" ref="H62:H62">INDEX('0.0.1 Pokémon Dex Data'!$Q$3:$Q951,MATCH(E62,'0.0.1 Pokémon Dex Data'!$B$3:$B951,0))</f>
        <v>Bug</v>
      </c>
      <c r="I62" s="0" t="str">
        <f aca="false" t="array" ref="I62:I62">INDEX('0.0.1 Pokémon Dex Data'!$R$3:$R951,MATCH(E62,'0.0.1 Pokémon Dex Data'!$B$3:$B951,0))</f>
        <v>Poison</v>
      </c>
      <c r="J62" s="260" t="n">
        <f aca="false" t="array" ref="J62:J62">ROUND(INDEX('0.0.1 Pokémon Dex Data'!$S$3:$S951,MATCH($E62,'0.0.1 Pokémon Dex Data'!$B$3:$B951,0))*INDEX('0.0.1 Pokémon Dex Data'!T$3:T951,MATCH($E62,'0.0.1 Pokémon Dex Data'!$B$3:$B951,0)),0)</f>
        <v>100</v>
      </c>
      <c r="K62" s="260" t="n">
        <f aca="false" t="array" ref="K62:K62">ROUND(INDEX('0.0.1 Pokémon Dex Data'!$S$3:$S951,MATCH($E62,'0.0.1 Pokémon Dex Data'!$B$3:$B951,0))*INDEX('0.0.1 Pokémon Dex Data'!U$3:U951,MATCH($E62,'0.0.1 Pokémon Dex Data'!$B$3:$B951,0)),0)</f>
        <v>100</v>
      </c>
      <c r="L62" s="260" t="n">
        <f aca="false" t="array" ref="L62:L62">ROUND(INDEX('0.0.1 Pokémon Dex Data'!$S$3:$S951,MATCH($E62,'0.0.1 Pokémon Dex Data'!$B$3:$B951,0))*INDEX('0.0.1 Pokémon Dex Data'!V$3:V951,MATCH($E62,'0.0.1 Pokémon Dex Data'!$B$3:$B951,0)),0)</f>
        <v>155</v>
      </c>
      <c r="M62" s="260" t="n">
        <f aca="false" t="array" ref="M62:M62">INDEX('0.0.1 Pokémon Dex Data'!$J$3:$J951,MATCH(E62,'0.0.1 Pokémon Dex Data'!$B$3:$B951,0))</f>
        <v>0</v>
      </c>
      <c r="O62" s="490"/>
      <c r="Q62" s="367" t="n">
        <f aca="false">IF('Reverse Search'!$F$4="All (including temporary formes)",1,IF('Reverse Search'!$F$4="Base Pokémon and permanent formes only",IF(F62&lt;=1,1,0),IF(F62=0,1,0)))</f>
        <v>1</v>
      </c>
      <c r="R62" s="0" t="n">
        <f aca="false">IF('Reverse Search'!$C$7="Disable",1,IF('Reverse Search'!$D$9="Disable",1,IF(OR('Reverse Search'!$F$9=H62,'Reverse Search'!$F$9=I62),1,0)))</f>
        <v>1</v>
      </c>
      <c r="S62" s="0" t="n">
        <f aca="false">IF('Reverse Search'!$C$7="Disable",1,IF('Reverse Search'!$D$10="Disable",1,IF(OR('Reverse Search'!$F$10=H62,'Reverse Search'!$F$10=I62),1,0)))</f>
        <v>1</v>
      </c>
      <c r="T62" s="0" t="n">
        <f aca="false">INDEX($B$4:$B$22,MATCH(H62,$A$4:$A$22,0))</f>
        <v>1</v>
      </c>
      <c r="U62" s="0" t="n">
        <f aca="false">IF(ISBLANK(I62),1,INDEX($B$4:$B$22,MATCH(I62,$A$4:$A$22,0)))</f>
        <v>1</v>
      </c>
      <c r="V62" s="367" t="n">
        <f aca="false">IF('Reverse Search'!$C$7="Disable",1,IF('Reverse Search'!$D$11="Disable",1,IF('Reverse Search'!$E$11="Neutral to:",IF(ROUND(T62*U62,2)&lt;=1,1,0),IF(ROUND(T62*U62,2)&lt;1,1,0))))</f>
        <v>1</v>
      </c>
      <c r="W62" s="0" t="n">
        <f aca="false">IF('Reverse Search'!$N$7="Disable",1,IF('Reverse Search'!$I$9="Disable",1,IF('Reverse Search'!$K$9="≥",IF(J62&gt;='Reverse Search'!$L$9,1,0),IF('Reverse Search'!$K$9="≤",IF(J62&lt;='Reverse Search'!$L$9,1,0),IF(J62='Reverse Search'!$L$9,1,0)))))</f>
        <v>1</v>
      </c>
      <c r="X62" s="0" t="n">
        <f aca="false">IF('Reverse Search'!$N$7="Disable",1,IF('Reverse Search'!$I$10="Disable",1,IF('Reverse Search'!$K$10="≥",IF(K62&gt;='Reverse Search'!$L$10,1,0),IF('Reverse Search'!$K$10="≤",IF(K62&lt;='Reverse Search'!$L$10,1,0),IF(K62='Reverse Search'!$L$10,1,0)))))</f>
        <v>1</v>
      </c>
      <c r="Y62" s="367" t="n">
        <f aca="false">IF('Reverse Search'!$N$7="Disable",1,IF('Reverse Search'!$I$11="Disable",1,IF('Reverse Search'!$K$11="≥",IF(L62&gt;='Reverse Search'!$L$11,1,0),IF('Reverse Search'!$K$11="≤",IF(L62&lt;='Reverse Search'!$L$11,1,0),IF(L62='Reverse Search'!$L$11,1,0)))))</f>
        <v>1</v>
      </c>
      <c r="Z62" s="0" t="n">
        <f aca="true">IF('Reverse Search'!$C$14="Disable",1,IF('Reverse Search'!$D$16="Disable",1,IF($C$2=3,IF($M62=0,0,COUNTIF(INDIRECT("'0.0.2 Pokémon Learnset (Core)'!$D$"&amp;MATCH($E62,'0.0.2 Pokémon Learnset (Core)'!$A$1:$A951,0)&amp;":$FK$"&amp;MATCH($E62,'0.0.2 Pokémon Learnset (Core)'!$A$1:$A951,0)),'Reverse Search'!$E$21)),IF($C$2=2,COUNTIF(INDIRECT("'0.1.1 Pokémon GO Moves'!$B$"&amp;MATCH($E62,'0.1.1 Pokémon GO Moves'!$A$1:$A951,0)&amp;":$R$"&amp;MATCH($E62,'0.1.1 Pokémon GO Moves'!$A$1:$A951,0)),'Reverse Search'!$E$21),COUNTIF(INDIRECT("'0.1.1 Pokémon GO Moves'!$B$"&amp;MATCH($E62,'0.1.1 Pokémon GO Moves'!$A$1:$A951,0)&amp;":$L$"&amp;MATCH($E62,'0.1.1 Pokémon GO Moves'!$A$1:$A951,0)),'Reverse Search'!$E$21)))))</f>
        <v>1</v>
      </c>
      <c r="AA62" s="0" t="n">
        <f aca="true">IF('Reverse Search'!$C$14="Disable",1,IF('Reverse Search'!$I$16="Disable",1,IF($D$2=3,IF($M62=0,0,COUNTIF(INDIRECT("'0.0.2 Pokémon Learnset (Core)'!$D$"&amp;MATCH($E62,'0.0.2 Pokémon Learnset (Core)'!$A$1:$A951,0)&amp;":$FK$"&amp;MATCH($E62,'0.0.2 Pokémon Learnset (Core)'!$A$1:$A951,0)),'Reverse Search'!$J$21)),IF($D$2=2,COUNTIF(INDIRECT("'0.1.1 Pokémon GO Moves'!$B$"&amp;MATCH($E62,'0.1.1 Pokémon GO Moves'!$A$1:$A951,0)&amp;":$R$"&amp;MATCH($E62,'0.1.1 Pokémon GO Moves'!$A$1:$A951,0)),'Reverse Search'!$J$21),COUNTIF(INDIRECT("'0.1.1 Pokémon GO Moves'!$B$"&amp;MATCH($E62,'0.1.1 Pokémon GO Moves'!$A$1:$A951,0)&amp;":$L$"&amp;MATCH($E62,'0.1.1 Pokémon GO Moves'!$A$1:$A951,0)),'Reverse Search'!$J$21)))))</f>
        <v>0</v>
      </c>
      <c r="AB62" s="490"/>
      <c r="AC62" s="260" t="n">
        <f aca="false">IF((Q62+R62+S62+V62+W62+X62+Y62+IF(Z62&gt;=1,1,0)+IF(AA62&gt;=1,1,0))=9,G62&amp;", ",)</f>
        <v>0</v>
      </c>
    </row>
    <row r="63" customFormat="false" ht="15.75" hidden="false" customHeight="false" outlineLevel="0" collapsed="false">
      <c r="A63" s="260"/>
      <c r="B63" s="358"/>
      <c r="C63" s="260" t="str">
        <f aca="false">IFERROR(__xludf.dummyfunction("""COMPUTED_VALUE"""),"Yawn")</f>
        <v>Yawn</v>
      </c>
      <c r="D63" s="358" t="str">
        <f aca="false">IFERROR(__xludf.dummyfunction("""COMPUTED_VALUE"""),"Icy Wind")</f>
        <v>Icy Wind</v>
      </c>
      <c r="E63" s="260" t="n">
        <v>62</v>
      </c>
      <c r="F63" s="260" t="n">
        <f aca="false" t="array" ref="F63:F63">INDEX('0.0.1 Pokémon Dex Data'!$H$3:$H951,MATCH(E63,'0.0.1 Pokémon Dex Data'!$B$3:$B951,0))</f>
        <v>0</v>
      </c>
      <c r="G63" s="0" t="str">
        <f aca="false" t="array" ref="G63:G63">INDEX('0.0.1 Pokémon Dex Data'!$E$3:$E951,MATCH(E63,'0.0.1 Pokémon Dex Data'!$B$3:$B951,0))</f>
        <v>Venomoth</v>
      </c>
      <c r="H63" s="0" t="str">
        <f aca="false" t="array" ref="H63:H63">INDEX('0.0.1 Pokémon Dex Data'!$Q$3:$Q951,MATCH(E63,'0.0.1 Pokémon Dex Data'!$B$3:$B951,0))</f>
        <v>Bug</v>
      </c>
      <c r="I63" s="0" t="str">
        <f aca="false" t="array" ref="I63:I63">INDEX('0.0.1 Pokémon Dex Data'!$R$3:$R951,MATCH(E63,'0.0.1 Pokémon Dex Data'!$B$3:$B951,0))</f>
        <v>Poison</v>
      </c>
      <c r="J63" s="260" t="n">
        <f aca="false" t="array" ref="J63:J63">ROUND(INDEX('0.0.1 Pokémon Dex Data'!$S$3:$S951,MATCH($E63,'0.0.1 Pokémon Dex Data'!$B$3:$B951,0))*INDEX('0.0.1 Pokémon Dex Data'!T$3:T951,MATCH($E63,'0.0.1 Pokémon Dex Data'!$B$3:$B951,0)),0)</f>
        <v>179</v>
      </c>
      <c r="K63" s="260" t="n">
        <f aca="false" t="array" ref="K63:K63">ROUND(INDEX('0.0.1 Pokémon Dex Data'!$S$3:$S951,MATCH($E63,'0.0.1 Pokémon Dex Data'!$B$3:$B951,0))*INDEX('0.0.1 Pokémon Dex Data'!U$3:U951,MATCH($E63,'0.0.1 Pokémon Dex Data'!$B$3:$B951,0)),0)</f>
        <v>143</v>
      </c>
      <c r="L63" s="260" t="n">
        <f aca="false" t="array" ref="L63:L63">ROUND(INDEX('0.0.1 Pokémon Dex Data'!$S$3:$S951,MATCH($E63,'0.0.1 Pokémon Dex Data'!$B$3:$B951,0))*INDEX('0.0.1 Pokémon Dex Data'!V$3:V951,MATCH($E63,'0.0.1 Pokémon Dex Data'!$B$3:$B951,0)),0)</f>
        <v>172</v>
      </c>
      <c r="M63" s="260" t="n">
        <f aca="false" t="array" ref="M63:M63">INDEX('0.0.1 Pokémon Dex Data'!$J$3:$J951,MATCH(E63,'0.0.1 Pokémon Dex Data'!$B$3:$B951,0))</f>
        <v>1</v>
      </c>
      <c r="O63" s="490"/>
      <c r="Q63" s="367" t="n">
        <f aca="false">IF('Reverse Search'!$F$4="All (including temporary formes)",1,IF('Reverse Search'!$F$4="Base Pokémon and permanent formes only",IF(F63&lt;=1,1,0),IF(F63=0,1,0)))</f>
        <v>1</v>
      </c>
      <c r="R63" s="0" t="n">
        <f aca="false">IF('Reverse Search'!$C$7="Disable",1,IF('Reverse Search'!$D$9="Disable",1,IF(OR('Reverse Search'!$F$9=H63,'Reverse Search'!$F$9=I63),1,0)))</f>
        <v>1</v>
      </c>
      <c r="S63" s="0" t="n">
        <f aca="false">IF('Reverse Search'!$C$7="Disable",1,IF('Reverse Search'!$D$10="Disable",1,IF(OR('Reverse Search'!$F$10=H63,'Reverse Search'!$F$10=I63),1,0)))</f>
        <v>1</v>
      </c>
      <c r="T63" s="0" t="n">
        <f aca="false">INDEX($B$4:$B$22,MATCH(H63,$A$4:$A$22,0))</f>
        <v>1</v>
      </c>
      <c r="U63" s="0" t="n">
        <f aca="false">IF(ISBLANK(I63),1,INDEX($B$4:$B$22,MATCH(I63,$A$4:$A$22,0)))</f>
        <v>1</v>
      </c>
      <c r="V63" s="367" t="n">
        <f aca="false">IF('Reverse Search'!$C$7="Disable",1,IF('Reverse Search'!$D$11="Disable",1,IF('Reverse Search'!$E$11="Neutral to:",IF(ROUND(T63*U63,2)&lt;=1,1,0),IF(ROUND(T63*U63,2)&lt;1,1,0))))</f>
        <v>1</v>
      </c>
      <c r="W63" s="0" t="n">
        <f aca="false">IF('Reverse Search'!$N$7="Disable",1,IF('Reverse Search'!$I$9="Disable",1,IF('Reverse Search'!$K$9="≥",IF(J63&gt;='Reverse Search'!$L$9,1,0),IF('Reverse Search'!$K$9="≤",IF(J63&lt;='Reverse Search'!$L$9,1,0),IF(J63='Reverse Search'!$L$9,1,0)))))</f>
        <v>1</v>
      </c>
      <c r="X63" s="0" t="n">
        <f aca="false">IF('Reverse Search'!$N$7="Disable",1,IF('Reverse Search'!$I$10="Disable",1,IF('Reverse Search'!$K$10="≥",IF(K63&gt;='Reverse Search'!$L$10,1,0),IF('Reverse Search'!$K$10="≤",IF(K63&lt;='Reverse Search'!$L$10,1,0),IF(K63='Reverse Search'!$L$10,1,0)))))</f>
        <v>1</v>
      </c>
      <c r="Y63" s="367" t="n">
        <f aca="false">IF('Reverse Search'!$N$7="Disable",1,IF('Reverse Search'!$I$11="Disable",1,IF('Reverse Search'!$K$11="≥",IF(L63&gt;='Reverse Search'!$L$11,1,0),IF('Reverse Search'!$K$11="≤",IF(L63&lt;='Reverse Search'!$L$11,1,0),IF(L63='Reverse Search'!$L$11,1,0)))))</f>
        <v>1</v>
      </c>
      <c r="Z63" s="0" t="n">
        <f aca="true">IF('Reverse Search'!$C$14="Disable",1,IF('Reverse Search'!$D$16="Disable",1,IF($C$2=3,IF($M63=0,0,COUNTIF(INDIRECT("'0.0.2 Pokémon Learnset (Core)'!$D$"&amp;MATCH($E63,'0.0.2 Pokémon Learnset (Core)'!$A$1:$A951,0)&amp;":$FK$"&amp;MATCH($E63,'0.0.2 Pokémon Learnset (Core)'!$A$1:$A951,0)),'Reverse Search'!$E$21)),IF($C$2=2,COUNTIF(INDIRECT("'0.1.1 Pokémon GO Moves'!$B$"&amp;MATCH($E63,'0.1.1 Pokémon GO Moves'!$A$1:$A951,0)&amp;":$R$"&amp;MATCH($E63,'0.1.1 Pokémon GO Moves'!$A$1:$A951,0)),'Reverse Search'!$E$21),COUNTIF(INDIRECT("'0.1.1 Pokémon GO Moves'!$B$"&amp;MATCH($E63,'0.1.1 Pokémon GO Moves'!$A$1:$A951,0)&amp;":$L$"&amp;MATCH($E63,'0.1.1 Pokémon GO Moves'!$A$1:$A951,0)),'Reverse Search'!$E$21)))))</f>
        <v>1</v>
      </c>
      <c r="AA63" s="0" t="n">
        <f aca="true">IF('Reverse Search'!$C$14="Disable",1,IF('Reverse Search'!$I$16="Disable",1,IF($D$2=3,IF($M63=0,0,COUNTIF(INDIRECT("'0.0.2 Pokémon Learnset (Core)'!$D$"&amp;MATCH($E63,'0.0.2 Pokémon Learnset (Core)'!$A$1:$A951,0)&amp;":$FK$"&amp;MATCH($E63,'0.0.2 Pokémon Learnset (Core)'!$A$1:$A951,0)),'Reverse Search'!$J$21)),IF($D$2=2,COUNTIF(INDIRECT("'0.1.1 Pokémon GO Moves'!$B$"&amp;MATCH($E63,'0.1.1 Pokémon GO Moves'!$A$1:$A951,0)&amp;":$R$"&amp;MATCH($E63,'0.1.1 Pokémon GO Moves'!$A$1:$A951,0)),'Reverse Search'!$J$21),COUNTIF(INDIRECT("'0.1.1 Pokémon GO Moves'!$B$"&amp;MATCH($E63,'0.1.1 Pokémon GO Moves'!$A$1:$A951,0)&amp;":$L$"&amp;MATCH($E63,'0.1.1 Pokémon GO Moves'!$A$1:$A951,0)),'Reverse Search'!$J$21)))))</f>
        <v>0</v>
      </c>
      <c r="AB63" s="490"/>
      <c r="AC63" s="260" t="n">
        <f aca="false">IF((Q63+R63+S63+V63+W63+X63+Y63+IF(Z63&gt;=1,1,0)+IF(AA63&gt;=1,1,0))=9,G63&amp;", ",)</f>
        <v>0</v>
      </c>
    </row>
    <row r="64" customFormat="false" ht="15.75" hidden="false" customHeight="false" outlineLevel="0" collapsed="false">
      <c r="A64" s="260"/>
      <c r="B64" s="358"/>
      <c r="C64" s="260" t="str">
        <f aca="false">IFERROR(__xludf.dummyfunction("""COMPUTED_VALUE"""),"Zen Headbutt")</f>
        <v>Zen Headbutt</v>
      </c>
      <c r="D64" s="358" t="str">
        <f aca="false">IFERROR(__xludf.dummyfunction("""COMPUTED_VALUE"""),"Iron Head")</f>
        <v>Iron Head</v>
      </c>
      <c r="E64" s="260" t="n">
        <v>63</v>
      </c>
      <c r="F64" s="260" t="n">
        <f aca="false" t="array" ref="F64:F64">INDEX('0.0.1 Pokémon Dex Data'!$H$3:$H951,MATCH(E64,'0.0.1 Pokémon Dex Data'!$B$3:$B951,0))</f>
        <v>0</v>
      </c>
      <c r="G64" s="0" t="str">
        <f aca="false" t="array" ref="G64:G64">INDEX('0.0.1 Pokémon Dex Data'!$E$3:$E951,MATCH(E64,'0.0.1 Pokémon Dex Data'!$B$3:$B951,0))</f>
        <v>Diglett</v>
      </c>
      <c r="H64" s="0" t="str">
        <f aca="false" t="array" ref="H64:H64">INDEX('0.0.1 Pokémon Dex Data'!$Q$3:$Q951,MATCH(E64,'0.0.1 Pokémon Dex Data'!$B$3:$B951,0))</f>
        <v>Ground</v>
      </c>
      <c r="I64" s="0" t="n">
        <f aca="false">INDEX('0.0.1 Pokémon Dex Data'!$R$3:$R951,MATCH(E64,'0.0.1 Pokémon Dex Data'!$B$3:$B951,0))</f>
        <v>0</v>
      </c>
      <c r="J64" s="260" t="n">
        <f aca="false" t="array" ref="J64:J64">ROUND(INDEX('0.0.1 Pokémon Dex Data'!$S$3:$S951,MATCH($E64,'0.0.1 Pokémon Dex Data'!$B$3:$B951,0))*INDEX('0.0.1 Pokémon Dex Data'!T$3:T951,MATCH($E64,'0.0.1 Pokémon Dex Data'!$B$3:$B951,0)),0)</f>
        <v>109</v>
      </c>
      <c r="K64" s="260" t="n">
        <f aca="false" t="array" ref="K64:K64">ROUND(INDEX('0.0.1 Pokémon Dex Data'!$S$3:$S951,MATCH($E64,'0.0.1 Pokémon Dex Data'!$B$3:$B951,0))*INDEX('0.0.1 Pokémon Dex Data'!U$3:U951,MATCH($E64,'0.0.1 Pokémon Dex Data'!$B$3:$B951,0)),0)</f>
        <v>78</v>
      </c>
      <c r="L64" s="260" t="n">
        <f aca="false" t="array" ref="L64:L64">ROUND(INDEX('0.0.1 Pokémon Dex Data'!$S$3:$S951,MATCH($E64,'0.0.1 Pokémon Dex Data'!$B$3:$B951,0))*INDEX('0.0.1 Pokémon Dex Data'!V$3:V951,MATCH($E64,'0.0.1 Pokémon Dex Data'!$B$3:$B951,0)),0)</f>
        <v>67</v>
      </c>
      <c r="M64" s="260" t="n">
        <f aca="false" t="array" ref="M64:M64">INDEX('0.0.1 Pokémon Dex Data'!$J$3:$J951,MATCH(E64,'0.0.1 Pokémon Dex Data'!$B$3:$B951,0))</f>
        <v>0</v>
      </c>
      <c r="O64" s="490"/>
      <c r="Q64" s="367" t="n">
        <f aca="false">IF('Reverse Search'!$F$4="All (including temporary formes)",1,IF('Reverse Search'!$F$4="Base Pokémon and permanent formes only",IF(F64&lt;=1,1,0),IF(F64=0,1,0)))</f>
        <v>1</v>
      </c>
      <c r="R64" s="0" t="n">
        <f aca="false">IF('Reverse Search'!$C$7="Disable",1,IF('Reverse Search'!$D$9="Disable",1,IF(OR('Reverse Search'!$F$9=H64,'Reverse Search'!$F$9=I64),1,0)))</f>
        <v>1</v>
      </c>
      <c r="S64" s="0" t="n">
        <f aca="false">IF('Reverse Search'!$C$7="Disable",1,IF('Reverse Search'!$D$10="Disable",1,IF(OR('Reverse Search'!$F$10=H64,'Reverse Search'!$F$10=I64),1,0)))</f>
        <v>1</v>
      </c>
      <c r="T64" s="0" t="n">
        <f aca="false">INDEX($B$4:$B$22,MATCH(H64,$A$4:$A$22,0))</f>
        <v>1</v>
      </c>
      <c r="U64" s="0" t="e">
        <f aca="false">IF(ISBLANK(I64),1,INDEX($B$4:$B$22,MATCH(I64,$A$4:$A$22,0)))</f>
        <v>#N/A</v>
      </c>
      <c r="V64" s="367" t="n">
        <f aca="false">IF('Reverse Search'!$C$7="Disable",1,IF('Reverse Search'!$D$11="Disable",1,IF('Reverse Search'!$E$11="Neutral to:",IF(ROUND(T64*U64,2)&lt;=1,1,0),IF(ROUND(T64*U64,2)&lt;1,1,0))))</f>
        <v>1</v>
      </c>
      <c r="W64" s="0" t="n">
        <f aca="false">IF('Reverse Search'!$N$7="Disable",1,IF('Reverse Search'!$I$9="Disable",1,IF('Reverse Search'!$K$9="≥",IF(J64&gt;='Reverse Search'!$L$9,1,0),IF('Reverse Search'!$K$9="≤",IF(J64&lt;='Reverse Search'!$L$9,1,0),IF(J64='Reverse Search'!$L$9,1,0)))))</f>
        <v>1</v>
      </c>
      <c r="X64" s="0" t="n">
        <f aca="false">IF('Reverse Search'!$N$7="Disable",1,IF('Reverse Search'!$I$10="Disable",1,IF('Reverse Search'!$K$10="≥",IF(K64&gt;='Reverse Search'!$L$10,1,0),IF('Reverse Search'!$K$10="≤",IF(K64&lt;='Reverse Search'!$L$10,1,0),IF(K64='Reverse Search'!$L$10,1,0)))))</f>
        <v>1</v>
      </c>
      <c r="Y64" s="367" t="n">
        <f aca="false">IF('Reverse Search'!$N$7="Disable",1,IF('Reverse Search'!$I$11="Disable",1,IF('Reverse Search'!$K$11="≥",IF(L64&gt;='Reverse Search'!$L$11,1,0),IF('Reverse Search'!$K$11="≤",IF(L64&lt;='Reverse Search'!$L$11,1,0),IF(L64='Reverse Search'!$L$11,1,0)))))</f>
        <v>1</v>
      </c>
      <c r="Z64" s="0" t="n">
        <f aca="true">IF('Reverse Search'!$C$14="Disable",1,IF('Reverse Search'!$D$16="Disable",1,IF($C$2=3,IF($M64=0,0,COUNTIF(INDIRECT("'0.0.2 Pokémon Learnset (Core)'!$D$"&amp;MATCH($E64,'0.0.2 Pokémon Learnset (Core)'!$A$1:$A951,0)&amp;":$FK$"&amp;MATCH($E64,'0.0.2 Pokémon Learnset (Core)'!$A$1:$A951,0)),'Reverse Search'!$E$21)),IF($C$2=2,COUNTIF(INDIRECT("'0.1.1 Pokémon GO Moves'!$B$"&amp;MATCH($E64,'0.1.1 Pokémon GO Moves'!$A$1:$A951,0)&amp;":$R$"&amp;MATCH($E64,'0.1.1 Pokémon GO Moves'!$A$1:$A951,0)),'Reverse Search'!$E$21),COUNTIF(INDIRECT("'0.1.1 Pokémon GO Moves'!$B$"&amp;MATCH($E64,'0.1.1 Pokémon GO Moves'!$A$1:$A951,0)&amp;":$L$"&amp;MATCH($E64,'0.1.1 Pokémon GO Moves'!$A$1:$A951,0)),'Reverse Search'!$E$21)))))</f>
        <v>1</v>
      </c>
      <c r="AA64" s="0" t="n">
        <f aca="true">IF('Reverse Search'!$C$14="Disable",1,IF('Reverse Search'!$I$16="Disable",1,IF($D$2=3,IF($M64=0,0,COUNTIF(INDIRECT("'0.0.2 Pokémon Learnset (Core)'!$D$"&amp;MATCH($E64,'0.0.2 Pokémon Learnset (Core)'!$A$1:$A951,0)&amp;":$FK$"&amp;MATCH($E64,'0.0.2 Pokémon Learnset (Core)'!$A$1:$A951,0)),'Reverse Search'!$J$21)),IF($D$2=2,COUNTIF(INDIRECT("'0.1.1 Pokémon GO Moves'!$B$"&amp;MATCH($E64,'0.1.1 Pokémon GO Moves'!$A$1:$A951,0)&amp;":$R$"&amp;MATCH($E64,'0.1.1 Pokémon GO Moves'!$A$1:$A951,0)),'Reverse Search'!$J$21),COUNTIF(INDIRECT("'0.1.1 Pokémon GO Moves'!$B$"&amp;MATCH($E64,'0.1.1 Pokémon GO Moves'!$A$1:$A951,0)&amp;":$L$"&amp;MATCH($E64,'0.1.1 Pokémon GO Moves'!$A$1:$A951,0)),'Reverse Search'!$J$21)))))</f>
        <v>0</v>
      </c>
      <c r="AB64" s="490"/>
      <c r="AC64" s="260" t="n">
        <f aca="false">IF((Q64+R64+S64+V64+W64+X64+Y64+IF(Z64&gt;=1,1,0)+IF(AA64&gt;=1,1,0))=9,G64&amp;", ",)</f>
        <v>0</v>
      </c>
    </row>
    <row r="65" customFormat="false" ht="15.75" hidden="false" customHeight="false" outlineLevel="0" collapsed="false">
      <c r="A65" s="260"/>
      <c r="B65" s="358"/>
      <c r="C65" s="260"/>
      <c r="D65" s="358" t="str">
        <f aca="false">IFERROR(__xludf.dummyfunction("""COMPUTED_VALUE"""),"Leaf Blade")</f>
        <v>Leaf Blade</v>
      </c>
      <c r="E65" s="260" t="n">
        <v>64</v>
      </c>
      <c r="F65" s="260" t="n">
        <f aca="false" t="array" ref="F65:F65">INDEX('0.0.1 Pokémon Dex Data'!$H$3:$H951,MATCH(E65,'0.0.1 Pokémon Dex Data'!$B$3:$B951,0))</f>
        <v>1</v>
      </c>
      <c r="G65" s="0" t="str">
        <f aca="false" t="array" ref="G65:G65">INDEX('0.0.1 Pokémon Dex Data'!$E$3:$E951,MATCH(E65,'0.0.1 Pokémon Dex Data'!$B$3:$B951,0))</f>
        <v>Diglett-Alolan</v>
      </c>
      <c r="H65" s="0" t="str">
        <f aca="false" t="array" ref="H65:H65">INDEX('0.0.1 Pokémon Dex Data'!$Q$3:$Q951,MATCH(E65,'0.0.1 Pokémon Dex Data'!$B$3:$B951,0))</f>
        <v>Ground</v>
      </c>
      <c r="I65" s="0" t="str">
        <f aca="false" t="array" ref="I65:I65">INDEX('0.0.1 Pokémon Dex Data'!$R$3:$R951,MATCH(E65,'0.0.1 Pokémon Dex Data'!$B$3:$B951,0))</f>
        <v>Steel</v>
      </c>
      <c r="J65" s="260" t="n">
        <f aca="false" t="array" ref="J65:J65">ROUND(INDEX('0.0.1 Pokémon Dex Data'!$S$3:$S951,MATCH($E65,'0.0.1 Pokémon Dex Data'!$B$3:$B951,0))*INDEX('0.0.1 Pokémon Dex Data'!T$3:T951,MATCH($E65,'0.0.1 Pokémon Dex Data'!$B$3:$B951,0)),0)</f>
        <v>108</v>
      </c>
      <c r="K65" s="260" t="n">
        <f aca="false" t="array" ref="K65:K65">ROUND(INDEX('0.0.1 Pokémon Dex Data'!$S$3:$S951,MATCH($E65,'0.0.1 Pokémon Dex Data'!$B$3:$B951,0))*INDEX('0.0.1 Pokémon Dex Data'!U$3:U951,MATCH($E65,'0.0.1 Pokémon Dex Data'!$B$3:$B951,0)),0)</f>
        <v>81</v>
      </c>
      <c r="L65" s="260" t="n">
        <f aca="false" t="array" ref="L65:L65">ROUND(INDEX('0.0.1 Pokémon Dex Data'!$S$3:$S951,MATCH($E65,'0.0.1 Pokémon Dex Data'!$B$3:$B951,0))*INDEX('0.0.1 Pokémon Dex Data'!V$3:V951,MATCH($E65,'0.0.1 Pokémon Dex Data'!$B$3:$B951,0)),0)</f>
        <v>67</v>
      </c>
      <c r="M65" s="260" t="n">
        <f aca="false" t="array" ref="M65:M65">INDEX('0.0.1 Pokémon Dex Data'!$J$3:$J951,MATCH(E65,'0.0.1 Pokémon Dex Data'!$B$3:$B951,0))</f>
        <v>0</v>
      </c>
      <c r="O65" s="490"/>
      <c r="Q65" s="367" t="n">
        <f aca="false">IF('Reverse Search'!$F$4="All (including temporary formes)",1,IF('Reverse Search'!$F$4="Base Pokémon and permanent formes only",IF(F65&lt;=1,1,0),IF(F65=0,1,0)))</f>
        <v>0</v>
      </c>
      <c r="R65" s="0" t="n">
        <f aca="false">IF('Reverse Search'!$C$7="Disable",1,IF('Reverse Search'!$D$9="Disable",1,IF(OR('Reverse Search'!$F$9=H65,'Reverse Search'!$F$9=I65),1,0)))</f>
        <v>1</v>
      </c>
      <c r="S65" s="0" t="n">
        <f aca="false">IF('Reverse Search'!$C$7="Disable",1,IF('Reverse Search'!$D$10="Disable",1,IF(OR('Reverse Search'!$F$10=H65,'Reverse Search'!$F$10=I65),1,0)))</f>
        <v>1</v>
      </c>
      <c r="T65" s="0" t="n">
        <f aca="false">INDEX($B$4:$B$22,MATCH(H65,$A$4:$A$22,0))</f>
        <v>1</v>
      </c>
      <c r="U65" s="0" t="n">
        <f aca="false">IF(ISBLANK(I65),1,INDEX($B$4:$B$22,MATCH(I65,$A$4:$A$22,0)))</f>
        <v>0.714</v>
      </c>
      <c r="V65" s="367" t="n">
        <f aca="false">IF('Reverse Search'!$C$7="Disable",1,IF('Reverse Search'!$D$11="Disable",1,IF('Reverse Search'!$E$11="Neutral to:",IF(ROUND(T65*U65,2)&lt;=1,1,0),IF(ROUND(T65*U65,2)&lt;1,1,0))))</f>
        <v>1</v>
      </c>
      <c r="W65" s="0" t="n">
        <f aca="false">IF('Reverse Search'!$N$7="Disable",1,IF('Reverse Search'!$I$9="Disable",1,IF('Reverse Search'!$K$9="≥",IF(J65&gt;='Reverse Search'!$L$9,1,0),IF('Reverse Search'!$K$9="≤",IF(J65&lt;='Reverse Search'!$L$9,1,0),IF(J65='Reverse Search'!$L$9,1,0)))))</f>
        <v>1</v>
      </c>
      <c r="X65" s="0" t="n">
        <f aca="false">IF('Reverse Search'!$N$7="Disable",1,IF('Reverse Search'!$I$10="Disable",1,IF('Reverse Search'!$K$10="≥",IF(K65&gt;='Reverse Search'!$L$10,1,0),IF('Reverse Search'!$K$10="≤",IF(K65&lt;='Reverse Search'!$L$10,1,0),IF(K65='Reverse Search'!$L$10,1,0)))))</f>
        <v>1</v>
      </c>
      <c r="Y65" s="367" t="n">
        <f aca="false">IF('Reverse Search'!$N$7="Disable",1,IF('Reverse Search'!$I$11="Disable",1,IF('Reverse Search'!$K$11="≥",IF(L65&gt;='Reverse Search'!$L$11,1,0),IF('Reverse Search'!$K$11="≤",IF(L65&lt;='Reverse Search'!$L$11,1,0),IF(L65='Reverse Search'!$L$11,1,0)))))</f>
        <v>1</v>
      </c>
      <c r="Z65" s="0" t="n">
        <f aca="true">IF('Reverse Search'!$C$14="Disable",1,IF('Reverse Search'!$D$16="Disable",1,IF($C$2=3,IF($M65=0,0,COUNTIF(INDIRECT("'0.0.2 Pokémon Learnset (Core)'!$D$"&amp;MATCH($E65,'0.0.2 Pokémon Learnset (Core)'!$A$1:$A951,0)&amp;":$FK$"&amp;MATCH($E65,'0.0.2 Pokémon Learnset (Core)'!$A$1:$A951,0)),'Reverse Search'!$E$21)),IF($C$2=2,COUNTIF(INDIRECT("'0.1.1 Pokémon GO Moves'!$B$"&amp;MATCH($E65,'0.1.1 Pokémon GO Moves'!$A$1:$A951,0)&amp;":$R$"&amp;MATCH($E65,'0.1.1 Pokémon GO Moves'!$A$1:$A951,0)),'Reverse Search'!$E$21),COUNTIF(INDIRECT("'0.1.1 Pokémon GO Moves'!$B$"&amp;MATCH($E65,'0.1.1 Pokémon GO Moves'!$A$1:$A951,0)&amp;":$L$"&amp;MATCH($E65,'0.1.1 Pokémon GO Moves'!$A$1:$A951,0)),'Reverse Search'!$E$21)))))</f>
        <v>1</v>
      </c>
      <c r="AA65" s="0" t="e">
        <f aca="true">IF('Reverse Search'!$C$14="Disable",1,IF('Reverse Search'!$I$16="Disable",1,IF($D$2=3,IF($M65=0,0,COUNTIF(INDIRECT("'0.0.2 Pokémon Learnset (Core)'!$D$"&amp;MATCH($E65,'0.0.2 Pokémon Learnset (Core)'!$A$1:$A951,0)&amp;":$FK$"&amp;MATCH($E65,'0.0.2 Pokémon Learnset (Core)'!$A$1:$A951,0)),'Reverse Search'!$J$21)),IF($D$2=2,COUNTIF(INDIRECT("'0.1.1 Pokémon GO Moves'!$B$"&amp;MATCH($E65,'0.1.1 Pokémon GO Moves'!$A$1:$A951,0)&amp;":$R$"&amp;MATCH($E65,'0.1.1 Pokémon GO Moves'!$A$1:$A951,0)),'Reverse Search'!$J$21),COUNTIF(INDIRECT("'0.1.1 Pokémon GO Moves'!$B$"&amp;MATCH($E65,'0.1.1 Pokémon GO Moves'!$A$1:$A951,0)&amp;":$L$"&amp;MATCH($E65,'0.1.1 Pokémon GO Moves'!$A$1:$A951,0)),'Reverse Search'!$J$21)))))</f>
        <v>#N/A</v>
      </c>
      <c r="AB65" s="490"/>
      <c r="AC65" s="260" t="e">
        <f aca="false">IF((Q65+R65+S65+V65+W65+X65+Y65+IF(Z65&gt;=1,1,0)+IF(AA65&gt;=1,1,0))=9,G65&amp;", ",)</f>
        <v>#N/A</v>
      </c>
    </row>
    <row r="66" customFormat="false" ht="15.75" hidden="false" customHeight="false" outlineLevel="0" collapsed="false">
      <c r="A66" s="260"/>
      <c r="B66" s="358"/>
      <c r="C66" s="260"/>
      <c r="D66" s="358" t="str">
        <f aca="false">IFERROR(__xludf.dummyfunction("""COMPUTED_VALUE"""),"Low Sweep")</f>
        <v>Low Sweep</v>
      </c>
      <c r="E66" s="260" t="n">
        <v>65</v>
      </c>
      <c r="F66" s="260" t="n">
        <f aca="false" t="array" ref="F66:F66">INDEX('0.0.1 Pokémon Dex Data'!$H$3:$H951,MATCH(E66,'0.0.1 Pokémon Dex Data'!$B$3:$B951,0))</f>
        <v>0</v>
      </c>
      <c r="G66" s="0" t="str">
        <f aca="false" t="array" ref="G66:G66">INDEX('0.0.1 Pokémon Dex Data'!$E$3:$E951,MATCH(E66,'0.0.1 Pokémon Dex Data'!$B$3:$B951,0))</f>
        <v>Dugtrio</v>
      </c>
      <c r="H66" s="0" t="str">
        <f aca="false" t="array" ref="H66:H66">INDEX('0.0.1 Pokémon Dex Data'!$Q$3:$Q951,MATCH(E66,'0.0.1 Pokémon Dex Data'!$B$3:$B951,0))</f>
        <v>Ground</v>
      </c>
      <c r="I66" s="0" t="n">
        <f aca="false">INDEX('0.0.1 Pokémon Dex Data'!$R$3:$R951,MATCH(E66,'0.0.1 Pokémon Dex Data'!$B$3:$B951,0))</f>
        <v>0</v>
      </c>
      <c r="J66" s="260" t="n">
        <f aca="false" t="array" ref="J66:J66">ROUND(INDEX('0.0.1 Pokémon Dex Data'!$S$3:$S951,MATCH($E66,'0.0.1 Pokémon Dex Data'!$B$3:$B951,0))*INDEX('0.0.1 Pokémon Dex Data'!T$3:T951,MATCH($E66,'0.0.1 Pokémon Dex Data'!$B$3:$B951,0)),0)</f>
        <v>167</v>
      </c>
      <c r="K66" s="260" t="n">
        <f aca="false" t="array" ref="K66:K66">ROUND(INDEX('0.0.1 Pokémon Dex Data'!$S$3:$S951,MATCH($E66,'0.0.1 Pokémon Dex Data'!$B$3:$B951,0))*INDEX('0.0.1 Pokémon Dex Data'!U$3:U951,MATCH($E66,'0.0.1 Pokémon Dex Data'!$B$3:$B951,0)),0)</f>
        <v>136</v>
      </c>
      <c r="L66" s="260" t="n">
        <f aca="false" t="array" ref="L66:L66">ROUND(INDEX('0.0.1 Pokémon Dex Data'!$S$3:$S951,MATCH($E66,'0.0.1 Pokémon Dex Data'!$B$3:$B951,0))*INDEX('0.0.1 Pokémon Dex Data'!V$3:V951,MATCH($E66,'0.0.1 Pokémon Dex Data'!$B$3:$B951,0)),0)</f>
        <v>111</v>
      </c>
      <c r="M66" s="260" t="n">
        <f aca="false" t="array" ref="M66:M66">INDEX('0.0.1 Pokémon Dex Data'!$J$3:$J951,MATCH(E66,'0.0.1 Pokémon Dex Data'!$B$3:$B951,0))</f>
        <v>1</v>
      </c>
      <c r="O66" s="490"/>
      <c r="Q66" s="367" t="n">
        <f aca="false">IF('Reverse Search'!$F$4="All (including temporary formes)",1,IF('Reverse Search'!$F$4="Base Pokémon and permanent formes only",IF(F66&lt;=1,1,0),IF(F66=0,1,0)))</f>
        <v>1</v>
      </c>
      <c r="R66" s="0" t="n">
        <f aca="false">IF('Reverse Search'!$C$7="Disable",1,IF('Reverse Search'!$D$9="Disable",1,IF(OR('Reverse Search'!$F$9=H66,'Reverse Search'!$F$9=I66),1,0)))</f>
        <v>1</v>
      </c>
      <c r="S66" s="0" t="n">
        <f aca="false">IF('Reverse Search'!$C$7="Disable",1,IF('Reverse Search'!$D$10="Disable",1,IF(OR('Reverse Search'!$F$10=H66,'Reverse Search'!$F$10=I66),1,0)))</f>
        <v>1</v>
      </c>
      <c r="T66" s="0" t="n">
        <f aca="false">INDEX($B$4:$B$22,MATCH(H66,$A$4:$A$22,0))</f>
        <v>1</v>
      </c>
      <c r="U66" s="0" t="e">
        <f aca="false">IF(ISBLANK(I66),1,INDEX($B$4:$B$22,MATCH(I66,$A$4:$A$22,0)))</f>
        <v>#N/A</v>
      </c>
      <c r="V66" s="367" t="n">
        <f aca="false">IF('Reverse Search'!$C$7="Disable",1,IF('Reverse Search'!$D$11="Disable",1,IF('Reverse Search'!$E$11="Neutral to:",IF(ROUND(T66*U66,2)&lt;=1,1,0),IF(ROUND(T66*U66,2)&lt;1,1,0))))</f>
        <v>1</v>
      </c>
      <c r="W66" s="0" t="n">
        <f aca="false">IF('Reverse Search'!$N$7="Disable",1,IF('Reverse Search'!$I$9="Disable",1,IF('Reverse Search'!$K$9="≥",IF(J66&gt;='Reverse Search'!$L$9,1,0),IF('Reverse Search'!$K$9="≤",IF(J66&lt;='Reverse Search'!$L$9,1,0),IF(J66='Reverse Search'!$L$9,1,0)))))</f>
        <v>1</v>
      </c>
      <c r="X66" s="0" t="n">
        <f aca="false">IF('Reverse Search'!$N$7="Disable",1,IF('Reverse Search'!$I$10="Disable",1,IF('Reverse Search'!$K$10="≥",IF(K66&gt;='Reverse Search'!$L$10,1,0),IF('Reverse Search'!$K$10="≤",IF(K66&lt;='Reverse Search'!$L$10,1,0),IF(K66='Reverse Search'!$L$10,1,0)))))</f>
        <v>1</v>
      </c>
      <c r="Y66" s="367" t="n">
        <f aca="false">IF('Reverse Search'!$N$7="Disable",1,IF('Reverse Search'!$I$11="Disable",1,IF('Reverse Search'!$K$11="≥",IF(L66&gt;='Reverse Search'!$L$11,1,0),IF('Reverse Search'!$K$11="≤",IF(L66&lt;='Reverse Search'!$L$11,1,0),IF(L66='Reverse Search'!$L$11,1,0)))))</f>
        <v>1</v>
      </c>
      <c r="Z66" s="0" t="n">
        <f aca="true">IF('Reverse Search'!$C$14="Disable",1,IF('Reverse Search'!$D$16="Disable",1,IF($C$2=3,IF($M66=0,0,COUNTIF(INDIRECT("'0.0.2 Pokémon Learnset (Core)'!$D$"&amp;MATCH($E66,'0.0.2 Pokémon Learnset (Core)'!$A$1:$A951,0)&amp;":$FK$"&amp;MATCH($E66,'0.0.2 Pokémon Learnset (Core)'!$A$1:$A951,0)),'Reverse Search'!$E$21)),IF($C$2=2,COUNTIF(INDIRECT("'0.1.1 Pokémon GO Moves'!$B$"&amp;MATCH($E66,'0.1.1 Pokémon GO Moves'!$A$1:$A951,0)&amp;":$R$"&amp;MATCH($E66,'0.1.1 Pokémon GO Moves'!$A$1:$A951,0)),'Reverse Search'!$E$21),COUNTIF(INDIRECT("'0.1.1 Pokémon GO Moves'!$B$"&amp;MATCH($E66,'0.1.1 Pokémon GO Moves'!$A$1:$A951,0)&amp;":$L$"&amp;MATCH($E66,'0.1.1 Pokémon GO Moves'!$A$1:$A951,0)),'Reverse Search'!$E$21)))))</f>
        <v>1</v>
      </c>
      <c r="AA66" s="0" t="n">
        <f aca="true">IF('Reverse Search'!$C$14="Disable",1,IF('Reverse Search'!$I$16="Disable",1,IF($D$2=3,IF($M66=0,0,COUNTIF(INDIRECT("'0.0.2 Pokémon Learnset (Core)'!$D$"&amp;MATCH($E66,'0.0.2 Pokémon Learnset (Core)'!$A$1:$A951,0)&amp;":$FK$"&amp;MATCH($E66,'0.0.2 Pokémon Learnset (Core)'!$A$1:$A951,0)),'Reverse Search'!$J$21)),IF($D$2=2,COUNTIF(INDIRECT("'0.1.1 Pokémon GO Moves'!$B$"&amp;MATCH($E66,'0.1.1 Pokémon GO Moves'!$A$1:$A951,0)&amp;":$R$"&amp;MATCH($E66,'0.1.1 Pokémon GO Moves'!$A$1:$A951,0)),'Reverse Search'!$J$21),COUNTIF(INDIRECT("'0.1.1 Pokémon GO Moves'!$B$"&amp;MATCH($E66,'0.1.1 Pokémon GO Moves'!$A$1:$A951,0)&amp;":$L$"&amp;MATCH($E66,'0.1.1 Pokémon GO Moves'!$A$1:$A951,0)),'Reverse Search'!$J$21)))))</f>
        <v>0</v>
      </c>
      <c r="AB66" s="490"/>
      <c r="AC66" s="260" t="n">
        <f aca="false">IF((Q66+R66+S66+V66+W66+X66+Y66+IF(Z66&gt;=1,1,0)+IF(AA66&gt;=1,1,0))=9,G66&amp;", ",)</f>
        <v>0</v>
      </c>
    </row>
    <row r="67" customFormat="false" ht="15.75" hidden="false" customHeight="false" outlineLevel="0" collapsed="false">
      <c r="A67" s="260"/>
      <c r="B67" s="358"/>
      <c r="C67" s="260"/>
      <c r="D67" s="358" t="str">
        <f aca="false">IFERROR(__xludf.dummyfunction("""COMPUTED_VALUE"""),"Magnet Bomb")</f>
        <v>Magnet Bomb</v>
      </c>
      <c r="E67" s="260" t="n">
        <v>66</v>
      </c>
      <c r="F67" s="260" t="n">
        <f aca="false" t="array" ref="F67:F67">INDEX('0.0.1 Pokémon Dex Data'!$H$3:$H951,MATCH(E67,'0.0.1 Pokémon Dex Data'!$B$3:$B951,0))</f>
        <v>1</v>
      </c>
      <c r="G67" s="0" t="str">
        <f aca="false" t="array" ref="G67:G67">INDEX('0.0.1 Pokémon Dex Data'!$E$3:$E951,MATCH(E67,'0.0.1 Pokémon Dex Data'!$B$3:$B951,0))</f>
        <v>Dugtrio-Alolan</v>
      </c>
      <c r="H67" s="0" t="str">
        <f aca="false" t="array" ref="H67:H67">INDEX('0.0.1 Pokémon Dex Data'!$Q$3:$Q951,MATCH(E67,'0.0.1 Pokémon Dex Data'!$B$3:$B951,0))</f>
        <v>Ground</v>
      </c>
      <c r="I67" s="0" t="str">
        <f aca="false" t="array" ref="I67:I67">INDEX('0.0.1 Pokémon Dex Data'!$R$3:$R951,MATCH(E67,'0.0.1 Pokémon Dex Data'!$B$3:$B951,0))</f>
        <v>Steel</v>
      </c>
      <c r="J67" s="260" t="n">
        <f aca="false" t="array" ref="J67:J67">ROUND(INDEX('0.0.1 Pokémon Dex Data'!$S$3:$S951,MATCH($E67,'0.0.1 Pokémon Dex Data'!$B$3:$B951,0))*INDEX('0.0.1 Pokémon Dex Data'!T$3:T951,MATCH($E67,'0.0.1 Pokémon Dex Data'!$B$3:$B951,0)),0)</f>
        <v>201</v>
      </c>
      <c r="K67" s="260" t="n">
        <f aca="false" t="array" ref="K67:K67">ROUND(INDEX('0.0.1 Pokémon Dex Data'!$S$3:$S951,MATCH($E67,'0.0.1 Pokémon Dex Data'!$B$3:$B951,0))*INDEX('0.0.1 Pokémon Dex Data'!U$3:U951,MATCH($E67,'0.0.1 Pokémon Dex Data'!$B$3:$B951,0)),0)</f>
        <v>142</v>
      </c>
      <c r="L67" s="260" t="n">
        <f aca="false" t="array" ref="L67:L67">ROUND(INDEX('0.0.1 Pokémon Dex Data'!$S$3:$S951,MATCH($E67,'0.0.1 Pokémon Dex Data'!$B$3:$B951,0))*INDEX('0.0.1 Pokémon Dex Data'!V$3:V951,MATCH($E67,'0.0.1 Pokémon Dex Data'!$B$3:$B951,0)),0)</f>
        <v>111</v>
      </c>
      <c r="M67" s="260" t="n">
        <f aca="false" t="array" ref="M67:M67">INDEX('0.0.1 Pokémon Dex Data'!$J$3:$J951,MATCH(E67,'0.0.1 Pokémon Dex Data'!$B$3:$B951,0))</f>
        <v>1</v>
      </c>
      <c r="O67" s="490"/>
      <c r="Q67" s="367" t="n">
        <f aca="false">IF('Reverse Search'!$F$4="All (including temporary formes)",1,IF('Reverse Search'!$F$4="Base Pokémon and permanent formes only",IF(F67&lt;=1,1,0),IF(F67=0,1,0)))</f>
        <v>0</v>
      </c>
      <c r="R67" s="0" t="n">
        <f aca="false">IF('Reverse Search'!$C$7="Disable",1,IF('Reverse Search'!$D$9="Disable",1,IF(OR('Reverse Search'!$F$9=H67,'Reverse Search'!$F$9=I67),1,0)))</f>
        <v>1</v>
      </c>
      <c r="S67" s="0" t="n">
        <f aca="false">IF('Reverse Search'!$C$7="Disable",1,IF('Reverse Search'!$D$10="Disable",1,IF(OR('Reverse Search'!$F$10=H67,'Reverse Search'!$F$10=I67),1,0)))</f>
        <v>1</v>
      </c>
      <c r="T67" s="0" t="n">
        <f aca="false">INDEX($B$4:$B$22,MATCH(H67,$A$4:$A$22,0))</f>
        <v>1</v>
      </c>
      <c r="U67" s="0" t="n">
        <f aca="false">IF(ISBLANK(I67),1,INDEX($B$4:$B$22,MATCH(I67,$A$4:$A$22,0)))</f>
        <v>0.714</v>
      </c>
      <c r="V67" s="367" t="n">
        <f aca="false">IF('Reverse Search'!$C$7="Disable",1,IF('Reverse Search'!$D$11="Disable",1,IF('Reverse Search'!$E$11="Neutral to:",IF(ROUND(T67*U67,2)&lt;=1,1,0),IF(ROUND(T67*U67,2)&lt;1,1,0))))</f>
        <v>1</v>
      </c>
      <c r="W67" s="0" t="n">
        <f aca="false">IF('Reverse Search'!$N$7="Disable",1,IF('Reverse Search'!$I$9="Disable",1,IF('Reverse Search'!$K$9="≥",IF(J67&gt;='Reverse Search'!$L$9,1,0),IF('Reverse Search'!$K$9="≤",IF(J67&lt;='Reverse Search'!$L$9,1,0),IF(J67='Reverse Search'!$L$9,1,0)))))</f>
        <v>1</v>
      </c>
      <c r="X67" s="0" t="n">
        <f aca="false">IF('Reverse Search'!$N$7="Disable",1,IF('Reverse Search'!$I$10="Disable",1,IF('Reverse Search'!$K$10="≥",IF(K67&gt;='Reverse Search'!$L$10,1,0),IF('Reverse Search'!$K$10="≤",IF(K67&lt;='Reverse Search'!$L$10,1,0),IF(K67='Reverse Search'!$L$10,1,0)))))</f>
        <v>1</v>
      </c>
      <c r="Y67" s="367" t="n">
        <f aca="false">IF('Reverse Search'!$N$7="Disable",1,IF('Reverse Search'!$I$11="Disable",1,IF('Reverse Search'!$K$11="≥",IF(L67&gt;='Reverse Search'!$L$11,1,0),IF('Reverse Search'!$K$11="≤",IF(L67&lt;='Reverse Search'!$L$11,1,0),IF(L67='Reverse Search'!$L$11,1,0)))))</f>
        <v>1</v>
      </c>
      <c r="Z67" s="0" t="n">
        <f aca="true">IF('Reverse Search'!$C$14="Disable",1,IF('Reverse Search'!$D$16="Disable",1,IF($C$2=3,IF($M67=0,0,COUNTIF(INDIRECT("'0.0.2 Pokémon Learnset (Core)'!$D$"&amp;MATCH($E67,'0.0.2 Pokémon Learnset (Core)'!$A$1:$A951,0)&amp;":$FK$"&amp;MATCH($E67,'0.0.2 Pokémon Learnset (Core)'!$A$1:$A951,0)),'Reverse Search'!$E$21)),IF($C$2=2,COUNTIF(INDIRECT("'0.1.1 Pokémon GO Moves'!$B$"&amp;MATCH($E67,'0.1.1 Pokémon GO Moves'!$A$1:$A951,0)&amp;":$R$"&amp;MATCH($E67,'0.1.1 Pokémon GO Moves'!$A$1:$A951,0)),'Reverse Search'!$E$21),COUNTIF(INDIRECT("'0.1.1 Pokémon GO Moves'!$B$"&amp;MATCH($E67,'0.1.1 Pokémon GO Moves'!$A$1:$A951,0)&amp;":$L$"&amp;MATCH($E67,'0.1.1 Pokémon GO Moves'!$A$1:$A951,0)),'Reverse Search'!$E$21)))))</f>
        <v>1</v>
      </c>
      <c r="AA67" s="0" t="e">
        <f aca="true">IF('Reverse Search'!$C$14="Disable",1,IF('Reverse Search'!$I$16="Disable",1,IF($D$2=3,IF($M67=0,0,COUNTIF(INDIRECT("'0.0.2 Pokémon Learnset (Core)'!$D$"&amp;MATCH($E67,'0.0.2 Pokémon Learnset (Core)'!$A$1:$A951,0)&amp;":$FK$"&amp;MATCH($E67,'0.0.2 Pokémon Learnset (Core)'!$A$1:$A951,0)),'Reverse Search'!$J$21)),IF($D$2=2,COUNTIF(INDIRECT("'0.1.1 Pokémon GO Moves'!$B$"&amp;MATCH($E67,'0.1.1 Pokémon GO Moves'!$A$1:$A951,0)&amp;":$R$"&amp;MATCH($E67,'0.1.1 Pokémon GO Moves'!$A$1:$A951,0)),'Reverse Search'!$J$21),COUNTIF(INDIRECT("'0.1.1 Pokémon GO Moves'!$B$"&amp;MATCH($E67,'0.1.1 Pokémon GO Moves'!$A$1:$A951,0)&amp;":$L$"&amp;MATCH($E67,'0.1.1 Pokémon GO Moves'!$A$1:$A951,0)),'Reverse Search'!$J$21)))))</f>
        <v>#N/A</v>
      </c>
      <c r="AB67" s="490"/>
      <c r="AC67" s="260" t="e">
        <f aca="false">IF((Q67+R67+S67+V67+W67+X67+Y67+IF(Z67&gt;=1,1,0)+IF(AA67&gt;=1,1,0))=9,G67&amp;", ",)</f>
        <v>#N/A</v>
      </c>
    </row>
    <row r="68" customFormat="false" ht="15.75" hidden="false" customHeight="false" outlineLevel="0" collapsed="false">
      <c r="A68" s="260"/>
      <c r="B68" s="358"/>
      <c r="C68" s="260"/>
      <c r="D68" s="358" t="str">
        <f aca="false">IFERROR(__xludf.dummyfunction("""COMPUTED_VALUE"""),"Mega Drain")</f>
        <v>Mega Drain</v>
      </c>
      <c r="E68" s="260" t="n">
        <v>67</v>
      </c>
      <c r="F68" s="260" t="n">
        <f aca="false" t="array" ref="F68:F68">INDEX('0.0.1 Pokémon Dex Data'!$H$3:$H951,MATCH(E68,'0.0.1 Pokémon Dex Data'!$B$3:$B951,0))</f>
        <v>0</v>
      </c>
      <c r="G68" s="0" t="str">
        <f aca="false" t="array" ref="G68:G68">INDEX('0.0.1 Pokémon Dex Data'!$E$3:$E951,MATCH(E68,'0.0.1 Pokémon Dex Data'!$B$3:$B951,0))</f>
        <v>Meowth</v>
      </c>
      <c r="H68" s="0" t="str">
        <f aca="false" t="array" ref="H68:H68">INDEX('0.0.1 Pokémon Dex Data'!$Q$3:$Q951,MATCH(E68,'0.0.1 Pokémon Dex Data'!$B$3:$B951,0))</f>
        <v>Normal</v>
      </c>
      <c r="I68" s="0" t="n">
        <f aca="false">INDEX('0.0.1 Pokémon Dex Data'!$R$3:$R951,MATCH(E68,'0.0.1 Pokémon Dex Data'!$B$3:$B951,0))</f>
        <v>0</v>
      </c>
      <c r="J68" s="260" t="n">
        <f aca="false" t="array" ref="J68:J68">ROUND(INDEX('0.0.1 Pokémon Dex Data'!$S$3:$S951,MATCH($E68,'0.0.1 Pokémon Dex Data'!$B$3:$B951,0))*INDEX('0.0.1 Pokémon Dex Data'!T$3:T951,MATCH($E68,'0.0.1 Pokémon Dex Data'!$B$3:$B951,0)),0)</f>
        <v>92</v>
      </c>
      <c r="K68" s="260" t="n">
        <f aca="false" t="array" ref="K68:K68">ROUND(INDEX('0.0.1 Pokémon Dex Data'!$S$3:$S951,MATCH($E68,'0.0.1 Pokémon Dex Data'!$B$3:$B951,0))*INDEX('0.0.1 Pokémon Dex Data'!U$3:U951,MATCH($E68,'0.0.1 Pokémon Dex Data'!$B$3:$B951,0)),0)</f>
        <v>78</v>
      </c>
      <c r="L68" s="260" t="n">
        <f aca="false" t="array" ref="L68:L68">ROUND(INDEX('0.0.1 Pokémon Dex Data'!$S$3:$S951,MATCH($E68,'0.0.1 Pokémon Dex Data'!$B$3:$B951,0))*INDEX('0.0.1 Pokémon Dex Data'!V$3:V951,MATCH($E68,'0.0.1 Pokémon Dex Data'!$B$3:$B951,0)),0)</f>
        <v>120</v>
      </c>
      <c r="M68" s="260" t="n">
        <f aca="false" t="array" ref="M68:M68">INDEX('0.0.1 Pokémon Dex Data'!$J$3:$J951,MATCH(E68,'0.0.1 Pokémon Dex Data'!$B$3:$B951,0))</f>
        <v>0</v>
      </c>
      <c r="O68" s="490"/>
      <c r="Q68" s="367" t="n">
        <f aca="false">IF('Reverse Search'!$F$4="All (including temporary formes)",1,IF('Reverse Search'!$F$4="Base Pokémon and permanent formes only",IF(F68&lt;=1,1,0),IF(F68=0,1,0)))</f>
        <v>1</v>
      </c>
      <c r="R68" s="0" t="n">
        <f aca="false">IF('Reverse Search'!$C$7="Disable",1,IF('Reverse Search'!$D$9="Disable",1,IF(OR('Reverse Search'!$F$9=H68,'Reverse Search'!$F$9=I68),1,0)))</f>
        <v>1</v>
      </c>
      <c r="S68" s="0" t="n">
        <f aca="false">IF('Reverse Search'!$C$7="Disable",1,IF('Reverse Search'!$D$10="Disable",1,IF(OR('Reverse Search'!$F$10=H68,'Reverse Search'!$F$10=I68),1,0)))</f>
        <v>1</v>
      </c>
      <c r="T68" s="0" t="n">
        <f aca="false">INDEX($B$4:$B$22,MATCH(H68,$A$4:$A$22,0))</f>
        <v>1</v>
      </c>
      <c r="U68" s="0" t="e">
        <f aca="false">IF(ISBLANK(I68),1,INDEX($B$4:$B$22,MATCH(I68,$A$4:$A$22,0)))</f>
        <v>#N/A</v>
      </c>
      <c r="V68" s="367" t="n">
        <f aca="false">IF('Reverse Search'!$C$7="Disable",1,IF('Reverse Search'!$D$11="Disable",1,IF('Reverse Search'!$E$11="Neutral to:",IF(ROUND(T68*U68,2)&lt;=1,1,0),IF(ROUND(T68*U68,2)&lt;1,1,0))))</f>
        <v>1</v>
      </c>
      <c r="W68" s="0" t="n">
        <f aca="false">IF('Reverse Search'!$N$7="Disable",1,IF('Reverse Search'!$I$9="Disable",1,IF('Reverse Search'!$K$9="≥",IF(J68&gt;='Reverse Search'!$L$9,1,0),IF('Reverse Search'!$K$9="≤",IF(J68&lt;='Reverse Search'!$L$9,1,0),IF(J68='Reverse Search'!$L$9,1,0)))))</f>
        <v>1</v>
      </c>
      <c r="X68" s="0" t="n">
        <f aca="false">IF('Reverse Search'!$N$7="Disable",1,IF('Reverse Search'!$I$10="Disable",1,IF('Reverse Search'!$K$10="≥",IF(K68&gt;='Reverse Search'!$L$10,1,0),IF('Reverse Search'!$K$10="≤",IF(K68&lt;='Reverse Search'!$L$10,1,0),IF(K68='Reverse Search'!$L$10,1,0)))))</f>
        <v>1</v>
      </c>
      <c r="Y68" s="367" t="n">
        <f aca="false">IF('Reverse Search'!$N$7="Disable",1,IF('Reverse Search'!$I$11="Disable",1,IF('Reverse Search'!$K$11="≥",IF(L68&gt;='Reverse Search'!$L$11,1,0),IF('Reverse Search'!$K$11="≤",IF(L68&lt;='Reverse Search'!$L$11,1,0),IF(L68='Reverse Search'!$L$11,1,0)))))</f>
        <v>1</v>
      </c>
      <c r="Z68" s="0" t="n">
        <f aca="true">IF('Reverse Search'!$C$14="Disable",1,IF('Reverse Search'!$D$16="Disable",1,IF($C$2=3,IF($M68=0,0,COUNTIF(INDIRECT("'0.0.2 Pokémon Learnset (Core)'!$D$"&amp;MATCH($E68,'0.0.2 Pokémon Learnset (Core)'!$A$1:$A951,0)&amp;":$FK$"&amp;MATCH($E68,'0.0.2 Pokémon Learnset (Core)'!$A$1:$A951,0)),'Reverse Search'!$E$21)),IF($C$2=2,COUNTIF(INDIRECT("'0.1.1 Pokémon GO Moves'!$B$"&amp;MATCH($E68,'0.1.1 Pokémon GO Moves'!$A$1:$A951,0)&amp;":$R$"&amp;MATCH($E68,'0.1.1 Pokémon GO Moves'!$A$1:$A951,0)),'Reverse Search'!$E$21),COUNTIF(INDIRECT("'0.1.1 Pokémon GO Moves'!$B$"&amp;MATCH($E68,'0.1.1 Pokémon GO Moves'!$A$1:$A951,0)&amp;":$L$"&amp;MATCH($E68,'0.1.1 Pokémon GO Moves'!$A$1:$A951,0)),'Reverse Search'!$E$21)))))</f>
        <v>1</v>
      </c>
      <c r="AA68" s="0" t="n">
        <f aca="true">IF('Reverse Search'!$C$14="Disable",1,IF('Reverse Search'!$I$16="Disable",1,IF($D$2=3,IF($M68=0,0,COUNTIF(INDIRECT("'0.0.2 Pokémon Learnset (Core)'!$D$"&amp;MATCH($E68,'0.0.2 Pokémon Learnset (Core)'!$A$1:$A951,0)&amp;":$FK$"&amp;MATCH($E68,'0.0.2 Pokémon Learnset (Core)'!$A$1:$A951,0)),'Reverse Search'!$J$21)),IF($D$2=2,COUNTIF(INDIRECT("'0.1.1 Pokémon GO Moves'!$B$"&amp;MATCH($E68,'0.1.1 Pokémon GO Moves'!$A$1:$A951,0)&amp;":$R$"&amp;MATCH($E68,'0.1.1 Pokémon GO Moves'!$A$1:$A951,0)),'Reverse Search'!$J$21),COUNTIF(INDIRECT("'0.1.1 Pokémon GO Moves'!$B$"&amp;MATCH($E68,'0.1.1 Pokémon GO Moves'!$A$1:$A951,0)&amp;":$L$"&amp;MATCH($E68,'0.1.1 Pokémon GO Moves'!$A$1:$A951,0)),'Reverse Search'!$J$21)))))</f>
        <v>0</v>
      </c>
      <c r="AB68" s="490"/>
      <c r="AC68" s="260" t="n">
        <f aca="false">IF((Q68+R68+S68+V68+W68+X68+Y68+IF(Z68&gt;=1,1,0)+IF(AA68&gt;=1,1,0))=9,G68&amp;", ",)</f>
        <v>0</v>
      </c>
    </row>
    <row r="69" customFormat="false" ht="15.75" hidden="false" customHeight="false" outlineLevel="0" collapsed="false">
      <c r="A69" s="260"/>
      <c r="B69" s="358"/>
      <c r="C69" s="260"/>
      <c r="D69" s="358" t="str">
        <f aca="false">IFERROR(__xludf.dummyfunction("""COMPUTED_VALUE"""),"Megahorn")</f>
        <v>Megahorn</v>
      </c>
      <c r="E69" s="260" t="n">
        <v>68</v>
      </c>
      <c r="F69" s="260" t="n">
        <f aca="false" t="array" ref="F69:F69">INDEX('0.0.1 Pokémon Dex Data'!$H$3:$H951,MATCH(E69,'0.0.1 Pokémon Dex Data'!$B$3:$B951,0))</f>
        <v>1</v>
      </c>
      <c r="G69" s="0" t="str">
        <f aca="false" t="array" ref="G69:G69">INDEX('0.0.1 Pokémon Dex Data'!$E$3:$E951,MATCH(E69,'0.0.1 Pokémon Dex Data'!$B$3:$B951,0))</f>
        <v>Meowth-Alolan</v>
      </c>
      <c r="H69" s="0" t="str">
        <f aca="false" t="array" ref="H69:H69">INDEX('0.0.1 Pokémon Dex Data'!$Q$3:$Q951,MATCH(E69,'0.0.1 Pokémon Dex Data'!$B$3:$B951,0))</f>
        <v>Dark</v>
      </c>
      <c r="I69" s="0" t="n">
        <f aca="false">INDEX('0.0.1 Pokémon Dex Data'!$R$3:$R951,MATCH(E69,'0.0.1 Pokémon Dex Data'!$B$3:$B951,0))</f>
        <v>0</v>
      </c>
      <c r="J69" s="260" t="n">
        <f aca="false" t="array" ref="J69:J69">ROUND(INDEX('0.0.1 Pokémon Dex Data'!$S$3:$S951,MATCH($E69,'0.0.1 Pokémon Dex Data'!$B$3:$B951,0))*INDEX('0.0.1 Pokémon Dex Data'!T$3:T951,MATCH($E69,'0.0.1 Pokémon Dex Data'!$B$3:$B951,0)),0)</f>
        <v>99</v>
      </c>
      <c r="K69" s="260" t="n">
        <f aca="false" t="array" ref="K69:K69">ROUND(INDEX('0.0.1 Pokémon Dex Data'!$S$3:$S951,MATCH($E69,'0.0.1 Pokémon Dex Data'!$B$3:$B951,0))*INDEX('0.0.1 Pokémon Dex Data'!U$3:U951,MATCH($E69,'0.0.1 Pokémon Dex Data'!$B$3:$B951,0)),0)</f>
        <v>78</v>
      </c>
      <c r="L69" s="260" t="n">
        <f aca="false" t="array" ref="L69:L69">ROUND(INDEX('0.0.1 Pokémon Dex Data'!$S$3:$S951,MATCH($E69,'0.0.1 Pokémon Dex Data'!$B$3:$B951,0))*INDEX('0.0.1 Pokémon Dex Data'!V$3:V951,MATCH($E69,'0.0.1 Pokémon Dex Data'!$B$3:$B951,0)),0)</f>
        <v>120</v>
      </c>
      <c r="M69" s="260" t="n">
        <f aca="false" t="array" ref="M69:M69">INDEX('0.0.1 Pokémon Dex Data'!$J$3:$J951,MATCH(E69,'0.0.1 Pokémon Dex Data'!$B$3:$B951,0))</f>
        <v>0</v>
      </c>
      <c r="O69" s="490"/>
      <c r="Q69" s="367" t="n">
        <f aca="false">IF('Reverse Search'!$F$4="All (including temporary formes)",1,IF('Reverse Search'!$F$4="Base Pokémon and permanent formes only",IF(F69&lt;=1,1,0),IF(F69=0,1,0)))</f>
        <v>0</v>
      </c>
      <c r="R69" s="0" t="n">
        <f aca="false">IF('Reverse Search'!$C$7="Disable",1,IF('Reverse Search'!$D$9="Disable",1,IF(OR('Reverse Search'!$F$9=H69,'Reverse Search'!$F$9=I69),1,0)))</f>
        <v>1</v>
      </c>
      <c r="S69" s="0" t="n">
        <f aca="false">IF('Reverse Search'!$C$7="Disable",1,IF('Reverse Search'!$D$10="Disable",1,IF(OR('Reverse Search'!$F$10=H69,'Reverse Search'!$F$10=I69),1,0)))</f>
        <v>1</v>
      </c>
      <c r="T69" s="0" t="n">
        <f aca="false">INDEX($B$4:$B$22,MATCH(H69,$A$4:$A$22,0))</f>
        <v>1</v>
      </c>
      <c r="U69" s="0" t="e">
        <f aca="false">IF(ISBLANK(I69),1,INDEX($B$4:$B$22,MATCH(I69,$A$4:$A$22,0)))</f>
        <v>#N/A</v>
      </c>
      <c r="V69" s="367" t="n">
        <f aca="false">IF('Reverse Search'!$C$7="Disable",1,IF('Reverse Search'!$D$11="Disable",1,IF('Reverse Search'!$E$11="Neutral to:",IF(ROUND(T69*U69,2)&lt;=1,1,0),IF(ROUND(T69*U69,2)&lt;1,1,0))))</f>
        <v>1</v>
      </c>
      <c r="W69" s="0" t="n">
        <f aca="false">IF('Reverse Search'!$N$7="Disable",1,IF('Reverse Search'!$I$9="Disable",1,IF('Reverse Search'!$K$9="≥",IF(J69&gt;='Reverse Search'!$L$9,1,0),IF('Reverse Search'!$K$9="≤",IF(J69&lt;='Reverse Search'!$L$9,1,0),IF(J69='Reverse Search'!$L$9,1,0)))))</f>
        <v>1</v>
      </c>
      <c r="X69" s="0" t="n">
        <f aca="false">IF('Reverse Search'!$N$7="Disable",1,IF('Reverse Search'!$I$10="Disable",1,IF('Reverse Search'!$K$10="≥",IF(K69&gt;='Reverse Search'!$L$10,1,0),IF('Reverse Search'!$K$10="≤",IF(K69&lt;='Reverse Search'!$L$10,1,0),IF(K69='Reverse Search'!$L$10,1,0)))))</f>
        <v>1</v>
      </c>
      <c r="Y69" s="367" t="n">
        <f aca="false">IF('Reverse Search'!$N$7="Disable",1,IF('Reverse Search'!$I$11="Disable",1,IF('Reverse Search'!$K$11="≥",IF(L69&gt;='Reverse Search'!$L$11,1,0),IF('Reverse Search'!$K$11="≤",IF(L69&lt;='Reverse Search'!$L$11,1,0),IF(L69='Reverse Search'!$L$11,1,0)))))</f>
        <v>1</v>
      </c>
      <c r="Z69" s="0" t="n">
        <f aca="true">IF('Reverse Search'!$C$14="Disable",1,IF('Reverse Search'!$D$16="Disable",1,IF($C$2=3,IF($M69=0,0,COUNTIF(INDIRECT("'0.0.2 Pokémon Learnset (Core)'!$D$"&amp;MATCH($E69,'0.0.2 Pokémon Learnset (Core)'!$A$1:$A951,0)&amp;":$FK$"&amp;MATCH($E69,'0.0.2 Pokémon Learnset (Core)'!$A$1:$A951,0)),'Reverse Search'!$E$21)),IF($C$2=2,COUNTIF(INDIRECT("'0.1.1 Pokémon GO Moves'!$B$"&amp;MATCH($E69,'0.1.1 Pokémon GO Moves'!$A$1:$A951,0)&amp;":$R$"&amp;MATCH($E69,'0.1.1 Pokémon GO Moves'!$A$1:$A951,0)),'Reverse Search'!$E$21),COUNTIF(INDIRECT("'0.1.1 Pokémon GO Moves'!$B$"&amp;MATCH($E69,'0.1.1 Pokémon GO Moves'!$A$1:$A951,0)&amp;":$L$"&amp;MATCH($E69,'0.1.1 Pokémon GO Moves'!$A$1:$A951,0)),'Reverse Search'!$E$21)))))</f>
        <v>1</v>
      </c>
      <c r="AA69" s="0" t="e">
        <f aca="true">IF('Reverse Search'!$C$14="Disable",1,IF('Reverse Search'!$I$16="Disable",1,IF($D$2=3,IF($M69=0,0,COUNTIF(INDIRECT("'0.0.2 Pokémon Learnset (Core)'!$D$"&amp;MATCH($E69,'0.0.2 Pokémon Learnset (Core)'!$A$1:$A951,0)&amp;":$FK$"&amp;MATCH($E69,'0.0.2 Pokémon Learnset (Core)'!$A$1:$A951,0)),'Reverse Search'!$J$21)),IF($D$2=2,COUNTIF(INDIRECT("'0.1.1 Pokémon GO Moves'!$B$"&amp;MATCH($E69,'0.1.1 Pokémon GO Moves'!$A$1:$A951,0)&amp;":$R$"&amp;MATCH($E69,'0.1.1 Pokémon GO Moves'!$A$1:$A951,0)),'Reverse Search'!$J$21),COUNTIF(INDIRECT("'0.1.1 Pokémon GO Moves'!$B$"&amp;MATCH($E69,'0.1.1 Pokémon GO Moves'!$A$1:$A951,0)&amp;":$L$"&amp;MATCH($E69,'0.1.1 Pokémon GO Moves'!$A$1:$A951,0)),'Reverse Search'!$J$21)))))</f>
        <v>#N/A</v>
      </c>
      <c r="AB69" s="490"/>
      <c r="AC69" s="260" t="e">
        <f aca="false">IF((Q69+R69+S69+V69+W69+X69+Y69+IF(Z69&gt;=1,1,0)+IF(AA69&gt;=1,1,0))=9,G69&amp;", ",)</f>
        <v>#N/A</v>
      </c>
    </row>
    <row r="70" customFormat="false" ht="15.75" hidden="false" customHeight="false" outlineLevel="0" collapsed="false">
      <c r="A70" s="260"/>
      <c r="B70" s="358"/>
      <c r="C70" s="260"/>
      <c r="D70" s="358" t="str">
        <f aca="false">IFERROR(__xludf.dummyfunction("""COMPUTED_VALUE"""),"Mirror Coat")</f>
        <v>Mirror Coat</v>
      </c>
      <c r="E70" s="260" t="n">
        <v>69</v>
      </c>
      <c r="F70" s="260" t="n">
        <f aca="false" t="array" ref="F70:F70">INDEX('0.0.1 Pokémon Dex Data'!$H$3:$H951,MATCH(E70,'0.0.1 Pokémon Dex Data'!$B$3:$B951,0))</f>
        <v>0</v>
      </c>
      <c r="G70" s="0" t="str">
        <f aca="false" t="array" ref="G70:G70">INDEX('0.0.1 Pokémon Dex Data'!$E$3:$E951,MATCH(E70,'0.0.1 Pokémon Dex Data'!$B$3:$B951,0))</f>
        <v>Persian</v>
      </c>
      <c r="H70" s="0" t="str">
        <f aca="false" t="array" ref="H70:H70">INDEX('0.0.1 Pokémon Dex Data'!$Q$3:$Q951,MATCH(E70,'0.0.1 Pokémon Dex Data'!$B$3:$B951,0))</f>
        <v>Normal</v>
      </c>
      <c r="I70" s="0" t="n">
        <f aca="false">INDEX('0.0.1 Pokémon Dex Data'!$R$3:$R951,MATCH(E70,'0.0.1 Pokémon Dex Data'!$B$3:$B951,0))</f>
        <v>0</v>
      </c>
      <c r="J70" s="260" t="n">
        <f aca="false" t="array" ref="J70:J70">ROUND(INDEX('0.0.1 Pokémon Dex Data'!$S$3:$S951,MATCH($E70,'0.0.1 Pokémon Dex Data'!$B$3:$B951,0))*INDEX('0.0.1 Pokémon Dex Data'!T$3:T951,MATCH($E70,'0.0.1 Pokémon Dex Data'!$B$3:$B951,0)),0)</f>
        <v>150</v>
      </c>
      <c r="K70" s="260" t="n">
        <f aca="false" t="array" ref="K70:K70">ROUND(INDEX('0.0.1 Pokémon Dex Data'!$S$3:$S951,MATCH($E70,'0.0.1 Pokémon Dex Data'!$B$3:$B951,0))*INDEX('0.0.1 Pokémon Dex Data'!U$3:U951,MATCH($E70,'0.0.1 Pokémon Dex Data'!$B$3:$B951,0)),0)</f>
        <v>136</v>
      </c>
      <c r="L70" s="260" t="n">
        <f aca="false" t="array" ref="L70:L70">ROUND(INDEX('0.0.1 Pokémon Dex Data'!$S$3:$S951,MATCH($E70,'0.0.1 Pokémon Dex Data'!$B$3:$B951,0))*INDEX('0.0.1 Pokémon Dex Data'!V$3:V951,MATCH($E70,'0.0.1 Pokémon Dex Data'!$B$3:$B951,0)),0)</f>
        <v>163</v>
      </c>
      <c r="M70" s="260" t="n">
        <f aca="false" t="array" ref="M70:M70">INDEX('0.0.1 Pokémon Dex Data'!$J$3:$J951,MATCH(E70,'0.0.1 Pokémon Dex Data'!$B$3:$B951,0))</f>
        <v>1</v>
      </c>
      <c r="O70" s="490"/>
      <c r="Q70" s="367" t="n">
        <f aca="false">IF('Reverse Search'!$F$4="All (including temporary formes)",1,IF('Reverse Search'!$F$4="Base Pokémon and permanent formes only",IF(F70&lt;=1,1,0),IF(F70=0,1,0)))</f>
        <v>1</v>
      </c>
      <c r="R70" s="0" t="n">
        <f aca="false">IF('Reverse Search'!$C$7="Disable",1,IF('Reverse Search'!$D$9="Disable",1,IF(OR('Reverse Search'!$F$9=H70,'Reverse Search'!$F$9=I70),1,0)))</f>
        <v>1</v>
      </c>
      <c r="S70" s="0" t="n">
        <f aca="false">IF('Reverse Search'!$C$7="Disable",1,IF('Reverse Search'!$D$10="Disable",1,IF(OR('Reverse Search'!$F$10=H70,'Reverse Search'!$F$10=I70),1,0)))</f>
        <v>1</v>
      </c>
      <c r="T70" s="0" t="n">
        <f aca="false">INDEX($B$4:$B$22,MATCH(H70,$A$4:$A$22,0))</f>
        <v>1</v>
      </c>
      <c r="U70" s="0" t="e">
        <f aca="false">IF(ISBLANK(I70),1,INDEX($B$4:$B$22,MATCH(I70,$A$4:$A$22,0)))</f>
        <v>#N/A</v>
      </c>
      <c r="V70" s="367" t="n">
        <f aca="false">IF('Reverse Search'!$C$7="Disable",1,IF('Reverse Search'!$D$11="Disable",1,IF('Reverse Search'!$E$11="Neutral to:",IF(ROUND(T70*U70,2)&lt;=1,1,0),IF(ROUND(T70*U70,2)&lt;1,1,0))))</f>
        <v>1</v>
      </c>
      <c r="W70" s="0" t="n">
        <f aca="false">IF('Reverse Search'!$N$7="Disable",1,IF('Reverse Search'!$I$9="Disable",1,IF('Reverse Search'!$K$9="≥",IF(J70&gt;='Reverse Search'!$L$9,1,0),IF('Reverse Search'!$K$9="≤",IF(J70&lt;='Reverse Search'!$L$9,1,0),IF(J70='Reverse Search'!$L$9,1,0)))))</f>
        <v>1</v>
      </c>
      <c r="X70" s="0" t="n">
        <f aca="false">IF('Reverse Search'!$N$7="Disable",1,IF('Reverse Search'!$I$10="Disable",1,IF('Reverse Search'!$K$10="≥",IF(K70&gt;='Reverse Search'!$L$10,1,0),IF('Reverse Search'!$K$10="≤",IF(K70&lt;='Reverse Search'!$L$10,1,0),IF(K70='Reverse Search'!$L$10,1,0)))))</f>
        <v>1</v>
      </c>
      <c r="Y70" s="367" t="n">
        <f aca="false">IF('Reverse Search'!$N$7="Disable",1,IF('Reverse Search'!$I$11="Disable",1,IF('Reverse Search'!$K$11="≥",IF(L70&gt;='Reverse Search'!$L$11,1,0),IF('Reverse Search'!$K$11="≤",IF(L70&lt;='Reverse Search'!$L$11,1,0),IF(L70='Reverse Search'!$L$11,1,0)))))</f>
        <v>1</v>
      </c>
      <c r="Z70" s="0" t="n">
        <f aca="true">IF('Reverse Search'!$C$14="Disable",1,IF('Reverse Search'!$D$16="Disable",1,IF($C$2=3,IF($M70=0,0,COUNTIF(INDIRECT("'0.0.2 Pokémon Learnset (Core)'!$D$"&amp;MATCH($E70,'0.0.2 Pokémon Learnset (Core)'!$A$1:$A951,0)&amp;":$FK$"&amp;MATCH($E70,'0.0.2 Pokémon Learnset (Core)'!$A$1:$A951,0)),'Reverse Search'!$E$21)),IF($C$2=2,COUNTIF(INDIRECT("'0.1.1 Pokémon GO Moves'!$B$"&amp;MATCH($E70,'0.1.1 Pokémon GO Moves'!$A$1:$A951,0)&amp;":$R$"&amp;MATCH($E70,'0.1.1 Pokémon GO Moves'!$A$1:$A951,0)),'Reverse Search'!$E$21),COUNTIF(INDIRECT("'0.1.1 Pokémon GO Moves'!$B$"&amp;MATCH($E70,'0.1.1 Pokémon GO Moves'!$A$1:$A951,0)&amp;":$L$"&amp;MATCH($E70,'0.1.1 Pokémon GO Moves'!$A$1:$A951,0)),'Reverse Search'!$E$21)))))</f>
        <v>1</v>
      </c>
      <c r="AA70" s="0" t="n">
        <f aca="true">IF('Reverse Search'!$C$14="Disable",1,IF('Reverse Search'!$I$16="Disable",1,IF($D$2=3,IF($M70=0,0,COUNTIF(INDIRECT("'0.0.2 Pokémon Learnset (Core)'!$D$"&amp;MATCH($E70,'0.0.2 Pokémon Learnset (Core)'!$A$1:$A951,0)&amp;":$FK$"&amp;MATCH($E70,'0.0.2 Pokémon Learnset (Core)'!$A$1:$A951,0)),'Reverse Search'!$J$21)),IF($D$2=2,COUNTIF(INDIRECT("'0.1.1 Pokémon GO Moves'!$B$"&amp;MATCH($E70,'0.1.1 Pokémon GO Moves'!$A$1:$A951,0)&amp;":$R$"&amp;MATCH($E70,'0.1.1 Pokémon GO Moves'!$A$1:$A951,0)),'Reverse Search'!$J$21),COUNTIF(INDIRECT("'0.1.1 Pokémon GO Moves'!$B$"&amp;MATCH($E70,'0.1.1 Pokémon GO Moves'!$A$1:$A951,0)&amp;":$L$"&amp;MATCH($E70,'0.1.1 Pokémon GO Moves'!$A$1:$A951,0)),'Reverse Search'!$J$21)))))</f>
        <v>0</v>
      </c>
      <c r="AB70" s="490"/>
      <c r="AC70" s="260" t="n">
        <f aca="false">IF((Q70+R70+S70+V70+W70+X70+Y70+IF(Z70&gt;=1,1,0)+IF(AA70&gt;=1,1,0))=9,G70&amp;", ",)</f>
        <v>0</v>
      </c>
    </row>
    <row r="71" customFormat="false" ht="15.75" hidden="false" customHeight="false" outlineLevel="0" collapsed="false">
      <c r="A71" s="260"/>
      <c r="B71" s="358"/>
      <c r="C71" s="260"/>
      <c r="D71" s="358" t="str">
        <f aca="false">IFERROR(__xludf.dummyfunction("""COMPUTED_VALUE"""),"Moonblast")</f>
        <v>Moonblast</v>
      </c>
      <c r="E71" s="260" t="n">
        <v>70</v>
      </c>
      <c r="F71" s="260" t="n">
        <f aca="false" t="array" ref="F71:F71">INDEX('0.0.1 Pokémon Dex Data'!$H$3:$H951,MATCH(E71,'0.0.1 Pokémon Dex Data'!$B$3:$B951,0))</f>
        <v>1</v>
      </c>
      <c r="G71" s="0" t="str">
        <f aca="false" t="array" ref="G71:G71">INDEX('0.0.1 Pokémon Dex Data'!$E$3:$E951,MATCH(E71,'0.0.1 Pokémon Dex Data'!$B$3:$B951,0))</f>
        <v>Persian-Alolan</v>
      </c>
      <c r="H71" s="0" t="str">
        <f aca="false" t="array" ref="H71:H71">INDEX('0.0.1 Pokémon Dex Data'!$Q$3:$Q951,MATCH(E71,'0.0.1 Pokémon Dex Data'!$B$3:$B951,0))</f>
        <v>Dark</v>
      </c>
      <c r="I71" s="0" t="n">
        <f aca="false">INDEX('0.0.1 Pokémon Dex Data'!$R$3:$R951,MATCH(E71,'0.0.1 Pokémon Dex Data'!$B$3:$B951,0))</f>
        <v>0</v>
      </c>
      <c r="J71" s="260" t="n">
        <f aca="false" t="array" ref="J71:J71">ROUND(INDEX('0.0.1 Pokémon Dex Data'!$S$3:$S951,MATCH($E71,'0.0.1 Pokémon Dex Data'!$B$3:$B951,0))*INDEX('0.0.1 Pokémon Dex Data'!T$3:T951,MATCH($E71,'0.0.1 Pokémon Dex Data'!$B$3:$B951,0)),0)</f>
        <v>158</v>
      </c>
      <c r="K71" s="260" t="n">
        <f aca="false" t="array" ref="K71:K71">ROUND(INDEX('0.0.1 Pokémon Dex Data'!$S$3:$S951,MATCH($E71,'0.0.1 Pokémon Dex Data'!$B$3:$B951,0))*INDEX('0.0.1 Pokémon Dex Data'!U$3:U951,MATCH($E71,'0.0.1 Pokémon Dex Data'!$B$3:$B951,0)),0)</f>
        <v>136</v>
      </c>
      <c r="L71" s="260" t="n">
        <f aca="false" t="array" ref="L71:L71">ROUND(INDEX('0.0.1 Pokémon Dex Data'!$S$3:$S951,MATCH($E71,'0.0.1 Pokémon Dex Data'!$B$3:$B951,0))*INDEX('0.0.1 Pokémon Dex Data'!V$3:V951,MATCH($E71,'0.0.1 Pokémon Dex Data'!$B$3:$B951,0)),0)</f>
        <v>163</v>
      </c>
      <c r="M71" s="260" t="n">
        <f aca="false" t="array" ref="M71:M71">INDEX('0.0.1 Pokémon Dex Data'!$J$3:$J951,MATCH(E71,'0.0.1 Pokémon Dex Data'!$B$3:$B951,0))</f>
        <v>1</v>
      </c>
      <c r="O71" s="490"/>
      <c r="Q71" s="367" t="n">
        <f aca="false">IF('Reverse Search'!$F$4="All (including temporary formes)",1,IF('Reverse Search'!$F$4="Base Pokémon and permanent formes only",IF(F71&lt;=1,1,0),IF(F71=0,1,0)))</f>
        <v>0</v>
      </c>
      <c r="R71" s="0" t="n">
        <f aca="false">IF('Reverse Search'!$C$7="Disable",1,IF('Reverse Search'!$D$9="Disable",1,IF(OR('Reverse Search'!$F$9=H71,'Reverse Search'!$F$9=I71),1,0)))</f>
        <v>1</v>
      </c>
      <c r="S71" s="0" t="n">
        <f aca="false">IF('Reverse Search'!$C$7="Disable",1,IF('Reverse Search'!$D$10="Disable",1,IF(OR('Reverse Search'!$F$10=H71,'Reverse Search'!$F$10=I71),1,0)))</f>
        <v>1</v>
      </c>
      <c r="T71" s="0" t="n">
        <f aca="false">INDEX($B$4:$B$22,MATCH(H71,$A$4:$A$22,0))</f>
        <v>1</v>
      </c>
      <c r="U71" s="0" t="e">
        <f aca="false">IF(ISBLANK(I71),1,INDEX($B$4:$B$22,MATCH(I71,$A$4:$A$22,0)))</f>
        <v>#N/A</v>
      </c>
      <c r="V71" s="367" t="n">
        <f aca="false">IF('Reverse Search'!$C$7="Disable",1,IF('Reverse Search'!$D$11="Disable",1,IF('Reverse Search'!$E$11="Neutral to:",IF(ROUND(T71*U71,2)&lt;=1,1,0),IF(ROUND(T71*U71,2)&lt;1,1,0))))</f>
        <v>1</v>
      </c>
      <c r="W71" s="0" t="n">
        <f aca="false">IF('Reverse Search'!$N$7="Disable",1,IF('Reverse Search'!$I$9="Disable",1,IF('Reverse Search'!$K$9="≥",IF(J71&gt;='Reverse Search'!$L$9,1,0),IF('Reverse Search'!$K$9="≤",IF(J71&lt;='Reverse Search'!$L$9,1,0),IF(J71='Reverse Search'!$L$9,1,0)))))</f>
        <v>1</v>
      </c>
      <c r="X71" s="0" t="n">
        <f aca="false">IF('Reverse Search'!$N$7="Disable",1,IF('Reverse Search'!$I$10="Disable",1,IF('Reverse Search'!$K$10="≥",IF(K71&gt;='Reverse Search'!$L$10,1,0),IF('Reverse Search'!$K$10="≤",IF(K71&lt;='Reverse Search'!$L$10,1,0),IF(K71='Reverse Search'!$L$10,1,0)))))</f>
        <v>1</v>
      </c>
      <c r="Y71" s="367" t="n">
        <f aca="false">IF('Reverse Search'!$N$7="Disable",1,IF('Reverse Search'!$I$11="Disable",1,IF('Reverse Search'!$K$11="≥",IF(L71&gt;='Reverse Search'!$L$11,1,0),IF('Reverse Search'!$K$11="≤",IF(L71&lt;='Reverse Search'!$L$11,1,0),IF(L71='Reverse Search'!$L$11,1,0)))))</f>
        <v>1</v>
      </c>
      <c r="Z71" s="0" t="n">
        <f aca="true">IF('Reverse Search'!$C$14="Disable",1,IF('Reverse Search'!$D$16="Disable",1,IF($C$2=3,IF($M71=0,0,COUNTIF(INDIRECT("'0.0.2 Pokémon Learnset (Core)'!$D$"&amp;MATCH($E71,'0.0.2 Pokémon Learnset (Core)'!$A$1:$A951,0)&amp;":$FK$"&amp;MATCH($E71,'0.0.2 Pokémon Learnset (Core)'!$A$1:$A951,0)),'Reverse Search'!$E$21)),IF($C$2=2,COUNTIF(INDIRECT("'0.1.1 Pokémon GO Moves'!$B$"&amp;MATCH($E71,'0.1.1 Pokémon GO Moves'!$A$1:$A951,0)&amp;":$R$"&amp;MATCH($E71,'0.1.1 Pokémon GO Moves'!$A$1:$A951,0)),'Reverse Search'!$E$21),COUNTIF(INDIRECT("'0.1.1 Pokémon GO Moves'!$B$"&amp;MATCH($E71,'0.1.1 Pokémon GO Moves'!$A$1:$A951,0)&amp;":$L$"&amp;MATCH($E71,'0.1.1 Pokémon GO Moves'!$A$1:$A951,0)),'Reverse Search'!$E$21)))))</f>
        <v>1</v>
      </c>
      <c r="AA71" s="0" t="e">
        <f aca="true">IF('Reverse Search'!$C$14="Disable",1,IF('Reverse Search'!$I$16="Disable",1,IF($D$2=3,IF($M71=0,0,COUNTIF(INDIRECT("'0.0.2 Pokémon Learnset (Core)'!$D$"&amp;MATCH($E71,'0.0.2 Pokémon Learnset (Core)'!$A$1:$A951,0)&amp;":$FK$"&amp;MATCH($E71,'0.0.2 Pokémon Learnset (Core)'!$A$1:$A951,0)),'Reverse Search'!$J$21)),IF($D$2=2,COUNTIF(INDIRECT("'0.1.1 Pokémon GO Moves'!$B$"&amp;MATCH($E71,'0.1.1 Pokémon GO Moves'!$A$1:$A951,0)&amp;":$R$"&amp;MATCH($E71,'0.1.1 Pokémon GO Moves'!$A$1:$A951,0)),'Reverse Search'!$J$21),COUNTIF(INDIRECT("'0.1.1 Pokémon GO Moves'!$B$"&amp;MATCH($E71,'0.1.1 Pokémon GO Moves'!$A$1:$A951,0)&amp;":$L$"&amp;MATCH($E71,'0.1.1 Pokémon GO Moves'!$A$1:$A951,0)),'Reverse Search'!$J$21)))))</f>
        <v>#N/A</v>
      </c>
      <c r="AB71" s="490"/>
      <c r="AC71" s="260" t="e">
        <f aca="false">IF((Q71+R71+S71+V71+W71+X71+Y71+IF(Z71&gt;=1,1,0)+IF(AA71&gt;=1,1,0))=9,G71&amp;", ",)</f>
        <v>#N/A</v>
      </c>
    </row>
    <row r="72" customFormat="false" ht="15.75" hidden="false" customHeight="false" outlineLevel="0" collapsed="false">
      <c r="A72" s="260"/>
      <c r="B72" s="358"/>
      <c r="C72" s="260"/>
      <c r="D72" s="358" t="str">
        <f aca="false">IFERROR(__xludf.dummyfunction("""COMPUTED_VALUE"""),"Mud Bomb")</f>
        <v>Mud Bomb</v>
      </c>
      <c r="E72" s="260" t="n">
        <v>71</v>
      </c>
      <c r="F72" s="260" t="n">
        <f aca="false" t="array" ref="F72:F72">INDEX('0.0.1 Pokémon Dex Data'!$H$3:$H951,MATCH(E72,'0.0.1 Pokémon Dex Data'!$B$3:$B951,0))</f>
        <v>0</v>
      </c>
      <c r="G72" s="0" t="str">
        <f aca="false" t="array" ref="G72:G72">INDEX('0.0.1 Pokémon Dex Data'!$E$3:$E951,MATCH(E72,'0.0.1 Pokémon Dex Data'!$B$3:$B951,0))</f>
        <v>Psyduck</v>
      </c>
      <c r="H72" s="0" t="str">
        <f aca="false" t="array" ref="H72:H72">INDEX('0.0.1 Pokémon Dex Data'!$Q$3:$Q951,MATCH(E72,'0.0.1 Pokémon Dex Data'!$B$3:$B951,0))</f>
        <v>Water</v>
      </c>
      <c r="I72" s="0" t="n">
        <f aca="false">INDEX('0.0.1 Pokémon Dex Data'!$R$3:$R951,MATCH(E72,'0.0.1 Pokémon Dex Data'!$B$3:$B951,0))</f>
        <v>0</v>
      </c>
      <c r="J72" s="260" t="n">
        <f aca="false" t="array" ref="J72:J72">ROUND(INDEX('0.0.1 Pokémon Dex Data'!$S$3:$S951,MATCH($E72,'0.0.1 Pokémon Dex Data'!$B$3:$B951,0))*INDEX('0.0.1 Pokémon Dex Data'!T$3:T951,MATCH($E72,'0.0.1 Pokémon Dex Data'!$B$3:$B951,0)),0)</f>
        <v>122</v>
      </c>
      <c r="K72" s="260" t="n">
        <f aca="false" t="array" ref="K72:K72">ROUND(INDEX('0.0.1 Pokémon Dex Data'!$S$3:$S951,MATCH($E72,'0.0.1 Pokémon Dex Data'!$B$3:$B951,0))*INDEX('0.0.1 Pokémon Dex Data'!U$3:U951,MATCH($E72,'0.0.1 Pokémon Dex Data'!$B$3:$B951,0)),0)</f>
        <v>95</v>
      </c>
      <c r="L72" s="260" t="n">
        <f aca="false" t="array" ref="L72:L72">ROUND(INDEX('0.0.1 Pokémon Dex Data'!$S$3:$S951,MATCH($E72,'0.0.1 Pokémon Dex Data'!$B$3:$B951,0))*INDEX('0.0.1 Pokémon Dex Data'!V$3:V951,MATCH($E72,'0.0.1 Pokémon Dex Data'!$B$3:$B951,0)),0)</f>
        <v>137</v>
      </c>
      <c r="M72" s="260" t="n">
        <f aca="false" t="array" ref="M72:M72">INDEX('0.0.1 Pokémon Dex Data'!$J$3:$J951,MATCH(E72,'0.0.1 Pokémon Dex Data'!$B$3:$B951,0))</f>
        <v>0</v>
      </c>
      <c r="O72" s="490"/>
      <c r="Q72" s="367" t="n">
        <f aca="false">IF('Reverse Search'!$F$4="All (including temporary formes)",1,IF('Reverse Search'!$F$4="Base Pokémon and permanent formes only",IF(F72&lt;=1,1,0),IF(F72=0,1,0)))</f>
        <v>1</v>
      </c>
      <c r="R72" s="0" t="n">
        <f aca="false">IF('Reverse Search'!$C$7="Disable",1,IF('Reverse Search'!$D$9="Disable",1,IF(OR('Reverse Search'!$F$9=H72,'Reverse Search'!$F$9=I72),1,0)))</f>
        <v>1</v>
      </c>
      <c r="S72" s="0" t="n">
        <f aca="false">IF('Reverse Search'!$C$7="Disable",1,IF('Reverse Search'!$D$10="Disable",1,IF(OR('Reverse Search'!$F$10=H72,'Reverse Search'!$F$10=I72),1,0)))</f>
        <v>1</v>
      </c>
      <c r="T72" s="0" t="n">
        <f aca="false">INDEX($B$4:$B$22,MATCH(H72,$A$4:$A$22,0))</f>
        <v>1</v>
      </c>
      <c r="U72" s="0" t="e">
        <f aca="false">IF(ISBLANK(I72),1,INDEX($B$4:$B$22,MATCH(I72,$A$4:$A$22,0)))</f>
        <v>#N/A</v>
      </c>
      <c r="V72" s="367" t="n">
        <f aca="false">IF('Reverse Search'!$C$7="Disable",1,IF('Reverse Search'!$D$11="Disable",1,IF('Reverse Search'!$E$11="Neutral to:",IF(ROUND(T72*U72,2)&lt;=1,1,0),IF(ROUND(T72*U72,2)&lt;1,1,0))))</f>
        <v>1</v>
      </c>
      <c r="W72" s="0" t="n">
        <f aca="false">IF('Reverse Search'!$N$7="Disable",1,IF('Reverse Search'!$I$9="Disable",1,IF('Reverse Search'!$K$9="≥",IF(J72&gt;='Reverse Search'!$L$9,1,0),IF('Reverse Search'!$K$9="≤",IF(J72&lt;='Reverse Search'!$L$9,1,0),IF(J72='Reverse Search'!$L$9,1,0)))))</f>
        <v>1</v>
      </c>
      <c r="X72" s="0" t="n">
        <f aca="false">IF('Reverse Search'!$N$7="Disable",1,IF('Reverse Search'!$I$10="Disable",1,IF('Reverse Search'!$K$10="≥",IF(K72&gt;='Reverse Search'!$L$10,1,0),IF('Reverse Search'!$K$10="≤",IF(K72&lt;='Reverse Search'!$L$10,1,0),IF(K72='Reverse Search'!$L$10,1,0)))))</f>
        <v>1</v>
      </c>
      <c r="Y72" s="367" t="n">
        <f aca="false">IF('Reverse Search'!$N$7="Disable",1,IF('Reverse Search'!$I$11="Disable",1,IF('Reverse Search'!$K$11="≥",IF(L72&gt;='Reverse Search'!$L$11,1,0),IF('Reverse Search'!$K$11="≤",IF(L72&lt;='Reverse Search'!$L$11,1,0),IF(L72='Reverse Search'!$L$11,1,0)))))</f>
        <v>1</v>
      </c>
      <c r="Z72" s="0" t="n">
        <f aca="true">IF('Reverse Search'!$C$14="Disable",1,IF('Reverse Search'!$D$16="Disable",1,IF($C$2=3,IF($M72=0,0,COUNTIF(INDIRECT("'0.0.2 Pokémon Learnset (Core)'!$D$"&amp;MATCH($E72,'0.0.2 Pokémon Learnset (Core)'!$A$1:$A951,0)&amp;":$FK$"&amp;MATCH($E72,'0.0.2 Pokémon Learnset (Core)'!$A$1:$A951,0)),'Reverse Search'!$E$21)),IF($C$2=2,COUNTIF(INDIRECT("'0.1.1 Pokémon GO Moves'!$B$"&amp;MATCH($E72,'0.1.1 Pokémon GO Moves'!$A$1:$A951,0)&amp;":$R$"&amp;MATCH($E72,'0.1.1 Pokémon GO Moves'!$A$1:$A951,0)),'Reverse Search'!$E$21),COUNTIF(INDIRECT("'0.1.1 Pokémon GO Moves'!$B$"&amp;MATCH($E72,'0.1.1 Pokémon GO Moves'!$A$1:$A951,0)&amp;":$L$"&amp;MATCH($E72,'0.1.1 Pokémon GO Moves'!$A$1:$A951,0)),'Reverse Search'!$E$21)))))</f>
        <v>1</v>
      </c>
      <c r="AA72" s="0" t="n">
        <f aca="true">IF('Reverse Search'!$C$14="Disable",1,IF('Reverse Search'!$I$16="Disable",1,IF($D$2=3,IF($M72=0,0,COUNTIF(INDIRECT("'0.0.2 Pokémon Learnset (Core)'!$D$"&amp;MATCH($E72,'0.0.2 Pokémon Learnset (Core)'!$A$1:$A951,0)&amp;":$FK$"&amp;MATCH($E72,'0.0.2 Pokémon Learnset (Core)'!$A$1:$A951,0)),'Reverse Search'!$J$21)),IF($D$2=2,COUNTIF(INDIRECT("'0.1.1 Pokémon GO Moves'!$B$"&amp;MATCH($E72,'0.1.1 Pokémon GO Moves'!$A$1:$A951,0)&amp;":$R$"&amp;MATCH($E72,'0.1.1 Pokémon GO Moves'!$A$1:$A951,0)),'Reverse Search'!$J$21),COUNTIF(INDIRECT("'0.1.1 Pokémon GO Moves'!$B$"&amp;MATCH($E72,'0.1.1 Pokémon GO Moves'!$A$1:$A951,0)&amp;":$L$"&amp;MATCH($E72,'0.1.1 Pokémon GO Moves'!$A$1:$A951,0)),'Reverse Search'!$J$21)))))</f>
        <v>0</v>
      </c>
      <c r="AB72" s="490"/>
      <c r="AC72" s="260" t="n">
        <f aca="false">IF((Q72+R72+S72+V72+W72+X72+Y72+IF(Z72&gt;=1,1,0)+IF(AA72&gt;=1,1,0))=9,G72&amp;", ",)</f>
        <v>0</v>
      </c>
    </row>
    <row r="73" customFormat="false" ht="15.75" hidden="false" customHeight="false" outlineLevel="0" collapsed="false">
      <c r="A73" s="260"/>
      <c r="B73" s="358"/>
      <c r="C73" s="260"/>
      <c r="D73" s="358" t="str">
        <f aca="false">IFERROR(__xludf.dummyfunction("""COMPUTED_VALUE"""),"Night Shade")</f>
        <v>Night Shade</v>
      </c>
      <c r="E73" s="260" t="n">
        <v>72</v>
      </c>
      <c r="F73" s="260" t="n">
        <f aca="false" t="array" ref="F73:F73">INDEX('0.0.1 Pokémon Dex Data'!$H$3:$H951,MATCH(E73,'0.0.1 Pokémon Dex Data'!$B$3:$B951,0))</f>
        <v>0</v>
      </c>
      <c r="G73" s="0" t="str">
        <f aca="false" t="array" ref="G73:G73">INDEX('0.0.1 Pokémon Dex Data'!$E$3:$E951,MATCH(E73,'0.0.1 Pokémon Dex Data'!$B$3:$B951,0))</f>
        <v>Golduck</v>
      </c>
      <c r="H73" s="0" t="str">
        <f aca="false" t="array" ref="H73:H73">INDEX('0.0.1 Pokémon Dex Data'!$Q$3:$Q951,MATCH(E73,'0.0.1 Pokémon Dex Data'!$B$3:$B951,0))</f>
        <v>Water</v>
      </c>
      <c r="I73" s="0" t="n">
        <f aca="false">INDEX('0.0.1 Pokémon Dex Data'!$R$3:$R951,MATCH(E73,'0.0.1 Pokémon Dex Data'!$B$3:$B951,0))</f>
        <v>0</v>
      </c>
      <c r="J73" s="260" t="n">
        <f aca="false" t="array" ref="J73:J73">ROUND(INDEX('0.0.1 Pokémon Dex Data'!$S$3:$S951,MATCH($E73,'0.0.1 Pokémon Dex Data'!$B$3:$B951,0))*INDEX('0.0.1 Pokémon Dex Data'!T$3:T951,MATCH($E73,'0.0.1 Pokémon Dex Data'!$B$3:$B951,0)),0)</f>
        <v>191</v>
      </c>
      <c r="K73" s="260" t="n">
        <f aca="false" t="array" ref="K73:K73">ROUND(INDEX('0.0.1 Pokémon Dex Data'!$S$3:$S951,MATCH($E73,'0.0.1 Pokémon Dex Data'!$B$3:$B951,0))*INDEX('0.0.1 Pokémon Dex Data'!U$3:U951,MATCH($E73,'0.0.1 Pokémon Dex Data'!$B$3:$B951,0)),0)</f>
        <v>162</v>
      </c>
      <c r="L73" s="260" t="n">
        <f aca="false" t="array" ref="L73:L73">ROUND(INDEX('0.0.1 Pokémon Dex Data'!$S$3:$S951,MATCH($E73,'0.0.1 Pokémon Dex Data'!$B$3:$B951,0))*INDEX('0.0.1 Pokémon Dex Data'!V$3:V951,MATCH($E73,'0.0.1 Pokémon Dex Data'!$B$3:$B951,0)),0)</f>
        <v>190</v>
      </c>
      <c r="M73" s="260" t="n">
        <f aca="false" t="array" ref="M73:M73">INDEX('0.0.1 Pokémon Dex Data'!$J$3:$J951,MATCH(E73,'0.0.1 Pokémon Dex Data'!$B$3:$B951,0))</f>
        <v>1</v>
      </c>
      <c r="O73" s="490"/>
      <c r="Q73" s="367" t="n">
        <f aca="false">IF('Reverse Search'!$F$4="All (including temporary formes)",1,IF('Reverse Search'!$F$4="Base Pokémon and permanent formes only",IF(F73&lt;=1,1,0),IF(F73=0,1,0)))</f>
        <v>1</v>
      </c>
      <c r="R73" s="0" t="n">
        <f aca="false">IF('Reverse Search'!$C$7="Disable",1,IF('Reverse Search'!$D$9="Disable",1,IF(OR('Reverse Search'!$F$9=H73,'Reverse Search'!$F$9=I73),1,0)))</f>
        <v>1</v>
      </c>
      <c r="S73" s="0" t="n">
        <f aca="false">IF('Reverse Search'!$C$7="Disable",1,IF('Reverse Search'!$D$10="Disable",1,IF(OR('Reverse Search'!$F$10=H73,'Reverse Search'!$F$10=I73),1,0)))</f>
        <v>1</v>
      </c>
      <c r="T73" s="0" t="n">
        <f aca="false">INDEX($B$4:$B$22,MATCH(H73,$A$4:$A$22,0))</f>
        <v>1</v>
      </c>
      <c r="U73" s="0" t="e">
        <f aca="false">IF(ISBLANK(I73),1,INDEX($B$4:$B$22,MATCH(I73,$A$4:$A$22,0)))</f>
        <v>#N/A</v>
      </c>
      <c r="V73" s="367" t="n">
        <f aca="false">IF('Reverse Search'!$C$7="Disable",1,IF('Reverse Search'!$D$11="Disable",1,IF('Reverse Search'!$E$11="Neutral to:",IF(ROUND(T73*U73,2)&lt;=1,1,0),IF(ROUND(T73*U73,2)&lt;1,1,0))))</f>
        <v>1</v>
      </c>
      <c r="W73" s="0" t="n">
        <f aca="false">IF('Reverse Search'!$N$7="Disable",1,IF('Reverse Search'!$I$9="Disable",1,IF('Reverse Search'!$K$9="≥",IF(J73&gt;='Reverse Search'!$L$9,1,0),IF('Reverse Search'!$K$9="≤",IF(J73&lt;='Reverse Search'!$L$9,1,0),IF(J73='Reverse Search'!$L$9,1,0)))))</f>
        <v>1</v>
      </c>
      <c r="X73" s="0" t="n">
        <f aca="false">IF('Reverse Search'!$N$7="Disable",1,IF('Reverse Search'!$I$10="Disable",1,IF('Reverse Search'!$K$10="≥",IF(K73&gt;='Reverse Search'!$L$10,1,0),IF('Reverse Search'!$K$10="≤",IF(K73&lt;='Reverse Search'!$L$10,1,0),IF(K73='Reverse Search'!$L$10,1,0)))))</f>
        <v>1</v>
      </c>
      <c r="Y73" s="367" t="n">
        <f aca="false">IF('Reverse Search'!$N$7="Disable",1,IF('Reverse Search'!$I$11="Disable",1,IF('Reverse Search'!$K$11="≥",IF(L73&gt;='Reverse Search'!$L$11,1,0),IF('Reverse Search'!$K$11="≤",IF(L73&lt;='Reverse Search'!$L$11,1,0),IF(L73='Reverse Search'!$L$11,1,0)))))</f>
        <v>1</v>
      </c>
      <c r="Z73" s="0" t="n">
        <f aca="true">IF('Reverse Search'!$C$14="Disable",1,IF('Reverse Search'!$D$16="Disable",1,IF($C$2=3,IF($M73=0,0,COUNTIF(INDIRECT("'0.0.2 Pokémon Learnset (Core)'!$D$"&amp;MATCH($E73,'0.0.2 Pokémon Learnset (Core)'!$A$1:$A951,0)&amp;":$FK$"&amp;MATCH($E73,'0.0.2 Pokémon Learnset (Core)'!$A$1:$A951,0)),'Reverse Search'!$E$21)),IF($C$2=2,COUNTIF(INDIRECT("'0.1.1 Pokémon GO Moves'!$B$"&amp;MATCH($E73,'0.1.1 Pokémon GO Moves'!$A$1:$A951,0)&amp;":$R$"&amp;MATCH($E73,'0.1.1 Pokémon GO Moves'!$A$1:$A951,0)),'Reverse Search'!$E$21),COUNTIF(INDIRECT("'0.1.1 Pokémon GO Moves'!$B$"&amp;MATCH($E73,'0.1.1 Pokémon GO Moves'!$A$1:$A951,0)&amp;":$L$"&amp;MATCH($E73,'0.1.1 Pokémon GO Moves'!$A$1:$A951,0)),'Reverse Search'!$E$21)))))</f>
        <v>1</v>
      </c>
      <c r="AA73" s="0" t="n">
        <f aca="true">IF('Reverse Search'!$C$14="Disable",1,IF('Reverse Search'!$I$16="Disable",1,IF($D$2=3,IF($M73=0,0,COUNTIF(INDIRECT("'0.0.2 Pokémon Learnset (Core)'!$D$"&amp;MATCH($E73,'0.0.2 Pokémon Learnset (Core)'!$A$1:$A951,0)&amp;":$FK$"&amp;MATCH($E73,'0.0.2 Pokémon Learnset (Core)'!$A$1:$A951,0)),'Reverse Search'!$J$21)),IF($D$2=2,COUNTIF(INDIRECT("'0.1.1 Pokémon GO Moves'!$B$"&amp;MATCH($E73,'0.1.1 Pokémon GO Moves'!$A$1:$A951,0)&amp;":$R$"&amp;MATCH($E73,'0.1.1 Pokémon GO Moves'!$A$1:$A951,0)),'Reverse Search'!$J$21),COUNTIF(INDIRECT("'0.1.1 Pokémon GO Moves'!$B$"&amp;MATCH($E73,'0.1.1 Pokémon GO Moves'!$A$1:$A951,0)&amp;":$L$"&amp;MATCH($E73,'0.1.1 Pokémon GO Moves'!$A$1:$A951,0)),'Reverse Search'!$J$21)))))</f>
        <v>0</v>
      </c>
      <c r="AB73" s="490"/>
      <c r="AC73" s="260" t="n">
        <f aca="false">IF((Q73+R73+S73+V73+W73+X73+Y73+IF(Z73&gt;=1,1,0)+IF(AA73&gt;=1,1,0))=9,G73&amp;", ",)</f>
        <v>0</v>
      </c>
    </row>
    <row r="74" customFormat="false" ht="15.75" hidden="false" customHeight="false" outlineLevel="0" collapsed="false">
      <c r="A74" s="260"/>
      <c r="B74" s="358"/>
      <c r="C74" s="260"/>
      <c r="D74" s="358" t="str">
        <f aca="false">IFERROR(__xludf.dummyfunction("""COMPUTED_VALUE"""),"Night Slash")</f>
        <v>Night Slash</v>
      </c>
      <c r="E74" s="260" t="n">
        <v>73</v>
      </c>
      <c r="F74" s="260" t="n">
        <f aca="false" t="array" ref="F74:F74">INDEX('0.0.1 Pokémon Dex Data'!$H$3:$H951,MATCH(E74,'0.0.1 Pokémon Dex Data'!$B$3:$B951,0))</f>
        <v>0</v>
      </c>
      <c r="G74" s="0" t="str">
        <f aca="false" t="array" ref="G74:G74">INDEX('0.0.1 Pokémon Dex Data'!$E$3:$E951,MATCH(E74,'0.0.1 Pokémon Dex Data'!$B$3:$B951,0))</f>
        <v>Mankey</v>
      </c>
      <c r="H74" s="0" t="str">
        <f aca="false" t="array" ref="H74:H74">INDEX('0.0.1 Pokémon Dex Data'!$Q$3:$Q951,MATCH(E74,'0.0.1 Pokémon Dex Data'!$B$3:$B951,0))</f>
        <v>Fighting</v>
      </c>
      <c r="I74" s="0" t="n">
        <f aca="false">INDEX('0.0.1 Pokémon Dex Data'!$R$3:$R951,MATCH(E74,'0.0.1 Pokémon Dex Data'!$B$3:$B951,0))</f>
        <v>0</v>
      </c>
      <c r="J74" s="260" t="n">
        <f aca="false" t="array" ref="J74:J74">ROUND(INDEX('0.0.1 Pokémon Dex Data'!$S$3:$S951,MATCH($E74,'0.0.1 Pokémon Dex Data'!$B$3:$B951,0))*INDEX('0.0.1 Pokémon Dex Data'!T$3:T951,MATCH($E74,'0.0.1 Pokémon Dex Data'!$B$3:$B951,0)),0)</f>
        <v>148</v>
      </c>
      <c r="K74" s="260" t="n">
        <f aca="false" t="array" ref="K74:K74">ROUND(INDEX('0.0.1 Pokémon Dex Data'!$S$3:$S951,MATCH($E74,'0.0.1 Pokémon Dex Data'!$B$3:$B951,0))*INDEX('0.0.1 Pokémon Dex Data'!U$3:U951,MATCH($E74,'0.0.1 Pokémon Dex Data'!$B$3:$B951,0)),0)</f>
        <v>82</v>
      </c>
      <c r="L74" s="260" t="n">
        <f aca="false" t="array" ref="L74:L74">ROUND(INDEX('0.0.1 Pokémon Dex Data'!$S$3:$S951,MATCH($E74,'0.0.1 Pokémon Dex Data'!$B$3:$B951,0))*INDEX('0.0.1 Pokémon Dex Data'!V$3:V951,MATCH($E74,'0.0.1 Pokémon Dex Data'!$B$3:$B951,0)),0)</f>
        <v>120</v>
      </c>
      <c r="M74" s="260" t="n">
        <f aca="false" t="array" ref="M74:M74">INDEX('0.0.1 Pokémon Dex Data'!$J$3:$J951,MATCH(E74,'0.0.1 Pokémon Dex Data'!$B$3:$B951,0))</f>
        <v>0</v>
      </c>
      <c r="O74" s="490"/>
      <c r="Q74" s="367" t="n">
        <f aca="false">IF('Reverse Search'!$F$4="All (including temporary formes)",1,IF('Reverse Search'!$F$4="Base Pokémon and permanent formes only",IF(F74&lt;=1,1,0),IF(F74=0,1,0)))</f>
        <v>1</v>
      </c>
      <c r="R74" s="0" t="n">
        <f aca="false">IF('Reverse Search'!$C$7="Disable",1,IF('Reverse Search'!$D$9="Disable",1,IF(OR('Reverse Search'!$F$9=H74,'Reverse Search'!$F$9=I74),1,0)))</f>
        <v>1</v>
      </c>
      <c r="S74" s="0" t="n">
        <f aca="false">IF('Reverse Search'!$C$7="Disable",1,IF('Reverse Search'!$D$10="Disable",1,IF(OR('Reverse Search'!$F$10=H74,'Reverse Search'!$F$10=I74),1,0)))</f>
        <v>1</v>
      </c>
      <c r="T74" s="0" t="n">
        <f aca="false">INDEX($B$4:$B$22,MATCH(H74,$A$4:$A$22,0))</f>
        <v>1</v>
      </c>
      <c r="U74" s="0" t="e">
        <f aca="false">IF(ISBLANK(I74),1,INDEX($B$4:$B$22,MATCH(I74,$A$4:$A$22,0)))</f>
        <v>#N/A</v>
      </c>
      <c r="V74" s="367" t="n">
        <f aca="false">IF('Reverse Search'!$C$7="Disable",1,IF('Reverse Search'!$D$11="Disable",1,IF('Reverse Search'!$E$11="Neutral to:",IF(ROUND(T74*U74,2)&lt;=1,1,0),IF(ROUND(T74*U74,2)&lt;1,1,0))))</f>
        <v>1</v>
      </c>
      <c r="W74" s="0" t="n">
        <f aca="false">IF('Reverse Search'!$N$7="Disable",1,IF('Reverse Search'!$I$9="Disable",1,IF('Reverse Search'!$K$9="≥",IF(J74&gt;='Reverse Search'!$L$9,1,0),IF('Reverse Search'!$K$9="≤",IF(J74&lt;='Reverse Search'!$L$9,1,0),IF(J74='Reverse Search'!$L$9,1,0)))))</f>
        <v>1</v>
      </c>
      <c r="X74" s="0" t="n">
        <f aca="false">IF('Reverse Search'!$N$7="Disable",1,IF('Reverse Search'!$I$10="Disable",1,IF('Reverse Search'!$K$10="≥",IF(K74&gt;='Reverse Search'!$L$10,1,0),IF('Reverse Search'!$K$10="≤",IF(K74&lt;='Reverse Search'!$L$10,1,0),IF(K74='Reverse Search'!$L$10,1,0)))))</f>
        <v>1</v>
      </c>
      <c r="Y74" s="367" t="n">
        <f aca="false">IF('Reverse Search'!$N$7="Disable",1,IF('Reverse Search'!$I$11="Disable",1,IF('Reverse Search'!$K$11="≥",IF(L74&gt;='Reverse Search'!$L$11,1,0),IF('Reverse Search'!$K$11="≤",IF(L74&lt;='Reverse Search'!$L$11,1,0),IF(L74='Reverse Search'!$L$11,1,0)))))</f>
        <v>1</v>
      </c>
      <c r="Z74" s="0" t="n">
        <f aca="true">IF('Reverse Search'!$C$14="Disable",1,IF('Reverse Search'!$D$16="Disable",1,IF($C$2=3,IF($M74=0,0,COUNTIF(INDIRECT("'0.0.2 Pokémon Learnset (Core)'!$D$"&amp;MATCH($E74,'0.0.2 Pokémon Learnset (Core)'!$A$1:$A951,0)&amp;":$FK$"&amp;MATCH($E74,'0.0.2 Pokémon Learnset (Core)'!$A$1:$A951,0)),'Reverse Search'!$E$21)),IF($C$2=2,COUNTIF(INDIRECT("'0.1.1 Pokémon GO Moves'!$B$"&amp;MATCH($E74,'0.1.1 Pokémon GO Moves'!$A$1:$A951,0)&amp;":$R$"&amp;MATCH($E74,'0.1.1 Pokémon GO Moves'!$A$1:$A951,0)),'Reverse Search'!$E$21),COUNTIF(INDIRECT("'0.1.1 Pokémon GO Moves'!$B$"&amp;MATCH($E74,'0.1.1 Pokémon GO Moves'!$A$1:$A951,0)&amp;":$L$"&amp;MATCH($E74,'0.1.1 Pokémon GO Moves'!$A$1:$A951,0)),'Reverse Search'!$E$21)))))</f>
        <v>1</v>
      </c>
      <c r="AA74" s="0" t="n">
        <f aca="true">IF('Reverse Search'!$C$14="Disable",1,IF('Reverse Search'!$I$16="Disable",1,IF($D$2=3,IF($M74=0,0,COUNTIF(INDIRECT("'0.0.2 Pokémon Learnset (Core)'!$D$"&amp;MATCH($E74,'0.0.2 Pokémon Learnset (Core)'!$A$1:$A951,0)&amp;":$FK$"&amp;MATCH($E74,'0.0.2 Pokémon Learnset (Core)'!$A$1:$A951,0)),'Reverse Search'!$J$21)),IF($D$2=2,COUNTIF(INDIRECT("'0.1.1 Pokémon GO Moves'!$B$"&amp;MATCH($E74,'0.1.1 Pokémon GO Moves'!$A$1:$A951,0)&amp;":$R$"&amp;MATCH($E74,'0.1.1 Pokémon GO Moves'!$A$1:$A951,0)),'Reverse Search'!$J$21),COUNTIF(INDIRECT("'0.1.1 Pokémon GO Moves'!$B$"&amp;MATCH($E74,'0.1.1 Pokémon GO Moves'!$A$1:$A951,0)&amp;":$L$"&amp;MATCH($E74,'0.1.1 Pokémon GO Moves'!$A$1:$A951,0)),'Reverse Search'!$J$21)))))</f>
        <v>0</v>
      </c>
      <c r="AB74" s="490"/>
      <c r="AC74" s="260" t="n">
        <f aca="false">IF((Q74+R74+S74+V74+W74+X74+Y74+IF(Z74&gt;=1,1,0)+IF(AA74&gt;=1,1,0))=9,G74&amp;", ",)</f>
        <v>0</v>
      </c>
    </row>
    <row r="75" customFormat="false" ht="15.75" hidden="false" customHeight="false" outlineLevel="0" collapsed="false">
      <c r="A75" s="260"/>
      <c r="B75" s="358"/>
      <c r="C75" s="260"/>
      <c r="D75" s="358" t="str">
        <f aca="false">IFERROR(__xludf.dummyfunction("""COMPUTED_VALUE"""),"Ominous Wind")</f>
        <v>Ominous Wind</v>
      </c>
      <c r="E75" s="260" t="n">
        <v>74</v>
      </c>
      <c r="F75" s="260" t="n">
        <f aca="false" t="array" ref="F75:F75">INDEX('0.0.1 Pokémon Dex Data'!$H$3:$H951,MATCH(E75,'0.0.1 Pokémon Dex Data'!$B$3:$B951,0))</f>
        <v>0</v>
      </c>
      <c r="G75" s="0" t="str">
        <f aca="false" t="array" ref="G75:G75">INDEX('0.0.1 Pokémon Dex Data'!$E$3:$E951,MATCH(E75,'0.0.1 Pokémon Dex Data'!$B$3:$B951,0))</f>
        <v>Primeape</v>
      </c>
      <c r="H75" s="0" t="str">
        <f aca="false" t="array" ref="H75:H75">INDEX('0.0.1 Pokémon Dex Data'!$Q$3:$Q951,MATCH(E75,'0.0.1 Pokémon Dex Data'!$B$3:$B951,0))</f>
        <v>Fighting</v>
      </c>
      <c r="I75" s="0" t="n">
        <f aca="false">INDEX('0.0.1 Pokémon Dex Data'!$R$3:$R951,MATCH(E75,'0.0.1 Pokémon Dex Data'!$B$3:$B951,0))</f>
        <v>0</v>
      </c>
      <c r="J75" s="260" t="n">
        <f aca="false" t="array" ref="J75:J75">ROUND(INDEX('0.0.1 Pokémon Dex Data'!$S$3:$S951,MATCH($E75,'0.0.1 Pokémon Dex Data'!$B$3:$B951,0))*INDEX('0.0.1 Pokémon Dex Data'!T$3:T951,MATCH($E75,'0.0.1 Pokémon Dex Data'!$B$3:$B951,0)),0)</f>
        <v>207</v>
      </c>
      <c r="K75" s="260" t="n">
        <f aca="false" t="array" ref="K75:K75">ROUND(INDEX('0.0.1 Pokémon Dex Data'!$S$3:$S951,MATCH($E75,'0.0.1 Pokémon Dex Data'!$B$3:$B951,0))*INDEX('0.0.1 Pokémon Dex Data'!U$3:U951,MATCH($E75,'0.0.1 Pokémon Dex Data'!$B$3:$B951,0)),0)</f>
        <v>138</v>
      </c>
      <c r="L75" s="260" t="n">
        <f aca="false" t="array" ref="L75:L75">ROUND(INDEX('0.0.1 Pokémon Dex Data'!$S$3:$S951,MATCH($E75,'0.0.1 Pokémon Dex Data'!$B$3:$B951,0))*INDEX('0.0.1 Pokémon Dex Data'!V$3:V951,MATCH($E75,'0.0.1 Pokémon Dex Data'!$B$3:$B951,0)),0)</f>
        <v>163</v>
      </c>
      <c r="M75" s="260" t="n">
        <f aca="false" t="array" ref="M75:M75">INDEX('0.0.1 Pokémon Dex Data'!$J$3:$J951,MATCH(E75,'0.0.1 Pokémon Dex Data'!$B$3:$B951,0))</f>
        <v>1</v>
      </c>
      <c r="O75" s="490"/>
      <c r="Q75" s="367" t="n">
        <f aca="false">IF('Reverse Search'!$F$4="All (including temporary formes)",1,IF('Reverse Search'!$F$4="Base Pokémon and permanent formes only",IF(F75&lt;=1,1,0),IF(F75=0,1,0)))</f>
        <v>1</v>
      </c>
      <c r="R75" s="0" t="n">
        <f aca="false">IF('Reverse Search'!$C$7="Disable",1,IF('Reverse Search'!$D$9="Disable",1,IF(OR('Reverse Search'!$F$9=H75,'Reverse Search'!$F$9=I75),1,0)))</f>
        <v>1</v>
      </c>
      <c r="S75" s="0" t="n">
        <f aca="false">IF('Reverse Search'!$C$7="Disable",1,IF('Reverse Search'!$D$10="Disable",1,IF(OR('Reverse Search'!$F$10=H75,'Reverse Search'!$F$10=I75),1,0)))</f>
        <v>1</v>
      </c>
      <c r="T75" s="0" t="n">
        <f aca="false">INDEX($B$4:$B$22,MATCH(H75,$A$4:$A$22,0))</f>
        <v>1</v>
      </c>
      <c r="U75" s="0" t="e">
        <f aca="false">IF(ISBLANK(I75),1,INDEX($B$4:$B$22,MATCH(I75,$A$4:$A$22,0)))</f>
        <v>#N/A</v>
      </c>
      <c r="V75" s="367" t="n">
        <f aca="false">IF('Reverse Search'!$C$7="Disable",1,IF('Reverse Search'!$D$11="Disable",1,IF('Reverse Search'!$E$11="Neutral to:",IF(ROUND(T75*U75,2)&lt;=1,1,0),IF(ROUND(T75*U75,2)&lt;1,1,0))))</f>
        <v>1</v>
      </c>
      <c r="W75" s="0" t="n">
        <f aca="false">IF('Reverse Search'!$N$7="Disable",1,IF('Reverse Search'!$I$9="Disable",1,IF('Reverse Search'!$K$9="≥",IF(J75&gt;='Reverse Search'!$L$9,1,0),IF('Reverse Search'!$K$9="≤",IF(J75&lt;='Reverse Search'!$L$9,1,0),IF(J75='Reverse Search'!$L$9,1,0)))))</f>
        <v>1</v>
      </c>
      <c r="X75" s="0" t="n">
        <f aca="false">IF('Reverse Search'!$N$7="Disable",1,IF('Reverse Search'!$I$10="Disable",1,IF('Reverse Search'!$K$10="≥",IF(K75&gt;='Reverse Search'!$L$10,1,0),IF('Reverse Search'!$K$10="≤",IF(K75&lt;='Reverse Search'!$L$10,1,0),IF(K75='Reverse Search'!$L$10,1,0)))))</f>
        <v>1</v>
      </c>
      <c r="Y75" s="367" t="n">
        <f aca="false">IF('Reverse Search'!$N$7="Disable",1,IF('Reverse Search'!$I$11="Disable",1,IF('Reverse Search'!$K$11="≥",IF(L75&gt;='Reverse Search'!$L$11,1,0),IF('Reverse Search'!$K$11="≤",IF(L75&lt;='Reverse Search'!$L$11,1,0),IF(L75='Reverse Search'!$L$11,1,0)))))</f>
        <v>1</v>
      </c>
      <c r="Z75" s="0" t="n">
        <f aca="true">IF('Reverse Search'!$C$14="Disable",1,IF('Reverse Search'!$D$16="Disable",1,IF($C$2=3,IF($M75=0,0,COUNTIF(INDIRECT("'0.0.2 Pokémon Learnset (Core)'!$D$"&amp;MATCH($E75,'0.0.2 Pokémon Learnset (Core)'!$A$1:$A951,0)&amp;":$FK$"&amp;MATCH($E75,'0.0.2 Pokémon Learnset (Core)'!$A$1:$A951,0)),'Reverse Search'!$E$21)),IF($C$2=2,COUNTIF(INDIRECT("'0.1.1 Pokémon GO Moves'!$B$"&amp;MATCH($E75,'0.1.1 Pokémon GO Moves'!$A$1:$A951,0)&amp;":$R$"&amp;MATCH($E75,'0.1.1 Pokémon GO Moves'!$A$1:$A951,0)),'Reverse Search'!$E$21),COUNTIF(INDIRECT("'0.1.1 Pokémon GO Moves'!$B$"&amp;MATCH($E75,'0.1.1 Pokémon GO Moves'!$A$1:$A951,0)&amp;":$L$"&amp;MATCH($E75,'0.1.1 Pokémon GO Moves'!$A$1:$A951,0)),'Reverse Search'!$E$21)))))</f>
        <v>1</v>
      </c>
      <c r="AA75" s="0" t="n">
        <f aca="true">IF('Reverse Search'!$C$14="Disable",1,IF('Reverse Search'!$I$16="Disable",1,IF($D$2=3,IF($M75=0,0,COUNTIF(INDIRECT("'0.0.2 Pokémon Learnset (Core)'!$D$"&amp;MATCH($E75,'0.0.2 Pokémon Learnset (Core)'!$A$1:$A951,0)&amp;":$FK$"&amp;MATCH($E75,'0.0.2 Pokémon Learnset (Core)'!$A$1:$A951,0)),'Reverse Search'!$J$21)),IF($D$2=2,COUNTIF(INDIRECT("'0.1.1 Pokémon GO Moves'!$B$"&amp;MATCH($E75,'0.1.1 Pokémon GO Moves'!$A$1:$A951,0)&amp;":$R$"&amp;MATCH($E75,'0.1.1 Pokémon GO Moves'!$A$1:$A951,0)),'Reverse Search'!$J$21),COUNTIF(INDIRECT("'0.1.1 Pokémon GO Moves'!$B$"&amp;MATCH($E75,'0.1.1 Pokémon GO Moves'!$A$1:$A951,0)&amp;":$L$"&amp;MATCH($E75,'0.1.1 Pokémon GO Moves'!$A$1:$A951,0)),'Reverse Search'!$J$21)))))</f>
        <v>0</v>
      </c>
      <c r="AB75" s="490"/>
      <c r="AC75" s="260" t="n">
        <f aca="false">IF((Q75+R75+S75+V75+W75+X75+Y75+IF(Z75&gt;=1,1,0)+IF(AA75&gt;=1,1,0))=9,G75&amp;", ",)</f>
        <v>0</v>
      </c>
    </row>
    <row r="76" customFormat="false" ht="15.75" hidden="false" customHeight="false" outlineLevel="0" collapsed="false">
      <c r="A76" s="260"/>
      <c r="B76" s="358"/>
      <c r="C76" s="260"/>
      <c r="D76" s="358" t="str">
        <f aca="false">IFERROR(__xludf.dummyfunction("""COMPUTED_VALUE"""),"Origin Pulse")</f>
        <v>Origin Pulse</v>
      </c>
      <c r="E76" s="260" t="n">
        <v>75</v>
      </c>
      <c r="F76" s="260" t="n">
        <f aca="false" t="array" ref="F76:F76">INDEX('0.0.1 Pokémon Dex Data'!$H$3:$H951,MATCH(E76,'0.0.1 Pokémon Dex Data'!$B$3:$B951,0))</f>
        <v>0</v>
      </c>
      <c r="G76" s="0" t="str">
        <f aca="false" t="array" ref="G76:G76">INDEX('0.0.1 Pokémon Dex Data'!$E$3:$E951,MATCH(E76,'0.0.1 Pokémon Dex Data'!$B$3:$B951,0))</f>
        <v>Growlithe</v>
      </c>
      <c r="H76" s="0" t="str">
        <f aca="false" t="array" ref="H76:H76">INDEX('0.0.1 Pokémon Dex Data'!$Q$3:$Q951,MATCH(E76,'0.0.1 Pokémon Dex Data'!$B$3:$B951,0))</f>
        <v>Fire</v>
      </c>
      <c r="I76" s="0" t="n">
        <f aca="false">INDEX('0.0.1 Pokémon Dex Data'!$R$3:$R951,MATCH(E76,'0.0.1 Pokémon Dex Data'!$B$3:$B951,0))</f>
        <v>0</v>
      </c>
      <c r="J76" s="260" t="n">
        <f aca="false" t="array" ref="J76:J76">ROUND(INDEX('0.0.1 Pokémon Dex Data'!$S$3:$S951,MATCH($E76,'0.0.1 Pokémon Dex Data'!$B$3:$B951,0))*INDEX('0.0.1 Pokémon Dex Data'!T$3:T951,MATCH($E76,'0.0.1 Pokémon Dex Data'!$B$3:$B951,0)),0)</f>
        <v>136</v>
      </c>
      <c r="K76" s="260" t="n">
        <f aca="false" t="array" ref="K76:K76">ROUND(INDEX('0.0.1 Pokémon Dex Data'!$S$3:$S951,MATCH($E76,'0.0.1 Pokémon Dex Data'!$B$3:$B951,0))*INDEX('0.0.1 Pokémon Dex Data'!U$3:U951,MATCH($E76,'0.0.1 Pokémon Dex Data'!$B$3:$B951,0)),0)</f>
        <v>93</v>
      </c>
      <c r="L76" s="260" t="n">
        <f aca="false" t="array" ref="L76:L76">ROUND(INDEX('0.0.1 Pokémon Dex Data'!$S$3:$S951,MATCH($E76,'0.0.1 Pokémon Dex Data'!$B$3:$B951,0))*INDEX('0.0.1 Pokémon Dex Data'!V$3:V951,MATCH($E76,'0.0.1 Pokémon Dex Data'!$B$3:$B951,0)),0)</f>
        <v>146</v>
      </c>
      <c r="M76" s="260" t="n">
        <f aca="false" t="array" ref="M76:M76">INDEX('0.0.1 Pokémon Dex Data'!$J$3:$J951,MATCH(E76,'0.0.1 Pokémon Dex Data'!$B$3:$B951,0))</f>
        <v>0</v>
      </c>
      <c r="O76" s="490"/>
      <c r="Q76" s="367" t="n">
        <f aca="false">IF('Reverse Search'!$F$4="All (including temporary formes)",1,IF('Reverse Search'!$F$4="Base Pokémon and permanent formes only",IF(F76&lt;=1,1,0),IF(F76=0,1,0)))</f>
        <v>1</v>
      </c>
      <c r="R76" s="0" t="n">
        <f aca="false">IF('Reverse Search'!$C$7="Disable",1,IF('Reverse Search'!$D$9="Disable",1,IF(OR('Reverse Search'!$F$9=H76,'Reverse Search'!$F$9=I76),1,0)))</f>
        <v>1</v>
      </c>
      <c r="S76" s="0" t="n">
        <f aca="false">IF('Reverse Search'!$C$7="Disable",1,IF('Reverse Search'!$D$10="Disable",1,IF(OR('Reverse Search'!$F$10=H76,'Reverse Search'!$F$10=I76),1,0)))</f>
        <v>1</v>
      </c>
      <c r="T76" s="0" t="n">
        <f aca="false">INDEX($B$4:$B$22,MATCH(H76,$A$4:$A$22,0))</f>
        <v>1</v>
      </c>
      <c r="U76" s="0" t="e">
        <f aca="false">IF(ISBLANK(I76),1,INDEX($B$4:$B$22,MATCH(I76,$A$4:$A$22,0)))</f>
        <v>#N/A</v>
      </c>
      <c r="V76" s="367" t="n">
        <f aca="false">IF('Reverse Search'!$C$7="Disable",1,IF('Reverse Search'!$D$11="Disable",1,IF('Reverse Search'!$E$11="Neutral to:",IF(ROUND(T76*U76,2)&lt;=1,1,0),IF(ROUND(T76*U76,2)&lt;1,1,0))))</f>
        <v>1</v>
      </c>
      <c r="W76" s="0" t="n">
        <f aca="false">IF('Reverse Search'!$N$7="Disable",1,IF('Reverse Search'!$I$9="Disable",1,IF('Reverse Search'!$K$9="≥",IF(J76&gt;='Reverse Search'!$L$9,1,0),IF('Reverse Search'!$K$9="≤",IF(J76&lt;='Reverse Search'!$L$9,1,0),IF(J76='Reverse Search'!$L$9,1,0)))))</f>
        <v>1</v>
      </c>
      <c r="X76" s="0" t="n">
        <f aca="false">IF('Reverse Search'!$N$7="Disable",1,IF('Reverse Search'!$I$10="Disable",1,IF('Reverse Search'!$K$10="≥",IF(K76&gt;='Reverse Search'!$L$10,1,0),IF('Reverse Search'!$K$10="≤",IF(K76&lt;='Reverse Search'!$L$10,1,0),IF(K76='Reverse Search'!$L$10,1,0)))))</f>
        <v>1</v>
      </c>
      <c r="Y76" s="367" t="n">
        <f aca="false">IF('Reverse Search'!$N$7="Disable",1,IF('Reverse Search'!$I$11="Disable",1,IF('Reverse Search'!$K$11="≥",IF(L76&gt;='Reverse Search'!$L$11,1,0),IF('Reverse Search'!$K$11="≤",IF(L76&lt;='Reverse Search'!$L$11,1,0),IF(L76='Reverse Search'!$L$11,1,0)))))</f>
        <v>1</v>
      </c>
      <c r="Z76" s="0" t="n">
        <f aca="true">IF('Reverse Search'!$C$14="Disable",1,IF('Reverse Search'!$D$16="Disable",1,IF($C$2=3,IF($M76=0,0,COUNTIF(INDIRECT("'0.0.2 Pokémon Learnset (Core)'!$D$"&amp;MATCH($E76,'0.0.2 Pokémon Learnset (Core)'!$A$1:$A951,0)&amp;":$FK$"&amp;MATCH($E76,'0.0.2 Pokémon Learnset (Core)'!$A$1:$A951,0)),'Reverse Search'!$E$21)),IF($C$2=2,COUNTIF(INDIRECT("'0.1.1 Pokémon GO Moves'!$B$"&amp;MATCH($E76,'0.1.1 Pokémon GO Moves'!$A$1:$A951,0)&amp;":$R$"&amp;MATCH($E76,'0.1.1 Pokémon GO Moves'!$A$1:$A951,0)),'Reverse Search'!$E$21),COUNTIF(INDIRECT("'0.1.1 Pokémon GO Moves'!$B$"&amp;MATCH($E76,'0.1.1 Pokémon GO Moves'!$A$1:$A951,0)&amp;":$L$"&amp;MATCH($E76,'0.1.1 Pokémon GO Moves'!$A$1:$A951,0)),'Reverse Search'!$E$21)))))</f>
        <v>1</v>
      </c>
      <c r="AA76" s="0" t="n">
        <f aca="true">IF('Reverse Search'!$C$14="Disable",1,IF('Reverse Search'!$I$16="Disable",1,IF($D$2=3,IF($M76=0,0,COUNTIF(INDIRECT("'0.0.2 Pokémon Learnset (Core)'!$D$"&amp;MATCH($E76,'0.0.2 Pokémon Learnset (Core)'!$A$1:$A951,0)&amp;":$FK$"&amp;MATCH($E76,'0.0.2 Pokémon Learnset (Core)'!$A$1:$A951,0)),'Reverse Search'!$J$21)),IF($D$2=2,COUNTIF(INDIRECT("'0.1.1 Pokémon GO Moves'!$B$"&amp;MATCH($E76,'0.1.1 Pokémon GO Moves'!$A$1:$A951,0)&amp;":$R$"&amp;MATCH($E76,'0.1.1 Pokémon GO Moves'!$A$1:$A951,0)),'Reverse Search'!$J$21),COUNTIF(INDIRECT("'0.1.1 Pokémon GO Moves'!$B$"&amp;MATCH($E76,'0.1.1 Pokémon GO Moves'!$A$1:$A951,0)&amp;":$L$"&amp;MATCH($E76,'0.1.1 Pokémon GO Moves'!$A$1:$A951,0)),'Reverse Search'!$J$21)))))</f>
        <v>0</v>
      </c>
      <c r="AB76" s="490"/>
      <c r="AC76" s="260" t="n">
        <f aca="false">IF((Q76+R76+S76+V76+W76+X76+Y76+IF(Z76&gt;=1,1,0)+IF(AA76&gt;=1,1,0))=9,G76&amp;", ",)</f>
        <v>0</v>
      </c>
    </row>
    <row r="77" customFormat="false" ht="15.75" hidden="false" customHeight="false" outlineLevel="0" collapsed="false">
      <c r="A77" s="260"/>
      <c r="B77" s="358"/>
      <c r="C77" s="260"/>
      <c r="D77" s="358" t="str">
        <f aca="false">IFERROR(__xludf.dummyfunction("""COMPUTED_VALUE"""),"Outrage")</f>
        <v>Outrage</v>
      </c>
      <c r="E77" s="260" t="n">
        <v>76</v>
      </c>
      <c r="F77" s="260" t="n">
        <f aca="false" t="array" ref="F77:F77">INDEX('0.0.1 Pokémon Dex Data'!$H$3:$H951,MATCH(E77,'0.0.1 Pokémon Dex Data'!$B$3:$B951,0))</f>
        <v>0</v>
      </c>
      <c r="G77" s="0" t="str">
        <f aca="false" t="array" ref="G77:G77">INDEX('0.0.1 Pokémon Dex Data'!$E$3:$E951,MATCH(E77,'0.0.1 Pokémon Dex Data'!$B$3:$B951,0))</f>
        <v>Arcanine</v>
      </c>
      <c r="H77" s="0" t="str">
        <f aca="false" t="array" ref="H77:H77">INDEX('0.0.1 Pokémon Dex Data'!$Q$3:$Q951,MATCH(E77,'0.0.1 Pokémon Dex Data'!$B$3:$B951,0))</f>
        <v>Fire</v>
      </c>
      <c r="I77" s="0" t="n">
        <f aca="false">INDEX('0.0.1 Pokémon Dex Data'!$R$3:$R951,MATCH(E77,'0.0.1 Pokémon Dex Data'!$B$3:$B951,0))</f>
        <v>0</v>
      </c>
      <c r="J77" s="260" t="n">
        <f aca="false" t="array" ref="J77:J77">ROUND(INDEX('0.0.1 Pokémon Dex Data'!$S$3:$S951,MATCH($E77,'0.0.1 Pokémon Dex Data'!$B$3:$B951,0))*INDEX('0.0.1 Pokémon Dex Data'!T$3:T951,MATCH($E77,'0.0.1 Pokémon Dex Data'!$B$3:$B951,0)),0)</f>
        <v>227</v>
      </c>
      <c r="K77" s="260" t="n">
        <f aca="false" t="array" ref="K77:K77">ROUND(INDEX('0.0.1 Pokémon Dex Data'!$S$3:$S951,MATCH($E77,'0.0.1 Pokémon Dex Data'!$B$3:$B951,0))*INDEX('0.0.1 Pokémon Dex Data'!U$3:U951,MATCH($E77,'0.0.1 Pokémon Dex Data'!$B$3:$B951,0)),0)</f>
        <v>166</v>
      </c>
      <c r="L77" s="260" t="n">
        <f aca="false" t="array" ref="L77:L77">ROUND(INDEX('0.0.1 Pokémon Dex Data'!$S$3:$S951,MATCH($E77,'0.0.1 Pokémon Dex Data'!$B$3:$B951,0))*INDEX('0.0.1 Pokémon Dex Data'!V$3:V951,MATCH($E77,'0.0.1 Pokémon Dex Data'!$B$3:$B951,0)),0)</f>
        <v>207</v>
      </c>
      <c r="M77" s="260" t="n">
        <f aca="false" t="array" ref="M77:M77">INDEX('0.0.1 Pokémon Dex Data'!$J$3:$J951,MATCH(E77,'0.0.1 Pokémon Dex Data'!$B$3:$B951,0))</f>
        <v>1</v>
      </c>
      <c r="O77" s="490"/>
      <c r="Q77" s="367" t="n">
        <f aca="false">IF('Reverse Search'!$F$4="All (including temporary formes)",1,IF('Reverse Search'!$F$4="Base Pokémon and permanent formes only",IF(F77&lt;=1,1,0),IF(F77=0,1,0)))</f>
        <v>1</v>
      </c>
      <c r="R77" s="0" t="n">
        <f aca="false">IF('Reverse Search'!$C$7="Disable",1,IF('Reverse Search'!$D$9="Disable",1,IF(OR('Reverse Search'!$F$9=H77,'Reverse Search'!$F$9=I77),1,0)))</f>
        <v>1</v>
      </c>
      <c r="S77" s="0" t="n">
        <f aca="false">IF('Reverse Search'!$C$7="Disable",1,IF('Reverse Search'!$D$10="Disable",1,IF(OR('Reverse Search'!$F$10=H77,'Reverse Search'!$F$10=I77),1,0)))</f>
        <v>1</v>
      </c>
      <c r="T77" s="0" t="n">
        <f aca="false">INDEX($B$4:$B$22,MATCH(H77,$A$4:$A$22,0))</f>
        <v>1</v>
      </c>
      <c r="U77" s="0" t="e">
        <f aca="false">IF(ISBLANK(I77),1,INDEX($B$4:$B$22,MATCH(I77,$A$4:$A$22,0)))</f>
        <v>#N/A</v>
      </c>
      <c r="V77" s="367" t="n">
        <f aca="false">IF('Reverse Search'!$C$7="Disable",1,IF('Reverse Search'!$D$11="Disable",1,IF('Reverse Search'!$E$11="Neutral to:",IF(ROUND(T77*U77,2)&lt;=1,1,0),IF(ROUND(T77*U77,2)&lt;1,1,0))))</f>
        <v>1</v>
      </c>
      <c r="W77" s="0" t="n">
        <f aca="false">IF('Reverse Search'!$N$7="Disable",1,IF('Reverse Search'!$I$9="Disable",1,IF('Reverse Search'!$K$9="≥",IF(J77&gt;='Reverse Search'!$L$9,1,0),IF('Reverse Search'!$K$9="≤",IF(J77&lt;='Reverse Search'!$L$9,1,0),IF(J77='Reverse Search'!$L$9,1,0)))))</f>
        <v>1</v>
      </c>
      <c r="X77" s="0" t="n">
        <f aca="false">IF('Reverse Search'!$N$7="Disable",1,IF('Reverse Search'!$I$10="Disable",1,IF('Reverse Search'!$K$10="≥",IF(K77&gt;='Reverse Search'!$L$10,1,0),IF('Reverse Search'!$K$10="≤",IF(K77&lt;='Reverse Search'!$L$10,1,0),IF(K77='Reverse Search'!$L$10,1,0)))))</f>
        <v>1</v>
      </c>
      <c r="Y77" s="367" t="n">
        <f aca="false">IF('Reverse Search'!$N$7="Disable",1,IF('Reverse Search'!$I$11="Disable",1,IF('Reverse Search'!$K$11="≥",IF(L77&gt;='Reverse Search'!$L$11,1,0),IF('Reverse Search'!$K$11="≤",IF(L77&lt;='Reverse Search'!$L$11,1,0),IF(L77='Reverse Search'!$L$11,1,0)))))</f>
        <v>1</v>
      </c>
      <c r="Z77" s="0" t="n">
        <f aca="true">IF('Reverse Search'!$C$14="Disable",1,IF('Reverse Search'!$D$16="Disable",1,IF($C$2=3,IF($M77=0,0,COUNTIF(INDIRECT("'0.0.2 Pokémon Learnset (Core)'!$D$"&amp;MATCH($E77,'0.0.2 Pokémon Learnset (Core)'!$A$1:$A951,0)&amp;":$FK$"&amp;MATCH($E77,'0.0.2 Pokémon Learnset (Core)'!$A$1:$A951,0)),'Reverse Search'!$E$21)),IF($C$2=2,COUNTIF(INDIRECT("'0.1.1 Pokémon GO Moves'!$B$"&amp;MATCH($E77,'0.1.1 Pokémon GO Moves'!$A$1:$A951,0)&amp;":$R$"&amp;MATCH($E77,'0.1.1 Pokémon GO Moves'!$A$1:$A951,0)),'Reverse Search'!$E$21),COUNTIF(INDIRECT("'0.1.1 Pokémon GO Moves'!$B$"&amp;MATCH($E77,'0.1.1 Pokémon GO Moves'!$A$1:$A951,0)&amp;":$L$"&amp;MATCH($E77,'0.1.1 Pokémon GO Moves'!$A$1:$A951,0)),'Reverse Search'!$E$21)))))</f>
        <v>1</v>
      </c>
      <c r="AA77" s="0" t="n">
        <f aca="true">IF('Reverse Search'!$C$14="Disable",1,IF('Reverse Search'!$I$16="Disable",1,IF($D$2=3,IF($M77=0,0,COUNTIF(INDIRECT("'0.0.2 Pokémon Learnset (Core)'!$D$"&amp;MATCH($E77,'0.0.2 Pokémon Learnset (Core)'!$A$1:$A951,0)&amp;":$FK$"&amp;MATCH($E77,'0.0.2 Pokémon Learnset (Core)'!$A$1:$A951,0)),'Reverse Search'!$J$21)),IF($D$2=2,COUNTIF(INDIRECT("'0.1.1 Pokémon GO Moves'!$B$"&amp;MATCH($E77,'0.1.1 Pokémon GO Moves'!$A$1:$A951,0)&amp;":$R$"&amp;MATCH($E77,'0.1.1 Pokémon GO Moves'!$A$1:$A951,0)),'Reverse Search'!$J$21),COUNTIF(INDIRECT("'0.1.1 Pokémon GO Moves'!$B$"&amp;MATCH($E77,'0.1.1 Pokémon GO Moves'!$A$1:$A951,0)&amp;":$L$"&amp;MATCH($E77,'0.1.1 Pokémon GO Moves'!$A$1:$A951,0)),'Reverse Search'!$J$21)))))</f>
        <v>0</v>
      </c>
      <c r="AB77" s="490"/>
      <c r="AC77" s="260" t="n">
        <f aca="false">IF((Q77+R77+S77+V77+W77+X77+Y77+IF(Z77&gt;=1,1,0)+IF(AA77&gt;=1,1,0))=9,G77&amp;", ",)</f>
        <v>0</v>
      </c>
    </row>
    <row r="78" customFormat="false" ht="15.75" hidden="false" customHeight="false" outlineLevel="0" collapsed="false">
      <c r="A78" s="260"/>
      <c r="B78" s="358"/>
      <c r="C78" s="260"/>
      <c r="D78" s="358" t="str">
        <f aca="false">IFERROR(__xludf.dummyfunction("""COMPUTED_VALUE"""),"Overheat")</f>
        <v>Overheat</v>
      </c>
      <c r="E78" s="260" t="n">
        <v>77</v>
      </c>
      <c r="F78" s="260" t="n">
        <f aca="false" t="array" ref="F78:F78">INDEX('0.0.1 Pokémon Dex Data'!$H$3:$H951,MATCH(E78,'0.0.1 Pokémon Dex Data'!$B$3:$B951,0))</f>
        <v>0</v>
      </c>
      <c r="G78" s="0" t="str">
        <f aca="false" t="array" ref="G78:G78">INDEX('0.0.1 Pokémon Dex Data'!$E$3:$E951,MATCH(E78,'0.0.1 Pokémon Dex Data'!$B$3:$B951,0))</f>
        <v>Poliwag</v>
      </c>
      <c r="H78" s="0" t="str">
        <f aca="false" t="array" ref="H78:H78">INDEX('0.0.1 Pokémon Dex Data'!$Q$3:$Q951,MATCH(E78,'0.0.1 Pokémon Dex Data'!$B$3:$B951,0))</f>
        <v>Water</v>
      </c>
      <c r="I78" s="0" t="n">
        <f aca="false">INDEX('0.0.1 Pokémon Dex Data'!$R$3:$R951,MATCH(E78,'0.0.1 Pokémon Dex Data'!$B$3:$B951,0))</f>
        <v>0</v>
      </c>
      <c r="J78" s="260" t="n">
        <f aca="false" t="array" ref="J78:J78">ROUND(INDEX('0.0.1 Pokémon Dex Data'!$S$3:$S951,MATCH($E78,'0.0.1 Pokémon Dex Data'!$B$3:$B951,0))*INDEX('0.0.1 Pokémon Dex Data'!T$3:T951,MATCH($E78,'0.0.1 Pokémon Dex Data'!$B$3:$B951,0)),0)</f>
        <v>101</v>
      </c>
      <c r="K78" s="260" t="n">
        <f aca="false" t="array" ref="K78:K78">ROUND(INDEX('0.0.1 Pokémon Dex Data'!$S$3:$S951,MATCH($E78,'0.0.1 Pokémon Dex Data'!$B$3:$B951,0))*INDEX('0.0.1 Pokémon Dex Data'!U$3:U951,MATCH($E78,'0.0.1 Pokémon Dex Data'!$B$3:$B951,0)),0)</f>
        <v>82</v>
      </c>
      <c r="L78" s="260" t="n">
        <f aca="false" t="array" ref="L78:L78">ROUND(INDEX('0.0.1 Pokémon Dex Data'!$S$3:$S951,MATCH($E78,'0.0.1 Pokémon Dex Data'!$B$3:$B951,0))*INDEX('0.0.1 Pokémon Dex Data'!V$3:V951,MATCH($E78,'0.0.1 Pokémon Dex Data'!$B$3:$B951,0)),0)</f>
        <v>120</v>
      </c>
      <c r="M78" s="260" t="n">
        <f aca="false" t="array" ref="M78:M78">INDEX('0.0.1 Pokémon Dex Data'!$J$3:$J951,MATCH(E78,'0.0.1 Pokémon Dex Data'!$B$3:$B951,0))</f>
        <v>0</v>
      </c>
      <c r="O78" s="490"/>
      <c r="Q78" s="367" t="n">
        <f aca="false">IF('Reverse Search'!$F$4="All (including temporary formes)",1,IF('Reverse Search'!$F$4="Base Pokémon and permanent formes only",IF(F78&lt;=1,1,0),IF(F78=0,1,0)))</f>
        <v>1</v>
      </c>
      <c r="R78" s="0" t="n">
        <f aca="false">IF('Reverse Search'!$C$7="Disable",1,IF('Reverse Search'!$D$9="Disable",1,IF(OR('Reverse Search'!$F$9=H78,'Reverse Search'!$F$9=I78),1,0)))</f>
        <v>1</v>
      </c>
      <c r="S78" s="0" t="n">
        <f aca="false">IF('Reverse Search'!$C$7="Disable",1,IF('Reverse Search'!$D$10="Disable",1,IF(OR('Reverse Search'!$F$10=H78,'Reverse Search'!$F$10=I78),1,0)))</f>
        <v>1</v>
      </c>
      <c r="T78" s="0" t="n">
        <f aca="false">INDEX($B$4:$B$22,MATCH(H78,$A$4:$A$22,0))</f>
        <v>1</v>
      </c>
      <c r="U78" s="0" t="e">
        <f aca="false">IF(ISBLANK(I78),1,INDEX($B$4:$B$22,MATCH(I78,$A$4:$A$22,0)))</f>
        <v>#N/A</v>
      </c>
      <c r="V78" s="367" t="n">
        <f aca="false">IF('Reverse Search'!$C$7="Disable",1,IF('Reverse Search'!$D$11="Disable",1,IF('Reverse Search'!$E$11="Neutral to:",IF(ROUND(T78*U78,2)&lt;=1,1,0),IF(ROUND(T78*U78,2)&lt;1,1,0))))</f>
        <v>1</v>
      </c>
      <c r="W78" s="0" t="n">
        <f aca="false">IF('Reverse Search'!$N$7="Disable",1,IF('Reverse Search'!$I$9="Disable",1,IF('Reverse Search'!$K$9="≥",IF(J78&gt;='Reverse Search'!$L$9,1,0),IF('Reverse Search'!$K$9="≤",IF(J78&lt;='Reverse Search'!$L$9,1,0),IF(J78='Reverse Search'!$L$9,1,0)))))</f>
        <v>1</v>
      </c>
      <c r="X78" s="0" t="n">
        <f aca="false">IF('Reverse Search'!$N$7="Disable",1,IF('Reverse Search'!$I$10="Disable",1,IF('Reverse Search'!$K$10="≥",IF(K78&gt;='Reverse Search'!$L$10,1,0),IF('Reverse Search'!$K$10="≤",IF(K78&lt;='Reverse Search'!$L$10,1,0),IF(K78='Reverse Search'!$L$10,1,0)))))</f>
        <v>1</v>
      </c>
      <c r="Y78" s="367" t="n">
        <f aca="false">IF('Reverse Search'!$N$7="Disable",1,IF('Reverse Search'!$I$11="Disable",1,IF('Reverse Search'!$K$11="≥",IF(L78&gt;='Reverse Search'!$L$11,1,0),IF('Reverse Search'!$K$11="≤",IF(L78&lt;='Reverse Search'!$L$11,1,0),IF(L78='Reverse Search'!$L$11,1,0)))))</f>
        <v>1</v>
      </c>
      <c r="Z78" s="0" t="n">
        <f aca="true">IF('Reverse Search'!$C$14="Disable",1,IF('Reverse Search'!$D$16="Disable",1,IF($C$2=3,IF($M78=0,0,COUNTIF(INDIRECT("'0.0.2 Pokémon Learnset (Core)'!$D$"&amp;MATCH($E78,'0.0.2 Pokémon Learnset (Core)'!$A$1:$A951,0)&amp;":$FK$"&amp;MATCH($E78,'0.0.2 Pokémon Learnset (Core)'!$A$1:$A951,0)),'Reverse Search'!$E$21)),IF($C$2=2,COUNTIF(INDIRECT("'0.1.1 Pokémon GO Moves'!$B$"&amp;MATCH($E78,'0.1.1 Pokémon GO Moves'!$A$1:$A951,0)&amp;":$R$"&amp;MATCH($E78,'0.1.1 Pokémon GO Moves'!$A$1:$A951,0)),'Reverse Search'!$E$21),COUNTIF(INDIRECT("'0.1.1 Pokémon GO Moves'!$B$"&amp;MATCH($E78,'0.1.1 Pokémon GO Moves'!$A$1:$A951,0)&amp;":$L$"&amp;MATCH($E78,'0.1.1 Pokémon GO Moves'!$A$1:$A951,0)),'Reverse Search'!$E$21)))))</f>
        <v>1</v>
      </c>
      <c r="AA78" s="0" t="n">
        <f aca="true">IF('Reverse Search'!$C$14="Disable",1,IF('Reverse Search'!$I$16="Disable",1,IF($D$2=3,IF($M78=0,0,COUNTIF(INDIRECT("'0.0.2 Pokémon Learnset (Core)'!$D$"&amp;MATCH($E78,'0.0.2 Pokémon Learnset (Core)'!$A$1:$A951,0)&amp;":$FK$"&amp;MATCH($E78,'0.0.2 Pokémon Learnset (Core)'!$A$1:$A951,0)),'Reverse Search'!$J$21)),IF($D$2=2,COUNTIF(INDIRECT("'0.1.1 Pokémon GO Moves'!$B$"&amp;MATCH($E78,'0.1.1 Pokémon GO Moves'!$A$1:$A951,0)&amp;":$R$"&amp;MATCH($E78,'0.1.1 Pokémon GO Moves'!$A$1:$A951,0)),'Reverse Search'!$J$21),COUNTIF(INDIRECT("'0.1.1 Pokémon GO Moves'!$B$"&amp;MATCH($E78,'0.1.1 Pokémon GO Moves'!$A$1:$A951,0)&amp;":$L$"&amp;MATCH($E78,'0.1.1 Pokémon GO Moves'!$A$1:$A951,0)),'Reverse Search'!$J$21)))))</f>
        <v>0</v>
      </c>
      <c r="AB78" s="490"/>
      <c r="AC78" s="260" t="n">
        <f aca="false">IF((Q78+R78+S78+V78+W78+X78+Y78+IF(Z78&gt;=1,1,0)+IF(AA78&gt;=1,1,0))=9,G78&amp;", ",)</f>
        <v>0</v>
      </c>
    </row>
    <row r="79" customFormat="false" ht="15.75" hidden="false" customHeight="false" outlineLevel="0" collapsed="false">
      <c r="A79" s="260"/>
      <c r="B79" s="358"/>
      <c r="C79" s="260"/>
      <c r="D79" s="358" t="str">
        <f aca="false">IFERROR(__xludf.dummyfunction("""COMPUTED_VALUE"""),"Parabolic Charge")</f>
        <v>Parabolic Charge</v>
      </c>
      <c r="E79" s="260" t="n">
        <v>78</v>
      </c>
      <c r="F79" s="260" t="n">
        <f aca="false" t="array" ref="F79:F79">INDEX('0.0.1 Pokémon Dex Data'!$H$3:$H951,MATCH(E79,'0.0.1 Pokémon Dex Data'!$B$3:$B951,0))</f>
        <v>0</v>
      </c>
      <c r="G79" s="0" t="str">
        <f aca="false" t="array" ref="G79:G79">INDEX('0.0.1 Pokémon Dex Data'!$E$3:$E951,MATCH(E79,'0.0.1 Pokémon Dex Data'!$B$3:$B951,0))</f>
        <v>Poliwhirl</v>
      </c>
      <c r="H79" s="0" t="str">
        <f aca="false" t="array" ref="H79:H79">INDEX('0.0.1 Pokémon Dex Data'!$Q$3:$Q951,MATCH(E79,'0.0.1 Pokémon Dex Data'!$B$3:$B951,0))</f>
        <v>Water</v>
      </c>
      <c r="I79" s="0" t="n">
        <f aca="false">INDEX('0.0.1 Pokémon Dex Data'!$R$3:$R951,MATCH(E79,'0.0.1 Pokémon Dex Data'!$B$3:$B951,0))</f>
        <v>0</v>
      </c>
      <c r="J79" s="260" t="n">
        <f aca="false" t="array" ref="J79:J79">ROUND(INDEX('0.0.1 Pokémon Dex Data'!$S$3:$S951,MATCH($E79,'0.0.1 Pokémon Dex Data'!$B$3:$B951,0))*INDEX('0.0.1 Pokémon Dex Data'!T$3:T951,MATCH($E79,'0.0.1 Pokémon Dex Data'!$B$3:$B951,0)),0)</f>
        <v>130</v>
      </c>
      <c r="K79" s="260" t="n">
        <f aca="false" t="array" ref="K79:K79">ROUND(INDEX('0.0.1 Pokémon Dex Data'!$S$3:$S951,MATCH($E79,'0.0.1 Pokémon Dex Data'!$B$3:$B951,0))*INDEX('0.0.1 Pokémon Dex Data'!U$3:U951,MATCH($E79,'0.0.1 Pokémon Dex Data'!$B$3:$B951,0)),0)</f>
        <v>123</v>
      </c>
      <c r="L79" s="260" t="n">
        <f aca="false" t="array" ref="L79:L79">ROUND(INDEX('0.0.1 Pokémon Dex Data'!$S$3:$S951,MATCH($E79,'0.0.1 Pokémon Dex Data'!$B$3:$B951,0))*INDEX('0.0.1 Pokémon Dex Data'!V$3:V951,MATCH($E79,'0.0.1 Pokémon Dex Data'!$B$3:$B951,0)),0)</f>
        <v>163</v>
      </c>
      <c r="M79" s="260" t="n">
        <f aca="false" t="array" ref="M79:M79">INDEX('0.0.1 Pokémon Dex Data'!$J$3:$J951,MATCH(E79,'0.0.1 Pokémon Dex Data'!$B$3:$B951,0))</f>
        <v>0</v>
      </c>
      <c r="O79" s="490"/>
      <c r="Q79" s="367" t="n">
        <f aca="false">IF('Reverse Search'!$F$4="All (including temporary formes)",1,IF('Reverse Search'!$F$4="Base Pokémon and permanent formes only",IF(F79&lt;=1,1,0),IF(F79=0,1,0)))</f>
        <v>1</v>
      </c>
      <c r="R79" s="0" t="n">
        <f aca="false">IF('Reverse Search'!$C$7="Disable",1,IF('Reverse Search'!$D$9="Disable",1,IF(OR('Reverse Search'!$F$9=H79,'Reverse Search'!$F$9=I79),1,0)))</f>
        <v>1</v>
      </c>
      <c r="S79" s="0" t="n">
        <f aca="false">IF('Reverse Search'!$C$7="Disable",1,IF('Reverse Search'!$D$10="Disable",1,IF(OR('Reverse Search'!$F$10=H79,'Reverse Search'!$F$10=I79),1,0)))</f>
        <v>1</v>
      </c>
      <c r="T79" s="0" t="n">
        <f aca="false">INDEX($B$4:$B$22,MATCH(H79,$A$4:$A$22,0))</f>
        <v>1</v>
      </c>
      <c r="U79" s="0" t="e">
        <f aca="false">IF(ISBLANK(I79),1,INDEX($B$4:$B$22,MATCH(I79,$A$4:$A$22,0)))</f>
        <v>#N/A</v>
      </c>
      <c r="V79" s="367" t="n">
        <f aca="false">IF('Reverse Search'!$C$7="Disable",1,IF('Reverse Search'!$D$11="Disable",1,IF('Reverse Search'!$E$11="Neutral to:",IF(ROUND(T79*U79,2)&lt;=1,1,0),IF(ROUND(T79*U79,2)&lt;1,1,0))))</f>
        <v>1</v>
      </c>
      <c r="W79" s="0" t="n">
        <f aca="false">IF('Reverse Search'!$N$7="Disable",1,IF('Reverse Search'!$I$9="Disable",1,IF('Reverse Search'!$K$9="≥",IF(J79&gt;='Reverse Search'!$L$9,1,0),IF('Reverse Search'!$K$9="≤",IF(J79&lt;='Reverse Search'!$L$9,1,0),IF(J79='Reverse Search'!$L$9,1,0)))))</f>
        <v>1</v>
      </c>
      <c r="X79" s="0" t="n">
        <f aca="false">IF('Reverse Search'!$N$7="Disable",1,IF('Reverse Search'!$I$10="Disable",1,IF('Reverse Search'!$K$10="≥",IF(K79&gt;='Reverse Search'!$L$10,1,0),IF('Reverse Search'!$K$10="≤",IF(K79&lt;='Reverse Search'!$L$10,1,0),IF(K79='Reverse Search'!$L$10,1,0)))))</f>
        <v>1</v>
      </c>
      <c r="Y79" s="367" t="n">
        <f aca="false">IF('Reverse Search'!$N$7="Disable",1,IF('Reverse Search'!$I$11="Disable",1,IF('Reverse Search'!$K$11="≥",IF(L79&gt;='Reverse Search'!$L$11,1,0),IF('Reverse Search'!$K$11="≤",IF(L79&lt;='Reverse Search'!$L$11,1,0),IF(L79='Reverse Search'!$L$11,1,0)))))</f>
        <v>1</v>
      </c>
      <c r="Z79" s="0" t="n">
        <f aca="true">IF('Reverse Search'!$C$14="Disable",1,IF('Reverse Search'!$D$16="Disable",1,IF($C$2=3,IF($M79=0,0,COUNTIF(INDIRECT("'0.0.2 Pokémon Learnset (Core)'!$D$"&amp;MATCH($E79,'0.0.2 Pokémon Learnset (Core)'!$A$1:$A951,0)&amp;":$FK$"&amp;MATCH($E79,'0.0.2 Pokémon Learnset (Core)'!$A$1:$A951,0)),'Reverse Search'!$E$21)),IF($C$2=2,COUNTIF(INDIRECT("'0.1.1 Pokémon GO Moves'!$B$"&amp;MATCH($E79,'0.1.1 Pokémon GO Moves'!$A$1:$A951,0)&amp;":$R$"&amp;MATCH($E79,'0.1.1 Pokémon GO Moves'!$A$1:$A951,0)),'Reverse Search'!$E$21),COUNTIF(INDIRECT("'0.1.1 Pokémon GO Moves'!$B$"&amp;MATCH($E79,'0.1.1 Pokémon GO Moves'!$A$1:$A951,0)&amp;":$L$"&amp;MATCH($E79,'0.1.1 Pokémon GO Moves'!$A$1:$A951,0)),'Reverse Search'!$E$21)))))</f>
        <v>1</v>
      </c>
      <c r="AA79" s="0" t="n">
        <f aca="true">IF('Reverse Search'!$C$14="Disable",1,IF('Reverse Search'!$I$16="Disable",1,IF($D$2=3,IF($M79=0,0,COUNTIF(INDIRECT("'0.0.2 Pokémon Learnset (Core)'!$D$"&amp;MATCH($E79,'0.0.2 Pokémon Learnset (Core)'!$A$1:$A951,0)&amp;":$FK$"&amp;MATCH($E79,'0.0.2 Pokémon Learnset (Core)'!$A$1:$A951,0)),'Reverse Search'!$J$21)),IF($D$2=2,COUNTIF(INDIRECT("'0.1.1 Pokémon GO Moves'!$B$"&amp;MATCH($E79,'0.1.1 Pokémon GO Moves'!$A$1:$A951,0)&amp;":$R$"&amp;MATCH($E79,'0.1.1 Pokémon GO Moves'!$A$1:$A951,0)),'Reverse Search'!$J$21),COUNTIF(INDIRECT("'0.1.1 Pokémon GO Moves'!$B$"&amp;MATCH($E79,'0.1.1 Pokémon GO Moves'!$A$1:$A951,0)&amp;":$L$"&amp;MATCH($E79,'0.1.1 Pokémon GO Moves'!$A$1:$A951,0)),'Reverse Search'!$J$21)))))</f>
        <v>0</v>
      </c>
      <c r="AB79" s="490"/>
      <c r="AC79" s="260" t="n">
        <f aca="false">IF((Q79+R79+S79+V79+W79+X79+Y79+IF(Z79&gt;=1,1,0)+IF(AA79&gt;=1,1,0))=9,G79&amp;", ",)</f>
        <v>0</v>
      </c>
    </row>
    <row r="80" customFormat="false" ht="15.75" hidden="false" customHeight="false" outlineLevel="0" collapsed="false">
      <c r="A80" s="260"/>
      <c r="B80" s="358"/>
      <c r="C80" s="260"/>
      <c r="D80" s="358" t="str">
        <f aca="false">IFERROR(__xludf.dummyfunction("""COMPUTED_VALUE"""),"Petal Blizzard")</f>
        <v>Petal Blizzard</v>
      </c>
      <c r="E80" s="260" t="n">
        <v>79</v>
      </c>
      <c r="F80" s="260" t="n">
        <f aca="false" t="array" ref="F80:F80">INDEX('0.0.1 Pokémon Dex Data'!$H$3:$H951,MATCH(E80,'0.0.1 Pokémon Dex Data'!$B$3:$B951,0))</f>
        <v>0</v>
      </c>
      <c r="G80" s="0" t="str">
        <f aca="false" t="array" ref="G80:G80">INDEX('0.0.1 Pokémon Dex Data'!$E$3:$E951,MATCH(E80,'0.0.1 Pokémon Dex Data'!$B$3:$B951,0))</f>
        <v>Poliwrath</v>
      </c>
      <c r="H80" s="0" t="str">
        <f aca="false" t="array" ref="H80:H80">INDEX('0.0.1 Pokémon Dex Data'!$Q$3:$Q951,MATCH(E80,'0.0.1 Pokémon Dex Data'!$B$3:$B951,0))</f>
        <v>Water</v>
      </c>
      <c r="I80" s="0" t="str">
        <f aca="false" t="array" ref="I80:I80">INDEX('0.0.1 Pokémon Dex Data'!$R$3:$R951,MATCH(E80,'0.0.1 Pokémon Dex Data'!$B$3:$B951,0))</f>
        <v>Fighting</v>
      </c>
      <c r="J80" s="260" t="n">
        <f aca="false" t="array" ref="J80:J80">ROUND(INDEX('0.0.1 Pokémon Dex Data'!$S$3:$S951,MATCH($E80,'0.0.1 Pokémon Dex Data'!$B$3:$B951,0))*INDEX('0.0.1 Pokémon Dex Data'!T$3:T951,MATCH($E80,'0.0.1 Pokémon Dex Data'!$B$3:$B951,0)),0)</f>
        <v>182</v>
      </c>
      <c r="K80" s="260" t="n">
        <f aca="false" t="array" ref="K80:K80">ROUND(INDEX('0.0.1 Pokémon Dex Data'!$S$3:$S951,MATCH($E80,'0.0.1 Pokémon Dex Data'!$B$3:$B951,0))*INDEX('0.0.1 Pokémon Dex Data'!U$3:U951,MATCH($E80,'0.0.1 Pokémon Dex Data'!$B$3:$B951,0)),0)</f>
        <v>184</v>
      </c>
      <c r="L80" s="260" t="n">
        <f aca="false" t="array" ref="L80:L80">ROUND(INDEX('0.0.1 Pokémon Dex Data'!$S$3:$S951,MATCH($E80,'0.0.1 Pokémon Dex Data'!$B$3:$B951,0))*INDEX('0.0.1 Pokémon Dex Data'!V$3:V951,MATCH($E80,'0.0.1 Pokémon Dex Data'!$B$3:$B951,0)),0)</f>
        <v>207</v>
      </c>
      <c r="M80" s="260" t="n">
        <f aca="false" t="array" ref="M80:M80">INDEX('0.0.1 Pokémon Dex Data'!$J$3:$J951,MATCH(E80,'0.0.1 Pokémon Dex Data'!$B$3:$B951,0))</f>
        <v>1</v>
      </c>
      <c r="O80" s="490"/>
      <c r="Q80" s="367" t="n">
        <f aca="false">IF('Reverse Search'!$F$4="All (including temporary formes)",1,IF('Reverse Search'!$F$4="Base Pokémon and permanent formes only",IF(F80&lt;=1,1,0),IF(F80=0,1,0)))</f>
        <v>1</v>
      </c>
      <c r="R80" s="0" t="n">
        <f aca="false">IF('Reverse Search'!$C$7="Disable",1,IF('Reverse Search'!$D$9="Disable",1,IF(OR('Reverse Search'!$F$9=H80,'Reverse Search'!$F$9=I80),1,0)))</f>
        <v>1</v>
      </c>
      <c r="S80" s="0" t="n">
        <f aca="false">IF('Reverse Search'!$C$7="Disable",1,IF('Reverse Search'!$D$10="Disable",1,IF(OR('Reverse Search'!$F$10=H80,'Reverse Search'!$F$10=I80),1,0)))</f>
        <v>1</v>
      </c>
      <c r="T80" s="0" t="n">
        <f aca="false">INDEX($B$4:$B$22,MATCH(H80,$A$4:$A$22,0))</f>
        <v>1</v>
      </c>
      <c r="U80" s="0" t="n">
        <f aca="false">IF(ISBLANK(I80),1,INDEX($B$4:$B$22,MATCH(I80,$A$4:$A$22,0)))</f>
        <v>1</v>
      </c>
      <c r="V80" s="367" t="n">
        <f aca="false">IF('Reverse Search'!$C$7="Disable",1,IF('Reverse Search'!$D$11="Disable",1,IF('Reverse Search'!$E$11="Neutral to:",IF(ROUND(T80*U80,2)&lt;=1,1,0),IF(ROUND(T80*U80,2)&lt;1,1,0))))</f>
        <v>1</v>
      </c>
      <c r="W80" s="0" t="n">
        <f aca="false">IF('Reverse Search'!$N$7="Disable",1,IF('Reverse Search'!$I$9="Disable",1,IF('Reverse Search'!$K$9="≥",IF(J80&gt;='Reverse Search'!$L$9,1,0),IF('Reverse Search'!$K$9="≤",IF(J80&lt;='Reverse Search'!$L$9,1,0),IF(J80='Reverse Search'!$L$9,1,0)))))</f>
        <v>1</v>
      </c>
      <c r="X80" s="0" t="n">
        <f aca="false">IF('Reverse Search'!$N$7="Disable",1,IF('Reverse Search'!$I$10="Disable",1,IF('Reverse Search'!$K$10="≥",IF(K80&gt;='Reverse Search'!$L$10,1,0),IF('Reverse Search'!$K$10="≤",IF(K80&lt;='Reverse Search'!$L$10,1,0),IF(K80='Reverse Search'!$L$10,1,0)))))</f>
        <v>1</v>
      </c>
      <c r="Y80" s="367" t="n">
        <f aca="false">IF('Reverse Search'!$N$7="Disable",1,IF('Reverse Search'!$I$11="Disable",1,IF('Reverse Search'!$K$11="≥",IF(L80&gt;='Reverse Search'!$L$11,1,0),IF('Reverse Search'!$K$11="≤",IF(L80&lt;='Reverse Search'!$L$11,1,0),IF(L80='Reverse Search'!$L$11,1,0)))))</f>
        <v>1</v>
      </c>
      <c r="Z80" s="0" t="n">
        <f aca="true">IF('Reverse Search'!$C$14="Disable",1,IF('Reverse Search'!$D$16="Disable",1,IF($C$2=3,IF($M80=0,0,COUNTIF(INDIRECT("'0.0.2 Pokémon Learnset (Core)'!$D$"&amp;MATCH($E80,'0.0.2 Pokémon Learnset (Core)'!$A$1:$A951,0)&amp;":$FK$"&amp;MATCH($E80,'0.0.2 Pokémon Learnset (Core)'!$A$1:$A951,0)),'Reverse Search'!$E$21)),IF($C$2=2,COUNTIF(INDIRECT("'0.1.1 Pokémon GO Moves'!$B$"&amp;MATCH($E80,'0.1.1 Pokémon GO Moves'!$A$1:$A951,0)&amp;":$R$"&amp;MATCH($E80,'0.1.1 Pokémon GO Moves'!$A$1:$A951,0)),'Reverse Search'!$E$21),COUNTIF(INDIRECT("'0.1.1 Pokémon GO Moves'!$B$"&amp;MATCH($E80,'0.1.1 Pokémon GO Moves'!$A$1:$A951,0)&amp;":$L$"&amp;MATCH($E80,'0.1.1 Pokémon GO Moves'!$A$1:$A951,0)),'Reverse Search'!$E$21)))))</f>
        <v>1</v>
      </c>
      <c r="AA80" s="0" t="n">
        <f aca="true">IF('Reverse Search'!$C$14="Disable",1,IF('Reverse Search'!$I$16="Disable",1,IF($D$2=3,IF($M80=0,0,COUNTIF(INDIRECT("'0.0.2 Pokémon Learnset (Core)'!$D$"&amp;MATCH($E80,'0.0.2 Pokémon Learnset (Core)'!$A$1:$A951,0)&amp;":$FK$"&amp;MATCH($E80,'0.0.2 Pokémon Learnset (Core)'!$A$1:$A951,0)),'Reverse Search'!$J$21)),IF($D$2=2,COUNTIF(INDIRECT("'0.1.1 Pokémon GO Moves'!$B$"&amp;MATCH($E80,'0.1.1 Pokémon GO Moves'!$A$1:$A951,0)&amp;":$R$"&amp;MATCH($E80,'0.1.1 Pokémon GO Moves'!$A$1:$A951,0)),'Reverse Search'!$J$21),COUNTIF(INDIRECT("'0.1.1 Pokémon GO Moves'!$B$"&amp;MATCH($E80,'0.1.1 Pokémon GO Moves'!$A$1:$A951,0)&amp;":$L$"&amp;MATCH($E80,'0.1.1 Pokémon GO Moves'!$A$1:$A951,0)),'Reverse Search'!$J$21)))))</f>
        <v>0</v>
      </c>
      <c r="AB80" s="490"/>
      <c r="AC80" s="260" t="n">
        <f aca="false">IF((Q80+R80+S80+V80+W80+X80+Y80+IF(Z80&gt;=1,1,0)+IF(AA80&gt;=1,1,0))=9,G80&amp;", ",)</f>
        <v>0</v>
      </c>
    </row>
    <row r="81" customFormat="false" ht="15.75" hidden="false" customHeight="false" outlineLevel="0" collapsed="false">
      <c r="A81" s="260"/>
      <c r="B81" s="358"/>
      <c r="C81" s="260"/>
      <c r="D81" s="358" t="str">
        <f aca="false">IFERROR(__xludf.dummyfunction("""COMPUTED_VALUE"""),"Play Rough")</f>
        <v>Play Rough</v>
      </c>
      <c r="E81" s="260" t="n">
        <v>80</v>
      </c>
      <c r="F81" s="260" t="n">
        <f aca="false" t="array" ref="F81:F81">INDEX('0.0.1 Pokémon Dex Data'!$H$3:$H951,MATCH(E81,'0.0.1 Pokémon Dex Data'!$B$3:$B951,0))</f>
        <v>0</v>
      </c>
      <c r="G81" s="0" t="str">
        <f aca="false" t="array" ref="G81:G81">INDEX('0.0.1 Pokémon Dex Data'!$E$3:$E951,MATCH(E81,'0.0.1 Pokémon Dex Data'!$B$3:$B951,0))</f>
        <v>Abra</v>
      </c>
      <c r="H81" s="0" t="str">
        <f aca="false" t="array" ref="H81:H81">INDEX('0.0.1 Pokémon Dex Data'!$Q$3:$Q951,MATCH(E81,'0.0.1 Pokémon Dex Data'!$B$3:$B951,0))</f>
        <v>Psychic</v>
      </c>
      <c r="I81" s="0" t="n">
        <f aca="false">INDEX('0.0.1 Pokémon Dex Data'!$R$3:$R951,MATCH(E81,'0.0.1 Pokémon Dex Data'!$B$3:$B951,0))</f>
        <v>0</v>
      </c>
      <c r="J81" s="260" t="n">
        <f aca="false" t="array" ref="J81:J81">ROUND(INDEX('0.0.1 Pokémon Dex Data'!$S$3:$S951,MATCH($E81,'0.0.1 Pokémon Dex Data'!$B$3:$B951,0))*INDEX('0.0.1 Pokémon Dex Data'!T$3:T951,MATCH($E81,'0.0.1 Pokémon Dex Data'!$B$3:$B951,0)),0)</f>
        <v>195</v>
      </c>
      <c r="K81" s="260" t="n">
        <f aca="false" t="array" ref="K81:K81">ROUND(INDEX('0.0.1 Pokémon Dex Data'!$S$3:$S951,MATCH($E81,'0.0.1 Pokémon Dex Data'!$B$3:$B951,0))*INDEX('0.0.1 Pokémon Dex Data'!U$3:U951,MATCH($E81,'0.0.1 Pokémon Dex Data'!$B$3:$B951,0)),0)</f>
        <v>82</v>
      </c>
      <c r="L81" s="260" t="n">
        <f aca="false" t="array" ref="L81:L81">ROUND(INDEX('0.0.1 Pokémon Dex Data'!$S$3:$S951,MATCH($E81,'0.0.1 Pokémon Dex Data'!$B$3:$B951,0))*INDEX('0.0.1 Pokémon Dex Data'!V$3:V951,MATCH($E81,'0.0.1 Pokémon Dex Data'!$B$3:$B951,0)),0)</f>
        <v>93</v>
      </c>
      <c r="M81" s="260" t="n">
        <f aca="false" t="array" ref="M81:M81">INDEX('0.0.1 Pokémon Dex Data'!$J$3:$J951,MATCH(E81,'0.0.1 Pokémon Dex Data'!$B$3:$B951,0))</f>
        <v>0</v>
      </c>
      <c r="O81" s="490"/>
      <c r="Q81" s="367" t="n">
        <f aca="false">IF('Reverse Search'!$F$4="All (including temporary formes)",1,IF('Reverse Search'!$F$4="Base Pokémon and permanent formes only",IF(F81&lt;=1,1,0),IF(F81=0,1,0)))</f>
        <v>1</v>
      </c>
      <c r="R81" s="0" t="n">
        <f aca="false">IF('Reverse Search'!$C$7="Disable",1,IF('Reverse Search'!$D$9="Disable",1,IF(OR('Reverse Search'!$F$9=H81,'Reverse Search'!$F$9=I81),1,0)))</f>
        <v>1</v>
      </c>
      <c r="S81" s="0" t="n">
        <f aca="false">IF('Reverse Search'!$C$7="Disable",1,IF('Reverse Search'!$D$10="Disable",1,IF(OR('Reverse Search'!$F$10=H81,'Reverse Search'!$F$10=I81),1,0)))</f>
        <v>1</v>
      </c>
      <c r="T81" s="0" t="n">
        <f aca="false">INDEX($B$4:$B$22,MATCH(H81,$A$4:$A$22,0))</f>
        <v>1</v>
      </c>
      <c r="U81" s="0" t="e">
        <f aca="false">IF(ISBLANK(I81),1,INDEX($B$4:$B$22,MATCH(I81,$A$4:$A$22,0)))</f>
        <v>#N/A</v>
      </c>
      <c r="V81" s="367" t="n">
        <f aca="false">IF('Reverse Search'!$C$7="Disable",1,IF('Reverse Search'!$D$11="Disable",1,IF('Reverse Search'!$E$11="Neutral to:",IF(ROUND(T81*U81,2)&lt;=1,1,0),IF(ROUND(T81*U81,2)&lt;1,1,0))))</f>
        <v>1</v>
      </c>
      <c r="W81" s="0" t="n">
        <f aca="false">IF('Reverse Search'!$N$7="Disable",1,IF('Reverse Search'!$I$9="Disable",1,IF('Reverse Search'!$K$9="≥",IF(J81&gt;='Reverse Search'!$L$9,1,0),IF('Reverse Search'!$K$9="≤",IF(J81&lt;='Reverse Search'!$L$9,1,0),IF(J81='Reverse Search'!$L$9,1,0)))))</f>
        <v>1</v>
      </c>
      <c r="X81" s="0" t="n">
        <f aca="false">IF('Reverse Search'!$N$7="Disable",1,IF('Reverse Search'!$I$10="Disable",1,IF('Reverse Search'!$K$10="≥",IF(K81&gt;='Reverse Search'!$L$10,1,0),IF('Reverse Search'!$K$10="≤",IF(K81&lt;='Reverse Search'!$L$10,1,0),IF(K81='Reverse Search'!$L$10,1,0)))))</f>
        <v>1</v>
      </c>
      <c r="Y81" s="367" t="n">
        <f aca="false">IF('Reverse Search'!$N$7="Disable",1,IF('Reverse Search'!$I$11="Disable",1,IF('Reverse Search'!$K$11="≥",IF(L81&gt;='Reverse Search'!$L$11,1,0),IF('Reverse Search'!$K$11="≤",IF(L81&lt;='Reverse Search'!$L$11,1,0),IF(L81='Reverse Search'!$L$11,1,0)))))</f>
        <v>1</v>
      </c>
      <c r="Z81" s="0" t="n">
        <f aca="true">IF('Reverse Search'!$C$14="Disable",1,IF('Reverse Search'!$D$16="Disable",1,IF($C$2=3,IF($M81=0,0,COUNTIF(INDIRECT("'0.0.2 Pokémon Learnset (Core)'!$D$"&amp;MATCH($E81,'0.0.2 Pokémon Learnset (Core)'!$A$1:$A951,0)&amp;":$FK$"&amp;MATCH($E81,'0.0.2 Pokémon Learnset (Core)'!$A$1:$A951,0)),'Reverse Search'!$E$21)),IF($C$2=2,COUNTIF(INDIRECT("'0.1.1 Pokémon GO Moves'!$B$"&amp;MATCH($E81,'0.1.1 Pokémon GO Moves'!$A$1:$A951,0)&amp;":$R$"&amp;MATCH($E81,'0.1.1 Pokémon GO Moves'!$A$1:$A951,0)),'Reverse Search'!$E$21),COUNTIF(INDIRECT("'0.1.1 Pokémon GO Moves'!$B$"&amp;MATCH($E81,'0.1.1 Pokémon GO Moves'!$A$1:$A951,0)&amp;":$L$"&amp;MATCH($E81,'0.1.1 Pokémon GO Moves'!$A$1:$A951,0)),'Reverse Search'!$E$21)))))</f>
        <v>1</v>
      </c>
      <c r="AA81" s="0" t="n">
        <f aca="true">IF('Reverse Search'!$C$14="Disable",1,IF('Reverse Search'!$I$16="Disable",1,IF($D$2=3,IF($M81=0,0,COUNTIF(INDIRECT("'0.0.2 Pokémon Learnset (Core)'!$D$"&amp;MATCH($E81,'0.0.2 Pokémon Learnset (Core)'!$A$1:$A951,0)&amp;":$FK$"&amp;MATCH($E81,'0.0.2 Pokémon Learnset (Core)'!$A$1:$A951,0)),'Reverse Search'!$J$21)),IF($D$2=2,COUNTIF(INDIRECT("'0.1.1 Pokémon GO Moves'!$B$"&amp;MATCH($E81,'0.1.1 Pokémon GO Moves'!$A$1:$A951,0)&amp;":$R$"&amp;MATCH($E81,'0.1.1 Pokémon GO Moves'!$A$1:$A951,0)),'Reverse Search'!$J$21),COUNTIF(INDIRECT("'0.1.1 Pokémon GO Moves'!$B$"&amp;MATCH($E81,'0.1.1 Pokémon GO Moves'!$A$1:$A951,0)&amp;":$L$"&amp;MATCH($E81,'0.1.1 Pokémon GO Moves'!$A$1:$A951,0)),'Reverse Search'!$J$21)))))</f>
        <v>0</v>
      </c>
      <c r="AB81" s="490"/>
      <c r="AC81" s="260" t="n">
        <f aca="false">IF((Q81+R81+S81+V81+W81+X81+Y81+IF(Z81&gt;=1,1,0)+IF(AA81&gt;=1,1,0))=9,G81&amp;", ",)</f>
        <v>0</v>
      </c>
    </row>
    <row r="82" customFormat="false" ht="15.75" hidden="false" customHeight="false" outlineLevel="0" collapsed="false">
      <c r="A82" s="260"/>
      <c r="B82" s="358"/>
      <c r="C82" s="260"/>
      <c r="D82" s="358" t="str">
        <f aca="false">IFERROR(__xludf.dummyfunction("""COMPUTED_VALUE"""),"Poison Fang")</f>
        <v>Poison Fang</v>
      </c>
      <c r="E82" s="260" t="n">
        <v>81</v>
      </c>
      <c r="F82" s="260" t="n">
        <f aca="false" t="array" ref="F82:F82">INDEX('0.0.1 Pokémon Dex Data'!$H$3:$H951,MATCH(E82,'0.0.1 Pokémon Dex Data'!$B$3:$B951,0))</f>
        <v>0</v>
      </c>
      <c r="G82" s="0" t="str">
        <f aca="false" t="array" ref="G82:G82">INDEX('0.0.1 Pokémon Dex Data'!$E$3:$E951,MATCH(E82,'0.0.1 Pokémon Dex Data'!$B$3:$B951,0))</f>
        <v>Kadabra</v>
      </c>
      <c r="H82" s="0" t="str">
        <f aca="false" t="array" ref="H82:H82">INDEX('0.0.1 Pokémon Dex Data'!$Q$3:$Q951,MATCH(E82,'0.0.1 Pokémon Dex Data'!$B$3:$B951,0))</f>
        <v>Psychic</v>
      </c>
      <c r="I82" s="0" t="n">
        <f aca="false">INDEX('0.0.1 Pokémon Dex Data'!$R$3:$R951,MATCH(E82,'0.0.1 Pokémon Dex Data'!$B$3:$B951,0))</f>
        <v>0</v>
      </c>
      <c r="J82" s="260" t="n">
        <f aca="false" t="array" ref="J82:J82">ROUND(INDEX('0.0.1 Pokémon Dex Data'!$S$3:$S951,MATCH($E82,'0.0.1 Pokémon Dex Data'!$B$3:$B951,0))*INDEX('0.0.1 Pokémon Dex Data'!T$3:T951,MATCH($E82,'0.0.1 Pokémon Dex Data'!$B$3:$B951,0)),0)</f>
        <v>232</v>
      </c>
      <c r="K82" s="260" t="n">
        <f aca="false" t="array" ref="K82:K82">ROUND(INDEX('0.0.1 Pokémon Dex Data'!$S$3:$S951,MATCH($E82,'0.0.1 Pokémon Dex Data'!$B$3:$B951,0))*INDEX('0.0.1 Pokémon Dex Data'!U$3:U951,MATCH($E82,'0.0.1 Pokémon Dex Data'!$B$3:$B951,0)),0)</f>
        <v>117</v>
      </c>
      <c r="L82" s="260" t="n">
        <f aca="false" t="array" ref="L82:L82">ROUND(INDEX('0.0.1 Pokémon Dex Data'!$S$3:$S951,MATCH($E82,'0.0.1 Pokémon Dex Data'!$B$3:$B951,0))*INDEX('0.0.1 Pokémon Dex Data'!V$3:V951,MATCH($E82,'0.0.1 Pokémon Dex Data'!$B$3:$B951,0)),0)</f>
        <v>120</v>
      </c>
      <c r="M82" s="260" t="n">
        <f aca="false" t="array" ref="M82:M82">INDEX('0.0.1 Pokémon Dex Data'!$J$3:$J951,MATCH(E82,'0.0.1 Pokémon Dex Data'!$B$3:$B951,0))</f>
        <v>0</v>
      </c>
      <c r="O82" s="490"/>
      <c r="Q82" s="367" t="n">
        <f aca="false">IF('Reverse Search'!$F$4="All (including temporary formes)",1,IF('Reverse Search'!$F$4="Base Pokémon and permanent formes only",IF(F82&lt;=1,1,0),IF(F82=0,1,0)))</f>
        <v>1</v>
      </c>
      <c r="R82" s="0" t="n">
        <f aca="false">IF('Reverse Search'!$C$7="Disable",1,IF('Reverse Search'!$D$9="Disable",1,IF(OR('Reverse Search'!$F$9=H82,'Reverse Search'!$F$9=I82),1,0)))</f>
        <v>1</v>
      </c>
      <c r="S82" s="0" t="n">
        <f aca="false">IF('Reverse Search'!$C$7="Disable",1,IF('Reverse Search'!$D$10="Disable",1,IF(OR('Reverse Search'!$F$10=H82,'Reverse Search'!$F$10=I82),1,0)))</f>
        <v>1</v>
      </c>
      <c r="T82" s="0" t="n">
        <f aca="false">INDEX($B$4:$B$22,MATCH(H82,$A$4:$A$22,0))</f>
        <v>1</v>
      </c>
      <c r="U82" s="0" t="e">
        <f aca="false">IF(ISBLANK(I82),1,INDEX($B$4:$B$22,MATCH(I82,$A$4:$A$22,0)))</f>
        <v>#N/A</v>
      </c>
      <c r="V82" s="367" t="n">
        <f aca="false">IF('Reverse Search'!$C$7="Disable",1,IF('Reverse Search'!$D$11="Disable",1,IF('Reverse Search'!$E$11="Neutral to:",IF(ROUND(T82*U82,2)&lt;=1,1,0),IF(ROUND(T82*U82,2)&lt;1,1,0))))</f>
        <v>1</v>
      </c>
      <c r="W82" s="0" t="n">
        <f aca="false">IF('Reverse Search'!$N$7="Disable",1,IF('Reverse Search'!$I$9="Disable",1,IF('Reverse Search'!$K$9="≥",IF(J82&gt;='Reverse Search'!$L$9,1,0),IF('Reverse Search'!$K$9="≤",IF(J82&lt;='Reverse Search'!$L$9,1,0),IF(J82='Reverse Search'!$L$9,1,0)))))</f>
        <v>1</v>
      </c>
      <c r="X82" s="0" t="n">
        <f aca="false">IF('Reverse Search'!$N$7="Disable",1,IF('Reverse Search'!$I$10="Disable",1,IF('Reverse Search'!$K$10="≥",IF(K82&gt;='Reverse Search'!$L$10,1,0),IF('Reverse Search'!$K$10="≤",IF(K82&lt;='Reverse Search'!$L$10,1,0),IF(K82='Reverse Search'!$L$10,1,0)))))</f>
        <v>1</v>
      </c>
      <c r="Y82" s="367" t="n">
        <f aca="false">IF('Reverse Search'!$N$7="Disable",1,IF('Reverse Search'!$I$11="Disable",1,IF('Reverse Search'!$K$11="≥",IF(L82&gt;='Reverse Search'!$L$11,1,0),IF('Reverse Search'!$K$11="≤",IF(L82&lt;='Reverse Search'!$L$11,1,0),IF(L82='Reverse Search'!$L$11,1,0)))))</f>
        <v>1</v>
      </c>
      <c r="Z82" s="0" t="n">
        <f aca="true">IF('Reverse Search'!$C$14="Disable",1,IF('Reverse Search'!$D$16="Disable",1,IF($C$2=3,IF($M82=0,0,COUNTIF(INDIRECT("'0.0.2 Pokémon Learnset (Core)'!$D$"&amp;MATCH($E82,'0.0.2 Pokémon Learnset (Core)'!$A$1:$A951,0)&amp;":$FK$"&amp;MATCH($E82,'0.0.2 Pokémon Learnset (Core)'!$A$1:$A951,0)),'Reverse Search'!$E$21)),IF($C$2=2,COUNTIF(INDIRECT("'0.1.1 Pokémon GO Moves'!$B$"&amp;MATCH($E82,'0.1.1 Pokémon GO Moves'!$A$1:$A951,0)&amp;":$R$"&amp;MATCH($E82,'0.1.1 Pokémon GO Moves'!$A$1:$A951,0)),'Reverse Search'!$E$21),COUNTIF(INDIRECT("'0.1.1 Pokémon GO Moves'!$B$"&amp;MATCH($E82,'0.1.1 Pokémon GO Moves'!$A$1:$A951,0)&amp;":$L$"&amp;MATCH($E82,'0.1.1 Pokémon GO Moves'!$A$1:$A951,0)),'Reverse Search'!$E$21)))))</f>
        <v>1</v>
      </c>
      <c r="AA82" s="0" t="n">
        <f aca="true">IF('Reverse Search'!$C$14="Disable",1,IF('Reverse Search'!$I$16="Disable",1,IF($D$2=3,IF($M82=0,0,COUNTIF(INDIRECT("'0.0.2 Pokémon Learnset (Core)'!$D$"&amp;MATCH($E82,'0.0.2 Pokémon Learnset (Core)'!$A$1:$A951,0)&amp;":$FK$"&amp;MATCH($E82,'0.0.2 Pokémon Learnset (Core)'!$A$1:$A951,0)),'Reverse Search'!$J$21)),IF($D$2=2,COUNTIF(INDIRECT("'0.1.1 Pokémon GO Moves'!$B$"&amp;MATCH($E82,'0.1.1 Pokémon GO Moves'!$A$1:$A951,0)&amp;":$R$"&amp;MATCH($E82,'0.1.1 Pokémon GO Moves'!$A$1:$A951,0)),'Reverse Search'!$J$21),COUNTIF(INDIRECT("'0.1.1 Pokémon GO Moves'!$B$"&amp;MATCH($E82,'0.1.1 Pokémon GO Moves'!$A$1:$A951,0)&amp;":$L$"&amp;MATCH($E82,'0.1.1 Pokémon GO Moves'!$A$1:$A951,0)),'Reverse Search'!$J$21)))))</f>
        <v>0</v>
      </c>
      <c r="AB82" s="490"/>
      <c r="AC82" s="260" t="n">
        <f aca="false">IF((Q82+R82+S82+V82+W82+X82+Y82+IF(Z82&gt;=1,1,0)+IF(AA82&gt;=1,1,0))=9,G82&amp;", ",)</f>
        <v>0</v>
      </c>
    </row>
    <row r="83" customFormat="false" ht="15.75" hidden="false" customHeight="false" outlineLevel="0" collapsed="false">
      <c r="A83" s="260"/>
      <c r="B83" s="358"/>
      <c r="C83" s="260"/>
      <c r="D83" s="358" t="str">
        <f aca="false">IFERROR(__xludf.dummyfunction("""COMPUTED_VALUE"""),"Power Gem")</f>
        <v>Power Gem</v>
      </c>
      <c r="E83" s="260" t="n">
        <v>82</v>
      </c>
      <c r="F83" s="260" t="n">
        <f aca="false" t="array" ref="F83:F83">INDEX('0.0.1 Pokémon Dex Data'!$H$3:$H951,MATCH(E83,'0.0.1 Pokémon Dex Data'!$B$3:$B951,0))</f>
        <v>0</v>
      </c>
      <c r="G83" s="0" t="str">
        <f aca="false" t="array" ref="G83:G83">INDEX('0.0.1 Pokémon Dex Data'!$E$3:$E951,MATCH(E83,'0.0.1 Pokémon Dex Data'!$B$3:$B951,0))</f>
        <v>Alakazam</v>
      </c>
      <c r="H83" s="0" t="str">
        <f aca="false" t="array" ref="H83:H83">INDEX('0.0.1 Pokémon Dex Data'!$Q$3:$Q951,MATCH(E83,'0.0.1 Pokémon Dex Data'!$B$3:$B951,0))</f>
        <v>Psychic</v>
      </c>
      <c r="I83" s="0" t="n">
        <f aca="false">INDEX('0.0.1 Pokémon Dex Data'!$R$3:$R951,MATCH(E83,'0.0.1 Pokémon Dex Data'!$B$3:$B951,0))</f>
        <v>0</v>
      </c>
      <c r="J83" s="260" t="n">
        <f aca="false" t="array" ref="J83:J83">ROUND(INDEX('0.0.1 Pokémon Dex Data'!$S$3:$S951,MATCH($E83,'0.0.1 Pokémon Dex Data'!$B$3:$B951,0))*INDEX('0.0.1 Pokémon Dex Data'!T$3:T951,MATCH($E83,'0.0.1 Pokémon Dex Data'!$B$3:$B951,0)),0)</f>
        <v>271</v>
      </c>
      <c r="K83" s="260" t="n">
        <f aca="false" t="array" ref="K83:K83">ROUND(INDEX('0.0.1 Pokémon Dex Data'!$S$3:$S951,MATCH($E83,'0.0.1 Pokémon Dex Data'!$B$3:$B951,0))*INDEX('0.0.1 Pokémon Dex Data'!U$3:U951,MATCH($E83,'0.0.1 Pokémon Dex Data'!$B$3:$B951,0)),0)</f>
        <v>167</v>
      </c>
      <c r="L83" s="260" t="n">
        <f aca="false" t="array" ref="L83:L83">ROUND(INDEX('0.0.1 Pokémon Dex Data'!$S$3:$S951,MATCH($E83,'0.0.1 Pokémon Dex Data'!$B$3:$B951,0))*INDEX('0.0.1 Pokémon Dex Data'!V$3:V951,MATCH($E83,'0.0.1 Pokémon Dex Data'!$B$3:$B951,0)),0)</f>
        <v>146</v>
      </c>
      <c r="M83" s="260" t="n">
        <f aca="false" t="array" ref="M83:M83">INDEX('0.0.1 Pokémon Dex Data'!$J$3:$J951,MATCH(E83,'0.0.1 Pokémon Dex Data'!$B$3:$B951,0))</f>
        <v>1</v>
      </c>
      <c r="O83" s="490"/>
      <c r="Q83" s="367" t="n">
        <f aca="false">IF('Reverse Search'!$F$4="All (including temporary formes)",1,IF('Reverse Search'!$F$4="Base Pokémon and permanent formes only",IF(F83&lt;=1,1,0),IF(F83=0,1,0)))</f>
        <v>1</v>
      </c>
      <c r="R83" s="0" t="n">
        <f aca="false">IF('Reverse Search'!$C$7="Disable",1,IF('Reverse Search'!$D$9="Disable",1,IF(OR('Reverse Search'!$F$9=H83,'Reverse Search'!$F$9=I83),1,0)))</f>
        <v>1</v>
      </c>
      <c r="S83" s="0" t="n">
        <f aca="false">IF('Reverse Search'!$C$7="Disable",1,IF('Reverse Search'!$D$10="Disable",1,IF(OR('Reverse Search'!$F$10=H83,'Reverse Search'!$F$10=I83),1,0)))</f>
        <v>1</v>
      </c>
      <c r="T83" s="0" t="n">
        <f aca="false">INDEX($B$4:$B$22,MATCH(H83,$A$4:$A$22,0))</f>
        <v>1</v>
      </c>
      <c r="U83" s="0" t="e">
        <f aca="false">IF(ISBLANK(I83),1,INDEX($B$4:$B$22,MATCH(I83,$A$4:$A$22,0)))</f>
        <v>#N/A</v>
      </c>
      <c r="V83" s="367" t="n">
        <f aca="false">IF('Reverse Search'!$C$7="Disable",1,IF('Reverse Search'!$D$11="Disable",1,IF('Reverse Search'!$E$11="Neutral to:",IF(ROUND(T83*U83,2)&lt;=1,1,0),IF(ROUND(T83*U83,2)&lt;1,1,0))))</f>
        <v>1</v>
      </c>
      <c r="W83" s="0" t="n">
        <f aca="false">IF('Reverse Search'!$N$7="Disable",1,IF('Reverse Search'!$I$9="Disable",1,IF('Reverse Search'!$K$9="≥",IF(J83&gt;='Reverse Search'!$L$9,1,0),IF('Reverse Search'!$K$9="≤",IF(J83&lt;='Reverse Search'!$L$9,1,0),IF(J83='Reverse Search'!$L$9,1,0)))))</f>
        <v>1</v>
      </c>
      <c r="X83" s="0" t="n">
        <f aca="false">IF('Reverse Search'!$N$7="Disable",1,IF('Reverse Search'!$I$10="Disable",1,IF('Reverse Search'!$K$10="≥",IF(K83&gt;='Reverse Search'!$L$10,1,0),IF('Reverse Search'!$K$10="≤",IF(K83&lt;='Reverse Search'!$L$10,1,0),IF(K83='Reverse Search'!$L$10,1,0)))))</f>
        <v>1</v>
      </c>
      <c r="Y83" s="367" t="n">
        <f aca="false">IF('Reverse Search'!$N$7="Disable",1,IF('Reverse Search'!$I$11="Disable",1,IF('Reverse Search'!$K$11="≥",IF(L83&gt;='Reverse Search'!$L$11,1,0),IF('Reverse Search'!$K$11="≤",IF(L83&lt;='Reverse Search'!$L$11,1,0),IF(L83='Reverse Search'!$L$11,1,0)))))</f>
        <v>1</v>
      </c>
      <c r="Z83" s="0" t="n">
        <f aca="true">IF('Reverse Search'!$C$14="Disable",1,IF('Reverse Search'!$D$16="Disable",1,IF($C$2=3,IF($M83=0,0,COUNTIF(INDIRECT("'0.0.2 Pokémon Learnset (Core)'!$D$"&amp;MATCH($E83,'0.0.2 Pokémon Learnset (Core)'!$A$1:$A951,0)&amp;":$FK$"&amp;MATCH($E83,'0.0.2 Pokémon Learnset (Core)'!$A$1:$A951,0)),'Reverse Search'!$E$21)),IF($C$2=2,COUNTIF(INDIRECT("'0.1.1 Pokémon GO Moves'!$B$"&amp;MATCH($E83,'0.1.1 Pokémon GO Moves'!$A$1:$A951,0)&amp;":$R$"&amp;MATCH($E83,'0.1.1 Pokémon GO Moves'!$A$1:$A951,0)),'Reverse Search'!$E$21),COUNTIF(INDIRECT("'0.1.1 Pokémon GO Moves'!$B$"&amp;MATCH($E83,'0.1.1 Pokémon GO Moves'!$A$1:$A951,0)&amp;":$L$"&amp;MATCH($E83,'0.1.1 Pokémon GO Moves'!$A$1:$A951,0)),'Reverse Search'!$E$21)))))</f>
        <v>1</v>
      </c>
      <c r="AA83" s="0" t="n">
        <f aca="true">IF('Reverse Search'!$C$14="Disable",1,IF('Reverse Search'!$I$16="Disable",1,IF($D$2=3,IF($M83=0,0,COUNTIF(INDIRECT("'0.0.2 Pokémon Learnset (Core)'!$D$"&amp;MATCH($E83,'0.0.2 Pokémon Learnset (Core)'!$A$1:$A951,0)&amp;":$FK$"&amp;MATCH($E83,'0.0.2 Pokémon Learnset (Core)'!$A$1:$A951,0)),'Reverse Search'!$J$21)),IF($D$2=2,COUNTIF(INDIRECT("'0.1.1 Pokémon GO Moves'!$B$"&amp;MATCH($E83,'0.1.1 Pokémon GO Moves'!$A$1:$A951,0)&amp;":$R$"&amp;MATCH($E83,'0.1.1 Pokémon GO Moves'!$A$1:$A951,0)),'Reverse Search'!$J$21),COUNTIF(INDIRECT("'0.1.1 Pokémon GO Moves'!$B$"&amp;MATCH($E83,'0.1.1 Pokémon GO Moves'!$A$1:$A951,0)&amp;":$L$"&amp;MATCH($E83,'0.1.1 Pokémon GO Moves'!$A$1:$A951,0)),'Reverse Search'!$J$21)))))</f>
        <v>0</v>
      </c>
      <c r="AB83" s="490"/>
      <c r="AC83" s="260" t="n">
        <f aca="false">IF((Q83+R83+S83+V83+W83+X83+Y83+IF(Z83&gt;=1,1,0)+IF(AA83&gt;=1,1,0))=9,G83&amp;", ",)</f>
        <v>0</v>
      </c>
    </row>
    <row r="84" customFormat="false" ht="15.75" hidden="false" customHeight="false" outlineLevel="0" collapsed="false">
      <c r="A84" s="260"/>
      <c r="B84" s="358"/>
      <c r="C84" s="260"/>
      <c r="D84" s="358" t="str">
        <f aca="false">IFERROR(__xludf.dummyfunction("""COMPUTED_VALUE"""),"Power Whip")</f>
        <v>Power Whip</v>
      </c>
      <c r="E84" s="260" t="n">
        <v>83</v>
      </c>
      <c r="F84" s="260" t="n">
        <f aca="false" t="array" ref="F84:F84">INDEX('0.0.1 Pokémon Dex Data'!$H$3:$H951,MATCH(E84,'0.0.1 Pokémon Dex Data'!$B$3:$B951,0))</f>
        <v>2</v>
      </c>
      <c r="G84" s="0" t="str">
        <f aca="false" t="array" ref="G84:G84">INDEX('0.0.1 Pokémon Dex Data'!$E$3:$E951,MATCH(E84,'0.0.1 Pokémon Dex Data'!$B$3:$B951,0))</f>
        <v>Alakazam-Mega</v>
      </c>
      <c r="H84" s="0" t="str">
        <f aca="false" t="array" ref="H84:H84">INDEX('0.0.1 Pokémon Dex Data'!$Q$3:$Q951,MATCH(E84,'0.0.1 Pokémon Dex Data'!$B$3:$B951,0))</f>
        <v>Psychic</v>
      </c>
      <c r="I84" s="0" t="n">
        <f aca="false">INDEX('0.0.1 Pokémon Dex Data'!$R$3:$R951,MATCH(E84,'0.0.1 Pokémon Dex Data'!$B$3:$B951,0))</f>
        <v>0</v>
      </c>
      <c r="J84" s="260" t="n">
        <f aca="false" t="array" ref="J84:J84">ROUND(INDEX('0.0.1 Pokémon Dex Data'!$S$3:$S951,MATCH($E84,'0.0.1 Pokémon Dex Data'!$B$3:$B951,0))*INDEX('0.0.1 Pokémon Dex Data'!T$3:T951,MATCH($E84,'0.0.1 Pokémon Dex Data'!$B$3:$B951,0)),0)</f>
        <v>367</v>
      </c>
      <c r="K84" s="260" t="n">
        <f aca="false" t="array" ref="K84:K84">ROUND(INDEX('0.0.1 Pokémon Dex Data'!$S$3:$S951,MATCH($E84,'0.0.1 Pokémon Dex Data'!$B$3:$B951,0))*INDEX('0.0.1 Pokémon Dex Data'!U$3:U951,MATCH($E84,'0.0.1 Pokémon Dex Data'!$B$3:$B951,0)),0)</f>
        <v>207</v>
      </c>
      <c r="L84" s="260" t="n">
        <f aca="false" t="array" ref="L84:L84">ROUND(INDEX('0.0.1 Pokémon Dex Data'!$S$3:$S951,MATCH($E84,'0.0.1 Pokémon Dex Data'!$B$3:$B951,0))*INDEX('0.0.1 Pokémon Dex Data'!V$3:V951,MATCH($E84,'0.0.1 Pokémon Dex Data'!$B$3:$B951,0)),0)</f>
        <v>146</v>
      </c>
      <c r="M84" s="260" t="n">
        <f aca="false" t="array" ref="M84:M84">INDEX('0.0.1 Pokémon Dex Data'!$J$3:$J951,MATCH(E84,'0.0.1 Pokémon Dex Data'!$B$3:$B951,0))</f>
        <v>1</v>
      </c>
      <c r="O84" s="490"/>
      <c r="Q84" s="367" t="n">
        <f aca="false">IF('Reverse Search'!$F$4="All (including temporary formes)",1,IF('Reverse Search'!$F$4="Base Pokémon and permanent formes only",IF(F84&lt;=1,1,0),IF(F84=0,1,0)))</f>
        <v>0</v>
      </c>
      <c r="R84" s="0" t="n">
        <f aca="false">IF('Reverse Search'!$C$7="Disable",1,IF('Reverse Search'!$D$9="Disable",1,IF(OR('Reverse Search'!$F$9=H84,'Reverse Search'!$F$9=I84),1,0)))</f>
        <v>1</v>
      </c>
      <c r="S84" s="0" t="n">
        <f aca="false">IF('Reverse Search'!$C$7="Disable",1,IF('Reverse Search'!$D$10="Disable",1,IF(OR('Reverse Search'!$F$10=H84,'Reverse Search'!$F$10=I84),1,0)))</f>
        <v>1</v>
      </c>
      <c r="T84" s="0" t="n">
        <f aca="false">INDEX($B$4:$B$22,MATCH(H84,$A$4:$A$22,0))</f>
        <v>1</v>
      </c>
      <c r="U84" s="0" t="e">
        <f aca="false">IF(ISBLANK(I84),1,INDEX($B$4:$B$22,MATCH(I84,$A$4:$A$22,0)))</f>
        <v>#N/A</v>
      </c>
      <c r="V84" s="367" t="n">
        <f aca="false">IF('Reverse Search'!$C$7="Disable",1,IF('Reverse Search'!$D$11="Disable",1,IF('Reverse Search'!$E$11="Neutral to:",IF(ROUND(T84*U84,2)&lt;=1,1,0),IF(ROUND(T84*U84,2)&lt;1,1,0))))</f>
        <v>1</v>
      </c>
      <c r="W84" s="0" t="n">
        <f aca="false">IF('Reverse Search'!$N$7="Disable",1,IF('Reverse Search'!$I$9="Disable",1,IF('Reverse Search'!$K$9="≥",IF(J84&gt;='Reverse Search'!$L$9,1,0),IF('Reverse Search'!$K$9="≤",IF(J84&lt;='Reverse Search'!$L$9,1,0),IF(J84='Reverse Search'!$L$9,1,0)))))</f>
        <v>1</v>
      </c>
      <c r="X84" s="0" t="n">
        <f aca="false">IF('Reverse Search'!$N$7="Disable",1,IF('Reverse Search'!$I$10="Disable",1,IF('Reverse Search'!$K$10="≥",IF(K84&gt;='Reverse Search'!$L$10,1,0),IF('Reverse Search'!$K$10="≤",IF(K84&lt;='Reverse Search'!$L$10,1,0),IF(K84='Reverse Search'!$L$10,1,0)))))</f>
        <v>1</v>
      </c>
      <c r="Y84" s="367" t="n">
        <f aca="false">IF('Reverse Search'!$N$7="Disable",1,IF('Reverse Search'!$I$11="Disable",1,IF('Reverse Search'!$K$11="≥",IF(L84&gt;='Reverse Search'!$L$11,1,0),IF('Reverse Search'!$K$11="≤",IF(L84&lt;='Reverse Search'!$L$11,1,0),IF(L84='Reverse Search'!$L$11,1,0)))))</f>
        <v>1</v>
      </c>
      <c r="Z84" s="0" t="n">
        <f aca="true">IF('Reverse Search'!$C$14="Disable",1,IF('Reverse Search'!$D$16="Disable",1,IF($C$2=3,IF($M84=0,0,COUNTIF(INDIRECT("'0.0.2 Pokémon Learnset (Core)'!$D$"&amp;MATCH($E84,'0.0.2 Pokémon Learnset (Core)'!$A$1:$A951,0)&amp;":$FK$"&amp;MATCH($E84,'0.0.2 Pokémon Learnset (Core)'!$A$1:$A951,0)),'Reverse Search'!$E$21)),IF($C$2=2,COUNTIF(INDIRECT("'0.1.1 Pokémon GO Moves'!$B$"&amp;MATCH($E84,'0.1.1 Pokémon GO Moves'!$A$1:$A951,0)&amp;":$R$"&amp;MATCH($E84,'0.1.1 Pokémon GO Moves'!$A$1:$A951,0)),'Reverse Search'!$E$21),COUNTIF(INDIRECT("'0.1.1 Pokémon GO Moves'!$B$"&amp;MATCH($E84,'0.1.1 Pokémon GO Moves'!$A$1:$A951,0)&amp;":$L$"&amp;MATCH($E84,'0.1.1 Pokémon GO Moves'!$A$1:$A951,0)),'Reverse Search'!$E$21)))))</f>
        <v>1</v>
      </c>
      <c r="AA84" s="0" t="e">
        <f aca="true">IF('Reverse Search'!$C$14="Disable",1,IF('Reverse Search'!$I$16="Disable",1,IF($D$2=3,IF($M84=0,0,COUNTIF(INDIRECT("'0.0.2 Pokémon Learnset (Core)'!$D$"&amp;MATCH($E84,'0.0.2 Pokémon Learnset (Core)'!$A$1:$A951,0)&amp;":$FK$"&amp;MATCH($E84,'0.0.2 Pokémon Learnset (Core)'!$A$1:$A951,0)),'Reverse Search'!$J$21)),IF($D$2=2,COUNTIF(INDIRECT("'0.1.1 Pokémon GO Moves'!$B$"&amp;MATCH($E84,'0.1.1 Pokémon GO Moves'!$A$1:$A951,0)&amp;":$R$"&amp;MATCH($E84,'0.1.1 Pokémon GO Moves'!$A$1:$A951,0)),'Reverse Search'!$J$21),COUNTIF(INDIRECT("'0.1.1 Pokémon GO Moves'!$B$"&amp;MATCH($E84,'0.1.1 Pokémon GO Moves'!$A$1:$A951,0)&amp;":$L$"&amp;MATCH($E84,'0.1.1 Pokémon GO Moves'!$A$1:$A951,0)),'Reverse Search'!$J$21)))))</f>
        <v>#N/A</v>
      </c>
      <c r="AB84" s="490"/>
      <c r="AC84" s="260" t="e">
        <f aca="false">IF((Q84+R84+S84+V84+W84+X84+Y84+IF(Z84&gt;=1,1,0)+IF(AA84&gt;=1,1,0))=9,G84&amp;", ",)</f>
        <v>#N/A</v>
      </c>
    </row>
    <row r="85" customFormat="false" ht="15.75" hidden="false" customHeight="false" outlineLevel="0" collapsed="false">
      <c r="A85" s="260"/>
      <c r="B85" s="358"/>
      <c r="C85" s="260"/>
      <c r="D85" s="358" t="str">
        <f aca="false">IFERROR(__xludf.dummyfunction("""COMPUTED_VALUE"""),"Precipice Blades")</f>
        <v>Precipice Blades</v>
      </c>
      <c r="E85" s="260" t="n">
        <v>84</v>
      </c>
      <c r="F85" s="260" t="n">
        <f aca="false" t="array" ref="F85:F85">INDEX('0.0.1 Pokémon Dex Data'!$H$3:$H951,MATCH(E85,'0.0.1 Pokémon Dex Data'!$B$3:$B951,0))</f>
        <v>0</v>
      </c>
      <c r="G85" s="0" t="str">
        <f aca="false" t="array" ref="G85:G85">INDEX('0.0.1 Pokémon Dex Data'!$E$3:$E951,MATCH(E85,'0.0.1 Pokémon Dex Data'!$B$3:$B951,0))</f>
        <v>Machop</v>
      </c>
      <c r="H85" s="0" t="str">
        <f aca="false" t="array" ref="H85:H85">INDEX('0.0.1 Pokémon Dex Data'!$Q$3:$Q951,MATCH(E85,'0.0.1 Pokémon Dex Data'!$B$3:$B951,0))</f>
        <v>Fighting</v>
      </c>
      <c r="I85" s="0" t="n">
        <f aca="false">INDEX('0.0.1 Pokémon Dex Data'!$R$3:$R951,MATCH(E85,'0.0.1 Pokémon Dex Data'!$B$3:$B951,0))</f>
        <v>0</v>
      </c>
      <c r="J85" s="260" t="n">
        <f aca="false" t="array" ref="J85:J85">ROUND(INDEX('0.0.1 Pokémon Dex Data'!$S$3:$S951,MATCH($E85,'0.0.1 Pokémon Dex Data'!$B$3:$B951,0))*INDEX('0.0.1 Pokémon Dex Data'!T$3:T951,MATCH($E85,'0.0.1 Pokémon Dex Data'!$B$3:$B951,0)),0)</f>
        <v>137</v>
      </c>
      <c r="K85" s="260" t="n">
        <f aca="false" t="array" ref="K85:K85">ROUND(INDEX('0.0.1 Pokémon Dex Data'!$S$3:$S951,MATCH($E85,'0.0.1 Pokémon Dex Data'!$B$3:$B951,0))*INDEX('0.0.1 Pokémon Dex Data'!U$3:U951,MATCH($E85,'0.0.1 Pokémon Dex Data'!$B$3:$B951,0)),0)</f>
        <v>82</v>
      </c>
      <c r="L85" s="260" t="n">
        <f aca="false" t="array" ref="L85:L85">ROUND(INDEX('0.0.1 Pokémon Dex Data'!$S$3:$S951,MATCH($E85,'0.0.1 Pokémon Dex Data'!$B$3:$B951,0))*INDEX('0.0.1 Pokémon Dex Data'!V$3:V951,MATCH($E85,'0.0.1 Pokémon Dex Data'!$B$3:$B951,0)),0)</f>
        <v>172</v>
      </c>
      <c r="M85" s="260" t="n">
        <f aca="false" t="array" ref="M85:M85">INDEX('0.0.1 Pokémon Dex Data'!$J$3:$J951,MATCH(E85,'0.0.1 Pokémon Dex Data'!$B$3:$B951,0))</f>
        <v>0</v>
      </c>
      <c r="O85" s="490"/>
      <c r="Q85" s="367" t="n">
        <f aca="false">IF('Reverse Search'!$F$4="All (including temporary formes)",1,IF('Reverse Search'!$F$4="Base Pokémon and permanent formes only",IF(F85&lt;=1,1,0),IF(F85=0,1,0)))</f>
        <v>1</v>
      </c>
      <c r="R85" s="0" t="n">
        <f aca="false">IF('Reverse Search'!$C$7="Disable",1,IF('Reverse Search'!$D$9="Disable",1,IF(OR('Reverse Search'!$F$9=H85,'Reverse Search'!$F$9=I85),1,0)))</f>
        <v>1</v>
      </c>
      <c r="S85" s="0" t="n">
        <f aca="false">IF('Reverse Search'!$C$7="Disable",1,IF('Reverse Search'!$D$10="Disable",1,IF(OR('Reverse Search'!$F$10=H85,'Reverse Search'!$F$10=I85),1,0)))</f>
        <v>1</v>
      </c>
      <c r="T85" s="0" t="n">
        <f aca="false">INDEX($B$4:$B$22,MATCH(H85,$A$4:$A$22,0))</f>
        <v>1</v>
      </c>
      <c r="U85" s="0" t="e">
        <f aca="false">IF(ISBLANK(I85),1,INDEX($B$4:$B$22,MATCH(I85,$A$4:$A$22,0)))</f>
        <v>#N/A</v>
      </c>
      <c r="V85" s="367" t="n">
        <f aca="false">IF('Reverse Search'!$C$7="Disable",1,IF('Reverse Search'!$D$11="Disable",1,IF('Reverse Search'!$E$11="Neutral to:",IF(ROUND(T85*U85,2)&lt;=1,1,0),IF(ROUND(T85*U85,2)&lt;1,1,0))))</f>
        <v>1</v>
      </c>
      <c r="W85" s="0" t="n">
        <f aca="false">IF('Reverse Search'!$N$7="Disable",1,IF('Reverse Search'!$I$9="Disable",1,IF('Reverse Search'!$K$9="≥",IF(J85&gt;='Reverse Search'!$L$9,1,0),IF('Reverse Search'!$K$9="≤",IF(J85&lt;='Reverse Search'!$L$9,1,0),IF(J85='Reverse Search'!$L$9,1,0)))))</f>
        <v>1</v>
      </c>
      <c r="X85" s="0" t="n">
        <f aca="false">IF('Reverse Search'!$N$7="Disable",1,IF('Reverse Search'!$I$10="Disable",1,IF('Reverse Search'!$K$10="≥",IF(K85&gt;='Reverse Search'!$L$10,1,0),IF('Reverse Search'!$K$10="≤",IF(K85&lt;='Reverse Search'!$L$10,1,0),IF(K85='Reverse Search'!$L$10,1,0)))))</f>
        <v>1</v>
      </c>
      <c r="Y85" s="367" t="n">
        <f aca="false">IF('Reverse Search'!$N$7="Disable",1,IF('Reverse Search'!$I$11="Disable",1,IF('Reverse Search'!$K$11="≥",IF(L85&gt;='Reverse Search'!$L$11,1,0),IF('Reverse Search'!$K$11="≤",IF(L85&lt;='Reverse Search'!$L$11,1,0),IF(L85='Reverse Search'!$L$11,1,0)))))</f>
        <v>1</v>
      </c>
      <c r="Z85" s="0" t="n">
        <f aca="true">IF('Reverse Search'!$C$14="Disable",1,IF('Reverse Search'!$D$16="Disable",1,IF($C$2=3,IF($M85=0,0,COUNTIF(INDIRECT("'0.0.2 Pokémon Learnset (Core)'!$D$"&amp;MATCH($E85,'0.0.2 Pokémon Learnset (Core)'!$A$1:$A951,0)&amp;":$FK$"&amp;MATCH($E85,'0.0.2 Pokémon Learnset (Core)'!$A$1:$A951,0)),'Reverse Search'!$E$21)),IF($C$2=2,COUNTIF(INDIRECT("'0.1.1 Pokémon GO Moves'!$B$"&amp;MATCH($E85,'0.1.1 Pokémon GO Moves'!$A$1:$A951,0)&amp;":$R$"&amp;MATCH($E85,'0.1.1 Pokémon GO Moves'!$A$1:$A951,0)),'Reverse Search'!$E$21),COUNTIF(INDIRECT("'0.1.1 Pokémon GO Moves'!$B$"&amp;MATCH($E85,'0.1.1 Pokémon GO Moves'!$A$1:$A951,0)&amp;":$L$"&amp;MATCH($E85,'0.1.1 Pokémon GO Moves'!$A$1:$A951,0)),'Reverse Search'!$E$21)))))</f>
        <v>1</v>
      </c>
      <c r="AA85" s="0" t="n">
        <f aca="true">IF('Reverse Search'!$C$14="Disable",1,IF('Reverse Search'!$I$16="Disable",1,IF($D$2=3,IF($M85=0,0,COUNTIF(INDIRECT("'0.0.2 Pokémon Learnset (Core)'!$D$"&amp;MATCH($E85,'0.0.2 Pokémon Learnset (Core)'!$A$1:$A951,0)&amp;":$FK$"&amp;MATCH($E85,'0.0.2 Pokémon Learnset (Core)'!$A$1:$A951,0)),'Reverse Search'!$J$21)),IF($D$2=2,COUNTIF(INDIRECT("'0.1.1 Pokémon GO Moves'!$B$"&amp;MATCH($E85,'0.1.1 Pokémon GO Moves'!$A$1:$A951,0)&amp;":$R$"&amp;MATCH($E85,'0.1.1 Pokémon GO Moves'!$A$1:$A951,0)),'Reverse Search'!$J$21),COUNTIF(INDIRECT("'0.1.1 Pokémon GO Moves'!$B$"&amp;MATCH($E85,'0.1.1 Pokémon GO Moves'!$A$1:$A951,0)&amp;":$L$"&amp;MATCH($E85,'0.1.1 Pokémon GO Moves'!$A$1:$A951,0)),'Reverse Search'!$J$21)))))</f>
        <v>0</v>
      </c>
      <c r="AB85" s="490"/>
      <c r="AC85" s="260" t="n">
        <f aca="false">IF((Q85+R85+S85+V85+W85+X85+Y85+IF(Z85&gt;=1,1,0)+IF(AA85&gt;=1,1,0))=9,G85&amp;", ",)</f>
        <v>0</v>
      </c>
    </row>
    <row r="86" customFormat="false" ht="15.75" hidden="false" customHeight="false" outlineLevel="0" collapsed="false">
      <c r="A86" s="260"/>
      <c r="B86" s="358"/>
      <c r="C86" s="260"/>
      <c r="D86" s="358" t="str">
        <f aca="false">IFERROR(__xludf.dummyfunction("""COMPUTED_VALUE"""),"Psybeam")</f>
        <v>Psybeam</v>
      </c>
      <c r="E86" s="260" t="n">
        <v>85</v>
      </c>
      <c r="F86" s="260" t="n">
        <f aca="false" t="array" ref="F86:F86">INDEX('0.0.1 Pokémon Dex Data'!$H$3:$H951,MATCH(E86,'0.0.1 Pokémon Dex Data'!$B$3:$B951,0))</f>
        <v>0</v>
      </c>
      <c r="G86" s="0" t="str">
        <f aca="false" t="array" ref="G86:G86">INDEX('0.0.1 Pokémon Dex Data'!$E$3:$E951,MATCH(E86,'0.0.1 Pokémon Dex Data'!$B$3:$B951,0))</f>
        <v>Machoke</v>
      </c>
      <c r="H86" s="0" t="str">
        <f aca="false" t="array" ref="H86:H86">INDEX('0.0.1 Pokémon Dex Data'!$Q$3:$Q951,MATCH(E86,'0.0.1 Pokémon Dex Data'!$B$3:$B951,0))</f>
        <v>Fighting</v>
      </c>
      <c r="I86" s="0" t="n">
        <f aca="false">INDEX('0.0.1 Pokémon Dex Data'!$R$3:$R951,MATCH(E86,'0.0.1 Pokémon Dex Data'!$B$3:$B951,0))</f>
        <v>0</v>
      </c>
      <c r="J86" s="260" t="n">
        <f aca="false" t="array" ref="J86:J86">ROUND(INDEX('0.0.1 Pokémon Dex Data'!$S$3:$S951,MATCH($E86,'0.0.1 Pokémon Dex Data'!$B$3:$B951,0))*INDEX('0.0.1 Pokémon Dex Data'!T$3:T951,MATCH($E86,'0.0.1 Pokémon Dex Data'!$B$3:$B951,0)),0)</f>
        <v>177</v>
      </c>
      <c r="K86" s="260" t="n">
        <f aca="false" t="array" ref="K86:K86">ROUND(INDEX('0.0.1 Pokémon Dex Data'!$S$3:$S951,MATCH($E86,'0.0.1 Pokémon Dex Data'!$B$3:$B951,0))*INDEX('0.0.1 Pokémon Dex Data'!U$3:U951,MATCH($E86,'0.0.1 Pokémon Dex Data'!$B$3:$B951,0)),0)</f>
        <v>125</v>
      </c>
      <c r="L86" s="260" t="n">
        <f aca="false" t="array" ref="L86:L86">ROUND(INDEX('0.0.1 Pokémon Dex Data'!$S$3:$S951,MATCH($E86,'0.0.1 Pokémon Dex Data'!$B$3:$B951,0))*INDEX('0.0.1 Pokémon Dex Data'!V$3:V951,MATCH($E86,'0.0.1 Pokémon Dex Data'!$B$3:$B951,0)),0)</f>
        <v>190</v>
      </c>
      <c r="M86" s="260" t="n">
        <f aca="false" t="array" ref="M86:M86">INDEX('0.0.1 Pokémon Dex Data'!$J$3:$J951,MATCH(E86,'0.0.1 Pokémon Dex Data'!$B$3:$B951,0))</f>
        <v>0</v>
      </c>
      <c r="O86" s="490"/>
      <c r="Q86" s="367" t="n">
        <f aca="false">IF('Reverse Search'!$F$4="All (including temporary formes)",1,IF('Reverse Search'!$F$4="Base Pokémon and permanent formes only",IF(F86&lt;=1,1,0),IF(F86=0,1,0)))</f>
        <v>1</v>
      </c>
      <c r="R86" s="0" t="n">
        <f aca="false">IF('Reverse Search'!$C$7="Disable",1,IF('Reverse Search'!$D$9="Disable",1,IF(OR('Reverse Search'!$F$9=H86,'Reverse Search'!$F$9=I86),1,0)))</f>
        <v>1</v>
      </c>
      <c r="S86" s="0" t="n">
        <f aca="false">IF('Reverse Search'!$C$7="Disable",1,IF('Reverse Search'!$D$10="Disable",1,IF(OR('Reverse Search'!$F$10=H86,'Reverse Search'!$F$10=I86),1,0)))</f>
        <v>1</v>
      </c>
      <c r="T86" s="0" t="n">
        <f aca="false">INDEX($B$4:$B$22,MATCH(H86,$A$4:$A$22,0))</f>
        <v>1</v>
      </c>
      <c r="U86" s="0" t="e">
        <f aca="false">IF(ISBLANK(I86),1,INDEX($B$4:$B$22,MATCH(I86,$A$4:$A$22,0)))</f>
        <v>#N/A</v>
      </c>
      <c r="V86" s="367" t="n">
        <f aca="false">IF('Reverse Search'!$C$7="Disable",1,IF('Reverse Search'!$D$11="Disable",1,IF('Reverse Search'!$E$11="Neutral to:",IF(ROUND(T86*U86,2)&lt;=1,1,0),IF(ROUND(T86*U86,2)&lt;1,1,0))))</f>
        <v>1</v>
      </c>
      <c r="W86" s="0" t="n">
        <f aca="false">IF('Reverse Search'!$N$7="Disable",1,IF('Reverse Search'!$I$9="Disable",1,IF('Reverse Search'!$K$9="≥",IF(J86&gt;='Reverse Search'!$L$9,1,0),IF('Reverse Search'!$K$9="≤",IF(J86&lt;='Reverse Search'!$L$9,1,0),IF(J86='Reverse Search'!$L$9,1,0)))))</f>
        <v>1</v>
      </c>
      <c r="X86" s="0" t="n">
        <f aca="false">IF('Reverse Search'!$N$7="Disable",1,IF('Reverse Search'!$I$10="Disable",1,IF('Reverse Search'!$K$10="≥",IF(K86&gt;='Reverse Search'!$L$10,1,0),IF('Reverse Search'!$K$10="≤",IF(K86&lt;='Reverse Search'!$L$10,1,0),IF(K86='Reverse Search'!$L$10,1,0)))))</f>
        <v>1</v>
      </c>
      <c r="Y86" s="367" t="n">
        <f aca="false">IF('Reverse Search'!$N$7="Disable",1,IF('Reverse Search'!$I$11="Disable",1,IF('Reverse Search'!$K$11="≥",IF(L86&gt;='Reverse Search'!$L$11,1,0),IF('Reverse Search'!$K$11="≤",IF(L86&lt;='Reverse Search'!$L$11,1,0),IF(L86='Reverse Search'!$L$11,1,0)))))</f>
        <v>1</v>
      </c>
      <c r="Z86" s="0" t="n">
        <f aca="true">IF('Reverse Search'!$C$14="Disable",1,IF('Reverse Search'!$D$16="Disable",1,IF($C$2=3,IF($M86=0,0,COUNTIF(INDIRECT("'0.0.2 Pokémon Learnset (Core)'!$D$"&amp;MATCH($E86,'0.0.2 Pokémon Learnset (Core)'!$A$1:$A951,0)&amp;":$FK$"&amp;MATCH($E86,'0.0.2 Pokémon Learnset (Core)'!$A$1:$A951,0)),'Reverse Search'!$E$21)),IF($C$2=2,COUNTIF(INDIRECT("'0.1.1 Pokémon GO Moves'!$B$"&amp;MATCH($E86,'0.1.1 Pokémon GO Moves'!$A$1:$A951,0)&amp;":$R$"&amp;MATCH($E86,'0.1.1 Pokémon GO Moves'!$A$1:$A951,0)),'Reverse Search'!$E$21),COUNTIF(INDIRECT("'0.1.1 Pokémon GO Moves'!$B$"&amp;MATCH($E86,'0.1.1 Pokémon GO Moves'!$A$1:$A951,0)&amp;":$L$"&amp;MATCH($E86,'0.1.1 Pokémon GO Moves'!$A$1:$A951,0)),'Reverse Search'!$E$21)))))</f>
        <v>1</v>
      </c>
      <c r="AA86" s="0" t="n">
        <f aca="true">IF('Reverse Search'!$C$14="Disable",1,IF('Reverse Search'!$I$16="Disable",1,IF($D$2=3,IF($M86=0,0,COUNTIF(INDIRECT("'0.0.2 Pokémon Learnset (Core)'!$D$"&amp;MATCH($E86,'0.0.2 Pokémon Learnset (Core)'!$A$1:$A951,0)&amp;":$FK$"&amp;MATCH($E86,'0.0.2 Pokémon Learnset (Core)'!$A$1:$A951,0)),'Reverse Search'!$J$21)),IF($D$2=2,COUNTIF(INDIRECT("'0.1.1 Pokémon GO Moves'!$B$"&amp;MATCH($E86,'0.1.1 Pokémon GO Moves'!$A$1:$A951,0)&amp;":$R$"&amp;MATCH($E86,'0.1.1 Pokémon GO Moves'!$A$1:$A951,0)),'Reverse Search'!$J$21),COUNTIF(INDIRECT("'0.1.1 Pokémon GO Moves'!$B$"&amp;MATCH($E86,'0.1.1 Pokémon GO Moves'!$A$1:$A951,0)&amp;":$L$"&amp;MATCH($E86,'0.1.1 Pokémon GO Moves'!$A$1:$A951,0)),'Reverse Search'!$J$21)))))</f>
        <v>0</v>
      </c>
      <c r="AB86" s="490"/>
      <c r="AC86" s="260" t="n">
        <f aca="false">IF((Q86+R86+S86+V86+W86+X86+Y86+IF(Z86&gt;=1,1,0)+IF(AA86&gt;=1,1,0))=9,G86&amp;", ",)</f>
        <v>0</v>
      </c>
    </row>
    <row r="87" customFormat="false" ht="15.75" hidden="false" customHeight="false" outlineLevel="0" collapsed="false">
      <c r="A87" s="260"/>
      <c r="B87" s="358"/>
      <c r="C87" s="260"/>
      <c r="D87" s="358" t="str">
        <f aca="false">IFERROR(__xludf.dummyfunction("""COMPUTED_VALUE"""),"Psychic")</f>
        <v>Psychic</v>
      </c>
      <c r="E87" s="260" t="n">
        <v>86</v>
      </c>
      <c r="F87" s="260" t="n">
        <f aca="false" t="array" ref="F87:F87">INDEX('0.0.1 Pokémon Dex Data'!$H$3:$H951,MATCH(E87,'0.0.1 Pokémon Dex Data'!$B$3:$B951,0))</f>
        <v>0</v>
      </c>
      <c r="G87" s="0" t="str">
        <f aca="false" t="array" ref="G87:G87">INDEX('0.0.1 Pokémon Dex Data'!$E$3:$E951,MATCH(E87,'0.0.1 Pokémon Dex Data'!$B$3:$B951,0))</f>
        <v>Machamp</v>
      </c>
      <c r="H87" s="0" t="str">
        <f aca="false" t="array" ref="H87:H87">INDEX('0.0.1 Pokémon Dex Data'!$Q$3:$Q951,MATCH(E87,'0.0.1 Pokémon Dex Data'!$B$3:$B951,0))</f>
        <v>Fighting</v>
      </c>
      <c r="I87" s="0" t="n">
        <f aca="false">INDEX('0.0.1 Pokémon Dex Data'!$R$3:$R951,MATCH(E87,'0.0.1 Pokémon Dex Data'!$B$3:$B951,0))</f>
        <v>0</v>
      </c>
      <c r="J87" s="260" t="n">
        <f aca="false" t="array" ref="J87:J87">ROUND(INDEX('0.0.1 Pokémon Dex Data'!$S$3:$S951,MATCH($E87,'0.0.1 Pokémon Dex Data'!$B$3:$B951,0))*INDEX('0.0.1 Pokémon Dex Data'!T$3:T951,MATCH($E87,'0.0.1 Pokémon Dex Data'!$B$3:$B951,0)),0)</f>
        <v>234</v>
      </c>
      <c r="K87" s="260" t="n">
        <f aca="false" t="array" ref="K87:K87">ROUND(INDEX('0.0.1 Pokémon Dex Data'!$S$3:$S951,MATCH($E87,'0.0.1 Pokémon Dex Data'!$B$3:$B951,0))*INDEX('0.0.1 Pokémon Dex Data'!U$3:U951,MATCH($E87,'0.0.1 Pokémon Dex Data'!$B$3:$B951,0)),0)</f>
        <v>159</v>
      </c>
      <c r="L87" s="260" t="n">
        <f aca="false" t="array" ref="L87:L87">ROUND(INDEX('0.0.1 Pokémon Dex Data'!$S$3:$S951,MATCH($E87,'0.0.1 Pokémon Dex Data'!$B$3:$B951,0))*INDEX('0.0.1 Pokémon Dex Data'!V$3:V951,MATCH($E87,'0.0.1 Pokémon Dex Data'!$B$3:$B951,0)),0)</f>
        <v>207</v>
      </c>
      <c r="M87" s="260" t="n">
        <f aca="false" t="array" ref="M87:M87">INDEX('0.0.1 Pokémon Dex Data'!$J$3:$J951,MATCH(E87,'0.0.1 Pokémon Dex Data'!$B$3:$B951,0))</f>
        <v>1</v>
      </c>
      <c r="O87" s="490"/>
      <c r="Q87" s="367" t="n">
        <f aca="false">IF('Reverse Search'!$F$4="All (including temporary formes)",1,IF('Reverse Search'!$F$4="Base Pokémon and permanent formes only",IF(F87&lt;=1,1,0),IF(F87=0,1,0)))</f>
        <v>1</v>
      </c>
      <c r="R87" s="0" t="n">
        <f aca="false">IF('Reverse Search'!$C$7="Disable",1,IF('Reverse Search'!$D$9="Disable",1,IF(OR('Reverse Search'!$F$9=H87,'Reverse Search'!$F$9=I87),1,0)))</f>
        <v>1</v>
      </c>
      <c r="S87" s="0" t="n">
        <f aca="false">IF('Reverse Search'!$C$7="Disable",1,IF('Reverse Search'!$D$10="Disable",1,IF(OR('Reverse Search'!$F$10=H87,'Reverse Search'!$F$10=I87),1,0)))</f>
        <v>1</v>
      </c>
      <c r="T87" s="0" t="n">
        <f aca="false">INDEX($B$4:$B$22,MATCH(H87,$A$4:$A$22,0))</f>
        <v>1</v>
      </c>
      <c r="U87" s="0" t="e">
        <f aca="false">IF(ISBLANK(I87),1,INDEX($B$4:$B$22,MATCH(I87,$A$4:$A$22,0)))</f>
        <v>#N/A</v>
      </c>
      <c r="V87" s="367" t="n">
        <f aca="false">IF('Reverse Search'!$C$7="Disable",1,IF('Reverse Search'!$D$11="Disable",1,IF('Reverse Search'!$E$11="Neutral to:",IF(ROUND(T87*U87,2)&lt;=1,1,0),IF(ROUND(T87*U87,2)&lt;1,1,0))))</f>
        <v>1</v>
      </c>
      <c r="W87" s="0" t="n">
        <f aca="false">IF('Reverse Search'!$N$7="Disable",1,IF('Reverse Search'!$I$9="Disable",1,IF('Reverse Search'!$K$9="≥",IF(J87&gt;='Reverse Search'!$L$9,1,0),IF('Reverse Search'!$K$9="≤",IF(J87&lt;='Reverse Search'!$L$9,1,0),IF(J87='Reverse Search'!$L$9,1,0)))))</f>
        <v>1</v>
      </c>
      <c r="X87" s="0" t="n">
        <f aca="false">IF('Reverse Search'!$N$7="Disable",1,IF('Reverse Search'!$I$10="Disable",1,IF('Reverse Search'!$K$10="≥",IF(K87&gt;='Reverse Search'!$L$10,1,0),IF('Reverse Search'!$K$10="≤",IF(K87&lt;='Reverse Search'!$L$10,1,0),IF(K87='Reverse Search'!$L$10,1,0)))))</f>
        <v>1</v>
      </c>
      <c r="Y87" s="367" t="n">
        <f aca="false">IF('Reverse Search'!$N$7="Disable",1,IF('Reverse Search'!$I$11="Disable",1,IF('Reverse Search'!$K$11="≥",IF(L87&gt;='Reverse Search'!$L$11,1,0),IF('Reverse Search'!$K$11="≤",IF(L87&lt;='Reverse Search'!$L$11,1,0),IF(L87='Reverse Search'!$L$11,1,0)))))</f>
        <v>1</v>
      </c>
      <c r="Z87" s="0" t="n">
        <f aca="true">IF('Reverse Search'!$C$14="Disable",1,IF('Reverse Search'!$D$16="Disable",1,IF($C$2=3,IF($M87=0,0,COUNTIF(INDIRECT("'0.0.2 Pokémon Learnset (Core)'!$D$"&amp;MATCH($E87,'0.0.2 Pokémon Learnset (Core)'!$A$1:$A951,0)&amp;":$FK$"&amp;MATCH($E87,'0.0.2 Pokémon Learnset (Core)'!$A$1:$A951,0)),'Reverse Search'!$E$21)),IF($C$2=2,COUNTIF(INDIRECT("'0.1.1 Pokémon GO Moves'!$B$"&amp;MATCH($E87,'0.1.1 Pokémon GO Moves'!$A$1:$A951,0)&amp;":$R$"&amp;MATCH($E87,'0.1.1 Pokémon GO Moves'!$A$1:$A951,0)),'Reverse Search'!$E$21),COUNTIF(INDIRECT("'0.1.1 Pokémon GO Moves'!$B$"&amp;MATCH($E87,'0.1.1 Pokémon GO Moves'!$A$1:$A951,0)&amp;":$L$"&amp;MATCH($E87,'0.1.1 Pokémon GO Moves'!$A$1:$A951,0)),'Reverse Search'!$E$21)))))</f>
        <v>1</v>
      </c>
      <c r="AA87" s="0" t="n">
        <f aca="true">IF('Reverse Search'!$C$14="Disable",1,IF('Reverse Search'!$I$16="Disable",1,IF($D$2=3,IF($M87=0,0,COUNTIF(INDIRECT("'0.0.2 Pokémon Learnset (Core)'!$D$"&amp;MATCH($E87,'0.0.2 Pokémon Learnset (Core)'!$A$1:$A951,0)&amp;":$FK$"&amp;MATCH($E87,'0.0.2 Pokémon Learnset (Core)'!$A$1:$A951,0)),'Reverse Search'!$J$21)),IF($D$2=2,COUNTIF(INDIRECT("'0.1.1 Pokémon GO Moves'!$B$"&amp;MATCH($E87,'0.1.1 Pokémon GO Moves'!$A$1:$A951,0)&amp;":$R$"&amp;MATCH($E87,'0.1.1 Pokémon GO Moves'!$A$1:$A951,0)),'Reverse Search'!$J$21),COUNTIF(INDIRECT("'0.1.1 Pokémon GO Moves'!$B$"&amp;MATCH($E87,'0.1.1 Pokémon GO Moves'!$A$1:$A951,0)&amp;":$L$"&amp;MATCH($E87,'0.1.1 Pokémon GO Moves'!$A$1:$A951,0)),'Reverse Search'!$J$21)))))</f>
        <v>0</v>
      </c>
      <c r="AB87" s="490"/>
      <c r="AC87" s="260" t="n">
        <f aca="false">IF((Q87+R87+S87+V87+W87+X87+Y87+IF(Z87&gt;=1,1,0)+IF(AA87&gt;=1,1,0))=9,G87&amp;", ",)</f>
        <v>0</v>
      </c>
    </row>
    <row r="88" customFormat="false" ht="15.75" hidden="false" customHeight="false" outlineLevel="0" collapsed="false">
      <c r="A88" s="260"/>
      <c r="B88" s="358"/>
      <c r="C88" s="260"/>
      <c r="D88" s="358" t="str">
        <f aca="false">IFERROR(__xludf.dummyfunction("""COMPUTED_VALUE"""),"Psycho Boost")</f>
        <v>Psycho Boost</v>
      </c>
      <c r="E88" s="260" t="n">
        <v>87</v>
      </c>
      <c r="F88" s="260" t="n">
        <f aca="false" t="array" ref="F88:F88">INDEX('0.0.1 Pokémon Dex Data'!$H$3:$H951,MATCH(E88,'0.0.1 Pokémon Dex Data'!$B$3:$B951,0))</f>
        <v>0</v>
      </c>
      <c r="G88" s="0" t="str">
        <f aca="false" t="array" ref="G88:G88">INDEX('0.0.1 Pokémon Dex Data'!$E$3:$E951,MATCH(E88,'0.0.1 Pokémon Dex Data'!$B$3:$B951,0))</f>
        <v>Bellsprout</v>
      </c>
      <c r="H88" s="0" t="str">
        <f aca="false" t="array" ref="H88:H88">INDEX('0.0.1 Pokémon Dex Data'!$Q$3:$Q951,MATCH(E88,'0.0.1 Pokémon Dex Data'!$B$3:$B951,0))</f>
        <v>Grass</v>
      </c>
      <c r="I88" s="0" t="str">
        <f aca="false" t="array" ref="I88:I88">INDEX('0.0.1 Pokémon Dex Data'!$R$3:$R951,MATCH(E88,'0.0.1 Pokémon Dex Data'!$B$3:$B951,0))</f>
        <v>Poison</v>
      </c>
      <c r="J88" s="260" t="n">
        <f aca="false" t="array" ref="J88:J88">ROUND(INDEX('0.0.1 Pokémon Dex Data'!$S$3:$S951,MATCH($E88,'0.0.1 Pokémon Dex Data'!$B$3:$B951,0))*INDEX('0.0.1 Pokémon Dex Data'!T$3:T951,MATCH($E88,'0.0.1 Pokémon Dex Data'!$B$3:$B951,0)),0)</f>
        <v>139</v>
      </c>
      <c r="K88" s="260" t="n">
        <f aca="false" t="array" ref="K88:K88">ROUND(INDEX('0.0.1 Pokémon Dex Data'!$S$3:$S951,MATCH($E88,'0.0.1 Pokémon Dex Data'!$B$3:$B951,0))*INDEX('0.0.1 Pokémon Dex Data'!U$3:U951,MATCH($E88,'0.0.1 Pokémon Dex Data'!$B$3:$B951,0)),0)</f>
        <v>61</v>
      </c>
      <c r="L88" s="260" t="n">
        <f aca="false" t="array" ref="L88:L88">ROUND(INDEX('0.0.1 Pokémon Dex Data'!$S$3:$S951,MATCH($E88,'0.0.1 Pokémon Dex Data'!$B$3:$B951,0))*INDEX('0.0.1 Pokémon Dex Data'!V$3:V951,MATCH($E88,'0.0.1 Pokémon Dex Data'!$B$3:$B951,0)),0)</f>
        <v>137</v>
      </c>
      <c r="M88" s="260" t="n">
        <f aca="false" t="array" ref="M88:M88">INDEX('0.0.1 Pokémon Dex Data'!$J$3:$J951,MATCH(E88,'0.0.1 Pokémon Dex Data'!$B$3:$B951,0))</f>
        <v>0</v>
      </c>
      <c r="O88" s="490"/>
      <c r="Q88" s="367" t="n">
        <f aca="false">IF('Reverse Search'!$F$4="All (including temporary formes)",1,IF('Reverse Search'!$F$4="Base Pokémon and permanent formes only",IF(F88&lt;=1,1,0),IF(F88=0,1,0)))</f>
        <v>1</v>
      </c>
      <c r="R88" s="0" t="n">
        <f aca="false">IF('Reverse Search'!$C$7="Disable",1,IF('Reverse Search'!$D$9="Disable",1,IF(OR('Reverse Search'!$F$9=H88,'Reverse Search'!$F$9=I88),1,0)))</f>
        <v>1</v>
      </c>
      <c r="S88" s="0" t="n">
        <f aca="false">IF('Reverse Search'!$C$7="Disable",1,IF('Reverse Search'!$D$10="Disable",1,IF(OR('Reverse Search'!$F$10=H88,'Reverse Search'!$F$10=I88),1,0)))</f>
        <v>1</v>
      </c>
      <c r="T88" s="0" t="n">
        <f aca="false">INDEX($B$4:$B$22,MATCH(H88,$A$4:$A$22,0))</f>
        <v>1</v>
      </c>
      <c r="U88" s="0" t="n">
        <f aca="false">IF(ISBLANK(I88),1,INDEX($B$4:$B$22,MATCH(I88,$A$4:$A$22,0)))</f>
        <v>1</v>
      </c>
      <c r="V88" s="367" t="n">
        <f aca="false">IF('Reverse Search'!$C$7="Disable",1,IF('Reverse Search'!$D$11="Disable",1,IF('Reverse Search'!$E$11="Neutral to:",IF(ROUND(T88*U88,2)&lt;=1,1,0),IF(ROUND(T88*U88,2)&lt;1,1,0))))</f>
        <v>1</v>
      </c>
      <c r="W88" s="0" t="n">
        <f aca="false">IF('Reverse Search'!$N$7="Disable",1,IF('Reverse Search'!$I$9="Disable",1,IF('Reverse Search'!$K$9="≥",IF(J88&gt;='Reverse Search'!$L$9,1,0),IF('Reverse Search'!$K$9="≤",IF(J88&lt;='Reverse Search'!$L$9,1,0),IF(J88='Reverse Search'!$L$9,1,0)))))</f>
        <v>1</v>
      </c>
      <c r="X88" s="0" t="n">
        <f aca="false">IF('Reverse Search'!$N$7="Disable",1,IF('Reverse Search'!$I$10="Disable",1,IF('Reverse Search'!$K$10="≥",IF(K88&gt;='Reverse Search'!$L$10,1,0),IF('Reverse Search'!$K$10="≤",IF(K88&lt;='Reverse Search'!$L$10,1,0),IF(K88='Reverse Search'!$L$10,1,0)))))</f>
        <v>1</v>
      </c>
      <c r="Y88" s="367" t="n">
        <f aca="false">IF('Reverse Search'!$N$7="Disable",1,IF('Reverse Search'!$I$11="Disable",1,IF('Reverse Search'!$K$11="≥",IF(L88&gt;='Reverse Search'!$L$11,1,0),IF('Reverse Search'!$K$11="≤",IF(L88&lt;='Reverse Search'!$L$11,1,0),IF(L88='Reverse Search'!$L$11,1,0)))))</f>
        <v>1</v>
      </c>
      <c r="Z88" s="0" t="n">
        <f aca="true">IF('Reverse Search'!$C$14="Disable",1,IF('Reverse Search'!$D$16="Disable",1,IF($C$2=3,IF($M88=0,0,COUNTIF(INDIRECT("'0.0.2 Pokémon Learnset (Core)'!$D$"&amp;MATCH($E88,'0.0.2 Pokémon Learnset (Core)'!$A$1:$A951,0)&amp;":$FK$"&amp;MATCH($E88,'0.0.2 Pokémon Learnset (Core)'!$A$1:$A951,0)),'Reverse Search'!$E$21)),IF($C$2=2,COUNTIF(INDIRECT("'0.1.1 Pokémon GO Moves'!$B$"&amp;MATCH($E88,'0.1.1 Pokémon GO Moves'!$A$1:$A951,0)&amp;":$R$"&amp;MATCH($E88,'0.1.1 Pokémon GO Moves'!$A$1:$A951,0)),'Reverse Search'!$E$21),COUNTIF(INDIRECT("'0.1.1 Pokémon GO Moves'!$B$"&amp;MATCH($E88,'0.1.1 Pokémon GO Moves'!$A$1:$A951,0)&amp;":$L$"&amp;MATCH($E88,'0.1.1 Pokémon GO Moves'!$A$1:$A951,0)),'Reverse Search'!$E$21)))))</f>
        <v>1</v>
      </c>
      <c r="AA88" s="0" t="n">
        <f aca="true">IF('Reverse Search'!$C$14="Disable",1,IF('Reverse Search'!$I$16="Disable",1,IF($D$2=3,IF($M88=0,0,COUNTIF(INDIRECT("'0.0.2 Pokémon Learnset (Core)'!$D$"&amp;MATCH($E88,'0.0.2 Pokémon Learnset (Core)'!$A$1:$A951,0)&amp;":$FK$"&amp;MATCH($E88,'0.0.2 Pokémon Learnset (Core)'!$A$1:$A951,0)),'Reverse Search'!$J$21)),IF($D$2=2,COUNTIF(INDIRECT("'0.1.1 Pokémon GO Moves'!$B$"&amp;MATCH($E88,'0.1.1 Pokémon GO Moves'!$A$1:$A951,0)&amp;":$R$"&amp;MATCH($E88,'0.1.1 Pokémon GO Moves'!$A$1:$A951,0)),'Reverse Search'!$J$21),COUNTIF(INDIRECT("'0.1.1 Pokémon GO Moves'!$B$"&amp;MATCH($E88,'0.1.1 Pokémon GO Moves'!$A$1:$A951,0)&amp;":$L$"&amp;MATCH($E88,'0.1.1 Pokémon GO Moves'!$A$1:$A951,0)),'Reverse Search'!$J$21)))))</f>
        <v>0</v>
      </c>
      <c r="AB88" s="490"/>
      <c r="AC88" s="260" t="n">
        <f aca="false">IF((Q88+R88+S88+V88+W88+X88+Y88+IF(Z88&gt;=1,1,0)+IF(AA88&gt;=1,1,0))=9,G88&amp;", ",)</f>
        <v>0</v>
      </c>
    </row>
    <row r="89" customFormat="false" ht="15.75" hidden="false" customHeight="false" outlineLevel="0" collapsed="false">
      <c r="A89" s="260"/>
      <c r="B89" s="358"/>
      <c r="C89" s="260"/>
      <c r="D89" s="358" t="str">
        <f aca="false">IFERROR(__xludf.dummyfunction("""COMPUTED_VALUE"""),"Psyshock")</f>
        <v>Psyshock</v>
      </c>
      <c r="E89" s="260" t="n">
        <v>88</v>
      </c>
      <c r="F89" s="260" t="n">
        <f aca="false" t="array" ref="F89:F89">INDEX('0.0.1 Pokémon Dex Data'!$H$3:$H951,MATCH(E89,'0.0.1 Pokémon Dex Data'!$B$3:$B951,0))</f>
        <v>0</v>
      </c>
      <c r="G89" s="0" t="str">
        <f aca="false" t="array" ref="G89:G89">INDEX('0.0.1 Pokémon Dex Data'!$E$3:$E951,MATCH(E89,'0.0.1 Pokémon Dex Data'!$B$3:$B951,0))</f>
        <v>Weepinbell</v>
      </c>
      <c r="H89" s="0" t="str">
        <f aca="false" t="array" ref="H89:H89">INDEX('0.0.1 Pokémon Dex Data'!$Q$3:$Q951,MATCH(E89,'0.0.1 Pokémon Dex Data'!$B$3:$B951,0))</f>
        <v>Grass</v>
      </c>
      <c r="I89" s="0" t="str">
        <f aca="false" t="array" ref="I89:I89">INDEX('0.0.1 Pokémon Dex Data'!$R$3:$R951,MATCH(E89,'0.0.1 Pokémon Dex Data'!$B$3:$B951,0))</f>
        <v>Poison</v>
      </c>
      <c r="J89" s="260" t="n">
        <f aca="false" t="array" ref="J89:J89">ROUND(INDEX('0.0.1 Pokémon Dex Data'!$S$3:$S951,MATCH($E89,'0.0.1 Pokémon Dex Data'!$B$3:$B951,0))*INDEX('0.0.1 Pokémon Dex Data'!T$3:T951,MATCH($E89,'0.0.1 Pokémon Dex Data'!$B$3:$B951,0)),0)</f>
        <v>172</v>
      </c>
      <c r="K89" s="260" t="n">
        <f aca="false" t="array" ref="K89:K89">ROUND(INDEX('0.0.1 Pokémon Dex Data'!$S$3:$S951,MATCH($E89,'0.0.1 Pokémon Dex Data'!$B$3:$B951,0))*INDEX('0.0.1 Pokémon Dex Data'!U$3:U951,MATCH($E89,'0.0.1 Pokémon Dex Data'!$B$3:$B951,0)),0)</f>
        <v>92</v>
      </c>
      <c r="L89" s="260" t="n">
        <f aca="false" t="array" ref="L89:L89">ROUND(INDEX('0.0.1 Pokémon Dex Data'!$S$3:$S951,MATCH($E89,'0.0.1 Pokémon Dex Data'!$B$3:$B951,0))*INDEX('0.0.1 Pokémon Dex Data'!V$3:V951,MATCH($E89,'0.0.1 Pokémon Dex Data'!$B$3:$B951,0)),0)</f>
        <v>163</v>
      </c>
      <c r="M89" s="260" t="n">
        <f aca="false" t="array" ref="M89:M89">INDEX('0.0.1 Pokémon Dex Data'!$J$3:$J951,MATCH(E89,'0.0.1 Pokémon Dex Data'!$B$3:$B951,0))</f>
        <v>0</v>
      </c>
      <c r="O89" s="490"/>
      <c r="Q89" s="367" t="n">
        <f aca="false">IF('Reverse Search'!$F$4="All (including temporary formes)",1,IF('Reverse Search'!$F$4="Base Pokémon and permanent formes only",IF(F89&lt;=1,1,0),IF(F89=0,1,0)))</f>
        <v>1</v>
      </c>
      <c r="R89" s="0" t="n">
        <f aca="false">IF('Reverse Search'!$C$7="Disable",1,IF('Reverse Search'!$D$9="Disable",1,IF(OR('Reverse Search'!$F$9=H89,'Reverse Search'!$F$9=I89),1,0)))</f>
        <v>1</v>
      </c>
      <c r="S89" s="0" t="n">
        <f aca="false">IF('Reverse Search'!$C$7="Disable",1,IF('Reverse Search'!$D$10="Disable",1,IF(OR('Reverse Search'!$F$10=H89,'Reverse Search'!$F$10=I89),1,0)))</f>
        <v>1</v>
      </c>
      <c r="T89" s="0" t="n">
        <f aca="false">INDEX($B$4:$B$22,MATCH(H89,$A$4:$A$22,0))</f>
        <v>1</v>
      </c>
      <c r="U89" s="0" t="n">
        <f aca="false">IF(ISBLANK(I89),1,INDEX($B$4:$B$22,MATCH(I89,$A$4:$A$22,0)))</f>
        <v>1</v>
      </c>
      <c r="V89" s="367" t="n">
        <f aca="false">IF('Reverse Search'!$C$7="Disable",1,IF('Reverse Search'!$D$11="Disable",1,IF('Reverse Search'!$E$11="Neutral to:",IF(ROUND(T89*U89,2)&lt;=1,1,0),IF(ROUND(T89*U89,2)&lt;1,1,0))))</f>
        <v>1</v>
      </c>
      <c r="W89" s="0" t="n">
        <f aca="false">IF('Reverse Search'!$N$7="Disable",1,IF('Reverse Search'!$I$9="Disable",1,IF('Reverse Search'!$K$9="≥",IF(J89&gt;='Reverse Search'!$L$9,1,0),IF('Reverse Search'!$K$9="≤",IF(J89&lt;='Reverse Search'!$L$9,1,0),IF(J89='Reverse Search'!$L$9,1,0)))))</f>
        <v>1</v>
      </c>
      <c r="X89" s="0" t="n">
        <f aca="false">IF('Reverse Search'!$N$7="Disable",1,IF('Reverse Search'!$I$10="Disable",1,IF('Reverse Search'!$K$10="≥",IF(K89&gt;='Reverse Search'!$L$10,1,0),IF('Reverse Search'!$K$10="≤",IF(K89&lt;='Reverse Search'!$L$10,1,0),IF(K89='Reverse Search'!$L$10,1,0)))))</f>
        <v>1</v>
      </c>
      <c r="Y89" s="367" t="n">
        <f aca="false">IF('Reverse Search'!$N$7="Disable",1,IF('Reverse Search'!$I$11="Disable",1,IF('Reverse Search'!$K$11="≥",IF(L89&gt;='Reverse Search'!$L$11,1,0),IF('Reverse Search'!$K$11="≤",IF(L89&lt;='Reverse Search'!$L$11,1,0),IF(L89='Reverse Search'!$L$11,1,0)))))</f>
        <v>1</v>
      </c>
      <c r="Z89" s="0" t="n">
        <f aca="true">IF('Reverse Search'!$C$14="Disable",1,IF('Reverse Search'!$D$16="Disable",1,IF($C$2=3,IF($M89=0,0,COUNTIF(INDIRECT("'0.0.2 Pokémon Learnset (Core)'!$D$"&amp;MATCH($E89,'0.0.2 Pokémon Learnset (Core)'!$A$1:$A951,0)&amp;":$FK$"&amp;MATCH($E89,'0.0.2 Pokémon Learnset (Core)'!$A$1:$A951,0)),'Reverse Search'!$E$21)),IF($C$2=2,COUNTIF(INDIRECT("'0.1.1 Pokémon GO Moves'!$B$"&amp;MATCH($E89,'0.1.1 Pokémon GO Moves'!$A$1:$A951,0)&amp;":$R$"&amp;MATCH($E89,'0.1.1 Pokémon GO Moves'!$A$1:$A951,0)),'Reverse Search'!$E$21),COUNTIF(INDIRECT("'0.1.1 Pokémon GO Moves'!$B$"&amp;MATCH($E89,'0.1.1 Pokémon GO Moves'!$A$1:$A951,0)&amp;":$L$"&amp;MATCH($E89,'0.1.1 Pokémon GO Moves'!$A$1:$A951,0)),'Reverse Search'!$E$21)))))</f>
        <v>1</v>
      </c>
      <c r="AA89" s="0" t="n">
        <f aca="true">IF('Reverse Search'!$C$14="Disable",1,IF('Reverse Search'!$I$16="Disable",1,IF($D$2=3,IF($M89=0,0,COUNTIF(INDIRECT("'0.0.2 Pokémon Learnset (Core)'!$D$"&amp;MATCH($E89,'0.0.2 Pokémon Learnset (Core)'!$A$1:$A951,0)&amp;":$FK$"&amp;MATCH($E89,'0.0.2 Pokémon Learnset (Core)'!$A$1:$A951,0)),'Reverse Search'!$J$21)),IF($D$2=2,COUNTIF(INDIRECT("'0.1.1 Pokémon GO Moves'!$B$"&amp;MATCH($E89,'0.1.1 Pokémon GO Moves'!$A$1:$A951,0)&amp;":$R$"&amp;MATCH($E89,'0.1.1 Pokémon GO Moves'!$A$1:$A951,0)),'Reverse Search'!$J$21),COUNTIF(INDIRECT("'0.1.1 Pokémon GO Moves'!$B$"&amp;MATCH($E89,'0.1.1 Pokémon GO Moves'!$A$1:$A951,0)&amp;":$L$"&amp;MATCH($E89,'0.1.1 Pokémon GO Moves'!$A$1:$A951,0)),'Reverse Search'!$J$21)))))</f>
        <v>0</v>
      </c>
      <c r="AB89" s="490"/>
      <c r="AC89" s="260" t="n">
        <f aca="false">IF((Q89+R89+S89+V89+W89+X89+Y89+IF(Z89&gt;=1,1,0)+IF(AA89&gt;=1,1,0))=9,G89&amp;", ",)</f>
        <v>0</v>
      </c>
    </row>
    <row r="90" customFormat="false" ht="15.75" hidden="false" customHeight="false" outlineLevel="0" collapsed="false">
      <c r="A90" s="260"/>
      <c r="B90" s="358"/>
      <c r="C90" s="260"/>
      <c r="D90" s="358" t="str">
        <f aca="false">IFERROR(__xludf.dummyfunction("""COMPUTED_VALUE"""),"Psystrike")</f>
        <v>Psystrike</v>
      </c>
      <c r="E90" s="260" t="n">
        <v>89</v>
      </c>
      <c r="F90" s="260" t="n">
        <f aca="false" t="array" ref="F90:F90">INDEX('0.0.1 Pokémon Dex Data'!$H$3:$H951,MATCH(E90,'0.0.1 Pokémon Dex Data'!$B$3:$B951,0))</f>
        <v>0</v>
      </c>
      <c r="G90" s="0" t="str">
        <f aca="false" t="array" ref="G90:G90">INDEX('0.0.1 Pokémon Dex Data'!$E$3:$E951,MATCH(E90,'0.0.1 Pokémon Dex Data'!$B$3:$B951,0))</f>
        <v>Victreebel</v>
      </c>
      <c r="H90" s="0" t="str">
        <f aca="false" t="array" ref="H90:H90">INDEX('0.0.1 Pokémon Dex Data'!$Q$3:$Q951,MATCH(E90,'0.0.1 Pokémon Dex Data'!$B$3:$B951,0))</f>
        <v>Grass</v>
      </c>
      <c r="I90" s="0" t="str">
        <f aca="false" t="array" ref="I90:I90">INDEX('0.0.1 Pokémon Dex Data'!$R$3:$R951,MATCH(E90,'0.0.1 Pokémon Dex Data'!$B$3:$B951,0))</f>
        <v>Poison</v>
      </c>
      <c r="J90" s="260" t="n">
        <f aca="false" t="array" ref="J90:J90">ROUND(INDEX('0.0.1 Pokémon Dex Data'!$S$3:$S951,MATCH($E90,'0.0.1 Pokémon Dex Data'!$B$3:$B951,0))*INDEX('0.0.1 Pokémon Dex Data'!T$3:T951,MATCH($E90,'0.0.1 Pokémon Dex Data'!$B$3:$B951,0)),0)</f>
        <v>207</v>
      </c>
      <c r="K90" s="260" t="n">
        <f aca="false" t="array" ref="K90:K90">ROUND(INDEX('0.0.1 Pokémon Dex Data'!$S$3:$S951,MATCH($E90,'0.0.1 Pokémon Dex Data'!$B$3:$B951,0))*INDEX('0.0.1 Pokémon Dex Data'!U$3:U951,MATCH($E90,'0.0.1 Pokémon Dex Data'!$B$3:$B951,0)),0)</f>
        <v>135</v>
      </c>
      <c r="L90" s="260" t="n">
        <f aca="false" t="array" ref="L90:L90">ROUND(INDEX('0.0.1 Pokémon Dex Data'!$S$3:$S951,MATCH($E90,'0.0.1 Pokémon Dex Data'!$B$3:$B951,0))*INDEX('0.0.1 Pokémon Dex Data'!V$3:V951,MATCH($E90,'0.0.1 Pokémon Dex Data'!$B$3:$B951,0)),0)</f>
        <v>190</v>
      </c>
      <c r="M90" s="260" t="n">
        <f aca="false" t="array" ref="M90:M90">INDEX('0.0.1 Pokémon Dex Data'!$J$3:$J951,MATCH(E90,'0.0.1 Pokémon Dex Data'!$B$3:$B951,0))</f>
        <v>1</v>
      </c>
      <c r="O90" s="490"/>
      <c r="Q90" s="367" t="n">
        <f aca="false">IF('Reverse Search'!$F$4="All (including temporary formes)",1,IF('Reverse Search'!$F$4="Base Pokémon and permanent formes only",IF(F90&lt;=1,1,0),IF(F90=0,1,0)))</f>
        <v>1</v>
      </c>
      <c r="R90" s="0" t="n">
        <f aca="false">IF('Reverse Search'!$C$7="Disable",1,IF('Reverse Search'!$D$9="Disable",1,IF(OR('Reverse Search'!$F$9=H90,'Reverse Search'!$F$9=I90),1,0)))</f>
        <v>1</v>
      </c>
      <c r="S90" s="0" t="n">
        <f aca="false">IF('Reverse Search'!$C$7="Disable",1,IF('Reverse Search'!$D$10="Disable",1,IF(OR('Reverse Search'!$F$10=H90,'Reverse Search'!$F$10=I90),1,0)))</f>
        <v>1</v>
      </c>
      <c r="T90" s="0" t="n">
        <f aca="false">INDEX($B$4:$B$22,MATCH(H90,$A$4:$A$22,0))</f>
        <v>1</v>
      </c>
      <c r="U90" s="0" t="n">
        <f aca="false">IF(ISBLANK(I90),1,INDEX($B$4:$B$22,MATCH(I90,$A$4:$A$22,0)))</f>
        <v>1</v>
      </c>
      <c r="V90" s="367" t="n">
        <f aca="false">IF('Reverse Search'!$C$7="Disable",1,IF('Reverse Search'!$D$11="Disable",1,IF('Reverse Search'!$E$11="Neutral to:",IF(ROUND(T90*U90,2)&lt;=1,1,0),IF(ROUND(T90*U90,2)&lt;1,1,0))))</f>
        <v>1</v>
      </c>
      <c r="W90" s="0" t="n">
        <f aca="false">IF('Reverse Search'!$N$7="Disable",1,IF('Reverse Search'!$I$9="Disable",1,IF('Reverse Search'!$K$9="≥",IF(J90&gt;='Reverse Search'!$L$9,1,0),IF('Reverse Search'!$K$9="≤",IF(J90&lt;='Reverse Search'!$L$9,1,0),IF(J90='Reverse Search'!$L$9,1,0)))))</f>
        <v>1</v>
      </c>
      <c r="X90" s="0" t="n">
        <f aca="false">IF('Reverse Search'!$N$7="Disable",1,IF('Reverse Search'!$I$10="Disable",1,IF('Reverse Search'!$K$10="≥",IF(K90&gt;='Reverse Search'!$L$10,1,0),IF('Reverse Search'!$K$10="≤",IF(K90&lt;='Reverse Search'!$L$10,1,0),IF(K90='Reverse Search'!$L$10,1,0)))))</f>
        <v>1</v>
      </c>
      <c r="Y90" s="367" t="n">
        <f aca="false">IF('Reverse Search'!$N$7="Disable",1,IF('Reverse Search'!$I$11="Disable",1,IF('Reverse Search'!$K$11="≥",IF(L90&gt;='Reverse Search'!$L$11,1,0),IF('Reverse Search'!$K$11="≤",IF(L90&lt;='Reverse Search'!$L$11,1,0),IF(L90='Reverse Search'!$L$11,1,0)))))</f>
        <v>1</v>
      </c>
      <c r="Z90" s="0" t="n">
        <f aca="true">IF('Reverse Search'!$C$14="Disable",1,IF('Reverse Search'!$D$16="Disable",1,IF($C$2=3,IF($M90=0,0,COUNTIF(INDIRECT("'0.0.2 Pokémon Learnset (Core)'!$D$"&amp;MATCH($E90,'0.0.2 Pokémon Learnset (Core)'!$A$1:$A951,0)&amp;":$FK$"&amp;MATCH($E90,'0.0.2 Pokémon Learnset (Core)'!$A$1:$A951,0)),'Reverse Search'!$E$21)),IF($C$2=2,COUNTIF(INDIRECT("'0.1.1 Pokémon GO Moves'!$B$"&amp;MATCH($E90,'0.1.1 Pokémon GO Moves'!$A$1:$A951,0)&amp;":$R$"&amp;MATCH($E90,'0.1.1 Pokémon GO Moves'!$A$1:$A951,0)),'Reverse Search'!$E$21),COUNTIF(INDIRECT("'0.1.1 Pokémon GO Moves'!$B$"&amp;MATCH($E90,'0.1.1 Pokémon GO Moves'!$A$1:$A951,0)&amp;":$L$"&amp;MATCH($E90,'0.1.1 Pokémon GO Moves'!$A$1:$A951,0)),'Reverse Search'!$E$21)))))</f>
        <v>1</v>
      </c>
      <c r="AA90" s="0" t="n">
        <f aca="true">IF('Reverse Search'!$C$14="Disable",1,IF('Reverse Search'!$I$16="Disable",1,IF($D$2=3,IF($M90=0,0,COUNTIF(INDIRECT("'0.0.2 Pokémon Learnset (Core)'!$D$"&amp;MATCH($E90,'0.0.2 Pokémon Learnset (Core)'!$A$1:$A951,0)&amp;":$FK$"&amp;MATCH($E90,'0.0.2 Pokémon Learnset (Core)'!$A$1:$A951,0)),'Reverse Search'!$J$21)),IF($D$2=2,COUNTIF(INDIRECT("'0.1.1 Pokémon GO Moves'!$B$"&amp;MATCH($E90,'0.1.1 Pokémon GO Moves'!$A$1:$A951,0)&amp;":$R$"&amp;MATCH($E90,'0.1.1 Pokémon GO Moves'!$A$1:$A951,0)),'Reverse Search'!$J$21),COUNTIF(INDIRECT("'0.1.1 Pokémon GO Moves'!$B$"&amp;MATCH($E90,'0.1.1 Pokémon GO Moves'!$A$1:$A951,0)&amp;":$L$"&amp;MATCH($E90,'0.1.1 Pokémon GO Moves'!$A$1:$A951,0)),'Reverse Search'!$J$21)))))</f>
        <v>0</v>
      </c>
      <c r="AB90" s="490"/>
      <c r="AC90" s="260" t="n">
        <f aca="false">IF((Q90+R90+S90+V90+W90+X90+Y90+IF(Z90&gt;=1,1,0)+IF(AA90&gt;=1,1,0))=9,G90&amp;", ",)</f>
        <v>0</v>
      </c>
    </row>
    <row r="91" customFormat="false" ht="15.75" hidden="false" customHeight="false" outlineLevel="0" collapsed="false">
      <c r="A91" s="260"/>
      <c r="B91" s="358"/>
      <c r="C91" s="260"/>
      <c r="D91" s="358" t="str">
        <f aca="false">IFERROR(__xludf.dummyfunction("""COMPUTED_VALUE"""),"Rest")</f>
        <v>Rest</v>
      </c>
      <c r="E91" s="260" t="n">
        <v>90</v>
      </c>
      <c r="F91" s="260" t="n">
        <f aca="false" t="array" ref="F91:F91">INDEX('0.0.1 Pokémon Dex Data'!$H$3:$H951,MATCH(E91,'0.0.1 Pokémon Dex Data'!$B$3:$B951,0))</f>
        <v>0</v>
      </c>
      <c r="G91" s="0" t="str">
        <f aca="false" t="array" ref="G91:G91">INDEX('0.0.1 Pokémon Dex Data'!$E$3:$E951,MATCH(E91,'0.0.1 Pokémon Dex Data'!$B$3:$B951,0))</f>
        <v>Tentacool</v>
      </c>
      <c r="H91" s="0" t="str">
        <f aca="false" t="array" ref="H91:H91">INDEX('0.0.1 Pokémon Dex Data'!$Q$3:$Q951,MATCH(E91,'0.0.1 Pokémon Dex Data'!$B$3:$B951,0))</f>
        <v>Water</v>
      </c>
      <c r="I91" s="0" t="str">
        <f aca="false" t="array" ref="I91:I91">INDEX('0.0.1 Pokémon Dex Data'!$R$3:$R951,MATCH(E91,'0.0.1 Pokémon Dex Data'!$B$3:$B951,0))</f>
        <v>Poison</v>
      </c>
      <c r="J91" s="260" t="n">
        <f aca="false" t="array" ref="J91:J91">ROUND(INDEX('0.0.1 Pokémon Dex Data'!$S$3:$S951,MATCH($E91,'0.0.1 Pokémon Dex Data'!$B$3:$B951,0))*INDEX('0.0.1 Pokémon Dex Data'!T$3:T951,MATCH($E91,'0.0.1 Pokémon Dex Data'!$B$3:$B951,0)),0)</f>
        <v>97</v>
      </c>
      <c r="K91" s="260" t="n">
        <f aca="false" t="array" ref="K91:K91">ROUND(INDEX('0.0.1 Pokémon Dex Data'!$S$3:$S951,MATCH($E91,'0.0.1 Pokémon Dex Data'!$B$3:$B951,0))*INDEX('0.0.1 Pokémon Dex Data'!U$3:U951,MATCH($E91,'0.0.1 Pokémon Dex Data'!$B$3:$B951,0)),0)</f>
        <v>149</v>
      </c>
      <c r="L91" s="260" t="n">
        <f aca="false" t="array" ref="L91:L91">ROUND(INDEX('0.0.1 Pokémon Dex Data'!$S$3:$S951,MATCH($E91,'0.0.1 Pokémon Dex Data'!$B$3:$B951,0))*INDEX('0.0.1 Pokémon Dex Data'!V$3:V951,MATCH($E91,'0.0.1 Pokémon Dex Data'!$B$3:$B951,0)),0)</f>
        <v>120</v>
      </c>
      <c r="M91" s="260" t="n">
        <f aca="false" t="array" ref="M91:M91">INDEX('0.0.1 Pokémon Dex Data'!$J$3:$J951,MATCH(E91,'0.0.1 Pokémon Dex Data'!$B$3:$B951,0))</f>
        <v>0</v>
      </c>
      <c r="O91" s="490"/>
      <c r="Q91" s="367" t="n">
        <f aca="false">IF('Reverse Search'!$F$4="All (including temporary formes)",1,IF('Reverse Search'!$F$4="Base Pokémon and permanent formes only",IF(F91&lt;=1,1,0),IF(F91=0,1,0)))</f>
        <v>1</v>
      </c>
      <c r="R91" s="0" t="n">
        <f aca="false">IF('Reverse Search'!$C$7="Disable",1,IF('Reverse Search'!$D$9="Disable",1,IF(OR('Reverse Search'!$F$9=H91,'Reverse Search'!$F$9=I91),1,0)))</f>
        <v>1</v>
      </c>
      <c r="S91" s="0" t="n">
        <f aca="false">IF('Reverse Search'!$C$7="Disable",1,IF('Reverse Search'!$D$10="Disable",1,IF(OR('Reverse Search'!$F$10=H91,'Reverse Search'!$F$10=I91),1,0)))</f>
        <v>1</v>
      </c>
      <c r="T91" s="0" t="n">
        <f aca="false">INDEX($B$4:$B$22,MATCH(H91,$A$4:$A$22,0))</f>
        <v>1</v>
      </c>
      <c r="U91" s="0" t="n">
        <f aca="false">IF(ISBLANK(I91),1,INDEX($B$4:$B$22,MATCH(I91,$A$4:$A$22,0)))</f>
        <v>1</v>
      </c>
      <c r="V91" s="367" t="n">
        <f aca="false">IF('Reverse Search'!$C$7="Disable",1,IF('Reverse Search'!$D$11="Disable",1,IF('Reverse Search'!$E$11="Neutral to:",IF(ROUND(T91*U91,2)&lt;=1,1,0),IF(ROUND(T91*U91,2)&lt;1,1,0))))</f>
        <v>1</v>
      </c>
      <c r="W91" s="0" t="n">
        <f aca="false">IF('Reverse Search'!$N$7="Disable",1,IF('Reverse Search'!$I$9="Disable",1,IF('Reverse Search'!$K$9="≥",IF(J91&gt;='Reverse Search'!$L$9,1,0),IF('Reverse Search'!$K$9="≤",IF(J91&lt;='Reverse Search'!$L$9,1,0),IF(J91='Reverse Search'!$L$9,1,0)))))</f>
        <v>1</v>
      </c>
      <c r="X91" s="0" t="n">
        <f aca="false">IF('Reverse Search'!$N$7="Disable",1,IF('Reverse Search'!$I$10="Disable",1,IF('Reverse Search'!$K$10="≥",IF(K91&gt;='Reverse Search'!$L$10,1,0),IF('Reverse Search'!$K$10="≤",IF(K91&lt;='Reverse Search'!$L$10,1,0),IF(K91='Reverse Search'!$L$10,1,0)))))</f>
        <v>1</v>
      </c>
      <c r="Y91" s="367" t="n">
        <f aca="false">IF('Reverse Search'!$N$7="Disable",1,IF('Reverse Search'!$I$11="Disable",1,IF('Reverse Search'!$K$11="≥",IF(L91&gt;='Reverse Search'!$L$11,1,0),IF('Reverse Search'!$K$11="≤",IF(L91&lt;='Reverse Search'!$L$11,1,0),IF(L91='Reverse Search'!$L$11,1,0)))))</f>
        <v>1</v>
      </c>
      <c r="Z91" s="0" t="n">
        <f aca="true">IF('Reverse Search'!$C$14="Disable",1,IF('Reverse Search'!$D$16="Disable",1,IF($C$2=3,IF($M91=0,0,COUNTIF(INDIRECT("'0.0.2 Pokémon Learnset (Core)'!$D$"&amp;MATCH($E91,'0.0.2 Pokémon Learnset (Core)'!$A$1:$A951,0)&amp;":$FK$"&amp;MATCH($E91,'0.0.2 Pokémon Learnset (Core)'!$A$1:$A951,0)),'Reverse Search'!$E$21)),IF($C$2=2,COUNTIF(INDIRECT("'0.1.1 Pokémon GO Moves'!$B$"&amp;MATCH($E91,'0.1.1 Pokémon GO Moves'!$A$1:$A951,0)&amp;":$R$"&amp;MATCH($E91,'0.1.1 Pokémon GO Moves'!$A$1:$A951,0)),'Reverse Search'!$E$21),COUNTIF(INDIRECT("'0.1.1 Pokémon GO Moves'!$B$"&amp;MATCH($E91,'0.1.1 Pokémon GO Moves'!$A$1:$A951,0)&amp;":$L$"&amp;MATCH($E91,'0.1.1 Pokémon GO Moves'!$A$1:$A951,0)),'Reverse Search'!$E$21)))))</f>
        <v>1</v>
      </c>
      <c r="AA91" s="0" t="n">
        <f aca="true">IF('Reverse Search'!$C$14="Disable",1,IF('Reverse Search'!$I$16="Disable",1,IF($D$2=3,IF($M91=0,0,COUNTIF(INDIRECT("'0.0.2 Pokémon Learnset (Core)'!$D$"&amp;MATCH($E91,'0.0.2 Pokémon Learnset (Core)'!$A$1:$A951,0)&amp;":$FK$"&amp;MATCH($E91,'0.0.2 Pokémon Learnset (Core)'!$A$1:$A951,0)),'Reverse Search'!$J$21)),IF($D$2=2,COUNTIF(INDIRECT("'0.1.1 Pokémon GO Moves'!$B$"&amp;MATCH($E91,'0.1.1 Pokémon GO Moves'!$A$1:$A951,0)&amp;":$R$"&amp;MATCH($E91,'0.1.1 Pokémon GO Moves'!$A$1:$A951,0)),'Reverse Search'!$J$21),COUNTIF(INDIRECT("'0.1.1 Pokémon GO Moves'!$B$"&amp;MATCH($E91,'0.1.1 Pokémon GO Moves'!$A$1:$A951,0)&amp;":$L$"&amp;MATCH($E91,'0.1.1 Pokémon GO Moves'!$A$1:$A951,0)),'Reverse Search'!$J$21)))))</f>
        <v>0</v>
      </c>
      <c r="AB91" s="490"/>
      <c r="AC91" s="260" t="n">
        <f aca="false">IF((Q91+R91+S91+V91+W91+X91+Y91+IF(Z91&gt;=1,1,0)+IF(AA91&gt;=1,1,0))=9,G91&amp;", ",)</f>
        <v>0</v>
      </c>
    </row>
    <row r="92" customFormat="false" ht="15.75" hidden="false" customHeight="false" outlineLevel="0" collapsed="false">
      <c r="A92" s="260"/>
      <c r="B92" s="358"/>
      <c r="C92" s="260"/>
      <c r="D92" s="358" t="str">
        <f aca="false">IFERROR(__xludf.dummyfunction("""COMPUTED_VALUE"""),"Rock Blast")</f>
        <v>Rock Blast</v>
      </c>
      <c r="E92" s="260" t="n">
        <v>91</v>
      </c>
      <c r="F92" s="260" t="n">
        <f aca="false" t="array" ref="F92:F92">INDEX('0.0.1 Pokémon Dex Data'!$H$3:$H951,MATCH(E92,'0.0.1 Pokémon Dex Data'!$B$3:$B951,0))</f>
        <v>0</v>
      </c>
      <c r="G92" s="0" t="str">
        <f aca="false" t="array" ref="G92:G92">INDEX('0.0.1 Pokémon Dex Data'!$E$3:$E951,MATCH(E92,'0.0.1 Pokémon Dex Data'!$B$3:$B951,0))</f>
        <v>Tentacruel</v>
      </c>
      <c r="H92" s="0" t="str">
        <f aca="false" t="array" ref="H92:H92">INDEX('0.0.1 Pokémon Dex Data'!$Q$3:$Q951,MATCH(E92,'0.0.1 Pokémon Dex Data'!$B$3:$B951,0))</f>
        <v>Water</v>
      </c>
      <c r="I92" s="0" t="str">
        <f aca="false" t="array" ref="I92:I92">INDEX('0.0.1 Pokémon Dex Data'!$R$3:$R951,MATCH(E92,'0.0.1 Pokémon Dex Data'!$B$3:$B951,0))</f>
        <v>Poison</v>
      </c>
      <c r="J92" s="260" t="n">
        <f aca="false" t="array" ref="J92:J92">ROUND(INDEX('0.0.1 Pokémon Dex Data'!$S$3:$S951,MATCH($E92,'0.0.1 Pokémon Dex Data'!$B$3:$B951,0))*INDEX('0.0.1 Pokémon Dex Data'!T$3:T951,MATCH($E92,'0.0.1 Pokémon Dex Data'!$B$3:$B951,0)),0)</f>
        <v>166</v>
      </c>
      <c r="K92" s="260" t="n">
        <f aca="false" t="array" ref="K92:K92">ROUND(INDEX('0.0.1 Pokémon Dex Data'!$S$3:$S951,MATCH($E92,'0.0.1 Pokémon Dex Data'!$B$3:$B951,0))*INDEX('0.0.1 Pokémon Dex Data'!U$3:U951,MATCH($E92,'0.0.1 Pokémon Dex Data'!$B$3:$B951,0)),0)</f>
        <v>209</v>
      </c>
      <c r="L92" s="260" t="n">
        <f aca="false" t="array" ref="L92:L92">ROUND(INDEX('0.0.1 Pokémon Dex Data'!$S$3:$S951,MATCH($E92,'0.0.1 Pokémon Dex Data'!$B$3:$B951,0))*INDEX('0.0.1 Pokémon Dex Data'!V$3:V951,MATCH($E92,'0.0.1 Pokémon Dex Data'!$B$3:$B951,0)),0)</f>
        <v>190</v>
      </c>
      <c r="M92" s="260" t="n">
        <f aca="false" t="array" ref="M92:M92">INDEX('0.0.1 Pokémon Dex Data'!$J$3:$J951,MATCH(E92,'0.0.1 Pokémon Dex Data'!$B$3:$B951,0))</f>
        <v>1</v>
      </c>
      <c r="O92" s="490"/>
      <c r="Q92" s="367" t="n">
        <f aca="false">IF('Reverse Search'!$F$4="All (including temporary formes)",1,IF('Reverse Search'!$F$4="Base Pokémon and permanent formes only",IF(F92&lt;=1,1,0),IF(F92=0,1,0)))</f>
        <v>1</v>
      </c>
      <c r="R92" s="0" t="n">
        <f aca="false">IF('Reverse Search'!$C$7="Disable",1,IF('Reverse Search'!$D$9="Disable",1,IF(OR('Reverse Search'!$F$9=H92,'Reverse Search'!$F$9=I92),1,0)))</f>
        <v>1</v>
      </c>
      <c r="S92" s="0" t="n">
        <f aca="false">IF('Reverse Search'!$C$7="Disable",1,IF('Reverse Search'!$D$10="Disable",1,IF(OR('Reverse Search'!$F$10=H92,'Reverse Search'!$F$10=I92),1,0)))</f>
        <v>1</v>
      </c>
      <c r="T92" s="0" t="n">
        <f aca="false">INDEX($B$4:$B$22,MATCH(H92,$A$4:$A$22,0))</f>
        <v>1</v>
      </c>
      <c r="U92" s="0" t="n">
        <f aca="false">IF(ISBLANK(I92),1,INDEX($B$4:$B$22,MATCH(I92,$A$4:$A$22,0)))</f>
        <v>1</v>
      </c>
      <c r="V92" s="367" t="n">
        <f aca="false">IF('Reverse Search'!$C$7="Disable",1,IF('Reverse Search'!$D$11="Disable",1,IF('Reverse Search'!$E$11="Neutral to:",IF(ROUND(T92*U92,2)&lt;=1,1,0),IF(ROUND(T92*U92,2)&lt;1,1,0))))</f>
        <v>1</v>
      </c>
      <c r="W92" s="0" t="n">
        <f aca="false">IF('Reverse Search'!$N$7="Disable",1,IF('Reverse Search'!$I$9="Disable",1,IF('Reverse Search'!$K$9="≥",IF(J92&gt;='Reverse Search'!$L$9,1,0),IF('Reverse Search'!$K$9="≤",IF(J92&lt;='Reverse Search'!$L$9,1,0),IF(J92='Reverse Search'!$L$9,1,0)))))</f>
        <v>1</v>
      </c>
      <c r="X92" s="0" t="n">
        <f aca="false">IF('Reverse Search'!$N$7="Disable",1,IF('Reverse Search'!$I$10="Disable",1,IF('Reverse Search'!$K$10="≥",IF(K92&gt;='Reverse Search'!$L$10,1,0),IF('Reverse Search'!$K$10="≤",IF(K92&lt;='Reverse Search'!$L$10,1,0),IF(K92='Reverse Search'!$L$10,1,0)))))</f>
        <v>1</v>
      </c>
      <c r="Y92" s="367" t="n">
        <f aca="false">IF('Reverse Search'!$N$7="Disable",1,IF('Reverse Search'!$I$11="Disable",1,IF('Reverse Search'!$K$11="≥",IF(L92&gt;='Reverse Search'!$L$11,1,0),IF('Reverse Search'!$K$11="≤",IF(L92&lt;='Reverse Search'!$L$11,1,0),IF(L92='Reverse Search'!$L$11,1,0)))))</f>
        <v>1</v>
      </c>
      <c r="Z92" s="0" t="n">
        <f aca="true">IF('Reverse Search'!$C$14="Disable",1,IF('Reverse Search'!$D$16="Disable",1,IF($C$2=3,IF($M92=0,0,COUNTIF(INDIRECT("'0.0.2 Pokémon Learnset (Core)'!$D$"&amp;MATCH($E92,'0.0.2 Pokémon Learnset (Core)'!$A$1:$A951,0)&amp;":$FK$"&amp;MATCH($E92,'0.0.2 Pokémon Learnset (Core)'!$A$1:$A951,0)),'Reverse Search'!$E$21)),IF($C$2=2,COUNTIF(INDIRECT("'0.1.1 Pokémon GO Moves'!$B$"&amp;MATCH($E92,'0.1.1 Pokémon GO Moves'!$A$1:$A951,0)&amp;":$R$"&amp;MATCH($E92,'0.1.1 Pokémon GO Moves'!$A$1:$A951,0)),'Reverse Search'!$E$21),COUNTIF(INDIRECT("'0.1.1 Pokémon GO Moves'!$B$"&amp;MATCH($E92,'0.1.1 Pokémon GO Moves'!$A$1:$A951,0)&amp;":$L$"&amp;MATCH($E92,'0.1.1 Pokémon GO Moves'!$A$1:$A951,0)),'Reverse Search'!$E$21)))))</f>
        <v>1</v>
      </c>
      <c r="AA92" s="0" t="n">
        <f aca="true">IF('Reverse Search'!$C$14="Disable",1,IF('Reverse Search'!$I$16="Disable",1,IF($D$2=3,IF($M92=0,0,COUNTIF(INDIRECT("'0.0.2 Pokémon Learnset (Core)'!$D$"&amp;MATCH($E92,'0.0.2 Pokémon Learnset (Core)'!$A$1:$A951,0)&amp;":$FK$"&amp;MATCH($E92,'0.0.2 Pokémon Learnset (Core)'!$A$1:$A951,0)),'Reverse Search'!$J$21)),IF($D$2=2,COUNTIF(INDIRECT("'0.1.1 Pokémon GO Moves'!$B$"&amp;MATCH($E92,'0.1.1 Pokémon GO Moves'!$A$1:$A951,0)&amp;":$R$"&amp;MATCH($E92,'0.1.1 Pokémon GO Moves'!$A$1:$A951,0)),'Reverse Search'!$J$21),COUNTIF(INDIRECT("'0.1.1 Pokémon GO Moves'!$B$"&amp;MATCH($E92,'0.1.1 Pokémon GO Moves'!$A$1:$A951,0)&amp;":$L$"&amp;MATCH($E92,'0.1.1 Pokémon GO Moves'!$A$1:$A951,0)),'Reverse Search'!$J$21)))))</f>
        <v>0</v>
      </c>
      <c r="AB92" s="490"/>
      <c r="AC92" s="260" t="n">
        <f aca="false">IF((Q92+R92+S92+V92+W92+X92+Y92+IF(Z92&gt;=1,1,0)+IF(AA92&gt;=1,1,0))=9,G92&amp;", ",)</f>
        <v>0</v>
      </c>
    </row>
    <row r="93" customFormat="false" ht="15.75" hidden="false" customHeight="false" outlineLevel="0" collapsed="false">
      <c r="A93" s="260"/>
      <c r="B93" s="358"/>
      <c r="C93" s="260"/>
      <c r="D93" s="358" t="str">
        <f aca="false">IFERROR(__xludf.dummyfunction("""COMPUTED_VALUE"""),"Rock Slide")</f>
        <v>Rock Slide</v>
      </c>
      <c r="E93" s="260" t="n">
        <v>92</v>
      </c>
      <c r="F93" s="260" t="n">
        <f aca="false" t="array" ref="F93:F93">INDEX('0.0.1 Pokémon Dex Data'!$H$3:$H951,MATCH(E93,'0.0.1 Pokémon Dex Data'!$B$3:$B951,0))</f>
        <v>0</v>
      </c>
      <c r="G93" s="0" t="str">
        <f aca="false" t="array" ref="G93:G93">INDEX('0.0.1 Pokémon Dex Data'!$E$3:$E951,MATCH(E93,'0.0.1 Pokémon Dex Data'!$B$3:$B951,0))</f>
        <v>Geodude</v>
      </c>
      <c r="H93" s="0" t="str">
        <f aca="false" t="array" ref="H93:H93">INDEX('0.0.1 Pokémon Dex Data'!$Q$3:$Q951,MATCH(E93,'0.0.1 Pokémon Dex Data'!$B$3:$B951,0))</f>
        <v>Rock</v>
      </c>
      <c r="I93" s="0" t="str">
        <f aca="false" t="array" ref="I93:I93">INDEX('0.0.1 Pokémon Dex Data'!$R$3:$R951,MATCH(E93,'0.0.1 Pokémon Dex Data'!$B$3:$B951,0))</f>
        <v>Ground</v>
      </c>
      <c r="J93" s="260" t="n">
        <f aca="false" t="array" ref="J93:J93">ROUND(INDEX('0.0.1 Pokémon Dex Data'!$S$3:$S951,MATCH($E93,'0.0.1 Pokémon Dex Data'!$B$3:$B951,0))*INDEX('0.0.1 Pokémon Dex Data'!T$3:T951,MATCH($E93,'0.0.1 Pokémon Dex Data'!$B$3:$B951,0)),0)</f>
        <v>132</v>
      </c>
      <c r="K93" s="260" t="n">
        <f aca="false" t="array" ref="K93:K93">ROUND(INDEX('0.0.1 Pokémon Dex Data'!$S$3:$S951,MATCH($E93,'0.0.1 Pokémon Dex Data'!$B$3:$B951,0))*INDEX('0.0.1 Pokémon Dex Data'!U$3:U951,MATCH($E93,'0.0.1 Pokémon Dex Data'!$B$3:$B951,0)),0)</f>
        <v>132</v>
      </c>
      <c r="L93" s="260" t="n">
        <f aca="false" t="array" ref="L93:L93">ROUND(INDEX('0.0.1 Pokémon Dex Data'!$S$3:$S951,MATCH($E93,'0.0.1 Pokémon Dex Data'!$B$3:$B951,0))*INDEX('0.0.1 Pokémon Dex Data'!V$3:V951,MATCH($E93,'0.0.1 Pokémon Dex Data'!$B$3:$B951,0)),0)</f>
        <v>120</v>
      </c>
      <c r="M93" s="260" t="n">
        <f aca="false" t="array" ref="M93:M93">INDEX('0.0.1 Pokémon Dex Data'!$J$3:$J951,MATCH(E93,'0.0.1 Pokémon Dex Data'!$B$3:$B951,0))</f>
        <v>0</v>
      </c>
      <c r="O93" s="490"/>
      <c r="Q93" s="367" t="n">
        <f aca="false">IF('Reverse Search'!$F$4="All (including temporary formes)",1,IF('Reverse Search'!$F$4="Base Pokémon and permanent formes only",IF(F93&lt;=1,1,0),IF(F93=0,1,0)))</f>
        <v>1</v>
      </c>
      <c r="R93" s="0" t="n">
        <f aca="false">IF('Reverse Search'!$C$7="Disable",1,IF('Reverse Search'!$D$9="Disable",1,IF(OR('Reverse Search'!$F$9=H93,'Reverse Search'!$F$9=I93),1,0)))</f>
        <v>1</v>
      </c>
      <c r="S93" s="0" t="n">
        <f aca="false">IF('Reverse Search'!$C$7="Disable",1,IF('Reverse Search'!$D$10="Disable",1,IF(OR('Reverse Search'!$F$10=H93,'Reverse Search'!$F$10=I93),1,0)))</f>
        <v>1</v>
      </c>
      <c r="T93" s="0" t="n">
        <f aca="false">INDEX($B$4:$B$22,MATCH(H93,$A$4:$A$22,0))</f>
        <v>0.714</v>
      </c>
      <c r="U93" s="0" t="n">
        <f aca="false">IF(ISBLANK(I93),1,INDEX($B$4:$B$22,MATCH(I93,$A$4:$A$22,0)))</f>
        <v>1</v>
      </c>
      <c r="V93" s="367" t="n">
        <f aca="false">IF('Reverse Search'!$C$7="Disable",1,IF('Reverse Search'!$D$11="Disable",1,IF('Reverse Search'!$E$11="Neutral to:",IF(ROUND(T93*U93,2)&lt;=1,1,0),IF(ROUND(T93*U93,2)&lt;1,1,0))))</f>
        <v>1</v>
      </c>
      <c r="W93" s="0" t="n">
        <f aca="false">IF('Reverse Search'!$N$7="Disable",1,IF('Reverse Search'!$I$9="Disable",1,IF('Reverse Search'!$K$9="≥",IF(J93&gt;='Reverse Search'!$L$9,1,0),IF('Reverse Search'!$K$9="≤",IF(J93&lt;='Reverse Search'!$L$9,1,0),IF(J93='Reverse Search'!$L$9,1,0)))))</f>
        <v>1</v>
      </c>
      <c r="X93" s="0" t="n">
        <f aca="false">IF('Reverse Search'!$N$7="Disable",1,IF('Reverse Search'!$I$10="Disable",1,IF('Reverse Search'!$K$10="≥",IF(K93&gt;='Reverse Search'!$L$10,1,0),IF('Reverse Search'!$K$10="≤",IF(K93&lt;='Reverse Search'!$L$10,1,0),IF(K93='Reverse Search'!$L$10,1,0)))))</f>
        <v>1</v>
      </c>
      <c r="Y93" s="367" t="n">
        <f aca="false">IF('Reverse Search'!$N$7="Disable",1,IF('Reverse Search'!$I$11="Disable",1,IF('Reverse Search'!$K$11="≥",IF(L93&gt;='Reverse Search'!$L$11,1,0),IF('Reverse Search'!$K$11="≤",IF(L93&lt;='Reverse Search'!$L$11,1,0),IF(L93='Reverse Search'!$L$11,1,0)))))</f>
        <v>1</v>
      </c>
      <c r="Z93" s="0" t="n">
        <f aca="true">IF('Reverse Search'!$C$14="Disable",1,IF('Reverse Search'!$D$16="Disable",1,IF($C$2=3,IF($M93=0,0,COUNTIF(INDIRECT("'0.0.2 Pokémon Learnset (Core)'!$D$"&amp;MATCH($E93,'0.0.2 Pokémon Learnset (Core)'!$A$1:$A951,0)&amp;":$FK$"&amp;MATCH($E93,'0.0.2 Pokémon Learnset (Core)'!$A$1:$A951,0)),'Reverse Search'!$E$21)),IF($C$2=2,COUNTIF(INDIRECT("'0.1.1 Pokémon GO Moves'!$B$"&amp;MATCH($E93,'0.1.1 Pokémon GO Moves'!$A$1:$A951,0)&amp;":$R$"&amp;MATCH($E93,'0.1.1 Pokémon GO Moves'!$A$1:$A951,0)),'Reverse Search'!$E$21),COUNTIF(INDIRECT("'0.1.1 Pokémon GO Moves'!$B$"&amp;MATCH($E93,'0.1.1 Pokémon GO Moves'!$A$1:$A951,0)&amp;":$L$"&amp;MATCH($E93,'0.1.1 Pokémon GO Moves'!$A$1:$A951,0)),'Reverse Search'!$E$21)))))</f>
        <v>1</v>
      </c>
      <c r="AA93" s="0" t="n">
        <f aca="true">IF('Reverse Search'!$C$14="Disable",1,IF('Reverse Search'!$I$16="Disable",1,IF($D$2=3,IF($M93=0,0,COUNTIF(INDIRECT("'0.0.2 Pokémon Learnset (Core)'!$D$"&amp;MATCH($E93,'0.0.2 Pokémon Learnset (Core)'!$A$1:$A951,0)&amp;":$FK$"&amp;MATCH($E93,'0.0.2 Pokémon Learnset (Core)'!$A$1:$A951,0)),'Reverse Search'!$J$21)),IF($D$2=2,COUNTIF(INDIRECT("'0.1.1 Pokémon GO Moves'!$B$"&amp;MATCH($E93,'0.1.1 Pokémon GO Moves'!$A$1:$A951,0)&amp;":$R$"&amp;MATCH($E93,'0.1.1 Pokémon GO Moves'!$A$1:$A951,0)),'Reverse Search'!$J$21),COUNTIF(INDIRECT("'0.1.1 Pokémon GO Moves'!$B$"&amp;MATCH($E93,'0.1.1 Pokémon GO Moves'!$A$1:$A951,0)&amp;":$L$"&amp;MATCH($E93,'0.1.1 Pokémon GO Moves'!$A$1:$A951,0)),'Reverse Search'!$J$21)))))</f>
        <v>0</v>
      </c>
      <c r="AB93" s="490"/>
      <c r="AC93" s="260" t="n">
        <f aca="false">IF((Q93+R93+S93+V93+W93+X93+Y93+IF(Z93&gt;=1,1,0)+IF(AA93&gt;=1,1,0))=9,G93&amp;", ",)</f>
        <v>0</v>
      </c>
    </row>
    <row r="94" customFormat="false" ht="15.75" hidden="false" customHeight="false" outlineLevel="0" collapsed="false">
      <c r="A94" s="260"/>
      <c r="B94" s="358"/>
      <c r="C94" s="260"/>
      <c r="D94" s="358" t="str">
        <f aca="false">IFERROR(__xludf.dummyfunction("""COMPUTED_VALUE"""),"Rock Tomb")</f>
        <v>Rock Tomb</v>
      </c>
      <c r="E94" s="260" t="n">
        <v>93</v>
      </c>
      <c r="F94" s="260" t="n">
        <f aca="false" t="array" ref="F94:F94">INDEX('0.0.1 Pokémon Dex Data'!$H$3:$H951,MATCH(E94,'0.0.1 Pokémon Dex Data'!$B$3:$B951,0))</f>
        <v>1</v>
      </c>
      <c r="G94" s="0" t="str">
        <f aca="false" t="array" ref="G94:G94">INDEX('0.0.1 Pokémon Dex Data'!$E$3:$E951,MATCH(E94,'0.0.1 Pokémon Dex Data'!$B$3:$B951,0))</f>
        <v>Geodude-Alolan</v>
      </c>
      <c r="H94" s="0" t="str">
        <f aca="false" t="array" ref="H94:H94">INDEX('0.0.1 Pokémon Dex Data'!$Q$3:$Q951,MATCH(E94,'0.0.1 Pokémon Dex Data'!$B$3:$B951,0))</f>
        <v>Rock</v>
      </c>
      <c r="I94" s="0" t="str">
        <f aca="false" t="array" ref="I94:I94">INDEX('0.0.1 Pokémon Dex Data'!$R$3:$R951,MATCH(E94,'0.0.1 Pokémon Dex Data'!$B$3:$B951,0))</f>
        <v>Electric</v>
      </c>
      <c r="J94" s="260" t="n">
        <f aca="false" t="array" ref="J94:J94">ROUND(INDEX('0.0.1 Pokémon Dex Data'!$S$3:$S951,MATCH($E94,'0.0.1 Pokémon Dex Data'!$B$3:$B951,0))*INDEX('0.0.1 Pokémon Dex Data'!T$3:T951,MATCH($E94,'0.0.1 Pokémon Dex Data'!$B$3:$B951,0)),0)</f>
        <v>132</v>
      </c>
      <c r="K94" s="260" t="n">
        <f aca="false" t="array" ref="K94:K94">ROUND(INDEX('0.0.1 Pokémon Dex Data'!$S$3:$S951,MATCH($E94,'0.0.1 Pokémon Dex Data'!$B$3:$B951,0))*INDEX('0.0.1 Pokémon Dex Data'!U$3:U951,MATCH($E94,'0.0.1 Pokémon Dex Data'!$B$3:$B951,0)),0)</f>
        <v>132</v>
      </c>
      <c r="L94" s="260" t="n">
        <f aca="false" t="array" ref="L94:L94">ROUND(INDEX('0.0.1 Pokémon Dex Data'!$S$3:$S951,MATCH($E94,'0.0.1 Pokémon Dex Data'!$B$3:$B951,0))*INDEX('0.0.1 Pokémon Dex Data'!V$3:V951,MATCH($E94,'0.0.1 Pokémon Dex Data'!$B$3:$B951,0)),0)</f>
        <v>120</v>
      </c>
      <c r="M94" s="260" t="n">
        <f aca="false" t="array" ref="M94:M94">INDEX('0.0.1 Pokémon Dex Data'!$J$3:$J951,MATCH(E94,'0.0.1 Pokémon Dex Data'!$B$3:$B951,0))</f>
        <v>0</v>
      </c>
      <c r="O94" s="490"/>
      <c r="Q94" s="367" t="n">
        <f aca="false">IF('Reverse Search'!$F$4="All (including temporary formes)",1,IF('Reverse Search'!$F$4="Base Pokémon and permanent formes only",IF(F94&lt;=1,1,0),IF(F94=0,1,0)))</f>
        <v>0</v>
      </c>
      <c r="R94" s="0" t="n">
        <f aca="false">IF('Reverse Search'!$C$7="Disable",1,IF('Reverse Search'!$D$9="Disable",1,IF(OR('Reverse Search'!$F$9=H94,'Reverse Search'!$F$9=I94),1,0)))</f>
        <v>1</v>
      </c>
      <c r="S94" s="0" t="n">
        <f aca="false">IF('Reverse Search'!$C$7="Disable",1,IF('Reverse Search'!$D$10="Disable",1,IF(OR('Reverse Search'!$F$10=H94,'Reverse Search'!$F$10=I94),1,0)))</f>
        <v>1</v>
      </c>
      <c r="T94" s="0" t="n">
        <f aca="false">INDEX($B$4:$B$22,MATCH(H94,$A$4:$A$22,0))</f>
        <v>0.714</v>
      </c>
      <c r="U94" s="0" t="n">
        <f aca="false">IF(ISBLANK(I94),1,INDEX($B$4:$B$22,MATCH(I94,$A$4:$A$22,0)))</f>
        <v>1</v>
      </c>
      <c r="V94" s="367" t="n">
        <f aca="false">IF('Reverse Search'!$C$7="Disable",1,IF('Reverse Search'!$D$11="Disable",1,IF('Reverse Search'!$E$11="Neutral to:",IF(ROUND(T94*U94,2)&lt;=1,1,0),IF(ROUND(T94*U94,2)&lt;1,1,0))))</f>
        <v>1</v>
      </c>
      <c r="W94" s="0" t="n">
        <f aca="false">IF('Reverse Search'!$N$7="Disable",1,IF('Reverse Search'!$I$9="Disable",1,IF('Reverse Search'!$K$9="≥",IF(J94&gt;='Reverse Search'!$L$9,1,0),IF('Reverse Search'!$K$9="≤",IF(J94&lt;='Reverse Search'!$L$9,1,0),IF(J94='Reverse Search'!$L$9,1,0)))))</f>
        <v>1</v>
      </c>
      <c r="X94" s="0" t="n">
        <f aca="false">IF('Reverse Search'!$N$7="Disable",1,IF('Reverse Search'!$I$10="Disable",1,IF('Reverse Search'!$K$10="≥",IF(K94&gt;='Reverse Search'!$L$10,1,0),IF('Reverse Search'!$K$10="≤",IF(K94&lt;='Reverse Search'!$L$10,1,0),IF(K94='Reverse Search'!$L$10,1,0)))))</f>
        <v>1</v>
      </c>
      <c r="Y94" s="367" t="n">
        <f aca="false">IF('Reverse Search'!$N$7="Disable",1,IF('Reverse Search'!$I$11="Disable",1,IF('Reverse Search'!$K$11="≥",IF(L94&gt;='Reverse Search'!$L$11,1,0),IF('Reverse Search'!$K$11="≤",IF(L94&lt;='Reverse Search'!$L$11,1,0),IF(L94='Reverse Search'!$L$11,1,0)))))</f>
        <v>1</v>
      </c>
      <c r="Z94" s="0" t="n">
        <f aca="true">IF('Reverse Search'!$C$14="Disable",1,IF('Reverse Search'!$D$16="Disable",1,IF($C$2=3,IF($M94=0,0,COUNTIF(INDIRECT("'0.0.2 Pokémon Learnset (Core)'!$D$"&amp;MATCH($E94,'0.0.2 Pokémon Learnset (Core)'!$A$1:$A951,0)&amp;":$FK$"&amp;MATCH($E94,'0.0.2 Pokémon Learnset (Core)'!$A$1:$A951,0)),'Reverse Search'!$E$21)),IF($C$2=2,COUNTIF(INDIRECT("'0.1.1 Pokémon GO Moves'!$B$"&amp;MATCH($E94,'0.1.1 Pokémon GO Moves'!$A$1:$A951,0)&amp;":$R$"&amp;MATCH($E94,'0.1.1 Pokémon GO Moves'!$A$1:$A951,0)),'Reverse Search'!$E$21),COUNTIF(INDIRECT("'0.1.1 Pokémon GO Moves'!$B$"&amp;MATCH($E94,'0.1.1 Pokémon GO Moves'!$A$1:$A951,0)&amp;":$L$"&amp;MATCH($E94,'0.1.1 Pokémon GO Moves'!$A$1:$A951,0)),'Reverse Search'!$E$21)))))</f>
        <v>1</v>
      </c>
      <c r="AA94" s="0" t="e">
        <f aca="true">IF('Reverse Search'!$C$14="Disable",1,IF('Reverse Search'!$I$16="Disable",1,IF($D$2=3,IF($M94=0,0,COUNTIF(INDIRECT("'0.0.2 Pokémon Learnset (Core)'!$D$"&amp;MATCH($E94,'0.0.2 Pokémon Learnset (Core)'!$A$1:$A951,0)&amp;":$FK$"&amp;MATCH($E94,'0.0.2 Pokémon Learnset (Core)'!$A$1:$A951,0)),'Reverse Search'!$J$21)),IF($D$2=2,COUNTIF(INDIRECT("'0.1.1 Pokémon GO Moves'!$B$"&amp;MATCH($E94,'0.1.1 Pokémon GO Moves'!$A$1:$A951,0)&amp;":$R$"&amp;MATCH($E94,'0.1.1 Pokémon GO Moves'!$A$1:$A951,0)),'Reverse Search'!$J$21),COUNTIF(INDIRECT("'0.1.1 Pokémon GO Moves'!$B$"&amp;MATCH($E94,'0.1.1 Pokémon GO Moves'!$A$1:$A951,0)&amp;":$L$"&amp;MATCH($E94,'0.1.1 Pokémon GO Moves'!$A$1:$A951,0)),'Reverse Search'!$J$21)))))</f>
        <v>#N/A</v>
      </c>
      <c r="AB94" s="490"/>
      <c r="AC94" s="260" t="e">
        <f aca="false">IF((Q94+R94+S94+V94+W94+X94+Y94+IF(Z94&gt;=1,1,0)+IF(AA94&gt;=1,1,0))=9,G94&amp;", ",)</f>
        <v>#N/A</v>
      </c>
    </row>
    <row r="95" customFormat="false" ht="15.75" hidden="false" customHeight="false" outlineLevel="0" collapsed="false">
      <c r="A95" s="260"/>
      <c r="B95" s="358"/>
      <c r="C95" s="260"/>
      <c r="D95" s="358" t="str">
        <f aca="false">IFERROR(__xludf.dummyfunction("""COMPUTED_VALUE"""),"Sand Tomb")</f>
        <v>Sand Tomb</v>
      </c>
      <c r="E95" s="260" t="n">
        <v>94</v>
      </c>
      <c r="F95" s="260" t="n">
        <f aca="false" t="array" ref="F95:F95">INDEX('0.0.1 Pokémon Dex Data'!$H$3:$H951,MATCH(E95,'0.0.1 Pokémon Dex Data'!$B$3:$B951,0))</f>
        <v>0</v>
      </c>
      <c r="G95" s="0" t="str">
        <f aca="false" t="array" ref="G95:G95">INDEX('0.0.1 Pokémon Dex Data'!$E$3:$E951,MATCH(E95,'0.0.1 Pokémon Dex Data'!$B$3:$B951,0))</f>
        <v>Graveler</v>
      </c>
      <c r="H95" s="0" t="str">
        <f aca="false" t="array" ref="H95:H95">INDEX('0.0.1 Pokémon Dex Data'!$Q$3:$Q951,MATCH(E95,'0.0.1 Pokémon Dex Data'!$B$3:$B951,0))</f>
        <v>Rock</v>
      </c>
      <c r="I95" s="0" t="str">
        <f aca="false" t="array" ref="I95:I95">INDEX('0.0.1 Pokémon Dex Data'!$R$3:$R951,MATCH(E95,'0.0.1 Pokémon Dex Data'!$B$3:$B951,0))</f>
        <v>Ground</v>
      </c>
      <c r="J95" s="260" t="n">
        <f aca="false" t="array" ref="J95:J95">ROUND(INDEX('0.0.1 Pokémon Dex Data'!$S$3:$S951,MATCH($E95,'0.0.1 Pokémon Dex Data'!$B$3:$B951,0))*INDEX('0.0.1 Pokémon Dex Data'!T$3:T951,MATCH($E95,'0.0.1 Pokémon Dex Data'!$B$3:$B951,0)),0)</f>
        <v>164</v>
      </c>
      <c r="K95" s="260" t="n">
        <f aca="false" t="array" ref="K95:K95">ROUND(INDEX('0.0.1 Pokémon Dex Data'!$S$3:$S951,MATCH($E95,'0.0.1 Pokémon Dex Data'!$B$3:$B951,0))*INDEX('0.0.1 Pokémon Dex Data'!U$3:U951,MATCH($E95,'0.0.1 Pokémon Dex Data'!$B$3:$B951,0)),0)</f>
        <v>164</v>
      </c>
      <c r="L95" s="260" t="n">
        <f aca="false" t="array" ref="L95:L95">ROUND(INDEX('0.0.1 Pokémon Dex Data'!$S$3:$S951,MATCH($E95,'0.0.1 Pokémon Dex Data'!$B$3:$B951,0))*INDEX('0.0.1 Pokémon Dex Data'!V$3:V951,MATCH($E95,'0.0.1 Pokémon Dex Data'!$B$3:$B951,0)),0)</f>
        <v>146</v>
      </c>
      <c r="M95" s="260" t="n">
        <f aca="false" t="array" ref="M95:M95">INDEX('0.0.1 Pokémon Dex Data'!$J$3:$J951,MATCH(E95,'0.0.1 Pokémon Dex Data'!$B$3:$B951,0))</f>
        <v>0</v>
      </c>
      <c r="O95" s="490"/>
      <c r="Q95" s="367" t="n">
        <f aca="false">IF('Reverse Search'!$F$4="All (including temporary formes)",1,IF('Reverse Search'!$F$4="Base Pokémon and permanent formes only",IF(F95&lt;=1,1,0),IF(F95=0,1,0)))</f>
        <v>1</v>
      </c>
      <c r="R95" s="0" t="n">
        <f aca="false">IF('Reverse Search'!$C$7="Disable",1,IF('Reverse Search'!$D$9="Disable",1,IF(OR('Reverse Search'!$F$9=H95,'Reverse Search'!$F$9=I95),1,0)))</f>
        <v>1</v>
      </c>
      <c r="S95" s="0" t="n">
        <f aca="false">IF('Reverse Search'!$C$7="Disable",1,IF('Reverse Search'!$D$10="Disable",1,IF(OR('Reverse Search'!$F$10=H95,'Reverse Search'!$F$10=I95),1,0)))</f>
        <v>1</v>
      </c>
      <c r="T95" s="0" t="n">
        <f aca="false">INDEX($B$4:$B$22,MATCH(H95,$A$4:$A$22,0))</f>
        <v>0.714</v>
      </c>
      <c r="U95" s="0" t="n">
        <f aca="false">IF(ISBLANK(I95),1,INDEX($B$4:$B$22,MATCH(I95,$A$4:$A$22,0)))</f>
        <v>1</v>
      </c>
      <c r="V95" s="367" t="n">
        <f aca="false">IF('Reverse Search'!$C$7="Disable",1,IF('Reverse Search'!$D$11="Disable",1,IF('Reverse Search'!$E$11="Neutral to:",IF(ROUND(T95*U95,2)&lt;=1,1,0),IF(ROUND(T95*U95,2)&lt;1,1,0))))</f>
        <v>1</v>
      </c>
      <c r="W95" s="0" t="n">
        <f aca="false">IF('Reverse Search'!$N$7="Disable",1,IF('Reverse Search'!$I$9="Disable",1,IF('Reverse Search'!$K$9="≥",IF(J95&gt;='Reverse Search'!$L$9,1,0),IF('Reverse Search'!$K$9="≤",IF(J95&lt;='Reverse Search'!$L$9,1,0),IF(J95='Reverse Search'!$L$9,1,0)))))</f>
        <v>1</v>
      </c>
      <c r="X95" s="0" t="n">
        <f aca="false">IF('Reverse Search'!$N$7="Disable",1,IF('Reverse Search'!$I$10="Disable",1,IF('Reverse Search'!$K$10="≥",IF(K95&gt;='Reverse Search'!$L$10,1,0),IF('Reverse Search'!$K$10="≤",IF(K95&lt;='Reverse Search'!$L$10,1,0),IF(K95='Reverse Search'!$L$10,1,0)))))</f>
        <v>1</v>
      </c>
      <c r="Y95" s="367" t="n">
        <f aca="false">IF('Reverse Search'!$N$7="Disable",1,IF('Reverse Search'!$I$11="Disable",1,IF('Reverse Search'!$K$11="≥",IF(L95&gt;='Reverse Search'!$L$11,1,0),IF('Reverse Search'!$K$11="≤",IF(L95&lt;='Reverse Search'!$L$11,1,0),IF(L95='Reverse Search'!$L$11,1,0)))))</f>
        <v>1</v>
      </c>
      <c r="Z95" s="0" t="n">
        <f aca="true">IF('Reverse Search'!$C$14="Disable",1,IF('Reverse Search'!$D$16="Disable",1,IF($C$2=3,IF($M95=0,0,COUNTIF(INDIRECT("'0.0.2 Pokémon Learnset (Core)'!$D$"&amp;MATCH($E95,'0.0.2 Pokémon Learnset (Core)'!$A$1:$A951,0)&amp;":$FK$"&amp;MATCH($E95,'0.0.2 Pokémon Learnset (Core)'!$A$1:$A951,0)),'Reverse Search'!$E$21)),IF($C$2=2,COUNTIF(INDIRECT("'0.1.1 Pokémon GO Moves'!$B$"&amp;MATCH($E95,'0.1.1 Pokémon GO Moves'!$A$1:$A951,0)&amp;":$R$"&amp;MATCH($E95,'0.1.1 Pokémon GO Moves'!$A$1:$A951,0)),'Reverse Search'!$E$21),COUNTIF(INDIRECT("'0.1.1 Pokémon GO Moves'!$B$"&amp;MATCH($E95,'0.1.1 Pokémon GO Moves'!$A$1:$A951,0)&amp;":$L$"&amp;MATCH($E95,'0.1.1 Pokémon GO Moves'!$A$1:$A951,0)),'Reverse Search'!$E$21)))))</f>
        <v>1</v>
      </c>
      <c r="AA95" s="0" t="n">
        <f aca="true">IF('Reverse Search'!$C$14="Disable",1,IF('Reverse Search'!$I$16="Disable",1,IF($D$2=3,IF($M95=0,0,COUNTIF(INDIRECT("'0.0.2 Pokémon Learnset (Core)'!$D$"&amp;MATCH($E95,'0.0.2 Pokémon Learnset (Core)'!$A$1:$A951,0)&amp;":$FK$"&amp;MATCH($E95,'0.0.2 Pokémon Learnset (Core)'!$A$1:$A951,0)),'Reverse Search'!$J$21)),IF($D$2=2,COUNTIF(INDIRECT("'0.1.1 Pokémon GO Moves'!$B$"&amp;MATCH($E95,'0.1.1 Pokémon GO Moves'!$A$1:$A951,0)&amp;":$R$"&amp;MATCH($E95,'0.1.1 Pokémon GO Moves'!$A$1:$A951,0)),'Reverse Search'!$J$21),COUNTIF(INDIRECT("'0.1.1 Pokémon GO Moves'!$B$"&amp;MATCH($E95,'0.1.1 Pokémon GO Moves'!$A$1:$A951,0)&amp;":$L$"&amp;MATCH($E95,'0.1.1 Pokémon GO Moves'!$A$1:$A951,0)),'Reverse Search'!$J$21)))))</f>
        <v>0</v>
      </c>
      <c r="AB95" s="490"/>
      <c r="AC95" s="260" t="n">
        <f aca="false">IF((Q95+R95+S95+V95+W95+X95+Y95+IF(Z95&gt;=1,1,0)+IF(AA95&gt;=1,1,0))=9,G95&amp;", ",)</f>
        <v>0</v>
      </c>
    </row>
    <row r="96" customFormat="false" ht="15.75" hidden="false" customHeight="false" outlineLevel="0" collapsed="false">
      <c r="A96" s="260"/>
      <c r="B96" s="358"/>
      <c r="C96" s="260"/>
      <c r="D96" s="358" t="str">
        <f aca="false">IFERROR(__xludf.dummyfunction("""COMPUTED_VALUE"""),"Scald")</f>
        <v>Scald</v>
      </c>
      <c r="E96" s="260" t="n">
        <v>95</v>
      </c>
      <c r="F96" s="260" t="n">
        <f aca="false" t="array" ref="F96:F96">INDEX('0.0.1 Pokémon Dex Data'!$H$3:$H951,MATCH(E96,'0.0.1 Pokémon Dex Data'!$B$3:$B951,0))</f>
        <v>1</v>
      </c>
      <c r="G96" s="0" t="str">
        <f aca="false" t="array" ref="G96:G96">INDEX('0.0.1 Pokémon Dex Data'!$E$3:$E951,MATCH(E96,'0.0.1 Pokémon Dex Data'!$B$3:$B951,0))</f>
        <v>Graveler-Alolan</v>
      </c>
      <c r="H96" s="0" t="str">
        <f aca="false" t="array" ref="H96:H96">INDEX('0.0.1 Pokémon Dex Data'!$Q$3:$Q951,MATCH(E96,'0.0.1 Pokémon Dex Data'!$B$3:$B951,0))</f>
        <v>Rock</v>
      </c>
      <c r="I96" s="0" t="str">
        <f aca="false" t="array" ref="I96:I96">INDEX('0.0.1 Pokémon Dex Data'!$R$3:$R951,MATCH(E96,'0.0.1 Pokémon Dex Data'!$B$3:$B951,0))</f>
        <v>Electric</v>
      </c>
      <c r="J96" s="260" t="n">
        <f aca="false" t="array" ref="J96:J96">ROUND(INDEX('0.0.1 Pokémon Dex Data'!$S$3:$S951,MATCH($E96,'0.0.1 Pokémon Dex Data'!$B$3:$B951,0))*INDEX('0.0.1 Pokémon Dex Data'!T$3:T951,MATCH($E96,'0.0.1 Pokémon Dex Data'!$B$3:$B951,0)),0)</f>
        <v>164</v>
      </c>
      <c r="K96" s="260" t="n">
        <f aca="false" t="array" ref="K96:K96">ROUND(INDEX('0.0.1 Pokémon Dex Data'!$S$3:$S951,MATCH($E96,'0.0.1 Pokémon Dex Data'!$B$3:$B951,0))*INDEX('0.0.1 Pokémon Dex Data'!U$3:U951,MATCH($E96,'0.0.1 Pokémon Dex Data'!$B$3:$B951,0)),0)</f>
        <v>164</v>
      </c>
      <c r="L96" s="260" t="n">
        <f aca="false" t="array" ref="L96:L96">ROUND(INDEX('0.0.1 Pokémon Dex Data'!$S$3:$S951,MATCH($E96,'0.0.1 Pokémon Dex Data'!$B$3:$B951,0))*INDEX('0.0.1 Pokémon Dex Data'!V$3:V951,MATCH($E96,'0.0.1 Pokémon Dex Data'!$B$3:$B951,0)),0)</f>
        <v>146</v>
      </c>
      <c r="M96" s="260" t="n">
        <f aca="false" t="array" ref="M96:M96">INDEX('0.0.1 Pokémon Dex Data'!$J$3:$J951,MATCH(E96,'0.0.1 Pokémon Dex Data'!$B$3:$B951,0))</f>
        <v>0</v>
      </c>
      <c r="O96" s="490"/>
      <c r="Q96" s="367" t="n">
        <f aca="false">IF('Reverse Search'!$F$4="All (including temporary formes)",1,IF('Reverse Search'!$F$4="Base Pokémon and permanent formes only",IF(F96&lt;=1,1,0),IF(F96=0,1,0)))</f>
        <v>0</v>
      </c>
      <c r="R96" s="0" t="n">
        <f aca="false">IF('Reverse Search'!$C$7="Disable",1,IF('Reverse Search'!$D$9="Disable",1,IF(OR('Reverse Search'!$F$9=H96,'Reverse Search'!$F$9=I96),1,0)))</f>
        <v>1</v>
      </c>
      <c r="S96" s="0" t="n">
        <f aca="false">IF('Reverse Search'!$C$7="Disable",1,IF('Reverse Search'!$D$10="Disable",1,IF(OR('Reverse Search'!$F$10=H96,'Reverse Search'!$F$10=I96),1,0)))</f>
        <v>1</v>
      </c>
      <c r="T96" s="0" t="n">
        <f aca="false">INDEX($B$4:$B$22,MATCH(H96,$A$4:$A$22,0))</f>
        <v>0.714</v>
      </c>
      <c r="U96" s="0" t="n">
        <f aca="false">IF(ISBLANK(I96),1,INDEX($B$4:$B$22,MATCH(I96,$A$4:$A$22,0)))</f>
        <v>1</v>
      </c>
      <c r="V96" s="367" t="n">
        <f aca="false">IF('Reverse Search'!$C$7="Disable",1,IF('Reverse Search'!$D$11="Disable",1,IF('Reverse Search'!$E$11="Neutral to:",IF(ROUND(T96*U96,2)&lt;=1,1,0),IF(ROUND(T96*U96,2)&lt;1,1,0))))</f>
        <v>1</v>
      </c>
      <c r="W96" s="0" t="n">
        <f aca="false">IF('Reverse Search'!$N$7="Disable",1,IF('Reverse Search'!$I$9="Disable",1,IF('Reverse Search'!$K$9="≥",IF(J96&gt;='Reverse Search'!$L$9,1,0),IF('Reverse Search'!$K$9="≤",IF(J96&lt;='Reverse Search'!$L$9,1,0),IF(J96='Reverse Search'!$L$9,1,0)))))</f>
        <v>1</v>
      </c>
      <c r="X96" s="0" t="n">
        <f aca="false">IF('Reverse Search'!$N$7="Disable",1,IF('Reverse Search'!$I$10="Disable",1,IF('Reverse Search'!$K$10="≥",IF(K96&gt;='Reverse Search'!$L$10,1,0),IF('Reverse Search'!$K$10="≤",IF(K96&lt;='Reverse Search'!$L$10,1,0),IF(K96='Reverse Search'!$L$10,1,0)))))</f>
        <v>1</v>
      </c>
      <c r="Y96" s="367" t="n">
        <f aca="false">IF('Reverse Search'!$N$7="Disable",1,IF('Reverse Search'!$I$11="Disable",1,IF('Reverse Search'!$K$11="≥",IF(L96&gt;='Reverse Search'!$L$11,1,0),IF('Reverse Search'!$K$11="≤",IF(L96&lt;='Reverse Search'!$L$11,1,0),IF(L96='Reverse Search'!$L$11,1,0)))))</f>
        <v>1</v>
      </c>
      <c r="Z96" s="0" t="n">
        <f aca="true">IF('Reverse Search'!$C$14="Disable",1,IF('Reverse Search'!$D$16="Disable",1,IF($C$2=3,IF($M96=0,0,COUNTIF(INDIRECT("'0.0.2 Pokémon Learnset (Core)'!$D$"&amp;MATCH($E96,'0.0.2 Pokémon Learnset (Core)'!$A$1:$A951,0)&amp;":$FK$"&amp;MATCH($E96,'0.0.2 Pokémon Learnset (Core)'!$A$1:$A951,0)),'Reverse Search'!$E$21)),IF($C$2=2,COUNTIF(INDIRECT("'0.1.1 Pokémon GO Moves'!$B$"&amp;MATCH($E96,'0.1.1 Pokémon GO Moves'!$A$1:$A951,0)&amp;":$R$"&amp;MATCH($E96,'0.1.1 Pokémon GO Moves'!$A$1:$A951,0)),'Reverse Search'!$E$21),COUNTIF(INDIRECT("'0.1.1 Pokémon GO Moves'!$B$"&amp;MATCH($E96,'0.1.1 Pokémon GO Moves'!$A$1:$A951,0)&amp;":$L$"&amp;MATCH($E96,'0.1.1 Pokémon GO Moves'!$A$1:$A951,0)),'Reverse Search'!$E$21)))))</f>
        <v>1</v>
      </c>
      <c r="AA96" s="0" t="e">
        <f aca="true">IF('Reverse Search'!$C$14="Disable",1,IF('Reverse Search'!$I$16="Disable",1,IF($D$2=3,IF($M96=0,0,COUNTIF(INDIRECT("'0.0.2 Pokémon Learnset (Core)'!$D$"&amp;MATCH($E96,'0.0.2 Pokémon Learnset (Core)'!$A$1:$A951,0)&amp;":$FK$"&amp;MATCH($E96,'0.0.2 Pokémon Learnset (Core)'!$A$1:$A951,0)),'Reverse Search'!$J$21)),IF($D$2=2,COUNTIF(INDIRECT("'0.1.1 Pokémon GO Moves'!$B$"&amp;MATCH($E96,'0.1.1 Pokémon GO Moves'!$A$1:$A951,0)&amp;":$R$"&amp;MATCH($E96,'0.1.1 Pokémon GO Moves'!$A$1:$A951,0)),'Reverse Search'!$J$21),COUNTIF(INDIRECT("'0.1.1 Pokémon GO Moves'!$B$"&amp;MATCH($E96,'0.1.1 Pokémon GO Moves'!$A$1:$A951,0)&amp;":$L$"&amp;MATCH($E96,'0.1.1 Pokémon GO Moves'!$A$1:$A951,0)),'Reverse Search'!$J$21)))))</f>
        <v>#N/A</v>
      </c>
      <c r="AB96" s="490"/>
      <c r="AC96" s="260" t="e">
        <f aca="false">IF((Q96+R96+S96+V96+W96+X96+Y96+IF(Z96&gt;=1,1,0)+IF(AA96&gt;=1,1,0))=9,G96&amp;", ",)</f>
        <v>#N/A</v>
      </c>
    </row>
    <row r="97" customFormat="false" ht="15.75" hidden="false" customHeight="false" outlineLevel="0" collapsed="false">
      <c r="A97" s="260"/>
      <c r="B97" s="358"/>
      <c r="C97" s="260"/>
      <c r="D97" s="358" t="str">
        <f aca="false">IFERROR(__xludf.dummyfunction("""COMPUTED_VALUE"""),"Seed Bomb")</f>
        <v>Seed Bomb</v>
      </c>
      <c r="E97" s="260" t="n">
        <v>96</v>
      </c>
      <c r="F97" s="260" t="n">
        <f aca="false" t="array" ref="F97:F97">INDEX('0.0.1 Pokémon Dex Data'!$H$3:$H951,MATCH(E97,'0.0.1 Pokémon Dex Data'!$B$3:$B951,0))</f>
        <v>0</v>
      </c>
      <c r="G97" s="0" t="str">
        <f aca="false" t="array" ref="G97:G97">INDEX('0.0.1 Pokémon Dex Data'!$E$3:$E951,MATCH(E97,'0.0.1 Pokémon Dex Data'!$B$3:$B951,0))</f>
        <v>Golem</v>
      </c>
      <c r="H97" s="0" t="str">
        <f aca="false" t="array" ref="H97:H97">INDEX('0.0.1 Pokémon Dex Data'!$Q$3:$Q951,MATCH(E97,'0.0.1 Pokémon Dex Data'!$B$3:$B951,0))</f>
        <v>Rock</v>
      </c>
      <c r="I97" s="0" t="str">
        <f aca="false" t="array" ref="I97:I97">INDEX('0.0.1 Pokémon Dex Data'!$R$3:$R951,MATCH(E97,'0.0.1 Pokémon Dex Data'!$B$3:$B951,0))</f>
        <v>Ground</v>
      </c>
      <c r="J97" s="260" t="n">
        <f aca="false" t="array" ref="J97:J97">ROUND(INDEX('0.0.1 Pokémon Dex Data'!$S$3:$S951,MATCH($E97,'0.0.1 Pokémon Dex Data'!$B$3:$B951,0))*INDEX('0.0.1 Pokémon Dex Data'!T$3:T951,MATCH($E97,'0.0.1 Pokémon Dex Data'!$B$3:$B951,0)),0)</f>
        <v>211</v>
      </c>
      <c r="K97" s="260" t="n">
        <f aca="false" t="array" ref="K97:K97">ROUND(INDEX('0.0.1 Pokémon Dex Data'!$S$3:$S951,MATCH($E97,'0.0.1 Pokémon Dex Data'!$B$3:$B951,0))*INDEX('0.0.1 Pokémon Dex Data'!U$3:U951,MATCH($E97,'0.0.1 Pokémon Dex Data'!$B$3:$B951,0)),0)</f>
        <v>198</v>
      </c>
      <c r="L97" s="260" t="n">
        <f aca="false" t="array" ref="L97:L97">ROUND(INDEX('0.0.1 Pokémon Dex Data'!$S$3:$S951,MATCH($E97,'0.0.1 Pokémon Dex Data'!$B$3:$B951,0))*INDEX('0.0.1 Pokémon Dex Data'!V$3:V951,MATCH($E97,'0.0.1 Pokémon Dex Data'!$B$3:$B951,0)),0)</f>
        <v>190</v>
      </c>
      <c r="M97" s="260" t="n">
        <f aca="false" t="array" ref="M97:M97">INDEX('0.0.1 Pokémon Dex Data'!$J$3:$J951,MATCH(E97,'0.0.1 Pokémon Dex Data'!$B$3:$B951,0))</f>
        <v>1</v>
      </c>
      <c r="O97" s="490"/>
      <c r="Q97" s="367" t="n">
        <f aca="false">IF('Reverse Search'!$F$4="All (including temporary formes)",1,IF('Reverse Search'!$F$4="Base Pokémon and permanent formes only",IF(F97&lt;=1,1,0),IF(F97=0,1,0)))</f>
        <v>1</v>
      </c>
      <c r="R97" s="0" t="n">
        <f aca="false">IF('Reverse Search'!$C$7="Disable",1,IF('Reverse Search'!$D$9="Disable",1,IF(OR('Reverse Search'!$F$9=H97,'Reverse Search'!$F$9=I97),1,0)))</f>
        <v>1</v>
      </c>
      <c r="S97" s="0" t="n">
        <f aca="false">IF('Reverse Search'!$C$7="Disable",1,IF('Reverse Search'!$D$10="Disable",1,IF(OR('Reverse Search'!$F$10=H97,'Reverse Search'!$F$10=I97),1,0)))</f>
        <v>1</v>
      </c>
      <c r="T97" s="0" t="n">
        <f aca="false">INDEX($B$4:$B$22,MATCH(H97,$A$4:$A$22,0))</f>
        <v>0.714</v>
      </c>
      <c r="U97" s="0" t="n">
        <f aca="false">IF(ISBLANK(I97),1,INDEX($B$4:$B$22,MATCH(I97,$A$4:$A$22,0)))</f>
        <v>1</v>
      </c>
      <c r="V97" s="367" t="n">
        <f aca="false">IF('Reverse Search'!$C$7="Disable",1,IF('Reverse Search'!$D$11="Disable",1,IF('Reverse Search'!$E$11="Neutral to:",IF(ROUND(T97*U97,2)&lt;=1,1,0),IF(ROUND(T97*U97,2)&lt;1,1,0))))</f>
        <v>1</v>
      </c>
      <c r="W97" s="0" t="n">
        <f aca="false">IF('Reverse Search'!$N$7="Disable",1,IF('Reverse Search'!$I$9="Disable",1,IF('Reverse Search'!$K$9="≥",IF(J97&gt;='Reverse Search'!$L$9,1,0),IF('Reverse Search'!$K$9="≤",IF(J97&lt;='Reverse Search'!$L$9,1,0),IF(J97='Reverse Search'!$L$9,1,0)))))</f>
        <v>1</v>
      </c>
      <c r="X97" s="0" t="n">
        <f aca="false">IF('Reverse Search'!$N$7="Disable",1,IF('Reverse Search'!$I$10="Disable",1,IF('Reverse Search'!$K$10="≥",IF(K97&gt;='Reverse Search'!$L$10,1,0),IF('Reverse Search'!$K$10="≤",IF(K97&lt;='Reverse Search'!$L$10,1,0),IF(K97='Reverse Search'!$L$10,1,0)))))</f>
        <v>1</v>
      </c>
      <c r="Y97" s="367" t="n">
        <f aca="false">IF('Reverse Search'!$N$7="Disable",1,IF('Reverse Search'!$I$11="Disable",1,IF('Reverse Search'!$K$11="≥",IF(L97&gt;='Reverse Search'!$L$11,1,0),IF('Reverse Search'!$K$11="≤",IF(L97&lt;='Reverse Search'!$L$11,1,0),IF(L97='Reverse Search'!$L$11,1,0)))))</f>
        <v>1</v>
      </c>
      <c r="Z97" s="0" t="n">
        <f aca="true">IF('Reverse Search'!$C$14="Disable",1,IF('Reverse Search'!$D$16="Disable",1,IF($C$2=3,IF($M97=0,0,COUNTIF(INDIRECT("'0.0.2 Pokémon Learnset (Core)'!$D$"&amp;MATCH($E97,'0.0.2 Pokémon Learnset (Core)'!$A$1:$A951,0)&amp;":$FK$"&amp;MATCH($E97,'0.0.2 Pokémon Learnset (Core)'!$A$1:$A951,0)),'Reverse Search'!$E$21)),IF($C$2=2,COUNTIF(INDIRECT("'0.1.1 Pokémon GO Moves'!$B$"&amp;MATCH($E97,'0.1.1 Pokémon GO Moves'!$A$1:$A951,0)&amp;":$R$"&amp;MATCH($E97,'0.1.1 Pokémon GO Moves'!$A$1:$A951,0)),'Reverse Search'!$E$21),COUNTIF(INDIRECT("'0.1.1 Pokémon GO Moves'!$B$"&amp;MATCH($E97,'0.1.1 Pokémon GO Moves'!$A$1:$A951,0)&amp;":$L$"&amp;MATCH($E97,'0.1.1 Pokémon GO Moves'!$A$1:$A951,0)),'Reverse Search'!$E$21)))))</f>
        <v>1</v>
      </c>
      <c r="AA97" s="0" t="n">
        <f aca="true">IF('Reverse Search'!$C$14="Disable",1,IF('Reverse Search'!$I$16="Disable",1,IF($D$2=3,IF($M97=0,0,COUNTIF(INDIRECT("'0.0.2 Pokémon Learnset (Core)'!$D$"&amp;MATCH($E97,'0.0.2 Pokémon Learnset (Core)'!$A$1:$A951,0)&amp;":$FK$"&amp;MATCH($E97,'0.0.2 Pokémon Learnset (Core)'!$A$1:$A951,0)),'Reverse Search'!$J$21)),IF($D$2=2,COUNTIF(INDIRECT("'0.1.1 Pokémon GO Moves'!$B$"&amp;MATCH($E97,'0.1.1 Pokémon GO Moves'!$A$1:$A951,0)&amp;":$R$"&amp;MATCH($E97,'0.1.1 Pokémon GO Moves'!$A$1:$A951,0)),'Reverse Search'!$J$21),COUNTIF(INDIRECT("'0.1.1 Pokémon GO Moves'!$B$"&amp;MATCH($E97,'0.1.1 Pokémon GO Moves'!$A$1:$A951,0)&amp;":$L$"&amp;MATCH($E97,'0.1.1 Pokémon GO Moves'!$A$1:$A951,0)),'Reverse Search'!$J$21)))))</f>
        <v>0</v>
      </c>
      <c r="AB97" s="490"/>
      <c r="AC97" s="260" t="n">
        <f aca="false">IF((Q97+R97+S97+V97+W97+X97+Y97+IF(Z97&gt;=1,1,0)+IF(AA97&gt;=1,1,0))=9,G97&amp;", ",)</f>
        <v>0</v>
      </c>
    </row>
    <row r="98" customFormat="false" ht="15.75" hidden="false" customHeight="false" outlineLevel="0" collapsed="false">
      <c r="A98" s="260"/>
      <c r="B98" s="358"/>
      <c r="C98" s="260"/>
      <c r="D98" s="358" t="str">
        <f aca="false">IFERROR(__xludf.dummyfunction("""COMPUTED_VALUE"""),"Shadow Ball")</f>
        <v>Shadow Ball</v>
      </c>
      <c r="E98" s="260" t="n">
        <v>97</v>
      </c>
      <c r="F98" s="260" t="n">
        <f aca="false" t="array" ref="F98:F98">INDEX('0.0.1 Pokémon Dex Data'!$H$3:$H951,MATCH(E98,'0.0.1 Pokémon Dex Data'!$B$3:$B951,0))</f>
        <v>1</v>
      </c>
      <c r="G98" s="0" t="str">
        <f aca="false" t="array" ref="G98:G98">INDEX('0.0.1 Pokémon Dex Data'!$E$3:$E951,MATCH(E98,'0.0.1 Pokémon Dex Data'!$B$3:$B951,0))</f>
        <v>Golem-Alolan</v>
      </c>
      <c r="H98" s="0" t="str">
        <f aca="false" t="array" ref="H98:H98">INDEX('0.0.1 Pokémon Dex Data'!$Q$3:$Q951,MATCH(E98,'0.0.1 Pokémon Dex Data'!$B$3:$B951,0))</f>
        <v>Rock</v>
      </c>
      <c r="I98" s="0" t="str">
        <f aca="false" t="array" ref="I98:I98">INDEX('0.0.1 Pokémon Dex Data'!$R$3:$R951,MATCH(E98,'0.0.1 Pokémon Dex Data'!$B$3:$B951,0))</f>
        <v>Electric</v>
      </c>
      <c r="J98" s="260" t="n">
        <f aca="false" t="array" ref="J98:J98">ROUND(INDEX('0.0.1 Pokémon Dex Data'!$S$3:$S951,MATCH($E98,'0.0.1 Pokémon Dex Data'!$B$3:$B951,0))*INDEX('0.0.1 Pokémon Dex Data'!T$3:T951,MATCH($E98,'0.0.1 Pokémon Dex Data'!$B$3:$B951,0)),0)</f>
        <v>211</v>
      </c>
      <c r="K98" s="260" t="n">
        <f aca="false" t="array" ref="K98:K98">ROUND(INDEX('0.0.1 Pokémon Dex Data'!$S$3:$S951,MATCH($E98,'0.0.1 Pokémon Dex Data'!$B$3:$B951,0))*INDEX('0.0.1 Pokémon Dex Data'!U$3:U951,MATCH($E98,'0.0.1 Pokémon Dex Data'!$B$3:$B951,0)),0)</f>
        <v>198</v>
      </c>
      <c r="L98" s="260" t="n">
        <f aca="false" t="array" ref="L98:L98">ROUND(INDEX('0.0.1 Pokémon Dex Data'!$S$3:$S951,MATCH($E98,'0.0.1 Pokémon Dex Data'!$B$3:$B951,0))*INDEX('0.0.1 Pokémon Dex Data'!V$3:V951,MATCH($E98,'0.0.1 Pokémon Dex Data'!$B$3:$B951,0)),0)</f>
        <v>190</v>
      </c>
      <c r="M98" s="260" t="n">
        <f aca="false" t="array" ref="M98:M98">INDEX('0.0.1 Pokémon Dex Data'!$J$3:$J951,MATCH(E98,'0.0.1 Pokémon Dex Data'!$B$3:$B951,0))</f>
        <v>1</v>
      </c>
      <c r="O98" s="490"/>
      <c r="Q98" s="367" t="n">
        <f aca="false">IF('Reverse Search'!$F$4="All (including temporary formes)",1,IF('Reverse Search'!$F$4="Base Pokémon and permanent formes only",IF(F98&lt;=1,1,0),IF(F98=0,1,0)))</f>
        <v>0</v>
      </c>
      <c r="R98" s="0" t="n">
        <f aca="false">IF('Reverse Search'!$C$7="Disable",1,IF('Reverse Search'!$D$9="Disable",1,IF(OR('Reverse Search'!$F$9=H98,'Reverse Search'!$F$9=I98),1,0)))</f>
        <v>1</v>
      </c>
      <c r="S98" s="0" t="n">
        <f aca="false">IF('Reverse Search'!$C$7="Disable",1,IF('Reverse Search'!$D$10="Disable",1,IF(OR('Reverse Search'!$F$10=H98,'Reverse Search'!$F$10=I98),1,0)))</f>
        <v>1</v>
      </c>
      <c r="T98" s="0" t="n">
        <f aca="false">INDEX($B$4:$B$22,MATCH(H98,$A$4:$A$22,0))</f>
        <v>0.714</v>
      </c>
      <c r="U98" s="0" t="n">
        <f aca="false">IF(ISBLANK(I98),1,INDEX($B$4:$B$22,MATCH(I98,$A$4:$A$22,0)))</f>
        <v>1</v>
      </c>
      <c r="V98" s="367" t="n">
        <f aca="false">IF('Reverse Search'!$C$7="Disable",1,IF('Reverse Search'!$D$11="Disable",1,IF('Reverse Search'!$E$11="Neutral to:",IF(ROUND(T98*U98,2)&lt;=1,1,0),IF(ROUND(T98*U98,2)&lt;1,1,0))))</f>
        <v>1</v>
      </c>
      <c r="W98" s="0" t="n">
        <f aca="false">IF('Reverse Search'!$N$7="Disable",1,IF('Reverse Search'!$I$9="Disable",1,IF('Reverse Search'!$K$9="≥",IF(J98&gt;='Reverse Search'!$L$9,1,0),IF('Reverse Search'!$K$9="≤",IF(J98&lt;='Reverse Search'!$L$9,1,0),IF(J98='Reverse Search'!$L$9,1,0)))))</f>
        <v>1</v>
      </c>
      <c r="X98" s="0" t="n">
        <f aca="false">IF('Reverse Search'!$N$7="Disable",1,IF('Reverse Search'!$I$10="Disable",1,IF('Reverse Search'!$K$10="≥",IF(K98&gt;='Reverse Search'!$L$10,1,0),IF('Reverse Search'!$K$10="≤",IF(K98&lt;='Reverse Search'!$L$10,1,0),IF(K98='Reverse Search'!$L$10,1,0)))))</f>
        <v>1</v>
      </c>
      <c r="Y98" s="367" t="n">
        <f aca="false">IF('Reverse Search'!$N$7="Disable",1,IF('Reverse Search'!$I$11="Disable",1,IF('Reverse Search'!$K$11="≥",IF(L98&gt;='Reverse Search'!$L$11,1,0),IF('Reverse Search'!$K$11="≤",IF(L98&lt;='Reverse Search'!$L$11,1,0),IF(L98='Reverse Search'!$L$11,1,0)))))</f>
        <v>1</v>
      </c>
      <c r="Z98" s="0" t="n">
        <f aca="true">IF('Reverse Search'!$C$14="Disable",1,IF('Reverse Search'!$D$16="Disable",1,IF($C$2=3,IF($M98=0,0,COUNTIF(INDIRECT("'0.0.2 Pokémon Learnset (Core)'!$D$"&amp;MATCH($E98,'0.0.2 Pokémon Learnset (Core)'!$A$1:$A951,0)&amp;":$FK$"&amp;MATCH($E98,'0.0.2 Pokémon Learnset (Core)'!$A$1:$A951,0)),'Reverse Search'!$E$21)),IF($C$2=2,COUNTIF(INDIRECT("'0.1.1 Pokémon GO Moves'!$B$"&amp;MATCH($E98,'0.1.1 Pokémon GO Moves'!$A$1:$A951,0)&amp;":$R$"&amp;MATCH($E98,'0.1.1 Pokémon GO Moves'!$A$1:$A951,0)),'Reverse Search'!$E$21),COUNTIF(INDIRECT("'0.1.1 Pokémon GO Moves'!$B$"&amp;MATCH($E98,'0.1.1 Pokémon GO Moves'!$A$1:$A951,0)&amp;":$L$"&amp;MATCH($E98,'0.1.1 Pokémon GO Moves'!$A$1:$A951,0)),'Reverse Search'!$E$21)))))</f>
        <v>1</v>
      </c>
      <c r="AA98" s="0" t="e">
        <f aca="true">IF('Reverse Search'!$C$14="Disable",1,IF('Reverse Search'!$I$16="Disable",1,IF($D$2=3,IF($M98=0,0,COUNTIF(INDIRECT("'0.0.2 Pokémon Learnset (Core)'!$D$"&amp;MATCH($E98,'0.0.2 Pokémon Learnset (Core)'!$A$1:$A951,0)&amp;":$FK$"&amp;MATCH($E98,'0.0.2 Pokémon Learnset (Core)'!$A$1:$A951,0)),'Reverse Search'!$J$21)),IF($D$2=2,COUNTIF(INDIRECT("'0.1.1 Pokémon GO Moves'!$B$"&amp;MATCH($E98,'0.1.1 Pokémon GO Moves'!$A$1:$A951,0)&amp;":$R$"&amp;MATCH($E98,'0.1.1 Pokémon GO Moves'!$A$1:$A951,0)),'Reverse Search'!$J$21),COUNTIF(INDIRECT("'0.1.1 Pokémon GO Moves'!$B$"&amp;MATCH($E98,'0.1.1 Pokémon GO Moves'!$A$1:$A951,0)&amp;":$L$"&amp;MATCH($E98,'0.1.1 Pokémon GO Moves'!$A$1:$A951,0)),'Reverse Search'!$J$21)))))</f>
        <v>#N/A</v>
      </c>
      <c r="AB98" s="490"/>
      <c r="AC98" s="260" t="e">
        <f aca="false">IF((Q98+R98+S98+V98+W98+X98+Y98+IF(Z98&gt;=1,1,0)+IF(AA98&gt;=1,1,0))=9,G98&amp;", ",)</f>
        <v>#N/A</v>
      </c>
    </row>
    <row r="99" customFormat="false" ht="15.75" hidden="false" customHeight="false" outlineLevel="0" collapsed="false">
      <c r="A99" s="260"/>
      <c r="B99" s="358"/>
      <c r="C99" s="260"/>
      <c r="D99" s="358" t="str">
        <f aca="false">IFERROR(__xludf.dummyfunction("""COMPUTED_VALUE"""),"Shadow Punch")</f>
        <v>Shadow Punch</v>
      </c>
      <c r="E99" s="260" t="n">
        <v>98</v>
      </c>
      <c r="F99" s="260" t="n">
        <f aca="false" t="array" ref="F99:F99">INDEX('0.0.1 Pokémon Dex Data'!$H$3:$H951,MATCH(E99,'0.0.1 Pokémon Dex Data'!$B$3:$B951,0))</f>
        <v>0</v>
      </c>
      <c r="G99" s="0" t="str">
        <f aca="false" t="array" ref="G99:G99">INDEX('0.0.1 Pokémon Dex Data'!$E$3:$E951,MATCH(E99,'0.0.1 Pokémon Dex Data'!$B$3:$B951,0))</f>
        <v>Ponyta</v>
      </c>
      <c r="H99" s="0" t="str">
        <f aca="false" t="array" ref="H99:H99">INDEX('0.0.1 Pokémon Dex Data'!$Q$3:$Q951,MATCH(E99,'0.0.1 Pokémon Dex Data'!$B$3:$B951,0))</f>
        <v>Fire</v>
      </c>
      <c r="I99" s="0" t="n">
        <f aca="false">INDEX('0.0.1 Pokémon Dex Data'!$R$3:$R951,MATCH(E99,'0.0.1 Pokémon Dex Data'!$B$3:$B951,0))</f>
        <v>0</v>
      </c>
      <c r="J99" s="260" t="n">
        <f aca="false" t="array" ref="J99:J99">ROUND(INDEX('0.0.1 Pokémon Dex Data'!$S$3:$S951,MATCH($E99,'0.0.1 Pokémon Dex Data'!$B$3:$B951,0))*INDEX('0.0.1 Pokémon Dex Data'!T$3:T951,MATCH($E99,'0.0.1 Pokémon Dex Data'!$B$3:$B951,0)),0)</f>
        <v>170</v>
      </c>
      <c r="K99" s="260" t="n">
        <f aca="false" t="array" ref="K99:K99">ROUND(INDEX('0.0.1 Pokémon Dex Data'!$S$3:$S951,MATCH($E99,'0.0.1 Pokémon Dex Data'!$B$3:$B951,0))*INDEX('0.0.1 Pokémon Dex Data'!U$3:U951,MATCH($E99,'0.0.1 Pokémon Dex Data'!$B$3:$B951,0)),0)</f>
        <v>127</v>
      </c>
      <c r="L99" s="260" t="n">
        <f aca="false" t="array" ref="L99:L99">ROUND(INDEX('0.0.1 Pokémon Dex Data'!$S$3:$S951,MATCH($E99,'0.0.1 Pokémon Dex Data'!$B$3:$B951,0))*INDEX('0.0.1 Pokémon Dex Data'!V$3:V951,MATCH($E99,'0.0.1 Pokémon Dex Data'!$B$3:$B951,0)),0)</f>
        <v>137</v>
      </c>
      <c r="M99" s="260" t="n">
        <f aca="false" t="array" ref="M99:M99">INDEX('0.0.1 Pokémon Dex Data'!$J$3:$J951,MATCH(E99,'0.0.1 Pokémon Dex Data'!$B$3:$B951,0))</f>
        <v>0</v>
      </c>
      <c r="O99" s="490"/>
      <c r="Q99" s="367" t="n">
        <f aca="false">IF('Reverse Search'!$F$4="All (including temporary formes)",1,IF('Reverse Search'!$F$4="Base Pokémon and permanent formes only",IF(F99&lt;=1,1,0),IF(F99=0,1,0)))</f>
        <v>1</v>
      </c>
      <c r="R99" s="0" t="n">
        <f aca="false">IF('Reverse Search'!$C$7="Disable",1,IF('Reverse Search'!$D$9="Disable",1,IF(OR('Reverse Search'!$F$9=H99,'Reverse Search'!$F$9=I99),1,0)))</f>
        <v>1</v>
      </c>
      <c r="S99" s="0" t="n">
        <f aca="false">IF('Reverse Search'!$C$7="Disable",1,IF('Reverse Search'!$D$10="Disable",1,IF(OR('Reverse Search'!$F$10=H99,'Reverse Search'!$F$10=I99),1,0)))</f>
        <v>1</v>
      </c>
      <c r="T99" s="0" t="n">
        <f aca="false">INDEX($B$4:$B$22,MATCH(H99,$A$4:$A$22,0))</f>
        <v>1</v>
      </c>
      <c r="U99" s="0" t="e">
        <f aca="false">IF(ISBLANK(I99),1,INDEX($B$4:$B$22,MATCH(I99,$A$4:$A$22,0)))</f>
        <v>#N/A</v>
      </c>
      <c r="V99" s="367" t="n">
        <f aca="false">IF('Reverse Search'!$C$7="Disable",1,IF('Reverse Search'!$D$11="Disable",1,IF('Reverse Search'!$E$11="Neutral to:",IF(ROUND(T99*U99,2)&lt;=1,1,0),IF(ROUND(T99*U99,2)&lt;1,1,0))))</f>
        <v>1</v>
      </c>
      <c r="W99" s="0" t="n">
        <f aca="false">IF('Reverse Search'!$N$7="Disable",1,IF('Reverse Search'!$I$9="Disable",1,IF('Reverse Search'!$K$9="≥",IF(J99&gt;='Reverse Search'!$L$9,1,0),IF('Reverse Search'!$K$9="≤",IF(J99&lt;='Reverse Search'!$L$9,1,0),IF(J99='Reverse Search'!$L$9,1,0)))))</f>
        <v>1</v>
      </c>
      <c r="X99" s="0" t="n">
        <f aca="false">IF('Reverse Search'!$N$7="Disable",1,IF('Reverse Search'!$I$10="Disable",1,IF('Reverse Search'!$K$10="≥",IF(K99&gt;='Reverse Search'!$L$10,1,0),IF('Reverse Search'!$K$10="≤",IF(K99&lt;='Reverse Search'!$L$10,1,0),IF(K99='Reverse Search'!$L$10,1,0)))))</f>
        <v>1</v>
      </c>
      <c r="Y99" s="367" t="n">
        <f aca="false">IF('Reverse Search'!$N$7="Disable",1,IF('Reverse Search'!$I$11="Disable",1,IF('Reverse Search'!$K$11="≥",IF(L99&gt;='Reverse Search'!$L$11,1,0),IF('Reverse Search'!$K$11="≤",IF(L99&lt;='Reverse Search'!$L$11,1,0),IF(L99='Reverse Search'!$L$11,1,0)))))</f>
        <v>1</v>
      </c>
      <c r="Z99" s="0" t="n">
        <f aca="true">IF('Reverse Search'!$C$14="Disable",1,IF('Reverse Search'!$D$16="Disable",1,IF($C$2=3,IF($M99=0,0,COUNTIF(INDIRECT("'0.0.2 Pokémon Learnset (Core)'!$D$"&amp;MATCH($E99,'0.0.2 Pokémon Learnset (Core)'!$A$1:$A951,0)&amp;":$FK$"&amp;MATCH($E99,'0.0.2 Pokémon Learnset (Core)'!$A$1:$A951,0)),'Reverse Search'!$E$21)),IF($C$2=2,COUNTIF(INDIRECT("'0.1.1 Pokémon GO Moves'!$B$"&amp;MATCH($E99,'0.1.1 Pokémon GO Moves'!$A$1:$A951,0)&amp;":$R$"&amp;MATCH($E99,'0.1.1 Pokémon GO Moves'!$A$1:$A951,0)),'Reverse Search'!$E$21),COUNTIF(INDIRECT("'0.1.1 Pokémon GO Moves'!$B$"&amp;MATCH($E99,'0.1.1 Pokémon GO Moves'!$A$1:$A951,0)&amp;":$L$"&amp;MATCH($E99,'0.1.1 Pokémon GO Moves'!$A$1:$A951,0)),'Reverse Search'!$E$21)))))</f>
        <v>1</v>
      </c>
      <c r="AA99" s="0" t="n">
        <f aca="true">IF('Reverse Search'!$C$14="Disable",1,IF('Reverse Search'!$I$16="Disable",1,IF($D$2=3,IF($M99=0,0,COUNTIF(INDIRECT("'0.0.2 Pokémon Learnset (Core)'!$D$"&amp;MATCH($E99,'0.0.2 Pokémon Learnset (Core)'!$A$1:$A951,0)&amp;":$FK$"&amp;MATCH($E99,'0.0.2 Pokémon Learnset (Core)'!$A$1:$A951,0)),'Reverse Search'!$J$21)),IF($D$2=2,COUNTIF(INDIRECT("'0.1.1 Pokémon GO Moves'!$B$"&amp;MATCH($E99,'0.1.1 Pokémon GO Moves'!$A$1:$A951,0)&amp;":$R$"&amp;MATCH($E99,'0.1.1 Pokémon GO Moves'!$A$1:$A951,0)),'Reverse Search'!$J$21),COUNTIF(INDIRECT("'0.1.1 Pokémon GO Moves'!$B$"&amp;MATCH($E99,'0.1.1 Pokémon GO Moves'!$A$1:$A951,0)&amp;":$L$"&amp;MATCH($E99,'0.1.1 Pokémon GO Moves'!$A$1:$A951,0)),'Reverse Search'!$J$21)))))</f>
        <v>0</v>
      </c>
      <c r="AB99" s="490"/>
      <c r="AC99" s="260" t="n">
        <f aca="false">IF((Q99+R99+S99+V99+W99+X99+Y99+IF(Z99&gt;=1,1,0)+IF(AA99&gt;=1,1,0))=9,G99&amp;", ",)</f>
        <v>0</v>
      </c>
    </row>
    <row r="100" customFormat="false" ht="15.75" hidden="false" customHeight="false" outlineLevel="0" collapsed="false">
      <c r="A100" s="260"/>
      <c r="B100" s="358"/>
      <c r="C100" s="260"/>
      <c r="D100" s="358" t="str">
        <f aca="false">IFERROR(__xludf.dummyfunction("""COMPUTED_VALUE"""),"Shadow Sneak")</f>
        <v>Shadow Sneak</v>
      </c>
      <c r="E100" s="260" t="n">
        <v>99</v>
      </c>
      <c r="F100" s="260" t="n">
        <f aca="false" t="array" ref="F100:F100">INDEX('0.0.1 Pokémon Dex Data'!$H$3:$H951,MATCH(E100,'0.0.1 Pokémon Dex Data'!$B$3:$B951,0))</f>
        <v>0</v>
      </c>
      <c r="G100" s="0" t="str">
        <f aca="false" t="array" ref="G100:G100">INDEX('0.0.1 Pokémon Dex Data'!$E$3:$E951,MATCH(E100,'0.0.1 Pokémon Dex Data'!$B$3:$B951,0))</f>
        <v>Rapidash</v>
      </c>
      <c r="H100" s="0" t="str">
        <f aca="false" t="array" ref="H100:H100">INDEX('0.0.1 Pokémon Dex Data'!$Q$3:$Q951,MATCH(E100,'0.0.1 Pokémon Dex Data'!$B$3:$B951,0))</f>
        <v>Fire</v>
      </c>
      <c r="I100" s="0" t="n">
        <f aca="false">INDEX('0.0.1 Pokémon Dex Data'!$R$3:$R951,MATCH(E100,'0.0.1 Pokémon Dex Data'!$B$3:$B951,0))</f>
        <v>0</v>
      </c>
      <c r="J100" s="260" t="n">
        <f aca="false" t="array" ref="J100:J100">ROUND(INDEX('0.0.1 Pokémon Dex Data'!$S$3:$S951,MATCH($E100,'0.0.1 Pokémon Dex Data'!$B$3:$B951,0))*INDEX('0.0.1 Pokémon Dex Data'!T$3:T951,MATCH($E100,'0.0.1 Pokémon Dex Data'!$B$3:$B951,0)),0)</f>
        <v>207</v>
      </c>
      <c r="K100" s="260" t="n">
        <f aca="false" t="array" ref="K100:K100">ROUND(INDEX('0.0.1 Pokémon Dex Data'!$S$3:$S951,MATCH($E100,'0.0.1 Pokémon Dex Data'!$B$3:$B951,0))*INDEX('0.0.1 Pokémon Dex Data'!U$3:U951,MATCH($E100,'0.0.1 Pokémon Dex Data'!$B$3:$B951,0)),0)</f>
        <v>162</v>
      </c>
      <c r="L100" s="260" t="n">
        <f aca="false" t="array" ref="L100:L100">ROUND(INDEX('0.0.1 Pokémon Dex Data'!$S$3:$S951,MATCH($E100,'0.0.1 Pokémon Dex Data'!$B$3:$B951,0))*INDEX('0.0.1 Pokémon Dex Data'!V$3:V951,MATCH($E100,'0.0.1 Pokémon Dex Data'!$B$3:$B951,0)),0)</f>
        <v>163</v>
      </c>
      <c r="M100" s="260" t="n">
        <f aca="false" t="array" ref="M100:M100">INDEX('0.0.1 Pokémon Dex Data'!$J$3:$J951,MATCH(E100,'0.0.1 Pokémon Dex Data'!$B$3:$B951,0))</f>
        <v>1</v>
      </c>
      <c r="O100" s="490"/>
      <c r="Q100" s="367" t="n">
        <f aca="false">IF('Reverse Search'!$F$4="All (including temporary formes)",1,IF('Reverse Search'!$F$4="Base Pokémon and permanent formes only",IF(F100&lt;=1,1,0),IF(F100=0,1,0)))</f>
        <v>1</v>
      </c>
      <c r="R100" s="0" t="n">
        <f aca="false">IF('Reverse Search'!$C$7="Disable",1,IF('Reverse Search'!$D$9="Disable",1,IF(OR('Reverse Search'!$F$9=H100,'Reverse Search'!$F$9=I100),1,0)))</f>
        <v>1</v>
      </c>
      <c r="S100" s="0" t="n">
        <f aca="false">IF('Reverse Search'!$C$7="Disable",1,IF('Reverse Search'!$D$10="Disable",1,IF(OR('Reverse Search'!$F$10=H100,'Reverse Search'!$F$10=I100),1,0)))</f>
        <v>1</v>
      </c>
      <c r="T100" s="0" t="n">
        <f aca="false">INDEX($B$4:$B$22,MATCH(H100,$A$4:$A$22,0))</f>
        <v>1</v>
      </c>
      <c r="U100" s="0" t="e">
        <f aca="false">IF(ISBLANK(I100),1,INDEX($B$4:$B$22,MATCH(I100,$A$4:$A$22,0)))</f>
        <v>#N/A</v>
      </c>
      <c r="V100" s="367" t="n">
        <f aca="false">IF('Reverse Search'!$C$7="Disable",1,IF('Reverse Search'!$D$11="Disable",1,IF('Reverse Search'!$E$11="Neutral to:",IF(ROUND(T100*U100,2)&lt;=1,1,0),IF(ROUND(T100*U100,2)&lt;1,1,0))))</f>
        <v>1</v>
      </c>
      <c r="W100" s="0" t="n">
        <f aca="false">IF('Reverse Search'!$N$7="Disable",1,IF('Reverse Search'!$I$9="Disable",1,IF('Reverse Search'!$K$9="≥",IF(J100&gt;='Reverse Search'!$L$9,1,0),IF('Reverse Search'!$K$9="≤",IF(J100&lt;='Reverse Search'!$L$9,1,0),IF(J100='Reverse Search'!$L$9,1,0)))))</f>
        <v>1</v>
      </c>
      <c r="X100" s="0" t="n">
        <f aca="false">IF('Reverse Search'!$N$7="Disable",1,IF('Reverse Search'!$I$10="Disable",1,IF('Reverse Search'!$K$10="≥",IF(K100&gt;='Reverse Search'!$L$10,1,0),IF('Reverse Search'!$K$10="≤",IF(K100&lt;='Reverse Search'!$L$10,1,0),IF(K100='Reverse Search'!$L$10,1,0)))))</f>
        <v>1</v>
      </c>
      <c r="Y100" s="367" t="n">
        <f aca="false">IF('Reverse Search'!$N$7="Disable",1,IF('Reverse Search'!$I$11="Disable",1,IF('Reverse Search'!$K$11="≥",IF(L100&gt;='Reverse Search'!$L$11,1,0),IF('Reverse Search'!$K$11="≤",IF(L100&lt;='Reverse Search'!$L$11,1,0),IF(L100='Reverse Search'!$L$11,1,0)))))</f>
        <v>1</v>
      </c>
      <c r="Z100" s="0" t="n">
        <f aca="true">IF('Reverse Search'!$C$14="Disable",1,IF('Reverse Search'!$D$16="Disable",1,IF($C$2=3,IF($M100=0,0,COUNTIF(INDIRECT("'0.0.2 Pokémon Learnset (Core)'!$D$"&amp;MATCH($E100,'0.0.2 Pokémon Learnset (Core)'!$A$1:$A951,0)&amp;":$FK$"&amp;MATCH($E100,'0.0.2 Pokémon Learnset (Core)'!$A$1:$A951,0)),'Reverse Search'!$E$21)),IF($C$2=2,COUNTIF(INDIRECT("'0.1.1 Pokémon GO Moves'!$B$"&amp;MATCH($E100,'0.1.1 Pokémon GO Moves'!$A$1:$A951,0)&amp;":$R$"&amp;MATCH($E100,'0.1.1 Pokémon GO Moves'!$A$1:$A951,0)),'Reverse Search'!$E$21),COUNTIF(INDIRECT("'0.1.1 Pokémon GO Moves'!$B$"&amp;MATCH($E100,'0.1.1 Pokémon GO Moves'!$A$1:$A951,0)&amp;":$L$"&amp;MATCH($E100,'0.1.1 Pokémon GO Moves'!$A$1:$A951,0)),'Reverse Search'!$E$21)))))</f>
        <v>1</v>
      </c>
      <c r="AA100" s="0" t="n">
        <f aca="true">IF('Reverse Search'!$C$14="Disable",1,IF('Reverse Search'!$I$16="Disable",1,IF($D$2=3,IF($M100=0,0,COUNTIF(INDIRECT("'0.0.2 Pokémon Learnset (Core)'!$D$"&amp;MATCH($E100,'0.0.2 Pokémon Learnset (Core)'!$A$1:$A951,0)&amp;":$FK$"&amp;MATCH($E100,'0.0.2 Pokémon Learnset (Core)'!$A$1:$A951,0)),'Reverse Search'!$J$21)),IF($D$2=2,COUNTIF(INDIRECT("'0.1.1 Pokémon GO Moves'!$B$"&amp;MATCH($E100,'0.1.1 Pokémon GO Moves'!$A$1:$A951,0)&amp;":$R$"&amp;MATCH($E100,'0.1.1 Pokémon GO Moves'!$A$1:$A951,0)),'Reverse Search'!$J$21),COUNTIF(INDIRECT("'0.1.1 Pokémon GO Moves'!$B$"&amp;MATCH($E100,'0.1.1 Pokémon GO Moves'!$A$1:$A951,0)&amp;":$L$"&amp;MATCH($E100,'0.1.1 Pokémon GO Moves'!$A$1:$A951,0)),'Reverse Search'!$J$21)))))</f>
        <v>1</v>
      </c>
      <c r="AB100" s="490"/>
      <c r="AC100" s="260" t="str">
        <f aca="false">IF((Q100+R100+S100+V100+W100+X100+Y100+IF(Z100&gt;=1,1,0)+IF(AA100&gt;=1,1,0))=9,G100&amp;", ",)</f>
        <v>Rapidash, </v>
      </c>
    </row>
    <row r="101" customFormat="false" ht="15.75" hidden="false" customHeight="false" outlineLevel="0" collapsed="false">
      <c r="A101" s="260"/>
      <c r="B101" s="358"/>
      <c r="C101" s="260"/>
      <c r="D101" s="358" t="str">
        <f aca="false">IFERROR(__xludf.dummyfunction("""COMPUTED_VALUE"""),"Signal Beam")</f>
        <v>Signal Beam</v>
      </c>
      <c r="E101" s="260" t="n">
        <v>100</v>
      </c>
      <c r="F101" s="260" t="n">
        <f aca="false" t="array" ref="F101:F101">INDEX('0.0.1 Pokémon Dex Data'!$H$3:$H951,MATCH(E101,'0.0.1 Pokémon Dex Data'!$B$3:$B951,0))</f>
        <v>0</v>
      </c>
      <c r="G101" s="0" t="str">
        <f aca="false" t="array" ref="G101:G101">INDEX('0.0.1 Pokémon Dex Data'!$E$3:$E951,MATCH(E101,'0.0.1 Pokémon Dex Data'!$B$3:$B951,0))</f>
        <v>Slowpoke</v>
      </c>
      <c r="H101" s="0" t="str">
        <f aca="false" t="array" ref="H101:H101">INDEX('0.0.1 Pokémon Dex Data'!$Q$3:$Q951,MATCH(E101,'0.0.1 Pokémon Dex Data'!$B$3:$B951,0))</f>
        <v>Water</v>
      </c>
      <c r="I101" s="0" t="str">
        <f aca="false" t="array" ref="I101:I101">INDEX('0.0.1 Pokémon Dex Data'!$R$3:$R951,MATCH(E101,'0.0.1 Pokémon Dex Data'!$B$3:$B951,0))</f>
        <v>Psychic</v>
      </c>
      <c r="J101" s="260" t="n">
        <f aca="false" t="array" ref="J101:J101">ROUND(INDEX('0.0.1 Pokémon Dex Data'!$S$3:$S951,MATCH($E101,'0.0.1 Pokémon Dex Data'!$B$3:$B951,0))*INDEX('0.0.1 Pokémon Dex Data'!T$3:T951,MATCH($E101,'0.0.1 Pokémon Dex Data'!$B$3:$B951,0)),0)</f>
        <v>109</v>
      </c>
      <c r="K101" s="260" t="n">
        <f aca="false" t="array" ref="K101:K101">ROUND(INDEX('0.0.1 Pokémon Dex Data'!$S$3:$S951,MATCH($E101,'0.0.1 Pokémon Dex Data'!$B$3:$B951,0))*INDEX('0.0.1 Pokémon Dex Data'!U$3:U951,MATCH($E101,'0.0.1 Pokémon Dex Data'!$B$3:$B951,0)),0)</f>
        <v>98</v>
      </c>
      <c r="L101" s="260" t="n">
        <f aca="false" t="array" ref="L101:L101">ROUND(INDEX('0.0.1 Pokémon Dex Data'!$S$3:$S951,MATCH($E101,'0.0.1 Pokémon Dex Data'!$B$3:$B951,0))*INDEX('0.0.1 Pokémon Dex Data'!V$3:V951,MATCH($E101,'0.0.1 Pokémon Dex Data'!$B$3:$B951,0)),0)</f>
        <v>207</v>
      </c>
      <c r="M101" s="260" t="n">
        <f aca="false" t="array" ref="M101:M101">INDEX('0.0.1 Pokémon Dex Data'!$J$3:$J951,MATCH(E101,'0.0.1 Pokémon Dex Data'!$B$3:$B951,0))</f>
        <v>0</v>
      </c>
      <c r="O101" s="490"/>
      <c r="Q101" s="367" t="n">
        <f aca="false">IF('Reverse Search'!$F$4="All (including temporary formes)",1,IF('Reverse Search'!$F$4="Base Pokémon and permanent formes only",IF(F101&lt;=1,1,0),IF(F101=0,1,0)))</f>
        <v>1</v>
      </c>
      <c r="R101" s="0" t="n">
        <f aca="false">IF('Reverse Search'!$C$7="Disable",1,IF('Reverse Search'!$D$9="Disable",1,IF(OR('Reverse Search'!$F$9=H101,'Reverse Search'!$F$9=I101),1,0)))</f>
        <v>1</v>
      </c>
      <c r="S101" s="0" t="n">
        <f aca="false">IF('Reverse Search'!$C$7="Disable",1,IF('Reverse Search'!$D$10="Disable",1,IF(OR('Reverse Search'!$F$10=H101,'Reverse Search'!$F$10=I101),1,0)))</f>
        <v>1</v>
      </c>
      <c r="T101" s="0" t="n">
        <f aca="false">INDEX($B$4:$B$22,MATCH(H101,$A$4:$A$22,0))</f>
        <v>1</v>
      </c>
      <c r="U101" s="0" t="n">
        <f aca="false">IF(ISBLANK(I101),1,INDEX($B$4:$B$22,MATCH(I101,$A$4:$A$22,0)))</f>
        <v>1</v>
      </c>
      <c r="V101" s="367" t="n">
        <f aca="false">IF('Reverse Search'!$C$7="Disable",1,IF('Reverse Search'!$D$11="Disable",1,IF('Reverse Search'!$E$11="Neutral to:",IF(ROUND(T101*U101,2)&lt;=1,1,0),IF(ROUND(T101*U101,2)&lt;1,1,0))))</f>
        <v>1</v>
      </c>
      <c r="W101" s="0" t="n">
        <f aca="false">IF('Reverse Search'!$N$7="Disable",1,IF('Reverse Search'!$I$9="Disable",1,IF('Reverse Search'!$K$9="≥",IF(J101&gt;='Reverse Search'!$L$9,1,0),IF('Reverse Search'!$K$9="≤",IF(J101&lt;='Reverse Search'!$L$9,1,0),IF(J101='Reverse Search'!$L$9,1,0)))))</f>
        <v>1</v>
      </c>
      <c r="X101" s="0" t="n">
        <f aca="false">IF('Reverse Search'!$N$7="Disable",1,IF('Reverse Search'!$I$10="Disable",1,IF('Reverse Search'!$K$10="≥",IF(K101&gt;='Reverse Search'!$L$10,1,0),IF('Reverse Search'!$K$10="≤",IF(K101&lt;='Reverse Search'!$L$10,1,0),IF(K101='Reverse Search'!$L$10,1,0)))))</f>
        <v>1</v>
      </c>
      <c r="Y101" s="367" t="n">
        <f aca="false">IF('Reverse Search'!$N$7="Disable",1,IF('Reverse Search'!$I$11="Disable",1,IF('Reverse Search'!$K$11="≥",IF(L101&gt;='Reverse Search'!$L$11,1,0),IF('Reverse Search'!$K$11="≤",IF(L101&lt;='Reverse Search'!$L$11,1,0),IF(L101='Reverse Search'!$L$11,1,0)))))</f>
        <v>1</v>
      </c>
      <c r="Z101" s="0" t="n">
        <f aca="true">IF('Reverse Search'!$C$14="Disable",1,IF('Reverse Search'!$D$16="Disable",1,IF($C$2=3,IF($M101=0,0,COUNTIF(INDIRECT("'0.0.2 Pokémon Learnset (Core)'!$D$"&amp;MATCH($E101,'0.0.2 Pokémon Learnset (Core)'!$A$1:$A951,0)&amp;":$FK$"&amp;MATCH($E101,'0.0.2 Pokémon Learnset (Core)'!$A$1:$A951,0)),'Reverse Search'!$E$21)),IF($C$2=2,COUNTIF(INDIRECT("'0.1.1 Pokémon GO Moves'!$B$"&amp;MATCH($E101,'0.1.1 Pokémon GO Moves'!$A$1:$A951,0)&amp;":$R$"&amp;MATCH($E101,'0.1.1 Pokémon GO Moves'!$A$1:$A951,0)),'Reverse Search'!$E$21),COUNTIF(INDIRECT("'0.1.1 Pokémon GO Moves'!$B$"&amp;MATCH($E101,'0.1.1 Pokémon GO Moves'!$A$1:$A951,0)&amp;":$L$"&amp;MATCH($E101,'0.1.1 Pokémon GO Moves'!$A$1:$A951,0)),'Reverse Search'!$E$21)))))</f>
        <v>1</v>
      </c>
      <c r="AA101" s="0" t="n">
        <f aca="true">IF('Reverse Search'!$C$14="Disable",1,IF('Reverse Search'!$I$16="Disable",1,IF($D$2=3,IF($M101=0,0,COUNTIF(INDIRECT("'0.0.2 Pokémon Learnset (Core)'!$D$"&amp;MATCH($E101,'0.0.2 Pokémon Learnset (Core)'!$A$1:$A951,0)&amp;":$FK$"&amp;MATCH($E101,'0.0.2 Pokémon Learnset (Core)'!$A$1:$A951,0)),'Reverse Search'!$J$21)),IF($D$2=2,COUNTIF(INDIRECT("'0.1.1 Pokémon GO Moves'!$B$"&amp;MATCH($E101,'0.1.1 Pokémon GO Moves'!$A$1:$A951,0)&amp;":$R$"&amp;MATCH($E101,'0.1.1 Pokémon GO Moves'!$A$1:$A951,0)),'Reverse Search'!$J$21),COUNTIF(INDIRECT("'0.1.1 Pokémon GO Moves'!$B$"&amp;MATCH($E101,'0.1.1 Pokémon GO Moves'!$A$1:$A951,0)&amp;":$L$"&amp;MATCH($E101,'0.1.1 Pokémon GO Moves'!$A$1:$A951,0)),'Reverse Search'!$J$21)))))</f>
        <v>0</v>
      </c>
      <c r="AB101" s="490"/>
      <c r="AC101" s="260" t="n">
        <f aca="false">IF((Q101+R101+S101+V101+W101+X101+Y101+IF(Z101&gt;=1,1,0)+IF(AA101&gt;=1,1,0))=9,G101&amp;", ",)</f>
        <v>0</v>
      </c>
    </row>
    <row r="102" customFormat="false" ht="15.75" hidden="false" customHeight="false" outlineLevel="0" collapsed="false">
      <c r="A102" s="260"/>
      <c r="B102" s="358"/>
      <c r="C102" s="260"/>
      <c r="D102" s="358" t="str">
        <f aca="false">IFERROR(__xludf.dummyfunction("""COMPUTED_VALUE"""),"Silver Wind")</f>
        <v>Silver Wind</v>
      </c>
      <c r="E102" s="260" t="n">
        <v>101</v>
      </c>
      <c r="F102" s="260" t="n">
        <f aca="false" t="array" ref="F102:F102">INDEX('0.0.1 Pokémon Dex Data'!$H$3:$H951,MATCH(E102,'0.0.1 Pokémon Dex Data'!$B$3:$B951,0))</f>
        <v>0</v>
      </c>
      <c r="G102" s="0" t="str">
        <f aca="false" t="array" ref="G102:G102">INDEX('0.0.1 Pokémon Dex Data'!$E$3:$E951,MATCH(E102,'0.0.1 Pokémon Dex Data'!$B$3:$B951,0))</f>
        <v>Slowbro</v>
      </c>
      <c r="H102" s="0" t="str">
        <f aca="false" t="array" ref="H102:H102">INDEX('0.0.1 Pokémon Dex Data'!$Q$3:$Q951,MATCH(E102,'0.0.1 Pokémon Dex Data'!$B$3:$B951,0))</f>
        <v>Water</v>
      </c>
      <c r="I102" s="0" t="str">
        <f aca="false" t="array" ref="I102:I102">INDEX('0.0.1 Pokémon Dex Data'!$R$3:$R951,MATCH(E102,'0.0.1 Pokémon Dex Data'!$B$3:$B951,0))</f>
        <v>Psychic</v>
      </c>
      <c r="J102" s="260" t="n">
        <f aca="false" t="array" ref="J102:J102">ROUND(INDEX('0.0.1 Pokémon Dex Data'!$S$3:$S951,MATCH($E102,'0.0.1 Pokémon Dex Data'!$B$3:$B951,0))*INDEX('0.0.1 Pokémon Dex Data'!T$3:T951,MATCH($E102,'0.0.1 Pokémon Dex Data'!$B$3:$B951,0)),0)</f>
        <v>177</v>
      </c>
      <c r="K102" s="260" t="n">
        <f aca="false" t="array" ref="K102:K102">ROUND(INDEX('0.0.1 Pokémon Dex Data'!$S$3:$S951,MATCH($E102,'0.0.1 Pokémon Dex Data'!$B$3:$B951,0))*INDEX('0.0.1 Pokémon Dex Data'!U$3:U951,MATCH($E102,'0.0.1 Pokémon Dex Data'!$B$3:$B951,0)),0)</f>
        <v>180</v>
      </c>
      <c r="L102" s="260" t="n">
        <f aca="false" t="array" ref="L102:L102">ROUND(INDEX('0.0.1 Pokémon Dex Data'!$S$3:$S951,MATCH($E102,'0.0.1 Pokémon Dex Data'!$B$3:$B951,0))*INDEX('0.0.1 Pokémon Dex Data'!V$3:V951,MATCH($E102,'0.0.1 Pokémon Dex Data'!$B$3:$B951,0)),0)</f>
        <v>216</v>
      </c>
      <c r="M102" s="260" t="n">
        <f aca="false" t="array" ref="M102:M102">INDEX('0.0.1 Pokémon Dex Data'!$J$3:$J951,MATCH(E102,'0.0.1 Pokémon Dex Data'!$B$3:$B951,0))</f>
        <v>1</v>
      </c>
      <c r="O102" s="490"/>
      <c r="Q102" s="367" t="n">
        <f aca="false">IF('Reverse Search'!$F$4="All (including temporary formes)",1,IF('Reverse Search'!$F$4="Base Pokémon and permanent formes only",IF(F102&lt;=1,1,0),IF(F102=0,1,0)))</f>
        <v>1</v>
      </c>
      <c r="R102" s="0" t="n">
        <f aca="false">IF('Reverse Search'!$C$7="Disable",1,IF('Reverse Search'!$D$9="Disable",1,IF(OR('Reverse Search'!$F$9=H102,'Reverse Search'!$F$9=I102),1,0)))</f>
        <v>1</v>
      </c>
      <c r="S102" s="0" t="n">
        <f aca="false">IF('Reverse Search'!$C$7="Disable",1,IF('Reverse Search'!$D$10="Disable",1,IF(OR('Reverse Search'!$F$10=H102,'Reverse Search'!$F$10=I102),1,0)))</f>
        <v>1</v>
      </c>
      <c r="T102" s="0" t="n">
        <f aca="false">INDEX($B$4:$B$22,MATCH(H102,$A$4:$A$22,0))</f>
        <v>1</v>
      </c>
      <c r="U102" s="0" t="n">
        <f aca="false">IF(ISBLANK(I102),1,INDEX($B$4:$B$22,MATCH(I102,$A$4:$A$22,0)))</f>
        <v>1</v>
      </c>
      <c r="V102" s="367" t="n">
        <f aca="false">IF('Reverse Search'!$C$7="Disable",1,IF('Reverse Search'!$D$11="Disable",1,IF('Reverse Search'!$E$11="Neutral to:",IF(ROUND(T102*U102,2)&lt;=1,1,0),IF(ROUND(T102*U102,2)&lt;1,1,0))))</f>
        <v>1</v>
      </c>
      <c r="W102" s="0" t="n">
        <f aca="false">IF('Reverse Search'!$N$7="Disable",1,IF('Reverse Search'!$I$9="Disable",1,IF('Reverse Search'!$K$9="≥",IF(J102&gt;='Reverse Search'!$L$9,1,0),IF('Reverse Search'!$K$9="≤",IF(J102&lt;='Reverse Search'!$L$9,1,0),IF(J102='Reverse Search'!$L$9,1,0)))))</f>
        <v>1</v>
      </c>
      <c r="X102" s="0" t="n">
        <f aca="false">IF('Reverse Search'!$N$7="Disable",1,IF('Reverse Search'!$I$10="Disable",1,IF('Reverse Search'!$K$10="≥",IF(K102&gt;='Reverse Search'!$L$10,1,0),IF('Reverse Search'!$K$10="≤",IF(K102&lt;='Reverse Search'!$L$10,1,0),IF(K102='Reverse Search'!$L$10,1,0)))))</f>
        <v>1</v>
      </c>
      <c r="Y102" s="367" t="n">
        <f aca="false">IF('Reverse Search'!$N$7="Disable",1,IF('Reverse Search'!$I$11="Disable",1,IF('Reverse Search'!$K$11="≥",IF(L102&gt;='Reverse Search'!$L$11,1,0),IF('Reverse Search'!$K$11="≤",IF(L102&lt;='Reverse Search'!$L$11,1,0),IF(L102='Reverse Search'!$L$11,1,0)))))</f>
        <v>1</v>
      </c>
      <c r="Z102" s="0" t="n">
        <f aca="true">IF('Reverse Search'!$C$14="Disable",1,IF('Reverse Search'!$D$16="Disable",1,IF($C$2=3,IF($M102=0,0,COUNTIF(INDIRECT("'0.0.2 Pokémon Learnset (Core)'!$D$"&amp;MATCH($E102,'0.0.2 Pokémon Learnset (Core)'!$A$1:$A951,0)&amp;":$FK$"&amp;MATCH($E102,'0.0.2 Pokémon Learnset (Core)'!$A$1:$A951,0)),'Reverse Search'!$E$21)),IF($C$2=2,COUNTIF(INDIRECT("'0.1.1 Pokémon GO Moves'!$B$"&amp;MATCH($E102,'0.1.1 Pokémon GO Moves'!$A$1:$A951,0)&amp;":$R$"&amp;MATCH($E102,'0.1.1 Pokémon GO Moves'!$A$1:$A951,0)),'Reverse Search'!$E$21),COUNTIF(INDIRECT("'0.1.1 Pokémon GO Moves'!$B$"&amp;MATCH($E102,'0.1.1 Pokémon GO Moves'!$A$1:$A951,0)&amp;":$L$"&amp;MATCH($E102,'0.1.1 Pokémon GO Moves'!$A$1:$A951,0)),'Reverse Search'!$E$21)))))</f>
        <v>1</v>
      </c>
      <c r="AA102" s="0" t="n">
        <f aca="true">IF('Reverse Search'!$C$14="Disable",1,IF('Reverse Search'!$I$16="Disable",1,IF($D$2=3,IF($M102=0,0,COUNTIF(INDIRECT("'0.0.2 Pokémon Learnset (Core)'!$D$"&amp;MATCH($E102,'0.0.2 Pokémon Learnset (Core)'!$A$1:$A951,0)&amp;":$FK$"&amp;MATCH($E102,'0.0.2 Pokémon Learnset (Core)'!$A$1:$A951,0)),'Reverse Search'!$J$21)),IF($D$2=2,COUNTIF(INDIRECT("'0.1.1 Pokémon GO Moves'!$B$"&amp;MATCH($E102,'0.1.1 Pokémon GO Moves'!$A$1:$A951,0)&amp;":$R$"&amp;MATCH($E102,'0.1.1 Pokémon GO Moves'!$A$1:$A951,0)),'Reverse Search'!$J$21),COUNTIF(INDIRECT("'0.1.1 Pokémon GO Moves'!$B$"&amp;MATCH($E102,'0.1.1 Pokémon GO Moves'!$A$1:$A951,0)&amp;":$L$"&amp;MATCH($E102,'0.1.1 Pokémon GO Moves'!$A$1:$A951,0)),'Reverse Search'!$J$21)))))</f>
        <v>0</v>
      </c>
      <c r="AB102" s="490"/>
      <c r="AC102" s="260" t="n">
        <f aca="false">IF((Q102+R102+S102+V102+W102+X102+Y102+IF(Z102&gt;=1,1,0)+IF(AA102&gt;=1,1,0))=9,G102&amp;", ",)</f>
        <v>0</v>
      </c>
    </row>
    <row r="103" customFormat="false" ht="15.75" hidden="false" customHeight="false" outlineLevel="0" collapsed="false">
      <c r="A103" s="260"/>
      <c r="B103" s="358"/>
      <c r="C103" s="260"/>
      <c r="D103" s="358" t="str">
        <f aca="false">IFERROR(__xludf.dummyfunction("""COMPUTED_VALUE"""),"Sky Attack")</f>
        <v>Sky Attack</v>
      </c>
      <c r="E103" s="260" t="n">
        <v>102</v>
      </c>
      <c r="F103" s="260" t="n">
        <f aca="false" t="array" ref="F103:F103">INDEX('0.0.1 Pokémon Dex Data'!$H$3:$H951,MATCH(E103,'0.0.1 Pokémon Dex Data'!$B$3:$B951,0))</f>
        <v>2</v>
      </c>
      <c r="G103" s="0" t="str">
        <f aca="false" t="array" ref="G103:G103">INDEX('0.0.1 Pokémon Dex Data'!$E$3:$E951,MATCH(E103,'0.0.1 Pokémon Dex Data'!$B$3:$B951,0))</f>
        <v>Slowbro-Mega</v>
      </c>
      <c r="H103" s="0" t="str">
        <f aca="false" t="array" ref="H103:H103">INDEX('0.0.1 Pokémon Dex Data'!$Q$3:$Q951,MATCH(E103,'0.0.1 Pokémon Dex Data'!$B$3:$B951,0))</f>
        <v>Water</v>
      </c>
      <c r="I103" s="0" t="str">
        <f aca="false" t="array" ref="I103:I103">INDEX('0.0.1 Pokémon Dex Data'!$R$3:$R951,MATCH(E103,'0.0.1 Pokémon Dex Data'!$B$3:$B951,0))</f>
        <v>Psychic</v>
      </c>
      <c r="J103" s="260" t="n">
        <f aca="false" t="array" ref="J103:J103">ROUND(INDEX('0.0.1 Pokémon Dex Data'!$S$3:$S951,MATCH($E103,'0.0.1 Pokémon Dex Data'!$B$3:$B951,0))*INDEX('0.0.1 Pokémon Dex Data'!T$3:T951,MATCH($E103,'0.0.1 Pokémon Dex Data'!$B$3:$B951,0)),0)</f>
        <v>224</v>
      </c>
      <c r="K103" s="260" t="n">
        <f aca="false" t="array" ref="K103:K103">ROUND(INDEX('0.0.1 Pokémon Dex Data'!$S$3:$S951,MATCH($E103,'0.0.1 Pokémon Dex Data'!$B$3:$B951,0))*INDEX('0.0.1 Pokémon Dex Data'!U$3:U951,MATCH($E103,'0.0.1 Pokémon Dex Data'!$B$3:$B951,0)),0)</f>
        <v>259</v>
      </c>
      <c r="L103" s="260" t="n">
        <f aca="false" t="array" ref="L103:L103">ROUND(INDEX('0.0.1 Pokémon Dex Data'!$S$3:$S951,MATCH($E103,'0.0.1 Pokémon Dex Data'!$B$3:$B951,0))*INDEX('0.0.1 Pokémon Dex Data'!V$3:V951,MATCH($E103,'0.0.1 Pokémon Dex Data'!$B$3:$B951,0)),0)</f>
        <v>216</v>
      </c>
      <c r="M103" s="260" t="n">
        <f aca="false" t="array" ref="M103:M103">INDEX('0.0.1 Pokémon Dex Data'!$J$3:$J951,MATCH(E103,'0.0.1 Pokémon Dex Data'!$B$3:$B951,0))</f>
        <v>1</v>
      </c>
      <c r="O103" s="490"/>
      <c r="Q103" s="367" t="n">
        <f aca="false">IF('Reverse Search'!$F$4="All (including temporary formes)",1,IF('Reverse Search'!$F$4="Base Pokémon and permanent formes only",IF(F103&lt;=1,1,0),IF(F103=0,1,0)))</f>
        <v>0</v>
      </c>
      <c r="R103" s="0" t="n">
        <f aca="false">IF('Reverse Search'!$C$7="Disable",1,IF('Reverse Search'!$D$9="Disable",1,IF(OR('Reverse Search'!$F$9=H103,'Reverse Search'!$F$9=I103),1,0)))</f>
        <v>1</v>
      </c>
      <c r="S103" s="0" t="n">
        <f aca="false">IF('Reverse Search'!$C$7="Disable",1,IF('Reverse Search'!$D$10="Disable",1,IF(OR('Reverse Search'!$F$10=H103,'Reverse Search'!$F$10=I103),1,0)))</f>
        <v>1</v>
      </c>
      <c r="T103" s="0" t="n">
        <f aca="false">INDEX($B$4:$B$22,MATCH(H103,$A$4:$A$22,0))</f>
        <v>1</v>
      </c>
      <c r="U103" s="0" t="n">
        <f aca="false">IF(ISBLANK(I103),1,INDEX($B$4:$B$22,MATCH(I103,$A$4:$A$22,0)))</f>
        <v>1</v>
      </c>
      <c r="V103" s="367" t="n">
        <f aca="false">IF('Reverse Search'!$C$7="Disable",1,IF('Reverse Search'!$D$11="Disable",1,IF('Reverse Search'!$E$11="Neutral to:",IF(ROUND(T103*U103,2)&lt;=1,1,0),IF(ROUND(T103*U103,2)&lt;1,1,0))))</f>
        <v>1</v>
      </c>
      <c r="W103" s="0" t="n">
        <f aca="false">IF('Reverse Search'!$N$7="Disable",1,IF('Reverse Search'!$I$9="Disable",1,IF('Reverse Search'!$K$9="≥",IF(J103&gt;='Reverse Search'!$L$9,1,0),IF('Reverse Search'!$K$9="≤",IF(J103&lt;='Reverse Search'!$L$9,1,0),IF(J103='Reverse Search'!$L$9,1,0)))))</f>
        <v>1</v>
      </c>
      <c r="X103" s="0" t="n">
        <f aca="false">IF('Reverse Search'!$N$7="Disable",1,IF('Reverse Search'!$I$10="Disable",1,IF('Reverse Search'!$K$10="≥",IF(K103&gt;='Reverse Search'!$L$10,1,0),IF('Reverse Search'!$K$10="≤",IF(K103&lt;='Reverse Search'!$L$10,1,0),IF(K103='Reverse Search'!$L$10,1,0)))))</f>
        <v>1</v>
      </c>
      <c r="Y103" s="367" t="n">
        <f aca="false">IF('Reverse Search'!$N$7="Disable",1,IF('Reverse Search'!$I$11="Disable",1,IF('Reverse Search'!$K$11="≥",IF(L103&gt;='Reverse Search'!$L$11,1,0),IF('Reverse Search'!$K$11="≤",IF(L103&lt;='Reverse Search'!$L$11,1,0),IF(L103='Reverse Search'!$L$11,1,0)))))</f>
        <v>1</v>
      </c>
      <c r="Z103" s="0" t="n">
        <f aca="true">IF('Reverse Search'!$C$14="Disable",1,IF('Reverse Search'!$D$16="Disable",1,IF($C$2=3,IF($M103=0,0,COUNTIF(INDIRECT("'0.0.2 Pokémon Learnset (Core)'!$D$"&amp;MATCH($E103,'0.0.2 Pokémon Learnset (Core)'!$A$1:$A951,0)&amp;":$FK$"&amp;MATCH($E103,'0.0.2 Pokémon Learnset (Core)'!$A$1:$A951,0)),'Reverse Search'!$E$21)),IF($C$2=2,COUNTIF(INDIRECT("'0.1.1 Pokémon GO Moves'!$B$"&amp;MATCH($E103,'0.1.1 Pokémon GO Moves'!$A$1:$A951,0)&amp;":$R$"&amp;MATCH($E103,'0.1.1 Pokémon GO Moves'!$A$1:$A951,0)),'Reverse Search'!$E$21),COUNTIF(INDIRECT("'0.1.1 Pokémon GO Moves'!$B$"&amp;MATCH($E103,'0.1.1 Pokémon GO Moves'!$A$1:$A951,0)&amp;":$L$"&amp;MATCH($E103,'0.1.1 Pokémon GO Moves'!$A$1:$A951,0)),'Reverse Search'!$E$21)))))</f>
        <v>1</v>
      </c>
      <c r="AA103" s="0" t="e">
        <f aca="true">IF('Reverse Search'!$C$14="Disable",1,IF('Reverse Search'!$I$16="Disable",1,IF($D$2=3,IF($M103=0,0,COUNTIF(INDIRECT("'0.0.2 Pokémon Learnset (Core)'!$D$"&amp;MATCH($E103,'0.0.2 Pokémon Learnset (Core)'!$A$1:$A951,0)&amp;":$FK$"&amp;MATCH($E103,'0.0.2 Pokémon Learnset (Core)'!$A$1:$A951,0)),'Reverse Search'!$J$21)),IF($D$2=2,COUNTIF(INDIRECT("'0.1.1 Pokémon GO Moves'!$B$"&amp;MATCH($E103,'0.1.1 Pokémon GO Moves'!$A$1:$A951,0)&amp;":$R$"&amp;MATCH($E103,'0.1.1 Pokémon GO Moves'!$A$1:$A951,0)),'Reverse Search'!$J$21),COUNTIF(INDIRECT("'0.1.1 Pokémon GO Moves'!$B$"&amp;MATCH($E103,'0.1.1 Pokémon GO Moves'!$A$1:$A951,0)&amp;":$L$"&amp;MATCH($E103,'0.1.1 Pokémon GO Moves'!$A$1:$A951,0)),'Reverse Search'!$J$21)))))</f>
        <v>#N/A</v>
      </c>
      <c r="AB103" s="490"/>
      <c r="AC103" s="260" t="e">
        <f aca="false">IF((Q103+R103+S103+V103+W103+X103+Y103+IF(Z103&gt;=1,1,0)+IF(AA103&gt;=1,1,0))=9,G103&amp;", ",)</f>
        <v>#N/A</v>
      </c>
    </row>
    <row r="104" customFormat="false" ht="15.75" hidden="false" customHeight="false" outlineLevel="0" collapsed="false">
      <c r="A104" s="260"/>
      <c r="B104" s="358"/>
      <c r="C104" s="260"/>
      <c r="D104" s="358" t="str">
        <f aca="false">IFERROR(__xludf.dummyfunction("""COMPUTED_VALUE"""),"Sludge")</f>
        <v>Sludge</v>
      </c>
      <c r="E104" s="260" t="n">
        <v>103</v>
      </c>
      <c r="F104" s="260" t="n">
        <f aca="false" t="array" ref="F104:F104">INDEX('0.0.1 Pokémon Dex Data'!$H$3:$H951,MATCH(E104,'0.0.1 Pokémon Dex Data'!$B$3:$B951,0))</f>
        <v>0</v>
      </c>
      <c r="G104" s="0" t="str">
        <f aca="false" t="array" ref="G104:G104">INDEX('0.0.1 Pokémon Dex Data'!$E$3:$E951,MATCH(E104,'0.0.1 Pokémon Dex Data'!$B$3:$B951,0))</f>
        <v>Magnemite</v>
      </c>
      <c r="H104" s="0" t="str">
        <f aca="false" t="array" ref="H104:H104">INDEX('0.0.1 Pokémon Dex Data'!$Q$3:$Q951,MATCH(E104,'0.0.1 Pokémon Dex Data'!$B$3:$B951,0))</f>
        <v>Electric</v>
      </c>
      <c r="I104" s="0" t="str">
        <f aca="false" t="array" ref="I104:I104">INDEX('0.0.1 Pokémon Dex Data'!$R$3:$R951,MATCH(E104,'0.0.1 Pokémon Dex Data'!$B$3:$B951,0))</f>
        <v>Steel</v>
      </c>
      <c r="J104" s="260" t="n">
        <f aca="false" t="array" ref="J104:J104">ROUND(INDEX('0.0.1 Pokémon Dex Data'!$S$3:$S951,MATCH($E104,'0.0.1 Pokémon Dex Data'!$B$3:$B951,0))*INDEX('0.0.1 Pokémon Dex Data'!T$3:T951,MATCH($E104,'0.0.1 Pokémon Dex Data'!$B$3:$B951,0)),0)</f>
        <v>165</v>
      </c>
      <c r="K104" s="260" t="n">
        <f aca="false" t="array" ref="K104:K104">ROUND(INDEX('0.0.1 Pokémon Dex Data'!$S$3:$S951,MATCH($E104,'0.0.1 Pokémon Dex Data'!$B$3:$B951,0))*INDEX('0.0.1 Pokémon Dex Data'!U$3:U951,MATCH($E104,'0.0.1 Pokémon Dex Data'!$B$3:$B951,0)),0)</f>
        <v>121</v>
      </c>
      <c r="L104" s="260" t="n">
        <f aca="false" t="array" ref="L104:L104">ROUND(INDEX('0.0.1 Pokémon Dex Data'!$S$3:$S951,MATCH($E104,'0.0.1 Pokémon Dex Data'!$B$3:$B951,0))*INDEX('0.0.1 Pokémon Dex Data'!V$3:V951,MATCH($E104,'0.0.1 Pokémon Dex Data'!$B$3:$B951,0)),0)</f>
        <v>93</v>
      </c>
      <c r="M104" s="260" t="n">
        <f aca="false" t="array" ref="M104:M104">INDEX('0.0.1 Pokémon Dex Data'!$J$3:$J951,MATCH(E104,'0.0.1 Pokémon Dex Data'!$B$3:$B951,0))</f>
        <v>0</v>
      </c>
      <c r="O104" s="490"/>
      <c r="Q104" s="367" t="n">
        <f aca="false">IF('Reverse Search'!$F$4="All (including temporary formes)",1,IF('Reverse Search'!$F$4="Base Pokémon and permanent formes only",IF(F104&lt;=1,1,0),IF(F104=0,1,0)))</f>
        <v>1</v>
      </c>
      <c r="R104" s="0" t="n">
        <f aca="false">IF('Reverse Search'!$C$7="Disable",1,IF('Reverse Search'!$D$9="Disable",1,IF(OR('Reverse Search'!$F$9=H104,'Reverse Search'!$F$9=I104),1,0)))</f>
        <v>1</v>
      </c>
      <c r="S104" s="0" t="n">
        <f aca="false">IF('Reverse Search'!$C$7="Disable",1,IF('Reverse Search'!$D$10="Disable",1,IF(OR('Reverse Search'!$F$10=H104,'Reverse Search'!$F$10=I104),1,0)))</f>
        <v>1</v>
      </c>
      <c r="T104" s="0" t="n">
        <f aca="false">INDEX($B$4:$B$22,MATCH(H104,$A$4:$A$22,0))</f>
        <v>1</v>
      </c>
      <c r="U104" s="0" t="n">
        <f aca="false">IF(ISBLANK(I104),1,INDEX($B$4:$B$22,MATCH(I104,$A$4:$A$22,0)))</f>
        <v>0.714</v>
      </c>
      <c r="V104" s="367" t="n">
        <f aca="false">IF('Reverse Search'!$C$7="Disable",1,IF('Reverse Search'!$D$11="Disable",1,IF('Reverse Search'!$E$11="Neutral to:",IF(ROUND(T104*U104,2)&lt;=1,1,0),IF(ROUND(T104*U104,2)&lt;1,1,0))))</f>
        <v>1</v>
      </c>
      <c r="W104" s="0" t="n">
        <f aca="false">IF('Reverse Search'!$N$7="Disable",1,IF('Reverse Search'!$I$9="Disable",1,IF('Reverse Search'!$K$9="≥",IF(J104&gt;='Reverse Search'!$L$9,1,0),IF('Reverse Search'!$K$9="≤",IF(J104&lt;='Reverse Search'!$L$9,1,0),IF(J104='Reverse Search'!$L$9,1,0)))))</f>
        <v>1</v>
      </c>
      <c r="X104" s="0" t="n">
        <f aca="false">IF('Reverse Search'!$N$7="Disable",1,IF('Reverse Search'!$I$10="Disable",1,IF('Reverse Search'!$K$10="≥",IF(K104&gt;='Reverse Search'!$L$10,1,0),IF('Reverse Search'!$K$10="≤",IF(K104&lt;='Reverse Search'!$L$10,1,0),IF(K104='Reverse Search'!$L$10,1,0)))))</f>
        <v>1</v>
      </c>
      <c r="Y104" s="367" t="n">
        <f aca="false">IF('Reverse Search'!$N$7="Disable",1,IF('Reverse Search'!$I$11="Disable",1,IF('Reverse Search'!$K$11="≥",IF(L104&gt;='Reverse Search'!$L$11,1,0),IF('Reverse Search'!$K$11="≤",IF(L104&lt;='Reverse Search'!$L$11,1,0),IF(L104='Reverse Search'!$L$11,1,0)))))</f>
        <v>1</v>
      </c>
      <c r="Z104" s="0" t="n">
        <f aca="true">IF('Reverse Search'!$C$14="Disable",1,IF('Reverse Search'!$D$16="Disable",1,IF($C$2=3,IF($M104=0,0,COUNTIF(INDIRECT("'0.0.2 Pokémon Learnset (Core)'!$D$"&amp;MATCH($E104,'0.0.2 Pokémon Learnset (Core)'!$A$1:$A951,0)&amp;":$FK$"&amp;MATCH($E104,'0.0.2 Pokémon Learnset (Core)'!$A$1:$A951,0)),'Reverse Search'!$E$21)),IF($C$2=2,COUNTIF(INDIRECT("'0.1.1 Pokémon GO Moves'!$B$"&amp;MATCH($E104,'0.1.1 Pokémon GO Moves'!$A$1:$A951,0)&amp;":$R$"&amp;MATCH($E104,'0.1.1 Pokémon GO Moves'!$A$1:$A951,0)),'Reverse Search'!$E$21),COUNTIF(INDIRECT("'0.1.1 Pokémon GO Moves'!$B$"&amp;MATCH($E104,'0.1.1 Pokémon GO Moves'!$A$1:$A951,0)&amp;":$L$"&amp;MATCH($E104,'0.1.1 Pokémon GO Moves'!$A$1:$A951,0)),'Reverse Search'!$E$21)))))</f>
        <v>1</v>
      </c>
      <c r="AA104" s="0" t="n">
        <f aca="true">IF('Reverse Search'!$C$14="Disable",1,IF('Reverse Search'!$I$16="Disable",1,IF($D$2=3,IF($M104=0,0,COUNTIF(INDIRECT("'0.0.2 Pokémon Learnset (Core)'!$D$"&amp;MATCH($E104,'0.0.2 Pokémon Learnset (Core)'!$A$1:$A951,0)&amp;":$FK$"&amp;MATCH($E104,'0.0.2 Pokémon Learnset (Core)'!$A$1:$A951,0)),'Reverse Search'!$J$21)),IF($D$2=2,COUNTIF(INDIRECT("'0.1.1 Pokémon GO Moves'!$B$"&amp;MATCH($E104,'0.1.1 Pokémon GO Moves'!$A$1:$A951,0)&amp;":$R$"&amp;MATCH($E104,'0.1.1 Pokémon GO Moves'!$A$1:$A951,0)),'Reverse Search'!$J$21),COUNTIF(INDIRECT("'0.1.1 Pokémon GO Moves'!$B$"&amp;MATCH($E104,'0.1.1 Pokémon GO Moves'!$A$1:$A951,0)&amp;":$L$"&amp;MATCH($E104,'0.1.1 Pokémon GO Moves'!$A$1:$A951,0)),'Reverse Search'!$J$21)))))</f>
        <v>0</v>
      </c>
      <c r="AB104" s="490"/>
      <c r="AC104" s="260" t="n">
        <f aca="false">IF((Q104+R104+S104+V104+W104+X104+Y104+IF(Z104&gt;=1,1,0)+IF(AA104&gt;=1,1,0))=9,G104&amp;", ",)</f>
        <v>0</v>
      </c>
    </row>
    <row r="105" customFormat="false" ht="15.75" hidden="false" customHeight="false" outlineLevel="0" collapsed="false">
      <c r="A105" s="260"/>
      <c r="B105" s="358"/>
      <c r="C105" s="260"/>
      <c r="D105" s="358" t="str">
        <f aca="false">IFERROR(__xludf.dummyfunction("""COMPUTED_VALUE"""),"Sludge Bomb")</f>
        <v>Sludge Bomb</v>
      </c>
      <c r="E105" s="260" t="n">
        <v>104</v>
      </c>
      <c r="F105" s="260" t="n">
        <f aca="false" t="array" ref="F105:F105">INDEX('0.0.1 Pokémon Dex Data'!$H$3:$H951,MATCH(E105,'0.0.1 Pokémon Dex Data'!$B$3:$B951,0))</f>
        <v>0</v>
      </c>
      <c r="G105" s="0" t="str">
        <f aca="false" t="array" ref="G105:G105">INDEX('0.0.1 Pokémon Dex Data'!$E$3:$E951,MATCH(E105,'0.0.1 Pokémon Dex Data'!$B$3:$B951,0))</f>
        <v>Magneton</v>
      </c>
      <c r="H105" s="0" t="str">
        <f aca="false" t="array" ref="H105:H105">INDEX('0.0.1 Pokémon Dex Data'!$Q$3:$Q951,MATCH(E105,'0.0.1 Pokémon Dex Data'!$B$3:$B951,0))</f>
        <v>Electric</v>
      </c>
      <c r="I105" s="0" t="str">
        <f aca="false" t="array" ref="I105:I105">INDEX('0.0.1 Pokémon Dex Data'!$R$3:$R951,MATCH(E105,'0.0.1 Pokémon Dex Data'!$B$3:$B951,0))</f>
        <v>Steel</v>
      </c>
      <c r="J105" s="260" t="n">
        <f aca="false" t="array" ref="J105:J105">ROUND(INDEX('0.0.1 Pokémon Dex Data'!$S$3:$S951,MATCH($E105,'0.0.1 Pokémon Dex Data'!$B$3:$B951,0))*INDEX('0.0.1 Pokémon Dex Data'!T$3:T951,MATCH($E105,'0.0.1 Pokémon Dex Data'!$B$3:$B951,0)),0)</f>
        <v>223</v>
      </c>
      <c r="K105" s="260" t="n">
        <f aca="false" t="array" ref="K105:K105">ROUND(INDEX('0.0.1 Pokémon Dex Data'!$S$3:$S951,MATCH($E105,'0.0.1 Pokémon Dex Data'!$B$3:$B951,0))*INDEX('0.0.1 Pokémon Dex Data'!U$3:U951,MATCH($E105,'0.0.1 Pokémon Dex Data'!$B$3:$B951,0)),0)</f>
        <v>169</v>
      </c>
      <c r="L105" s="260" t="n">
        <f aca="false" t="array" ref="L105:L105">ROUND(INDEX('0.0.1 Pokémon Dex Data'!$S$3:$S951,MATCH($E105,'0.0.1 Pokémon Dex Data'!$B$3:$B951,0))*INDEX('0.0.1 Pokémon Dex Data'!V$3:V951,MATCH($E105,'0.0.1 Pokémon Dex Data'!$B$3:$B951,0)),0)</f>
        <v>137</v>
      </c>
      <c r="M105" s="260" t="n">
        <f aca="false" t="array" ref="M105:M105">INDEX('0.0.1 Pokémon Dex Data'!$J$3:$J951,MATCH(E105,'0.0.1 Pokémon Dex Data'!$B$3:$B951,0))</f>
        <v>1</v>
      </c>
      <c r="O105" s="490"/>
      <c r="Q105" s="367" t="n">
        <f aca="false">IF('Reverse Search'!$F$4="All (including temporary formes)",1,IF('Reverse Search'!$F$4="Base Pokémon and permanent formes only",IF(F105&lt;=1,1,0),IF(F105=0,1,0)))</f>
        <v>1</v>
      </c>
      <c r="R105" s="0" t="n">
        <f aca="false">IF('Reverse Search'!$C$7="Disable",1,IF('Reverse Search'!$D$9="Disable",1,IF(OR('Reverse Search'!$F$9=H105,'Reverse Search'!$F$9=I105),1,0)))</f>
        <v>1</v>
      </c>
      <c r="S105" s="0" t="n">
        <f aca="false">IF('Reverse Search'!$C$7="Disable",1,IF('Reverse Search'!$D$10="Disable",1,IF(OR('Reverse Search'!$F$10=H105,'Reverse Search'!$F$10=I105),1,0)))</f>
        <v>1</v>
      </c>
      <c r="T105" s="0" t="n">
        <f aca="false">INDEX($B$4:$B$22,MATCH(H105,$A$4:$A$22,0))</f>
        <v>1</v>
      </c>
      <c r="U105" s="0" t="n">
        <f aca="false">IF(ISBLANK(I105),1,INDEX($B$4:$B$22,MATCH(I105,$A$4:$A$22,0)))</f>
        <v>0.714</v>
      </c>
      <c r="V105" s="367" t="n">
        <f aca="false">IF('Reverse Search'!$C$7="Disable",1,IF('Reverse Search'!$D$11="Disable",1,IF('Reverse Search'!$E$11="Neutral to:",IF(ROUND(T105*U105,2)&lt;=1,1,0),IF(ROUND(T105*U105,2)&lt;1,1,0))))</f>
        <v>1</v>
      </c>
      <c r="W105" s="0" t="n">
        <f aca="false">IF('Reverse Search'!$N$7="Disable",1,IF('Reverse Search'!$I$9="Disable",1,IF('Reverse Search'!$K$9="≥",IF(J105&gt;='Reverse Search'!$L$9,1,0),IF('Reverse Search'!$K$9="≤",IF(J105&lt;='Reverse Search'!$L$9,1,0),IF(J105='Reverse Search'!$L$9,1,0)))))</f>
        <v>1</v>
      </c>
      <c r="X105" s="0" t="n">
        <f aca="false">IF('Reverse Search'!$N$7="Disable",1,IF('Reverse Search'!$I$10="Disable",1,IF('Reverse Search'!$K$10="≥",IF(K105&gt;='Reverse Search'!$L$10,1,0),IF('Reverse Search'!$K$10="≤",IF(K105&lt;='Reverse Search'!$L$10,1,0),IF(K105='Reverse Search'!$L$10,1,0)))))</f>
        <v>1</v>
      </c>
      <c r="Y105" s="367" t="n">
        <f aca="false">IF('Reverse Search'!$N$7="Disable",1,IF('Reverse Search'!$I$11="Disable",1,IF('Reverse Search'!$K$11="≥",IF(L105&gt;='Reverse Search'!$L$11,1,0),IF('Reverse Search'!$K$11="≤",IF(L105&lt;='Reverse Search'!$L$11,1,0),IF(L105='Reverse Search'!$L$11,1,0)))))</f>
        <v>1</v>
      </c>
      <c r="Z105" s="0" t="n">
        <f aca="true">IF('Reverse Search'!$C$14="Disable",1,IF('Reverse Search'!$D$16="Disable",1,IF($C$2=3,IF($M105=0,0,COUNTIF(INDIRECT("'0.0.2 Pokémon Learnset (Core)'!$D$"&amp;MATCH($E105,'0.0.2 Pokémon Learnset (Core)'!$A$1:$A951,0)&amp;":$FK$"&amp;MATCH($E105,'0.0.2 Pokémon Learnset (Core)'!$A$1:$A951,0)),'Reverse Search'!$E$21)),IF($C$2=2,COUNTIF(INDIRECT("'0.1.1 Pokémon GO Moves'!$B$"&amp;MATCH($E105,'0.1.1 Pokémon GO Moves'!$A$1:$A951,0)&amp;":$R$"&amp;MATCH($E105,'0.1.1 Pokémon GO Moves'!$A$1:$A951,0)),'Reverse Search'!$E$21),COUNTIF(INDIRECT("'0.1.1 Pokémon GO Moves'!$B$"&amp;MATCH($E105,'0.1.1 Pokémon GO Moves'!$A$1:$A951,0)&amp;":$L$"&amp;MATCH($E105,'0.1.1 Pokémon GO Moves'!$A$1:$A951,0)),'Reverse Search'!$E$21)))))</f>
        <v>1</v>
      </c>
      <c r="AA105" s="0" t="n">
        <f aca="true">IF('Reverse Search'!$C$14="Disable",1,IF('Reverse Search'!$I$16="Disable",1,IF($D$2=3,IF($M105=0,0,COUNTIF(INDIRECT("'0.0.2 Pokémon Learnset (Core)'!$D$"&amp;MATCH($E105,'0.0.2 Pokémon Learnset (Core)'!$A$1:$A951,0)&amp;":$FK$"&amp;MATCH($E105,'0.0.2 Pokémon Learnset (Core)'!$A$1:$A951,0)),'Reverse Search'!$J$21)),IF($D$2=2,COUNTIF(INDIRECT("'0.1.1 Pokémon GO Moves'!$B$"&amp;MATCH($E105,'0.1.1 Pokémon GO Moves'!$A$1:$A951,0)&amp;":$R$"&amp;MATCH($E105,'0.1.1 Pokémon GO Moves'!$A$1:$A951,0)),'Reverse Search'!$J$21),COUNTIF(INDIRECT("'0.1.1 Pokémon GO Moves'!$B$"&amp;MATCH($E105,'0.1.1 Pokémon GO Moves'!$A$1:$A951,0)&amp;":$L$"&amp;MATCH($E105,'0.1.1 Pokémon GO Moves'!$A$1:$A951,0)),'Reverse Search'!$J$21)))))</f>
        <v>0</v>
      </c>
      <c r="AB105" s="490"/>
      <c r="AC105" s="260" t="n">
        <f aca="false">IF((Q105+R105+S105+V105+W105+X105+Y105+IF(Z105&gt;=1,1,0)+IF(AA105&gt;=1,1,0))=9,G105&amp;", ",)</f>
        <v>0</v>
      </c>
    </row>
    <row r="106" customFormat="false" ht="15.75" hidden="false" customHeight="false" outlineLevel="0" collapsed="false">
      <c r="A106" s="260"/>
      <c r="B106" s="358"/>
      <c r="C106" s="260"/>
      <c r="D106" s="358" t="str">
        <f aca="false">IFERROR(__xludf.dummyfunction("""COMPUTED_VALUE"""),"Sludge Wave")</f>
        <v>Sludge Wave</v>
      </c>
      <c r="E106" s="260" t="n">
        <v>105</v>
      </c>
      <c r="F106" s="260" t="n">
        <f aca="false" t="array" ref="F106:F106">INDEX('0.0.1 Pokémon Dex Data'!$H$3:$H951,MATCH(E106,'0.0.1 Pokémon Dex Data'!$B$3:$B951,0))</f>
        <v>0</v>
      </c>
      <c r="G106" s="0" t="str">
        <f aca="false" t="array" ref="G106:G106">INDEX('0.0.1 Pokémon Dex Data'!$E$3:$E951,MATCH(E106,'0.0.1 Pokémon Dex Data'!$B$3:$B951,0))</f>
        <v>Farfetch'd</v>
      </c>
      <c r="H106" s="0" t="str">
        <f aca="false" t="array" ref="H106:H106">INDEX('0.0.1 Pokémon Dex Data'!$Q$3:$Q951,MATCH(E106,'0.0.1 Pokémon Dex Data'!$B$3:$B951,0))</f>
        <v>Normal</v>
      </c>
      <c r="I106" s="0" t="str">
        <f aca="false" t="array" ref="I106:I106">INDEX('0.0.1 Pokémon Dex Data'!$R$3:$R951,MATCH(E106,'0.0.1 Pokémon Dex Data'!$B$3:$B951,0))</f>
        <v>Flying</v>
      </c>
      <c r="J106" s="260" t="n">
        <f aca="false" t="array" ref="J106:J106">ROUND(INDEX('0.0.1 Pokémon Dex Data'!$S$3:$S951,MATCH($E106,'0.0.1 Pokémon Dex Data'!$B$3:$B951,0))*INDEX('0.0.1 Pokémon Dex Data'!T$3:T951,MATCH($E106,'0.0.1 Pokémon Dex Data'!$B$3:$B951,0)),0)</f>
        <v>124</v>
      </c>
      <c r="K106" s="260" t="n">
        <f aca="false" t="array" ref="K106:K106">ROUND(INDEX('0.0.1 Pokémon Dex Data'!$S$3:$S951,MATCH($E106,'0.0.1 Pokémon Dex Data'!$B$3:$B951,0))*INDEX('0.0.1 Pokémon Dex Data'!U$3:U951,MATCH($E106,'0.0.1 Pokémon Dex Data'!$B$3:$B951,0)),0)</f>
        <v>115</v>
      </c>
      <c r="L106" s="260" t="n">
        <f aca="false" t="array" ref="L106:L106">ROUND(INDEX('0.0.1 Pokémon Dex Data'!$S$3:$S951,MATCH($E106,'0.0.1 Pokémon Dex Data'!$B$3:$B951,0))*INDEX('0.0.1 Pokémon Dex Data'!V$3:V951,MATCH($E106,'0.0.1 Pokémon Dex Data'!$B$3:$B951,0)),0)</f>
        <v>141</v>
      </c>
      <c r="M106" s="260" t="n">
        <f aca="false" t="array" ref="M106:M106">INDEX('0.0.1 Pokémon Dex Data'!$J$3:$J951,MATCH(E106,'0.0.1 Pokémon Dex Data'!$B$3:$B951,0))</f>
        <v>1</v>
      </c>
      <c r="O106" s="490"/>
      <c r="Q106" s="367" t="n">
        <f aca="false">IF('Reverse Search'!$F$4="All (including temporary formes)",1,IF('Reverse Search'!$F$4="Base Pokémon and permanent formes only",IF(F106&lt;=1,1,0),IF(F106=0,1,0)))</f>
        <v>1</v>
      </c>
      <c r="R106" s="0" t="n">
        <f aca="false">IF('Reverse Search'!$C$7="Disable",1,IF('Reverse Search'!$D$9="Disable",1,IF(OR('Reverse Search'!$F$9=H106,'Reverse Search'!$F$9=I106),1,0)))</f>
        <v>1</v>
      </c>
      <c r="S106" s="0" t="n">
        <f aca="false">IF('Reverse Search'!$C$7="Disable",1,IF('Reverse Search'!$D$10="Disable",1,IF(OR('Reverse Search'!$F$10=H106,'Reverse Search'!$F$10=I106),1,0)))</f>
        <v>1</v>
      </c>
      <c r="T106" s="0" t="n">
        <f aca="false">INDEX($B$4:$B$22,MATCH(H106,$A$4:$A$22,0))</f>
        <v>1</v>
      </c>
      <c r="U106" s="0" t="n">
        <f aca="false">IF(ISBLANK(I106),1,INDEX($B$4:$B$22,MATCH(I106,$A$4:$A$22,0)))</f>
        <v>1</v>
      </c>
      <c r="V106" s="367" t="n">
        <f aca="false">IF('Reverse Search'!$C$7="Disable",1,IF('Reverse Search'!$D$11="Disable",1,IF('Reverse Search'!$E$11="Neutral to:",IF(ROUND(T106*U106,2)&lt;=1,1,0),IF(ROUND(T106*U106,2)&lt;1,1,0))))</f>
        <v>1</v>
      </c>
      <c r="W106" s="0" t="n">
        <f aca="false">IF('Reverse Search'!$N$7="Disable",1,IF('Reverse Search'!$I$9="Disable",1,IF('Reverse Search'!$K$9="≥",IF(J106&gt;='Reverse Search'!$L$9,1,0),IF('Reverse Search'!$K$9="≤",IF(J106&lt;='Reverse Search'!$L$9,1,0),IF(J106='Reverse Search'!$L$9,1,0)))))</f>
        <v>1</v>
      </c>
      <c r="X106" s="0" t="n">
        <f aca="false">IF('Reverse Search'!$N$7="Disable",1,IF('Reverse Search'!$I$10="Disable",1,IF('Reverse Search'!$K$10="≥",IF(K106&gt;='Reverse Search'!$L$10,1,0),IF('Reverse Search'!$K$10="≤",IF(K106&lt;='Reverse Search'!$L$10,1,0),IF(K106='Reverse Search'!$L$10,1,0)))))</f>
        <v>1</v>
      </c>
      <c r="Y106" s="367" t="n">
        <f aca="false">IF('Reverse Search'!$N$7="Disable",1,IF('Reverse Search'!$I$11="Disable",1,IF('Reverse Search'!$K$11="≥",IF(L106&gt;='Reverse Search'!$L$11,1,0),IF('Reverse Search'!$K$11="≤",IF(L106&lt;='Reverse Search'!$L$11,1,0),IF(L106='Reverse Search'!$L$11,1,0)))))</f>
        <v>1</v>
      </c>
      <c r="Z106" s="0" t="n">
        <f aca="true">IF('Reverse Search'!$C$14="Disable",1,IF('Reverse Search'!$D$16="Disable",1,IF($C$2=3,IF($M106=0,0,COUNTIF(INDIRECT("'0.0.2 Pokémon Learnset (Core)'!$D$"&amp;MATCH($E106,'0.0.2 Pokémon Learnset (Core)'!$A$1:$A951,0)&amp;":$FK$"&amp;MATCH($E106,'0.0.2 Pokémon Learnset (Core)'!$A$1:$A951,0)),'Reverse Search'!$E$21)),IF($C$2=2,COUNTIF(INDIRECT("'0.1.1 Pokémon GO Moves'!$B$"&amp;MATCH($E106,'0.1.1 Pokémon GO Moves'!$A$1:$A951,0)&amp;":$R$"&amp;MATCH($E106,'0.1.1 Pokémon GO Moves'!$A$1:$A951,0)),'Reverse Search'!$E$21),COUNTIF(INDIRECT("'0.1.1 Pokémon GO Moves'!$B$"&amp;MATCH($E106,'0.1.1 Pokémon GO Moves'!$A$1:$A951,0)&amp;":$L$"&amp;MATCH($E106,'0.1.1 Pokémon GO Moves'!$A$1:$A951,0)),'Reverse Search'!$E$21)))))</f>
        <v>1</v>
      </c>
      <c r="AA106" s="0" t="n">
        <f aca="true">IF('Reverse Search'!$C$14="Disable",1,IF('Reverse Search'!$I$16="Disable",1,IF($D$2=3,IF($M106=0,0,COUNTIF(INDIRECT("'0.0.2 Pokémon Learnset (Core)'!$D$"&amp;MATCH($E106,'0.0.2 Pokémon Learnset (Core)'!$A$1:$A951,0)&amp;":$FK$"&amp;MATCH($E106,'0.0.2 Pokémon Learnset (Core)'!$A$1:$A951,0)),'Reverse Search'!$J$21)),IF($D$2=2,COUNTIF(INDIRECT("'0.1.1 Pokémon GO Moves'!$B$"&amp;MATCH($E106,'0.1.1 Pokémon GO Moves'!$A$1:$A951,0)&amp;":$R$"&amp;MATCH($E106,'0.1.1 Pokémon GO Moves'!$A$1:$A951,0)),'Reverse Search'!$J$21),COUNTIF(INDIRECT("'0.1.1 Pokémon GO Moves'!$B$"&amp;MATCH($E106,'0.1.1 Pokémon GO Moves'!$A$1:$A951,0)&amp;":$L$"&amp;MATCH($E106,'0.1.1 Pokémon GO Moves'!$A$1:$A951,0)),'Reverse Search'!$J$21)))))</f>
        <v>0</v>
      </c>
      <c r="AB106" s="490"/>
      <c r="AC106" s="260" t="n">
        <f aca="false">IF((Q106+R106+S106+V106+W106+X106+Y106+IF(Z106&gt;=1,1,0)+IF(AA106&gt;=1,1,0))=9,G106&amp;", ",)</f>
        <v>0</v>
      </c>
    </row>
    <row r="107" customFormat="false" ht="15.75" hidden="false" customHeight="false" outlineLevel="0" collapsed="false">
      <c r="A107" s="260"/>
      <c r="B107" s="358"/>
      <c r="C107" s="260"/>
      <c r="D107" s="358" t="str">
        <f aca="false">IFERROR(__xludf.dummyfunction("""COMPUTED_VALUE"""),"Solar Beam")</f>
        <v>Solar Beam</v>
      </c>
      <c r="E107" s="260" t="n">
        <v>106</v>
      </c>
      <c r="F107" s="260" t="n">
        <f aca="false" t="array" ref="F107:F107">INDEX('0.0.1 Pokémon Dex Data'!$H$3:$H951,MATCH(E107,'0.0.1 Pokémon Dex Data'!$B$3:$B951,0))</f>
        <v>0</v>
      </c>
      <c r="G107" s="0" t="str">
        <f aca="false" t="array" ref="G107:G107">INDEX('0.0.1 Pokémon Dex Data'!$E$3:$E951,MATCH(E107,'0.0.1 Pokémon Dex Data'!$B$3:$B951,0))</f>
        <v>Doduo</v>
      </c>
      <c r="H107" s="0" t="str">
        <f aca="false" t="array" ref="H107:H107">INDEX('0.0.1 Pokémon Dex Data'!$Q$3:$Q951,MATCH(E107,'0.0.1 Pokémon Dex Data'!$B$3:$B951,0))</f>
        <v>Normal</v>
      </c>
      <c r="I107" s="0" t="str">
        <f aca="false" t="array" ref="I107:I107">INDEX('0.0.1 Pokémon Dex Data'!$R$3:$R951,MATCH(E107,'0.0.1 Pokémon Dex Data'!$B$3:$B951,0))</f>
        <v>Flying</v>
      </c>
      <c r="J107" s="260" t="n">
        <f aca="false" t="array" ref="J107:J107">ROUND(INDEX('0.0.1 Pokémon Dex Data'!$S$3:$S951,MATCH($E107,'0.0.1 Pokémon Dex Data'!$B$3:$B951,0))*INDEX('0.0.1 Pokémon Dex Data'!T$3:T951,MATCH($E107,'0.0.1 Pokémon Dex Data'!$B$3:$B951,0)),0)</f>
        <v>158</v>
      </c>
      <c r="K107" s="260" t="n">
        <f aca="false" t="array" ref="K107:K107">ROUND(INDEX('0.0.1 Pokémon Dex Data'!$S$3:$S951,MATCH($E107,'0.0.1 Pokémon Dex Data'!$B$3:$B951,0))*INDEX('0.0.1 Pokémon Dex Data'!U$3:U951,MATCH($E107,'0.0.1 Pokémon Dex Data'!$B$3:$B951,0)),0)</f>
        <v>83</v>
      </c>
      <c r="L107" s="260" t="n">
        <f aca="false" t="array" ref="L107:L107">ROUND(INDEX('0.0.1 Pokémon Dex Data'!$S$3:$S951,MATCH($E107,'0.0.1 Pokémon Dex Data'!$B$3:$B951,0))*INDEX('0.0.1 Pokémon Dex Data'!V$3:V951,MATCH($E107,'0.0.1 Pokémon Dex Data'!$B$3:$B951,0)),0)</f>
        <v>111</v>
      </c>
      <c r="M107" s="260" t="n">
        <f aca="false" t="array" ref="M107:M107">INDEX('0.0.1 Pokémon Dex Data'!$J$3:$J951,MATCH(E107,'0.0.1 Pokémon Dex Data'!$B$3:$B951,0))</f>
        <v>0</v>
      </c>
      <c r="O107" s="490"/>
      <c r="Q107" s="367" t="n">
        <f aca="false">IF('Reverse Search'!$F$4="All (including temporary formes)",1,IF('Reverse Search'!$F$4="Base Pokémon and permanent formes only",IF(F107&lt;=1,1,0),IF(F107=0,1,0)))</f>
        <v>1</v>
      </c>
      <c r="R107" s="0" t="n">
        <f aca="false">IF('Reverse Search'!$C$7="Disable",1,IF('Reverse Search'!$D$9="Disable",1,IF(OR('Reverse Search'!$F$9=H107,'Reverse Search'!$F$9=I107),1,0)))</f>
        <v>1</v>
      </c>
      <c r="S107" s="0" t="n">
        <f aca="false">IF('Reverse Search'!$C$7="Disable",1,IF('Reverse Search'!$D$10="Disable",1,IF(OR('Reverse Search'!$F$10=H107,'Reverse Search'!$F$10=I107),1,0)))</f>
        <v>1</v>
      </c>
      <c r="T107" s="0" t="n">
        <f aca="false">INDEX($B$4:$B$22,MATCH(H107,$A$4:$A$22,0))</f>
        <v>1</v>
      </c>
      <c r="U107" s="0" t="n">
        <f aca="false">IF(ISBLANK(I107),1,INDEX($B$4:$B$22,MATCH(I107,$A$4:$A$22,0)))</f>
        <v>1</v>
      </c>
      <c r="V107" s="367" t="n">
        <f aca="false">IF('Reverse Search'!$C$7="Disable",1,IF('Reverse Search'!$D$11="Disable",1,IF('Reverse Search'!$E$11="Neutral to:",IF(ROUND(T107*U107,2)&lt;=1,1,0),IF(ROUND(T107*U107,2)&lt;1,1,0))))</f>
        <v>1</v>
      </c>
      <c r="W107" s="0" t="n">
        <f aca="false">IF('Reverse Search'!$N$7="Disable",1,IF('Reverse Search'!$I$9="Disable",1,IF('Reverse Search'!$K$9="≥",IF(J107&gt;='Reverse Search'!$L$9,1,0),IF('Reverse Search'!$K$9="≤",IF(J107&lt;='Reverse Search'!$L$9,1,0),IF(J107='Reverse Search'!$L$9,1,0)))))</f>
        <v>1</v>
      </c>
      <c r="X107" s="0" t="n">
        <f aca="false">IF('Reverse Search'!$N$7="Disable",1,IF('Reverse Search'!$I$10="Disable",1,IF('Reverse Search'!$K$10="≥",IF(K107&gt;='Reverse Search'!$L$10,1,0),IF('Reverse Search'!$K$10="≤",IF(K107&lt;='Reverse Search'!$L$10,1,0),IF(K107='Reverse Search'!$L$10,1,0)))))</f>
        <v>1</v>
      </c>
      <c r="Y107" s="367" t="n">
        <f aca="false">IF('Reverse Search'!$N$7="Disable",1,IF('Reverse Search'!$I$11="Disable",1,IF('Reverse Search'!$K$11="≥",IF(L107&gt;='Reverse Search'!$L$11,1,0),IF('Reverse Search'!$K$11="≤",IF(L107&lt;='Reverse Search'!$L$11,1,0),IF(L107='Reverse Search'!$L$11,1,0)))))</f>
        <v>1</v>
      </c>
      <c r="Z107" s="0" t="n">
        <f aca="true">IF('Reverse Search'!$C$14="Disable",1,IF('Reverse Search'!$D$16="Disable",1,IF($C$2=3,IF($M107=0,0,COUNTIF(INDIRECT("'0.0.2 Pokémon Learnset (Core)'!$D$"&amp;MATCH($E107,'0.0.2 Pokémon Learnset (Core)'!$A$1:$A951,0)&amp;":$FK$"&amp;MATCH($E107,'0.0.2 Pokémon Learnset (Core)'!$A$1:$A951,0)),'Reverse Search'!$E$21)),IF($C$2=2,COUNTIF(INDIRECT("'0.1.1 Pokémon GO Moves'!$B$"&amp;MATCH($E107,'0.1.1 Pokémon GO Moves'!$A$1:$A951,0)&amp;":$R$"&amp;MATCH($E107,'0.1.1 Pokémon GO Moves'!$A$1:$A951,0)),'Reverse Search'!$E$21),COUNTIF(INDIRECT("'0.1.1 Pokémon GO Moves'!$B$"&amp;MATCH($E107,'0.1.1 Pokémon GO Moves'!$A$1:$A951,0)&amp;":$L$"&amp;MATCH($E107,'0.1.1 Pokémon GO Moves'!$A$1:$A951,0)),'Reverse Search'!$E$21)))))</f>
        <v>1</v>
      </c>
      <c r="AA107" s="0" t="n">
        <f aca="true">IF('Reverse Search'!$C$14="Disable",1,IF('Reverse Search'!$I$16="Disable",1,IF($D$2=3,IF($M107=0,0,COUNTIF(INDIRECT("'0.0.2 Pokémon Learnset (Core)'!$D$"&amp;MATCH($E107,'0.0.2 Pokémon Learnset (Core)'!$A$1:$A951,0)&amp;":$FK$"&amp;MATCH($E107,'0.0.2 Pokémon Learnset (Core)'!$A$1:$A951,0)),'Reverse Search'!$J$21)),IF($D$2=2,COUNTIF(INDIRECT("'0.1.1 Pokémon GO Moves'!$B$"&amp;MATCH($E107,'0.1.1 Pokémon GO Moves'!$A$1:$A951,0)&amp;":$R$"&amp;MATCH($E107,'0.1.1 Pokémon GO Moves'!$A$1:$A951,0)),'Reverse Search'!$J$21),COUNTIF(INDIRECT("'0.1.1 Pokémon GO Moves'!$B$"&amp;MATCH($E107,'0.1.1 Pokémon GO Moves'!$A$1:$A951,0)&amp;":$L$"&amp;MATCH($E107,'0.1.1 Pokémon GO Moves'!$A$1:$A951,0)),'Reverse Search'!$J$21)))))</f>
        <v>0</v>
      </c>
      <c r="AB107" s="490"/>
      <c r="AC107" s="260" t="n">
        <f aca="false">IF((Q107+R107+S107+V107+W107+X107+Y107+IF(Z107&gt;=1,1,0)+IF(AA107&gt;=1,1,0))=9,G107&amp;", ",)</f>
        <v>0</v>
      </c>
    </row>
    <row r="108" customFormat="false" ht="15.75" hidden="false" customHeight="false" outlineLevel="0" collapsed="false">
      <c r="A108" s="260"/>
      <c r="B108" s="358"/>
      <c r="C108" s="260"/>
      <c r="D108" s="358" t="str">
        <f aca="false">IFERROR(__xludf.dummyfunction("""COMPUTED_VALUE"""),"Stomp")</f>
        <v>Stomp</v>
      </c>
      <c r="E108" s="260" t="n">
        <v>107</v>
      </c>
      <c r="F108" s="260" t="n">
        <f aca="false" t="array" ref="F108:F108">INDEX('0.0.1 Pokémon Dex Data'!$H$3:$H951,MATCH(E108,'0.0.1 Pokémon Dex Data'!$B$3:$B951,0))</f>
        <v>0</v>
      </c>
      <c r="G108" s="0" t="str">
        <f aca="false" t="array" ref="G108:G108">INDEX('0.0.1 Pokémon Dex Data'!$E$3:$E951,MATCH(E108,'0.0.1 Pokémon Dex Data'!$B$3:$B951,0))</f>
        <v>Dodrio</v>
      </c>
      <c r="H108" s="0" t="str">
        <f aca="false" t="array" ref="H108:H108">INDEX('0.0.1 Pokémon Dex Data'!$Q$3:$Q951,MATCH(E108,'0.0.1 Pokémon Dex Data'!$B$3:$B951,0))</f>
        <v>Normal</v>
      </c>
      <c r="I108" s="0" t="str">
        <f aca="false" t="array" ref="I108:I108">INDEX('0.0.1 Pokémon Dex Data'!$R$3:$R951,MATCH(E108,'0.0.1 Pokémon Dex Data'!$B$3:$B951,0))</f>
        <v>Flying</v>
      </c>
      <c r="J108" s="260" t="n">
        <f aca="false" t="array" ref="J108:J108">ROUND(INDEX('0.0.1 Pokémon Dex Data'!$S$3:$S951,MATCH($E108,'0.0.1 Pokémon Dex Data'!$B$3:$B951,0))*INDEX('0.0.1 Pokémon Dex Data'!T$3:T951,MATCH($E108,'0.0.1 Pokémon Dex Data'!$B$3:$B951,0)),0)</f>
        <v>218</v>
      </c>
      <c r="K108" s="260" t="n">
        <f aca="false" t="array" ref="K108:K108">ROUND(INDEX('0.0.1 Pokémon Dex Data'!$S$3:$S951,MATCH($E108,'0.0.1 Pokémon Dex Data'!$B$3:$B951,0))*INDEX('0.0.1 Pokémon Dex Data'!U$3:U951,MATCH($E108,'0.0.1 Pokémon Dex Data'!$B$3:$B951,0)),0)</f>
        <v>140</v>
      </c>
      <c r="L108" s="260" t="n">
        <f aca="false" t="array" ref="L108:L108">ROUND(INDEX('0.0.1 Pokémon Dex Data'!$S$3:$S951,MATCH($E108,'0.0.1 Pokémon Dex Data'!$B$3:$B951,0))*INDEX('0.0.1 Pokémon Dex Data'!V$3:V951,MATCH($E108,'0.0.1 Pokémon Dex Data'!$B$3:$B951,0)),0)</f>
        <v>155</v>
      </c>
      <c r="M108" s="260" t="n">
        <f aca="false" t="array" ref="M108:M108">INDEX('0.0.1 Pokémon Dex Data'!$J$3:$J951,MATCH(E108,'0.0.1 Pokémon Dex Data'!$B$3:$B951,0))</f>
        <v>1</v>
      </c>
      <c r="O108" s="490"/>
      <c r="Q108" s="367" t="n">
        <f aca="false">IF('Reverse Search'!$F$4="All (including temporary formes)",1,IF('Reverse Search'!$F$4="Base Pokémon and permanent formes only",IF(F108&lt;=1,1,0),IF(F108=0,1,0)))</f>
        <v>1</v>
      </c>
      <c r="R108" s="0" t="n">
        <f aca="false">IF('Reverse Search'!$C$7="Disable",1,IF('Reverse Search'!$D$9="Disable",1,IF(OR('Reverse Search'!$F$9=H108,'Reverse Search'!$F$9=I108),1,0)))</f>
        <v>1</v>
      </c>
      <c r="S108" s="0" t="n">
        <f aca="false">IF('Reverse Search'!$C$7="Disable",1,IF('Reverse Search'!$D$10="Disable",1,IF(OR('Reverse Search'!$F$10=H108,'Reverse Search'!$F$10=I108),1,0)))</f>
        <v>1</v>
      </c>
      <c r="T108" s="0" t="n">
        <f aca="false">INDEX($B$4:$B$22,MATCH(H108,$A$4:$A$22,0))</f>
        <v>1</v>
      </c>
      <c r="U108" s="0" t="n">
        <f aca="false">IF(ISBLANK(I108),1,INDEX($B$4:$B$22,MATCH(I108,$A$4:$A$22,0)))</f>
        <v>1</v>
      </c>
      <c r="V108" s="367" t="n">
        <f aca="false">IF('Reverse Search'!$C$7="Disable",1,IF('Reverse Search'!$D$11="Disable",1,IF('Reverse Search'!$E$11="Neutral to:",IF(ROUND(T108*U108,2)&lt;=1,1,0),IF(ROUND(T108*U108,2)&lt;1,1,0))))</f>
        <v>1</v>
      </c>
      <c r="W108" s="0" t="n">
        <f aca="false">IF('Reverse Search'!$N$7="Disable",1,IF('Reverse Search'!$I$9="Disable",1,IF('Reverse Search'!$K$9="≥",IF(J108&gt;='Reverse Search'!$L$9,1,0),IF('Reverse Search'!$K$9="≤",IF(J108&lt;='Reverse Search'!$L$9,1,0),IF(J108='Reverse Search'!$L$9,1,0)))))</f>
        <v>1</v>
      </c>
      <c r="X108" s="0" t="n">
        <f aca="false">IF('Reverse Search'!$N$7="Disable",1,IF('Reverse Search'!$I$10="Disable",1,IF('Reverse Search'!$K$10="≥",IF(K108&gt;='Reverse Search'!$L$10,1,0),IF('Reverse Search'!$K$10="≤",IF(K108&lt;='Reverse Search'!$L$10,1,0),IF(K108='Reverse Search'!$L$10,1,0)))))</f>
        <v>1</v>
      </c>
      <c r="Y108" s="367" t="n">
        <f aca="false">IF('Reverse Search'!$N$7="Disable",1,IF('Reverse Search'!$I$11="Disable",1,IF('Reverse Search'!$K$11="≥",IF(L108&gt;='Reverse Search'!$L$11,1,0),IF('Reverse Search'!$K$11="≤",IF(L108&lt;='Reverse Search'!$L$11,1,0),IF(L108='Reverse Search'!$L$11,1,0)))))</f>
        <v>1</v>
      </c>
      <c r="Z108" s="0" t="n">
        <f aca="true">IF('Reverse Search'!$C$14="Disable",1,IF('Reverse Search'!$D$16="Disable",1,IF($C$2=3,IF($M108=0,0,COUNTIF(INDIRECT("'0.0.2 Pokémon Learnset (Core)'!$D$"&amp;MATCH($E108,'0.0.2 Pokémon Learnset (Core)'!$A$1:$A951,0)&amp;":$FK$"&amp;MATCH($E108,'0.0.2 Pokémon Learnset (Core)'!$A$1:$A951,0)),'Reverse Search'!$E$21)),IF($C$2=2,COUNTIF(INDIRECT("'0.1.1 Pokémon GO Moves'!$B$"&amp;MATCH($E108,'0.1.1 Pokémon GO Moves'!$A$1:$A951,0)&amp;":$R$"&amp;MATCH($E108,'0.1.1 Pokémon GO Moves'!$A$1:$A951,0)),'Reverse Search'!$E$21),COUNTIF(INDIRECT("'0.1.1 Pokémon GO Moves'!$B$"&amp;MATCH($E108,'0.1.1 Pokémon GO Moves'!$A$1:$A951,0)&amp;":$L$"&amp;MATCH($E108,'0.1.1 Pokémon GO Moves'!$A$1:$A951,0)),'Reverse Search'!$E$21)))))</f>
        <v>1</v>
      </c>
      <c r="AA108" s="0" t="n">
        <f aca="true">IF('Reverse Search'!$C$14="Disable",1,IF('Reverse Search'!$I$16="Disable",1,IF($D$2=3,IF($M108=0,0,COUNTIF(INDIRECT("'0.0.2 Pokémon Learnset (Core)'!$D$"&amp;MATCH($E108,'0.0.2 Pokémon Learnset (Core)'!$A$1:$A951,0)&amp;":$FK$"&amp;MATCH($E108,'0.0.2 Pokémon Learnset (Core)'!$A$1:$A951,0)),'Reverse Search'!$J$21)),IF($D$2=2,COUNTIF(INDIRECT("'0.1.1 Pokémon GO Moves'!$B$"&amp;MATCH($E108,'0.1.1 Pokémon GO Moves'!$A$1:$A951,0)&amp;":$R$"&amp;MATCH($E108,'0.1.1 Pokémon GO Moves'!$A$1:$A951,0)),'Reverse Search'!$J$21),COUNTIF(INDIRECT("'0.1.1 Pokémon GO Moves'!$B$"&amp;MATCH($E108,'0.1.1 Pokémon GO Moves'!$A$1:$A951,0)&amp;":$L$"&amp;MATCH($E108,'0.1.1 Pokémon GO Moves'!$A$1:$A951,0)),'Reverse Search'!$J$21)))))</f>
        <v>0</v>
      </c>
      <c r="AB108" s="490"/>
      <c r="AC108" s="260" t="n">
        <f aca="false">IF((Q108+R108+S108+V108+W108+X108+Y108+IF(Z108&gt;=1,1,0)+IF(AA108&gt;=1,1,0))=9,G108&amp;", ",)</f>
        <v>0</v>
      </c>
    </row>
    <row r="109" customFormat="false" ht="15.75" hidden="false" customHeight="false" outlineLevel="0" collapsed="false">
      <c r="A109" s="260"/>
      <c r="B109" s="358"/>
      <c r="C109" s="260"/>
      <c r="D109" s="358" t="str">
        <f aca="false">IFERROR(__xludf.dummyfunction("""COMPUTED_VALUE"""),"Stone Edge")</f>
        <v>Stone Edge</v>
      </c>
      <c r="E109" s="260" t="n">
        <v>108</v>
      </c>
      <c r="F109" s="260" t="n">
        <f aca="false" t="array" ref="F109:F109">INDEX('0.0.1 Pokémon Dex Data'!$H$3:$H951,MATCH(E109,'0.0.1 Pokémon Dex Data'!$B$3:$B951,0))</f>
        <v>0</v>
      </c>
      <c r="G109" s="0" t="str">
        <f aca="false" t="array" ref="G109:G109">INDEX('0.0.1 Pokémon Dex Data'!$E$3:$E951,MATCH(E109,'0.0.1 Pokémon Dex Data'!$B$3:$B951,0))</f>
        <v>Seel</v>
      </c>
      <c r="H109" s="0" t="str">
        <f aca="false" t="array" ref="H109:H109">INDEX('0.0.1 Pokémon Dex Data'!$Q$3:$Q951,MATCH(E109,'0.0.1 Pokémon Dex Data'!$B$3:$B951,0))</f>
        <v>Water</v>
      </c>
      <c r="I109" s="0" t="n">
        <f aca="false">INDEX('0.0.1 Pokémon Dex Data'!$R$3:$R951,MATCH(E109,'0.0.1 Pokémon Dex Data'!$B$3:$B951,0))</f>
        <v>0</v>
      </c>
      <c r="J109" s="260" t="n">
        <f aca="false" t="array" ref="J109:J109">ROUND(INDEX('0.0.1 Pokémon Dex Data'!$S$3:$S951,MATCH($E109,'0.0.1 Pokémon Dex Data'!$B$3:$B951,0))*INDEX('0.0.1 Pokémon Dex Data'!T$3:T951,MATCH($E109,'0.0.1 Pokémon Dex Data'!$B$3:$B951,0)),0)</f>
        <v>85</v>
      </c>
      <c r="K109" s="260" t="n">
        <f aca="false" t="array" ref="K109:K109">ROUND(INDEX('0.0.1 Pokémon Dex Data'!$S$3:$S951,MATCH($E109,'0.0.1 Pokémon Dex Data'!$B$3:$B951,0))*INDEX('0.0.1 Pokémon Dex Data'!U$3:U951,MATCH($E109,'0.0.1 Pokémon Dex Data'!$B$3:$B951,0)),0)</f>
        <v>121</v>
      </c>
      <c r="L109" s="260" t="n">
        <f aca="false" t="array" ref="L109:L109">ROUND(INDEX('0.0.1 Pokémon Dex Data'!$S$3:$S951,MATCH($E109,'0.0.1 Pokémon Dex Data'!$B$3:$B951,0))*INDEX('0.0.1 Pokémon Dex Data'!V$3:V951,MATCH($E109,'0.0.1 Pokémon Dex Data'!$B$3:$B951,0)),0)</f>
        <v>163</v>
      </c>
      <c r="M109" s="260" t="n">
        <f aca="false" t="array" ref="M109:M109">INDEX('0.0.1 Pokémon Dex Data'!$J$3:$J951,MATCH(E109,'0.0.1 Pokémon Dex Data'!$B$3:$B951,0))</f>
        <v>0</v>
      </c>
      <c r="O109" s="490"/>
      <c r="Q109" s="367" t="n">
        <f aca="false">IF('Reverse Search'!$F$4="All (including temporary formes)",1,IF('Reverse Search'!$F$4="Base Pokémon and permanent formes only",IF(F109&lt;=1,1,0),IF(F109=0,1,0)))</f>
        <v>1</v>
      </c>
      <c r="R109" s="0" t="n">
        <f aca="false">IF('Reverse Search'!$C$7="Disable",1,IF('Reverse Search'!$D$9="Disable",1,IF(OR('Reverse Search'!$F$9=H109,'Reverse Search'!$F$9=I109),1,0)))</f>
        <v>1</v>
      </c>
      <c r="S109" s="0" t="n">
        <f aca="false">IF('Reverse Search'!$C$7="Disable",1,IF('Reverse Search'!$D$10="Disable",1,IF(OR('Reverse Search'!$F$10=H109,'Reverse Search'!$F$10=I109),1,0)))</f>
        <v>1</v>
      </c>
      <c r="T109" s="0" t="n">
        <f aca="false">INDEX($B$4:$B$22,MATCH(H109,$A$4:$A$22,0))</f>
        <v>1</v>
      </c>
      <c r="U109" s="0" t="e">
        <f aca="false">IF(ISBLANK(I109),1,INDEX($B$4:$B$22,MATCH(I109,$A$4:$A$22,0)))</f>
        <v>#N/A</v>
      </c>
      <c r="V109" s="367" t="n">
        <f aca="false">IF('Reverse Search'!$C$7="Disable",1,IF('Reverse Search'!$D$11="Disable",1,IF('Reverse Search'!$E$11="Neutral to:",IF(ROUND(T109*U109,2)&lt;=1,1,0),IF(ROUND(T109*U109,2)&lt;1,1,0))))</f>
        <v>1</v>
      </c>
      <c r="W109" s="0" t="n">
        <f aca="false">IF('Reverse Search'!$N$7="Disable",1,IF('Reverse Search'!$I$9="Disable",1,IF('Reverse Search'!$K$9="≥",IF(J109&gt;='Reverse Search'!$L$9,1,0),IF('Reverse Search'!$K$9="≤",IF(J109&lt;='Reverse Search'!$L$9,1,0),IF(J109='Reverse Search'!$L$9,1,0)))))</f>
        <v>1</v>
      </c>
      <c r="X109" s="0" t="n">
        <f aca="false">IF('Reverse Search'!$N$7="Disable",1,IF('Reverse Search'!$I$10="Disable",1,IF('Reverse Search'!$K$10="≥",IF(K109&gt;='Reverse Search'!$L$10,1,0),IF('Reverse Search'!$K$10="≤",IF(K109&lt;='Reverse Search'!$L$10,1,0),IF(K109='Reverse Search'!$L$10,1,0)))))</f>
        <v>1</v>
      </c>
      <c r="Y109" s="367" t="n">
        <f aca="false">IF('Reverse Search'!$N$7="Disable",1,IF('Reverse Search'!$I$11="Disable",1,IF('Reverse Search'!$K$11="≥",IF(L109&gt;='Reverse Search'!$L$11,1,0),IF('Reverse Search'!$K$11="≤",IF(L109&lt;='Reverse Search'!$L$11,1,0),IF(L109='Reverse Search'!$L$11,1,0)))))</f>
        <v>1</v>
      </c>
      <c r="Z109" s="0" t="n">
        <f aca="true">IF('Reverse Search'!$C$14="Disable",1,IF('Reverse Search'!$D$16="Disable",1,IF($C$2=3,IF($M109=0,0,COUNTIF(INDIRECT("'0.0.2 Pokémon Learnset (Core)'!$D$"&amp;MATCH($E109,'0.0.2 Pokémon Learnset (Core)'!$A$1:$A951,0)&amp;":$FK$"&amp;MATCH($E109,'0.0.2 Pokémon Learnset (Core)'!$A$1:$A951,0)),'Reverse Search'!$E$21)),IF($C$2=2,COUNTIF(INDIRECT("'0.1.1 Pokémon GO Moves'!$B$"&amp;MATCH($E109,'0.1.1 Pokémon GO Moves'!$A$1:$A951,0)&amp;":$R$"&amp;MATCH($E109,'0.1.1 Pokémon GO Moves'!$A$1:$A951,0)),'Reverse Search'!$E$21),COUNTIF(INDIRECT("'0.1.1 Pokémon GO Moves'!$B$"&amp;MATCH($E109,'0.1.1 Pokémon GO Moves'!$A$1:$A951,0)&amp;":$L$"&amp;MATCH($E109,'0.1.1 Pokémon GO Moves'!$A$1:$A951,0)),'Reverse Search'!$E$21)))))</f>
        <v>1</v>
      </c>
      <c r="AA109" s="0" t="n">
        <f aca="true">IF('Reverse Search'!$C$14="Disable",1,IF('Reverse Search'!$I$16="Disable",1,IF($D$2=3,IF($M109=0,0,COUNTIF(INDIRECT("'0.0.2 Pokémon Learnset (Core)'!$D$"&amp;MATCH($E109,'0.0.2 Pokémon Learnset (Core)'!$A$1:$A951,0)&amp;":$FK$"&amp;MATCH($E109,'0.0.2 Pokémon Learnset (Core)'!$A$1:$A951,0)),'Reverse Search'!$J$21)),IF($D$2=2,COUNTIF(INDIRECT("'0.1.1 Pokémon GO Moves'!$B$"&amp;MATCH($E109,'0.1.1 Pokémon GO Moves'!$A$1:$A951,0)&amp;":$R$"&amp;MATCH($E109,'0.1.1 Pokémon GO Moves'!$A$1:$A951,0)),'Reverse Search'!$J$21),COUNTIF(INDIRECT("'0.1.1 Pokémon GO Moves'!$B$"&amp;MATCH($E109,'0.1.1 Pokémon GO Moves'!$A$1:$A951,0)&amp;":$L$"&amp;MATCH($E109,'0.1.1 Pokémon GO Moves'!$A$1:$A951,0)),'Reverse Search'!$J$21)))))</f>
        <v>0</v>
      </c>
      <c r="AB109" s="490"/>
      <c r="AC109" s="260" t="n">
        <f aca="false">IF((Q109+R109+S109+V109+W109+X109+Y109+IF(Z109&gt;=1,1,0)+IF(AA109&gt;=1,1,0))=9,G109&amp;", ",)</f>
        <v>0</v>
      </c>
    </row>
    <row r="110" customFormat="false" ht="15.75" hidden="false" customHeight="false" outlineLevel="0" collapsed="false">
      <c r="A110" s="260"/>
      <c r="B110" s="358"/>
      <c r="C110" s="260"/>
      <c r="D110" s="358" t="str">
        <f aca="false">IFERROR(__xludf.dummyfunction("""COMPUTED_VALUE"""),"Struggle")</f>
        <v>Struggle</v>
      </c>
      <c r="E110" s="260" t="n">
        <v>109</v>
      </c>
      <c r="F110" s="260" t="n">
        <f aca="false" t="array" ref="F110:F110">INDEX('0.0.1 Pokémon Dex Data'!$H$3:$H951,MATCH(E110,'0.0.1 Pokémon Dex Data'!$B$3:$B951,0))</f>
        <v>0</v>
      </c>
      <c r="G110" s="0" t="str">
        <f aca="false" t="array" ref="G110:G110">INDEX('0.0.1 Pokémon Dex Data'!$E$3:$E951,MATCH(E110,'0.0.1 Pokémon Dex Data'!$B$3:$B951,0))</f>
        <v>Dewgong</v>
      </c>
      <c r="H110" s="0" t="str">
        <f aca="false" t="array" ref="H110:H110">INDEX('0.0.1 Pokémon Dex Data'!$Q$3:$Q951,MATCH(E110,'0.0.1 Pokémon Dex Data'!$B$3:$B951,0))</f>
        <v>Water</v>
      </c>
      <c r="I110" s="0" t="str">
        <f aca="false" t="array" ref="I110:I110">INDEX('0.0.1 Pokémon Dex Data'!$R$3:$R951,MATCH(E110,'0.0.1 Pokémon Dex Data'!$B$3:$B951,0))</f>
        <v>Ice</v>
      </c>
      <c r="J110" s="260" t="n">
        <f aca="false" t="array" ref="J110:J110">ROUND(INDEX('0.0.1 Pokémon Dex Data'!$S$3:$S951,MATCH($E110,'0.0.1 Pokémon Dex Data'!$B$3:$B951,0))*INDEX('0.0.1 Pokémon Dex Data'!T$3:T951,MATCH($E110,'0.0.1 Pokémon Dex Data'!$B$3:$B951,0)),0)</f>
        <v>139</v>
      </c>
      <c r="K110" s="260" t="n">
        <f aca="false" t="array" ref="K110:K110">ROUND(INDEX('0.0.1 Pokémon Dex Data'!$S$3:$S951,MATCH($E110,'0.0.1 Pokémon Dex Data'!$B$3:$B951,0))*INDEX('0.0.1 Pokémon Dex Data'!U$3:U951,MATCH($E110,'0.0.1 Pokémon Dex Data'!$B$3:$B951,0)),0)</f>
        <v>177</v>
      </c>
      <c r="L110" s="260" t="n">
        <f aca="false" t="array" ref="L110:L110">ROUND(INDEX('0.0.1 Pokémon Dex Data'!$S$3:$S951,MATCH($E110,'0.0.1 Pokémon Dex Data'!$B$3:$B951,0))*INDEX('0.0.1 Pokémon Dex Data'!V$3:V951,MATCH($E110,'0.0.1 Pokémon Dex Data'!$B$3:$B951,0)),0)</f>
        <v>207</v>
      </c>
      <c r="M110" s="260" t="n">
        <f aca="false" t="array" ref="M110:M110">INDEX('0.0.1 Pokémon Dex Data'!$J$3:$J951,MATCH(E110,'0.0.1 Pokémon Dex Data'!$B$3:$B951,0))</f>
        <v>1</v>
      </c>
      <c r="O110" s="490"/>
      <c r="Q110" s="367" t="n">
        <f aca="false">IF('Reverse Search'!$F$4="All (including temporary formes)",1,IF('Reverse Search'!$F$4="Base Pokémon and permanent formes only",IF(F110&lt;=1,1,0),IF(F110=0,1,0)))</f>
        <v>1</v>
      </c>
      <c r="R110" s="0" t="n">
        <f aca="false">IF('Reverse Search'!$C$7="Disable",1,IF('Reverse Search'!$D$9="Disable",1,IF(OR('Reverse Search'!$F$9=H110,'Reverse Search'!$F$9=I110),1,0)))</f>
        <v>1</v>
      </c>
      <c r="S110" s="0" t="n">
        <f aca="false">IF('Reverse Search'!$C$7="Disable",1,IF('Reverse Search'!$D$10="Disable",1,IF(OR('Reverse Search'!$F$10=H110,'Reverse Search'!$F$10=I110),1,0)))</f>
        <v>1</v>
      </c>
      <c r="T110" s="0" t="n">
        <f aca="false">INDEX($B$4:$B$22,MATCH(H110,$A$4:$A$22,0))</f>
        <v>1</v>
      </c>
      <c r="U110" s="0" t="n">
        <f aca="false">IF(ISBLANK(I110),1,INDEX($B$4:$B$22,MATCH(I110,$A$4:$A$22,0)))</f>
        <v>1</v>
      </c>
      <c r="V110" s="367" t="n">
        <f aca="false">IF('Reverse Search'!$C$7="Disable",1,IF('Reverse Search'!$D$11="Disable",1,IF('Reverse Search'!$E$11="Neutral to:",IF(ROUND(T110*U110,2)&lt;=1,1,0),IF(ROUND(T110*U110,2)&lt;1,1,0))))</f>
        <v>1</v>
      </c>
      <c r="W110" s="0" t="n">
        <f aca="false">IF('Reverse Search'!$N$7="Disable",1,IF('Reverse Search'!$I$9="Disable",1,IF('Reverse Search'!$K$9="≥",IF(J110&gt;='Reverse Search'!$L$9,1,0),IF('Reverse Search'!$K$9="≤",IF(J110&lt;='Reverse Search'!$L$9,1,0),IF(J110='Reverse Search'!$L$9,1,0)))))</f>
        <v>1</v>
      </c>
      <c r="X110" s="0" t="n">
        <f aca="false">IF('Reverse Search'!$N$7="Disable",1,IF('Reverse Search'!$I$10="Disable",1,IF('Reverse Search'!$K$10="≥",IF(K110&gt;='Reverse Search'!$L$10,1,0),IF('Reverse Search'!$K$10="≤",IF(K110&lt;='Reverse Search'!$L$10,1,0),IF(K110='Reverse Search'!$L$10,1,0)))))</f>
        <v>1</v>
      </c>
      <c r="Y110" s="367" t="n">
        <f aca="false">IF('Reverse Search'!$N$7="Disable",1,IF('Reverse Search'!$I$11="Disable",1,IF('Reverse Search'!$K$11="≥",IF(L110&gt;='Reverse Search'!$L$11,1,0),IF('Reverse Search'!$K$11="≤",IF(L110&lt;='Reverse Search'!$L$11,1,0),IF(L110='Reverse Search'!$L$11,1,0)))))</f>
        <v>1</v>
      </c>
      <c r="Z110" s="0" t="n">
        <f aca="true">IF('Reverse Search'!$C$14="Disable",1,IF('Reverse Search'!$D$16="Disable",1,IF($C$2=3,IF($M110=0,0,COUNTIF(INDIRECT("'0.0.2 Pokémon Learnset (Core)'!$D$"&amp;MATCH($E110,'0.0.2 Pokémon Learnset (Core)'!$A$1:$A951,0)&amp;":$FK$"&amp;MATCH($E110,'0.0.2 Pokémon Learnset (Core)'!$A$1:$A951,0)),'Reverse Search'!$E$21)),IF($C$2=2,COUNTIF(INDIRECT("'0.1.1 Pokémon GO Moves'!$B$"&amp;MATCH($E110,'0.1.1 Pokémon GO Moves'!$A$1:$A951,0)&amp;":$R$"&amp;MATCH($E110,'0.1.1 Pokémon GO Moves'!$A$1:$A951,0)),'Reverse Search'!$E$21),COUNTIF(INDIRECT("'0.1.1 Pokémon GO Moves'!$B$"&amp;MATCH($E110,'0.1.1 Pokémon GO Moves'!$A$1:$A951,0)&amp;":$L$"&amp;MATCH($E110,'0.1.1 Pokémon GO Moves'!$A$1:$A951,0)),'Reverse Search'!$E$21)))))</f>
        <v>1</v>
      </c>
      <c r="AA110" s="0" t="n">
        <f aca="true">IF('Reverse Search'!$C$14="Disable",1,IF('Reverse Search'!$I$16="Disable",1,IF($D$2=3,IF($M110=0,0,COUNTIF(INDIRECT("'0.0.2 Pokémon Learnset (Core)'!$D$"&amp;MATCH($E110,'0.0.2 Pokémon Learnset (Core)'!$A$1:$A951,0)&amp;":$FK$"&amp;MATCH($E110,'0.0.2 Pokémon Learnset (Core)'!$A$1:$A951,0)),'Reverse Search'!$J$21)),IF($D$2=2,COUNTIF(INDIRECT("'0.1.1 Pokémon GO Moves'!$B$"&amp;MATCH($E110,'0.1.1 Pokémon GO Moves'!$A$1:$A951,0)&amp;":$R$"&amp;MATCH($E110,'0.1.1 Pokémon GO Moves'!$A$1:$A951,0)),'Reverse Search'!$J$21),COUNTIF(INDIRECT("'0.1.1 Pokémon GO Moves'!$B$"&amp;MATCH($E110,'0.1.1 Pokémon GO Moves'!$A$1:$A951,0)&amp;":$L$"&amp;MATCH($E110,'0.1.1 Pokémon GO Moves'!$A$1:$A951,0)),'Reverse Search'!$J$21)))))</f>
        <v>0</v>
      </c>
      <c r="AB110" s="490"/>
      <c r="AC110" s="260" t="n">
        <f aca="false">IF((Q110+R110+S110+V110+W110+X110+Y110+IF(Z110&gt;=1,1,0)+IF(AA110&gt;=1,1,0))=9,G110&amp;", ",)</f>
        <v>0</v>
      </c>
    </row>
    <row r="111" customFormat="false" ht="15.75" hidden="false" customHeight="false" outlineLevel="0" collapsed="false">
      <c r="A111" s="260"/>
      <c r="B111" s="358"/>
      <c r="C111" s="260"/>
      <c r="D111" s="358" t="str">
        <f aca="false">IFERROR(__xludf.dummyfunction("""COMPUTED_VALUE"""),"Submission")</f>
        <v>Submission</v>
      </c>
      <c r="E111" s="260" t="n">
        <v>110</v>
      </c>
      <c r="F111" s="260" t="n">
        <f aca="false" t="array" ref="F111:F111">INDEX('0.0.1 Pokémon Dex Data'!$H$3:$H951,MATCH(E111,'0.0.1 Pokémon Dex Data'!$B$3:$B951,0))</f>
        <v>0</v>
      </c>
      <c r="G111" s="0" t="str">
        <f aca="false" t="array" ref="G111:G111">INDEX('0.0.1 Pokémon Dex Data'!$E$3:$E951,MATCH(E111,'0.0.1 Pokémon Dex Data'!$B$3:$B951,0))</f>
        <v>Grimer</v>
      </c>
      <c r="H111" s="0" t="str">
        <f aca="false" t="array" ref="H111:H111">INDEX('0.0.1 Pokémon Dex Data'!$Q$3:$Q951,MATCH(E111,'0.0.1 Pokémon Dex Data'!$B$3:$B951,0))</f>
        <v>Poison</v>
      </c>
      <c r="I111" s="0" t="n">
        <f aca="false">INDEX('0.0.1 Pokémon Dex Data'!$R$3:$R951,MATCH(E111,'0.0.1 Pokémon Dex Data'!$B$3:$B951,0))</f>
        <v>0</v>
      </c>
      <c r="J111" s="260" t="n">
        <f aca="false" t="array" ref="J111:J111">ROUND(INDEX('0.0.1 Pokémon Dex Data'!$S$3:$S951,MATCH($E111,'0.0.1 Pokémon Dex Data'!$B$3:$B951,0))*INDEX('0.0.1 Pokémon Dex Data'!T$3:T951,MATCH($E111,'0.0.1 Pokémon Dex Data'!$B$3:$B951,0)),0)</f>
        <v>135</v>
      </c>
      <c r="K111" s="260" t="n">
        <f aca="false" t="array" ref="K111:K111">ROUND(INDEX('0.0.1 Pokémon Dex Data'!$S$3:$S951,MATCH($E111,'0.0.1 Pokémon Dex Data'!$B$3:$B951,0))*INDEX('0.0.1 Pokémon Dex Data'!U$3:U951,MATCH($E111,'0.0.1 Pokémon Dex Data'!$B$3:$B951,0)),0)</f>
        <v>90</v>
      </c>
      <c r="L111" s="260" t="n">
        <f aca="false" t="array" ref="L111:L111">ROUND(INDEX('0.0.1 Pokémon Dex Data'!$S$3:$S951,MATCH($E111,'0.0.1 Pokémon Dex Data'!$B$3:$B951,0))*INDEX('0.0.1 Pokémon Dex Data'!V$3:V951,MATCH($E111,'0.0.1 Pokémon Dex Data'!$B$3:$B951,0)),0)</f>
        <v>190</v>
      </c>
      <c r="M111" s="260" t="n">
        <f aca="false" t="array" ref="M111:M111">INDEX('0.0.1 Pokémon Dex Data'!$J$3:$J951,MATCH(E111,'0.0.1 Pokémon Dex Data'!$B$3:$B951,0))</f>
        <v>0</v>
      </c>
      <c r="O111" s="490"/>
      <c r="Q111" s="367" t="n">
        <f aca="false">IF('Reverse Search'!$F$4="All (including temporary formes)",1,IF('Reverse Search'!$F$4="Base Pokémon and permanent formes only",IF(F111&lt;=1,1,0),IF(F111=0,1,0)))</f>
        <v>1</v>
      </c>
      <c r="R111" s="0" t="n">
        <f aca="false">IF('Reverse Search'!$C$7="Disable",1,IF('Reverse Search'!$D$9="Disable",1,IF(OR('Reverse Search'!$F$9=H111,'Reverse Search'!$F$9=I111),1,0)))</f>
        <v>1</v>
      </c>
      <c r="S111" s="0" t="n">
        <f aca="false">IF('Reverse Search'!$C$7="Disable",1,IF('Reverse Search'!$D$10="Disable",1,IF(OR('Reverse Search'!$F$10=H111,'Reverse Search'!$F$10=I111),1,0)))</f>
        <v>1</v>
      </c>
      <c r="T111" s="0" t="n">
        <f aca="false">INDEX($B$4:$B$22,MATCH(H111,$A$4:$A$22,0))</f>
        <v>1</v>
      </c>
      <c r="U111" s="0" t="e">
        <f aca="false">IF(ISBLANK(I111),1,INDEX($B$4:$B$22,MATCH(I111,$A$4:$A$22,0)))</f>
        <v>#N/A</v>
      </c>
      <c r="V111" s="367" t="n">
        <f aca="false">IF('Reverse Search'!$C$7="Disable",1,IF('Reverse Search'!$D$11="Disable",1,IF('Reverse Search'!$E$11="Neutral to:",IF(ROUND(T111*U111,2)&lt;=1,1,0),IF(ROUND(T111*U111,2)&lt;1,1,0))))</f>
        <v>1</v>
      </c>
      <c r="W111" s="0" t="n">
        <f aca="false">IF('Reverse Search'!$N$7="Disable",1,IF('Reverse Search'!$I$9="Disable",1,IF('Reverse Search'!$K$9="≥",IF(J111&gt;='Reverse Search'!$L$9,1,0),IF('Reverse Search'!$K$9="≤",IF(J111&lt;='Reverse Search'!$L$9,1,0),IF(J111='Reverse Search'!$L$9,1,0)))))</f>
        <v>1</v>
      </c>
      <c r="X111" s="0" t="n">
        <f aca="false">IF('Reverse Search'!$N$7="Disable",1,IF('Reverse Search'!$I$10="Disable",1,IF('Reverse Search'!$K$10="≥",IF(K111&gt;='Reverse Search'!$L$10,1,0),IF('Reverse Search'!$K$10="≤",IF(K111&lt;='Reverse Search'!$L$10,1,0),IF(K111='Reverse Search'!$L$10,1,0)))))</f>
        <v>1</v>
      </c>
      <c r="Y111" s="367" t="n">
        <f aca="false">IF('Reverse Search'!$N$7="Disable",1,IF('Reverse Search'!$I$11="Disable",1,IF('Reverse Search'!$K$11="≥",IF(L111&gt;='Reverse Search'!$L$11,1,0),IF('Reverse Search'!$K$11="≤",IF(L111&lt;='Reverse Search'!$L$11,1,0),IF(L111='Reverse Search'!$L$11,1,0)))))</f>
        <v>1</v>
      </c>
      <c r="Z111" s="0" t="n">
        <f aca="true">IF('Reverse Search'!$C$14="Disable",1,IF('Reverse Search'!$D$16="Disable",1,IF($C$2=3,IF($M111=0,0,COUNTIF(INDIRECT("'0.0.2 Pokémon Learnset (Core)'!$D$"&amp;MATCH($E111,'0.0.2 Pokémon Learnset (Core)'!$A$1:$A951,0)&amp;":$FK$"&amp;MATCH($E111,'0.0.2 Pokémon Learnset (Core)'!$A$1:$A951,0)),'Reverse Search'!$E$21)),IF($C$2=2,COUNTIF(INDIRECT("'0.1.1 Pokémon GO Moves'!$B$"&amp;MATCH($E111,'0.1.1 Pokémon GO Moves'!$A$1:$A951,0)&amp;":$R$"&amp;MATCH($E111,'0.1.1 Pokémon GO Moves'!$A$1:$A951,0)),'Reverse Search'!$E$21),COUNTIF(INDIRECT("'0.1.1 Pokémon GO Moves'!$B$"&amp;MATCH($E111,'0.1.1 Pokémon GO Moves'!$A$1:$A951,0)&amp;":$L$"&amp;MATCH($E111,'0.1.1 Pokémon GO Moves'!$A$1:$A951,0)),'Reverse Search'!$E$21)))))</f>
        <v>1</v>
      </c>
      <c r="AA111" s="0" t="n">
        <f aca="true">IF('Reverse Search'!$C$14="Disable",1,IF('Reverse Search'!$I$16="Disable",1,IF($D$2=3,IF($M111=0,0,COUNTIF(INDIRECT("'0.0.2 Pokémon Learnset (Core)'!$D$"&amp;MATCH($E111,'0.0.2 Pokémon Learnset (Core)'!$A$1:$A951,0)&amp;":$FK$"&amp;MATCH($E111,'0.0.2 Pokémon Learnset (Core)'!$A$1:$A951,0)),'Reverse Search'!$J$21)),IF($D$2=2,COUNTIF(INDIRECT("'0.1.1 Pokémon GO Moves'!$B$"&amp;MATCH($E111,'0.1.1 Pokémon GO Moves'!$A$1:$A951,0)&amp;":$R$"&amp;MATCH($E111,'0.1.1 Pokémon GO Moves'!$A$1:$A951,0)),'Reverse Search'!$J$21),COUNTIF(INDIRECT("'0.1.1 Pokémon GO Moves'!$B$"&amp;MATCH($E111,'0.1.1 Pokémon GO Moves'!$A$1:$A951,0)&amp;":$L$"&amp;MATCH($E111,'0.1.1 Pokémon GO Moves'!$A$1:$A951,0)),'Reverse Search'!$J$21)))))</f>
        <v>0</v>
      </c>
      <c r="AB111" s="490"/>
      <c r="AC111" s="260" t="n">
        <f aca="false">IF((Q111+R111+S111+V111+W111+X111+Y111+IF(Z111&gt;=1,1,0)+IF(AA111&gt;=1,1,0))=9,G111&amp;", ",)</f>
        <v>0</v>
      </c>
    </row>
    <row r="112" customFormat="false" ht="15.75" hidden="false" customHeight="false" outlineLevel="0" collapsed="false">
      <c r="A112" s="260"/>
      <c r="B112" s="358"/>
      <c r="C112" s="260"/>
      <c r="D112" s="358" t="str">
        <f aca="false">IFERROR(__xludf.dummyfunction("""COMPUTED_VALUE"""),"Surf")</f>
        <v>Surf</v>
      </c>
      <c r="E112" s="260" t="n">
        <v>111</v>
      </c>
      <c r="F112" s="260" t="n">
        <f aca="false" t="array" ref="F112:F112">INDEX('0.0.1 Pokémon Dex Data'!$H$3:$H951,MATCH(E112,'0.0.1 Pokémon Dex Data'!$B$3:$B951,0))</f>
        <v>1</v>
      </c>
      <c r="G112" s="0" t="str">
        <f aca="false" t="array" ref="G112:G112">INDEX('0.0.1 Pokémon Dex Data'!$E$3:$E951,MATCH(E112,'0.0.1 Pokémon Dex Data'!$B$3:$B951,0))</f>
        <v>Grimer-Alolan</v>
      </c>
      <c r="H112" s="0" t="str">
        <f aca="false" t="array" ref="H112:H112">INDEX('0.0.1 Pokémon Dex Data'!$Q$3:$Q951,MATCH(E112,'0.0.1 Pokémon Dex Data'!$B$3:$B951,0))</f>
        <v>Poison</v>
      </c>
      <c r="I112" s="0" t="str">
        <f aca="false" t="array" ref="I112:I112">INDEX('0.0.1 Pokémon Dex Data'!$R$3:$R951,MATCH(E112,'0.0.1 Pokémon Dex Data'!$B$3:$B951,0))</f>
        <v>Dark</v>
      </c>
      <c r="J112" s="260" t="n">
        <f aca="false" t="array" ref="J112:J112">ROUND(INDEX('0.0.1 Pokémon Dex Data'!$S$3:$S951,MATCH($E112,'0.0.1 Pokémon Dex Data'!$B$3:$B951,0))*INDEX('0.0.1 Pokémon Dex Data'!T$3:T951,MATCH($E112,'0.0.1 Pokémon Dex Data'!$B$3:$B951,0)),0)</f>
        <v>135</v>
      </c>
      <c r="K112" s="260" t="n">
        <f aca="false" t="array" ref="K112:K112">ROUND(INDEX('0.0.1 Pokémon Dex Data'!$S$3:$S951,MATCH($E112,'0.0.1 Pokémon Dex Data'!$B$3:$B951,0))*INDEX('0.0.1 Pokémon Dex Data'!U$3:U951,MATCH($E112,'0.0.1 Pokémon Dex Data'!$B$3:$B951,0)),0)</f>
        <v>90</v>
      </c>
      <c r="L112" s="260" t="n">
        <f aca="false" t="array" ref="L112:L112">ROUND(INDEX('0.0.1 Pokémon Dex Data'!$S$3:$S951,MATCH($E112,'0.0.1 Pokémon Dex Data'!$B$3:$B951,0))*INDEX('0.0.1 Pokémon Dex Data'!V$3:V951,MATCH($E112,'0.0.1 Pokémon Dex Data'!$B$3:$B951,0)),0)</f>
        <v>190</v>
      </c>
      <c r="M112" s="260" t="n">
        <f aca="false" t="array" ref="M112:M112">INDEX('0.0.1 Pokémon Dex Data'!$J$3:$J951,MATCH(E112,'0.0.1 Pokémon Dex Data'!$B$3:$B951,0))</f>
        <v>0</v>
      </c>
      <c r="O112" s="490"/>
      <c r="Q112" s="367" t="n">
        <f aca="false">IF('Reverse Search'!$F$4="All (including temporary formes)",1,IF('Reverse Search'!$F$4="Base Pokémon and permanent formes only",IF(F112&lt;=1,1,0),IF(F112=0,1,0)))</f>
        <v>0</v>
      </c>
      <c r="R112" s="0" t="n">
        <f aca="false">IF('Reverse Search'!$C$7="Disable",1,IF('Reverse Search'!$D$9="Disable",1,IF(OR('Reverse Search'!$F$9=H112,'Reverse Search'!$F$9=I112),1,0)))</f>
        <v>1</v>
      </c>
      <c r="S112" s="0" t="n">
        <f aca="false">IF('Reverse Search'!$C$7="Disable",1,IF('Reverse Search'!$D$10="Disable",1,IF(OR('Reverse Search'!$F$10=H112,'Reverse Search'!$F$10=I112),1,0)))</f>
        <v>1</v>
      </c>
      <c r="T112" s="0" t="n">
        <f aca="false">INDEX($B$4:$B$22,MATCH(H112,$A$4:$A$22,0))</f>
        <v>1</v>
      </c>
      <c r="U112" s="0" t="n">
        <f aca="false">IF(ISBLANK(I112),1,INDEX($B$4:$B$22,MATCH(I112,$A$4:$A$22,0)))</f>
        <v>1</v>
      </c>
      <c r="V112" s="367" t="n">
        <f aca="false">IF('Reverse Search'!$C$7="Disable",1,IF('Reverse Search'!$D$11="Disable",1,IF('Reverse Search'!$E$11="Neutral to:",IF(ROUND(T112*U112,2)&lt;=1,1,0),IF(ROUND(T112*U112,2)&lt;1,1,0))))</f>
        <v>1</v>
      </c>
      <c r="W112" s="0" t="n">
        <f aca="false">IF('Reverse Search'!$N$7="Disable",1,IF('Reverse Search'!$I$9="Disable",1,IF('Reverse Search'!$K$9="≥",IF(J112&gt;='Reverse Search'!$L$9,1,0),IF('Reverse Search'!$K$9="≤",IF(J112&lt;='Reverse Search'!$L$9,1,0),IF(J112='Reverse Search'!$L$9,1,0)))))</f>
        <v>1</v>
      </c>
      <c r="X112" s="0" t="n">
        <f aca="false">IF('Reverse Search'!$N$7="Disable",1,IF('Reverse Search'!$I$10="Disable",1,IF('Reverse Search'!$K$10="≥",IF(K112&gt;='Reverse Search'!$L$10,1,0),IF('Reverse Search'!$K$10="≤",IF(K112&lt;='Reverse Search'!$L$10,1,0),IF(K112='Reverse Search'!$L$10,1,0)))))</f>
        <v>1</v>
      </c>
      <c r="Y112" s="367" t="n">
        <f aca="false">IF('Reverse Search'!$N$7="Disable",1,IF('Reverse Search'!$I$11="Disable",1,IF('Reverse Search'!$K$11="≥",IF(L112&gt;='Reverse Search'!$L$11,1,0),IF('Reverse Search'!$K$11="≤",IF(L112&lt;='Reverse Search'!$L$11,1,0),IF(L112='Reverse Search'!$L$11,1,0)))))</f>
        <v>1</v>
      </c>
      <c r="Z112" s="0" t="n">
        <f aca="true">IF('Reverse Search'!$C$14="Disable",1,IF('Reverse Search'!$D$16="Disable",1,IF($C$2=3,IF($M112=0,0,COUNTIF(INDIRECT("'0.0.2 Pokémon Learnset (Core)'!$D$"&amp;MATCH($E112,'0.0.2 Pokémon Learnset (Core)'!$A$1:$A951,0)&amp;":$FK$"&amp;MATCH($E112,'0.0.2 Pokémon Learnset (Core)'!$A$1:$A951,0)),'Reverse Search'!$E$21)),IF($C$2=2,COUNTIF(INDIRECT("'0.1.1 Pokémon GO Moves'!$B$"&amp;MATCH($E112,'0.1.1 Pokémon GO Moves'!$A$1:$A951,0)&amp;":$R$"&amp;MATCH($E112,'0.1.1 Pokémon GO Moves'!$A$1:$A951,0)),'Reverse Search'!$E$21),COUNTIF(INDIRECT("'0.1.1 Pokémon GO Moves'!$B$"&amp;MATCH($E112,'0.1.1 Pokémon GO Moves'!$A$1:$A951,0)&amp;":$L$"&amp;MATCH($E112,'0.1.1 Pokémon GO Moves'!$A$1:$A951,0)),'Reverse Search'!$E$21)))))</f>
        <v>1</v>
      </c>
      <c r="AA112" s="0" t="e">
        <f aca="true">IF('Reverse Search'!$C$14="Disable",1,IF('Reverse Search'!$I$16="Disable",1,IF($D$2=3,IF($M112=0,0,COUNTIF(INDIRECT("'0.0.2 Pokémon Learnset (Core)'!$D$"&amp;MATCH($E112,'0.0.2 Pokémon Learnset (Core)'!$A$1:$A951,0)&amp;":$FK$"&amp;MATCH($E112,'0.0.2 Pokémon Learnset (Core)'!$A$1:$A951,0)),'Reverse Search'!$J$21)),IF($D$2=2,COUNTIF(INDIRECT("'0.1.1 Pokémon GO Moves'!$B$"&amp;MATCH($E112,'0.1.1 Pokémon GO Moves'!$A$1:$A951,0)&amp;":$R$"&amp;MATCH($E112,'0.1.1 Pokémon GO Moves'!$A$1:$A951,0)),'Reverse Search'!$J$21),COUNTIF(INDIRECT("'0.1.1 Pokémon GO Moves'!$B$"&amp;MATCH($E112,'0.1.1 Pokémon GO Moves'!$A$1:$A951,0)&amp;":$L$"&amp;MATCH($E112,'0.1.1 Pokémon GO Moves'!$A$1:$A951,0)),'Reverse Search'!$J$21)))))</f>
        <v>#N/A</v>
      </c>
      <c r="AB112" s="490"/>
      <c r="AC112" s="260" t="e">
        <f aca="false">IF((Q112+R112+S112+V112+W112+X112+Y112+IF(Z112&gt;=1,1,0)+IF(AA112&gt;=1,1,0))=9,G112&amp;", ",)</f>
        <v>#N/A</v>
      </c>
    </row>
    <row r="113" customFormat="false" ht="15.75" hidden="false" customHeight="false" outlineLevel="0" collapsed="false">
      <c r="A113" s="260"/>
      <c r="B113" s="358"/>
      <c r="C113" s="260"/>
      <c r="D113" s="358" t="str">
        <f aca="false">IFERROR(__xludf.dummyfunction("""COMPUTED_VALUE"""),"Swift")</f>
        <v>Swift</v>
      </c>
      <c r="E113" s="260" t="n">
        <v>112</v>
      </c>
      <c r="F113" s="260" t="n">
        <f aca="false" t="array" ref="F113:F113">INDEX('0.0.1 Pokémon Dex Data'!$H$3:$H951,MATCH(E113,'0.0.1 Pokémon Dex Data'!$B$3:$B951,0))</f>
        <v>0</v>
      </c>
      <c r="G113" s="0" t="str">
        <f aca="false" t="array" ref="G113:G113">INDEX('0.0.1 Pokémon Dex Data'!$E$3:$E951,MATCH(E113,'0.0.1 Pokémon Dex Data'!$B$3:$B951,0))</f>
        <v>Muk</v>
      </c>
      <c r="H113" s="0" t="str">
        <f aca="false" t="array" ref="H113:H113">INDEX('0.0.1 Pokémon Dex Data'!$Q$3:$Q951,MATCH(E113,'0.0.1 Pokémon Dex Data'!$B$3:$B951,0))</f>
        <v>Poison</v>
      </c>
      <c r="I113" s="0" t="n">
        <f aca="false">INDEX('0.0.1 Pokémon Dex Data'!$R$3:$R951,MATCH(E113,'0.0.1 Pokémon Dex Data'!$B$3:$B951,0))</f>
        <v>0</v>
      </c>
      <c r="J113" s="260" t="n">
        <f aca="false" t="array" ref="J113:J113">ROUND(INDEX('0.0.1 Pokémon Dex Data'!$S$3:$S951,MATCH($E113,'0.0.1 Pokémon Dex Data'!$B$3:$B951,0))*INDEX('0.0.1 Pokémon Dex Data'!T$3:T951,MATCH($E113,'0.0.1 Pokémon Dex Data'!$B$3:$B951,0)),0)</f>
        <v>190</v>
      </c>
      <c r="K113" s="260" t="n">
        <f aca="false" t="array" ref="K113:K113">ROUND(INDEX('0.0.1 Pokémon Dex Data'!$S$3:$S951,MATCH($E113,'0.0.1 Pokémon Dex Data'!$B$3:$B951,0))*INDEX('0.0.1 Pokémon Dex Data'!U$3:U951,MATCH($E113,'0.0.1 Pokémon Dex Data'!$B$3:$B951,0)),0)</f>
        <v>172</v>
      </c>
      <c r="L113" s="260" t="n">
        <f aca="false" t="array" ref="L113:L113">ROUND(INDEX('0.0.1 Pokémon Dex Data'!$S$3:$S951,MATCH($E113,'0.0.1 Pokémon Dex Data'!$B$3:$B951,0))*INDEX('0.0.1 Pokémon Dex Data'!V$3:V951,MATCH($E113,'0.0.1 Pokémon Dex Data'!$B$3:$B951,0)),0)</f>
        <v>233</v>
      </c>
      <c r="M113" s="260" t="n">
        <f aca="false" t="array" ref="M113:M113">INDEX('0.0.1 Pokémon Dex Data'!$J$3:$J951,MATCH(E113,'0.0.1 Pokémon Dex Data'!$B$3:$B951,0))</f>
        <v>1</v>
      </c>
      <c r="O113" s="490"/>
      <c r="Q113" s="367" t="n">
        <f aca="false">IF('Reverse Search'!$F$4="All (including temporary formes)",1,IF('Reverse Search'!$F$4="Base Pokémon and permanent formes only",IF(F113&lt;=1,1,0),IF(F113=0,1,0)))</f>
        <v>1</v>
      </c>
      <c r="R113" s="0" t="n">
        <f aca="false">IF('Reverse Search'!$C$7="Disable",1,IF('Reverse Search'!$D$9="Disable",1,IF(OR('Reverse Search'!$F$9=H113,'Reverse Search'!$F$9=I113),1,0)))</f>
        <v>1</v>
      </c>
      <c r="S113" s="0" t="n">
        <f aca="false">IF('Reverse Search'!$C$7="Disable",1,IF('Reverse Search'!$D$10="Disable",1,IF(OR('Reverse Search'!$F$10=H113,'Reverse Search'!$F$10=I113),1,0)))</f>
        <v>1</v>
      </c>
      <c r="T113" s="0" t="n">
        <f aca="false">INDEX($B$4:$B$22,MATCH(H113,$A$4:$A$22,0))</f>
        <v>1</v>
      </c>
      <c r="U113" s="0" t="e">
        <f aca="false">IF(ISBLANK(I113),1,INDEX($B$4:$B$22,MATCH(I113,$A$4:$A$22,0)))</f>
        <v>#N/A</v>
      </c>
      <c r="V113" s="367" t="n">
        <f aca="false">IF('Reverse Search'!$C$7="Disable",1,IF('Reverse Search'!$D$11="Disable",1,IF('Reverse Search'!$E$11="Neutral to:",IF(ROUND(T113*U113,2)&lt;=1,1,0),IF(ROUND(T113*U113,2)&lt;1,1,0))))</f>
        <v>1</v>
      </c>
      <c r="W113" s="0" t="n">
        <f aca="false">IF('Reverse Search'!$N$7="Disable",1,IF('Reverse Search'!$I$9="Disable",1,IF('Reverse Search'!$K$9="≥",IF(J113&gt;='Reverse Search'!$L$9,1,0),IF('Reverse Search'!$K$9="≤",IF(J113&lt;='Reverse Search'!$L$9,1,0),IF(J113='Reverse Search'!$L$9,1,0)))))</f>
        <v>1</v>
      </c>
      <c r="X113" s="0" t="n">
        <f aca="false">IF('Reverse Search'!$N$7="Disable",1,IF('Reverse Search'!$I$10="Disable",1,IF('Reverse Search'!$K$10="≥",IF(K113&gt;='Reverse Search'!$L$10,1,0),IF('Reverse Search'!$K$10="≤",IF(K113&lt;='Reverse Search'!$L$10,1,0),IF(K113='Reverse Search'!$L$10,1,0)))))</f>
        <v>1</v>
      </c>
      <c r="Y113" s="367" t="n">
        <f aca="false">IF('Reverse Search'!$N$7="Disable",1,IF('Reverse Search'!$I$11="Disable",1,IF('Reverse Search'!$K$11="≥",IF(L113&gt;='Reverse Search'!$L$11,1,0),IF('Reverse Search'!$K$11="≤",IF(L113&lt;='Reverse Search'!$L$11,1,0),IF(L113='Reverse Search'!$L$11,1,0)))))</f>
        <v>1</v>
      </c>
      <c r="Z113" s="0" t="n">
        <f aca="true">IF('Reverse Search'!$C$14="Disable",1,IF('Reverse Search'!$D$16="Disable",1,IF($C$2=3,IF($M113=0,0,COUNTIF(INDIRECT("'0.0.2 Pokémon Learnset (Core)'!$D$"&amp;MATCH($E113,'0.0.2 Pokémon Learnset (Core)'!$A$1:$A951,0)&amp;":$FK$"&amp;MATCH($E113,'0.0.2 Pokémon Learnset (Core)'!$A$1:$A951,0)),'Reverse Search'!$E$21)),IF($C$2=2,COUNTIF(INDIRECT("'0.1.1 Pokémon GO Moves'!$B$"&amp;MATCH($E113,'0.1.1 Pokémon GO Moves'!$A$1:$A951,0)&amp;":$R$"&amp;MATCH($E113,'0.1.1 Pokémon GO Moves'!$A$1:$A951,0)),'Reverse Search'!$E$21),COUNTIF(INDIRECT("'0.1.1 Pokémon GO Moves'!$B$"&amp;MATCH($E113,'0.1.1 Pokémon GO Moves'!$A$1:$A951,0)&amp;":$L$"&amp;MATCH($E113,'0.1.1 Pokémon GO Moves'!$A$1:$A951,0)),'Reverse Search'!$E$21)))))</f>
        <v>1</v>
      </c>
      <c r="AA113" s="0" t="n">
        <f aca="true">IF('Reverse Search'!$C$14="Disable",1,IF('Reverse Search'!$I$16="Disable",1,IF($D$2=3,IF($M113=0,0,COUNTIF(INDIRECT("'0.0.2 Pokémon Learnset (Core)'!$D$"&amp;MATCH($E113,'0.0.2 Pokémon Learnset (Core)'!$A$1:$A951,0)&amp;":$FK$"&amp;MATCH($E113,'0.0.2 Pokémon Learnset (Core)'!$A$1:$A951,0)),'Reverse Search'!$J$21)),IF($D$2=2,COUNTIF(INDIRECT("'0.1.1 Pokémon GO Moves'!$B$"&amp;MATCH($E113,'0.1.1 Pokémon GO Moves'!$A$1:$A951,0)&amp;":$R$"&amp;MATCH($E113,'0.1.1 Pokémon GO Moves'!$A$1:$A951,0)),'Reverse Search'!$J$21),COUNTIF(INDIRECT("'0.1.1 Pokémon GO Moves'!$B$"&amp;MATCH($E113,'0.1.1 Pokémon GO Moves'!$A$1:$A951,0)&amp;":$L$"&amp;MATCH($E113,'0.1.1 Pokémon GO Moves'!$A$1:$A951,0)),'Reverse Search'!$J$21)))))</f>
        <v>0</v>
      </c>
      <c r="AB113" s="490"/>
      <c r="AC113" s="260" t="n">
        <f aca="false">IF((Q113+R113+S113+V113+W113+X113+Y113+IF(Z113&gt;=1,1,0)+IF(AA113&gt;=1,1,0))=9,G113&amp;", ",)</f>
        <v>0</v>
      </c>
    </row>
    <row r="114" customFormat="false" ht="15.75" hidden="false" customHeight="false" outlineLevel="0" collapsed="false">
      <c r="A114" s="260"/>
      <c r="B114" s="358"/>
      <c r="C114" s="260"/>
      <c r="D114" s="358" t="str">
        <f aca="false">IFERROR(__xludf.dummyfunction("""COMPUTED_VALUE"""),"Thunder")</f>
        <v>Thunder</v>
      </c>
      <c r="E114" s="260" t="n">
        <v>113</v>
      </c>
      <c r="F114" s="260" t="n">
        <f aca="false" t="array" ref="F114:F114">INDEX('0.0.1 Pokémon Dex Data'!$H$3:$H951,MATCH(E114,'0.0.1 Pokémon Dex Data'!$B$3:$B951,0))</f>
        <v>1</v>
      </c>
      <c r="G114" s="0" t="str">
        <f aca="false" t="array" ref="G114:G114">INDEX('0.0.1 Pokémon Dex Data'!$E$3:$E951,MATCH(E114,'0.0.1 Pokémon Dex Data'!$B$3:$B951,0))</f>
        <v>Muk-Alolan</v>
      </c>
      <c r="H114" s="0" t="str">
        <f aca="false" t="array" ref="H114:H114">INDEX('0.0.1 Pokémon Dex Data'!$Q$3:$Q951,MATCH(E114,'0.0.1 Pokémon Dex Data'!$B$3:$B951,0))</f>
        <v>Poison</v>
      </c>
      <c r="I114" s="0" t="str">
        <f aca="false" t="array" ref="I114:I114">INDEX('0.0.1 Pokémon Dex Data'!$R$3:$R951,MATCH(E114,'0.0.1 Pokémon Dex Data'!$B$3:$B951,0))</f>
        <v>Dark</v>
      </c>
      <c r="J114" s="260" t="n">
        <f aca="false" t="array" ref="J114:J114">ROUND(INDEX('0.0.1 Pokémon Dex Data'!$S$3:$S951,MATCH($E114,'0.0.1 Pokémon Dex Data'!$B$3:$B951,0))*INDEX('0.0.1 Pokémon Dex Data'!T$3:T951,MATCH($E114,'0.0.1 Pokémon Dex Data'!$B$3:$B951,0)),0)</f>
        <v>190</v>
      </c>
      <c r="K114" s="260" t="n">
        <f aca="false" t="array" ref="K114:K114">ROUND(INDEX('0.0.1 Pokémon Dex Data'!$S$3:$S951,MATCH($E114,'0.0.1 Pokémon Dex Data'!$B$3:$B951,0))*INDEX('0.0.1 Pokémon Dex Data'!U$3:U951,MATCH($E114,'0.0.1 Pokémon Dex Data'!$B$3:$B951,0)),0)</f>
        <v>172</v>
      </c>
      <c r="L114" s="260" t="n">
        <f aca="false" t="array" ref="L114:L114">ROUND(INDEX('0.0.1 Pokémon Dex Data'!$S$3:$S951,MATCH($E114,'0.0.1 Pokémon Dex Data'!$B$3:$B951,0))*INDEX('0.0.1 Pokémon Dex Data'!V$3:V951,MATCH($E114,'0.0.1 Pokémon Dex Data'!$B$3:$B951,0)),0)</f>
        <v>233</v>
      </c>
      <c r="M114" s="260" t="n">
        <f aca="false" t="array" ref="M114:M114">INDEX('0.0.1 Pokémon Dex Data'!$J$3:$J951,MATCH(E114,'0.0.1 Pokémon Dex Data'!$B$3:$B951,0))</f>
        <v>1</v>
      </c>
      <c r="O114" s="490"/>
      <c r="Q114" s="367" t="n">
        <f aca="false">IF('Reverse Search'!$F$4="All (including temporary formes)",1,IF('Reverse Search'!$F$4="Base Pokémon and permanent formes only",IF(F114&lt;=1,1,0),IF(F114=0,1,0)))</f>
        <v>0</v>
      </c>
      <c r="R114" s="0" t="n">
        <f aca="false">IF('Reverse Search'!$C$7="Disable",1,IF('Reverse Search'!$D$9="Disable",1,IF(OR('Reverse Search'!$F$9=H114,'Reverse Search'!$F$9=I114),1,0)))</f>
        <v>1</v>
      </c>
      <c r="S114" s="0" t="n">
        <f aca="false">IF('Reverse Search'!$C$7="Disable",1,IF('Reverse Search'!$D$10="Disable",1,IF(OR('Reverse Search'!$F$10=H114,'Reverse Search'!$F$10=I114),1,0)))</f>
        <v>1</v>
      </c>
      <c r="T114" s="0" t="n">
        <f aca="false">INDEX($B$4:$B$22,MATCH(H114,$A$4:$A$22,0))</f>
        <v>1</v>
      </c>
      <c r="U114" s="0" t="n">
        <f aca="false">IF(ISBLANK(I114),1,INDEX($B$4:$B$22,MATCH(I114,$A$4:$A$22,0)))</f>
        <v>1</v>
      </c>
      <c r="V114" s="367" t="n">
        <f aca="false">IF('Reverse Search'!$C$7="Disable",1,IF('Reverse Search'!$D$11="Disable",1,IF('Reverse Search'!$E$11="Neutral to:",IF(ROUND(T114*U114,2)&lt;=1,1,0),IF(ROUND(T114*U114,2)&lt;1,1,0))))</f>
        <v>1</v>
      </c>
      <c r="W114" s="0" t="n">
        <f aca="false">IF('Reverse Search'!$N$7="Disable",1,IF('Reverse Search'!$I$9="Disable",1,IF('Reverse Search'!$K$9="≥",IF(J114&gt;='Reverse Search'!$L$9,1,0),IF('Reverse Search'!$K$9="≤",IF(J114&lt;='Reverse Search'!$L$9,1,0),IF(J114='Reverse Search'!$L$9,1,0)))))</f>
        <v>1</v>
      </c>
      <c r="X114" s="0" t="n">
        <f aca="false">IF('Reverse Search'!$N$7="Disable",1,IF('Reverse Search'!$I$10="Disable",1,IF('Reverse Search'!$K$10="≥",IF(K114&gt;='Reverse Search'!$L$10,1,0),IF('Reverse Search'!$K$10="≤",IF(K114&lt;='Reverse Search'!$L$10,1,0),IF(K114='Reverse Search'!$L$10,1,0)))))</f>
        <v>1</v>
      </c>
      <c r="Y114" s="367" t="n">
        <f aca="false">IF('Reverse Search'!$N$7="Disable",1,IF('Reverse Search'!$I$11="Disable",1,IF('Reverse Search'!$K$11="≥",IF(L114&gt;='Reverse Search'!$L$11,1,0),IF('Reverse Search'!$K$11="≤",IF(L114&lt;='Reverse Search'!$L$11,1,0),IF(L114='Reverse Search'!$L$11,1,0)))))</f>
        <v>1</v>
      </c>
      <c r="Z114" s="0" t="n">
        <f aca="true">IF('Reverse Search'!$C$14="Disable",1,IF('Reverse Search'!$D$16="Disable",1,IF($C$2=3,IF($M114=0,0,COUNTIF(INDIRECT("'0.0.2 Pokémon Learnset (Core)'!$D$"&amp;MATCH($E114,'0.0.2 Pokémon Learnset (Core)'!$A$1:$A951,0)&amp;":$FK$"&amp;MATCH($E114,'0.0.2 Pokémon Learnset (Core)'!$A$1:$A951,0)),'Reverse Search'!$E$21)),IF($C$2=2,COUNTIF(INDIRECT("'0.1.1 Pokémon GO Moves'!$B$"&amp;MATCH($E114,'0.1.1 Pokémon GO Moves'!$A$1:$A951,0)&amp;":$R$"&amp;MATCH($E114,'0.1.1 Pokémon GO Moves'!$A$1:$A951,0)),'Reverse Search'!$E$21),COUNTIF(INDIRECT("'0.1.1 Pokémon GO Moves'!$B$"&amp;MATCH($E114,'0.1.1 Pokémon GO Moves'!$A$1:$A951,0)&amp;":$L$"&amp;MATCH($E114,'0.1.1 Pokémon GO Moves'!$A$1:$A951,0)),'Reverse Search'!$E$21)))))</f>
        <v>1</v>
      </c>
      <c r="AA114" s="0" t="e">
        <f aca="true">IF('Reverse Search'!$C$14="Disable",1,IF('Reverse Search'!$I$16="Disable",1,IF($D$2=3,IF($M114=0,0,COUNTIF(INDIRECT("'0.0.2 Pokémon Learnset (Core)'!$D$"&amp;MATCH($E114,'0.0.2 Pokémon Learnset (Core)'!$A$1:$A951,0)&amp;":$FK$"&amp;MATCH($E114,'0.0.2 Pokémon Learnset (Core)'!$A$1:$A951,0)),'Reverse Search'!$J$21)),IF($D$2=2,COUNTIF(INDIRECT("'0.1.1 Pokémon GO Moves'!$B$"&amp;MATCH($E114,'0.1.1 Pokémon GO Moves'!$A$1:$A951,0)&amp;":$R$"&amp;MATCH($E114,'0.1.1 Pokémon GO Moves'!$A$1:$A951,0)),'Reverse Search'!$J$21),COUNTIF(INDIRECT("'0.1.1 Pokémon GO Moves'!$B$"&amp;MATCH($E114,'0.1.1 Pokémon GO Moves'!$A$1:$A951,0)&amp;":$L$"&amp;MATCH($E114,'0.1.1 Pokémon GO Moves'!$A$1:$A951,0)),'Reverse Search'!$J$21)))))</f>
        <v>#N/A</v>
      </c>
      <c r="AB114" s="490"/>
      <c r="AC114" s="260" t="e">
        <f aca="false">IF((Q114+R114+S114+V114+W114+X114+Y114+IF(Z114&gt;=1,1,0)+IF(AA114&gt;=1,1,0))=9,G114&amp;", ",)</f>
        <v>#N/A</v>
      </c>
    </row>
    <row r="115" customFormat="false" ht="15.75" hidden="false" customHeight="false" outlineLevel="0" collapsed="false">
      <c r="A115" s="260"/>
      <c r="B115" s="358"/>
      <c r="C115" s="260"/>
      <c r="D115" s="358" t="str">
        <f aca="false">IFERROR(__xludf.dummyfunction("""COMPUTED_VALUE"""),"Thunder Punch")</f>
        <v>Thunder Punch</v>
      </c>
      <c r="E115" s="260" t="n">
        <v>114</v>
      </c>
      <c r="F115" s="260" t="n">
        <f aca="false" t="array" ref="F115:F115">INDEX('0.0.1 Pokémon Dex Data'!$H$3:$H951,MATCH(E115,'0.0.1 Pokémon Dex Data'!$B$3:$B951,0))</f>
        <v>0</v>
      </c>
      <c r="G115" s="0" t="str">
        <f aca="false" t="array" ref="G115:G115">INDEX('0.0.1 Pokémon Dex Data'!$E$3:$E951,MATCH(E115,'0.0.1 Pokémon Dex Data'!$B$3:$B951,0))</f>
        <v>Shellder</v>
      </c>
      <c r="H115" s="0" t="str">
        <f aca="false" t="array" ref="H115:H115">INDEX('0.0.1 Pokémon Dex Data'!$Q$3:$Q951,MATCH(E115,'0.0.1 Pokémon Dex Data'!$B$3:$B951,0))</f>
        <v>Water</v>
      </c>
      <c r="I115" s="0" t="n">
        <f aca="false">INDEX('0.0.1 Pokémon Dex Data'!$R$3:$R951,MATCH(E115,'0.0.1 Pokémon Dex Data'!$B$3:$B951,0))</f>
        <v>0</v>
      </c>
      <c r="J115" s="260" t="n">
        <f aca="false" t="array" ref="J115:J115">ROUND(INDEX('0.0.1 Pokémon Dex Data'!$S$3:$S951,MATCH($E115,'0.0.1 Pokémon Dex Data'!$B$3:$B951,0))*INDEX('0.0.1 Pokémon Dex Data'!T$3:T951,MATCH($E115,'0.0.1 Pokémon Dex Data'!$B$3:$B951,0)),0)</f>
        <v>116</v>
      </c>
      <c r="K115" s="260" t="n">
        <f aca="false" t="array" ref="K115:K115">ROUND(INDEX('0.0.1 Pokémon Dex Data'!$S$3:$S951,MATCH($E115,'0.0.1 Pokémon Dex Data'!$B$3:$B951,0))*INDEX('0.0.1 Pokémon Dex Data'!U$3:U951,MATCH($E115,'0.0.1 Pokémon Dex Data'!$B$3:$B951,0)),0)</f>
        <v>134</v>
      </c>
      <c r="L115" s="260" t="n">
        <f aca="false" t="array" ref="L115:L115">ROUND(INDEX('0.0.1 Pokémon Dex Data'!$S$3:$S951,MATCH($E115,'0.0.1 Pokémon Dex Data'!$B$3:$B951,0))*INDEX('0.0.1 Pokémon Dex Data'!V$3:V951,MATCH($E115,'0.0.1 Pokémon Dex Data'!$B$3:$B951,0)),0)</f>
        <v>102</v>
      </c>
      <c r="M115" s="260" t="n">
        <f aca="false" t="array" ref="M115:M115">INDEX('0.0.1 Pokémon Dex Data'!$J$3:$J951,MATCH(E115,'0.0.1 Pokémon Dex Data'!$B$3:$B951,0))</f>
        <v>0</v>
      </c>
      <c r="O115" s="490"/>
      <c r="Q115" s="367" t="n">
        <f aca="false">IF('Reverse Search'!$F$4="All (including temporary formes)",1,IF('Reverse Search'!$F$4="Base Pokémon and permanent formes only",IF(F115&lt;=1,1,0),IF(F115=0,1,0)))</f>
        <v>1</v>
      </c>
      <c r="R115" s="0" t="n">
        <f aca="false">IF('Reverse Search'!$C$7="Disable",1,IF('Reverse Search'!$D$9="Disable",1,IF(OR('Reverse Search'!$F$9=H115,'Reverse Search'!$F$9=I115),1,0)))</f>
        <v>1</v>
      </c>
      <c r="S115" s="0" t="n">
        <f aca="false">IF('Reverse Search'!$C$7="Disable",1,IF('Reverse Search'!$D$10="Disable",1,IF(OR('Reverse Search'!$F$10=H115,'Reverse Search'!$F$10=I115),1,0)))</f>
        <v>1</v>
      </c>
      <c r="T115" s="0" t="n">
        <f aca="false">INDEX($B$4:$B$22,MATCH(H115,$A$4:$A$22,0))</f>
        <v>1</v>
      </c>
      <c r="U115" s="0" t="e">
        <f aca="false">IF(ISBLANK(I115),1,INDEX($B$4:$B$22,MATCH(I115,$A$4:$A$22,0)))</f>
        <v>#N/A</v>
      </c>
      <c r="V115" s="367" t="n">
        <f aca="false">IF('Reverse Search'!$C$7="Disable",1,IF('Reverse Search'!$D$11="Disable",1,IF('Reverse Search'!$E$11="Neutral to:",IF(ROUND(T115*U115,2)&lt;=1,1,0),IF(ROUND(T115*U115,2)&lt;1,1,0))))</f>
        <v>1</v>
      </c>
      <c r="W115" s="0" t="n">
        <f aca="false">IF('Reverse Search'!$N$7="Disable",1,IF('Reverse Search'!$I$9="Disable",1,IF('Reverse Search'!$K$9="≥",IF(J115&gt;='Reverse Search'!$L$9,1,0),IF('Reverse Search'!$K$9="≤",IF(J115&lt;='Reverse Search'!$L$9,1,0),IF(J115='Reverse Search'!$L$9,1,0)))))</f>
        <v>1</v>
      </c>
      <c r="X115" s="0" t="n">
        <f aca="false">IF('Reverse Search'!$N$7="Disable",1,IF('Reverse Search'!$I$10="Disable",1,IF('Reverse Search'!$K$10="≥",IF(K115&gt;='Reverse Search'!$L$10,1,0),IF('Reverse Search'!$K$10="≤",IF(K115&lt;='Reverse Search'!$L$10,1,0),IF(K115='Reverse Search'!$L$10,1,0)))))</f>
        <v>1</v>
      </c>
      <c r="Y115" s="367" t="n">
        <f aca="false">IF('Reverse Search'!$N$7="Disable",1,IF('Reverse Search'!$I$11="Disable",1,IF('Reverse Search'!$K$11="≥",IF(L115&gt;='Reverse Search'!$L$11,1,0),IF('Reverse Search'!$K$11="≤",IF(L115&lt;='Reverse Search'!$L$11,1,0),IF(L115='Reverse Search'!$L$11,1,0)))))</f>
        <v>1</v>
      </c>
      <c r="Z115" s="0" t="n">
        <f aca="true">IF('Reverse Search'!$C$14="Disable",1,IF('Reverse Search'!$D$16="Disable",1,IF($C$2=3,IF($M115=0,0,COUNTIF(INDIRECT("'0.0.2 Pokémon Learnset (Core)'!$D$"&amp;MATCH($E115,'0.0.2 Pokémon Learnset (Core)'!$A$1:$A951,0)&amp;":$FK$"&amp;MATCH($E115,'0.0.2 Pokémon Learnset (Core)'!$A$1:$A951,0)),'Reverse Search'!$E$21)),IF($C$2=2,COUNTIF(INDIRECT("'0.1.1 Pokémon GO Moves'!$B$"&amp;MATCH($E115,'0.1.1 Pokémon GO Moves'!$A$1:$A951,0)&amp;":$R$"&amp;MATCH($E115,'0.1.1 Pokémon GO Moves'!$A$1:$A951,0)),'Reverse Search'!$E$21),COUNTIF(INDIRECT("'0.1.1 Pokémon GO Moves'!$B$"&amp;MATCH($E115,'0.1.1 Pokémon GO Moves'!$A$1:$A951,0)&amp;":$L$"&amp;MATCH($E115,'0.1.1 Pokémon GO Moves'!$A$1:$A951,0)),'Reverse Search'!$E$21)))))</f>
        <v>1</v>
      </c>
      <c r="AA115" s="0" t="n">
        <f aca="true">IF('Reverse Search'!$C$14="Disable",1,IF('Reverse Search'!$I$16="Disable",1,IF($D$2=3,IF($M115=0,0,COUNTIF(INDIRECT("'0.0.2 Pokémon Learnset (Core)'!$D$"&amp;MATCH($E115,'0.0.2 Pokémon Learnset (Core)'!$A$1:$A951,0)&amp;":$FK$"&amp;MATCH($E115,'0.0.2 Pokémon Learnset (Core)'!$A$1:$A951,0)),'Reverse Search'!$J$21)),IF($D$2=2,COUNTIF(INDIRECT("'0.1.1 Pokémon GO Moves'!$B$"&amp;MATCH($E115,'0.1.1 Pokémon GO Moves'!$A$1:$A951,0)&amp;":$R$"&amp;MATCH($E115,'0.1.1 Pokémon GO Moves'!$A$1:$A951,0)),'Reverse Search'!$J$21),COUNTIF(INDIRECT("'0.1.1 Pokémon GO Moves'!$B$"&amp;MATCH($E115,'0.1.1 Pokémon GO Moves'!$A$1:$A951,0)&amp;":$L$"&amp;MATCH($E115,'0.1.1 Pokémon GO Moves'!$A$1:$A951,0)),'Reverse Search'!$J$21)))))</f>
        <v>0</v>
      </c>
      <c r="AB115" s="490"/>
      <c r="AC115" s="260" t="n">
        <f aca="false">IF((Q115+R115+S115+V115+W115+X115+Y115+IF(Z115&gt;=1,1,0)+IF(AA115&gt;=1,1,0))=9,G115&amp;", ",)</f>
        <v>0</v>
      </c>
    </row>
    <row r="116" customFormat="false" ht="15.75" hidden="false" customHeight="false" outlineLevel="0" collapsed="false">
      <c r="A116" s="260"/>
      <c r="B116" s="358"/>
      <c r="C116" s="260"/>
      <c r="D116" s="358" t="str">
        <f aca="false">IFERROR(__xludf.dummyfunction("""COMPUTED_VALUE"""),"Thunderbolt")</f>
        <v>Thunderbolt</v>
      </c>
      <c r="E116" s="260" t="n">
        <v>115</v>
      </c>
      <c r="F116" s="260" t="n">
        <f aca="false" t="array" ref="F116:F116">INDEX('0.0.1 Pokémon Dex Data'!$H$3:$H951,MATCH(E116,'0.0.1 Pokémon Dex Data'!$B$3:$B951,0))</f>
        <v>0</v>
      </c>
      <c r="G116" s="0" t="str">
        <f aca="false" t="array" ref="G116:G116">INDEX('0.0.1 Pokémon Dex Data'!$E$3:$E951,MATCH(E116,'0.0.1 Pokémon Dex Data'!$B$3:$B951,0))</f>
        <v>Cloyster</v>
      </c>
      <c r="H116" s="0" t="str">
        <f aca="false" t="array" ref="H116:H116">INDEX('0.0.1 Pokémon Dex Data'!$Q$3:$Q951,MATCH(E116,'0.0.1 Pokémon Dex Data'!$B$3:$B951,0))</f>
        <v>Water</v>
      </c>
      <c r="I116" s="0" t="str">
        <f aca="false" t="array" ref="I116:I116">INDEX('0.0.1 Pokémon Dex Data'!$R$3:$R951,MATCH(E116,'0.0.1 Pokémon Dex Data'!$B$3:$B951,0))</f>
        <v>Ice</v>
      </c>
      <c r="J116" s="260" t="n">
        <f aca="false" t="array" ref="J116:J116">ROUND(INDEX('0.0.1 Pokémon Dex Data'!$S$3:$S951,MATCH($E116,'0.0.1 Pokémon Dex Data'!$B$3:$B951,0))*INDEX('0.0.1 Pokémon Dex Data'!T$3:T951,MATCH($E116,'0.0.1 Pokémon Dex Data'!$B$3:$B951,0)),0)</f>
        <v>186</v>
      </c>
      <c r="K116" s="260" t="n">
        <f aca="false" t="array" ref="K116:K116">ROUND(INDEX('0.0.1 Pokémon Dex Data'!$S$3:$S951,MATCH($E116,'0.0.1 Pokémon Dex Data'!$B$3:$B951,0))*INDEX('0.0.1 Pokémon Dex Data'!U$3:U951,MATCH($E116,'0.0.1 Pokémon Dex Data'!$B$3:$B951,0)),0)</f>
        <v>256</v>
      </c>
      <c r="L116" s="260" t="n">
        <f aca="false" t="array" ref="L116:L116">ROUND(INDEX('0.0.1 Pokémon Dex Data'!$S$3:$S951,MATCH($E116,'0.0.1 Pokémon Dex Data'!$B$3:$B951,0))*INDEX('0.0.1 Pokémon Dex Data'!V$3:V951,MATCH($E116,'0.0.1 Pokémon Dex Data'!$B$3:$B951,0)),0)</f>
        <v>137</v>
      </c>
      <c r="M116" s="260" t="n">
        <f aca="false" t="array" ref="M116:M116">INDEX('0.0.1 Pokémon Dex Data'!$J$3:$J951,MATCH(E116,'0.0.1 Pokémon Dex Data'!$B$3:$B951,0))</f>
        <v>1</v>
      </c>
      <c r="O116" s="490"/>
      <c r="Q116" s="367" t="n">
        <f aca="false">IF('Reverse Search'!$F$4="All (including temporary formes)",1,IF('Reverse Search'!$F$4="Base Pokémon and permanent formes only",IF(F116&lt;=1,1,0),IF(F116=0,1,0)))</f>
        <v>1</v>
      </c>
      <c r="R116" s="0" t="n">
        <f aca="false">IF('Reverse Search'!$C$7="Disable",1,IF('Reverse Search'!$D$9="Disable",1,IF(OR('Reverse Search'!$F$9=H116,'Reverse Search'!$F$9=I116),1,0)))</f>
        <v>1</v>
      </c>
      <c r="S116" s="0" t="n">
        <f aca="false">IF('Reverse Search'!$C$7="Disable",1,IF('Reverse Search'!$D$10="Disable",1,IF(OR('Reverse Search'!$F$10=H116,'Reverse Search'!$F$10=I116),1,0)))</f>
        <v>1</v>
      </c>
      <c r="T116" s="0" t="n">
        <f aca="false">INDEX($B$4:$B$22,MATCH(H116,$A$4:$A$22,0))</f>
        <v>1</v>
      </c>
      <c r="U116" s="0" t="n">
        <f aca="false">IF(ISBLANK(I116),1,INDEX($B$4:$B$22,MATCH(I116,$A$4:$A$22,0)))</f>
        <v>1</v>
      </c>
      <c r="V116" s="367" t="n">
        <f aca="false">IF('Reverse Search'!$C$7="Disable",1,IF('Reverse Search'!$D$11="Disable",1,IF('Reverse Search'!$E$11="Neutral to:",IF(ROUND(T116*U116,2)&lt;=1,1,0),IF(ROUND(T116*U116,2)&lt;1,1,0))))</f>
        <v>1</v>
      </c>
      <c r="W116" s="0" t="n">
        <f aca="false">IF('Reverse Search'!$N$7="Disable",1,IF('Reverse Search'!$I$9="Disable",1,IF('Reverse Search'!$K$9="≥",IF(J116&gt;='Reverse Search'!$L$9,1,0),IF('Reverse Search'!$K$9="≤",IF(J116&lt;='Reverse Search'!$L$9,1,0),IF(J116='Reverse Search'!$L$9,1,0)))))</f>
        <v>1</v>
      </c>
      <c r="X116" s="0" t="n">
        <f aca="false">IF('Reverse Search'!$N$7="Disable",1,IF('Reverse Search'!$I$10="Disable",1,IF('Reverse Search'!$K$10="≥",IF(K116&gt;='Reverse Search'!$L$10,1,0),IF('Reverse Search'!$K$10="≤",IF(K116&lt;='Reverse Search'!$L$10,1,0),IF(K116='Reverse Search'!$L$10,1,0)))))</f>
        <v>1</v>
      </c>
      <c r="Y116" s="367" t="n">
        <f aca="false">IF('Reverse Search'!$N$7="Disable",1,IF('Reverse Search'!$I$11="Disable",1,IF('Reverse Search'!$K$11="≥",IF(L116&gt;='Reverse Search'!$L$11,1,0),IF('Reverse Search'!$K$11="≤",IF(L116&lt;='Reverse Search'!$L$11,1,0),IF(L116='Reverse Search'!$L$11,1,0)))))</f>
        <v>1</v>
      </c>
      <c r="Z116" s="0" t="n">
        <f aca="true">IF('Reverse Search'!$C$14="Disable",1,IF('Reverse Search'!$D$16="Disable",1,IF($C$2=3,IF($M116=0,0,COUNTIF(INDIRECT("'0.0.2 Pokémon Learnset (Core)'!$D$"&amp;MATCH($E116,'0.0.2 Pokémon Learnset (Core)'!$A$1:$A951,0)&amp;":$FK$"&amp;MATCH($E116,'0.0.2 Pokémon Learnset (Core)'!$A$1:$A951,0)),'Reverse Search'!$E$21)),IF($C$2=2,COUNTIF(INDIRECT("'0.1.1 Pokémon GO Moves'!$B$"&amp;MATCH($E116,'0.1.1 Pokémon GO Moves'!$A$1:$A951,0)&amp;":$R$"&amp;MATCH($E116,'0.1.1 Pokémon GO Moves'!$A$1:$A951,0)),'Reverse Search'!$E$21),COUNTIF(INDIRECT("'0.1.1 Pokémon GO Moves'!$B$"&amp;MATCH($E116,'0.1.1 Pokémon GO Moves'!$A$1:$A951,0)&amp;":$L$"&amp;MATCH($E116,'0.1.1 Pokémon GO Moves'!$A$1:$A951,0)),'Reverse Search'!$E$21)))))</f>
        <v>1</v>
      </c>
      <c r="AA116" s="0" t="n">
        <f aca="true">IF('Reverse Search'!$C$14="Disable",1,IF('Reverse Search'!$I$16="Disable",1,IF($D$2=3,IF($M116=0,0,COUNTIF(INDIRECT("'0.0.2 Pokémon Learnset (Core)'!$D$"&amp;MATCH($E116,'0.0.2 Pokémon Learnset (Core)'!$A$1:$A951,0)&amp;":$FK$"&amp;MATCH($E116,'0.0.2 Pokémon Learnset (Core)'!$A$1:$A951,0)),'Reverse Search'!$J$21)),IF($D$2=2,COUNTIF(INDIRECT("'0.1.1 Pokémon GO Moves'!$B$"&amp;MATCH($E116,'0.1.1 Pokémon GO Moves'!$A$1:$A951,0)&amp;":$R$"&amp;MATCH($E116,'0.1.1 Pokémon GO Moves'!$A$1:$A951,0)),'Reverse Search'!$J$21),COUNTIF(INDIRECT("'0.1.1 Pokémon GO Moves'!$B$"&amp;MATCH($E116,'0.1.1 Pokémon GO Moves'!$A$1:$A951,0)&amp;":$L$"&amp;MATCH($E116,'0.1.1 Pokémon GO Moves'!$A$1:$A951,0)),'Reverse Search'!$J$21)))))</f>
        <v>0</v>
      </c>
      <c r="AB116" s="490"/>
      <c r="AC116" s="260" t="n">
        <f aca="false">IF((Q116+R116+S116+V116+W116+X116+Y116+IF(Z116&gt;=1,1,0)+IF(AA116&gt;=1,1,0))=9,G116&amp;", ",)</f>
        <v>0</v>
      </c>
    </row>
    <row r="117" customFormat="false" ht="15.75" hidden="false" customHeight="false" outlineLevel="0" collapsed="false">
      <c r="A117" s="260"/>
      <c r="B117" s="358"/>
      <c r="C117" s="260"/>
      <c r="D117" s="358" t="str">
        <f aca="false">IFERROR(__xludf.dummyfunction("""COMPUTED_VALUE"""),"Twister")</f>
        <v>Twister</v>
      </c>
      <c r="E117" s="260" t="n">
        <v>116</v>
      </c>
      <c r="F117" s="260" t="n">
        <f aca="false" t="array" ref="F117:F117">INDEX('0.0.1 Pokémon Dex Data'!$H$3:$H951,MATCH(E117,'0.0.1 Pokémon Dex Data'!$B$3:$B951,0))</f>
        <v>0</v>
      </c>
      <c r="G117" s="0" t="str">
        <f aca="false" t="array" ref="G117:G117">INDEX('0.0.1 Pokémon Dex Data'!$E$3:$E951,MATCH(E117,'0.0.1 Pokémon Dex Data'!$B$3:$B951,0))</f>
        <v>Gastly</v>
      </c>
      <c r="H117" s="0" t="str">
        <f aca="false" t="array" ref="H117:H117">INDEX('0.0.1 Pokémon Dex Data'!$Q$3:$Q951,MATCH(E117,'0.0.1 Pokémon Dex Data'!$B$3:$B951,0))</f>
        <v>Ghost</v>
      </c>
      <c r="I117" s="0" t="str">
        <f aca="false" t="array" ref="I117:I117">INDEX('0.0.1 Pokémon Dex Data'!$R$3:$R951,MATCH(E117,'0.0.1 Pokémon Dex Data'!$B$3:$B951,0))</f>
        <v>Poison</v>
      </c>
      <c r="J117" s="260" t="n">
        <f aca="false" t="array" ref="J117:J117">ROUND(INDEX('0.0.1 Pokémon Dex Data'!$S$3:$S951,MATCH($E117,'0.0.1 Pokémon Dex Data'!$B$3:$B951,0))*INDEX('0.0.1 Pokémon Dex Data'!T$3:T951,MATCH($E117,'0.0.1 Pokémon Dex Data'!$B$3:$B951,0)),0)</f>
        <v>186</v>
      </c>
      <c r="K117" s="260" t="n">
        <f aca="false" t="array" ref="K117:K117">ROUND(INDEX('0.0.1 Pokémon Dex Data'!$S$3:$S951,MATCH($E117,'0.0.1 Pokémon Dex Data'!$B$3:$B951,0))*INDEX('0.0.1 Pokémon Dex Data'!U$3:U951,MATCH($E117,'0.0.1 Pokémon Dex Data'!$B$3:$B951,0)),0)</f>
        <v>67</v>
      </c>
      <c r="L117" s="260" t="n">
        <f aca="false" t="array" ref="L117:L117">ROUND(INDEX('0.0.1 Pokémon Dex Data'!$S$3:$S951,MATCH($E117,'0.0.1 Pokémon Dex Data'!$B$3:$B951,0))*INDEX('0.0.1 Pokémon Dex Data'!V$3:V951,MATCH($E117,'0.0.1 Pokémon Dex Data'!$B$3:$B951,0)),0)</f>
        <v>102</v>
      </c>
      <c r="M117" s="260" t="n">
        <f aca="false" t="array" ref="M117:M117">INDEX('0.0.1 Pokémon Dex Data'!$J$3:$J951,MATCH(E117,'0.0.1 Pokémon Dex Data'!$B$3:$B951,0))</f>
        <v>0</v>
      </c>
      <c r="O117" s="490"/>
      <c r="Q117" s="367" t="n">
        <f aca="false">IF('Reverse Search'!$F$4="All (including temporary formes)",1,IF('Reverse Search'!$F$4="Base Pokémon and permanent formes only",IF(F117&lt;=1,1,0),IF(F117=0,1,0)))</f>
        <v>1</v>
      </c>
      <c r="R117" s="0" t="n">
        <f aca="false">IF('Reverse Search'!$C$7="Disable",1,IF('Reverse Search'!$D$9="Disable",1,IF(OR('Reverse Search'!$F$9=H117,'Reverse Search'!$F$9=I117),1,0)))</f>
        <v>1</v>
      </c>
      <c r="S117" s="0" t="n">
        <f aca="false">IF('Reverse Search'!$C$7="Disable",1,IF('Reverse Search'!$D$10="Disable",1,IF(OR('Reverse Search'!$F$10=H117,'Reverse Search'!$F$10=I117),1,0)))</f>
        <v>1</v>
      </c>
      <c r="T117" s="0" t="n">
        <f aca="false">INDEX($B$4:$B$22,MATCH(H117,$A$4:$A$22,0))</f>
        <v>0.51</v>
      </c>
      <c r="U117" s="0" t="n">
        <f aca="false">IF(ISBLANK(I117),1,INDEX($B$4:$B$22,MATCH(I117,$A$4:$A$22,0)))</f>
        <v>1</v>
      </c>
      <c r="V117" s="367" t="n">
        <f aca="false">IF('Reverse Search'!$C$7="Disable",1,IF('Reverse Search'!$D$11="Disable",1,IF('Reverse Search'!$E$11="Neutral to:",IF(ROUND(T117*U117,2)&lt;=1,1,0),IF(ROUND(T117*U117,2)&lt;1,1,0))))</f>
        <v>1</v>
      </c>
      <c r="W117" s="0" t="n">
        <f aca="false">IF('Reverse Search'!$N$7="Disable",1,IF('Reverse Search'!$I$9="Disable",1,IF('Reverse Search'!$K$9="≥",IF(J117&gt;='Reverse Search'!$L$9,1,0),IF('Reverse Search'!$K$9="≤",IF(J117&lt;='Reverse Search'!$L$9,1,0),IF(J117='Reverse Search'!$L$9,1,0)))))</f>
        <v>1</v>
      </c>
      <c r="X117" s="0" t="n">
        <f aca="false">IF('Reverse Search'!$N$7="Disable",1,IF('Reverse Search'!$I$10="Disable",1,IF('Reverse Search'!$K$10="≥",IF(K117&gt;='Reverse Search'!$L$10,1,0),IF('Reverse Search'!$K$10="≤",IF(K117&lt;='Reverse Search'!$L$10,1,0),IF(K117='Reverse Search'!$L$10,1,0)))))</f>
        <v>1</v>
      </c>
      <c r="Y117" s="367" t="n">
        <f aca="false">IF('Reverse Search'!$N$7="Disable",1,IF('Reverse Search'!$I$11="Disable",1,IF('Reverse Search'!$K$11="≥",IF(L117&gt;='Reverse Search'!$L$11,1,0),IF('Reverse Search'!$K$11="≤",IF(L117&lt;='Reverse Search'!$L$11,1,0),IF(L117='Reverse Search'!$L$11,1,0)))))</f>
        <v>1</v>
      </c>
      <c r="Z117" s="0" t="n">
        <f aca="true">IF('Reverse Search'!$C$14="Disable",1,IF('Reverse Search'!$D$16="Disable",1,IF($C$2=3,IF($M117=0,0,COUNTIF(INDIRECT("'0.0.2 Pokémon Learnset (Core)'!$D$"&amp;MATCH($E117,'0.0.2 Pokémon Learnset (Core)'!$A$1:$A951,0)&amp;":$FK$"&amp;MATCH($E117,'0.0.2 Pokémon Learnset (Core)'!$A$1:$A951,0)),'Reverse Search'!$E$21)),IF($C$2=2,COUNTIF(INDIRECT("'0.1.1 Pokémon GO Moves'!$B$"&amp;MATCH($E117,'0.1.1 Pokémon GO Moves'!$A$1:$A951,0)&amp;":$R$"&amp;MATCH($E117,'0.1.1 Pokémon GO Moves'!$A$1:$A951,0)),'Reverse Search'!$E$21),COUNTIF(INDIRECT("'0.1.1 Pokémon GO Moves'!$B$"&amp;MATCH($E117,'0.1.1 Pokémon GO Moves'!$A$1:$A951,0)&amp;":$L$"&amp;MATCH($E117,'0.1.1 Pokémon GO Moves'!$A$1:$A951,0)),'Reverse Search'!$E$21)))))</f>
        <v>1</v>
      </c>
      <c r="AA117" s="0" t="n">
        <f aca="true">IF('Reverse Search'!$C$14="Disable",1,IF('Reverse Search'!$I$16="Disable",1,IF($D$2=3,IF($M117=0,0,COUNTIF(INDIRECT("'0.0.2 Pokémon Learnset (Core)'!$D$"&amp;MATCH($E117,'0.0.2 Pokémon Learnset (Core)'!$A$1:$A951,0)&amp;":$FK$"&amp;MATCH($E117,'0.0.2 Pokémon Learnset (Core)'!$A$1:$A951,0)),'Reverse Search'!$J$21)),IF($D$2=2,COUNTIF(INDIRECT("'0.1.1 Pokémon GO Moves'!$B$"&amp;MATCH($E117,'0.1.1 Pokémon GO Moves'!$A$1:$A951,0)&amp;":$R$"&amp;MATCH($E117,'0.1.1 Pokémon GO Moves'!$A$1:$A951,0)),'Reverse Search'!$J$21),COUNTIF(INDIRECT("'0.1.1 Pokémon GO Moves'!$B$"&amp;MATCH($E117,'0.1.1 Pokémon GO Moves'!$A$1:$A951,0)&amp;":$L$"&amp;MATCH($E117,'0.1.1 Pokémon GO Moves'!$A$1:$A951,0)),'Reverse Search'!$J$21)))))</f>
        <v>0</v>
      </c>
      <c r="AB117" s="490"/>
      <c r="AC117" s="260" t="n">
        <f aca="false">IF((Q117+R117+S117+V117+W117+X117+Y117+IF(Z117&gt;=1,1,0)+IF(AA117&gt;=1,1,0))=9,G117&amp;", ",)</f>
        <v>0</v>
      </c>
    </row>
    <row r="118" customFormat="false" ht="15.75" hidden="false" customHeight="false" outlineLevel="0" collapsed="false">
      <c r="A118" s="260"/>
      <c r="B118" s="358"/>
      <c r="C118" s="260"/>
      <c r="D118" s="358" t="str">
        <f aca="false">IFERROR(__xludf.dummyfunction("""COMPUTED_VALUE"""),"Vice Grip")</f>
        <v>Vice Grip</v>
      </c>
      <c r="E118" s="260" t="n">
        <v>117</v>
      </c>
      <c r="F118" s="260" t="n">
        <f aca="false" t="array" ref="F118:F118">INDEX('0.0.1 Pokémon Dex Data'!$H$3:$H951,MATCH(E118,'0.0.1 Pokémon Dex Data'!$B$3:$B951,0))</f>
        <v>0</v>
      </c>
      <c r="G118" s="0" t="str">
        <f aca="false" t="array" ref="G118:G118">INDEX('0.0.1 Pokémon Dex Data'!$E$3:$E951,MATCH(E118,'0.0.1 Pokémon Dex Data'!$B$3:$B951,0))</f>
        <v>Haunter</v>
      </c>
      <c r="H118" s="0" t="str">
        <f aca="false" t="array" ref="H118:H118">INDEX('0.0.1 Pokémon Dex Data'!$Q$3:$Q951,MATCH(E118,'0.0.1 Pokémon Dex Data'!$B$3:$B951,0))</f>
        <v>Ghost</v>
      </c>
      <c r="I118" s="0" t="str">
        <f aca="false" t="array" ref="I118:I118">INDEX('0.0.1 Pokémon Dex Data'!$R$3:$R951,MATCH(E118,'0.0.1 Pokémon Dex Data'!$B$3:$B951,0))</f>
        <v>Poison</v>
      </c>
      <c r="J118" s="260" t="n">
        <f aca="false" t="array" ref="J118:J118">ROUND(INDEX('0.0.1 Pokémon Dex Data'!$S$3:$S951,MATCH($E118,'0.0.1 Pokémon Dex Data'!$B$3:$B951,0))*INDEX('0.0.1 Pokémon Dex Data'!T$3:T951,MATCH($E118,'0.0.1 Pokémon Dex Data'!$B$3:$B951,0)),0)</f>
        <v>223</v>
      </c>
      <c r="K118" s="260" t="n">
        <f aca="false" t="array" ref="K118:K118">ROUND(INDEX('0.0.1 Pokémon Dex Data'!$S$3:$S951,MATCH($E118,'0.0.1 Pokémon Dex Data'!$B$3:$B951,0))*INDEX('0.0.1 Pokémon Dex Data'!U$3:U951,MATCH($E118,'0.0.1 Pokémon Dex Data'!$B$3:$B951,0)),0)</f>
        <v>107</v>
      </c>
      <c r="L118" s="260" t="n">
        <f aca="false" t="array" ref="L118:L118">ROUND(INDEX('0.0.1 Pokémon Dex Data'!$S$3:$S951,MATCH($E118,'0.0.1 Pokémon Dex Data'!$B$3:$B951,0))*INDEX('0.0.1 Pokémon Dex Data'!V$3:V951,MATCH($E118,'0.0.1 Pokémon Dex Data'!$B$3:$B951,0)),0)</f>
        <v>128</v>
      </c>
      <c r="M118" s="260" t="n">
        <f aca="false" t="array" ref="M118:M118">INDEX('0.0.1 Pokémon Dex Data'!$J$3:$J951,MATCH(E118,'0.0.1 Pokémon Dex Data'!$B$3:$B951,0))</f>
        <v>0</v>
      </c>
      <c r="O118" s="490"/>
      <c r="Q118" s="367" t="n">
        <f aca="false">IF('Reverse Search'!$F$4="All (including temporary formes)",1,IF('Reverse Search'!$F$4="Base Pokémon and permanent formes only",IF(F118&lt;=1,1,0),IF(F118=0,1,0)))</f>
        <v>1</v>
      </c>
      <c r="R118" s="0" t="n">
        <f aca="false">IF('Reverse Search'!$C$7="Disable",1,IF('Reverse Search'!$D$9="Disable",1,IF(OR('Reverse Search'!$F$9=H118,'Reverse Search'!$F$9=I118),1,0)))</f>
        <v>1</v>
      </c>
      <c r="S118" s="0" t="n">
        <f aca="false">IF('Reverse Search'!$C$7="Disable",1,IF('Reverse Search'!$D$10="Disable",1,IF(OR('Reverse Search'!$F$10=H118,'Reverse Search'!$F$10=I118),1,0)))</f>
        <v>1</v>
      </c>
      <c r="T118" s="0" t="n">
        <f aca="false">INDEX($B$4:$B$22,MATCH(H118,$A$4:$A$22,0))</f>
        <v>0.51</v>
      </c>
      <c r="U118" s="0" t="n">
        <f aca="false">IF(ISBLANK(I118),1,INDEX($B$4:$B$22,MATCH(I118,$A$4:$A$22,0)))</f>
        <v>1</v>
      </c>
      <c r="V118" s="367" t="n">
        <f aca="false">IF('Reverse Search'!$C$7="Disable",1,IF('Reverse Search'!$D$11="Disable",1,IF('Reverse Search'!$E$11="Neutral to:",IF(ROUND(T118*U118,2)&lt;=1,1,0),IF(ROUND(T118*U118,2)&lt;1,1,0))))</f>
        <v>1</v>
      </c>
      <c r="W118" s="0" t="n">
        <f aca="false">IF('Reverse Search'!$N$7="Disable",1,IF('Reverse Search'!$I$9="Disable",1,IF('Reverse Search'!$K$9="≥",IF(J118&gt;='Reverse Search'!$L$9,1,0),IF('Reverse Search'!$K$9="≤",IF(J118&lt;='Reverse Search'!$L$9,1,0),IF(J118='Reverse Search'!$L$9,1,0)))))</f>
        <v>1</v>
      </c>
      <c r="X118" s="0" t="n">
        <f aca="false">IF('Reverse Search'!$N$7="Disable",1,IF('Reverse Search'!$I$10="Disable",1,IF('Reverse Search'!$K$10="≥",IF(K118&gt;='Reverse Search'!$L$10,1,0),IF('Reverse Search'!$K$10="≤",IF(K118&lt;='Reverse Search'!$L$10,1,0),IF(K118='Reverse Search'!$L$10,1,0)))))</f>
        <v>1</v>
      </c>
      <c r="Y118" s="367" t="n">
        <f aca="false">IF('Reverse Search'!$N$7="Disable",1,IF('Reverse Search'!$I$11="Disable",1,IF('Reverse Search'!$K$11="≥",IF(L118&gt;='Reverse Search'!$L$11,1,0),IF('Reverse Search'!$K$11="≤",IF(L118&lt;='Reverse Search'!$L$11,1,0),IF(L118='Reverse Search'!$L$11,1,0)))))</f>
        <v>1</v>
      </c>
      <c r="Z118" s="0" t="n">
        <f aca="true">IF('Reverse Search'!$C$14="Disable",1,IF('Reverse Search'!$D$16="Disable",1,IF($C$2=3,IF($M118=0,0,COUNTIF(INDIRECT("'0.0.2 Pokémon Learnset (Core)'!$D$"&amp;MATCH($E118,'0.0.2 Pokémon Learnset (Core)'!$A$1:$A951,0)&amp;":$FK$"&amp;MATCH($E118,'0.0.2 Pokémon Learnset (Core)'!$A$1:$A951,0)),'Reverse Search'!$E$21)),IF($C$2=2,COUNTIF(INDIRECT("'0.1.1 Pokémon GO Moves'!$B$"&amp;MATCH($E118,'0.1.1 Pokémon GO Moves'!$A$1:$A951,0)&amp;":$R$"&amp;MATCH($E118,'0.1.1 Pokémon GO Moves'!$A$1:$A951,0)),'Reverse Search'!$E$21),COUNTIF(INDIRECT("'0.1.1 Pokémon GO Moves'!$B$"&amp;MATCH($E118,'0.1.1 Pokémon GO Moves'!$A$1:$A951,0)&amp;":$L$"&amp;MATCH($E118,'0.1.1 Pokémon GO Moves'!$A$1:$A951,0)),'Reverse Search'!$E$21)))))</f>
        <v>1</v>
      </c>
      <c r="AA118" s="0" t="n">
        <f aca="true">IF('Reverse Search'!$C$14="Disable",1,IF('Reverse Search'!$I$16="Disable",1,IF($D$2=3,IF($M118=0,0,COUNTIF(INDIRECT("'0.0.2 Pokémon Learnset (Core)'!$D$"&amp;MATCH($E118,'0.0.2 Pokémon Learnset (Core)'!$A$1:$A951,0)&amp;":$FK$"&amp;MATCH($E118,'0.0.2 Pokémon Learnset (Core)'!$A$1:$A951,0)),'Reverse Search'!$J$21)),IF($D$2=2,COUNTIF(INDIRECT("'0.1.1 Pokémon GO Moves'!$B$"&amp;MATCH($E118,'0.1.1 Pokémon GO Moves'!$A$1:$A951,0)&amp;":$R$"&amp;MATCH($E118,'0.1.1 Pokémon GO Moves'!$A$1:$A951,0)),'Reverse Search'!$J$21),COUNTIF(INDIRECT("'0.1.1 Pokémon GO Moves'!$B$"&amp;MATCH($E118,'0.1.1 Pokémon GO Moves'!$A$1:$A951,0)&amp;":$L$"&amp;MATCH($E118,'0.1.1 Pokémon GO Moves'!$A$1:$A951,0)),'Reverse Search'!$J$21)))))</f>
        <v>0</v>
      </c>
      <c r="AB118" s="490"/>
      <c r="AC118" s="260" t="n">
        <f aca="false">IF((Q118+R118+S118+V118+W118+X118+Y118+IF(Z118&gt;=1,1,0)+IF(AA118&gt;=1,1,0))=9,G118&amp;", ",)</f>
        <v>0</v>
      </c>
    </row>
    <row r="119" customFormat="false" ht="15.75" hidden="false" customHeight="false" outlineLevel="0" collapsed="false">
      <c r="A119" s="260"/>
      <c r="B119" s="358"/>
      <c r="C119" s="260"/>
      <c r="D119" s="358" t="str">
        <f aca="false">IFERROR(__xludf.dummyfunction("""COMPUTED_VALUE"""),"Water Pulse")</f>
        <v>Water Pulse</v>
      </c>
      <c r="E119" s="260" t="n">
        <v>118</v>
      </c>
      <c r="F119" s="260" t="n">
        <f aca="false" t="array" ref="F119:F119">INDEX('0.0.1 Pokémon Dex Data'!$H$3:$H951,MATCH(E119,'0.0.1 Pokémon Dex Data'!$B$3:$B951,0))</f>
        <v>0</v>
      </c>
      <c r="G119" s="0" t="str">
        <f aca="false" t="array" ref="G119:G119">INDEX('0.0.1 Pokémon Dex Data'!$E$3:$E951,MATCH(E119,'0.0.1 Pokémon Dex Data'!$B$3:$B951,0))</f>
        <v>Gengar</v>
      </c>
      <c r="H119" s="0" t="str">
        <f aca="false" t="array" ref="H119:H119">INDEX('0.0.1 Pokémon Dex Data'!$Q$3:$Q951,MATCH(E119,'0.0.1 Pokémon Dex Data'!$B$3:$B951,0))</f>
        <v>Ghost</v>
      </c>
      <c r="I119" s="0" t="str">
        <f aca="false" t="array" ref="I119:I119">INDEX('0.0.1 Pokémon Dex Data'!$R$3:$R951,MATCH(E119,'0.0.1 Pokémon Dex Data'!$B$3:$B951,0))</f>
        <v>Poison</v>
      </c>
      <c r="J119" s="260" t="n">
        <f aca="false" t="array" ref="J119:J119">ROUND(INDEX('0.0.1 Pokémon Dex Data'!$S$3:$S951,MATCH($E119,'0.0.1 Pokémon Dex Data'!$B$3:$B951,0))*INDEX('0.0.1 Pokémon Dex Data'!T$3:T951,MATCH($E119,'0.0.1 Pokémon Dex Data'!$B$3:$B951,0)),0)</f>
        <v>261</v>
      </c>
      <c r="K119" s="260" t="n">
        <f aca="false" t="array" ref="K119:K119">ROUND(INDEX('0.0.1 Pokémon Dex Data'!$S$3:$S951,MATCH($E119,'0.0.1 Pokémon Dex Data'!$B$3:$B951,0))*INDEX('0.0.1 Pokémon Dex Data'!U$3:U951,MATCH($E119,'0.0.1 Pokémon Dex Data'!$B$3:$B951,0)),0)</f>
        <v>149</v>
      </c>
      <c r="L119" s="260" t="n">
        <f aca="false" t="array" ref="L119:L119">ROUND(INDEX('0.0.1 Pokémon Dex Data'!$S$3:$S951,MATCH($E119,'0.0.1 Pokémon Dex Data'!$B$3:$B951,0))*INDEX('0.0.1 Pokémon Dex Data'!V$3:V951,MATCH($E119,'0.0.1 Pokémon Dex Data'!$B$3:$B951,0)),0)</f>
        <v>155</v>
      </c>
      <c r="M119" s="260" t="n">
        <f aca="false" t="array" ref="M119:M119">INDEX('0.0.1 Pokémon Dex Data'!$J$3:$J951,MATCH(E119,'0.0.1 Pokémon Dex Data'!$B$3:$B951,0))</f>
        <v>1</v>
      </c>
      <c r="O119" s="490"/>
      <c r="Q119" s="367" t="n">
        <f aca="false">IF('Reverse Search'!$F$4="All (including temporary formes)",1,IF('Reverse Search'!$F$4="Base Pokémon and permanent formes only",IF(F119&lt;=1,1,0),IF(F119=0,1,0)))</f>
        <v>1</v>
      </c>
      <c r="R119" s="0" t="n">
        <f aca="false">IF('Reverse Search'!$C$7="Disable",1,IF('Reverse Search'!$D$9="Disable",1,IF(OR('Reverse Search'!$F$9=H119,'Reverse Search'!$F$9=I119),1,0)))</f>
        <v>1</v>
      </c>
      <c r="S119" s="0" t="n">
        <f aca="false">IF('Reverse Search'!$C$7="Disable",1,IF('Reverse Search'!$D$10="Disable",1,IF(OR('Reverse Search'!$F$10=H119,'Reverse Search'!$F$10=I119),1,0)))</f>
        <v>1</v>
      </c>
      <c r="T119" s="0" t="n">
        <f aca="false">INDEX($B$4:$B$22,MATCH(H119,$A$4:$A$22,0))</f>
        <v>0.51</v>
      </c>
      <c r="U119" s="0" t="n">
        <f aca="false">IF(ISBLANK(I119),1,INDEX($B$4:$B$22,MATCH(I119,$A$4:$A$22,0)))</f>
        <v>1</v>
      </c>
      <c r="V119" s="367" t="n">
        <f aca="false">IF('Reverse Search'!$C$7="Disable",1,IF('Reverse Search'!$D$11="Disable",1,IF('Reverse Search'!$E$11="Neutral to:",IF(ROUND(T119*U119,2)&lt;=1,1,0),IF(ROUND(T119*U119,2)&lt;1,1,0))))</f>
        <v>1</v>
      </c>
      <c r="W119" s="0" t="n">
        <f aca="false">IF('Reverse Search'!$N$7="Disable",1,IF('Reverse Search'!$I$9="Disable",1,IF('Reverse Search'!$K$9="≥",IF(J119&gt;='Reverse Search'!$L$9,1,0),IF('Reverse Search'!$K$9="≤",IF(J119&lt;='Reverse Search'!$L$9,1,0),IF(J119='Reverse Search'!$L$9,1,0)))))</f>
        <v>1</v>
      </c>
      <c r="X119" s="0" t="n">
        <f aca="false">IF('Reverse Search'!$N$7="Disable",1,IF('Reverse Search'!$I$10="Disable",1,IF('Reverse Search'!$K$10="≥",IF(K119&gt;='Reverse Search'!$L$10,1,0),IF('Reverse Search'!$K$10="≤",IF(K119&lt;='Reverse Search'!$L$10,1,0),IF(K119='Reverse Search'!$L$10,1,0)))))</f>
        <v>1</v>
      </c>
      <c r="Y119" s="367" t="n">
        <f aca="false">IF('Reverse Search'!$N$7="Disable",1,IF('Reverse Search'!$I$11="Disable",1,IF('Reverse Search'!$K$11="≥",IF(L119&gt;='Reverse Search'!$L$11,1,0),IF('Reverse Search'!$K$11="≤",IF(L119&lt;='Reverse Search'!$L$11,1,0),IF(L119='Reverse Search'!$L$11,1,0)))))</f>
        <v>1</v>
      </c>
      <c r="Z119" s="0" t="n">
        <f aca="true">IF('Reverse Search'!$C$14="Disable",1,IF('Reverse Search'!$D$16="Disable",1,IF($C$2=3,IF($M119=0,0,COUNTIF(INDIRECT("'0.0.2 Pokémon Learnset (Core)'!$D$"&amp;MATCH($E119,'0.0.2 Pokémon Learnset (Core)'!$A$1:$A951,0)&amp;":$FK$"&amp;MATCH($E119,'0.0.2 Pokémon Learnset (Core)'!$A$1:$A951,0)),'Reverse Search'!$E$21)),IF($C$2=2,COUNTIF(INDIRECT("'0.1.1 Pokémon GO Moves'!$B$"&amp;MATCH($E119,'0.1.1 Pokémon GO Moves'!$A$1:$A951,0)&amp;":$R$"&amp;MATCH($E119,'0.1.1 Pokémon GO Moves'!$A$1:$A951,0)),'Reverse Search'!$E$21),COUNTIF(INDIRECT("'0.1.1 Pokémon GO Moves'!$B$"&amp;MATCH($E119,'0.1.1 Pokémon GO Moves'!$A$1:$A951,0)&amp;":$L$"&amp;MATCH($E119,'0.1.1 Pokémon GO Moves'!$A$1:$A951,0)),'Reverse Search'!$E$21)))))</f>
        <v>1</v>
      </c>
      <c r="AA119" s="0" t="n">
        <f aca="true">IF('Reverse Search'!$C$14="Disable",1,IF('Reverse Search'!$I$16="Disable",1,IF($D$2=3,IF($M119=0,0,COUNTIF(INDIRECT("'0.0.2 Pokémon Learnset (Core)'!$D$"&amp;MATCH($E119,'0.0.2 Pokémon Learnset (Core)'!$A$1:$A951,0)&amp;":$FK$"&amp;MATCH($E119,'0.0.2 Pokémon Learnset (Core)'!$A$1:$A951,0)),'Reverse Search'!$J$21)),IF($D$2=2,COUNTIF(INDIRECT("'0.1.1 Pokémon GO Moves'!$B$"&amp;MATCH($E119,'0.1.1 Pokémon GO Moves'!$A$1:$A951,0)&amp;":$R$"&amp;MATCH($E119,'0.1.1 Pokémon GO Moves'!$A$1:$A951,0)),'Reverse Search'!$J$21),COUNTIF(INDIRECT("'0.1.1 Pokémon GO Moves'!$B$"&amp;MATCH($E119,'0.1.1 Pokémon GO Moves'!$A$1:$A951,0)&amp;":$L$"&amp;MATCH($E119,'0.1.1 Pokémon GO Moves'!$A$1:$A951,0)),'Reverse Search'!$J$21)))))</f>
        <v>0</v>
      </c>
      <c r="AB119" s="490"/>
      <c r="AC119" s="260" t="n">
        <f aca="false">IF((Q119+R119+S119+V119+W119+X119+Y119+IF(Z119&gt;=1,1,0)+IF(AA119&gt;=1,1,0))=9,G119&amp;", ",)</f>
        <v>0</v>
      </c>
    </row>
    <row r="120" customFormat="false" ht="15.75" hidden="false" customHeight="false" outlineLevel="0" collapsed="false">
      <c r="A120" s="260"/>
      <c r="B120" s="358"/>
      <c r="C120" s="260"/>
      <c r="D120" s="358" t="str">
        <f aca="false">IFERROR(__xludf.dummyfunction("""COMPUTED_VALUE"""),"Wild Charge")</f>
        <v>Wild Charge</v>
      </c>
      <c r="E120" s="260" t="n">
        <v>119</v>
      </c>
      <c r="F120" s="260" t="n">
        <f aca="false" t="array" ref="F120:F120">INDEX('0.0.1 Pokémon Dex Data'!$H$3:$H951,MATCH(E120,'0.0.1 Pokémon Dex Data'!$B$3:$B951,0))</f>
        <v>2</v>
      </c>
      <c r="G120" s="0" t="str">
        <f aca="false" t="array" ref="G120:G120">INDEX('0.0.1 Pokémon Dex Data'!$E$3:$E951,MATCH(E120,'0.0.1 Pokémon Dex Data'!$B$3:$B951,0))</f>
        <v>Gengar-Mega</v>
      </c>
      <c r="H120" s="0" t="str">
        <f aca="false" t="array" ref="H120:H120">INDEX('0.0.1 Pokémon Dex Data'!$Q$3:$Q951,MATCH(E120,'0.0.1 Pokémon Dex Data'!$B$3:$B951,0))</f>
        <v>Ghost</v>
      </c>
      <c r="I120" s="0" t="str">
        <f aca="false" t="array" ref="I120:I120">INDEX('0.0.1 Pokémon Dex Data'!$R$3:$R951,MATCH(E120,'0.0.1 Pokémon Dex Data'!$B$3:$B951,0))</f>
        <v>Poison</v>
      </c>
      <c r="J120" s="260" t="n">
        <f aca="false" t="array" ref="J120:J120">ROUND(INDEX('0.0.1 Pokémon Dex Data'!$S$3:$S951,MATCH($E120,'0.0.1 Pokémon Dex Data'!$B$3:$B951,0))*INDEX('0.0.1 Pokémon Dex Data'!T$3:T951,MATCH($E120,'0.0.1 Pokémon Dex Data'!$B$3:$B951,0)),0)</f>
        <v>349</v>
      </c>
      <c r="K120" s="260" t="n">
        <f aca="false" t="array" ref="K120:K120">ROUND(INDEX('0.0.1 Pokémon Dex Data'!$S$3:$S951,MATCH($E120,'0.0.1 Pokémon Dex Data'!$B$3:$B951,0))*INDEX('0.0.1 Pokémon Dex Data'!U$3:U951,MATCH($E120,'0.0.1 Pokémon Dex Data'!$B$3:$B951,0)),0)</f>
        <v>199</v>
      </c>
      <c r="L120" s="260" t="n">
        <f aca="false" t="array" ref="L120:L120">ROUND(INDEX('0.0.1 Pokémon Dex Data'!$S$3:$S951,MATCH($E120,'0.0.1 Pokémon Dex Data'!$B$3:$B951,0))*INDEX('0.0.1 Pokémon Dex Data'!V$3:V951,MATCH($E120,'0.0.1 Pokémon Dex Data'!$B$3:$B951,0)),0)</f>
        <v>155</v>
      </c>
      <c r="M120" s="260" t="n">
        <f aca="false" t="array" ref="M120:M120">INDEX('0.0.1 Pokémon Dex Data'!$J$3:$J951,MATCH(E120,'0.0.1 Pokémon Dex Data'!$B$3:$B951,0))</f>
        <v>1</v>
      </c>
      <c r="O120" s="490"/>
      <c r="Q120" s="367" t="n">
        <f aca="false">IF('Reverse Search'!$F$4="All (including temporary formes)",1,IF('Reverse Search'!$F$4="Base Pokémon and permanent formes only",IF(F120&lt;=1,1,0),IF(F120=0,1,0)))</f>
        <v>0</v>
      </c>
      <c r="R120" s="0" t="n">
        <f aca="false">IF('Reverse Search'!$C$7="Disable",1,IF('Reverse Search'!$D$9="Disable",1,IF(OR('Reverse Search'!$F$9=H120,'Reverse Search'!$F$9=I120),1,0)))</f>
        <v>1</v>
      </c>
      <c r="S120" s="0" t="n">
        <f aca="false">IF('Reverse Search'!$C$7="Disable",1,IF('Reverse Search'!$D$10="Disable",1,IF(OR('Reverse Search'!$F$10=H120,'Reverse Search'!$F$10=I120),1,0)))</f>
        <v>1</v>
      </c>
      <c r="T120" s="0" t="n">
        <f aca="false">INDEX($B$4:$B$22,MATCH(H120,$A$4:$A$22,0))</f>
        <v>0.51</v>
      </c>
      <c r="U120" s="0" t="n">
        <f aca="false">IF(ISBLANK(I120),1,INDEX($B$4:$B$22,MATCH(I120,$A$4:$A$22,0)))</f>
        <v>1</v>
      </c>
      <c r="V120" s="367" t="n">
        <f aca="false">IF('Reverse Search'!$C$7="Disable",1,IF('Reverse Search'!$D$11="Disable",1,IF('Reverse Search'!$E$11="Neutral to:",IF(ROUND(T120*U120,2)&lt;=1,1,0),IF(ROUND(T120*U120,2)&lt;1,1,0))))</f>
        <v>1</v>
      </c>
      <c r="W120" s="0" t="n">
        <f aca="false">IF('Reverse Search'!$N$7="Disable",1,IF('Reverse Search'!$I$9="Disable",1,IF('Reverse Search'!$K$9="≥",IF(J120&gt;='Reverse Search'!$L$9,1,0),IF('Reverse Search'!$K$9="≤",IF(J120&lt;='Reverse Search'!$L$9,1,0),IF(J120='Reverse Search'!$L$9,1,0)))))</f>
        <v>1</v>
      </c>
      <c r="X120" s="0" t="n">
        <f aca="false">IF('Reverse Search'!$N$7="Disable",1,IF('Reverse Search'!$I$10="Disable",1,IF('Reverse Search'!$K$10="≥",IF(K120&gt;='Reverse Search'!$L$10,1,0),IF('Reverse Search'!$K$10="≤",IF(K120&lt;='Reverse Search'!$L$10,1,0),IF(K120='Reverse Search'!$L$10,1,0)))))</f>
        <v>1</v>
      </c>
      <c r="Y120" s="367" t="n">
        <f aca="false">IF('Reverse Search'!$N$7="Disable",1,IF('Reverse Search'!$I$11="Disable",1,IF('Reverse Search'!$K$11="≥",IF(L120&gt;='Reverse Search'!$L$11,1,0),IF('Reverse Search'!$K$11="≤",IF(L120&lt;='Reverse Search'!$L$11,1,0),IF(L120='Reverse Search'!$L$11,1,0)))))</f>
        <v>1</v>
      </c>
      <c r="Z120" s="0" t="n">
        <f aca="true">IF('Reverse Search'!$C$14="Disable",1,IF('Reverse Search'!$D$16="Disable",1,IF($C$2=3,IF($M120=0,0,COUNTIF(INDIRECT("'0.0.2 Pokémon Learnset (Core)'!$D$"&amp;MATCH($E120,'0.0.2 Pokémon Learnset (Core)'!$A$1:$A951,0)&amp;":$FK$"&amp;MATCH($E120,'0.0.2 Pokémon Learnset (Core)'!$A$1:$A951,0)),'Reverse Search'!$E$21)),IF($C$2=2,COUNTIF(INDIRECT("'0.1.1 Pokémon GO Moves'!$B$"&amp;MATCH($E120,'0.1.1 Pokémon GO Moves'!$A$1:$A951,0)&amp;":$R$"&amp;MATCH($E120,'0.1.1 Pokémon GO Moves'!$A$1:$A951,0)),'Reverse Search'!$E$21),COUNTIF(INDIRECT("'0.1.1 Pokémon GO Moves'!$B$"&amp;MATCH($E120,'0.1.1 Pokémon GO Moves'!$A$1:$A951,0)&amp;":$L$"&amp;MATCH($E120,'0.1.1 Pokémon GO Moves'!$A$1:$A951,0)),'Reverse Search'!$E$21)))))</f>
        <v>1</v>
      </c>
      <c r="AA120" s="0" t="e">
        <f aca="true">IF('Reverse Search'!$C$14="Disable",1,IF('Reverse Search'!$I$16="Disable",1,IF($D$2=3,IF($M120=0,0,COUNTIF(INDIRECT("'0.0.2 Pokémon Learnset (Core)'!$D$"&amp;MATCH($E120,'0.0.2 Pokémon Learnset (Core)'!$A$1:$A951,0)&amp;":$FK$"&amp;MATCH($E120,'0.0.2 Pokémon Learnset (Core)'!$A$1:$A951,0)),'Reverse Search'!$J$21)),IF($D$2=2,COUNTIF(INDIRECT("'0.1.1 Pokémon GO Moves'!$B$"&amp;MATCH($E120,'0.1.1 Pokémon GO Moves'!$A$1:$A951,0)&amp;":$R$"&amp;MATCH($E120,'0.1.1 Pokémon GO Moves'!$A$1:$A951,0)),'Reverse Search'!$J$21),COUNTIF(INDIRECT("'0.1.1 Pokémon GO Moves'!$B$"&amp;MATCH($E120,'0.1.1 Pokémon GO Moves'!$A$1:$A951,0)&amp;":$L$"&amp;MATCH($E120,'0.1.1 Pokémon GO Moves'!$A$1:$A951,0)),'Reverse Search'!$J$21)))))</f>
        <v>#N/A</v>
      </c>
      <c r="AB120" s="490"/>
      <c r="AC120" s="260" t="e">
        <f aca="false">IF((Q120+R120+S120+V120+W120+X120+Y120+IF(Z120&gt;=1,1,0)+IF(AA120&gt;=1,1,0))=9,G120&amp;", ",)</f>
        <v>#N/A</v>
      </c>
    </row>
    <row r="121" customFormat="false" ht="15.75" hidden="false" customHeight="false" outlineLevel="0" collapsed="false">
      <c r="A121" s="260"/>
      <c r="B121" s="358"/>
      <c r="C121" s="260"/>
      <c r="D121" s="358" t="str">
        <f aca="false">IFERROR(__xludf.dummyfunction("""COMPUTED_VALUE"""),"Wrap")</f>
        <v>Wrap</v>
      </c>
      <c r="E121" s="260" t="n">
        <v>120</v>
      </c>
      <c r="F121" s="260" t="n">
        <f aca="false" t="array" ref="F121:F121">INDEX('0.0.1 Pokémon Dex Data'!$H$3:$H951,MATCH(E121,'0.0.1 Pokémon Dex Data'!$B$3:$B951,0))</f>
        <v>0</v>
      </c>
      <c r="G121" s="0" t="str">
        <f aca="false" t="array" ref="G121:G121">INDEX('0.0.1 Pokémon Dex Data'!$E$3:$E951,MATCH(E121,'0.0.1 Pokémon Dex Data'!$B$3:$B951,0))</f>
        <v>Onix</v>
      </c>
      <c r="H121" s="0" t="str">
        <f aca="false" t="array" ref="H121:H121">INDEX('0.0.1 Pokémon Dex Data'!$Q$3:$Q951,MATCH(E121,'0.0.1 Pokémon Dex Data'!$B$3:$B951,0))</f>
        <v>Rock</v>
      </c>
      <c r="I121" s="0" t="str">
        <f aca="false" t="array" ref="I121:I121">INDEX('0.0.1 Pokémon Dex Data'!$R$3:$R951,MATCH(E121,'0.0.1 Pokémon Dex Data'!$B$3:$B951,0))</f>
        <v>Ground</v>
      </c>
      <c r="J121" s="260" t="n">
        <f aca="false" t="array" ref="J121:J121">ROUND(INDEX('0.0.1 Pokémon Dex Data'!$S$3:$S951,MATCH($E121,'0.0.1 Pokémon Dex Data'!$B$3:$B951,0))*INDEX('0.0.1 Pokémon Dex Data'!T$3:T951,MATCH($E121,'0.0.1 Pokémon Dex Data'!$B$3:$B951,0)),0)</f>
        <v>85</v>
      </c>
      <c r="K121" s="260" t="n">
        <f aca="false" t="array" ref="K121:K121">ROUND(INDEX('0.0.1 Pokémon Dex Data'!$S$3:$S951,MATCH($E121,'0.0.1 Pokémon Dex Data'!$B$3:$B951,0))*INDEX('0.0.1 Pokémon Dex Data'!U$3:U951,MATCH($E121,'0.0.1 Pokémon Dex Data'!$B$3:$B951,0)),0)</f>
        <v>232</v>
      </c>
      <c r="L121" s="260" t="n">
        <f aca="false" t="array" ref="L121:L121">ROUND(INDEX('0.0.1 Pokémon Dex Data'!$S$3:$S951,MATCH($E121,'0.0.1 Pokémon Dex Data'!$B$3:$B951,0))*INDEX('0.0.1 Pokémon Dex Data'!V$3:V951,MATCH($E121,'0.0.1 Pokémon Dex Data'!$B$3:$B951,0)),0)</f>
        <v>111</v>
      </c>
      <c r="M121" s="260" t="n">
        <f aca="false" t="array" ref="M121:M121">INDEX('0.0.1 Pokémon Dex Data'!$J$3:$J951,MATCH(E121,'0.0.1 Pokémon Dex Data'!$B$3:$B951,0))</f>
        <v>1</v>
      </c>
      <c r="O121" s="490"/>
      <c r="Q121" s="367" t="n">
        <f aca="false">IF('Reverse Search'!$F$4="All (including temporary formes)",1,IF('Reverse Search'!$F$4="Base Pokémon and permanent formes only",IF(F121&lt;=1,1,0),IF(F121=0,1,0)))</f>
        <v>1</v>
      </c>
      <c r="R121" s="0" t="n">
        <f aca="false">IF('Reverse Search'!$C$7="Disable",1,IF('Reverse Search'!$D$9="Disable",1,IF(OR('Reverse Search'!$F$9=H121,'Reverse Search'!$F$9=I121),1,0)))</f>
        <v>1</v>
      </c>
      <c r="S121" s="0" t="n">
        <f aca="false">IF('Reverse Search'!$C$7="Disable",1,IF('Reverse Search'!$D$10="Disable",1,IF(OR('Reverse Search'!$F$10=H121,'Reverse Search'!$F$10=I121),1,0)))</f>
        <v>1</v>
      </c>
      <c r="T121" s="0" t="n">
        <f aca="false">INDEX($B$4:$B$22,MATCH(H121,$A$4:$A$22,0))</f>
        <v>0.714</v>
      </c>
      <c r="U121" s="0" t="n">
        <f aca="false">IF(ISBLANK(I121),1,INDEX($B$4:$B$22,MATCH(I121,$A$4:$A$22,0)))</f>
        <v>1</v>
      </c>
      <c r="V121" s="367" t="n">
        <f aca="false">IF('Reverse Search'!$C$7="Disable",1,IF('Reverse Search'!$D$11="Disable",1,IF('Reverse Search'!$E$11="Neutral to:",IF(ROUND(T121*U121,2)&lt;=1,1,0),IF(ROUND(T121*U121,2)&lt;1,1,0))))</f>
        <v>1</v>
      </c>
      <c r="W121" s="0" t="n">
        <f aca="false">IF('Reverse Search'!$N$7="Disable",1,IF('Reverse Search'!$I$9="Disable",1,IF('Reverse Search'!$K$9="≥",IF(J121&gt;='Reverse Search'!$L$9,1,0),IF('Reverse Search'!$K$9="≤",IF(J121&lt;='Reverse Search'!$L$9,1,0),IF(J121='Reverse Search'!$L$9,1,0)))))</f>
        <v>1</v>
      </c>
      <c r="X121" s="0" t="n">
        <f aca="false">IF('Reverse Search'!$N$7="Disable",1,IF('Reverse Search'!$I$10="Disable",1,IF('Reverse Search'!$K$10="≥",IF(K121&gt;='Reverse Search'!$L$10,1,0),IF('Reverse Search'!$K$10="≤",IF(K121&lt;='Reverse Search'!$L$10,1,0),IF(K121='Reverse Search'!$L$10,1,0)))))</f>
        <v>1</v>
      </c>
      <c r="Y121" s="367" t="n">
        <f aca="false">IF('Reverse Search'!$N$7="Disable",1,IF('Reverse Search'!$I$11="Disable",1,IF('Reverse Search'!$K$11="≥",IF(L121&gt;='Reverse Search'!$L$11,1,0),IF('Reverse Search'!$K$11="≤",IF(L121&lt;='Reverse Search'!$L$11,1,0),IF(L121='Reverse Search'!$L$11,1,0)))))</f>
        <v>1</v>
      </c>
      <c r="Z121" s="0" t="n">
        <f aca="true">IF('Reverse Search'!$C$14="Disable",1,IF('Reverse Search'!$D$16="Disable",1,IF($C$2=3,IF($M121=0,0,COUNTIF(INDIRECT("'0.0.2 Pokémon Learnset (Core)'!$D$"&amp;MATCH($E121,'0.0.2 Pokémon Learnset (Core)'!$A$1:$A951,0)&amp;":$FK$"&amp;MATCH($E121,'0.0.2 Pokémon Learnset (Core)'!$A$1:$A951,0)),'Reverse Search'!$E$21)),IF($C$2=2,COUNTIF(INDIRECT("'0.1.1 Pokémon GO Moves'!$B$"&amp;MATCH($E121,'0.1.1 Pokémon GO Moves'!$A$1:$A951,0)&amp;":$R$"&amp;MATCH($E121,'0.1.1 Pokémon GO Moves'!$A$1:$A951,0)),'Reverse Search'!$E$21),COUNTIF(INDIRECT("'0.1.1 Pokémon GO Moves'!$B$"&amp;MATCH($E121,'0.1.1 Pokémon GO Moves'!$A$1:$A951,0)&amp;":$L$"&amp;MATCH($E121,'0.1.1 Pokémon GO Moves'!$A$1:$A951,0)),'Reverse Search'!$E$21)))))</f>
        <v>1</v>
      </c>
      <c r="AA121" s="0" t="n">
        <f aca="true">IF('Reverse Search'!$C$14="Disable",1,IF('Reverse Search'!$I$16="Disable",1,IF($D$2=3,IF($M121=0,0,COUNTIF(INDIRECT("'0.0.2 Pokémon Learnset (Core)'!$D$"&amp;MATCH($E121,'0.0.2 Pokémon Learnset (Core)'!$A$1:$A951,0)&amp;":$FK$"&amp;MATCH($E121,'0.0.2 Pokémon Learnset (Core)'!$A$1:$A951,0)),'Reverse Search'!$J$21)),IF($D$2=2,COUNTIF(INDIRECT("'0.1.1 Pokémon GO Moves'!$B$"&amp;MATCH($E121,'0.1.1 Pokémon GO Moves'!$A$1:$A951,0)&amp;":$R$"&amp;MATCH($E121,'0.1.1 Pokémon GO Moves'!$A$1:$A951,0)),'Reverse Search'!$J$21),COUNTIF(INDIRECT("'0.1.1 Pokémon GO Moves'!$B$"&amp;MATCH($E121,'0.1.1 Pokémon GO Moves'!$A$1:$A951,0)&amp;":$L$"&amp;MATCH($E121,'0.1.1 Pokémon GO Moves'!$A$1:$A951,0)),'Reverse Search'!$J$21)))))</f>
        <v>0</v>
      </c>
      <c r="AB121" s="490"/>
      <c r="AC121" s="260" t="n">
        <f aca="false">IF((Q121+R121+S121+V121+W121+X121+Y121+IF(Z121&gt;=1,1,0)+IF(AA121&gt;=1,1,0))=9,G121&amp;", ",)</f>
        <v>0</v>
      </c>
    </row>
    <row r="122" customFormat="false" ht="15.75" hidden="false" customHeight="false" outlineLevel="0" collapsed="false">
      <c r="A122" s="260"/>
      <c r="B122" s="358"/>
      <c r="C122" s="260"/>
      <c r="D122" s="358" t="str">
        <f aca="false">IFERROR(__xludf.dummyfunction("""COMPUTED_VALUE"""),"X-Scissor")</f>
        <v>X-Scissor</v>
      </c>
      <c r="E122" s="260" t="n">
        <v>121</v>
      </c>
      <c r="F122" s="260" t="n">
        <f aca="false" t="array" ref="F122:F122">INDEX('0.0.1 Pokémon Dex Data'!$H$3:$H951,MATCH(E122,'0.0.1 Pokémon Dex Data'!$B$3:$B951,0))</f>
        <v>0</v>
      </c>
      <c r="G122" s="0" t="str">
        <f aca="false" t="array" ref="G122:G122">INDEX('0.0.1 Pokémon Dex Data'!$E$3:$E951,MATCH(E122,'0.0.1 Pokémon Dex Data'!$B$3:$B951,0))</f>
        <v>Drowzee</v>
      </c>
      <c r="H122" s="0" t="str">
        <f aca="false" t="array" ref="H122:H122">INDEX('0.0.1 Pokémon Dex Data'!$Q$3:$Q951,MATCH(E122,'0.0.1 Pokémon Dex Data'!$B$3:$B951,0))</f>
        <v>Psychic</v>
      </c>
      <c r="I122" s="0" t="n">
        <f aca="false">INDEX('0.0.1 Pokémon Dex Data'!$R$3:$R951,MATCH(E122,'0.0.1 Pokémon Dex Data'!$B$3:$B951,0))</f>
        <v>0</v>
      </c>
      <c r="J122" s="260" t="n">
        <f aca="false" t="array" ref="J122:J122">ROUND(INDEX('0.0.1 Pokémon Dex Data'!$S$3:$S951,MATCH($E122,'0.0.1 Pokémon Dex Data'!$B$3:$B951,0))*INDEX('0.0.1 Pokémon Dex Data'!T$3:T951,MATCH($E122,'0.0.1 Pokémon Dex Data'!$B$3:$B951,0)),0)</f>
        <v>89</v>
      </c>
      <c r="K122" s="260" t="n">
        <f aca="false" t="array" ref="K122:K122">ROUND(INDEX('0.0.1 Pokémon Dex Data'!$S$3:$S951,MATCH($E122,'0.0.1 Pokémon Dex Data'!$B$3:$B951,0))*INDEX('0.0.1 Pokémon Dex Data'!U$3:U951,MATCH($E122,'0.0.1 Pokémon Dex Data'!$B$3:$B951,0)),0)</f>
        <v>136</v>
      </c>
      <c r="L122" s="260" t="n">
        <f aca="false" t="array" ref="L122:L122">ROUND(INDEX('0.0.1 Pokémon Dex Data'!$S$3:$S951,MATCH($E122,'0.0.1 Pokémon Dex Data'!$B$3:$B951,0))*INDEX('0.0.1 Pokémon Dex Data'!V$3:V951,MATCH($E122,'0.0.1 Pokémon Dex Data'!$B$3:$B951,0)),0)</f>
        <v>155</v>
      </c>
      <c r="M122" s="260" t="n">
        <f aca="false" t="array" ref="M122:M122">INDEX('0.0.1 Pokémon Dex Data'!$J$3:$J951,MATCH(E122,'0.0.1 Pokémon Dex Data'!$B$3:$B951,0))</f>
        <v>0</v>
      </c>
      <c r="O122" s="490"/>
      <c r="Q122" s="367" t="n">
        <f aca="false">IF('Reverse Search'!$F$4="All (including temporary formes)",1,IF('Reverse Search'!$F$4="Base Pokémon and permanent formes only",IF(F122&lt;=1,1,0),IF(F122=0,1,0)))</f>
        <v>1</v>
      </c>
      <c r="R122" s="0" t="n">
        <f aca="false">IF('Reverse Search'!$C$7="Disable",1,IF('Reverse Search'!$D$9="Disable",1,IF(OR('Reverse Search'!$F$9=H122,'Reverse Search'!$F$9=I122),1,0)))</f>
        <v>1</v>
      </c>
      <c r="S122" s="0" t="n">
        <f aca="false">IF('Reverse Search'!$C$7="Disable",1,IF('Reverse Search'!$D$10="Disable",1,IF(OR('Reverse Search'!$F$10=H122,'Reverse Search'!$F$10=I122),1,0)))</f>
        <v>1</v>
      </c>
      <c r="T122" s="0" t="n">
        <f aca="false">INDEX($B$4:$B$22,MATCH(H122,$A$4:$A$22,0))</f>
        <v>1</v>
      </c>
      <c r="U122" s="0" t="e">
        <f aca="false">IF(ISBLANK(I122),1,INDEX($B$4:$B$22,MATCH(I122,$A$4:$A$22,0)))</f>
        <v>#N/A</v>
      </c>
      <c r="V122" s="367" t="n">
        <f aca="false">IF('Reverse Search'!$C$7="Disable",1,IF('Reverse Search'!$D$11="Disable",1,IF('Reverse Search'!$E$11="Neutral to:",IF(ROUND(T122*U122,2)&lt;=1,1,0),IF(ROUND(T122*U122,2)&lt;1,1,0))))</f>
        <v>1</v>
      </c>
      <c r="W122" s="0" t="n">
        <f aca="false">IF('Reverse Search'!$N$7="Disable",1,IF('Reverse Search'!$I$9="Disable",1,IF('Reverse Search'!$K$9="≥",IF(J122&gt;='Reverse Search'!$L$9,1,0),IF('Reverse Search'!$K$9="≤",IF(J122&lt;='Reverse Search'!$L$9,1,0),IF(J122='Reverse Search'!$L$9,1,0)))))</f>
        <v>1</v>
      </c>
      <c r="X122" s="0" t="n">
        <f aca="false">IF('Reverse Search'!$N$7="Disable",1,IF('Reverse Search'!$I$10="Disable",1,IF('Reverse Search'!$K$10="≥",IF(K122&gt;='Reverse Search'!$L$10,1,0),IF('Reverse Search'!$K$10="≤",IF(K122&lt;='Reverse Search'!$L$10,1,0),IF(K122='Reverse Search'!$L$10,1,0)))))</f>
        <v>1</v>
      </c>
      <c r="Y122" s="367" t="n">
        <f aca="false">IF('Reverse Search'!$N$7="Disable",1,IF('Reverse Search'!$I$11="Disable",1,IF('Reverse Search'!$K$11="≥",IF(L122&gt;='Reverse Search'!$L$11,1,0),IF('Reverse Search'!$K$11="≤",IF(L122&lt;='Reverse Search'!$L$11,1,0),IF(L122='Reverse Search'!$L$11,1,0)))))</f>
        <v>1</v>
      </c>
      <c r="Z122" s="0" t="n">
        <f aca="true">IF('Reverse Search'!$C$14="Disable",1,IF('Reverse Search'!$D$16="Disable",1,IF($C$2=3,IF($M122=0,0,COUNTIF(INDIRECT("'0.0.2 Pokémon Learnset (Core)'!$D$"&amp;MATCH($E122,'0.0.2 Pokémon Learnset (Core)'!$A$1:$A951,0)&amp;":$FK$"&amp;MATCH($E122,'0.0.2 Pokémon Learnset (Core)'!$A$1:$A951,0)),'Reverse Search'!$E$21)),IF($C$2=2,COUNTIF(INDIRECT("'0.1.1 Pokémon GO Moves'!$B$"&amp;MATCH($E122,'0.1.1 Pokémon GO Moves'!$A$1:$A951,0)&amp;":$R$"&amp;MATCH($E122,'0.1.1 Pokémon GO Moves'!$A$1:$A951,0)),'Reverse Search'!$E$21),COUNTIF(INDIRECT("'0.1.1 Pokémon GO Moves'!$B$"&amp;MATCH($E122,'0.1.1 Pokémon GO Moves'!$A$1:$A951,0)&amp;":$L$"&amp;MATCH($E122,'0.1.1 Pokémon GO Moves'!$A$1:$A951,0)),'Reverse Search'!$E$21)))))</f>
        <v>1</v>
      </c>
      <c r="AA122" s="0" t="n">
        <f aca="true">IF('Reverse Search'!$C$14="Disable",1,IF('Reverse Search'!$I$16="Disable",1,IF($D$2=3,IF($M122=0,0,COUNTIF(INDIRECT("'0.0.2 Pokémon Learnset (Core)'!$D$"&amp;MATCH($E122,'0.0.2 Pokémon Learnset (Core)'!$A$1:$A951,0)&amp;":$FK$"&amp;MATCH($E122,'0.0.2 Pokémon Learnset (Core)'!$A$1:$A951,0)),'Reverse Search'!$J$21)),IF($D$2=2,COUNTIF(INDIRECT("'0.1.1 Pokémon GO Moves'!$B$"&amp;MATCH($E122,'0.1.1 Pokémon GO Moves'!$A$1:$A951,0)&amp;":$R$"&amp;MATCH($E122,'0.1.1 Pokémon GO Moves'!$A$1:$A951,0)),'Reverse Search'!$J$21),COUNTIF(INDIRECT("'0.1.1 Pokémon GO Moves'!$B$"&amp;MATCH($E122,'0.1.1 Pokémon GO Moves'!$A$1:$A951,0)&amp;":$L$"&amp;MATCH($E122,'0.1.1 Pokémon GO Moves'!$A$1:$A951,0)),'Reverse Search'!$J$21)))))</f>
        <v>0</v>
      </c>
      <c r="AB122" s="490"/>
      <c r="AC122" s="260" t="n">
        <f aca="false">IF((Q122+R122+S122+V122+W122+X122+Y122+IF(Z122&gt;=1,1,0)+IF(AA122&gt;=1,1,0))=9,G122&amp;", ",)</f>
        <v>0</v>
      </c>
    </row>
    <row r="123" customFormat="false" ht="15.75" hidden="false" customHeight="false" outlineLevel="0" collapsed="false">
      <c r="A123" s="260"/>
      <c r="B123" s="358"/>
      <c r="C123" s="260"/>
      <c r="D123" s="358" t="str">
        <f aca="false">IFERROR(__xludf.dummyfunction("""COMPUTED_VALUE"""),"Zap Cannon")</f>
        <v>Zap Cannon</v>
      </c>
      <c r="E123" s="260" t="n">
        <v>122</v>
      </c>
      <c r="F123" s="260" t="n">
        <f aca="false" t="array" ref="F123:F123">INDEX('0.0.1 Pokémon Dex Data'!$H$3:$H951,MATCH(E123,'0.0.1 Pokémon Dex Data'!$B$3:$B951,0))</f>
        <v>0</v>
      </c>
      <c r="G123" s="0" t="str">
        <f aca="false" t="array" ref="G123:G123">INDEX('0.0.1 Pokémon Dex Data'!$E$3:$E951,MATCH(E123,'0.0.1 Pokémon Dex Data'!$B$3:$B951,0))</f>
        <v>Hypno</v>
      </c>
      <c r="H123" s="0" t="str">
        <f aca="false" t="array" ref="H123:H123">INDEX('0.0.1 Pokémon Dex Data'!$Q$3:$Q951,MATCH(E123,'0.0.1 Pokémon Dex Data'!$B$3:$B951,0))</f>
        <v>Psychic</v>
      </c>
      <c r="I123" s="0" t="n">
        <f aca="false">INDEX('0.0.1 Pokémon Dex Data'!$R$3:$R951,MATCH(E123,'0.0.1 Pokémon Dex Data'!$B$3:$B951,0))</f>
        <v>0</v>
      </c>
      <c r="J123" s="260" t="n">
        <f aca="false" t="array" ref="J123:J123">ROUND(INDEX('0.0.1 Pokémon Dex Data'!$S$3:$S951,MATCH($E123,'0.0.1 Pokémon Dex Data'!$B$3:$B951,0))*INDEX('0.0.1 Pokémon Dex Data'!T$3:T951,MATCH($E123,'0.0.1 Pokémon Dex Data'!$B$3:$B951,0)),0)</f>
        <v>144</v>
      </c>
      <c r="K123" s="260" t="n">
        <f aca="false" t="array" ref="K123:K123">ROUND(INDEX('0.0.1 Pokémon Dex Data'!$S$3:$S951,MATCH($E123,'0.0.1 Pokémon Dex Data'!$B$3:$B951,0))*INDEX('0.0.1 Pokémon Dex Data'!U$3:U951,MATCH($E123,'0.0.1 Pokémon Dex Data'!$B$3:$B951,0)),0)</f>
        <v>193</v>
      </c>
      <c r="L123" s="260" t="n">
        <f aca="false" t="array" ref="L123:L123">ROUND(INDEX('0.0.1 Pokémon Dex Data'!$S$3:$S951,MATCH($E123,'0.0.1 Pokémon Dex Data'!$B$3:$B951,0))*INDEX('0.0.1 Pokémon Dex Data'!V$3:V951,MATCH($E123,'0.0.1 Pokémon Dex Data'!$B$3:$B951,0)),0)</f>
        <v>198</v>
      </c>
      <c r="M123" s="260" t="n">
        <f aca="false" t="array" ref="M123:M123">INDEX('0.0.1 Pokémon Dex Data'!$J$3:$J951,MATCH(E123,'0.0.1 Pokémon Dex Data'!$B$3:$B951,0))</f>
        <v>1</v>
      </c>
      <c r="O123" s="490"/>
      <c r="Q123" s="367" t="n">
        <f aca="false">IF('Reverse Search'!$F$4="All (including temporary formes)",1,IF('Reverse Search'!$F$4="Base Pokémon and permanent formes only",IF(F123&lt;=1,1,0),IF(F123=0,1,0)))</f>
        <v>1</v>
      </c>
      <c r="R123" s="0" t="n">
        <f aca="false">IF('Reverse Search'!$C$7="Disable",1,IF('Reverse Search'!$D$9="Disable",1,IF(OR('Reverse Search'!$F$9=H123,'Reverse Search'!$F$9=I123),1,0)))</f>
        <v>1</v>
      </c>
      <c r="S123" s="0" t="n">
        <f aca="false">IF('Reverse Search'!$C$7="Disable",1,IF('Reverse Search'!$D$10="Disable",1,IF(OR('Reverse Search'!$F$10=H123,'Reverse Search'!$F$10=I123),1,0)))</f>
        <v>1</v>
      </c>
      <c r="T123" s="0" t="n">
        <f aca="false">INDEX($B$4:$B$22,MATCH(H123,$A$4:$A$22,0))</f>
        <v>1</v>
      </c>
      <c r="U123" s="0" t="e">
        <f aca="false">IF(ISBLANK(I123),1,INDEX($B$4:$B$22,MATCH(I123,$A$4:$A$22,0)))</f>
        <v>#N/A</v>
      </c>
      <c r="V123" s="367" t="n">
        <f aca="false">IF('Reverse Search'!$C$7="Disable",1,IF('Reverse Search'!$D$11="Disable",1,IF('Reverse Search'!$E$11="Neutral to:",IF(ROUND(T123*U123,2)&lt;=1,1,0),IF(ROUND(T123*U123,2)&lt;1,1,0))))</f>
        <v>1</v>
      </c>
      <c r="W123" s="0" t="n">
        <f aca="false">IF('Reverse Search'!$N$7="Disable",1,IF('Reverse Search'!$I$9="Disable",1,IF('Reverse Search'!$K$9="≥",IF(J123&gt;='Reverse Search'!$L$9,1,0),IF('Reverse Search'!$K$9="≤",IF(J123&lt;='Reverse Search'!$L$9,1,0),IF(J123='Reverse Search'!$L$9,1,0)))))</f>
        <v>1</v>
      </c>
      <c r="X123" s="0" t="n">
        <f aca="false">IF('Reverse Search'!$N$7="Disable",1,IF('Reverse Search'!$I$10="Disable",1,IF('Reverse Search'!$K$10="≥",IF(K123&gt;='Reverse Search'!$L$10,1,0),IF('Reverse Search'!$K$10="≤",IF(K123&lt;='Reverse Search'!$L$10,1,0),IF(K123='Reverse Search'!$L$10,1,0)))))</f>
        <v>1</v>
      </c>
      <c r="Y123" s="367" t="n">
        <f aca="false">IF('Reverse Search'!$N$7="Disable",1,IF('Reverse Search'!$I$11="Disable",1,IF('Reverse Search'!$K$11="≥",IF(L123&gt;='Reverse Search'!$L$11,1,0),IF('Reverse Search'!$K$11="≤",IF(L123&lt;='Reverse Search'!$L$11,1,0),IF(L123='Reverse Search'!$L$11,1,0)))))</f>
        <v>1</v>
      </c>
      <c r="Z123" s="0" t="n">
        <f aca="true">IF('Reverse Search'!$C$14="Disable",1,IF('Reverse Search'!$D$16="Disable",1,IF($C$2=3,IF($M123=0,0,COUNTIF(INDIRECT("'0.0.2 Pokémon Learnset (Core)'!$D$"&amp;MATCH($E123,'0.0.2 Pokémon Learnset (Core)'!$A$1:$A951,0)&amp;":$FK$"&amp;MATCH($E123,'0.0.2 Pokémon Learnset (Core)'!$A$1:$A951,0)),'Reverse Search'!$E$21)),IF($C$2=2,COUNTIF(INDIRECT("'0.1.1 Pokémon GO Moves'!$B$"&amp;MATCH($E123,'0.1.1 Pokémon GO Moves'!$A$1:$A951,0)&amp;":$R$"&amp;MATCH($E123,'0.1.1 Pokémon GO Moves'!$A$1:$A951,0)),'Reverse Search'!$E$21),COUNTIF(INDIRECT("'0.1.1 Pokémon GO Moves'!$B$"&amp;MATCH($E123,'0.1.1 Pokémon GO Moves'!$A$1:$A951,0)&amp;":$L$"&amp;MATCH($E123,'0.1.1 Pokémon GO Moves'!$A$1:$A951,0)),'Reverse Search'!$E$21)))))</f>
        <v>1</v>
      </c>
      <c r="AA123" s="0" t="n">
        <f aca="true">IF('Reverse Search'!$C$14="Disable",1,IF('Reverse Search'!$I$16="Disable",1,IF($D$2=3,IF($M123=0,0,COUNTIF(INDIRECT("'0.0.2 Pokémon Learnset (Core)'!$D$"&amp;MATCH($E123,'0.0.2 Pokémon Learnset (Core)'!$A$1:$A951,0)&amp;":$FK$"&amp;MATCH($E123,'0.0.2 Pokémon Learnset (Core)'!$A$1:$A951,0)),'Reverse Search'!$J$21)),IF($D$2=2,COUNTIF(INDIRECT("'0.1.1 Pokémon GO Moves'!$B$"&amp;MATCH($E123,'0.1.1 Pokémon GO Moves'!$A$1:$A951,0)&amp;":$R$"&amp;MATCH($E123,'0.1.1 Pokémon GO Moves'!$A$1:$A951,0)),'Reverse Search'!$J$21),COUNTIF(INDIRECT("'0.1.1 Pokémon GO Moves'!$B$"&amp;MATCH($E123,'0.1.1 Pokémon GO Moves'!$A$1:$A951,0)&amp;":$L$"&amp;MATCH($E123,'0.1.1 Pokémon GO Moves'!$A$1:$A951,0)),'Reverse Search'!$J$21)))))</f>
        <v>0</v>
      </c>
      <c r="AB123" s="490"/>
      <c r="AC123" s="260" t="n">
        <f aca="false">IF((Q123+R123+S123+V123+W123+X123+Y123+IF(Z123&gt;=1,1,0)+IF(AA123&gt;=1,1,0))=9,G123&amp;", ",)</f>
        <v>0</v>
      </c>
    </row>
    <row r="124" customFormat="false" ht="15.75" hidden="false" customHeight="false" outlineLevel="0" collapsed="false">
      <c r="A124" s="260"/>
      <c r="B124" s="358"/>
      <c r="C124" s="260"/>
      <c r="D124" s="358"/>
      <c r="E124" s="260" t="n">
        <v>123</v>
      </c>
      <c r="F124" s="260" t="n">
        <f aca="false" t="array" ref="F124:F124">INDEX('0.0.1 Pokémon Dex Data'!$H$3:$H951,MATCH(E124,'0.0.1 Pokémon Dex Data'!$B$3:$B951,0))</f>
        <v>0</v>
      </c>
      <c r="G124" s="0" t="str">
        <f aca="false" t="array" ref="G124:G124">INDEX('0.0.1 Pokémon Dex Data'!$E$3:$E951,MATCH(E124,'0.0.1 Pokémon Dex Data'!$B$3:$B951,0))</f>
        <v>Krabby</v>
      </c>
      <c r="H124" s="0" t="str">
        <f aca="false" t="array" ref="H124:H124">INDEX('0.0.1 Pokémon Dex Data'!$Q$3:$Q951,MATCH(E124,'0.0.1 Pokémon Dex Data'!$B$3:$B951,0))</f>
        <v>Water</v>
      </c>
      <c r="I124" s="0" t="n">
        <f aca="false">INDEX('0.0.1 Pokémon Dex Data'!$R$3:$R951,MATCH(E124,'0.0.1 Pokémon Dex Data'!$B$3:$B951,0))</f>
        <v>0</v>
      </c>
      <c r="J124" s="260" t="n">
        <f aca="false" t="array" ref="J124:J124">ROUND(INDEX('0.0.1 Pokémon Dex Data'!$S$3:$S951,MATCH($E124,'0.0.1 Pokémon Dex Data'!$B$3:$B951,0))*INDEX('0.0.1 Pokémon Dex Data'!T$3:T951,MATCH($E124,'0.0.1 Pokémon Dex Data'!$B$3:$B951,0)),0)</f>
        <v>181</v>
      </c>
      <c r="K124" s="260" t="n">
        <f aca="false" t="array" ref="K124:K124">ROUND(INDEX('0.0.1 Pokémon Dex Data'!$S$3:$S951,MATCH($E124,'0.0.1 Pokémon Dex Data'!$B$3:$B951,0))*INDEX('0.0.1 Pokémon Dex Data'!U$3:U951,MATCH($E124,'0.0.1 Pokémon Dex Data'!$B$3:$B951,0)),0)</f>
        <v>124</v>
      </c>
      <c r="L124" s="260" t="n">
        <f aca="false" t="array" ref="L124:L124">ROUND(INDEX('0.0.1 Pokémon Dex Data'!$S$3:$S951,MATCH($E124,'0.0.1 Pokémon Dex Data'!$B$3:$B951,0))*INDEX('0.0.1 Pokémon Dex Data'!V$3:V951,MATCH($E124,'0.0.1 Pokémon Dex Data'!$B$3:$B951,0)),0)</f>
        <v>102</v>
      </c>
      <c r="M124" s="260" t="n">
        <f aca="false" t="array" ref="M124:M124">INDEX('0.0.1 Pokémon Dex Data'!$J$3:$J951,MATCH(E124,'0.0.1 Pokémon Dex Data'!$B$3:$B951,0))</f>
        <v>0</v>
      </c>
      <c r="O124" s="490"/>
      <c r="Q124" s="367" t="n">
        <f aca="false">IF('Reverse Search'!$F$4="All (including temporary formes)",1,IF('Reverse Search'!$F$4="Base Pokémon and permanent formes only",IF(F124&lt;=1,1,0),IF(F124=0,1,0)))</f>
        <v>1</v>
      </c>
      <c r="R124" s="0" t="n">
        <f aca="false">IF('Reverse Search'!$C$7="Disable",1,IF('Reverse Search'!$D$9="Disable",1,IF(OR('Reverse Search'!$F$9=H124,'Reverse Search'!$F$9=I124),1,0)))</f>
        <v>1</v>
      </c>
      <c r="S124" s="0" t="n">
        <f aca="false">IF('Reverse Search'!$C$7="Disable",1,IF('Reverse Search'!$D$10="Disable",1,IF(OR('Reverse Search'!$F$10=H124,'Reverse Search'!$F$10=I124),1,0)))</f>
        <v>1</v>
      </c>
      <c r="T124" s="0" t="n">
        <f aca="false">INDEX($B$4:$B$22,MATCH(H124,$A$4:$A$22,0))</f>
        <v>1</v>
      </c>
      <c r="U124" s="0" t="e">
        <f aca="false">IF(ISBLANK(I124),1,INDEX($B$4:$B$22,MATCH(I124,$A$4:$A$22,0)))</f>
        <v>#N/A</v>
      </c>
      <c r="V124" s="367" t="n">
        <f aca="false">IF('Reverse Search'!$C$7="Disable",1,IF('Reverse Search'!$D$11="Disable",1,IF('Reverse Search'!$E$11="Neutral to:",IF(ROUND(T124*U124,2)&lt;=1,1,0),IF(ROUND(T124*U124,2)&lt;1,1,0))))</f>
        <v>1</v>
      </c>
      <c r="W124" s="0" t="n">
        <f aca="false">IF('Reverse Search'!$N$7="Disable",1,IF('Reverse Search'!$I$9="Disable",1,IF('Reverse Search'!$K$9="≥",IF(J124&gt;='Reverse Search'!$L$9,1,0),IF('Reverse Search'!$K$9="≤",IF(J124&lt;='Reverse Search'!$L$9,1,0),IF(J124='Reverse Search'!$L$9,1,0)))))</f>
        <v>1</v>
      </c>
      <c r="X124" s="0" t="n">
        <f aca="false">IF('Reverse Search'!$N$7="Disable",1,IF('Reverse Search'!$I$10="Disable",1,IF('Reverse Search'!$K$10="≥",IF(K124&gt;='Reverse Search'!$L$10,1,0),IF('Reverse Search'!$K$10="≤",IF(K124&lt;='Reverse Search'!$L$10,1,0),IF(K124='Reverse Search'!$L$10,1,0)))))</f>
        <v>1</v>
      </c>
      <c r="Y124" s="367" t="n">
        <f aca="false">IF('Reverse Search'!$N$7="Disable",1,IF('Reverse Search'!$I$11="Disable",1,IF('Reverse Search'!$K$11="≥",IF(L124&gt;='Reverse Search'!$L$11,1,0),IF('Reverse Search'!$K$11="≤",IF(L124&lt;='Reverse Search'!$L$11,1,0),IF(L124='Reverse Search'!$L$11,1,0)))))</f>
        <v>1</v>
      </c>
      <c r="Z124" s="0" t="n">
        <f aca="true">IF('Reverse Search'!$C$14="Disable",1,IF('Reverse Search'!$D$16="Disable",1,IF($C$2=3,IF($M124=0,0,COUNTIF(INDIRECT("'0.0.2 Pokémon Learnset (Core)'!$D$"&amp;MATCH($E124,'0.0.2 Pokémon Learnset (Core)'!$A$1:$A951,0)&amp;":$FK$"&amp;MATCH($E124,'0.0.2 Pokémon Learnset (Core)'!$A$1:$A951,0)),'Reverse Search'!$E$21)),IF($C$2=2,COUNTIF(INDIRECT("'0.1.1 Pokémon GO Moves'!$B$"&amp;MATCH($E124,'0.1.1 Pokémon GO Moves'!$A$1:$A951,0)&amp;":$R$"&amp;MATCH($E124,'0.1.1 Pokémon GO Moves'!$A$1:$A951,0)),'Reverse Search'!$E$21),COUNTIF(INDIRECT("'0.1.1 Pokémon GO Moves'!$B$"&amp;MATCH($E124,'0.1.1 Pokémon GO Moves'!$A$1:$A951,0)&amp;":$L$"&amp;MATCH($E124,'0.1.1 Pokémon GO Moves'!$A$1:$A951,0)),'Reverse Search'!$E$21)))))</f>
        <v>1</v>
      </c>
      <c r="AA124" s="0" t="n">
        <f aca="true">IF('Reverse Search'!$C$14="Disable",1,IF('Reverse Search'!$I$16="Disable",1,IF($D$2=3,IF($M124=0,0,COUNTIF(INDIRECT("'0.0.2 Pokémon Learnset (Core)'!$D$"&amp;MATCH($E124,'0.0.2 Pokémon Learnset (Core)'!$A$1:$A951,0)&amp;":$FK$"&amp;MATCH($E124,'0.0.2 Pokémon Learnset (Core)'!$A$1:$A951,0)),'Reverse Search'!$J$21)),IF($D$2=2,COUNTIF(INDIRECT("'0.1.1 Pokémon GO Moves'!$B$"&amp;MATCH($E124,'0.1.1 Pokémon GO Moves'!$A$1:$A951,0)&amp;":$R$"&amp;MATCH($E124,'0.1.1 Pokémon GO Moves'!$A$1:$A951,0)),'Reverse Search'!$J$21),COUNTIF(INDIRECT("'0.1.1 Pokémon GO Moves'!$B$"&amp;MATCH($E124,'0.1.1 Pokémon GO Moves'!$A$1:$A951,0)&amp;":$L$"&amp;MATCH($E124,'0.1.1 Pokémon GO Moves'!$A$1:$A951,0)),'Reverse Search'!$J$21)))))</f>
        <v>0</v>
      </c>
      <c r="AB124" s="490"/>
      <c r="AC124" s="260" t="n">
        <f aca="false">IF((Q124+R124+S124+V124+W124+X124+Y124+IF(Z124&gt;=1,1,0)+IF(AA124&gt;=1,1,0))=9,G124&amp;", ",)</f>
        <v>0</v>
      </c>
    </row>
    <row r="125" customFormat="false" ht="15.75" hidden="false" customHeight="false" outlineLevel="0" collapsed="false">
      <c r="A125" s="260"/>
      <c r="B125" s="358"/>
      <c r="C125" s="260"/>
      <c r="D125" s="358"/>
      <c r="E125" s="260" t="n">
        <v>124</v>
      </c>
      <c r="F125" s="260" t="n">
        <f aca="false" t="array" ref="F125:F125">INDEX('0.0.1 Pokémon Dex Data'!$H$3:$H951,MATCH(E125,'0.0.1 Pokémon Dex Data'!$B$3:$B951,0))</f>
        <v>0</v>
      </c>
      <c r="G125" s="0" t="str">
        <f aca="false" t="array" ref="G125:G125">INDEX('0.0.1 Pokémon Dex Data'!$E$3:$E951,MATCH(E125,'0.0.1 Pokémon Dex Data'!$B$3:$B951,0))</f>
        <v>Kingler</v>
      </c>
      <c r="H125" s="0" t="str">
        <f aca="false" t="array" ref="H125:H125">INDEX('0.0.1 Pokémon Dex Data'!$Q$3:$Q951,MATCH(E125,'0.0.1 Pokémon Dex Data'!$B$3:$B951,0))</f>
        <v>Water</v>
      </c>
      <c r="I125" s="0" t="n">
        <f aca="false">INDEX('0.0.1 Pokémon Dex Data'!$R$3:$R951,MATCH(E125,'0.0.1 Pokémon Dex Data'!$B$3:$B951,0))</f>
        <v>0</v>
      </c>
      <c r="J125" s="260" t="n">
        <f aca="false" t="array" ref="J125:J125">ROUND(INDEX('0.0.1 Pokémon Dex Data'!$S$3:$S951,MATCH($E125,'0.0.1 Pokémon Dex Data'!$B$3:$B951,0))*INDEX('0.0.1 Pokémon Dex Data'!T$3:T951,MATCH($E125,'0.0.1 Pokémon Dex Data'!$B$3:$B951,0)),0)</f>
        <v>240</v>
      </c>
      <c r="K125" s="260" t="n">
        <f aca="false" t="array" ref="K125:K125">ROUND(INDEX('0.0.1 Pokémon Dex Data'!$S$3:$S951,MATCH($E125,'0.0.1 Pokémon Dex Data'!$B$3:$B951,0))*INDEX('0.0.1 Pokémon Dex Data'!U$3:U951,MATCH($E125,'0.0.1 Pokémon Dex Data'!$B$3:$B951,0)),0)</f>
        <v>181</v>
      </c>
      <c r="L125" s="260" t="n">
        <f aca="false" t="array" ref="L125:L125">ROUND(INDEX('0.0.1 Pokémon Dex Data'!$S$3:$S951,MATCH($E125,'0.0.1 Pokémon Dex Data'!$B$3:$B951,0))*INDEX('0.0.1 Pokémon Dex Data'!V$3:V951,MATCH($E125,'0.0.1 Pokémon Dex Data'!$B$3:$B951,0)),0)</f>
        <v>146</v>
      </c>
      <c r="M125" s="260" t="n">
        <f aca="false" t="array" ref="M125:M125">INDEX('0.0.1 Pokémon Dex Data'!$J$3:$J951,MATCH(E125,'0.0.1 Pokémon Dex Data'!$B$3:$B951,0))</f>
        <v>1</v>
      </c>
      <c r="O125" s="490"/>
      <c r="Q125" s="367" t="n">
        <f aca="false">IF('Reverse Search'!$F$4="All (including temporary formes)",1,IF('Reverse Search'!$F$4="Base Pokémon and permanent formes only",IF(F125&lt;=1,1,0),IF(F125=0,1,0)))</f>
        <v>1</v>
      </c>
      <c r="R125" s="0" t="n">
        <f aca="false">IF('Reverse Search'!$C$7="Disable",1,IF('Reverse Search'!$D$9="Disable",1,IF(OR('Reverse Search'!$F$9=H125,'Reverse Search'!$F$9=I125),1,0)))</f>
        <v>1</v>
      </c>
      <c r="S125" s="0" t="n">
        <f aca="false">IF('Reverse Search'!$C$7="Disable",1,IF('Reverse Search'!$D$10="Disable",1,IF(OR('Reverse Search'!$F$10=H125,'Reverse Search'!$F$10=I125),1,0)))</f>
        <v>1</v>
      </c>
      <c r="T125" s="0" t="n">
        <f aca="false">INDEX($B$4:$B$22,MATCH(H125,$A$4:$A$22,0))</f>
        <v>1</v>
      </c>
      <c r="U125" s="0" t="e">
        <f aca="false">IF(ISBLANK(I125),1,INDEX($B$4:$B$22,MATCH(I125,$A$4:$A$22,0)))</f>
        <v>#N/A</v>
      </c>
      <c r="V125" s="367" t="n">
        <f aca="false">IF('Reverse Search'!$C$7="Disable",1,IF('Reverse Search'!$D$11="Disable",1,IF('Reverse Search'!$E$11="Neutral to:",IF(ROUND(T125*U125,2)&lt;=1,1,0),IF(ROUND(T125*U125,2)&lt;1,1,0))))</f>
        <v>1</v>
      </c>
      <c r="W125" s="0" t="n">
        <f aca="false">IF('Reverse Search'!$N$7="Disable",1,IF('Reverse Search'!$I$9="Disable",1,IF('Reverse Search'!$K$9="≥",IF(J125&gt;='Reverse Search'!$L$9,1,0),IF('Reverse Search'!$K$9="≤",IF(J125&lt;='Reverse Search'!$L$9,1,0),IF(J125='Reverse Search'!$L$9,1,0)))))</f>
        <v>1</v>
      </c>
      <c r="X125" s="0" t="n">
        <f aca="false">IF('Reverse Search'!$N$7="Disable",1,IF('Reverse Search'!$I$10="Disable",1,IF('Reverse Search'!$K$10="≥",IF(K125&gt;='Reverse Search'!$L$10,1,0),IF('Reverse Search'!$K$10="≤",IF(K125&lt;='Reverse Search'!$L$10,1,0),IF(K125='Reverse Search'!$L$10,1,0)))))</f>
        <v>1</v>
      </c>
      <c r="Y125" s="367" t="n">
        <f aca="false">IF('Reverse Search'!$N$7="Disable",1,IF('Reverse Search'!$I$11="Disable",1,IF('Reverse Search'!$K$11="≥",IF(L125&gt;='Reverse Search'!$L$11,1,0),IF('Reverse Search'!$K$11="≤",IF(L125&lt;='Reverse Search'!$L$11,1,0),IF(L125='Reverse Search'!$L$11,1,0)))))</f>
        <v>1</v>
      </c>
      <c r="Z125" s="0" t="n">
        <f aca="true">IF('Reverse Search'!$C$14="Disable",1,IF('Reverse Search'!$D$16="Disable",1,IF($C$2=3,IF($M125=0,0,COUNTIF(INDIRECT("'0.0.2 Pokémon Learnset (Core)'!$D$"&amp;MATCH($E125,'0.0.2 Pokémon Learnset (Core)'!$A$1:$A951,0)&amp;":$FK$"&amp;MATCH($E125,'0.0.2 Pokémon Learnset (Core)'!$A$1:$A951,0)),'Reverse Search'!$E$21)),IF($C$2=2,COUNTIF(INDIRECT("'0.1.1 Pokémon GO Moves'!$B$"&amp;MATCH($E125,'0.1.1 Pokémon GO Moves'!$A$1:$A951,0)&amp;":$R$"&amp;MATCH($E125,'0.1.1 Pokémon GO Moves'!$A$1:$A951,0)),'Reverse Search'!$E$21),COUNTIF(INDIRECT("'0.1.1 Pokémon GO Moves'!$B$"&amp;MATCH($E125,'0.1.1 Pokémon GO Moves'!$A$1:$A951,0)&amp;":$L$"&amp;MATCH($E125,'0.1.1 Pokémon GO Moves'!$A$1:$A951,0)),'Reverse Search'!$E$21)))))</f>
        <v>1</v>
      </c>
      <c r="AA125" s="0" t="n">
        <f aca="true">IF('Reverse Search'!$C$14="Disable",1,IF('Reverse Search'!$I$16="Disable",1,IF($D$2=3,IF($M125=0,0,COUNTIF(INDIRECT("'0.0.2 Pokémon Learnset (Core)'!$D$"&amp;MATCH($E125,'0.0.2 Pokémon Learnset (Core)'!$A$1:$A951,0)&amp;":$FK$"&amp;MATCH($E125,'0.0.2 Pokémon Learnset (Core)'!$A$1:$A951,0)),'Reverse Search'!$J$21)),IF($D$2=2,COUNTIF(INDIRECT("'0.1.1 Pokémon GO Moves'!$B$"&amp;MATCH($E125,'0.1.1 Pokémon GO Moves'!$A$1:$A951,0)&amp;":$R$"&amp;MATCH($E125,'0.1.1 Pokémon GO Moves'!$A$1:$A951,0)),'Reverse Search'!$J$21),COUNTIF(INDIRECT("'0.1.1 Pokémon GO Moves'!$B$"&amp;MATCH($E125,'0.1.1 Pokémon GO Moves'!$A$1:$A951,0)&amp;":$L$"&amp;MATCH($E125,'0.1.1 Pokémon GO Moves'!$A$1:$A951,0)),'Reverse Search'!$J$21)))))</f>
        <v>0</v>
      </c>
      <c r="AB125" s="490"/>
      <c r="AC125" s="260" t="n">
        <f aca="false">IF((Q125+R125+S125+V125+W125+X125+Y125+IF(Z125&gt;=1,1,0)+IF(AA125&gt;=1,1,0))=9,G125&amp;", ",)</f>
        <v>0</v>
      </c>
    </row>
    <row r="126" customFormat="false" ht="15.75" hidden="false" customHeight="false" outlineLevel="0" collapsed="false">
      <c r="A126" s="260"/>
      <c r="B126" s="358"/>
      <c r="C126" s="260"/>
      <c r="D126" s="358"/>
      <c r="E126" s="260" t="n">
        <v>125</v>
      </c>
      <c r="F126" s="260" t="n">
        <f aca="false" t="array" ref="F126:F126">INDEX('0.0.1 Pokémon Dex Data'!$H$3:$H951,MATCH(E126,'0.0.1 Pokémon Dex Data'!$B$3:$B951,0))</f>
        <v>0</v>
      </c>
      <c r="G126" s="0" t="str">
        <f aca="false" t="array" ref="G126:G126">INDEX('0.0.1 Pokémon Dex Data'!$E$3:$E951,MATCH(E126,'0.0.1 Pokémon Dex Data'!$B$3:$B951,0))</f>
        <v>Voltorb</v>
      </c>
      <c r="H126" s="0" t="str">
        <f aca="false" t="array" ref="H126:H126">INDEX('0.0.1 Pokémon Dex Data'!$Q$3:$Q951,MATCH(E126,'0.0.1 Pokémon Dex Data'!$B$3:$B951,0))</f>
        <v>Electric</v>
      </c>
      <c r="I126" s="0" t="n">
        <f aca="false">INDEX('0.0.1 Pokémon Dex Data'!$R$3:$R951,MATCH(E126,'0.0.1 Pokémon Dex Data'!$B$3:$B951,0))</f>
        <v>0</v>
      </c>
      <c r="J126" s="260" t="n">
        <f aca="false" t="array" ref="J126:J126">ROUND(INDEX('0.0.1 Pokémon Dex Data'!$S$3:$S951,MATCH($E126,'0.0.1 Pokémon Dex Data'!$B$3:$B951,0))*INDEX('0.0.1 Pokémon Dex Data'!T$3:T951,MATCH($E126,'0.0.1 Pokémon Dex Data'!$B$3:$B951,0)),0)</f>
        <v>109</v>
      </c>
      <c r="K126" s="260" t="n">
        <f aca="false" t="array" ref="K126:K126">ROUND(INDEX('0.0.1 Pokémon Dex Data'!$S$3:$S951,MATCH($E126,'0.0.1 Pokémon Dex Data'!$B$3:$B951,0))*INDEX('0.0.1 Pokémon Dex Data'!U$3:U951,MATCH($E126,'0.0.1 Pokémon Dex Data'!$B$3:$B951,0)),0)</f>
        <v>111</v>
      </c>
      <c r="L126" s="260" t="n">
        <f aca="false" t="array" ref="L126:L126">ROUND(INDEX('0.0.1 Pokémon Dex Data'!$S$3:$S951,MATCH($E126,'0.0.1 Pokémon Dex Data'!$B$3:$B951,0))*INDEX('0.0.1 Pokémon Dex Data'!V$3:V951,MATCH($E126,'0.0.1 Pokémon Dex Data'!$B$3:$B951,0)),0)</f>
        <v>120</v>
      </c>
      <c r="M126" s="260" t="n">
        <f aca="false" t="array" ref="M126:M126">INDEX('0.0.1 Pokémon Dex Data'!$J$3:$J951,MATCH(E126,'0.0.1 Pokémon Dex Data'!$B$3:$B951,0))</f>
        <v>0</v>
      </c>
      <c r="O126" s="490"/>
      <c r="Q126" s="367" t="n">
        <f aca="false">IF('Reverse Search'!$F$4="All (including temporary formes)",1,IF('Reverse Search'!$F$4="Base Pokémon and permanent formes only",IF(F126&lt;=1,1,0),IF(F126=0,1,0)))</f>
        <v>1</v>
      </c>
      <c r="R126" s="0" t="n">
        <f aca="false">IF('Reverse Search'!$C$7="Disable",1,IF('Reverse Search'!$D$9="Disable",1,IF(OR('Reverse Search'!$F$9=H126,'Reverse Search'!$F$9=I126),1,0)))</f>
        <v>1</v>
      </c>
      <c r="S126" s="0" t="n">
        <f aca="false">IF('Reverse Search'!$C$7="Disable",1,IF('Reverse Search'!$D$10="Disable",1,IF(OR('Reverse Search'!$F$10=H126,'Reverse Search'!$F$10=I126),1,0)))</f>
        <v>1</v>
      </c>
      <c r="T126" s="0" t="n">
        <f aca="false">INDEX($B$4:$B$22,MATCH(H126,$A$4:$A$22,0))</f>
        <v>1</v>
      </c>
      <c r="U126" s="0" t="e">
        <f aca="false">IF(ISBLANK(I126),1,INDEX($B$4:$B$22,MATCH(I126,$A$4:$A$22,0)))</f>
        <v>#N/A</v>
      </c>
      <c r="V126" s="367" t="n">
        <f aca="false">IF('Reverse Search'!$C$7="Disable",1,IF('Reverse Search'!$D$11="Disable",1,IF('Reverse Search'!$E$11="Neutral to:",IF(ROUND(T126*U126,2)&lt;=1,1,0),IF(ROUND(T126*U126,2)&lt;1,1,0))))</f>
        <v>1</v>
      </c>
      <c r="W126" s="0" t="n">
        <f aca="false">IF('Reverse Search'!$N$7="Disable",1,IF('Reverse Search'!$I$9="Disable",1,IF('Reverse Search'!$K$9="≥",IF(J126&gt;='Reverse Search'!$L$9,1,0),IF('Reverse Search'!$K$9="≤",IF(J126&lt;='Reverse Search'!$L$9,1,0),IF(J126='Reverse Search'!$L$9,1,0)))))</f>
        <v>1</v>
      </c>
      <c r="X126" s="0" t="n">
        <f aca="false">IF('Reverse Search'!$N$7="Disable",1,IF('Reverse Search'!$I$10="Disable",1,IF('Reverse Search'!$K$10="≥",IF(K126&gt;='Reverse Search'!$L$10,1,0),IF('Reverse Search'!$K$10="≤",IF(K126&lt;='Reverse Search'!$L$10,1,0),IF(K126='Reverse Search'!$L$10,1,0)))))</f>
        <v>1</v>
      </c>
      <c r="Y126" s="367" t="n">
        <f aca="false">IF('Reverse Search'!$N$7="Disable",1,IF('Reverse Search'!$I$11="Disable",1,IF('Reverse Search'!$K$11="≥",IF(L126&gt;='Reverse Search'!$L$11,1,0),IF('Reverse Search'!$K$11="≤",IF(L126&lt;='Reverse Search'!$L$11,1,0),IF(L126='Reverse Search'!$L$11,1,0)))))</f>
        <v>1</v>
      </c>
      <c r="Z126" s="0" t="n">
        <f aca="true">IF('Reverse Search'!$C$14="Disable",1,IF('Reverse Search'!$D$16="Disable",1,IF($C$2=3,IF($M126=0,0,COUNTIF(INDIRECT("'0.0.2 Pokémon Learnset (Core)'!$D$"&amp;MATCH($E126,'0.0.2 Pokémon Learnset (Core)'!$A$1:$A951,0)&amp;":$FK$"&amp;MATCH($E126,'0.0.2 Pokémon Learnset (Core)'!$A$1:$A951,0)),'Reverse Search'!$E$21)),IF($C$2=2,COUNTIF(INDIRECT("'0.1.1 Pokémon GO Moves'!$B$"&amp;MATCH($E126,'0.1.1 Pokémon GO Moves'!$A$1:$A951,0)&amp;":$R$"&amp;MATCH($E126,'0.1.1 Pokémon GO Moves'!$A$1:$A951,0)),'Reverse Search'!$E$21),COUNTIF(INDIRECT("'0.1.1 Pokémon GO Moves'!$B$"&amp;MATCH($E126,'0.1.1 Pokémon GO Moves'!$A$1:$A951,0)&amp;":$L$"&amp;MATCH($E126,'0.1.1 Pokémon GO Moves'!$A$1:$A951,0)),'Reverse Search'!$E$21)))))</f>
        <v>1</v>
      </c>
      <c r="AA126" s="0" t="n">
        <f aca="true">IF('Reverse Search'!$C$14="Disable",1,IF('Reverse Search'!$I$16="Disable",1,IF($D$2=3,IF($M126=0,0,COUNTIF(INDIRECT("'0.0.2 Pokémon Learnset (Core)'!$D$"&amp;MATCH($E126,'0.0.2 Pokémon Learnset (Core)'!$A$1:$A951,0)&amp;":$FK$"&amp;MATCH($E126,'0.0.2 Pokémon Learnset (Core)'!$A$1:$A951,0)),'Reverse Search'!$J$21)),IF($D$2=2,COUNTIF(INDIRECT("'0.1.1 Pokémon GO Moves'!$B$"&amp;MATCH($E126,'0.1.1 Pokémon GO Moves'!$A$1:$A951,0)&amp;":$R$"&amp;MATCH($E126,'0.1.1 Pokémon GO Moves'!$A$1:$A951,0)),'Reverse Search'!$J$21),COUNTIF(INDIRECT("'0.1.1 Pokémon GO Moves'!$B$"&amp;MATCH($E126,'0.1.1 Pokémon GO Moves'!$A$1:$A951,0)&amp;":$L$"&amp;MATCH($E126,'0.1.1 Pokémon GO Moves'!$A$1:$A951,0)),'Reverse Search'!$J$21)))))</f>
        <v>0</v>
      </c>
      <c r="AB126" s="490"/>
      <c r="AC126" s="260" t="n">
        <f aca="false">IF((Q126+R126+S126+V126+W126+X126+Y126+IF(Z126&gt;=1,1,0)+IF(AA126&gt;=1,1,0))=9,G126&amp;", ",)</f>
        <v>0</v>
      </c>
    </row>
    <row r="127" customFormat="false" ht="15.75" hidden="false" customHeight="false" outlineLevel="0" collapsed="false">
      <c r="A127" s="260"/>
      <c r="B127" s="358"/>
      <c r="C127" s="260"/>
      <c r="D127" s="358"/>
      <c r="E127" s="260" t="n">
        <v>126</v>
      </c>
      <c r="F127" s="260" t="n">
        <f aca="false" t="array" ref="F127:F127">INDEX('0.0.1 Pokémon Dex Data'!$H$3:$H951,MATCH(E127,'0.0.1 Pokémon Dex Data'!$B$3:$B951,0))</f>
        <v>0</v>
      </c>
      <c r="G127" s="0" t="str">
        <f aca="false" t="array" ref="G127:G127">INDEX('0.0.1 Pokémon Dex Data'!$E$3:$E951,MATCH(E127,'0.0.1 Pokémon Dex Data'!$B$3:$B951,0))</f>
        <v>Electrode</v>
      </c>
      <c r="H127" s="0" t="str">
        <f aca="false" t="array" ref="H127:H127">INDEX('0.0.1 Pokémon Dex Data'!$Q$3:$Q951,MATCH(E127,'0.0.1 Pokémon Dex Data'!$B$3:$B951,0))</f>
        <v>Electric</v>
      </c>
      <c r="I127" s="0" t="n">
        <f aca="false">INDEX('0.0.1 Pokémon Dex Data'!$R$3:$R951,MATCH(E127,'0.0.1 Pokémon Dex Data'!$B$3:$B951,0))</f>
        <v>0</v>
      </c>
      <c r="J127" s="260" t="n">
        <f aca="false" t="array" ref="J127:J127">ROUND(INDEX('0.0.1 Pokémon Dex Data'!$S$3:$S951,MATCH($E127,'0.0.1 Pokémon Dex Data'!$B$3:$B951,0))*INDEX('0.0.1 Pokémon Dex Data'!T$3:T951,MATCH($E127,'0.0.1 Pokémon Dex Data'!$B$3:$B951,0)),0)</f>
        <v>173</v>
      </c>
      <c r="K127" s="260" t="n">
        <f aca="false" t="array" ref="K127:K127">ROUND(INDEX('0.0.1 Pokémon Dex Data'!$S$3:$S951,MATCH($E127,'0.0.1 Pokémon Dex Data'!$B$3:$B951,0))*INDEX('0.0.1 Pokémon Dex Data'!U$3:U951,MATCH($E127,'0.0.1 Pokémon Dex Data'!$B$3:$B951,0)),0)</f>
        <v>173</v>
      </c>
      <c r="L127" s="260" t="n">
        <f aca="false" t="array" ref="L127:L127">ROUND(INDEX('0.0.1 Pokémon Dex Data'!$S$3:$S951,MATCH($E127,'0.0.1 Pokémon Dex Data'!$B$3:$B951,0))*INDEX('0.0.1 Pokémon Dex Data'!V$3:V951,MATCH($E127,'0.0.1 Pokémon Dex Data'!$B$3:$B951,0)),0)</f>
        <v>155</v>
      </c>
      <c r="M127" s="260" t="n">
        <f aca="false" t="array" ref="M127:M127">INDEX('0.0.1 Pokémon Dex Data'!$J$3:$J951,MATCH(E127,'0.0.1 Pokémon Dex Data'!$B$3:$B951,0))</f>
        <v>1</v>
      </c>
      <c r="O127" s="490"/>
      <c r="Q127" s="367" t="n">
        <f aca="false">IF('Reverse Search'!$F$4="All (including temporary formes)",1,IF('Reverse Search'!$F$4="Base Pokémon and permanent formes only",IF(F127&lt;=1,1,0),IF(F127=0,1,0)))</f>
        <v>1</v>
      </c>
      <c r="R127" s="0" t="n">
        <f aca="false">IF('Reverse Search'!$C$7="Disable",1,IF('Reverse Search'!$D$9="Disable",1,IF(OR('Reverse Search'!$F$9=H127,'Reverse Search'!$F$9=I127),1,0)))</f>
        <v>1</v>
      </c>
      <c r="S127" s="0" t="n">
        <f aca="false">IF('Reverse Search'!$C$7="Disable",1,IF('Reverse Search'!$D$10="Disable",1,IF(OR('Reverse Search'!$F$10=H127,'Reverse Search'!$F$10=I127),1,0)))</f>
        <v>1</v>
      </c>
      <c r="T127" s="0" t="n">
        <f aca="false">INDEX($B$4:$B$22,MATCH(H127,$A$4:$A$22,0))</f>
        <v>1</v>
      </c>
      <c r="U127" s="0" t="e">
        <f aca="false">IF(ISBLANK(I127),1,INDEX($B$4:$B$22,MATCH(I127,$A$4:$A$22,0)))</f>
        <v>#N/A</v>
      </c>
      <c r="V127" s="367" t="n">
        <f aca="false">IF('Reverse Search'!$C$7="Disable",1,IF('Reverse Search'!$D$11="Disable",1,IF('Reverse Search'!$E$11="Neutral to:",IF(ROUND(T127*U127,2)&lt;=1,1,0),IF(ROUND(T127*U127,2)&lt;1,1,0))))</f>
        <v>1</v>
      </c>
      <c r="W127" s="0" t="n">
        <f aca="false">IF('Reverse Search'!$N$7="Disable",1,IF('Reverse Search'!$I$9="Disable",1,IF('Reverse Search'!$K$9="≥",IF(J127&gt;='Reverse Search'!$L$9,1,0),IF('Reverse Search'!$K$9="≤",IF(J127&lt;='Reverse Search'!$L$9,1,0),IF(J127='Reverse Search'!$L$9,1,0)))))</f>
        <v>1</v>
      </c>
      <c r="X127" s="0" t="n">
        <f aca="false">IF('Reverse Search'!$N$7="Disable",1,IF('Reverse Search'!$I$10="Disable",1,IF('Reverse Search'!$K$10="≥",IF(K127&gt;='Reverse Search'!$L$10,1,0),IF('Reverse Search'!$K$10="≤",IF(K127&lt;='Reverse Search'!$L$10,1,0),IF(K127='Reverse Search'!$L$10,1,0)))))</f>
        <v>1</v>
      </c>
      <c r="Y127" s="367" t="n">
        <f aca="false">IF('Reverse Search'!$N$7="Disable",1,IF('Reverse Search'!$I$11="Disable",1,IF('Reverse Search'!$K$11="≥",IF(L127&gt;='Reverse Search'!$L$11,1,0),IF('Reverse Search'!$K$11="≤",IF(L127&lt;='Reverse Search'!$L$11,1,0),IF(L127='Reverse Search'!$L$11,1,0)))))</f>
        <v>1</v>
      </c>
      <c r="Z127" s="0" t="n">
        <f aca="true">IF('Reverse Search'!$C$14="Disable",1,IF('Reverse Search'!$D$16="Disable",1,IF($C$2=3,IF($M127=0,0,COUNTIF(INDIRECT("'0.0.2 Pokémon Learnset (Core)'!$D$"&amp;MATCH($E127,'0.0.2 Pokémon Learnset (Core)'!$A$1:$A951,0)&amp;":$FK$"&amp;MATCH($E127,'0.0.2 Pokémon Learnset (Core)'!$A$1:$A951,0)),'Reverse Search'!$E$21)),IF($C$2=2,COUNTIF(INDIRECT("'0.1.1 Pokémon GO Moves'!$B$"&amp;MATCH($E127,'0.1.1 Pokémon GO Moves'!$A$1:$A951,0)&amp;":$R$"&amp;MATCH($E127,'0.1.1 Pokémon GO Moves'!$A$1:$A951,0)),'Reverse Search'!$E$21),COUNTIF(INDIRECT("'0.1.1 Pokémon GO Moves'!$B$"&amp;MATCH($E127,'0.1.1 Pokémon GO Moves'!$A$1:$A951,0)&amp;":$L$"&amp;MATCH($E127,'0.1.1 Pokémon GO Moves'!$A$1:$A951,0)),'Reverse Search'!$E$21)))))</f>
        <v>1</v>
      </c>
      <c r="AA127" s="0" t="n">
        <f aca="true">IF('Reverse Search'!$C$14="Disable",1,IF('Reverse Search'!$I$16="Disable",1,IF($D$2=3,IF($M127=0,0,COUNTIF(INDIRECT("'0.0.2 Pokémon Learnset (Core)'!$D$"&amp;MATCH($E127,'0.0.2 Pokémon Learnset (Core)'!$A$1:$A951,0)&amp;":$FK$"&amp;MATCH($E127,'0.0.2 Pokémon Learnset (Core)'!$A$1:$A951,0)),'Reverse Search'!$J$21)),IF($D$2=2,COUNTIF(INDIRECT("'0.1.1 Pokémon GO Moves'!$B$"&amp;MATCH($E127,'0.1.1 Pokémon GO Moves'!$A$1:$A951,0)&amp;":$R$"&amp;MATCH($E127,'0.1.1 Pokémon GO Moves'!$A$1:$A951,0)),'Reverse Search'!$J$21),COUNTIF(INDIRECT("'0.1.1 Pokémon GO Moves'!$B$"&amp;MATCH($E127,'0.1.1 Pokémon GO Moves'!$A$1:$A951,0)&amp;":$L$"&amp;MATCH($E127,'0.1.1 Pokémon GO Moves'!$A$1:$A951,0)),'Reverse Search'!$J$21)))))</f>
        <v>0</v>
      </c>
      <c r="AB127" s="490"/>
      <c r="AC127" s="260" t="n">
        <f aca="false">IF((Q127+R127+S127+V127+W127+X127+Y127+IF(Z127&gt;=1,1,0)+IF(AA127&gt;=1,1,0))=9,G127&amp;", ",)</f>
        <v>0</v>
      </c>
    </row>
    <row r="128" customFormat="false" ht="15.75" hidden="false" customHeight="false" outlineLevel="0" collapsed="false">
      <c r="A128" s="260"/>
      <c r="B128" s="358"/>
      <c r="C128" s="260"/>
      <c r="D128" s="358"/>
      <c r="E128" s="260" t="n">
        <v>127</v>
      </c>
      <c r="F128" s="260" t="n">
        <f aca="false" t="array" ref="F128:F128">INDEX('0.0.1 Pokémon Dex Data'!$H$3:$H951,MATCH(E128,'0.0.1 Pokémon Dex Data'!$B$3:$B951,0))</f>
        <v>0</v>
      </c>
      <c r="G128" s="0" t="str">
        <f aca="false" t="array" ref="G128:G128">INDEX('0.0.1 Pokémon Dex Data'!$E$3:$E951,MATCH(E128,'0.0.1 Pokémon Dex Data'!$B$3:$B951,0))</f>
        <v>Exeggcute</v>
      </c>
      <c r="H128" s="0" t="str">
        <f aca="false" t="array" ref="H128:H128">INDEX('0.0.1 Pokémon Dex Data'!$Q$3:$Q951,MATCH(E128,'0.0.1 Pokémon Dex Data'!$B$3:$B951,0))</f>
        <v>Grass</v>
      </c>
      <c r="I128" s="0" t="str">
        <f aca="false" t="array" ref="I128:I128">INDEX('0.0.1 Pokémon Dex Data'!$R$3:$R951,MATCH(E128,'0.0.1 Pokémon Dex Data'!$B$3:$B951,0))</f>
        <v>Psychic</v>
      </c>
      <c r="J128" s="260" t="n">
        <f aca="false" t="array" ref="J128:J128">ROUND(INDEX('0.0.1 Pokémon Dex Data'!$S$3:$S951,MATCH($E128,'0.0.1 Pokémon Dex Data'!$B$3:$B951,0))*INDEX('0.0.1 Pokémon Dex Data'!T$3:T951,MATCH($E128,'0.0.1 Pokémon Dex Data'!$B$3:$B951,0)),0)</f>
        <v>107</v>
      </c>
      <c r="K128" s="260" t="n">
        <f aca="false" t="array" ref="K128:K128">ROUND(INDEX('0.0.1 Pokémon Dex Data'!$S$3:$S951,MATCH($E128,'0.0.1 Pokémon Dex Data'!$B$3:$B951,0))*INDEX('0.0.1 Pokémon Dex Data'!U$3:U951,MATCH($E128,'0.0.1 Pokémon Dex Data'!$B$3:$B951,0)),0)</f>
        <v>125</v>
      </c>
      <c r="L128" s="260" t="n">
        <f aca="false" t="array" ref="L128:L128">ROUND(INDEX('0.0.1 Pokémon Dex Data'!$S$3:$S951,MATCH($E128,'0.0.1 Pokémon Dex Data'!$B$3:$B951,0))*INDEX('0.0.1 Pokémon Dex Data'!V$3:V951,MATCH($E128,'0.0.1 Pokémon Dex Data'!$B$3:$B951,0)),0)</f>
        <v>155</v>
      </c>
      <c r="M128" s="260" t="n">
        <f aca="false" t="array" ref="M128:M128">INDEX('0.0.1 Pokémon Dex Data'!$J$3:$J951,MATCH(E128,'0.0.1 Pokémon Dex Data'!$B$3:$B951,0))</f>
        <v>0</v>
      </c>
      <c r="O128" s="490"/>
      <c r="Q128" s="367" t="n">
        <f aca="false">IF('Reverse Search'!$F$4="All (including temporary formes)",1,IF('Reverse Search'!$F$4="Base Pokémon and permanent formes only",IF(F128&lt;=1,1,0),IF(F128=0,1,0)))</f>
        <v>1</v>
      </c>
      <c r="R128" s="0" t="n">
        <f aca="false">IF('Reverse Search'!$C$7="Disable",1,IF('Reverse Search'!$D$9="Disable",1,IF(OR('Reverse Search'!$F$9=H128,'Reverse Search'!$F$9=I128),1,0)))</f>
        <v>1</v>
      </c>
      <c r="S128" s="0" t="n">
        <f aca="false">IF('Reverse Search'!$C$7="Disable",1,IF('Reverse Search'!$D$10="Disable",1,IF(OR('Reverse Search'!$F$10=H128,'Reverse Search'!$F$10=I128),1,0)))</f>
        <v>1</v>
      </c>
      <c r="T128" s="0" t="n">
        <f aca="false">INDEX($B$4:$B$22,MATCH(H128,$A$4:$A$22,0))</f>
        <v>1</v>
      </c>
      <c r="U128" s="0" t="n">
        <f aca="false">IF(ISBLANK(I128),1,INDEX($B$4:$B$22,MATCH(I128,$A$4:$A$22,0)))</f>
        <v>1</v>
      </c>
      <c r="V128" s="367" t="n">
        <f aca="false">IF('Reverse Search'!$C$7="Disable",1,IF('Reverse Search'!$D$11="Disable",1,IF('Reverse Search'!$E$11="Neutral to:",IF(ROUND(T128*U128,2)&lt;=1,1,0),IF(ROUND(T128*U128,2)&lt;1,1,0))))</f>
        <v>1</v>
      </c>
      <c r="W128" s="0" t="n">
        <f aca="false">IF('Reverse Search'!$N$7="Disable",1,IF('Reverse Search'!$I$9="Disable",1,IF('Reverse Search'!$K$9="≥",IF(J128&gt;='Reverse Search'!$L$9,1,0),IF('Reverse Search'!$K$9="≤",IF(J128&lt;='Reverse Search'!$L$9,1,0),IF(J128='Reverse Search'!$L$9,1,0)))))</f>
        <v>1</v>
      </c>
      <c r="X128" s="0" t="n">
        <f aca="false">IF('Reverse Search'!$N$7="Disable",1,IF('Reverse Search'!$I$10="Disable",1,IF('Reverse Search'!$K$10="≥",IF(K128&gt;='Reverse Search'!$L$10,1,0),IF('Reverse Search'!$K$10="≤",IF(K128&lt;='Reverse Search'!$L$10,1,0),IF(K128='Reverse Search'!$L$10,1,0)))))</f>
        <v>1</v>
      </c>
      <c r="Y128" s="367" t="n">
        <f aca="false">IF('Reverse Search'!$N$7="Disable",1,IF('Reverse Search'!$I$11="Disable",1,IF('Reverse Search'!$K$11="≥",IF(L128&gt;='Reverse Search'!$L$11,1,0),IF('Reverse Search'!$K$11="≤",IF(L128&lt;='Reverse Search'!$L$11,1,0),IF(L128='Reverse Search'!$L$11,1,0)))))</f>
        <v>1</v>
      </c>
      <c r="Z128" s="0" t="n">
        <f aca="true">IF('Reverse Search'!$C$14="Disable",1,IF('Reverse Search'!$D$16="Disable",1,IF($C$2=3,IF($M128=0,0,COUNTIF(INDIRECT("'0.0.2 Pokémon Learnset (Core)'!$D$"&amp;MATCH($E128,'0.0.2 Pokémon Learnset (Core)'!$A$1:$A951,0)&amp;":$FK$"&amp;MATCH($E128,'0.0.2 Pokémon Learnset (Core)'!$A$1:$A951,0)),'Reverse Search'!$E$21)),IF($C$2=2,COUNTIF(INDIRECT("'0.1.1 Pokémon GO Moves'!$B$"&amp;MATCH($E128,'0.1.1 Pokémon GO Moves'!$A$1:$A951,0)&amp;":$R$"&amp;MATCH($E128,'0.1.1 Pokémon GO Moves'!$A$1:$A951,0)),'Reverse Search'!$E$21),COUNTIF(INDIRECT("'0.1.1 Pokémon GO Moves'!$B$"&amp;MATCH($E128,'0.1.1 Pokémon GO Moves'!$A$1:$A951,0)&amp;":$L$"&amp;MATCH($E128,'0.1.1 Pokémon GO Moves'!$A$1:$A951,0)),'Reverse Search'!$E$21)))))</f>
        <v>1</v>
      </c>
      <c r="AA128" s="0" t="n">
        <f aca="true">IF('Reverse Search'!$C$14="Disable",1,IF('Reverse Search'!$I$16="Disable",1,IF($D$2=3,IF($M128=0,0,COUNTIF(INDIRECT("'0.0.2 Pokémon Learnset (Core)'!$D$"&amp;MATCH($E128,'0.0.2 Pokémon Learnset (Core)'!$A$1:$A951,0)&amp;":$FK$"&amp;MATCH($E128,'0.0.2 Pokémon Learnset (Core)'!$A$1:$A951,0)),'Reverse Search'!$J$21)),IF($D$2=2,COUNTIF(INDIRECT("'0.1.1 Pokémon GO Moves'!$B$"&amp;MATCH($E128,'0.1.1 Pokémon GO Moves'!$A$1:$A951,0)&amp;":$R$"&amp;MATCH($E128,'0.1.1 Pokémon GO Moves'!$A$1:$A951,0)),'Reverse Search'!$J$21),COUNTIF(INDIRECT("'0.1.1 Pokémon GO Moves'!$B$"&amp;MATCH($E128,'0.1.1 Pokémon GO Moves'!$A$1:$A951,0)&amp;":$L$"&amp;MATCH($E128,'0.1.1 Pokémon GO Moves'!$A$1:$A951,0)),'Reverse Search'!$J$21)))))</f>
        <v>0</v>
      </c>
      <c r="AB128" s="490"/>
      <c r="AC128" s="260" t="n">
        <f aca="false">IF((Q128+R128+S128+V128+W128+X128+Y128+IF(Z128&gt;=1,1,0)+IF(AA128&gt;=1,1,0))=9,G128&amp;", ",)</f>
        <v>0</v>
      </c>
    </row>
    <row r="129" customFormat="false" ht="15.75" hidden="false" customHeight="false" outlineLevel="0" collapsed="false">
      <c r="A129" s="260"/>
      <c r="B129" s="358"/>
      <c r="C129" s="260"/>
      <c r="D129" s="358"/>
      <c r="E129" s="260" t="n">
        <v>128</v>
      </c>
      <c r="F129" s="260" t="n">
        <f aca="false" t="array" ref="F129:F129">INDEX('0.0.1 Pokémon Dex Data'!$H$3:$H951,MATCH(E129,'0.0.1 Pokémon Dex Data'!$B$3:$B951,0))</f>
        <v>0</v>
      </c>
      <c r="G129" s="0" t="str">
        <f aca="false" t="array" ref="G129:G129">INDEX('0.0.1 Pokémon Dex Data'!$E$3:$E951,MATCH(E129,'0.0.1 Pokémon Dex Data'!$B$3:$B951,0))</f>
        <v>Exeggutor</v>
      </c>
      <c r="H129" s="0" t="str">
        <f aca="false" t="array" ref="H129:H129">INDEX('0.0.1 Pokémon Dex Data'!$Q$3:$Q951,MATCH(E129,'0.0.1 Pokémon Dex Data'!$B$3:$B951,0))</f>
        <v>Grass</v>
      </c>
      <c r="I129" s="0" t="str">
        <f aca="false" t="array" ref="I129:I129">INDEX('0.0.1 Pokémon Dex Data'!$R$3:$R951,MATCH(E129,'0.0.1 Pokémon Dex Data'!$B$3:$B951,0))</f>
        <v>Psychic</v>
      </c>
      <c r="J129" s="260" t="n">
        <f aca="false" t="array" ref="J129:J129">ROUND(INDEX('0.0.1 Pokémon Dex Data'!$S$3:$S951,MATCH($E129,'0.0.1 Pokémon Dex Data'!$B$3:$B951,0))*INDEX('0.0.1 Pokémon Dex Data'!T$3:T951,MATCH($E129,'0.0.1 Pokémon Dex Data'!$B$3:$B951,0)),0)</f>
        <v>233</v>
      </c>
      <c r="K129" s="260" t="n">
        <f aca="false" t="array" ref="K129:K129">ROUND(INDEX('0.0.1 Pokémon Dex Data'!$S$3:$S951,MATCH($E129,'0.0.1 Pokémon Dex Data'!$B$3:$B951,0))*INDEX('0.0.1 Pokémon Dex Data'!U$3:U951,MATCH($E129,'0.0.1 Pokémon Dex Data'!$B$3:$B951,0)),0)</f>
        <v>149</v>
      </c>
      <c r="L129" s="260" t="n">
        <f aca="false" t="array" ref="L129:L129">ROUND(INDEX('0.0.1 Pokémon Dex Data'!$S$3:$S951,MATCH($E129,'0.0.1 Pokémon Dex Data'!$B$3:$B951,0))*INDEX('0.0.1 Pokémon Dex Data'!V$3:V951,MATCH($E129,'0.0.1 Pokémon Dex Data'!$B$3:$B951,0)),0)</f>
        <v>216</v>
      </c>
      <c r="M129" s="260" t="n">
        <f aca="false" t="array" ref="M129:M129">INDEX('0.0.1 Pokémon Dex Data'!$J$3:$J951,MATCH(E129,'0.0.1 Pokémon Dex Data'!$B$3:$B951,0))</f>
        <v>1</v>
      </c>
      <c r="O129" s="490"/>
      <c r="Q129" s="367" t="n">
        <f aca="false">IF('Reverse Search'!$F$4="All (including temporary formes)",1,IF('Reverse Search'!$F$4="Base Pokémon and permanent formes only",IF(F129&lt;=1,1,0),IF(F129=0,1,0)))</f>
        <v>1</v>
      </c>
      <c r="R129" s="0" t="n">
        <f aca="false">IF('Reverse Search'!$C$7="Disable",1,IF('Reverse Search'!$D$9="Disable",1,IF(OR('Reverse Search'!$F$9=H129,'Reverse Search'!$F$9=I129),1,0)))</f>
        <v>1</v>
      </c>
      <c r="S129" s="0" t="n">
        <f aca="false">IF('Reverse Search'!$C$7="Disable",1,IF('Reverse Search'!$D$10="Disable",1,IF(OR('Reverse Search'!$F$10=H129,'Reverse Search'!$F$10=I129),1,0)))</f>
        <v>1</v>
      </c>
      <c r="T129" s="0" t="n">
        <f aca="false">INDEX($B$4:$B$22,MATCH(H129,$A$4:$A$22,0))</f>
        <v>1</v>
      </c>
      <c r="U129" s="0" t="n">
        <f aca="false">IF(ISBLANK(I129),1,INDEX($B$4:$B$22,MATCH(I129,$A$4:$A$22,0)))</f>
        <v>1</v>
      </c>
      <c r="V129" s="367" t="n">
        <f aca="false">IF('Reverse Search'!$C$7="Disable",1,IF('Reverse Search'!$D$11="Disable",1,IF('Reverse Search'!$E$11="Neutral to:",IF(ROUND(T129*U129,2)&lt;=1,1,0),IF(ROUND(T129*U129,2)&lt;1,1,0))))</f>
        <v>1</v>
      </c>
      <c r="W129" s="0" t="n">
        <f aca="false">IF('Reverse Search'!$N$7="Disable",1,IF('Reverse Search'!$I$9="Disable",1,IF('Reverse Search'!$K$9="≥",IF(J129&gt;='Reverse Search'!$L$9,1,0),IF('Reverse Search'!$K$9="≤",IF(J129&lt;='Reverse Search'!$L$9,1,0),IF(J129='Reverse Search'!$L$9,1,0)))))</f>
        <v>1</v>
      </c>
      <c r="X129" s="0" t="n">
        <f aca="false">IF('Reverse Search'!$N$7="Disable",1,IF('Reverse Search'!$I$10="Disable",1,IF('Reverse Search'!$K$10="≥",IF(K129&gt;='Reverse Search'!$L$10,1,0),IF('Reverse Search'!$K$10="≤",IF(K129&lt;='Reverse Search'!$L$10,1,0),IF(K129='Reverse Search'!$L$10,1,0)))))</f>
        <v>1</v>
      </c>
      <c r="Y129" s="367" t="n">
        <f aca="false">IF('Reverse Search'!$N$7="Disable",1,IF('Reverse Search'!$I$11="Disable",1,IF('Reverse Search'!$K$11="≥",IF(L129&gt;='Reverse Search'!$L$11,1,0),IF('Reverse Search'!$K$11="≤",IF(L129&lt;='Reverse Search'!$L$11,1,0),IF(L129='Reverse Search'!$L$11,1,0)))))</f>
        <v>1</v>
      </c>
      <c r="Z129" s="0" t="n">
        <f aca="true">IF('Reverse Search'!$C$14="Disable",1,IF('Reverse Search'!$D$16="Disable",1,IF($C$2=3,IF($M129=0,0,COUNTIF(INDIRECT("'0.0.2 Pokémon Learnset (Core)'!$D$"&amp;MATCH($E129,'0.0.2 Pokémon Learnset (Core)'!$A$1:$A951,0)&amp;":$FK$"&amp;MATCH($E129,'0.0.2 Pokémon Learnset (Core)'!$A$1:$A951,0)),'Reverse Search'!$E$21)),IF($C$2=2,COUNTIF(INDIRECT("'0.1.1 Pokémon GO Moves'!$B$"&amp;MATCH($E129,'0.1.1 Pokémon GO Moves'!$A$1:$A951,0)&amp;":$R$"&amp;MATCH($E129,'0.1.1 Pokémon GO Moves'!$A$1:$A951,0)),'Reverse Search'!$E$21),COUNTIF(INDIRECT("'0.1.1 Pokémon GO Moves'!$B$"&amp;MATCH($E129,'0.1.1 Pokémon GO Moves'!$A$1:$A951,0)&amp;":$L$"&amp;MATCH($E129,'0.1.1 Pokémon GO Moves'!$A$1:$A951,0)),'Reverse Search'!$E$21)))))</f>
        <v>1</v>
      </c>
      <c r="AA129" s="0" t="n">
        <f aca="true">IF('Reverse Search'!$C$14="Disable",1,IF('Reverse Search'!$I$16="Disable",1,IF($D$2=3,IF($M129=0,0,COUNTIF(INDIRECT("'0.0.2 Pokémon Learnset (Core)'!$D$"&amp;MATCH($E129,'0.0.2 Pokémon Learnset (Core)'!$A$1:$A951,0)&amp;":$FK$"&amp;MATCH($E129,'0.0.2 Pokémon Learnset (Core)'!$A$1:$A951,0)),'Reverse Search'!$J$21)),IF($D$2=2,COUNTIF(INDIRECT("'0.1.1 Pokémon GO Moves'!$B$"&amp;MATCH($E129,'0.1.1 Pokémon GO Moves'!$A$1:$A951,0)&amp;":$R$"&amp;MATCH($E129,'0.1.1 Pokémon GO Moves'!$A$1:$A951,0)),'Reverse Search'!$J$21),COUNTIF(INDIRECT("'0.1.1 Pokémon GO Moves'!$B$"&amp;MATCH($E129,'0.1.1 Pokémon GO Moves'!$A$1:$A951,0)&amp;":$L$"&amp;MATCH($E129,'0.1.1 Pokémon GO Moves'!$A$1:$A951,0)),'Reverse Search'!$J$21)))))</f>
        <v>0</v>
      </c>
      <c r="AB129" s="490"/>
      <c r="AC129" s="260" t="n">
        <f aca="false">IF((Q129+R129+S129+V129+W129+X129+Y129+IF(Z129&gt;=1,1,0)+IF(AA129&gt;=1,1,0))=9,G129&amp;", ",)</f>
        <v>0</v>
      </c>
    </row>
    <row r="130" customFormat="false" ht="15.75" hidden="false" customHeight="false" outlineLevel="0" collapsed="false">
      <c r="A130" s="260"/>
      <c r="B130" s="358"/>
      <c r="C130" s="260"/>
      <c r="D130" s="358"/>
      <c r="E130" s="260" t="n">
        <v>129</v>
      </c>
      <c r="F130" s="260" t="n">
        <f aca="false" t="array" ref="F130:F130">INDEX('0.0.1 Pokémon Dex Data'!$H$3:$H951,MATCH(E130,'0.0.1 Pokémon Dex Data'!$B$3:$B951,0))</f>
        <v>1</v>
      </c>
      <c r="G130" s="0" t="str">
        <f aca="false" t="array" ref="G130:G130">INDEX('0.0.1 Pokémon Dex Data'!$E$3:$E951,MATCH(E130,'0.0.1 Pokémon Dex Data'!$B$3:$B951,0))</f>
        <v>Exeggutor-Alolan</v>
      </c>
      <c r="H130" s="0" t="str">
        <f aca="false" t="array" ref="H130:H130">INDEX('0.0.1 Pokémon Dex Data'!$Q$3:$Q951,MATCH(E130,'0.0.1 Pokémon Dex Data'!$B$3:$B951,0))</f>
        <v>Grass</v>
      </c>
      <c r="I130" s="0" t="str">
        <f aca="false" t="array" ref="I130:I130">INDEX('0.0.1 Pokémon Dex Data'!$R$3:$R951,MATCH(E130,'0.0.1 Pokémon Dex Data'!$B$3:$B951,0))</f>
        <v>Dragon</v>
      </c>
      <c r="J130" s="260" t="n">
        <f aca="false" t="array" ref="J130:J130">ROUND(INDEX('0.0.1 Pokémon Dex Data'!$S$3:$S951,MATCH($E130,'0.0.1 Pokémon Dex Data'!$B$3:$B951,0))*INDEX('0.0.1 Pokémon Dex Data'!T$3:T951,MATCH($E130,'0.0.1 Pokémon Dex Data'!$B$3:$B951,0)),0)</f>
        <v>230</v>
      </c>
      <c r="K130" s="260" t="n">
        <f aca="false" t="array" ref="K130:K130">ROUND(INDEX('0.0.1 Pokémon Dex Data'!$S$3:$S951,MATCH($E130,'0.0.1 Pokémon Dex Data'!$B$3:$B951,0))*INDEX('0.0.1 Pokémon Dex Data'!U$3:U951,MATCH($E130,'0.0.1 Pokémon Dex Data'!$B$3:$B951,0)),0)</f>
        <v>153</v>
      </c>
      <c r="L130" s="260" t="n">
        <f aca="false" t="array" ref="L130:L130">ROUND(INDEX('0.0.1 Pokémon Dex Data'!$S$3:$S951,MATCH($E130,'0.0.1 Pokémon Dex Data'!$B$3:$B951,0))*INDEX('0.0.1 Pokémon Dex Data'!V$3:V951,MATCH($E130,'0.0.1 Pokémon Dex Data'!$B$3:$B951,0)),0)</f>
        <v>216</v>
      </c>
      <c r="M130" s="260" t="n">
        <f aca="false" t="array" ref="M130:M130">INDEX('0.0.1 Pokémon Dex Data'!$J$3:$J951,MATCH(E130,'0.0.1 Pokémon Dex Data'!$B$3:$B951,0))</f>
        <v>1</v>
      </c>
      <c r="O130" s="490"/>
      <c r="Q130" s="367" t="n">
        <f aca="false">IF('Reverse Search'!$F$4="All (including temporary formes)",1,IF('Reverse Search'!$F$4="Base Pokémon and permanent formes only",IF(F130&lt;=1,1,0),IF(F130=0,1,0)))</f>
        <v>0</v>
      </c>
      <c r="R130" s="0" t="n">
        <f aca="false">IF('Reverse Search'!$C$7="Disable",1,IF('Reverse Search'!$D$9="Disable",1,IF(OR('Reverse Search'!$F$9=H130,'Reverse Search'!$F$9=I130),1,0)))</f>
        <v>1</v>
      </c>
      <c r="S130" s="0" t="n">
        <f aca="false">IF('Reverse Search'!$C$7="Disable",1,IF('Reverse Search'!$D$10="Disable",1,IF(OR('Reverse Search'!$F$10=H130,'Reverse Search'!$F$10=I130),1,0)))</f>
        <v>1</v>
      </c>
      <c r="T130" s="0" t="n">
        <f aca="false">INDEX($B$4:$B$22,MATCH(H130,$A$4:$A$22,0))</f>
        <v>1</v>
      </c>
      <c r="U130" s="0" t="n">
        <f aca="false">IF(ISBLANK(I130),1,INDEX($B$4:$B$22,MATCH(I130,$A$4:$A$22,0)))</f>
        <v>1</v>
      </c>
      <c r="V130" s="367" t="n">
        <f aca="false">IF('Reverse Search'!$C$7="Disable",1,IF('Reverse Search'!$D$11="Disable",1,IF('Reverse Search'!$E$11="Neutral to:",IF(ROUND(T130*U130,2)&lt;=1,1,0),IF(ROUND(T130*U130,2)&lt;1,1,0))))</f>
        <v>1</v>
      </c>
      <c r="W130" s="0" t="n">
        <f aca="false">IF('Reverse Search'!$N$7="Disable",1,IF('Reverse Search'!$I$9="Disable",1,IF('Reverse Search'!$K$9="≥",IF(J130&gt;='Reverse Search'!$L$9,1,0),IF('Reverse Search'!$K$9="≤",IF(J130&lt;='Reverse Search'!$L$9,1,0),IF(J130='Reverse Search'!$L$9,1,0)))))</f>
        <v>1</v>
      </c>
      <c r="X130" s="0" t="n">
        <f aca="false">IF('Reverse Search'!$N$7="Disable",1,IF('Reverse Search'!$I$10="Disable",1,IF('Reverse Search'!$K$10="≥",IF(K130&gt;='Reverse Search'!$L$10,1,0),IF('Reverse Search'!$K$10="≤",IF(K130&lt;='Reverse Search'!$L$10,1,0),IF(K130='Reverse Search'!$L$10,1,0)))))</f>
        <v>1</v>
      </c>
      <c r="Y130" s="367" t="n">
        <f aca="false">IF('Reverse Search'!$N$7="Disable",1,IF('Reverse Search'!$I$11="Disable",1,IF('Reverse Search'!$K$11="≥",IF(L130&gt;='Reverse Search'!$L$11,1,0),IF('Reverse Search'!$K$11="≤",IF(L130&lt;='Reverse Search'!$L$11,1,0),IF(L130='Reverse Search'!$L$11,1,0)))))</f>
        <v>1</v>
      </c>
      <c r="Z130" s="0" t="n">
        <f aca="true">IF('Reverse Search'!$C$14="Disable",1,IF('Reverse Search'!$D$16="Disable",1,IF($C$2=3,IF($M130=0,0,COUNTIF(INDIRECT("'0.0.2 Pokémon Learnset (Core)'!$D$"&amp;MATCH($E130,'0.0.2 Pokémon Learnset (Core)'!$A$1:$A951,0)&amp;":$FK$"&amp;MATCH($E130,'0.0.2 Pokémon Learnset (Core)'!$A$1:$A951,0)),'Reverse Search'!$E$21)),IF($C$2=2,COUNTIF(INDIRECT("'0.1.1 Pokémon GO Moves'!$B$"&amp;MATCH($E130,'0.1.1 Pokémon GO Moves'!$A$1:$A951,0)&amp;":$R$"&amp;MATCH($E130,'0.1.1 Pokémon GO Moves'!$A$1:$A951,0)),'Reverse Search'!$E$21),COUNTIF(INDIRECT("'0.1.1 Pokémon GO Moves'!$B$"&amp;MATCH($E130,'0.1.1 Pokémon GO Moves'!$A$1:$A951,0)&amp;":$L$"&amp;MATCH($E130,'0.1.1 Pokémon GO Moves'!$A$1:$A951,0)),'Reverse Search'!$E$21)))))</f>
        <v>1</v>
      </c>
      <c r="AA130" s="0" t="e">
        <f aca="true">IF('Reverse Search'!$C$14="Disable",1,IF('Reverse Search'!$I$16="Disable",1,IF($D$2=3,IF($M130=0,0,COUNTIF(INDIRECT("'0.0.2 Pokémon Learnset (Core)'!$D$"&amp;MATCH($E130,'0.0.2 Pokémon Learnset (Core)'!$A$1:$A951,0)&amp;":$FK$"&amp;MATCH($E130,'0.0.2 Pokémon Learnset (Core)'!$A$1:$A951,0)),'Reverse Search'!$J$21)),IF($D$2=2,COUNTIF(INDIRECT("'0.1.1 Pokémon GO Moves'!$B$"&amp;MATCH($E130,'0.1.1 Pokémon GO Moves'!$A$1:$A951,0)&amp;":$R$"&amp;MATCH($E130,'0.1.1 Pokémon GO Moves'!$A$1:$A951,0)),'Reverse Search'!$J$21),COUNTIF(INDIRECT("'0.1.1 Pokémon GO Moves'!$B$"&amp;MATCH($E130,'0.1.1 Pokémon GO Moves'!$A$1:$A951,0)&amp;":$L$"&amp;MATCH($E130,'0.1.1 Pokémon GO Moves'!$A$1:$A951,0)),'Reverse Search'!$J$21)))))</f>
        <v>#N/A</v>
      </c>
      <c r="AB130" s="490"/>
      <c r="AC130" s="260" t="e">
        <f aca="false">IF((Q130+R130+S130+V130+W130+X130+Y130+IF(Z130&gt;=1,1,0)+IF(AA130&gt;=1,1,0))=9,G130&amp;", ",)</f>
        <v>#N/A</v>
      </c>
    </row>
    <row r="131" customFormat="false" ht="15.75" hidden="false" customHeight="false" outlineLevel="0" collapsed="false">
      <c r="A131" s="260"/>
      <c r="B131" s="358"/>
      <c r="C131" s="260"/>
      <c r="D131" s="358"/>
      <c r="E131" s="260" t="n">
        <v>130</v>
      </c>
      <c r="F131" s="260" t="n">
        <f aca="false" t="array" ref="F131:F131">INDEX('0.0.1 Pokémon Dex Data'!$H$3:$H951,MATCH(E131,'0.0.1 Pokémon Dex Data'!$B$3:$B951,0))</f>
        <v>0</v>
      </c>
      <c r="G131" s="0" t="str">
        <f aca="false" t="array" ref="G131:G131">INDEX('0.0.1 Pokémon Dex Data'!$E$3:$E951,MATCH(E131,'0.0.1 Pokémon Dex Data'!$B$3:$B951,0))</f>
        <v>Cubone</v>
      </c>
      <c r="H131" s="0" t="str">
        <f aca="false" t="array" ref="H131:H131">INDEX('0.0.1 Pokémon Dex Data'!$Q$3:$Q951,MATCH(E131,'0.0.1 Pokémon Dex Data'!$B$3:$B951,0))</f>
        <v>Ground</v>
      </c>
      <c r="I131" s="0" t="n">
        <f aca="false">INDEX('0.0.1 Pokémon Dex Data'!$R$3:$R951,MATCH(E131,'0.0.1 Pokémon Dex Data'!$B$3:$B951,0))</f>
        <v>0</v>
      </c>
      <c r="J131" s="260" t="n">
        <f aca="false" t="array" ref="J131:J131">ROUND(INDEX('0.0.1 Pokémon Dex Data'!$S$3:$S951,MATCH($E131,'0.0.1 Pokémon Dex Data'!$B$3:$B951,0))*INDEX('0.0.1 Pokémon Dex Data'!T$3:T951,MATCH($E131,'0.0.1 Pokémon Dex Data'!$B$3:$B951,0)),0)</f>
        <v>90</v>
      </c>
      <c r="K131" s="260" t="n">
        <f aca="false" t="array" ref="K131:K131">ROUND(INDEX('0.0.1 Pokémon Dex Data'!$S$3:$S951,MATCH($E131,'0.0.1 Pokémon Dex Data'!$B$3:$B951,0))*INDEX('0.0.1 Pokémon Dex Data'!U$3:U951,MATCH($E131,'0.0.1 Pokémon Dex Data'!$B$3:$B951,0)),0)</f>
        <v>144</v>
      </c>
      <c r="L131" s="260" t="n">
        <f aca="false" t="array" ref="L131:L131">ROUND(INDEX('0.0.1 Pokémon Dex Data'!$S$3:$S951,MATCH($E131,'0.0.1 Pokémon Dex Data'!$B$3:$B951,0))*INDEX('0.0.1 Pokémon Dex Data'!V$3:V951,MATCH($E131,'0.0.1 Pokémon Dex Data'!$B$3:$B951,0)),0)</f>
        <v>137</v>
      </c>
      <c r="M131" s="260" t="n">
        <f aca="false" t="array" ref="M131:M131">INDEX('0.0.1 Pokémon Dex Data'!$J$3:$J951,MATCH(E131,'0.0.1 Pokémon Dex Data'!$B$3:$B951,0))</f>
        <v>0</v>
      </c>
      <c r="O131" s="490"/>
      <c r="Q131" s="367" t="n">
        <f aca="false">IF('Reverse Search'!$F$4="All (including temporary formes)",1,IF('Reverse Search'!$F$4="Base Pokémon and permanent formes only",IF(F131&lt;=1,1,0),IF(F131=0,1,0)))</f>
        <v>1</v>
      </c>
      <c r="R131" s="0" t="n">
        <f aca="false">IF('Reverse Search'!$C$7="Disable",1,IF('Reverse Search'!$D$9="Disable",1,IF(OR('Reverse Search'!$F$9=H131,'Reverse Search'!$F$9=I131),1,0)))</f>
        <v>1</v>
      </c>
      <c r="S131" s="0" t="n">
        <f aca="false">IF('Reverse Search'!$C$7="Disable",1,IF('Reverse Search'!$D$10="Disable",1,IF(OR('Reverse Search'!$F$10=H131,'Reverse Search'!$F$10=I131),1,0)))</f>
        <v>1</v>
      </c>
      <c r="T131" s="0" t="n">
        <f aca="false">INDEX($B$4:$B$22,MATCH(H131,$A$4:$A$22,0))</f>
        <v>1</v>
      </c>
      <c r="U131" s="0" t="e">
        <f aca="false">IF(ISBLANK(I131),1,INDEX($B$4:$B$22,MATCH(I131,$A$4:$A$22,0)))</f>
        <v>#N/A</v>
      </c>
      <c r="V131" s="367" t="n">
        <f aca="false">IF('Reverse Search'!$C$7="Disable",1,IF('Reverse Search'!$D$11="Disable",1,IF('Reverse Search'!$E$11="Neutral to:",IF(ROUND(T131*U131,2)&lt;=1,1,0),IF(ROUND(T131*U131,2)&lt;1,1,0))))</f>
        <v>1</v>
      </c>
      <c r="W131" s="0" t="n">
        <f aca="false">IF('Reverse Search'!$N$7="Disable",1,IF('Reverse Search'!$I$9="Disable",1,IF('Reverse Search'!$K$9="≥",IF(J131&gt;='Reverse Search'!$L$9,1,0),IF('Reverse Search'!$K$9="≤",IF(J131&lt;='Reverse Search'!$L$9,1,0),IF(J131='Reverse Search'!$L$9,1,0)))))</f>
        <v>1</v>
      </c>
      <c r="X131" s="0" t="n">
        <f aca="false">IF('Reverse Search'!$N$7="Disable",1,IF('Reverse Search'!$I$10="Disable",1,IF('Reverse Search'!$K$10="≥",IF(K131&gt;='Reverse Search'!$L$10,1,0),IF('Reverse Search'!$K$10="≤",IF(K131&lt;='Reverse Search'!$L$10,1,0),IF(K131='Reverse Search'!$L$10,1,0)))))</f>
        <v>1</v>
      </c>
      <c r="Y131" s="367" t="n">
        <f aca="false">IF('Reverse Search'!$N$7="Disable",1,IF('Reverse Search'!$I$11="Disable",1,IF('Reverse Search'!$K$11="≥",IF(L131&gt;='Reverse Search'!$L$11,1,0),IF('Reverse Search'!$K$11="≤",IF(L131&lt;='Reverse Search'!$L$11,1,0),IF(L131='Reverse Search'!$L$11,1,0)))))</f>
        <v>1</v>
      </c>
      <c r="Z131" s="0" t="n">
        <f aca="true">IF('Reverse Search'!$C$14="Disable",1,IF('Reverse Search'!$D$16="Disable",1,IF($C$2=3,IF($M131=0,0,COUNTIF(INDIRECT("'0.0.2 Pokémon Learnset (Core)'!$D$"&amp;MATCH($E131,'0.0.2 Pokémon Learnset (Core)'!$A$1:$A951,0)&amp;":$FK$"&amp;MATCH($E131,'0.0.2 Pokémon Learnset (Core)'!$A$1:$A951,0)),'Reverse Search'!$E$21)),IF($C$2=2,COUNTIF(INDIRECT("'0.1.1 Pokémon GO Moves'!$B$"&amp;MATCH($E131,'0.1.1 Pokémon GO Moves'!$A$1:$A951,0)&amp;":$R$"&amp;MATCH($E131,'0.1.1 Pokémon GO Moves'!$A$1:$A951,0)),'Reverse Search'!$E$21),COUNTIF(INDIRECT("'0.1.1 Pokémon GO Moves'!$B$"&amp;MATCH($E131,'0.1.1 Pokémon GO Moves'!$A$1:$A951,0)&amp;":$L$"&amp;MATCH($E131,'0.1.1 Pokémon GO Moves'!$A$1:$A951,0)),'Reverse Search'!$E$21)))))</f>
        <v>1</v>
      </c>
      <c r="AA131" s="0" t="n">
        <f aca="true">IF('Reverse Search'!$C$14="Disable",1,IF('Reverse Search'!$I$16="Disable",1,IF($D$2=3,IF($M131=0,0,COUNTIF(INDIRECT("'0.0.2 Pokémon Learnset (Core)'!$D$"&amp;MATCH($E131,'0.0.2 Pokémon Learnset (Core)'!$A$1:$A951,0)&amp;":$FK$"&amp;MATCH($E131,'0.0.2 Pokémon Learnset (Core)'!$A$1:$A951,0)),'Reverse Search'!$J$21)),IF($D$2=2,COUNTIF(INDIRECT("'0.1.1 Pokémon GO Moves'!$B$"&amp;MATCH($E131,'0.1.1 Pokémon GO Moves'!$A$1:$A951,0)&amp;":$R$"&amp;MATCH($E131,'0.1.1 Pokémon GO Moves'!$A$1:$A951,0)),'Reverse Search'!$J$21),COUNTIF(INDIRECT("'0.1.1 Pokémon GO Moves'!$B$"&amp;MATCH($E131,'0.1.1 Pokémon GO Moves'!$A$1:$A951,0)&amp;":$L$"&amp;MATCH($E131,'0.1.1 Pokémon GO Moves'!$A$1:$A951,0)),'Reverse Search'!$J$21)))))</f>
        <v>0</v>
      </c>
      <c r="AB131" s="490"/>
      <c r="AC131" s="260" t="n">
        <f aca="false">IF((Q131+R131+S131+V131+W131+X131+Y131+IF(Z131&gt;=1,1,0)+IF(AA131&gt;=1,1,0))=9,G131&amp;", ",)</f>
        <v>0</v>
      </c>
    </row>
    <row r="132" customFormat="false" ht="15.75" hidden="false" customHeight="false" outlineLevel="0" collapsed="false">
      <c r="A132" s="260"/>
      <c r="B132" s="358"/>
      <c r="C132" s="260"/>
      <c r="D132" s="358"/>
      <c r="E132" s="260" t="n">
        <v>131</v>
      </c>
      <c r="F132" s="260" t="n">
        <f aca="false" t="array" ref="F132:F132">INDEX('0.0.1 Pokémon Dex Data'!$H$3:$H951,MATCH(E132,'0.0.1 Pokémon Dex Data'!$B$3:$B951,0))</f>
        <v>0</v>
      </c>
      <c r="G132" s="0" t="str">
        <f aca="false" t="array" ref="G132:G132">INDEX('0.0.1 Pokémon Dex Data'!$E$3:$E951,MATCH(E132,'0.0.1 Pokémon Dex Data'!$B$3:$B951,0))</f>
        <v>Marowak</v>
      </c>
      <c r="H132" s="0" t="str">
        <f aca="false" t="array" ref="H132:H132">INDEX('0.0.1 Pokémon Dex Data'!$Q$3:$Q951,MATCH(E132,'0.0.1 Pokémon Dex Data'!$B$3:$B951,0))</f>
        <v>Ground</v>
      </c>
      <c r="I132" s="0" t="n">
        <f aca="false">INDEX('0.0.1 Pokémon Dex Data'!$R$3:$R951,MATCH(E132,'0.0.1 Pokémon Dex Data'!$B$3:$B951,0))</f>
        <v>0</v>
      </c>
      <c r="J132" s="260" t="n">
        <f aca="false" t="array" ref="J132:J132">ROUND(INDEX('0.0.1 Pokémon Dex Data'!$S$3:$S951,MATCH($E132,'0.0.1 Pokémon Dex Data'!$B$3:$B951,0))*INDEX('0.0.1 Pokémon Dex Data'!T$3:T951,MATCH($E132,'0.0.1 Pokémon Dex Data'!$B$3:$B951,0)),0)</f>
        <v>144</v>
      </c>
      <c r="K132" s="260" t="n">
        <f aca="false" t="array" ref="K132:K132">ROUND(INDEX('0.0.1 Pokémon Dex Data'!$S$3:$S951,MATCH($E132,'0.0.1 Pokémon Dex Data'!$B$3:$B951,0))*INDEX('0.0.1 Pokémon Dex Data'!U$3:U951,MATCH($E132,'0.0.1 Pokémon Dex Data'!$B$3:$B951,0)),0)</f>
        <v>186</v>
      </c>
      <c r="L132" s="260" t="n">
        <f aca="false" t="array" ref="L132:L132">ROUND(INDEX('0.0.1 Pokémon Dex Data'!$S$3:$S951,MATCH($E132,'0.0.1 Pokémon Dex Data'!$B$3:$B951,0))*INDEX('0.0.1 Pokémon Dex Data'!V$3:V951,MATCH($E132,'0.0.1 Pokémon Dex Data'!$B$3:$B951,0)),0)</f>
        <v>155</v>
      </c>
      <c r="M132" s="260" t="n">
        <f aca="false" t="array" ref="M132:M132">INDEX('0.0.1 Pokémon Dex Data'!$J$3:$J951,MATCH(E132,'0.0.1 Pokémon Dex Data'!$B$3:$B951,0))</f>
        <v>1</v>
      </c>
      <c r="O132" s="490"/>
      <c r="Q132" s="367" t="n">
        <f aca="false">IF('Reverse Search'!$F$4="All (including temporary formes)",1,IF('Reverse Search'!$F$4="Base Pokémon and permanent formes only",IF(F132&lt;=1,1,0),IF(F132=0,1,0)))</f>
        <v>1</v>
      </c>
      <c r="R132" s="0" t="n">
        <f aca="false">IF('Reverse Search'!$C$7="Disable",1,IF('Reverse Search'!$D$9="Disable",1,IF(OR('Reverse Search'!$F$9=H132,'Reverse Search'!$F$9=I132),1,0)))</f>
        <v>1</v>
      </c>
      <c r="S132" s="0" t="n">
        <f aca="false">IF('Reverse Search'!$C$7="Disable",1,IF('Reverse Search'!$D$10="Disable",1,IF(OR('Reverse Search'!$F$10=H132,'Reverse Search'!$F$10=I132),1,0)))</f>
        <v>1</v>
      </c>
      <c r="T132" s="0" t="n">
        <f aca="false">INDEX($B$4:$B$22,MATCH(H132,$A$4:$A$22,0))</f>
        <v>1</v>
      </c>
      <c r="U132" s="0" t="e">
        <f aca="false">IF(ISBLANK(I132),1,INDEX($B$4:$B$22,MATCH(I132,$A$4:$A$22,0)))</f>
        <v>#N/A</v>
      </c>
      <c r="V132" s="367" t="n">
        <f aca="false">IF('Reverse Search'!$C$7="Disable",1,IF('Reverse Search'!$D$11="Disable",1,IF('Reverse Search'!$E$11="Neutral to:",IF(ROUND(T132*U132,2)&lt;=1,1,0),IF(ROUND(T132*U132,2)&lt;1,1,0))))</f>
        <v>1</v>
      </c>
      <c r="W132" s="0" t="n">
        <f aca="false">IF('Reverse Search'!$N$7="Disable",1,IF('Reverse Search'!$I$9="Disable",1,IF('Reverse Search'!$K$9="≥",IF(J132&gt;='Reverse Search'!$L$9,1,0),IF('Reverse Search'!$K$9="≤",IF(J132&lt;='Reverse Search'!$L$9,1,0),IF(J132='Reverse Search'!$L$9,1,0)))))</f>
        <v>1</v>
      </c>
      <c r="X132" s="0" t="n">
        <f aca="false">IF('Reverse Search'!$N$7="Disable",1,IF('Reverse Search'!$I$10="Disable",1,IF('Reverse Search'!$K$10="≥",IF(K132&gt;='Reverse Search'!$L$10,1,0),IF('Reverse Search'!$K$10="≤",IF(K132&lt;='Reverse Search'!$L$10,1,0),IF(K132='Reverse Search'!$L$10,1,0)))))</f>
        <v>1</v>
      </c>
      <c r="Y132" s="367" t="n">
        <f aca="false">IF('Reverse Search'!$N$7="Disable",1,IF('Reverse Search'!$I$11="Disable",1,IF('Reverse Search'!$K$11="≥",IF(L132&gt;='Reverse Search'!$L$11,1,0),IF('Reverse Search'!$K$11="≤",IF(L132&lt;='Reverse Search'!$L$11,1,0),IF(L132='Reverse Search'!$L$11,1,0)))))</f>
        <v>1</v>
      </c>
      <c r="Z132" s="0" t="n">
        <f aca="true">IF('Reverse Search'!$C$14="Disable",1,IF('Reverse Search'!$D$16="Disable",1,IF($C$2=3,IF($M132=0,0,COUNTIF(INDIRECT("'0.0.2 Pokémon Learnset (Core)'!$D$"&amp;MATCH($E132,'0.0.2 Pokémon Learnset (Core)'!$A$1:$A951,0)&amp;":$FK$"&amp;MATCH($E132,'0.0.2 Pokémon Learnset (Core)'!$A$1:$A951,0)),'Reverse Search'!$E$21)),IF($C$2=2,COUNTIF(INDIRECT("'0.1.1 Pokémon GO Moves'!$B$"&amp;MATCH($E132,'0.1.1 Pokémon GO Moves'!$A$1:$A951,0)&amp;":$R$"&amp;MATCH($E132,'0.1.1 Pokémon GO Moves'!$A$1:$A951,0)),'Reverse Search'!$E$21),COUNTIF(INDIRECT("'0.1.1 Pokémon GO Moves'!$B$"&amp;MATCH($E132,'0.1.1 Pokémon GO Moves'!$A$1:$A951,0)&amp;":$L$"&amp;MATCH($E132,'0.1.1 Pokémon GO Moves'!$A$1:$A951,0)),'Reverse Search'!$E$21)))))</f>
        <v>1</v>
      </c>
      <c r="AA132" s="0" t="n">
        <f aca="true">IF('Reverse Search'!$C$14="Disable",1,IF('Reverse Search'!$I$16="Disable",1,IF($D$2=3,IF($M132=0,0,COUNTIF(INDIRECT("'0.0.2 Pokémon Learnset (Core)'!$D$"&amp;MATCH($E132,'0.0.2 Pokémon Learnset (Core)'!$A$1:$A951,0)&amp;":$FK$"&amp;MATCH($E132,'0.0.2 Pokémon Learnset (Core)'!$A$1:$A951,0)),'Reverse Search'!$J$21)),IF($D$2=2,COUNTIF(INDIRECT("'0.1.1 Pokémon GO Moves'!$B$"&amp;MATCH($E132,'0.1.1 Pokémon GO Moves'!$A$1:$A951,0)&amp;":$R$"&amp;MATCH($E132,'0.1.1 Pokémon GO Moves'!$A$1:$A951,0)),'Reverse Search'!$J$21),COUNTIF(INDIRECT("'0.1.1 Pokémon GO Moves'!$B$"&amp;MATCH($E132,'0.1.1 Pokémon GO Moves'!$A$1:$A951,0)&amp;":$L$"&amp;MATCH($E132,'0.1.1 Pokémon GO Moves'!$A$1:$A951,0)),'Reverse Search'!$J$21)))))</f>
        <v>0</v>
      </c>
      <c r="AB132" s="490"/>
      <c r="AC132" s="260" t="n">
        <f aca="false">IF((Q132+R132+S132+V132+W132+X132+Y132+IF(Z132&gt;=1,1,0)+IF(AA132&gt;=1,1,0))=9,G132&amp;", ",)</f>
        <v>0</v>
      </c>
    </row>
    <row r="133" customFormat="false" ht="15.75" hidden="false" customHeight="false" outlineLevel="0" collapsed="false">
      <c r="A133" s="260"/>
      <c r="B133" s="358"/>
      <c r="C133" s="260"/>
      <c r="D133" s="358"/>
      <c r="E133" s="260" t="n">
        <v>132</v>
      </c>
      <c r="F133" s="260" t="n">
        <f aca="false" t="array" ref="F133:F133">INDEX('0.0.1 Pokémon Dex Data'!$H$3:$H951,MATCH(E133,'0.0.1 Pokémon Dex Data'!$B$3:$B951,0))</f>
        <v>1</v>
      </c>
      <c r="G133" s="0" t="str">
        <f aca="false" t="array" ref="G133:G133">INDEX('0.0.1 Pokémon Dex Data'!$E$3:$E951,MATCH(E133,'0.0.1 Pokémon Dex Data'!$B$3:$B951,0))</f>
        <v>Marowak-Alolan</v>
      </c>
      <c r="H133" s="0" t="str">
        <f aca="false" t="array" ref="H133:H133">INDEX('0.0.1 Pokémon Dex Data'!$Q$3:$Q951,MATCH(E133,'0.0.1 Pokémon Dex Data'!$B$3:$B951,0))</f>
        <v>Fire</v>
      </c>
      <c r="I133" s="0" t="str">
        <f aca="false" t="array" ref="I133:I133">INDEX('0.0.1 Pokémon Dex Data'!$R$3:$R951,MATCH(E133,'0.0.1 Pokémon Dex Data'!$B$3:$B951,0))</f>
        <v>Ghost</v>
      </c>
      <c r="J133" s="260" t="n">
        <f aca="false" t="array" ref="J133:J133">ROUND(INDEX('0.0.1 Pokémon Dex Data'!$S$3:$S951,MATCH($E133,'0.0.1 Pokémon Dex Data'!$B$3:$B951,0))*INDEX('0.0.1 Pokémon Dex Data'!T$3:T951,MATCH($E133,'0.0.1 Pokémon Dex Data'!$B$3:$B951,0)),0)</f>
        <v>144</v>
      </c>
      <c r="K133" s="260" t="n">
        <f aca="false" t="array" ref="K133:K133">ROUND(INDEX('0.0.1 Pokémon Dex Data'!$S$3:$S951,MATCH($E133,'0.0.1 Pokémon Dex Data'!$B$3:$B951,0))*INDEX('0.0.1 Pokémon Dex Data'!U$3:U951,MATCH($E133,'0.0.1 Pokémon Dex Data'!$B$3:$B951,0)),0)</f>
        <v>186</v>
      </c>
      <c r="L133" s="260" t="n">
        <f aca="false" t="array" ref="L133:L133">ROUND(INDEX('0.0.1 Pokémon Dex Data'!$S$3:$S951,MATCH($E133,'0.0.1 Pokémon Dex Data'!$B$3:$B951,0))*INDEX('0.0.1 Pokémon Dex Data'!V$3:V951,MATCH($E133,'0.0.1 Pokémon Dex Data'!$B$3:$B951,0)),0)</f>
        <v>155</v>
      </c>
      <c r="M133" s="260" t="n">
        <f aca="false" t="array" ref="M133:M133">INDEX('0.0.1 Pokémon Dex Data'!$J$3:$J951,MATCH(E133,'0.0.1 Pokémon Dex Data'!$B$3:$B951,0))</f>
        <v>1</v>
      </c>
      <c r="O133" s="490"/>
      <c r="Q133" s="367" t="n">
        <f aca="false">IF('Reverse Search'!$F$4="All (including temporary formes)",1,IF('Reverse Search'!$F$4="Base Pokémon and permanent formes only",IF(F133&lt;=1,1,0),IF(F133=0,1,0)))</f>
        <v>0</v>
      </c>
      <c r="R133" s="0" t="n">
        <f aca="false">IF('Reverse Search'!$C$7="Disable",1,IF('Reverse Search'!$D$9="Disable",1,IF(OR('Reverse Search'!$F$9=H133,'Reverse Search'!$F$9=I133),1,0)))</f>
        <v>1</v>
      </c>
      <c r="S133" s="0" t="n">
        <f aca="false">IF('Reverse Search'!$C$7="Disable",1,IF('Reverse Search'!$D$10="Disable",1,IF(OR('Reverse Search'!$F$10=H133,'Reverse Search'!$F$10=I133),1,0)))</f>
        <v>1</v>
      </c>
      <c r="T133" s="0" t="n">
        <f aca="false">INDEX($B$4:$B$22,MATCH(H133,$A$4:$A$22,0))</f>
        <v>1</v>
      </c>
      <c r="U133" s="0" t="n">
        <f aca="false">IF(ISBLANK(I133),1,INDEX($B$4:$B$22,MATCH(I133,$A$4:$A$22,0)))</f>
        <v>0.51</v>
      </c>
      <c r="V133" s="367" t="n">
        <f aca="false">IF('Reverse Search'!$C$7="Disable",1,IF('Reverse Search'!$D$11="Disable",1,IF('Reverse Search'!$E$11="Neutral to:",IF(ROUND(T133*U133,2)&lt;=1,1,0),IF(ROUND(T133*U133,2)&lt;1,1,0))))</f>
        <v>1</v>
      </c>
      <c r="W133" s="0" t="n">
        <f aca="false">IF('Reverse Search'!$N$7="Disable",1,IF('Reverse Search'!$I$9="Disable",1,IF('Reverse Search'!$K$9="≥",IF(J133&gt;='Reverse Search'!$L$9,1,0),IF('Reverse Search'!$K$9="≤",IF(J133&lt;='Reverse Search'!$L$9,1,0),IF(J133='Reverse Search'!$L$9,1,0)))))</f>
        <v>1</v>
      </c>
      <c r="X133" s="0" t="n">
        <f aca="false">IF('Reverse Search'!$N$7="Disable",1,IF('Reverse Search'!$I$10="Disable",1,IF('Reverse Search'!$K$10="≥",IF(K133&gt;='Reverse Search'!$L$10,1,0),IF('Reverse Search'!$K$10="≤",IF(K133&lt;='Reverse Search'!$L$10,1,0),IF(K133='Reverse Search'!$L$10,1,0)))))</f>
        <v>1</v>
      </c>
      <c r="Y133" s="367" t="n">
        <f aca="false">IF('Reverse Search'!$N$7="Disable",1,IF('Reverse Search'!$I$11="Disable",1,IF('Reverse Search'!$K$11="≥",IF(L133&gt;='Reverse Search'!$L$11,1,0),IF('Reverse Search'!$K$11="≤",IF(L133&lt;='Reverse Search'!$L$11,1,0),IF(L133='Reverse Search'!$L$11,1,0)))))</f>
        <v>1</v>
      </c>
      <c r="Z133" s="0" t="n">
        <f aca="true">IF('Reverse Search'!$C$14="Disable",1,IF('Reverse Search'!$D$16="Disable",1,IF($C$2=3,IF($M133=0,0,COUNTIF(INDIRECT("'0.0.2 Pokémon Learnset (Core)'!$D$"&amp;MATCH($E133,'0.0.2 Pokémon Learnset (Core)'!$A$1:$A951,0)&amp;":$FK$"&amp;MATCH($E133,'0.0.2 Pokémon Learnset (Core)'!$A$1:$A951,0)),'Reverse Search'!$E$21)),IF($C$2=2,COUNTIF(INDIRECT("'0.1.1 Pokémon GO Moves'!$B$"&amp;MATCH($E133,'0.1.1 Pokémon GO Moves'!$A$1:$A951,0)&amp;":$R$"&amp;MATCH($E133,'0.1.1 Pokémon GO Moves'!$A$1:$A951,0)),'Reverse Search'!$E$21),COUNTIF(INDIRECT("'0.1.1 Pokémon GO Moves'!$B$"&amp;MATCH($E133,'0.1.1 Pokémon GO Moves'!$A$1:$A951,0)&amp;":$L$"&amp;MATCH($E133,'0.1.1 Pokémon GO Moves'!$A$1:$A951,0)),'Reverse Search'!$E$21)))))</f>
        <v>1</v>
      </c>
      <c r="AA133" s="0" t="e">
        <f aca="true">IF('Reverse Search'!$C$14="Disable",1,IF('Reverse Search'!$I$16="Disable",1,IF($D$2=3,IF($M133=0,0,COUNTIF(INDIRECT("'0.0.2 Pokémon Learnset (Core)'!$D$"&amp;MATCH($E133,'0.0.2 Pokémon Learnset (Core)'!$A$1:$A951,0)&amp;":$FK$"&amp;MATCH($E133,'0.0.2 Pokémon Learnset (Core)'!$A$1:$A951,0)),'Reverse Search'!$J$21)),IF($D$2=2,COUNTIF(INDIRECT("'0.1.1 Pokémon GO Moves'!$B$"&amp;MATCH($E133,'0.1.1 Pokémon GO Moves'!$A$1:$A951,0)&amp;":$R$"&amp;MATCH($E133,'0.1.1 Pokémon GO Moves'!$A$1:$A951,0)),'Reverse Search'!$J$21),COUNTIF(INDIRECT("'0.1.1 Pokémon GO Moves'!$B$"&amp;MATCH($E133,'0.1.1 Pokémon GO Moves'!$A$1:$A951,0)&amp;":$L$"&amp;MATCH($E133,'0.1.1 Pokémon GO Moves'!$A$1:$A951,0)),'Reverse Search'!$J$21)))))</f>
        <v>#N/A</v>
      </c>
      <c r="AB133" s="490"/>
      <c r="AC133" s="260" t="e">
        <f aca="false">IF((Q133+R133+S133+V133+W133+X133+Y133+IF(Z133&gt;=1,1,0)+IF(AA133&gt;=1,1,0))=9,G133&amp;", ",)</f>
        <v>#N/A</v>
      </c>
    </row>
    <row r="134" customFormat="false" ht="15.75" hidden="false" customHeight="false" outlineLevel="0" collapsed="false">
      <c r="A134" s="260"/>
      <c r="B134" s="358"/>
      <c r="C134" s="260"/>
      <c r="D134" s="358"/>
      <c r="E134" s="260" t="n">
        <v>133</v>
      </c>
      <c r="F134" s="260" t="n">
        <f aca="false" t="array" ref="F134:F134">INDEX('0.0.1 Pokémon Dex Data'!$H$3:$H951,MATCH(E134,'0.0.1 Pokémon Dex Data'!$B$3:$B951,0))</f>
        <v>0</v>
      </c>
      <c r="G134" s="0" t="str">
        <f aca="false" t="array" ref="G134:G134">INDEX('0.0.1 Pokémon Dex Data'!$E$3:$E951,MATCH(E134,'0.0.1 Pokémon Dex Data'!$B$3:$B951,0))</f>
        <v>Hitmonlee</v>
      </c>
      <c r="H134" s="0" t="str">
        <f aca="false" t="array" ref="H134:H134">INDEX('0.0.1 Pokémon Dex Data'!$Q$3:$Q951,MATCH(E134,'0.0.1 Pokémon Dex Data'!$B$3:$B951,0))</f>
        <v>Fighting</v>
      </c>
      <c r="I134" s="0" t="n">
        <f aca="false">INDEX('0.0.1 Pokémon Dex Data'!$R$3:$R951,MATCH(E134,'0.0.1 Pokémon Dex Data'!$B$3:$B951,0))</f>
        <v>0</v>
      </c>
      <c r="J134" s="260" t="n">
        <f aca="false" t="array" ref="J134:J134">ROUND(INDEX('0.0.1 Pokémon Dex Data'!$S$3:$S951,MATCH($E134,'0.0.1 Pokémon Dex Data'!$B$3:$B951,0))*INDEX('0.0.1 Pokémon Dex Data'!T$3:T951,MATCH($E134,'0.0.1 Pokémon Dex Data'!$B$3:$B951,0)),0)</f>
        <v>224</v>
      </c>
      <c r="K134" s="260" t="n">
        <f aca="false" t="array" ref="K134:K134">ROUND(INDEX('0.0.1 Pokémon Dex Data'!$S$3:$S951,MATCH($E134,'0.0.1 Pokémon Dex Data'!$B$3:$B951,0))*INDEX('0.0.1 Pokémon Dex Data'!U$3:U951,MATCH($E134,'0.0.1 Pokémon Dex Data'!$B$3:$B951,0)),0)</f>
        <v>181</v>
      </c>
      <c r="L134" s="260" t="n">
        <f aca="false" t="array" ref="L134:L134">ROUND(INDEX('0.0.1 Pokémon Dex Data'!$S$3:$S951,MATCH($E134,'0.0.1 Pokémon Dex Data'!$B$3:$B951,0))*INDEX('0.0.1 Pokémon Dex Data'!V$3:V951,MATCH($E134,'0.0.1 Pokémon Dex Data'!$B$3:$B951,0)),0)</f>
        <v>137</v>
      </c>
      <c r="M134" s="260" t="n">
        <f aca="false" t="array" ref="M134:M134">INDEX('0.0.1 Pokémon Dex Data'!$J$3:$J951,MATCH(E134,'0.0.1 Pokémon Dex Data'!$B$3:$B951,0))</f>
        <v>1</v>
      </c>
      <c r="O134" s="490"/>
      <c r="Q134" s="367" t="n">
        <f aca="false">IF('Reverse Search'!$F$4="All (including temporary formes)",1,IF('Reverse Search'!$F$4="Base Pokémon and permanent formes only",IF(F134&lt;=1,1,0),IF(F134=0,1,0)))</f>
        <v>1</v>
      </c>
      <c r="R134" s="0" t="n">
        <f aca="false">IF('Reverse Search'!$C$7="Disable",1,IF('Reverse Search'!$D$9="Disable",1,IF(OR('Reverse Search'!$F$9=H134,'Reverse Search'!$F$9=I134),1,0)))</f>
        <v>1</v>
      </c>
      <c r="S134" s="0" t="n">
        <f aca="false">IF('Reverse Search'!$C$7="Disable",1,IF('Reverse Search'!$D$10="Disable",1,IF(OR('Reverse Search'!$F$10=H134,'Reverse Search'!$F$10=I134),1,0)))</f>
        <v>1</v>
      </c>
      <c r="T134" s="0" t="n">
        <f aca="false">INDEX($B$4:$B$22,MATCH(H134,$A$4:$A$22,0))</f>
        <v>1</v>
      </c>
      <c r="U134" s="0" t="e">
        <f aca="false">IF(ISBLANK(I134),1,INDEX($B$4:$B$22,MATCH(I134,$A$4:$A$22,0)))</f>
        <v>#N/A</v>
      </c>
      <c r="V134" s="367" t="n">
        <f aca="false">IF('Reverse Search'!$C$7="Disable",1,IF('Reverse Search'!$D$11="Disable",1,IF('Reverse Search'!$E$11="Neutral to:",IF(ROUND(T134*U134,2)&lt;=1,1,0),IF(ROUND(T134*U134,2)&lt;1,1,0))))</f>
        <v>1</v>
      </c>
      <c r="W134" s="0" t="n">
        <f aca="false">IF('Reverse Search'!$N$7="Disable",1,IF('Reverse Search'!$I$9="Disable",1,IF('Reverse Search'!$K$9="≥",IF(J134&gt;='Reverse Search'!$L$9,1,0),IF('Reverse Search'!$K$9="≤",IF(J134&lt;='Reverse Search'!$L$9,1,0),IF(J134='Reverse Search'!$L$9,1,0)))))</f>
        <v>1</v>
      </c>
      <c r="X134" s="0" t="n">
        <f aca="false">IF('Reverse Search'!$N$7="Disable",1,IF('Reverse Search'!$I$10="Disable",1,IF('Reverse Search'!$K$10="≥",IF(K134&gt;='Reverse Search'!$L$10,1,0),IF('Reverse Search'!$K$10="≤",IF(K134&lt;='Reverse Search'!$L$10,1,0),IF(K134='Reverse Search'!$L$10,1,0)))))</f>
        <v>1</v>
      </c>
      <c r="Y134" s="367" t="n">
        <f aca="false">IF('Reverse Search'!$N$7="Disable",1,IF('Reverse Search'!$I$11="Disable",1,IF('Reverse Search'!$K$11="≥",IF(L134&gt;='Reverse Search'!$L$11,1,0),IF('Reverse Search'!$K$11="≤",IF(L134&lt;='Reverse Search'!$L$11,1,0),IF(L134='Reverse Search'!$L$11,1,0)))))</f>
        <v>1</v>
      </c>
      <c r="Z134" s="0" t="n">
        <f aca="true">IF('Reverse Search'!$C$14="Disable",1,IF('Reverse Search'!$D$16="Disable",1,IF($C$2=3,IF($M134=0,0,COUNTIF(INDIRECT("'0.0.2 Pokémon Learnset (Core)'!$D$"&amp;MATCH($E134,'0.0.2 Pokémon Learnset (Core)'!$A$1:$A951,0)&amp;":$FK$"&amp;MATCH($E134,'0.0.2 Pokémon Learnset (Core)'!$A$1:$A951,0)),'Reverse Search'!$E$21)),IF($C$2=2,COUNTIF(INDIRECT("'0.1.1 Pokémon GO Moves'!$B$"&amp;MATCH($E134,'0.1.1 Pokémon GO Moves'!$A$1:$A951,0)&amp;":$R$"&amp;MATCH($E134,'0.1.1 Pokémon GO Moves'!$A$1:$A951,0)),'Reverse Search'!$E$21),COUNTIF(INDIRECT("'0.1.1 Pokémon GO Moves'!$B$"&amp;MATCH($E134,'0.1.1 Pokémon GO Moves'!$A$1:$A951,0)&amp;":$L$"&amp;MATCH($E134,'0.1.1 Pokémon GO Moves'!$A$1:$A951,0)),'Reverse Search'!$E$21)))))</f>
        <v>1</v>
      </c>
      <c r="AA134" s="0" t="n">
        <f aca="true">IF('Reverse Search'!$C$14="Disable",1,IF('Reverse Search'!$I$16="Disable",1,IF($D$2=3,IF($M134=0,0,COUNTIF(INDIRECT("'0.0.2 Pokémon Learnset (Core)'!$D$"&amp;MATCH($E134,'0.0.2 Pokémon Learnset (Core)'!$A$1:$A951,0)&amp;":$FK$"&amp;MATCH($E134,'0.0.2 Pokémon Learnset (Core)'!$A$1:$A951,0)),'Reverse Search'!$J$21)),IF($D$2=2,COUNTIF(INDIRECT("'0.1.1 Pokémon GO Moves'!$B$"&amp;MATCH($E134,'0.1.1 Pokémon GO Moves'!$A$1:$A951,0)&amp;":$R$"&amp;MATCH($E134,'0.1.1 Pokémon GO Moves'!$A$1:$A951,0)),'Reverse Search'!$J$21),COUNTIF(INDIRECT("'0.1.1 Pokémon GO Moves'!$B$"&amp;MATCH($E134,'0.1.1 Pokémon GO Moves'!$A$1:$A951,0)&amp;":$L$"&amp;MATCH($E134,'0.1.1 Pokémon GO Moves'!$A$1:$A951,0)),'Reverse Search'!$J$21)))))</f>
        <v>0</v>
      </c>
      <c r="AB134" s="490"/>
      <c r="AC134" s="260" t="n">
        <f aca="false">IF((Q134+R134+S134+V134+W134+X134+Y134+IF(Z134&gt;=1,1,0)+IF(AA134&gt;=1,1,0))=9,G134&amp;", ",)</f>
        <v>0</v>
      </c>
    </row>
    <row r="135" customFormat="false" ht="15.75" hidden="false" customHeight="false" outlineLevel="0" collapsed="false">
      <c r="A135" s="260"/>
      <c r="B135" s="358"/>
      <c r="C135" s="260"/>
      <c r="D135" s="358"/>
      <c r="E135" s="260" t="n">
        <v>134</v>
      </c>
      <c r="F135" s="260" t="n">
        <f aca="false" t="array" ref="F135:F135">INDEX('0.0.1 Pokémon Dex Data'!$H$3:$H951,MATCH(E135,'0.0.1 Pokémon Dex Data'!$B$3:$B951,0))</f>
        <v>0</v>
      </c>
      <c r="G135" s="0" t="str">
        <f aca="false" t="array" ref="G135:G135">INDEX('0.0.1 Pokémon Dex Data'!$E$3:$E951,MATCH(E135,'0.0.1 Pokémon Dex Data'!$B$3:$B951,0))</f>
        <v>Hitmonchan</v>
      </c>
      <c r="H135" s="0" t="str">
        <f aca="false" t="array" ref="H135:H135">INDEX('0.0.1 Pokémon Dex Data'!$Q$3:$Q951,MATCH(E135,'0.0.1 Pokémon Dex Data'!$B$3:$B951,0))</f>
        <v>Fighting</v>
      </c>
      <c r="I135" s="0" t="n">
        <f aca="false">INDEX('0.0.1 Pokémon Dex Data'!$R$3:$R951,MATCH(E135,'0.0.1 Pokémon Dex Data'!$B$3:$B951,0))</f>
        <v>0</v>
      </c>
      <c r="J135" s="260" t="n">
        <f aca="false" t="array" ref="J135:J135">ROUND(INDEX('0.0.1 Pokémon Dex Data'!$S$3:$S951,MATCH($E135,'0.0.1 Pokémon Dex Data'!$B$3:$B951,0))*INDEX('0.0.1 Pokémon Dex Data'!T$3:T951,MATCH($E135,'0.0.1 Pokémon Dex Data'!$B$3:$B951,0)),0)</f>
        <v>193</v>
      </c>
      <c r="K135" s="260" t="n">
        <f aca="false" t="array" ref="K135:K135">ROUND(INDEX('0.0.1 Pokémon Dex Data'!$S$3:$S951,MATCH($E135,'0.0.1 Pokémon Dex Data'!$B$3:$B951,0))*INDEX('0.0.1 Pokémon Dex Data'!U$3:U951,MATCH($E135,'0.0.1 Pokémon Dex Data'!$B$3:$B951,0)),0)</f>
        <v>197</v>
      </c>
      <c r="L135" s="260" t="n">
        <f aca="false" t="array" ref="L135:L135">ROUND(INDEX('0.0.1 Pokémon Dex Data'!$S$3:$S951,MATCH($E135,'0.0.1 Pokémon Dex Data'!$B$3:$B951,0))*INDEX('0.0.1 Pokémon Dex Data'!V$3:V951,MATCH($E135,'0.0.1 Pokémon Dex Data'!$B$3:$B951,0)),0)</f>
        <v>137</v>
      </c>
      <c r="M135" s="260" t="n">
        <f aca="false" t="array" ref="M135:M135">INDEX('0.0.1 Pokémon Dex Data'!$J$3:$J951,MATCH(E135,'0.0.1 Pokémon Dex Data'!$B$3:$B951,0))</f>
        <v>1</v>
      </c>
      <c r="O135" s="490"/>
      <c r="Q135" s="367" t="n">
        <f aca="false">IF('Reverse Search'!$F$4="All (including temporary formes)",1,IF('Reverse Search'!$F$4="Base Pokémon and permanent formes only",IF(F135&lt;=1,1,0),IF(F135=0,1,0)))</f>
        <v>1</v>
      </c>
      <c r="R135" s="0" t="n">
        <f aca="false">IF('Reverse Search'!$C$7="Disable",1,IF('Reverse Search'!$D$9="Disable",1,IF(OR('Reverse Search'!$F$9=H135,'Reverse Search'!$F$9=I135),1,0)))</f>
        <v>1</v>
      </c>
      <c r="S135" s="0" t="n">
        <f aca="false">IF('Reverse Search'!$C$7="Disable",1,IF('Reverse Search'!$D$10="Disable",1,IF(OR('Reverse Search'!$F$10=H135,'Reverse Search'!$F$10=I135),1,0)))</f>
        <v>1</v>
      </c>
      <c r="T135" s="0" t="n">
        <f aca="false">INDEX($B$4:$B$22,MATCH(H135,$A$4:$A$22,0))</f>
        <v>1</v>
      </c>
      <c r="U135" s="0" t="e">
        <f aca="false">IF(ISBLANK(I135),1,INDEX($B$4:$B$22,MATCH(I135,$A$4:$A$22,0)))</f>
        <v>#N/A</v>
      </c>
      <c r="V135" s="367" t="n">
        <f aca="false">IF('Reverse Search'!$C$7="Disable",1,IF('Reverse Search'!$D$11="Disable",1,IF('Reverse Search'!$E$11="Neutral to:",IF(ROUND(T135*U135,2)&lt;=1,1,0),IF(ROUND(T135*U135,2)&lt;1,1,0))))</f>
        <v>1</v>
      </c>
      <c r="W135" s="0" t="n">
        <f aca="false">IF('Reverse Search'!$N$7="Disable",1,IF('Reverse Search'!$I$9="Disable",1,IF('Reverse Search'!$K$9="≥",IF(J135&gt;='Reverse Search'!$L$9,1,0),IF('Reverse Search'!$K$9="≤",IF(J135&lt;='Reverse Search'!$L$9,1,0),IF(J135='Reverse Search'!$L$9,1,0)))))</f>
        <v>1</v>
      </c>
      <c r="X135" s="0" t="n">
        <f aca="false">IF('Reverse Search'!$N$7="Disable",1,IF('Reverse Search'!$I$10="Disable",1,IF('Reverse Search'!$K$10="≥",IF(K135&gt;='Reverse Search'!$L$10,1,0),IF('Reverse Search'!$K$10="≤",IF(K135&lt;='Reverse Search'!$L$10,1,0),IF(K135='Reverse Search'!$L$10,1,0)))))</f>
        <v>1</v>
      </c>
      <c r="Y135" s="367" t="n">
        <f aca="false">IF('Reverse Search'!$N$7="Disable",1,IF('Reverse Search'!$I$11="Disable",1,IF('Reverse Search'!$K$11="≥",IF(L135&gt;='Reverse Search'!$L$11,1,0),IF('Reverse Search'!$K$11="≤",IF(L135&lt;='Reverse Search'!$L$11,1,0),IF(L135='Reverse Search'!$L$11,1,0)))))</f>
        <v>1</v>
      </c>
      <c r="Z135" s="0" t="n">
        <f aca="true">IF('Reverse Search'!$C$14="Disable",1,IF('Reverse Search'!$D$16="Disable",1,IF($C$2=3,IF($M135=0,0,COUNTIF(INDIRECT("'0.0.2 Pokémon Learnset (Core)'!$D$"&amp;MATCH($E135,'0.0.2 Pokémon Learnset (Core)'!$A$1:$A951,0)&amp;":$FK$"&amp;MATCH($E135,'0.0.2 Pokémon Learnset (Core)'!$A$1:$A951,0)),'Reverse Search'!$E$21)),IF($C$2=2,COUNTIF(INDIRECT("'0.1.1 Pokémon GO Moves'!$B$"&amp;MATCH($E135,'0.1.1 Pokémon GO Moves'!$A$1:$A951,0)&amp;":$R$"&amp;MATCH($E135,'0.1.1 Pokémon GO Moves'!$A$1:$A951,0)),'Reverse Search'!$E$21),COUNTIF(INDIRECT("'0.1.1 Pokémon GO Moves'!$B$"&amp;MATCH($E135,'0.1.1 Pokémon GO Moves'!$A$1:$A951,0)&amp;":$L$"&amp;MATCH($E135,'0.1.1 Pokémon GO Moves'!$A$1:$A951,0)),'Reverse Search'!$E$21)))))</f>
        <v>1</v>
      </c>
      <c r="AA135" s="0" t="n">
        <f aca="true">IF('Reverse Search'!$C$14="Disable",1,IF('Reverse Search'!$I$16="Disable",1,IF($D$2=3,IF($M135=0,0,COUNTIF(INDIRECT("'0.0.2 Pokémon Learnset (Core)'!$D$"&amp;MATCH($E135,'0.0.2 Pokémon Learnset (Core)'!$A$1:$A951,0)&amp;":$FK$"&amp;MATCH($E135,'0.0.2 Pokémon Learnset (Core)'!$A$1:$A951,0)),'Reverse Search'!$J$21)),IF($D$2=2,COUNTIF(INDIRECT("'0.1.1 Pokémon GO Moves'!$B$"&amp;MATCH($E135,'0.1.1 Pokémon GO Moves'!$A$1:$A951,0)&amp;":$R$"&amp;MATCH($E135,'0.1.1 Pokémon GO Moves'!$A$1:$A951,0)),'Reverse Search'!$J$21),COUNTIF(INDIRECT("'0.1.1 Pokémon GO Moves'!$B$"&amp;MATCH($E135,'0.1.1 Pokémon GO Moves'!$A$1:$A951,0)&amp;":$L$"&amp;MATCH($E135,'0.1.1 Pokémon GO Moves'!$A$1:$A951,0)),'Reverse Search'!$J$21)))))</f>
        <v>0</v>
      </c>
      <c r="AB135" s="490"/>
      <c r="AC135" s="260" t="n">
        <f aca="false">IF((Q135+R135+S135+V135+W135+X135+Y135+IF(Z135&gt;=1,1,0)+IF(AA135&gt;=1,1,0))=9,G135&amp;", ",)</f>
        <v>0</v>
      </c>
    </row>
    <row r="136" customFormat="false" ht="15.75" hidden="false" customHeight="false" outlineLevel="0" collapsed="false">
      <c r="A136" s="260"/>
      <c r="B136" s="358"/>
      <c r="C136" s="260"/>
      <c r="D136" s="358"/>
      <c r="E136" s="260" t="n">
        <v>135</v>
      </c>
      <c r="F136" s="260" t="n">
        <f aca="false" t="array" ref="F136:F136">INDEX('0.0.1 Pokémon Dex Data'!$H$3:$H951,MATCH(E136,'0.0.1 Pokémon Dex Data'!$B$3:$B951,0))</f>
        <v>0</v>
      </c>
      <c r="G136" s="0" t="str">
        <f aca="false" t="array" ref="G136:G136">INDEX('0.0.1 Pokémon Dex Data'!$E$3:$E951,MATCH(E136,'0.0.1 Pokémon Dex Data'!$B$3:$B951,0))</f>
        <v>Lickitung</v>
      </c>
      <c r="H136" s="0" t="str">
        <f aca="false" t="array" ref="H136:H136">INDEX('0.0.1 Pokémon Dex Data'!$Q$3:$Q951,MATCH(E136,'0.0.1 Pokémon Dex Data'!$B$3:$B951,0))</f>
        <v>Normal</v>
      </c>
      <c r="I136" s="0" t="n">
        <f aca="false">INDEX('0.0.1 Pokémon Dex Data'!$R$3:$R951,MATCH(E136,'0.0.1 Pokémon Dex Data'!$B$3:$B951,0))</f>
        <v>0</v>
      </c>
      <c r="J136" s="260" t="n">
        <f aca="false" t="array" ref="J136:J136">ROUND(INDEX('0.0.1 Pokémon Dex Data'!$S$3:$S951,MATCH($E136,'0.0.1 Pokémon Dex Data'!$B$3:$B951,0))*INDEX('0.0.1 Pokémon Dex Data'!T$3:T951,MATCH($E136,'0.0.1 Pokémon Dex Data'!$B$3:$B951,0)),0)</f>
        <v>108</v>
      </c>
      <c r="K136" s="260" t="n">
        <f aca="false" t="array" ref="K136:K136">ROUND(INDEX('0.0.1 Pokémon Dex Data'!$S$3:$S951,MATCH($E136,'0.0.1 Pokémon Dex Data'!$B$3:$B951,0))*INDEX('0.0.1 Pokémon Dex Data'!U$3:U951,MATCH($E136,'0.0.1 Pokémon Dex Data'!$B$3:$B951,0)),0)</f>
        <v>137</v>
      </c>
      <c r="L136" s="260" t="n">
        <f aca="false" t="array" ref="L136:L136">ROUND(INDEX('0.0.1 Pokémon Dex Data'!$S$3:$S951,MATCH($E136,'0.0.1 Pokémon Dex Data'!$B$3:$B951,0))*INDEX('0.0.1 Pokémon Dex Data'!V$3:V951,MATCH($E136,'0.0.1 Pokémon Dex Data'!$B$3:$B951,0)),0)</f>
        <v>207</v>
      </c>
      <c r="M136" s="260" t="n">
        <f aca="false" t="array" ref="M136:M136">INDEX('0.0.1 Pokémon Dex Data'!$J$3:$J951,MATCH(E136,'0.0.1 Pokémon Dex Data'!$B$3:$B951,0))</f>
        <v>1</v>
      </c>
      <c r="O136" s="490"/>
      <c r="Q136" s="367" t="n">
        <f aca="false">IF('Reverse Search'!$F$4="All (including temporary formes)",1,IF('Reverse Search'!$F$4="Base Pokémon and permanent formes only",IF(F136&lt;=1,1,0),IF(F136=0,1,0)))</f>
        <v>1</v>
      </c>
      <c r="R136" s="0" t="n">
        <f aca="false">IF('Reverse Search'!$C$7="Disable",1,IF('Reverse Search'!$D$9="Disable",1,IF(OR('Reverse Search'!$F$9=H136,'Reverse Search'!$F$9=I136),1,0)))</f>
        <v>1</v>
      </c>
      <c r="S136" s="0" t="n">
        <f aca="false">IF('Reverse Search'!$C$7="Disable",1,IF('Reverse Search'!$D$10="Disable",1,IF(OR('Reverse Search'!$F$10=H136,'Reverse Search'!$F$10=I136),1,0)))</f>
        <v>1</v>
      </c>
      <c r="T136" s="0" t="n">
        <f aca="false">INDEX($B$4:$B$22,MATCH(H136,$A$4:$A$22,0))</f>
        <v>1</v>
      </c>
      <c r="U136" s="0" t="e">
        <f aca="false">IF(ISBLANK(I136),1,INDEX($B$4:$B$22,MATCH(I136,$A$4:$A$22,0)))</f>
        <v>#N/A</v>
      </c>
      <c r="V136" s="367" t="n">
        <f aca="false">IF('Reverse Search'!$C$7="Disable",1,IF('Reverse Search'!$D$11="Disable",1,IF('Reverse Search'!$E$11="Neutral to:",IF(ROUND(T136*U136,2)&lt;=1,1,0),IF(ROUND(T136*U136,2)&lt;1,1,0))))</f>
        <v>1</v>
      </c>
      <c r="W136" s="0" t="n">
        <f aca="false">IF('Reverse Search'!$N$7="Disable",1,IF('Reverse Search'!$I$9="Disable",1,IF('Reverse Search'!$K$9="≥",IF(J136&gt;='Reverse Search'!$L$9,1,0),IF('Reverse Search'!$K$9="≤",IF(J136&lt;='Reverse Search'!$L$9,1,0),IF(J136='Reverse Search'!$L$9,1,0)))))</f>
        <v>1</v>
      </c>
      <c r="X136" s="0" t="n">
        <f aca="false">IF('Reverse Search'!$N$7="Disable",1,IF('Reverse Search'!$I$10="Disable",1,IF('Reverse Search'!$K$10="≥",IF(K136&gt;='Reverse Search'!$L$10,1,0),IF('Reverse Search'!$K$10="≤",IF(K136&lt;='Reverse Search'!$L$10,1,0),IF(K136='Reverse Search'!$L$10,1,0)))))</f>
        <v>1</v>
      </c>
      <c r="Y136" s="367" t="n">
        <f aca="false">IF('Reverse Search'!$N$7="Disable",1,IF('Reverse Search'!$I$11="Disable",1,IF('Reverse Search'!$K$11="≥",IF(L136&gt;='Reverse Search'!$L$11,1,0),IF('Reverse Search'!$K$11="≤",IF(L136&lt;='Reverse Search'!$L$11,1,0),IF(L136='Reverse Search'!$L$11,1,0)))))</f>
        <v>1</v>
      </c>
      <c r="Z136" s="0" t="n">
        <f aca="true">IF('Reverse Search'!$C$14="Disable",1,IF('Reverse Search'!$D$16="Disable",1,IF($C$2=3,IF($M136=0,0,COUNTIF(INDIRECT("'0.0.2 Pokémon Learnset (Core)'!$D$"&amp;MATCH($E136,'0.0.2 Pokémon Learnset (Core)'!$A$1:$A951,0)&amp;":$FK$"&amp;MATCH($E136,'0.0.2 Pokémon Learnset (Core)'!$A$1:$A951,0)),'Reverse Search'!$E$21)),IF($C$2=2,COUNTIF(INDIRECT("'0.1.1 Pokémon GO Moves'!$B$"&amp;MATCH($E136,'0.1.1 Pokémon GO Moves'!$A$1:$A951,0)&amp;":$R$"&amp;MATCH($E136,'0.1.1 Pokémon GO Moves'!$A$1:$A951,0)),'Reverse Search'!$E$21),COUNTIF(INDIRECT("'0.1.1 Pokémon GO Moves'!$B$"&amp;MATCH($E136,'0.1.1 Pokémon GO Moves'!$A$1:$A951,0)&amp;":$L$"&amp;MATCH($E136,'0.1.1 Pokémon GO Moves'!$A$1:$A951,0)),'Reverse Search'!$E$21)))))</f>
        <v>1</v>
      </c>
      <c r="AA136" s="0" t="n">
        <f aca="true">IF('Reverse Search'!$C$14="Disable",1,IF('Reverse Search'!$I$16="Disable",1,IF($D$2=3,IF($M136=0,0,COUNTIF(INDIRECT("'0.0.2 Pokémon Learnset (Core)'!$D$"&amp;MATCH($E136,'0.0.2 Pokémon Learnset (Core)'!$A$1:$A951,0)&amp;":$FK$"&amp;MATCH($E136,'0.0.2 Pokémon Learnset (Core)'!$A$1:$A951,0)),'Reverse Search'!$J$21)),IF($D$2=2,COUNTIF(INDIRECT("'0.1.1 Pokémon GO Moves'!$B$"&amp;MATCH($E136,'0.1.1 Pokémon GO Moves'!$A$1:$A951,0)&amp;":$R$"&amp;MATCH($E136,'0.1.1 Pokémon GO Moves'!$A$1:$A951,0)),'Reverse Search'!$J$21),COUNTIF(INDIRECT("'0.1.1 Pokémon GO Moves'!$B$"&amp;MATCH($E136,'0.1.1 Pokémon GO Moves'!$A$1:$A951,0)&amp;":$L$"&amp;MATCH($E136,'0.1.1 Pokémon GO Moves'!$A$1:$A951,0)),'Reverse Search'!$J$21)))))</f>
        <v>0</v>
      </c>
      <c r="AB136" s="490"/>
      <c r="AC136" s="260" t="n">
        <f aca="false">IF((Q136+R136+S136+V136+W136+X136+Y136+IF(Z136&gt;=1,1,0)+IF(AA136&gt;=1,1,0))=9,G136&amp;", ",)</f>
        <v>0</v>
      </c>
    </row>
    <row r="137" customFormat="false" ht="15.75" hidden="false" customHeight="false" outlineLevel="0" collapsed="false">
      <c r="A137" s="260"/>
      <c r="B137" s="358"/>
      <c r="C137" s="260"/>
      <c r="D137" s="358"/>
      <c r="E137" s="260" t="n">
        <v>136</v>
      </c>
      <c r="F137" s="260" t="n">
        <f aca="false" t="array" ref="F137:F137">INDEX('0.0.1 Pokémon Dex Data'!$H$3:$H951,MATCH(E137,'0.0.1 Pokémon Dex Data'!$B$3:$B951,0))</f>
        <v>0</v>
      </c>
      <c r="G137" s="0" t="str">
        <f aca="false" t="array" ref="G137:G137">INDEX('0.0.1 Pokémon Dex Data'!$E$3:$E951,MATCH(E137,'0.0.1 Pokémon Dex Data'!$B$3:$B951,0))</f>
        <v>Koffing</v>
      </c>
      <c r="H137" s="0" t="str">
        <f aca="false" t="array" ref="H137:H137">INDEX('0.0.1 Pokémon Dex Data'!$Q$3:$Q951,MATCH(E137,'0.0.1 Pokémon Dex Data'!$B$3:$B951,0))</f>
        <v>Poison</v>
      </c>
      <c r="I137" s="0" t="n">
        <f aca="false">INDEX('0.0.1 Pokémon Dex Data'!$R$3:$R951,MATCH(E137,'0.0.1 Pokémon Dex Data'!$B$3:$B951,0))</f>
        <v>0</v>
      </c>
      <c r="J137" s="260" t="n">
        <f aca="false" t="array" ref="J137:J137">ROUND(INDEX('0.0.1 Pokémon Dex Data'!$S$3:$S951,MATCH($E137,'0.0.1 Pokémon Dex Data'!$B$3:$B951,0))*INDEX('0.0.1 Pokémon Dex Data'!T$3:T951,MATCH($E137,'0.0.1 Pokémon Dex Data'!$B$3:$B951,0)),0)</f>
        <v>119</v>
      </c>
      <c r="K137" s="260" t="n">
        <f aca="false" t="array" ref="K137:K137">ROUND(INDEX('0.0.1 Pokémon Dex Data'!$S$3:$S951,MATCH($E137,'0.0.1 Pokémon Dex Data'!$B$3:$B951,0))*INDEX('0.0.1 Pokémon Dex Data'!U$3:U951,MATCH($E137,'0.0.1 Pokémon Dex Data'!$B$3:$B951,0)),0)</f>
        <v>141</v>
      </c>
      <c r="L137" s="260" t="n">
        <f aca="false" t="array" ref="L137:L137">ROUND(INDEX('0.0.1 Pokémon Dex Data'!$S$3:$S951,MATCH($E137,'0.0.1 Pokémon Dex Data'!$B$3:$B951,0))*INDEX('0.0.1 Pokémon Dex Data'!V$3:V951,MATCH($E137,'0.0.1 Pokémon Dex Data'!$B$3:$B951,0)),0)</f>
        <v>120</v>
      </c>
      <c r="M137" s="260" t="n">
        <f aca="false" t="array" ref="M137:M137">INDEX('0.0.1 Pokémon Dex Data'!$J$3:$J951,MATCH(E137,'0.0.1 Pokémon Dex Data'!$B$3:$B951,0))</f>
        <v>0</v>
      </c>
      <c r="O137" s="490"/>
      <c r="Q137" s="367" t="n">
        <f aca="false">IF('Reverse Search'!$F$4="All (including temporary formes)",1,IF('Reverse Search'!$F$4="Base Pokémon and permanent formes only",IF(F137&lt;=1,1,0),IF(F137=0,1,0)))</f>
        <v>1</v>
      </c>
      <c r="R137" s="0" t="n">
        <f aca="false">IF('Reverse Search'!$C$7="Disable",1,IF('Reverse Search'!$D$9="Disable",1,IF(OR('Reverse Search'!$F$9=H137,'Reverse Search'!$F$9=I137),1,0)))</f>
        <v>1</v>
      </c>
      <c r="S137" s="0" t="n">
        <f aca="false">IF('Reverse Search'!$C$7="Disable",1,IF('Reverse Search'!$D$10="Disable",1,IF(OR('Reverse Search'!$F$10=H137,'Reverse Search'!$F$10=I137),1,0)))</f>
        <v>1</v>
      </c>
      <c r="T137" s="0" t="n">
        <f aca="false">INDEX($B$4:$B$22,MATCH(H137,$A$4:$A$22,0))</f>
        <v>1</v>
      </c>
      <c r="U137" s="0" t="e">
        <f aca="false">IF(ISBLANK(I137),1,INDEX($B$4:$B$22,MATCH(I137,$A$4:$A$22,0)))</f>
        <v>#N/A</v>
      </c>
      <c r="V137" s="367" t="n">
        <f aca="false">IF('Reverse Search'!$C$7="Disable",1,IF('Reverse Search'!$D$11="Disable",1,IF('Reverse Search'!$E$11="Neutral to:",IF(ROUND(T137*U137,2)&lt;=1,1,0),IF(ROUND(T137*U137,2)&lt;1,1,0))))</f>
        <v>1</v>
      </c>
      <c r="W137" s="0" t="n">
        <f aca="false">IF('Reverse Search'!$N$7="Disable",1,IF('Reverse Search'!$I$9="Disable",1,IF('Reverse Search'!$K$9="≥",IF(J137&gt;='Reverse Search'!$L$9,1,0),IF('Reverse Search'!$K$9="≤",IF(J137&lt;='Reverse Search'!$L$9,1,0),IF(J137='Reverse Search'!$L$9,1,0)))))</f>
        <v>1</v>
      </c>
      <c r="X137" s="0" t="n">
        <f aca="false">IF('Reverse Search'!$N$7="Disable",1,IF('Reverse Search'!$I$10="Disable",1,IF('Reverse Search'!$K$10="≥",IF(K137&gt;='Reverse Search'!$L$10,1,0),IF('Reverse Search'!$K$10="≤",IF(K137&lt;='Reverse Search'!$L$10,1,0),IF(K137='Reverse Search'!$L$10,1,0)))))</f>
        <v>1</v>
      </c>
      <c r="Y137" s="367" t="n">
        <f aca="false">IF('Reverse Search'!$N$7="Disable",1,IF('Reverse Search'!$I$11="Disable",1,IF('Reverse Search'!$K$11="≥",IF(L137&gt;='Reverse Search'!$L$11,1,0),IF('Reverse Search'!$K$11="≤",IF(L137&lt;='Reverse Search'!$L$11,1,0),IF(L137='Reverse Search'!$L$11,1,0)))))</f>
        <v>1</v>
      </c>
      <c r="Z137" s="0" t="n">
        <f aca="true">IF('Reverse Search'!$C$14="Disable",1,IF('Reverse Search'!$D$16="Disable",1,IF($C$2=3,IF($M137=0,0,COUNTIF(INDIRECT("'0.0.2 Pokémon Learnset (Core)'!$D$"&amp;MATCH($E137,'0.0.2 Pokémon Learnset (Core)'!$A$1:$A951,0)&amp;":$FK$"&amp;MATCH($E137,'0.0.2 Pokémon Learnset (Core)'!$A$1:$A951,0)),'Reverse Search'!$E$21)),IF($C$2=2,COUNTIF(INDIRECT("'0.1.1 Pokémon GO Moves'!$B$"&amp;MATCH($E137,'0.1.1 Pokémon GO Moves'!$A$1:$A951,0)&amp;":$R$"&amp;MATCH($E137,'0.1.1 Pokémon GO Moves'!$A$1:$A951,0)),'Reverse Search'!$E$21),COUNTIF(INDIRECT("'0.1.1 Pokémon GO Moves'!$B$"&amp;MATCH($E137,'0.1.1 Pokémon GO Moves'!$A$1:$A951,0)&amp;":$L$"&amp;MATCH($E137,'0.1.1 Pokémon GO Moves'!$A$1:$A951,0)),'Reverse Search'!$E$21)))))</f>
        <v>1</v>
      </c>
      <c r="AA137" s="0" t="n">
        <f aca="true">IF('Reverse Search'!$C$14="Disable",1,IF('Reverse Search'!$I$16="Disable",1,IF($D$2=3,IF($M137=0,0,COUNTIF(INDIRECT("'0.0.2 Pokémon Learnset (Core)'!$D$"&amp;MATCH($E137,'0.0.2 Pokémon Learnset (Core)'!$A$1:$A951,0)&amp;":$FK$"&amp;MATCH($E137,'0.0.2 Pokémon Learnset (Core)'!$A$1:$A951,0)),'Reverse Search'!$J$21)),IF($D$2=2,COUNTIF(INDIRECT("'0.1.1 Pokémon GO Moves'!$B$"&amp;MATCH($E137,'0.1.1 Pokémon GO Moves'!$A$1:$A951,0)&amp;":$R$"&amp;MATCH($E137,'0.1.1 Pokémon GO Moves'!$A$1:$A951,0)),'Reverse Search'!$J$21),COUNTIF(INDIRECT("'0.1.1 Pokémon GO Moves'!$B$"&amp;MATCH($E137,'0.1.1 Pokémon GO Moves'!$A$1:$A951,0)&amp;":$L$"&amp;MATCH($E137,'0.1.1 Pokémon GO Moves'!$A$1:$A951,0)),'Reverse Search'!$J$21)))))</f>
        <v>0</v>
      </c>
      <c r="AB137" s="490"/>
      <c r="AC137" s="260" t="n">
        <f aca="false">IF((Q137+R137+S137+V137+W137+X137+Y137+IF(Z137&gt;=1,1,0)+IF(AA137&gt;=1,1,0))=9,G137&amp;", ",)</f>
        <v>0</v>
      </c>
    </row>
    <row r="138" customFormat="false" ht="15.75" hidden="false" customHeight="false" outlineLevel="0" collapsed="false">
      <c r="A138" s="260"/>
      <c r="B138" s="358"/>
      <c r="C138" s="260"/>
      <c r="D138" s="358"/>
      <c r="E138" s="260" t="n">
        <v>137</v>
      </c>
      <c r="F138" s="260" t="n">
        <f aca="false" t="array" ref="F138:F138">INDEX('0.0.1 Pokémon Dex Data'!$H$3:$H951,MATCH(E138,'0.0.1 Pokémon Dex Data'!$B$3:$B951,0))</f>
        <v>0</v>
      </c>
      <c r="G138" s="0" t="str">
        <f aca="false" t="array" ref="G138:G138">INDEX('0.0.1 Pokémon Dex Data'!$E$3:$E951,MATCH(E138,'0.0.1 Pokémon Dex Data'!$B$3:$B951,0))</f>
        <v>Weezing</v>
      </c>
      <c r="H138" s="0" t="str">
        <f aca="false" t="array" ref="H138:H138">INDEX('0.0.1 Pokémon Dex Data'!$Q$3:$Q951,MATCH(E138,'0.0.1 Pokémon Dex Data'!$B$3:$B951,0))</f>
        <v>Poison</v>
      </c>
      <c r="I138" s="0" t="n">
        <f aca="false">INDEX('0.0.1 Pokémon Dex Data'!$R$3:$R951,MATCH(E138,'0.0.1 Pokémon Dex Data'!$B$3:$B951,0))</f>
        <v>0</v>
      </c>
      <c r="J138" s="260" t="n">
        <f aca="false" t="array" ref="J138:J138">ROUND(INDEX('0.0.1 Pokémon Dex Data'!$S$3:$S951,MATCH($E138,'0.0.1 Pokémon Dex Data'!$B$3:$B951,0))*INDEX('0.0.1 Pokémon Dex Data'!T$3:T951,MATCH($E138,'0.0.1 Pokémon Dex Data'!$B$3:$B951,0)),0)</f>
        <v>174</v>
      </c>
      <c r="K138" s="260" t="n">
        <f aca="false" t="array" ref="K138:K138">ROUND(INDEX('0.0.1 Pokémon Dex Data'!$S$3:$S951,MATCH($E138,'0.0.1 Pokémon Dex Data'!$B$3:$B951,0))*INDEX('0.0.1 Pokémon Dex Data'!U$3:U951,MATCH($E138,'0.0.1 Pokémon Dex Data'!$B$3:$B951,0)),0)</f>
        <v>197</v>
      </c>
      <c r="L138" s="260" t="n">
        <f aca="false" t="array" ref="L138:L138">ROUND(INDEX('0.0.1 Pokémon Dex Data'!$S$3:$S951,MATCH($E138,'0.0.1 Pokémon Dex Data'!$B$3:$B951,0))*INDEX('0.0.1 Pokémon Dex Data'!V$3:V951,MATCH($E138,'0.0.1 Pokémon Dex Data'!$B$3:$B951,0)),0)</f>
        <v>163</v>
      </c>
      <c r="M138" s="260" t="n">
        <f aca="false" t="array" ref="M138:M138">INDEX('0.0.1 Pokémon Dex Data'!$J$3:$J951,MATCH(E138,'0.0.1 Pokémon Dex Data'!$B$3:$B951,0))</f>
        <v>1</v>
      </c>
      <c r="O138" s="490"/>
      <c r="Q138" s="367" t="n">
        <f aca="false">IF('Reverse Search'!$F$4="All (including temporary formes)",1,IF('Reverse Search'!$F$4="Base Pokémon and permanent formes only",IF(F138&lt;=1,1,0),IF(F138=0,1,0)))</f>
        <v>1</v>
      </c>
      <c r="R138" s="0" t="n">
        <f aca="false">IF('Reverse Search'!$C$7="Disable",1,IF('Reverse Search'!$D$9="Disable",1,IF(OR('Reverse Search'!$F$9=H138,'Reverse Search'!$F$9=I138),1,0)))</f>
        <v>1</v>
      </c>
      <c r="S138" s="0" t="n">
        <f aca="false">IF('Reverse Search'!$C$7="Disable",1,IF('Reverse Search'!$D$10="Disable",1,IF(OR('Reverse Search'!$F$10=H138,'Reverse Search'!$F$10=I138),1,0)))</f>
        <v>1</v>
      </c>
      <c r="T138" s="0" t="n">
        <f aca="false">INDEX($B$4:$B$22,MATCH(H138,$A$4:$A$22,0))</f>
        <v>1</v>
      </c>
      <c r="U138" s="0" t="e">
        <f aca="false">IF(ISBLANK(I138),1,INDEX($B$4:$B$22,MATCH(I138,$A$4:$A$22,0)))</f>
        <v>#N/A</v>
      </c>
      <c r="V138" s="367" t="n">
        <f aca="false">IF('Reverse Search'!$C$7="Disable",1,IF('Reverse Search'!$D$11="Disable",1,IF('Reverse Search'!$E$11="Neutral to:",IF(ROUND(T138*U138,2)&lt;=1,1,0),IF(ROUND(T138*U138,2)&lt;1,1,0))))</f>
        <v>1</v>
      </c>
      <c r="W138" s="0" t="n">
        <f aca="false">IF('Reverse Search'!$N$7="Disable",1,IF('Reverse Search'!$I$9="Disable",1,IF('Reverse Search'!$K$9="≥",IF(J138&gt;='Reverse Search'!$L$9,1,0),IF('Reverse Search'!$K$9="≤",IF(J138&lt;='Reverse Search'!$L$9,1,0),IF(J138='Reverse Search'!$L$9,1,0)))))</f>
        <v>1</v>
      </c>
      <c r="X138" s="0" t="n">
        <f aca="false">IF('Reverse Search'!$N$7="Disable",1,IF('Reverse Search'!$I$10="Disable",1,IF('Reverse Search'!$K$10="≥",IF(K138&gt;='Reverse Search'!$L$10,1,0),IF('Reverse Search'!$K$10="≤",IF(K138&lt;='Reverse Search'!$L$10,1,0),IF(K138='Reverse Search'!$L$10,1,0)))))</f>
        <v>1</v>
      </c>
      <c r="Y138" s="367" t="n">
        <f aca="false">IF('Reverse Search'!$N$7="Disable",1,IF('Reverse Search'!$I$11="Disable",1,IF('Reverse Search'!$K$11="≥",IF(L138&gt;='Reverse Search'!$L$11,1,0),IF('Reverse Search'!$K$11="≤",IF(L138&lt;='Reverse Search'!$L$11,1,0),IF(L138='Reverse Search'!$L$11,1,0)))))</f>
        <v>1</v>
      </c>
      <c r="Z138" s="0" t="n">
        <f aca="true">IF('Reverse Search'!$C$14="Disable",1,IF('Reverse Search'!$D$16="Disable",1,IF($C$2=3,IF($M138=0,0,COUNTIF(INDIRECT("'0.0.2 Pokémon Learnset (Core)'!$D$"&amp;MATCH($E138,'0.0.2 Pokémon Learnset (Core)'!$A$1:$A951,0)&amp;":$FK$"&amp;MATCH($E138,'0.0.2 Pokémon Learnset (Core)'!$A$1:$A951,0)),'Reverse Search'!$E$21)),IF($C$2=2,COUNTIF(INDIRECT("'0.1.1 Pokémon GO Moves'!$B$"&amp;MATCH($E138,'0.1.1 Pokémon GO Moves'!$A$1:$A951,0)&amp;":$R$"&amp;MATCH($E138,'0.1.1 Pokémon GO Moves'!$A$1:$A951,0)),'Reverse Search'!$E$21),COUNTIF(INDIRECT("'0.1.1 Pokémon GO Moves'!$B$"&amp;MATCH($E138,'0.1.1 Pokémon GO Moves'!$A$1:$A951,0)&amp;":$L$"&amp;MATCH($E138,'0.1.1 Pokémon GO Moves'!$A$1:$A951,0)),'Reverse Search'!$E$21)))))</f>
        <v>1</v>
      </c>
      <c r="AA138" s="0" t="n">
        <f aca="true">IF('Reverse Search'!$C$14="Disable",1,IF('Reverse Search'!$I$16="Disable",1,IF($D$2=3,IF($M138=0,0,COUNTIF(INDIRECT("'0.0.2 Pokémon Learnset (Core)'!$D$"&amp;MATCH($E138,'0.0.2 Pokémon Learnset (Core)'!$A$1:$A951,0)&amp;":$FK$"&amp;MATCH($E138,'0.0.2 Pokémon Learnset (Core)'!$A$1:$A951,0)),'Reverse Search'!$J$21)),IF($D$2=2,COUNTIF(INDIRECT("'0.1.1 Pokémon GO Moves'!$B$"&amp;MATCH($E138,'0.1.1 Pokémon GO Moves'!$A$1:$A951,0)&amp;":$R$"&amp;MATCH($E138,'0.1.1 Pokémon GO Moves'!$A$1:$A951,0)),'Reverse Search'!$J$21),COUNTIF(INDIRECT("'0.1.1 Pokémon GO Moves'!$B$"&amp;MATCH($E138,'0.1.1 Pokémon GO Moves'!$A$1:$A951,0)&amp;":$L$"&amp;MATCH($E138,'0.1.1 Pokémon GO Moves'!$A$1:$A951,0)),'Reverse Search'!$J$21)))))</f>
        <v>0</v>
      </c>
      <c r="AB138" s="490"/>
      <c r="AC138" s="260" t="n">
        <f aca="false">IF((Q138+R138+S138+V138+W138+X138+Y138+IF(Z138&gt;=1,1,0)+IF(AA138&gt;=1,1,0))=9,G138&amp;", ",)</f>
        <v>0</v>
      </c>
    </row>
    <row r="139" customFormat="false" ht="15.75" hidden="false" customHeight="false" outlineLevel="0" collapsed="false">
      <c r="A139" s="260"/>
      <c r="B139" s="358"/>
      <c r="C139" s="260"/>
      <c r="D139" s="358"/>
      <c r="E139" s="260" t="n">
        <v>138</v>
      </c>
      <c r="F139" s="260" t="n">
        <f aca="false" t="array" ref="F139:F139">INDEX('0.0.1 Pokémon Dex Data'!$H$3:$H951,MATCH(E139,'0.0.1 Pokémon Dex Data'!$B$3:$B951,0))</f>
        <v>0</v>
      </c>
      <c r="G139" s="0" t="str">
        <f aca="false" t="array" ref="G139:G139">INDEX('0.0.1 Pokémon Dex Data'!$E$3:$E951,MATCH(E139,'0.0.1 Pokémon Dex Data'!$B$3:$B951,0))</f>
        <v>Rhyhorn</v>
      </c>
      <c r="H139" s="0" t="str">
        <f aca="false" t="array" ref="H139:H139">INDEX('0.0.1 Pokémon Dex Data'!$Q$3:$Q951,MATCH(E139,'0.0.1 Pokémon Dex Data'!$B$3:$B951,0))</f>
        <v>Rock</v>
      </c>
      <c r="I139" s="0" t="str">
        <f aca="false" t="array" ref="I139:I139">INDEX('0.0.1 Pokémon Dex Data'!$R$3:$R951,MATCH(E139,'0.0.1 Pokémon Dex Data'!$B$3:$B951,0))</f>
        <v>Ground</v>
      </c>
      <c r="J139" s="260" t="n">
        <f aca="false" t="array" ref="J139:J139">ROUND(INDEX('0.0.1 Pokémon Dex Data'!$S$3:$S951,MATCH($E139,'0.0.1 Pokémon Dex Data'!$B$3:$B951,0))*INDEX('0.0.1 Pokémon Dex Data'!T$3:T951,MATCH($E139,'0.0.1 Pokémon Dex Data'!$B$3:$B951,0)),0)</f>
        <v>140</v>
      </c>
      <c r="K139" s="260" t="n">
        <f aca="false" t="array" ref="K139:K139">ROUND(INDEX('0.0.1 Pokémon Dex Data'!$S$3:$S951,MATCH($E139,'0.0.1 Pokémon Dex Data'!$B$3:$B951,0))*INDEX('0.0.1 Pokémon Dex Data'!U$3:U951,MATCH($E139,'0.0.1 Pokémon Dex Data'!$B$3:$B951,0)),0)</f>
        <v>127</v>
      </c>
      <c r="L139" s="260" t="n">
        <f aca="false" t="array" ref="L139:L139">ROUND(INDEX('0.0.1 Pokémon Dex Data'!$S$3:$S951,MATCH($E139,'0.0.1 Pokémon Dex Data'!$B$3:$B951,0))*INDEX('0.0.1 Pokémon Dex Data'!V$3:V951,MATCH($E139,'0.0.1 Pokémon Dex Data'!$B$3:$B951,0)),0)</f>
        <v>190</v>
      </c>
      <c r="M139" s="260" t="n">
        <f aca="false" t="array" ref="M139:M139">INDEX('0.0.1 Pokémon Dex Data'!$J$3:$J951,MATCH(E139,'0.0.1 Pokémon Dex Data'!$B$3:$B951,0))</f>
        <v>0</v>
      </c>
      <c r="O139" s="490"/>
      <c r="Q139" s="367" t="n">
        <f aca="false">IF('Reverse Search'!$F$4="All (including temporary formes)",1,IF('Reverse Search'!$F$4="Base Pokémon and permanent formes only",IF(F139&lt;=1,1,0),IF(F139=0,1,0)))</f>
        <v>1</v>
      </c>
      <c r="R139" s="0" t="n">
        <f aca="false">IF('Reverse Search'!$C$7="Disable",1,IF('Reverse Search'!$D$9="Disable",1,IF(OR('Reverse Search'!$F$9=H139,'Reverse Search'!$F$9=I139),1,0)))</f>
        <v>1</v>
      </c>
      <c r="S139" s="0" t="n">
        <f aca="false">IF('Reverse Search'!$C$7="Disable",1,IF('Reverse Search'!$D$10="Disable",1,IF(OR('Reverse Search'!$F$10=H139,'Reverse Search'!$F$10=I139),1,0)))</f>
        <v>1</v>
      </c>
      <c r="T139" s="0" t="n">
        <f aca="false">INDEX($B$4:$B$22,MATCH(H139,$A$4:$A$22,0))</f>
        <v>0.714</v>
      </c>
      <c r="U139" s="0" t="n">
        <f aca="false">IF(ISBLANK(I139),1,INDEX($B$4:$B$22,MATCH(I139,$A$4:$A$22,0)))</f>
        <v>1</v>
      </c>
      <c r="V139" s="367" t="n">
        <f aca="false">IF('Reverse Search'!$C$7="Disable",1,IF('Reverse Search'!$D$11="Disable",1,IF('Reverse Search'!$E$11="Neutral to:",IF(ROUND(T139*U139,2)&lt;=1,1,0),IF(ROUND(T139*U139,2)&lt;1,1,0))))</f>
        <v>1</v>
      </c>
      <c r="W139" s="0" t="n">
        <f aca="false">IF('Reverse Search'!$N$7="Disable",1,IF('Reverse Search'!$I$9="Disable",1,IF('Reverse Search'!$K$9="≥",IF(J139&gt;='Reverse Search'!$L$9,1,0),IF('Reverse Search'!$K$9="≤",IF(J139&lt;='Reverse Search'!$L$9,1,0),IF(J139='Reverse Search'!$L$9,1,0)))))</f>
        <v>1</v>
      </c>
      <c r="X139" s="0" t="n">
        <f aca="false">IF('Reverse Search'!$N$7="Disable",1,IF('Reverse Search'!$I$10="Disable",1,IF('Reverse Search'!$K$10="≥",IF(K139&gt;='Reverse Search'!$L$10,1,0),IF('Reverse Search'!$K$10="≤",IF(K139&lt;='Reverse Search'!$L$10,1,0),IF(K139='Reverse Search'!$L$10,1,0)))))</f>
        <v>1</v>
      </c>
      <c r="Y139" s="367" t="n">
        <f aca="false">IF('Reverse Search'!$N$7="Disable",1,IF('Reverse Search'!$I$11="Disable",1,IF('Reverse Search'!$K$11="≥",IF(L139&gt;='Reverse Search'!$L$11,1,0),IF('Reverse Search'!$K$11="≤",IF(L139&lt;='Reverse Search'!$L$11,1,0),IF(L139='Reverse Search'!$L$11,1,0)))))</f>
        <v>1</v>
      </c>
      <c r="Z139" s="0" t="n">
        <f aca="true">IF('Reverse Search'!$C$14="Disable",1,IF('Reverse Search'!$D$16="Disable",1,IF($C$2=3,IF($M139=0,0,COUNTIF(INDIRECT("'0.0.2 Pokémon Learnset (Core)'!$D$"&amp;MATCH($E139,'0.0.2 Pokémon Learnset (Core)'!$A$1:$A951,0)&amp;":$FK$"&amp;MATCH($E139,'0.0.2 Pokémon Learnset (Core)'!$A$1:$A951,0)),'Reverse Search'!$E$21)),IF($C$2=2,COUNTIF(INDIRECT("'0.1.1 Pokémon GO Moves'!$B$"&amp;MATCH($E139,'0.1.1 Pokémon GO Moves'!$A$1:$A951,0)&amp;":$R$"&amp;MATCH($E139,'0.1.1 Pokémon GO Moves'!$A$1:$A951,0)),'Reverse Search'!$E$21),COUNTIF(INDIRECT("'0.1.1 Pokémon GO Moves'!$B$"&amp;MATCH($E139,'0.1.1 Pokémon GO Moves'!$A$1:$A951,0)&amp;":$L$"&amp;MATCH($E139,'0.1.1 Pokémon GO Moves'!$A$1:$A951,0)),'Reverse Search'!$E$21)))))</f>
        <v>1</v>
      </c>
      <c r="AA139" s="0" t="n">
        <f aca="true">IF('Reverse Search'!$C$14="Disable",1,IF('Reverse Search'!$I$16="Disable",1,IF($D$2=3,IF($M139=0,0,COUNTIF(INDIRECT("'0.0.2 Pokémon Learnset (Core)'!$D$"&amp;MATCH($E139,'0.0.2 Pokémon Learnset (Core)'!$A$1:$A951,0)&amp;":$FK$"&amp;MATCH($E139,'0.0.2 Pokémon Learnset (Core)'!$A$1:$A951,0)),'Reverse Search'!$J$21)),IF($D$2=2,COUNTIF(INDIRECT("'0.1.1 Pokémon GO Moves'!$B$"&amp;MATCH($E139,'0.1.1 Pokémon GO Moves'!$A$1:$A951,0)&amp;":$R$"&amp;MATCH($E139,'0.1.1 Pokémon GO Moves'!$A$1:$A951,0)),'Reverse Search'!$J$21),COUNTIF(INDIRECT("'0.1.1 Pokémon GO Moves'!$B$"&amp;MATCH($E139,'0.1.1 Pokémon GO Moves'!$A$1:$A951,0)&amp;":$L$"&amp;MATCH($E139,'0.1.1 Pokémon GO Moves'!$A$1:$A951,0)),'Reverse Search'!$J$21)))))</f>
        <v>0</v>
      </c>
      <c r="AB139" s="490"/>
      <c r="AC139" s="260" t="n">
        <f aca="false">IF((Q139+R139+S139+V139+W139+X139+Y139+IF(Z139&gt;=1,1,0)+IF(AA139&gt;=1,1,0))=9,G139&amp;", ",)</f>
        <v>0</v>
      </c>
    </row>
    <row r="140" customFormat="false" ht="15.75" hidden="false" customHeight="false" outlineLevel="0" collapsed="false">
      <c r="A140" s="260"/>
      <c r="B140" s="358"/>
      <c r="C140" s="260"/>
      <c r="D140" s="358"/>
      <c r="E140" s="260" t="n">
        <v>139</v>
      </c>
      <c r="F140" s="260" t="n">
        <f aca="false" t="array" ref="F140:F140">INDEX('0.0.1 Pokémon Dex Data'!$H$3:$H951,MATCH(E140,'0.0.1 Pokémon Dex Data'!$B$3:$B951,0))</f>
        <v>0</v>
      </c>
      <c r="G140" s="0" t="str">
        <f aca="false" t="array" ref="G140:G140">INDEX('0.0.1 Pokémon Dex Data'!$E$3:$E951,MATCH(E140,'0.0.1 Pokémon Dex Data'!$B$3:$B951,0))</f>
        <v>Rhydon</v>
      </c>
      <c r="H140" s="0" t="str">
        <f aca="false" t="array" ref="H140:H140">INDEX('0.0.1 Pokémon Dex Data'!$Q$3:$Q951,MATCH(E140,'0.0.1 Pokémon Dex Data'!$B$3:$B951,0))</f>
        <v>Rock</v>
      </c>
      <c r="I140" s="0" t="str">
        <f aca="false" t="array" ref="I140:I140">INDEX('0.0.1 Pokémon Dex Data'!$R$3:$R951,MATCH(E140,'0.0.1 Pokémon Dex Data'!$B$3:$B951,0))</f>
        <v>Ground</v>
      </c>
      <c r="J140" s="260" t="n">
        <f aca="false" t="array" ref="J140:J140">ROUND(INDEX('0.0.1 Pokémon Dex Data'!$S$3:$S951,MATCH($E140,'0.0.1 Pokémon Dex Data'!$B$3:$B951,0))*INDEX('0.0.1 Pokémon Dex Data'!T$3:T951,MATCH($E140,'0.0.1 Pokémon Dex Data'!$B$3:$B951,0)),0)</f>
        <v>222</v>
      </c>
      <c r="K140" s="260" t="n">
        <f aca="false" t="array" ref="K140:K140">ROUND(INDEX('0.0.1 Pokémon Dex Data'!$S$3:$S951,MATCH($E140,'0.0.1 Pokémon Dex Data'!$B$3:$B951,0))*INDEX('0.0.1 Pokémon Dex Data'!U$3:U951,MATCH($E140,'0.0.1 Pokémon Dex Data'!$B$3:$B951,0)),0)</f>
        <v>171</v>
      </c>
      <c r="L140" s="260" t="n">
        <f aca="false" t="array" ref="L140:L140">ROUND(INDEX('0.0.1 Pokémon Dex Data'!$S$3:$S951,MATCH($E140,'0.0.1 Pokémon Dex Data'!$B$3:$B951,0))*INDEX('0.0.1 Pokémon Dex Data'!V$3:V951,MATCH($E140,'0.0.1 Pokémon Dex Data'!$B$3:$B951,0)),0)</f>
        <v>233</v>
      </c>
      <c r="M140" s="260" t="n">
        <f aca="false" t="array" ref="M140:M140">INDEX('0.0.1 Pokémon Dex Data'!$J$3:$J951,MATCH(E140,'0.0.1 Pokémon Dex Data'!$B$3:$B951,0))</f>
        <v>1</v>
      </c>
      <c r="O140" s="490"/>
      <c r="Q140" s="367" t="n">
        <f aca="false">IF('Reverse Search'!$F$4="All (including temporary formes)",1,IF('Reverse Search'!$F$4="Base Pokémon and permanent formes only",IF(F140&lt;=1,1,0),IF(F140=0,1,0)))</f>
        <v>1</v>
      </c>
      <c r="R140" s="0" t="n">
        <f aca="false">IF('Reverse Search'!$C$7="Disable",1,IF('Reverse Search'!$D$9="Disable",1,IF(OR('Reverse Search'!$F$9=H140,'Reverse Search'!$F$9=I140),1,0)))</f>
        <v>1</v>
      </c>
      <c r="S140" s="0" t="n">
        <f aca="false">IF('Reverse Search'!$C$7="Disable",1,IF('Reverse Search'!$D$10="Disable",1,IF(OR('Reverse Search'!$F$10=H140,'Reverse Search'!$F$10=I140),1,0)))</f>
        <v>1</v>
      </c>
      <c r="T140" s="0" t="n">
        <f aca="false">INDEX($B$4:$B$22,MATCH(H140,$A$4:$A$22,0))</f>
        <v>0.714</v>
      </c>
      <c r="U140" s="0" t="n">
        <f aca="false">IF(ISBLANK(I140),1,INDEX($B$4:$B$22,MATCH(I140,$A$4:$A$22,0)))</f>
        <v>1</v>
      </c>
      <c r="V140" s="367" t="n">
        <f aca="false">IF('Reverse Search'!$C$7="Disable",1,IF('Reverse Search'!$D$11="Disable",1,IF('Reverse Search'!$E$11="Neutral to:",IF(ROUND(T140*U140,2)&lt;=1,1,0),IF(ROUND(T140*U140,2)&lt;1,1,0))))</f>
        <v>1</v>
      </c>
      <c r="W140" s="0" t="n">
        <f aca="false">IF('Reverse Search'!$N$7="Disable",1,IF('Reverse Search'!$I$9="Disable",1,IF('Reverse Search'!$K$9="≥",IF(J140&gt;='Reverse Search'!$L$9,1,0),IF('Reverse Search'!$K$9="≤",IF(J140&lt;='Reverse Search'!$L$9,1,0),IF(J140='Reverse Search'!$L$9,1,0)))))</f>
        <v>1</v>
      </c>
      <c r="X140" s="0" t="n">
        <f aca="false">IF('Reverse Search'!$N$7="Disable",1,IF('Reverse Search'!$I$10="Disable",1,IF('Reverse Search'!$K$10="≥",IF(K140&gt;='Reverse Search'!$L$10,1,0),IF('Reverse Search'!$K$10="≤",IF(K140&lt;='Reverse Search'!$L$10,1,0),IF(K140='Reverse Search'!$L$10,1,0)))))</f>
        <v>1</v>
      </c>
      <c r="Y140" s="367" t="n">
        <f aca="false">IF('Reverse Search'!$N$7="Disable",1,IF('Reverse Search'!$I$11="Disable",1,IF('Reverse Search'!$K$11="≥",IF(L140&gt;='Reverse Search'!$L$11,1,0),IF('Reverse Search'!$K$11="≤",IF(L140&lt;='Reverse Search'!$L$11,1,0),IF(L140='Reverse Search'!$L$11,1,0)))))</f>
        <v>1</v>
      </c>
      <c r="Z140" s="0" t="n">
        <f aca="true">IF('Reverse Search'!$C$14="Disable",1,IF('Reverse Search'!$D$16="Disable",1,IF($C$2=3,IF($M140=0,0,COUNTIF(INDIRECT("'0.0.2 Pokémon Learnset (Core)'!$D$"&amp;MATCH($E140,'0.0.2 Pokémon Learnset (Core)'!$A$1:$A951,0)&amp;":$FK$"&amp;MATCH($E140,'0.0.2 Pokémon Learnset (Core)'!$A$1:$A951,0)),'Reverse Search'!$E$21)),IF($C$2=2,COUNTIF(INDIRECT("'0.1.1 Pokémon GO Moves'!$B$"&amp;MATCH($E140,'0.1.1 Pokémon GO Moves'!$A$1:$A951,0)&amp;":$R$"&amp;MATCH($E140,'0.1.1 Pokémon GO Moves'!$A$1:$A951,0)),'Reverse Search'!$E$21),COUNTIF(INDIRECT("'0.1.1 Pokémon GO Moves'!$B$"&amp;MATCH($E140,'0.1.1 Pokémon GO Moves'!$A$1:$A951,0)&amp;":$L$"&amp;MATCH($E140,'0.1.1 Pokémon GO Moves'!$A$1:$A951,0)),'Reverse Search'!$E$21)))))</f>
        <v>1</v>
      </c>
      <c r="AA140" s="0" t="n">
        <f aca="true">IF('Reverse Search'!$C$14="Disable",1,IF('Reverse Search'!$I$16="Disable",1,IF($D$2=3,IF($M140=0,0,COUNTIF(INDIRECT("'0.0.2 Pokémon Learnset (Core)'!$D$"&amp;MATCH($E140,'0.0.2 Pokémon Learnset (Core)'!$A$1:$A951,0)&amp;":$FK$"&amp;MATCH($E140,'0.0.2 Pokémon Learnset (Core)'!$A$1:$A951,0)),'Reverse Search'!$J$21)),IF($D$2=2,COUNTIF(INDIRECT("'0.1.1 Pokémon GO Moves'!$B$"&amp;MATCH($E140,'0.1.1 Pokémon GO Moves'!$A$1:$A951,0)&amp;":$R$"&amp;MATCH($E140,'0.1.1 Pokémon GO Moves'!$A$1:$A951,0)),'Reverse Search'!$J$21),COUNTIF(INDIRECT("'0.1.1 Pokémon GO Moves'!$B$"&amp;MATCH($E140,'0.1.1 Pokémon GO Moves'!$A$1:$A951,0)&amp;":$L$"&amp;MATCH($E140,'0.1.1 Pokémon GO Moves'!$A$1:$A951,0)),'Reverse Search'!$J$21)))))</f>
        <v>0</v>
      </c>
      <c r="AB140" s="490"/>
      <c r="AC140" s="260" t="n">
        <f aca="false">IF((Q140+R140+S140+V140+W140+X140+Y140+IF(Z140&gt;=1,1,0)+IF(AA140&gt;=1,1,0))=9,G140&amp;", ",)</f>
        <v>0</v>
      </c>
    </row>
    <row r="141" customFormat="false" ht="15.75" hidden="false" customHeight="false" outlineLevel="0" collapsed="false">
      <c r="A141" s="260"/>
      <c r="B141" s="358"/>
      <c r="C141" s="260"/>
      <c r="D141" s="358"/>
      <c r="E141" s="260" t="n">
        <v>140</v>
      </c>
      <c r="F141" s="260" t="n">
        <f aca="false" t="array" ref="F141:F141">INDEX('0.0.1 Pokémon Dex Data'!$H$3:$H951,MATCH(E141,'0.0.1 Pokémon Dex Data'!$B$3:$B951,0))</f>
        <v>0</v>
      </c>
      <c r="G141" s="0" t="str">
        <f aca="false" t="array" ref="G141:G141">INDEX('0.0.1 Pokémon Dex Data'!$E$3:$E951,MATCH(E141,'0.0.1 Pokémon Dex Data'!$B$3:$B951,0))</f>
        <v>Chansey</v>
      </c>
      <c r="H141" s="0" t="str">
        <f aca="false" t="array" ref="H141:H141">INDEX('0.0.1 Pokémon Dex Data'!$Q$3:$Q951,MATCH(E141,'0.0.1 Pokémon Dex Data'!$B$3:$B951,0))</f>
        <v>Normal</v>
      </c>
      <c r="I141" s="0" t="n">
        <f aca="false">INDEX('0.0.1 Pokémon Dex Data'!$R$3:$R951,MATCH(E141,'0.0.1 Pokémon Dex Data'!$B$3:$B951,0))</f>
        <v>0</v>
      </c>
      <c r="J141" s="260" t="n">
        <f aca="false" t="array" ref="J141:J141">ROUND(INDEX('0.0.1 Pokémon Dex Data'!$S$3:$S951,MATCH($E141,'0.0.1 Pokémon Dex Data'!$B$3:$B951,0))*INDEX('0.0.1 Pokémon Dex Data'!T$3:T951,MATCH($E141,'0.0.1 Pokémon Dex Data'!$B$3:$B951,0)),0)</f>
        <v>60</v>
      </c>
      <c r="K141" s="260" t="n">
        <f aca="false" t="array" ref="K141:K141">ROUND(INDEX('0.0.1 Pokémon Dex Data'!$S$3:$S951,MATCH($E141,'0.0.1 Pokémon Dex Data'!$B$3:$B951,0))*INDEX('0.0.1 Pokémon Dex Data'!U$3:U951,MATCH($E141,'0.0.1 Pokémon Dex Data'!$B$3:$B951,0)),0)</f>
        <v>128</v>
      </c>
      <c r="L141" s="260" t="n">
        <f aca="false" t="array" ref="L141:L141">ROUND(INDEX('0.0.1 Pokémon Dex Data'!$S$3:$S951,MATCH($E141,'0.0.1 Pokémon Dex Data'!$B$3:$B951,0))*INDEX('0.0.1 Pokémon Dex Data'!V$3:V951,MATCH($E141,'0.0.1 Pokémon Dex Data'!$B$3:$B951,0)),0)</f>
        <v>487</v>
      </c>
      <c r="M141" s="260" t="n">
        <f aca="false" t="array" ref="M141:M141">INDEX('0.0.1 Pokémon Dex Data'!$J$3:$J951,MATCH(E141,'0.0.1 Pokémon Dex Data'!$B$3:$B951,0))</f>
        <v>1</v>
      </c>
      <c r="O141" s="490"/>
      <c r="Q141" s="367" t="n">
        <f aca="false">IF('Reverse Search'!$F$4="All (including temporary formes)",1,IF('Reverse Search'!$F$4="Base Pokémon and permanent formes only",IF(F141&lt;=1,1,0),IF(F141=0,1,0)))</f>
        <v>1</v>
      </c>
      <c r="R141" s="0" t="n">
        <f aca="false">IF('Reverse Search'!$C$7="Disable",1,IF('Reverse Search'!$D$9="Disable",1,IF(OR('Reverse Search'!$F$9=H141,'Reverse Search'!$F$9=I141),1,0)))</f>
        <v>1</v>
      </c>
      <c r="S141" s="0" t="n">
        <f aca="false">IF('Reverse Search'!$C$7="Disable",1,IF('Reverse Search'!$D$10="Disable",1,IF(OR('Reverse Search'!$F$10=H141,'Reverse Search'!$F$10=I141),1,0)))</f>
        <v>1</v>
      </c>
      <c r="T141" s="0" t="n">
        <f aca="false">INDEX($B$4:$B$22,MATCH(H141,$A$4:$A$22,0))</f>
        <v>1</v>
      </c>
      <c r="U141" s="0" t="e">
        <f aca="false">IF(ISBLANK(I141),1,INDEX($B$4:$B$22,MATCH(I141,$A$4:$A$22,0)))</f>
        <v>#N/A</v>
      </c>
      <c r="V141" s="367" t="n">
        <f aca="false">IF('Reverse Search'!$C$7="Disable",1,IF('Reverse Search'!$D$11="Disable",1,IF('Reverse Search'!$E$11="Neutral to:",IF(ROUND(T141*U141,2)&lt;=1,1,0),IF(ROUND(T141*U141,2)&lt;1,1,0))))</f>
        <v>1</v>
      </c>
      <c r="W141" s="0" t="n">
        <f aca="false">IF('Reverse Search'!$N$7="Disable",1,IF('Reverse Search'!$I$9="Disable",1,IF('Reverse Search'!$K$9="≥",IF(J141&gt;='Reverse Search'!$L$9,1,0),IF('Reverse Search'!$K$9="≤",IF(J141&lt;='Reverse Search'!$L$9,1,0),IF(J141='Reverse Search'!$L$9,1,0)))))</f>
        <v>1</v>
      </c>
      <c r="X141" s="0" t="n">
        <f aca="false">IF('Reverse Search'!$N$7="Disable",1,IF('Reverse Search'!$I$10="Disable",1,IF('Reverse Search'!$K$10="≥",IF(K141&gt;='Reverse Search'!$L$10,1,0),IF('Reverse Search'!$K$10="≤",IF(K141&lt;='Reverse Search'!$L$10,1,0),IF(K141='Reverse Search'!$L$10,1,0)))))</f>
        <v>1</v>
      </c>
      <c r="Y141" s="367" t="n">
        <f aca="false">IF('Reverse Search'!$N$7="Disable",1,IF('Reverse Search'!$I$11="Disable",1,IF('Reverse Search'!$K$11="≥",IF(L141&gt;='Reverse Search'!$L$11,1,0),IF('Reverse Search'!$K$11="≤",IF(L141&lt;='Reverse Search'!$L$11,1,0),IF(L141='Reverse Search'!$L$11,1,0)))))</f>
        <v>1</v>
      </c>
      <c r="Z141" s="0" t="n">
        <f aca="true">IF('Reverse Search'!$C$14="Disable",1,IF('Reverse Search'!$D$16="Disable",1,IF($C$2=3,IF($M141=0,0,COUNTIF(INDIRECT("'0.0.2 Pokémon Learnset (Core)'!$D$"&amp;MATCH($E141,'0.0.2 Pokémon Learnset (Core)'!$A$1:$A951,0)&amp;":$FK$"&amp;MATCH($E141,'0.0.2 Pokémon Learnset (Core)'!$A$1:$A951,0)),'Reverse Search'!$E$21)),IF($C$2=2,COUNTIF(INDIRECT("'0.1.1 Pokémon GO Moves'!$B$"&amp;MATCH($E141,'0.1.1 Pokémon GO Moves'!$A$1:$A951,0)&amp;":$R$"&amp;MATCH($E141,'0.1.1 Pokémon GO Moves'!$A$1:$A951,0)),'Reverse Search'!$E$21),COUNTIF(INDIRECT("'0.1.1 Pokémon GO Moves'!$B$"&amp;MATCH($E141,'0.1.1 Pokémon GO Moves'!$A$1:$A951,0)&amp;":$L$"&amp;MATCH($E141,'0.1.1 Pokémon GO Moves'!$A$1:$A951,0)),'Reverse Search'!$E$21)))))</f>
        <v>1</v>
      </c>
      <c r="AA141" s="0" t="n">
        <f aca="true">IF('Reverse Search'!$C$14="Disable",1,IF('Reverse Search'!$I$16="Disable",1,IF($D$2=3,IF($M141=0,0,COUNTIF(INDIRECT("'0.0.2 Pokémon Learnset (Core)'!$D$"&amp;MATCH($E141,'0.0.2 Pokémon Learnset (Core)'!$A$1:$A951,0)&amp;":$FK$"&amp;MATCH($E141,'0.0.2 Pokémon Learnset (Core)'!$A$1:$A951,0)),'Reverse Search'!$J$21)),IF($D$2=2,COUNTIF(INDIRECT("'0.1.1 Pokémon GO Moves'!$B$"&amp;MATCH($E141,'0.1.1 Pokémon GO Moves'!$A$1:$A951,0)&amp;":$R$"&amp;MATCH($E141,'0.1.1 Pokémon GO Moves'!$A$1:$A951,0)),'Reverse Search'!$J$21),COUNTIF(INDIRECT("'0.1.1 Pokémon GO Moves'!$B$"&amp;MATCH($E141,'0.1.1 Pokémon GO Moves'!$A$1:$A951,0)&amp;":$L$"&amp;MATCH($E141,'0.1.1 Pokémon GO Moves'!$A$1:$A951,0)),'Reverse Search'!$J$21)))))</f>
        <v>0</v>
      </c>
      <c r="AB141" s="490"/>
      <c r="AC141" s="260" t="n">
        <f aca="false">IF((Q141+R141+S141+V141+W141+X141+Y141+IF(Z141&gt;=1,1,0)+IF(AA141&gt;=1,1,0))=9,G141&amp;", ",)</f>
        <v>0</v>
      </c>
    </row>
    <row r="142" customFormat="false" ht="15.75" hidden="false" customHeight="false" outlineLevel="0" collapsed="false">
      <c r="A142" s="260"/>
      <c r="B142" s="358"/>
      <c r="C142" s="260"/>
      <c r="D142" s="358"/>
      <c r="E142" s="260" t="n">
        <v>141</v>
      </c>
      <c r="F142" s="260" t="n">
        <f aca="false" t="array" ref="F142:F142">INDEX('0.0.1 Pokémon Dex Data'!$H$3:$H951,MATCH(E142,'0.0.1 Pokémon Dex Data'!$B$3:$B951,0))</f>
        <v>0</v>
      </c>
      <c r="G142" s="0" t="str">
        <f aca="false" t="array" ref="G142:G142">INDEX('0.0.1 Pokémon Dex Data'!$E$3:$E951,MATCH(E142,'0.0.1 Pokémon Dex Data'!$B$3:$B951,0))</f>
        <v>Tangela</v>
      </c>
      <c r="H142" s="0" t="str">
        <f aca="false" t="array" ref="H142:H142">INDEX('0.0.1 Pokémon Dex Data'!$Q$3:$Q951,MATCH(E142,'0.0.1 Pokémon Dex Data'!$B$3:$B951,0))</f>
        <v>Grass</v>
      </c>
      <c r="I142" s="0" t="n">
        <f aca="false">INDEX('0.0.1 Pokémon Dex Data'!$R$3:$R951,MATCH(E142,'0.0.1 Pokémon Dex Data'!$B$3:$B951,0))</f>
        <v>0</v>
      </c>
      <c r="J142" s="260" t="n">
        <f aca="false" t="array" ref="J142:J142">ROUND(INDEX('0.0.1 Pokémon Dex Data'!$S$3:$S951,MATCH($E142,'0.0.1 Pokémon Dex Data'!$B$3:$B951,0))*INDEX('0.0.1 Pokémon Dex Data'!T$3:T951,MATCH($E142,'0.0.1 Pokémon Dex Data'!$B$3:$B951,0)),0)</f>
        <v>183</v>
      </c>
      <c r="K142" s="260" t="n">
        <f aca="false" t="array" ref="K142:K142">ROUND(INDEX('0.0.1 Pokémon Dex Data'!$S$3:$S951,MATCH($E142,'0.0.1 Pokémon Dex Data'!$B$3:$B951,0))*INDEX('0.0.1 Pokémon Dex Data'!U$3:U951,MATCH($E142,'0.0.1 Pokémon Dex Data'!$B$3:$B951,0)),0)</f>
        <v>169</v>
      </c>
      <c r="L142" s="260" t="n">
        <f aca="false" t="array" ref="L142:L142">ROUND(INDEX('0.0.1 Pokémon Dex Data'!$S$3:$S951,MATCH($E142,'0.0.1 Pokémon Dex Data'!$B$3:$B951,0))*INDEX('0.0.1 Pokémon Dex Data'!V$3:V951,MATCH($E142,'0.0.1 Pokémon Dex Data'!$B$3:$B951,0)),0)</f>
        <v>163</v>
      </c>
      <c r="M142" s="260" t="n">
        <f aca="false" t="array" ref="M142:M142">INDEX('0.0.1 Pokémon Dex Data'!$J$3:$J951,MATCH(E142,'0.0.1 Pokémon Dex Data'!$B$3:$B951,0))</f>
        <v>1</v>
      </c>
      <c r="O142" s="490"/>
      <c r="Q142" s="367" t="n">
        <f aca="false">IF('Reverse Search'!$F$4="All (including temporary formes)",1,IF('Reverse Search'!$F$4="Base Pokémon and permanent formes only",IF(F142&lt;=1,1,0),IF(F142=0,1,0)))</f>
        <v>1</v>
      </c>
      <c r="R142" s="0" t="n">
        <f aca="false">IF('Reverse Search'!$C$7="Disable",1,IF('Reverse Search'!$D$9="Disable",1,IF(OR('Reverse Search'!$F$9=H142,'Reverse Search'!$F$9=I142),1,0)))</f>
        <v>1</v>
      </c>
      <c r="S142" s="0" t="n">
        <f aca="false">IF('Reverse Search'!$C$7="Disable",1,IF('Reverse Search'!$D$10="Disable",1,IF(OR('Reverse Search'!$F$10=H142,'Reverse Search'!$F$10=I142),1,0)))</f>
        <v>1</v>
      </c>
      <c r="T142" s="0" t="n">
        <f aca="false">INDEX($B$4:$B$22,MATCH(H142,$A$4:$A$22,0))</f>
        <v>1</v>
      </c>
      <c r="U142" s="0" t="e">
        <f aca="false">IF(ISBLANK(I142),1,INDEX($B$4:$B$22,MATCH(I142,$A$4:$A$22,0)))</f>
        <v>#N/A</v>
      </c>
      <c r="V142" s="367" t="n">
        <f aca="false">IF('Reverse Search'!$C$7="Disable",1,IF('Reverse Search'!$D$11="Disable",1,IF('Reverse Search'!$E$11="Neutral to:",IF(ROUND(T142*U142,2)&lt;=1,1,0),IF(ROUND(T142*U142,2)&lt;1,1,0))))</f>
        <v>1</v>
      </c>
      <c r="W142" s="0" t="n">
        <f aca="false">IF('Reverse Search'!$N$7="Disable",1,IF('Reverse Search'!$I$9="Disable",1,IF('Reverse Search'!$K$9="≥",IF(J142&gt;='Reverse Search'!$L$9,1,0),IF('Reverse Search'!$K$9="≤",IF(J142&lt;='Reverse Search'!$L$9,1,0),IF(J142='Reverse Search'!$L$9,1,0)))))</f>
        <v>1</v>
      </c>
      <c r="X142" s="0" t="n">
        <f aca="false">IF('Reverse Search'!$N$7="Disable",1,IF('Reverse Search'!$I$10="Disable",1,IF('Reverse Search'!$K$10="≥",IF(K142&gt;='Reverse Search'!$L$10,1,0),IF('Reverse Search'!$K$10="≤",IF(K142&lt;='Reverse Search'!$L$10,1,0),IF(K142='Reverse Search'!$L$10,1,0)))))</f>
        <v>1</v>
      </c>
      <c r="Y142" s="367" t="n">
        <f aca="false">IF('Reverse Search'!$N$7="Disable",1,IF('Reverse Search'!$I$11="Disable",1,IF('Reverse Search'!$K$11="≥",IF(L142&gt;='Reverse Search'!$L$11,1,0),IF('Reverse Search'!$K$11="≤",IF(L142&lt;='Reverse Search'!$L$11,1,0),IF(L142='Reverse Search'!$L$11,1,0)))))</f>
        <v>1</v>
      </c>
      <c r="Z142" s="0" t="n">
        <f aca="true">IF('Reverse Search'!$C$14="Disable",1,IF('Reverse Search'!$D$16="Disable",1,IF($C$2=3,IF($M142=0,0,COUNTIF(INDIRECT("'0.0.2 Pokémon Learnset (Core)'!$D$"&amp;MATCH($E142,'0.0.2 Pokémon Learnset (Core)'!$A$1:$A951,0)&amp;":$FK$"&amp;MATCH($E142,'0.0.2 Pokémon Learnset (Core)'!$A$1:$A951,0)),'Reverse Search'!$E$21)),IF($C$2=2,COUNTIF(INDIRECT("'0.1.1 Pokémon GO Moves'!$B$"&amp;MATCH($E142,'0.1.1 Pokémon GO Moves'!$A$1:$A951,0)&amp;":$R$"&amp;MATCH($E142,'0.1.1 Pokémon GO Moves'!$A$1:$A951,0)),'Reverse Search'!$E$21),COUNTIF(INDIRECT("'0.1.1 Pokémon GO Moves'!$B$"&amp;MATCH($E142,'0.1.1 Pokémon GO Moves'!$A$1:$A951,0)&amp;":$L$"&amp;MATCH($E142,'0.1.1 Pokémon GO Moves'!$A$1:$A951,0)),'Reverse Search'!$E$21)))))</f>
        <v>1</v>
      </c>
      <c r="AA142" s="0" t="n">
        <f aca="true">IF('Reverse Search'!$C$14="Disable",1,IF('Reverse Search'!$I$16="Disable",1,IF($D$2=3,IF($M142=0,0,COUNTIF(INDIRECT("'0.0.2 Pokémon Learnset (Core)'!$D$"&amp;MATCH($E142,'0.0.2 Pokémon Learnset (Core)'!$A$1:$A951,0)&amp;":$FK$"&amp;MATCH($E142,'0.0.2 Pokémon Learnset (Core)'!$A$1:$A951,0)),'Reverse Search'!$J$21)),IF($D$2=2,COUNTIF(INDIRECT("'0.1.1 Pokémon GO Moves'!$B$"&amp;MATCH($E142,'0.1.1 Pokémon GO Moves'!$A$1:$A951,0)&amp;":$R$"&amp;MATCH($E142,'0.1.1 Pokémon GO Moves'!$A$1:$A951,0)),'Reverse Search'!$J$21),COUNTIF(INDIRECT("'0.1.1 Pokémon GO Moves'!$B$"&amp;MATCH($E142,'0.1.1 Pokémon GO Moves'!$A$1:$A951,0)&amp;":$L$"&amp;MATCH($E142,'0.1.1 Pokémon GO Moves'!$A$1:$A951,0)),'Reverse Search'!$J$21)))))</f>
        <v>0</v>
      </c>
      <c r="AB142" s="490"/>
      <c r="AC142" s="260" t="n">
        <f aca="false">IF((Q142+R142+S142+V142+W142+X142+Y142+IF(Z142&gt;=1,1,0)+IF(AA142&gt;=1,1,0))=9,G142&amp;", ",)</f>
        <v>0</v>
      </c>
    </row>
    <row r="143" customFormat="false" ht="15.75" hidden="false" customHeight="false" outlineLevel="0" collapsed="false">
      <c r="A143" s="260"/>
      <c r="B143" s="358"/>
      <c r="C143" s="260"/>
      <c r="D143" s="358"/>
      <c r="E143" s="260" t="n">
        <v>142</v>
      </c>
      <c r="F143" s="260" t="n">
        <f aca="false" t="array" ref="F143:F143">INDEX('0.0.1 Pokémon Dex Data'!$H$3:$H951,MATCH(E143,'0.0.1 Pokémon Dex Data'!$B$3:$B951,0))</f>
        <v>0</v>
      </c>
      <c r="G143" s="0" t="str">
        <f aca="false" t="array" ref="G143:G143">INDEX('0.0.1 Pokémon Dex Data'!$E$3:$E951,MATCH(E143,'0.0.1 Pokémon Dex Data'!$B$3:$B951,0))</f>
        <v>Kangaskhan</v>
      </c>
      <c r="H143" s="0" t="str">
        <f aca="false" t="array" ref="H143:H143">INDEX('0.0.1 Pokémon Dex Data'!$Q$3:$Q951,MATCH(E143,'0.0.1 Pokémon Dex Data'!$B$3:$B951,0))</f>
        <v>Normal</v>
      </c>
      <c r="I143" s="0" t="n">
        <f aca="false">INDEX('0.0.1 Pokémon Dex Data'!$R$3:$R951,MATCH(E143,'0.0.1 Pokémon Dex Data'!$B$3:$B951,0))</f>
        <v>0</v>
      </c>
      <c r="J143" s="260" t="n">
        <f aca="false" t="array" ref="J143:J143">ROUND(INDEX('0.0.1 Pokémon Dex Data'!$S$3:$S951,MATCH($E143,'0.0.1 Pokémon Dex Data'!$B$3:$B951,0))*INDEX('0.0.1 Pokémon Dex Data'!T$3:T951,MATCH($E143,'0.0.1 Pokémon Dex Data'!$B$3:$B951,0)),0)</f>
        <v>181</v>
      </c>
      <c r="K143" s="260" t="n">
        <f aca="false" t="array" ref="K143:K143">ROUND(INDEX('0.0.1 Pokémon Dex Data'!$S$3:$S951,MATCH($E143,'0.0.1 Pokémon Dex Data'!$B$3:$B951,0))*INDEX('0.0.1 Pokémon Dex Data'!U$3:U951,MATCH($E143,'0.0.1 Pokémon Dex Data'!$B$3:$B951,0)),0)</f>
        <v>165</v>
      </c>
      <c r="L143" s="260" t="n">
        <f aca="false" t="array" ref="L143:L143">ROUND(INDEX('0.0.1 Pokémon Dex Data'!$S$3:$S951,MATCH($E143,'0.0.1 Pokémon Dex Data'!$B$3:$B951,0))*INDEX('0.0.1 Pokémon Dex Data'!V$3:V951,MATCH($E143,'0.0.1 Pokémon Dex Data'!$B$3:$B951,0)),0)</f>
        <v>233</v>
      </c>
      <c r="M143" s="260" t="n">
        <f aca="false" t="array" ref="M143:M143">INDEX('0.0.1 Pokémon Dex Data'!$J$3:$J951,MATCH(E143,'0.0.1 Pokémon Dex Data'!$B$3:$B951,0))</f>
        <v>1</v>
      </c>
      <c r="O143" s="490"/>
      <c r="Q143" s="367" t="n">
        <f aca="false">IF('Reverse Search'!$F$4="All (including temporary formes)",1,IF('Reverse Search'!$F$4="Base Pokémon and permanent formes only",IF(F143&lt;=1,1,0),IF(F143=0,1,0)))</f>
        <v>1</v>
      </c>
      <c r="R143" s="0" t="n">
        <f aca="false">IF('Reverse Search'!$C$7="Disable",1,IF('Reverse Search'!$D$9="Disable",1,IF(OR('Reverse Search'!$F$9=H143,'Reverse Search'!$F$9=I143),1,0)))</f>
        <v>1</v>
      </c>
      <c r="S143" s="0" t="n">
        <f aca="false">IF('Reverse Search'!$C$7="Disable",1,IF('Reverse Search'!$D$10="Disable",1,IF(OR('Reverse Search'!$F$10=H143,'Reverse Search'!$F$10=I143),1,0)))</f>
        <v>1</v>
      </c>
      <c r="T143" s="0" t="n">
        <f aca="false">INDEX($B$4:$B$22,MATCH(H143,$A$4:$A$22,0))</f>
        <v>1</v>
      </c>
      <c r="U143" s="0" t="e">
        <f aca="false">IF(ISBLANK(I143),1,INDEX($B$4:$B$22,MATCH(I143,$A$4:$A$22,0)))</f>
        <v>#N/A</v>
      </c>
      <c r="V143" s="367" t="n">
        <f aca="false">IF('Reverse Search'!$C$7="Disable",1,IF('Reverse Search'!$D$11="Disable",1,IF('Reverse Search'!$E$11="Neutral to:",IF(ROUND(T143*U143,2)&lt;=1,1,0),IF(ROUND(T143*U143,2)&lt;1,1,0))))</f>
        <v>1</v>
      </c>
      <c r="W143" s="0" t="n">
        <f aca="false">IF('Reverse Search'!$N$7="Disable",1,IF('Reverse Search'!$I$9="Disable",1,IF('Reverse Search'!$K$9="≥",IF(J143&gt;='Reverse Search'!$L$9,1,0),IF('Reverse Search'!$K$9="≤",IF(J143&lt;='Reverse Search'!$L$9,1,0),IF(J143='Reverse Search'!$L$9,1,0)))))</f>
        <v>1</v>
      </c>
      <c r="X143" s="0" t="n">
        <f aca="false">IF('Reverse Search'!$N$7="Disable",1,IF('Reverse Search'!$I$10="Disable",1,IF('Reverse Search'!$K$10="≥",IF(K143&gt;='Reverse Search'!$L$10,1,0),IF('Reverse Search'!$K$10="≤",IF(K143&lt;='Reverse Search'!$L$10,1,0),IF(K143='Reverse Search'!$L$10,1,0)))))</f>
        <v>1</v>
      </c>
      <c r="Y143" s="367" t="n">
        <f aca="false">IF('Reverse Search'!$N$7="Disable",1,IF('Reverse Search'!$I$11="Disable",1,IF('Reverse Search'!$K$11="≥",IF(L143&gt;='Reverse Search'!$L$11,1,0),IF('Reverse Search'!$K$11="≤",IF(L143&lt;='Reverse Search'!$L$11,1,0),IF(L143='Reverse Search'!$L$11,1,0)))))</f>
        <v>1</v>
      </c>
      <c r="Z143" s="0" t="n">
        <f aca="true">IF('Reverse Search'!$C$14="Disable",1,IF('Reverse Search'!$D$16="Disable",1,IF($C$2=3,IF($M143=0,0,COUNTIF(INDIRECT("'0.0.2 Pokémon Learnset (Core)'!$D$"&amp;MATCH($E143,'0.0.2 Pokémon Learnset (Core)'!$A$1:$A951,0)&amp;":$FK$"&amp;MATCH($E143,'0.0.2 Pokémon Learnset (Core)'!$A$1:$A951,0)),'Reverse Search'!$E$21)),IF($C$2=2,COUNTIF(INDIRECT("'0.1.1 Pokémon GO Moves'!$B$"&amp;MATCH($E143,'0.1.1 Pokémon GO Moves'!$A$1:$A951,0)&amp;":$R$"&amp;MATCH($E143,'0.1.1 Pokémon GO Moves'!$A$1:$A951,0)),'Reverse Search'!$E$21),COUNTIF(INDIRECT("'0.1.1 Pokémon GO Moves'!$B$"&amp;MATCH($E143,'0.1.1 Pokémon GO Moves'!$A$1:$A951,0)&amp;":$L$"&amp;MATCH($E143,'0.1.1 Pokémon GO Moves'!$A$1:$A951,0)),'Reverse Search'!$E$21)))))</f>
        <v>1</v>
      </c>
      <c r="AA143" s="0" t="n">
        <f aca="true">IF('Reverse Search'!$C$14="Disable",1,IF('Reverse Search'!$I$16="Disable",1,IF($D$2=3,IF($M143=0,0,COUNTIF(INDIRECT("'0.0.2 Pokémon Learnset (Core)'!$D$"&amp;MATCH($E143,'0.0.2 Pokémon Learnset (Core)'!$A$1:$A951,0)&amp;":$FK$"&amp;MATCH($E143,'0.0.2 Pokémon Learnset (Core)'!$A$1:$A951,0)),'Reverse Search'!$J$21)),IF($D$2=2,COUNTIF(INDIRECT("'0.1.1 Pokémon GO Moves'!$B$"&amp;MATCH($E143,'0.1.1 Pokémon GO Moves'!$A$1:$A951,0)&amp;":$R$"&amp;MATCH($E143,'0.1.1 Pokémon GO Moves'!$A$1:$A951,0)),'Reverse Search'!$J$21),COUNTIF(INDIRECT("'0.1.1 Pokémon GO Moves'!$B$"&amp;MATCH($E143,'0.1.1 Pokémon GO Moves'!$A$1:$A951,0)&amp;":$L$"&amp;MATCH($E143,'0.1.1 Pokémon GO Moves'!$A$1:$A951,0)),'Reverse Search'!$J$21)))))</f>
        <v>0</v>
      </c>
      <c r="AB143" s="490"/>
      <c r="AC143" s="260" t="n">
        <f aca="false">IF((Q143+R143+S143+V143+W143+X143+Y143+IF(Z143&gt;=1,1,0)+IF(AA143&gt;=1,1,0))=9,G143&amp;", ",)</f>
        <v>0</v>
      </c>
    </row>
    <row r="144" customFormat="false" ht="15.75" hidden="false" customHeight="false" outlineLevel="0" collapsed="false">
      <c r="A144" s="260"/>
      <c r="B144" s="358"/>
      <c r="C144" s="260"/>
      <c r="D144" s="358"/>
      <c r="E144" s="260" t="n">
        <v>143</v>
      </c>
      <c r="F144" s="260" t="n">
        <f aca="false" t="array" ref="F144:F144">INDEX('0.0.1 Pokémon Dex Data'!$H$3:$H951,MATCH(E144,'0.0.1 Pokémon Dex Data'!$B$3:$B951,0))</f>
        <v>2</v>
      </c>
      <c r="G144" s="0" t="str">
        <f aca="false" t="array" ref="G144:G144">INDEX('0.0.1 Pokémon Dex Data'!$E$3:$E951,MATCH(E144,'0.0.1 Pokémon Dex Data'!$B$3:$B951,0))</f>
        <v>Kangaskhan-Mega</v>
      </c>
      <c r="H144" s="0" t="str">
        <f aca="false" t="array" ref="H144:H144">INDEX('0.0.1 Pokémon Dex Data'!$Q$3:$Q951,MATCH(E144,'0.0.1 Pokémon Dex Data'!$B$3:$B951,0))</f>
        <v>Normal</v>
      </c>
      <c r="I144" s="0" t="n">
        <f aca="false">INDEX('0.0.1 Pokémon Dex Data'!$R$3:$R951,MATCH(E144,'0.0.1 Pokémon Dex Data'!$B$3:$B951,0))</f>
        <v>0</v>
      </c>
      <c r="J144" s="260" t="n">
        <f aca="false" t="array" ref="J144:J144">ROUND(INDEX('0.0.1 Pokémon Dex Data'!$S$3:$S951,MATCH($E144,'0.0.1 Pokémon Dex Data'!$B$3:$B951,0))*INDEX('0.0.1 Pokémon Dex Data'!T$3:T951,MATCH($E144,'0.0.1 Pokémon Dex Data'!$B$3:$B951,0)),0)</f>
        <v>246</v>
      </c>
      <c r="K144" s="260" t="n">
        <f aca="false" t="array" ref="K144:K144">ROUND(INDEX('0.0.1 Pokémon Dex Data'!$S$3:$S951,MATCH($E144,'0.0.1 Pokémon Dex Data'!$B$3:$B951,0))*INDEX('0.0.1 Pokémon Dex Data'!U$3:U951,MATCH($E144,'0.0.1 Pokémon Dex Data'!$B$3:$B951,0)),0)</f>
        <v>210</v>
      </c>
      <c r="L144" s="260" t="n">
        <f aca="false" t="array" ref="L144:L144">ROUND(INDEX('0.0.1 Pokémon Dex Data'!$S$3:$S951,MATCH($E144,'0.0.1 Pokémon Dex Data'!$B$3:$B951,0))*INDEX('0.0.1 Pokémon Dex Data'!V$3:V951,MATCH($E144,'0.0.1 Pokémon Dex Data'!$B$3:$B951,0)),0)</f>
        <v>233</v>
      </c>
      <c r="M144" s="260" t="n">
        <f aca="false" t="array" ref="M144:M144">INDEX('0.0.1 Pokémon Dex Data'!$J$3:$J951,MATCH(E144,'0.0.1 Pokémon Dex Data'!$B$3:$B951,0))</f>
        <v>1</v>
      </c>
      <c r="O144" s="490"/>
      <c r="Q144" s="367" t="n">
        <f aca="false">IF('Reverse Search'!$F$4="All (including temporary formes)",1,IF('Reverse Search'!$F$4="Base Pokémon and permanent formes only",IF(F144&lt;=1,1,0),IF(F144=0,1,0)))</f>
        <v>0</v>
      </c>
      <c r="R144" s="0" t="n">
        <f aca="false">IF('Reverse Search'!$C$7="Disable",1,IF('Reverse Search'!$D$9="Disable",1,IF(OR('Reverse Search'!$F$9=H144,'Reverse Search'!$F$9=I144),1,0)))</f>
        <v>1</v>
      </c>
      <c r="S144" s="0" t="n">
        <f aca="false">IF('Reverse Search'!$C$7="Disable",1,IF('Reverse Search'!$D$10="Disable",1,IF(OR('Reverse Search'!$F$10=H144,'Reverse Search'!$F$10=I144),1,0)))</f>
        <v>1</v>
      </c>
      <c r="T144" s="0" t="n">
        <f aca="false">INDEX($B$4:$B$22,MATCH(H144,$A$4:$A$22,0))</f>
        <v>1</v>
      </c>
      <c r="U144" s="0" t="e">
        <f aca="false">IF(ISBLANK(I144),1,INDEX($B$4:$B$22,MATCH(I144,$A$4:$A$22,0)))</f>
        <v>#N/A</v>
      </c>
      <c r="V144" s="367" t="n">
        <f aca="false">IF('Reverse Search'!$C$7="Disable",1,IF('Reverse Search'!$D$11="Disable",1,IF('Reverse Search'!$E$11="Neutral to:",IF(ROUND(T144*U144,2)&lt;=1,1,0),IF(ROUND(T144*U144,2)&lt;1,1,0))))</f>
        <v>1</v>
      </c>
      <c r="W144" s="0" t="n">
        <f aca="false">IF('Reverse Search'!$N$7="Disable",1,IF('Reverse Search'!$I$9="Disable",1,IF('Reverse Search'!$K$9="≥",IF(J144&gt;='Reverse Search'!$L$9,1,0),IF('Reverse Search'!$K$9="≤",IF(J144&lt;='Reverse Search'!$L$9,1,0),IF(J144='Reverse Search'!$L$9,1,0)))))</f>
        <v>1</v>
      </c>
      <c r="X144" s="0" t="n">
        <f aca="false">IF('Reverse Search'!$N$7="Disable",1,IF('Reverse Search'!$I$10="Disable",1,IF('Reverse Search'!$K$10="≥",IF(K144&gt;='Reverse Search'!$L$10,1,0),IF('Reverse Search'!$K$10="≤",IF(K144&lt;='Reverse Search'!$L$10,1,0),IF(K144='Reverse Search'!$L$10,1,0)))))</f>
        <v>1</v>
      </c>
      <c r="Y144" s="367" t="n">
        <f aca="false">IF('Reverse Search'!$N$7="Disable",1,IF('Reverse Search'!$I$11="Disable",1,IF('Reverse Search'!$K$11="≥",IF(L144&gt;='Reverse Search'!$L$11,1,0),IF('Reverse Search'!$K$11="≤",IF(L144&lt;='Reverse Search'!$L$11,1,0),IF(L144='Reverse Search'!$L$11,1,0)))))</f>
        <v>1</v>
      </c>
      <c r="Z144" s="0" t="n">
        <f aca="true">IF('Reverse Search'!$C$14="Disable",1,IF('Reverse Search'!$D$16="Disable",1,IF($C$2=3,IF($M144=0,0,COUNTIF(INDIRECT("'0.0.2 Pokémon Learnset (Core)'!$D$"&amp;MATCH($E144,'0.0.2 Pokémon Learnset (Core)'!$A$1:$A951,0)&amp;":$FK$"&amp;MATCH($E144,'0.0.2 Pokémon Learnset (Core)'!$A$1:$A951,0)),'Reverse Search'!$E$21)),IF($C$2=2,COUNTIF(INDIRECT("'0.1.1 Pokémon GO Moves'!$B$"&amp;MATCH($E144,'0.1.1 Pokémon GO Moves'!$A$1:$A951,0)&amp;":$R$"&amp;MATCH($E144,'0.1.1 Pokémon GO Moves'!$A$1:$A951,0)),'Reverse Search'!$E$21),COUNTIF(INDIRECT("'0.1.1 Pokémon GO Moves'!$B$"&amp;MATCH($E144,'0.1.1 Pokémon GO Moves'!$A$1:$A951,0)&amp;":$L$"&amp;MATCH($E144,'0.1.1 Pokémon GO Moves'!$A$1:$A951,0)),'Reverse Search'!$E$21)))))</f>
        <v>1</v>
      </c>
      <c r="AA144" s="0" t="e">
        <f aca="true">IF('Reverse Search'!$C$14="Disable",1,IF('Reverse Search'!$I$16="Disable",1,IF($D$2=3,IF($M144=0,0,COUNTIF(INDIRECT("'0.0.2 Pokémon Learnset (Core)'!$D$"&amp;MATCH($E144,'0.0.2 Pokémon Learnset (Core)'!$A$1:$A951,0)&amp;":$FK$"&amp;MATCH($E144,'0.0.2 Pokémon Learnset (Core)'!$A$1:$A951,0)),'Reverse Search'!$J$21)),IF($D$2=2,COUNTIF(INDIRECT("'0.1.1 Pokémon GO Moves'!$B$"&amp;MATCH($E144,'0.1.1 Pokémon GO Moves'!$A$1:$A951,0)&amp;":$R$"&amp;MATCH($E144,'0.1.1 Pokémon GO Moves'!$A$1:$A951,0)),'Reverse Search'!$J$21),COUNTIF(INDIRECT("'0.1.1 Pokémon GO Moves'!$B$"&amp;MATCH($E144,'0.1.1 Pokémon GO Moves'!$A$1:$A951,0)&amp;":$L$"&amp;MATCH($E144,'0.1.1 Pokémon GO Moves'!$A$1:$A951,0)),'Reverse Search'!$J$21)))))</f>
        <v>#N/A</v>
      </c>
      <c r="AB144" s="490"/>
      <c r="AC144" s="260" t="e">
        <f aca="false">IF((Q144+R144+S144+V144+W144+X144+Y144+IF(Z144&gt;=1,1,0)+IF(AA144&gt;=1,1,0))=9,G144&amp;", ",)</f>
        <v>#N/A</v>
      </c>
    </row>
    <row r="145" customFormat="false" ht="15.75" hidden="false" customHeight="false" outlineLevel="0" collapsed="false">
      <c r="A145" s="260"/>
      <c r="B145" s="358"/>
      <c r="C145" s="260"/>
      <c r="D145" s="358"/>
      <c r="E145" s="260" t="n">
        <v>144</v>
      </c>
      <c r="F145" s="260" t="n">
        <f aca="false" t="array" ref="F145:F145">INDEX('0.0.1 Pokémon Dex Data'!$H$3:$H951,MATCH(E145,'0.0.1 Pokémon Dex Data'!$B$3:$B951,0))</f>
        <v>0</v>
      </c>
      <c r="G145" s="0" t="str">
        <f aca="false" t="array" ref="G145:G145">INDEX('0.0.1 Pokémon Dex Data'!$E$3:$E951,MATCH(E145,'0.0.1 Pokémon Dex Data'!$B$3:$B951,0))</f>
        <v>Horsea</v>
      </c>
      <c r="H145" s="0" t="str">
        <f aca="false" t="array" ref="H145:H145">INDEX('0.0.1 Pokémon Dex Data'!$Q$3:$Q951,MATCH(E145,'0.0.1 Pokémon Dex Data'!$B$3:$B951,0))</f>
        <v>Water</v>
      </c>
      <c r="I145" s="0" t="n">
        <f aca="false">INDEX('0.0.1 Pokémon Dex Data'!$R$3:$R951,MATCH(E145,'0.0.1 Pokémon Dex Data'!$B$3:$B951,0))</f>
        <v>0</v>
      </c>
      <c r="J145" s="260" t="n">
        <f aca="false" t="array" ref="J145:J145">ROUND(INDEX('0.0.1 Pokémon Dex Data'!$S$3:$S951,MATCH($E145,'0.0.1 Pokémon Dex Data'!$B$3:$B951,0))*INDEX('0.0.1 Pokémon Dex Data'!T$3:T951,MATCH($E145,'0.0.1 Pokémon Dex Data'!$B$3:$B951,0)),0)</f>
        <v>129</v>
      </c>
      <c r="K145" s="260" t="n">
        <f aca="false" t="array" ref="K145:K145">ROUND(INDEX('0.0.1 Pokémon Dex Data'!$S$3:$S951,MATCH($E145,'0.0.1 Pokémon Dex Data'!$B$3:$B951,0))*INDEX('0.0.1 Pokémon Dex Data'!U$3:U951,MATCH($E145,'0.0.1 Pokémon Dex Data'!$B$3:$B951,0)),0)</f>
        <v>103</v>
      </c>
      <c r="L145" s="260" t="n">
        <f aca="false" t="array" ref="L145:L145">ROUND(INDEX('0.0.1 Pokémon Dex Data'!$S$3:$S951,MATCH($E145,'0.0.1 Pokémon Dex Data'!$B$3:$B951,0))*INDEX('0.0.1 Pokémon Dex Data'!V$3:V951,MATCH($E145,'0.0.1 Pokémon Dex Data'!$B$3:$B951,0)),0)</f>
        <v>102</v>
      </c>
      <c r="M145" s="260" t="n">
        <f aca="false" t="array" ref="M145:M145">INDEX('0.0.1 Pokémon Dex Data'!$J$3:$J951,MATCH(E145,'0.0.1 Pokémon Dex Data'!$B$3:$B951,0))</f>
        <v>0</v>
      </c>
      <c r="O145" s="490"/>
      <c r="Q145" s="367" t="n">
        <f aca="false">IF('Reverse Search'!$F$4="All (including temporary formes)",1,IF('Reverse Search'!$F$4="Base Pokémon and permanent formes only",IF(F145&lt;=1,1,0),IF(F145=0,1,0)))</f>
        <v>1</v>
      </c>
      <c r="R145" s="0" t="n">
        <f aca="false">IF('Reverse Search'!$C$7="Disable",1,IF('Reverse Search'!$D$9="Disable",1,IF(OR('Reverse Search'!$F$9=H145,'Reverse Search'!$F$9=I145),1,0)))</f>
        <v>1</v>
      </c>
      <c r="S145" s="0" t="n">
        <f aca="false">IF('Reverse Search'!$C$7="Disable",1,IF('Reverse Search'!$D$10="Disable",1,IF(OR('Reverse Search'!$F$10=H145,'Reverse Search'!$F$10=I145),1,0)))</f>
        <v>1</v>
      </c>
      <c r="T145" s="0" t="n">
        <f aca="false">INDEX($B$4:$B$22,MATCH(H145,$A$4:$A$22,0))</f>
        <v>1</v>
      </c>
      <c r="U145" s="0" t="e">
        <f aca="false">IF(ISBLANK(I145),1,INDEX($B$4:$B$22,MATCH(I145,$A$4:$A$22,0)))</f>
        <v>#N/A</v>
      </c>
      <c r="V145" s="367" t="n">
        <f aca="false">IF('Reverse Search'!$C$7="Disable",1,IF('Reverse Search'!$D$11="Disable",1,IF('Reverse Search'!$E$11="Neutral to:",IF(ROUND(T145*U145,2)&lt;=1,1,0),IF(ROUND(T145*U145,2)&lt;1,1,0))))</f>
        <v>1</v>
      </c>
      <c r="W145" s="0" t="n">
        <f aca="false">IF('Reverse Search'!$N$7="Disable",1,IF('Reverse Search'!$I$9="Disable",1,IF('Reverse Search'!$K$9="≥",IF(J145&gt;='Reverse Search'!$L$9,1,0),IF('Reverse Search'!$K$9="≤",IF(J145&lt;='Reverse Search'!$L$9,1,0),IF(J145='Reverse Search'!$L$9,1,0)))))</f>
        <v>1</v>
      </c>
      <c r="X145" s="0" t="n">
        <f aca="false">IF('Reverse Search'!$N$7="Disable",1,IF('Reverse Search'!$I$10="Disable",1,IF('Reverse Search'!$K$10="≥",IF(K145&gt;='Reverse Search'!$L$10,1,0),IF('Reverse Search'!$K$10="≤",IF(K145&lt;='Reverse Search'!$L$10,1,0),IF(K145='Reverse Search'!$L$10,1,0)))))</f>
        <v>1</v>
      </c>
      <c r="Y145" s="367" t="n">
        <f aca="false">IF('Reverse Search'!$N$7="Disable",1,IF('Reverse Search'!$I$11="Disable",1,IF('Reverse Search'!$K$11="≥",IF(L145&gt;='Reverse Search'!$L$11,1,0),IF('Reverse Search'!$K$11="≤",IF(L145&lt;='Reverse Search'!$L$11,1,0),IF(L145='Reverse Search'!$L$11,1,0)))))</f>
        <v>1</v>
      </c>
      <c r="Z145" s="0" t="n">
        <f aca="true">IF('Reverse Search'!$C$14="Disable",1,IF('Reverse Search'!$D$16="Disable",1,IF($C$2=3,IF($M145=0,0,COUNTIF(INDIRECT("'0.0.2 Pokémon Learnset (Core)'!$D$"&amp;MATCH($E145,'0.0.2 Pokémon Learnset (Core)'!$A$1:$A951,0)&amp;":$FK$"&amp;MATCH($E145,'0.0.2 Pokémon Learnset (Core)'!$A$1:$A951,0)),'Reverse Search'!$E$21)),IF($C$2=2,COUNTIF(INDIRECT("'0.1.1 Pokémon GO Moves'!$B$"&amp;MATCH($E145,'0.1.1 Pokémon GO Moves'!$A$1:$A951,0)&amp;":$R$"&amp;MATCH($E145,'0.1.1 Pokémon GO Moves'!$A$1:$A951,0)),'Reverse Search'!$E$21),COUNTIF(INDIRECT("'0.1.1 Pokémon GO Moves'!$B$"&amp;MATCH($E145,'0.1.1 Pokémon GO Moves'!$A$1:$A951,0)&amp;":$L$"&amp;MATCH($E145,'0.1.1 Pokémon GO Moves'!$A$1:$A951,0)),'Reverse Search'!$E$21)))))</f>
        <v>1</v>
      </c>
      <c r="AA145" s="0" t="n">
        <f aca="true">IF('Reverse Search'!$C$14="Disable",1,IF('Reverse Search'!$I$16="Disable",1,IF($D$2=3,IF($M145=0,0,COUNTIF(INDIRECT("'0.0.2 Pokémon Learnset (Core)'!$D$"&amp;MATCH($E145,'0.0.2 Pokémon Learnset (Core)'!$A$1:$A951,0)&amp;":$FK$"&amp;MATCH($E145,'0.0.2 Pokémon Learnset (Core)'!$A$1:$A951,0)),'Reverse Search'!$J$21)),IF($D$2=2,COUNTIF(INDIRECT("'0.1.1 Pokémon GO Moves'!$B$"&amp;MATCH($E145,'0.1.1 Pokémon GO Moves'!$A$1:$A951,0)&amp;":$R$"&amp;MATCH($E145,'0.1.1 Pokémon GO Moves'!$A$1:$A951,0)),'Reverse Search'!$J$21),COUNTIF(INDIRECT("'0.1.1 Pokémon GO Moves'!$B$"&amp;MATCH($E145,'0.1.1 Pokémon GO Moves'!$A$1:$A951,0)&amp;":$L$"&amp;MATCH($E145,'0.1.1 Pokémon GO Moves'!$A$1:$A951,0)),'Reverse Search'!$J$21)))))</f>
        <v>0</v>
      </c>
      <c r="AB145" s="490"/>
      <c r="AC145" s="260" t="n">
        <f aca="false">IF((Q145+R145+S145+V145+W145+X145+Y145+IF(Z145&gt;=1,1,0)+IF(AA145&gt;=1,1,0))=9,G145&amp;", ",)</f>
        <v>0</v>
      </c>
    </row>
    <row r="146" customFormat="false" ht="15.75" hidden="false" customHeight="false" outlineLevel="0" collapsed="false">
      <c r="A146" s="260"/>
      <c r="B146" s="358"/>
      <c r="C146" s="260"/>
      <c r="D146" s="358"/>
      <c r="E146" s="260" t="n">
        <v>145</v>
      </c>
      <c r="F146" s="260" t="n">
        <f aca="false" t="array" ref="F146:F146">INDEX('0.0.1 Pokémon Dex Data'!$H$3:$H951,MATCH(E146,'0.0.1 Pokémon Dex Data'!$B$3:$B951,0))</f>
        <v>0</v>
      </c>
      <c r="G146" s="0" t="str">
        <f aca="false" t="array" ref="G146:G146">INDEX('0.0.1 Pokémon Dex Data'!$E$3:$E951,MATCH(E146,'0.0.1 Pokémon Dex Data'!$B$3:$B951,0))</f>
        <v>Seadra</v>
      </c>
      <c r="H146" s="0" t="str">
        <f aca="false" t="array" ref="H146:H146">INDEX('0.0.1 Pokémon Dex Data'!$Q$3:$Q951,MATCH(E146,'0.0.1 Pokémon Dex Data'!$B$3:$B951,0))</f>
        <v>Water</v>
      </c>
      <c r="I146" s="0" t="n">
        <f aca="false">INDEX('0.0.1 Pokémon Dex Data'!$R$3:$R951,MATCH(E146,'0.0.1 Pokémon Dex Data'!$B$3:$B951,0))</f>
        <v>0</v>
      </c>
      <c r="J146" s="260" t="n">
        <f aca="false" t="array" ref="J146:J146">ROUND(INDEX('0.0.1 Pokémon Dex Data'!$S$3:$S951,MATCH($E146,'0.0.1 Pokémon Dex Data'!$B$3:$B951,0))*INDEX('0.0.1 Pokémon Dex Data'!T$3:T951,MATCH($E146,'0.0.1 Pokémon Dex Data'!$B$3:$B951,0)),0)</f>
        <v>187</v>
      </c>
      <c r="K146" s="260" t="n">
        <f aca="false" t="array" ref="K146:K146">ROUND(INDEX('0.0.1 Pokémon Dex Data'!$S$3:$S951,MATCH($E146,'0.0.1 Pokémon Dex Data'!$B$3:$B951,0))*INDEX('0.0.1 Pokémon Dex Data'!U$3:U951,MATCH($E146,'0.0.1 Pokémon Dex Data'!$B$3:$B951,0)),0)</f>
        <v>156</v>
      </c>
      <c r="L146" s="260" t="n">
        <f aca="false" t="array" ref="L146:L146">ROUND(INDEX('0.0.1 Pokémon Dex Data'!$S$3:$S951,MATCH($E146,'0.0.1 Pokémon Dex Data'!$B$3:$B951,0))*INDEX('0.0.1 Pokémon Dex Data'!V$3:V951,MATCH($E146,'0.0.1 Pokémon Dex Data'!$B$3:$B951,0)),0)</f>
        <v>146</v>
      </c>
      <c r="M146" s="260" t="n">
        <f aca="false" t="array" ref="M146:M146">INDEX('0.0.1 Pokémon Dex Data'!$J$3:$J951,MATCH(E146,'0.0.1 Pokémon Dex Data'!$B$3:$B951,0))</f>
        <v>1</v>
      </c>
      <c r="O146" s="490"/>
      <c r="Q146" s="367" t="n">
        <f aca="false">IF('Reverse Search'!$F$4="All (including temporary formes)",1,IF('Reverse Search'!$F$4="Base Pokémon and permanent formes only",IF(F146&lt;=1,1,0),IF(F146=0,1,0)))</f>
        <v>1</v>
      </c>
      <c r="R146" s="0" t="n">
        <f aca="false">IF('Reverse Search'!$C$7="Disable",1,IF('Reverse Search'!$D$9="Disable",1,IF(OR('Reverse Search'!$F$9=H146,'Reverse Search'!$F$9=I146),1,0)))</f>
        <v>1</v>
      </c>
      <c r="S146" s="0" t="n">
        <f aca="false">IF('Reverse Search'!$C$7="Disable",1,IF('Reverse Search'!$D$10="Disable",1,IF(OR('Reverse Search'!$F$10=H146,'Reverse Search'!$F$10=I146),1,0)))</f>
        <v>1</v>
      </c>
      <c r="T146" s="0" t="n">
        <f aca="false">INDEX($B$4:$B$22,MATCH(H146,$A$4:$A$22,0))</f>
        <v>1</v>
      </c>
      <c r="U146" s="0" t="e">
        <f aca="false">IF(ISBLANK(I146),1,INDEX($B$4:$B$22,MATCH(I146,$A$4:$A$22,0)))</f>
        <v>#N/A</v>
      </c>
      <c r="V146" s="367" t="n">
        <f aca="false">IF('Reverse Search'!$C$7="Disable",1,IF('Reverse Search'!$D$11="Disable",1,IF('Reverse Search'!$E$11="Neutral to:",IF(ROUND(T146*U146,2)&lt;=1,1,0),IF(ROUND(T146*U146,2)&lt;1,1,0))))</f>
        <v>1</v>
      </c>
      <c r="W146" s="0" t="n">
        <f aca="false">IF('Reverse Search'!$N$7="Disable",1,IF('Reverse Search'!$I$9="Disable",1,IF('Reverse Search'!$K$9="≥",IF(J146&gt;='Reverse Search'!$L$9,1,0),IF('Reverse Search'!$K$9="≤",IF(J146&lt;='Reverse Search'!$L$9,1,0),IF(J146='Reverse Search'!$L$9,1,0)))))</f>
        <v>1</v>
      </c>
      <c r="X146" s="0" t="n">
        <f aca="false">IF('Reverse Search'!$N$7="Disable",1,IF('Reverse Search'!$I$10="Disable",1,IF('Reverse Search'!$K$10="≥",IF(K146&gt;='Reverse Search'!$L$10,1,0),IF('Reverse Search'!$K$10="≤",IF(K146&lt;='Reverse Search'!$L$10,1,0),IF(K146='Reverse Search'!$L$10,1,0)))))</f>
        <v>1</v>
      </c>
      <c r="Y146" s="367" t="n">
        <f aca="false">IF('Reverse Search'!$N$7="Disable",1,IF('Reverse Search'!$I$11="Disable",1,IF('Reverse Search'!$K$11="≥",IF(L146&gt;='Reverse Search'!$L$11,1,0),IF('Reverse Search'!$K$11="≤",IF(L146&lt;='Reverse Search'!$L$11,1,0),IF(L146='Reverse Search'!$L$11,1,0)))))</f>
        <v>1</v>
      </c>
      <c r="Z146" s="0" t="n">
        <f aca="true">IF('Reverse Search'!$C$14="Disable",1,IF('Reverse Search'!$D$16="Disable",1,IF($C$2=3,IF($M146=0,0,COUNTIF(INDIRECT("'0.0.2 Pokémon Learnset (Core)'!$D$"&amp;MATCH($E146,'0.0.2 Pokémon Learnset (Core)'!$A$1:$A951,0)&amp;":$FK$"&amp;MATCH($E146,'0.0.2 Pokémon Learnset (Core)'!$A$1:$A951,0)),'Reverse Search'!$E$21)),IF($C$2=2,COUNTIF(INDIRECT("'0.1.1 Pokémon GO Moves'!$B$"&amp;MATCH($E146,'0.1.1 Pokémon GO Moves'!$A$1:$A951,0)&amp;":$R$"&amp;MATCH($E146,'0.1.1 Pokémon GO Moves'!$A$1:$A951,0)),'Reverse Search'!$E$21),COUNTIF(INDIRECT("'0.1.1 Pokémon GO Moves'!$B$"&amp;MATCH($E146,'0.1.1 Pokémon GO Moves'!$A$1:$A951,0)&amp;":$L$"&amp;MATCH($E146,'0.1.1 Pokémon GO Moves'!$A$1:$A951,0)),'Reverse Search'!$E$21)))))</f>
        <v>1</v>
      </c>
      <c r="AA146" s="0" t="n">
        <f aca="true">IF('Reverse Search'!$C$14="Disable",1,IF('Reverse Search'!$I$16="Disable",1,IF($D$2=3,IF($M146=0,0,COUNTIF(INDIRECT("'0.0.2 Pokémon Learnset (Core)'!$D$"&amp;MATCH($E146,'0.0.2 Pokémon Learnset (Core)'!$A$1:$A951,0)&amp;":$FK$"&amp;MATCH($E146,'0.0.2 Pokémon Learnset (Core)'!$A$1:$A951,0)),'Reverse Search'!$J$21)),IF($D$2=2,COUNTIF(INDIRECT("'0.1.1 Pokémon GO Moves'!$B$"&amp;MATCH($E146,'0.1.1 Pokémon GO Moves'!$A$1:$A951,0)&amp;":$R$"&amp;MATCH($E146,'0.1.1 Pokémon GO Moves'!$A$1:$A951,0)),'Reverse Search'!$J$21),COUNTIF(INDIRECT("'0.1.1 Pokémon GO Moves'!$B$"&amp;MATCH($E146,'0.1.1 Pokémon GO Moves'!$A$1:$A951,0)&amp;":$L$"&amp;MATCH($E146,'0.1.1 Pokémon GO Moves'!$A$1:$A951,0)),'Reverse Search'!$J$21)))))</f>
        <v>0</v>
      </c>
      <c r="AB146" s="490"/>
      <c r="AC146" s="260" t="n">
        <f aca="false">IF((Q146+R146+S146+V146+W146+X146+Y146+IF(Z146&gt;=1,1,0)+IF(AA146&gt;=1,1,0))=9,G146&amp;", ",)</f>
        <v>0</v>
      </c>
    </row>
    <row r="147" customFormat="false" ht="15.75" hidden="false" customHeight="false" outlineLevel="0" collapsed="false">
      <c r="A147" s="260"/>
      <c r="B147" s="358"/>
      <c r="C147" s="260"/>
      <c r="D147" s="358"/>
      <c r="E147" s="260" t="n">
        <v>146</v>
      </c>
      <c r="F147" s="260" t="n">
        <f aca="false" t="array" ref="F147:F147">INDEX('0.0.1 Pokémon Dex Data'!$H$3:$H951,MATCH(E147,'0.0.1 Pokémon Dex Data'!$B$3:$B951,0))</f>
        <v>0</v>
      </c>
      <c r="G147" s="0" t="str">
        <f aca="false" t="array" ref="G147:G147">INDEX('0.0.1 Pokémon Dex Data'!$E$3:$E951,MATCH(E147,'0.0.1 Pokémon Dex Data'!$B$3:$B951,0))</f>
        <v>Goldeen</v>
      </c>
      <c r="H147" s="0" t="str">
        <f aca="false" t="array" ref="H147:H147">INDEX('0.0.1 Pokémon Dex Data'!$Q$3:$Q951,MATCH(E147,'0.0.1 Pokémon Dex Data'!$B$3:$B951,0))</f>
        <v>Water</v>
      </c>
      <c r="I147" s="0" t="n">
        <f aca="false">INDEX('0.0.1 Pokémon Dex Data'!$R$3:$R951,MATCH(E147,'0.0.1 Pokémon Dex Data'!$B$3:$B951,0))</f>
        <v>0</v>
      </c>
      <c r="J147" s="260" t="n">
        <f aca="false" t="array" ref="J147:J147">ROUND(INDEX('0.0.1 Pokémon Dex Data'!$S$3:$S951,MATCH($E147,'0.0.1 Pokémon Dex Data'!$B$3:$B951,0))*INDEX('0.0.1 Pokémon Dex Data'!T$3:T951,MATCH($E147,'0.0.1 Pokémon Dex Data'!$B$3:$B951,0)),0)</f>
        <v>123</v>
      </c>
      <c r="K147" s="260" t="n">
        <f aca="false" t="array" ref="K147:K147">ROUND(INDEX('0.0.1 Pokémon Dex Data'!$S$3:$S951,MATCH($E147,'0.0.1 Pokémon Dex Data'!$B$3:$B951,0))*INDEX('0.0.1 Pokémon Dex Data'!U$3:U951,MATCH($E147,'0.0.1 Pokémon Dex Data'!$B$3:$B951,0)),0)</f>
        <v>110</v>
      </c>
      <c r="L147" s="260" t="n">
        <f aca="false" t="array" ref="L147:L147">ROUND(INDEX('0.0.1 Pokémon Dex Data'!$S$3:$S951,MATCH($E147,'0.0.1 Pokémon Dex Data'!$B$3:$B951,0))*INDEX('0.0.1 Pokémon Dex Data'!V$3:V951,MATCH($E147,'0.0.1 Pokémon Dex Data'!$B$3:$B951,0)),0)</f>
        <v>128</v>
      </c>
      <c r="M147" s="260" t="n">
        <f aca="false" t="array" ref="M147:M147">INDEX('0.0.1 Pokémon Dex Data'!$J$3:$J951,MATCH(E147,'0.0.1 Pokémon Dex Data'!$B$3:$B951,0))</f>
        <v>0</v>
      </c>
      <c r="O147" s="490"/>
      <c r="Q147" s="367" t="n">
        <f aca="false">IF('Reverse Search'!$F$4="All (including temporary formes)",1,IF('Reverse Search'!$F$4="Base Pokémon and permanent formes only",IF(F147&lt;=1,1,0),IF(F147=0,1,0)))</f>
        <v>1</v>
      </c>
      <c r="R147" s="0" t="n">
        <f aca="false">IF('Reverse Search'!$C$7="Disable",1,IF('Reverse Search'!$D$9="Disable",1,IF(OR('Reverse Search'!$F$9=H147,'Reverse Search'!$F$9=I147),1,0)))</f>
        <v>1</v>
      </c>
      <c r="S147" s="0" t="n">
        <f aca="false">IF('Reverse Search'!$C$7="Disable",1,IF('Reverse Search'!$D$10="Disable",1,IF(OR('Reverse Search'!$F$10=H147,'Reverse Search'!$F$10=I147),1,0)))</f>
        <v>1</v>
      </c>
      <c r="T147" s="0" t="n">
        <f aca="false">INDEX($B$4:$B$22,MATCH(H147,$A$4:$A$22,0))</f>
        <v>1</v>
      </c>
      <c r="U147" s="0" t="e">
        <f aca="false">IF(ISBLANK(I147),1,INDEX($B$4:$B$22,MATCH(I147,$A$4:$A$22,0)))</f>
        <v>#N/A</v>
      </c>
      <c r="V147" s="367" t="n">
        <f aca="false">IF('Reverse Search'!$C$7="Disable",1,IF('Reverse Search'!$D$11="Disable",1,IF('Reverse Search'!$E$11="Neutral to:",IF(ROUND(T147*U147,2)&lt;=1,1,0),IF(ROUND(T147*U147,2)&lt;1,1,0))))</f>
        <v>1</v>
      </c>
      <c r="W147" s="0" t="n">
        <f aca="false">IF('Reverse Search'!$N$7="Disable",1,IF('Reverse Search'!$I$9="Disable",1,IF('Reverse Search'!$K$9="≥",IF(J147&gt;='Reverse Search'!$L$9,1,0),IF('Reverse Search'!$K$9="≤",IF(J147&lt;='Reverse Search'!$L$9,1,0),IF(J147='Reverse Search'!$L$9,1,0)))))</f>
        <v>1</v>
      </c>
      <c r="X147" s="0" t="n">
        <f aca="false">IF('Reverse Search'!$N$7="Disable",1,IF('Reverse Search'!$I$10="Disable",1,IF('Reverse Search'!$K$10="≥",IF(K147&gt;='Reverse Search'!$L$10,1,0),IF('Reverse Search'!$K$10="≤",IF(K147&lt;='Reverse Search'!$L$10,1,0),IF(K147='Reverse Search'!$L$10,1,0)))))</f>
        <v>1</v>
      </c>
      <c r="Y147" s="367" t="n">
        <f aca="false">IF('Reverse Search'!$N$7="Disable",1,IF('Reverse Search'!$I$11="Disable",1,IF('Reverse Search'!$K$11="≥",IF(L147&gt;='Reverse Search'!$L$11,1,0),IF('Reverse Search'!$K$11="≤",IF(L147&lt;='Reverse Search'!$L$11,1,0),IF(L147='Reverse Search'!$L$11,1,0)))))</f>
        <v>1</v>
      </c>
      <c r="Z147" s="0" t="n">
        <f aca="true">IF('Reverse Search'!$C$14="Disable",1,IF('Reverse Search'!$D$16="Disable",1,IF($C$2=3,IF($M147=0,0,COUNTIF(INDIRECT("'0.0.2 Pokémon Learnset (Core)'!$D$"&amp;MATCH($E147,'0.0.2 Pokémon Learnset (Core)'!$A$1:$A951,0)&amp;":$FK$"&amp;MATCH($E147,'0.0.2 Pokémon Learnset (Core)'!$A$1:$A951,0)),'Reverse Search'!$E$21)),IF($C$2=2,COUNTIF(INDIRECT("'0.1.1 Pokémon GO Moves'!$B$"&amp;MATCH($E147,'0.1.1 Pokémon GO Moves'!$A$1:$A951,0)&amp;":$R$"&amp;MATCH($E147,'0.1.1 Pokémon GO Moves'!$A$1:$A951,0)),'Reverse Search'!$E$21),COUNTIF(INDIRECT("'0.1.1 Pokémon GO Moves'!$B$"&amp;MATCH($E147,'0.1.1 Pokémon GO Moves'!$A$1:$A951,0)&amp;":$L$"&amp;MATCH($E147,'0.1.1 Pokémon GO Moves'!$A$1:$A951,0)),'Reverse Search'!$E$21)))))</f>
        <v>1</v>
      </c>
      <c r="AA147" s="0" t="n">
        <f aca="true">IF('Reverse Search'!$C$14="Disable",1,IF('Reverse Search'!$I$16="Disable",1,IF($D$2=3,IF($M147=0,0,COUNTIF(INDIRECT("'0.0.2 Pokémon Learnset (Core)'!$D$"&amp;MATCH($E147,'0.0.2 Pokémon Learnset (Core)'!$A$1:$A951,0)&amp;":$FK$"&amp;MATCH($E147,'0.0.2 Pokémon Learnset (Core)'!$A$1:$A951,0)),'Reverse Search'!$J$21)),IF($D$2=2,COUNTIF(INDIRECT("'0.1.1 Pokémon GO Moves'!$B$"&amp;MATCH($E147,'0.1.1 Pokémon GO Moves'!$A$1:$A951,0)&amp;":$R$"&amp;MATCH($E147,'0.1.1 Pokémon GO Moves'!$A$1:$A951,0)),'Reverse Search'!$J$21),COUNTIF(INDIRECT("'0.1.1 Pokémon GO Moves'!$B$"&amp;MATCH($E147,'0.1.1 Pokémon GO Moves'!$A$1:$A951,0)&amp;":$L$"&amp;MATCH($E147,'0.1.1 Pokémon GO Moves'!$A$1:$A951,0)),'Reverse Search'!$J$21)))))</f>
        <v>0</v>
      </c>
      <c r="AB147" s="490"/>
      <c r="AC147" s="260" t="n">
        <f aca="false">IF((Q147+R147+S147+V147+W147+X147+Y147+IF(Z147&gt;=1,1,0)+IF(AA147&gt;=1,1,0))=9,G147&amp;", ",)</f>
        <v>0</v>
      </c>
    </row>
    <row r="148" customFormat="false" ht="15.75" hidden="false" customHeight="false" outlineLevel="0" collapsed="false">
      <c r="A148" s="260"/>
      <c r="B148" s="358"/>
      <c r="C148" s="260"/>
      <c r="D148" s="358"/>
      <c r="E148" s="260" t="n">
        <v>147</v>
      </c>
      <c r="F148" s="260" t="n">
        <f aca="false" t="array" ref="F148:F148">INDEX('0.0.1 Pokémon Dex Data'!$H$3:$H951,MATCH(E148,'0.0.1 Pokémon Dex Data'!$B$3:$B951,0))</f>
        <v>0</v>
      </c>
      <c r="G148" s="0" t="str">
        <f aca="false" t="array" ref="G148:G148">INDEX('0.0.1 Pokémon Dex Data'!$E$3:$E951,MATCH(E148,'0.0.1 Pokémon Dex Data'!$B$3:$B951,0))</f>
        <v>Seaking</v>
      </c>
      <c r="H148" s="0" t="str">
        <f aca="false" t="array" ref="H148:H148">INDEX('0.0.1 Pokémon Dex Data'!$Q$3:$Q951,MATCH(E148,'0.0.1 Pokémon Dex Data'!$B$3:$B951,0))</f>
        <v>Water</v>
      </c>
      <c r="I148" s="0" t="n">
        <f aca="false">INDEX('0.0.1 Pokémon Dex Data'!$R$3:$R951,MATCH(E148,'0.0.1 Pokémon Dex Data'!$B$3:$B951,0))</f>
        <v>0</v>
      </c>
      <c r="J148" s="260" t="n">
        <f aca="false" t="array" ref="J148:J148">ROUND(INDEX('0.0.1 Pokémon Dex Data'!$S$3:$S951,MATCH($E148,'0.0.1 Pokémon Dex Data'!$B$3:$B951,0))*INDEX('0.0.1 Pokémon Dex Data'!T$3:T951,MATCH($E148,'0.0.1 Pokémon Dex Data'!$B$3:$B951,0)),0)</f>
        <v>175</v>
      </c>
      <c r="K148" s="260" t="n">
        <f aca="false" t="array" ref="K148:K148">ROUND(INDEX('0.0.1 Pokémon Dex Data'!$S$3:$S951,MATCH($E148,'0.0.1 Pokémon Dex Data'!$B$3:$B951,0))*INDEX('0.0.1 Pokémon Dex Data'!U$3:U951,MATCH($E148,'0.0.1 Pokémon Dex Data'!$B$3:$B951,0)),0)</f>
        <v>147</v>
      </c>
      <c r="L148" s="260" t="n">
        <f aca="false" t="array" ref="L148:L148">ROUND(INDEX('0.0.1 Pokémon Dex Data'!$S$3:$S951,MATCH($E148,'0.0.1 Pokémon Dex Data'!$B$3:$B951,0))*INDEX('0.0.1 Pokémon Dex Data'!V$3:V951,MATCH($E148,'0.0.1 Pokémon Dex Data'!$B$3:$B951,0)),0)</f>
        <v>190</v>
      </c>
      <c r="M148" s="260" t="n">
        <f aca="false" t="array" ref="M148:M148">INDEX('0.0.1 Pokémon Dex Data'!$J$3:$J951,MATCH(E148,'0.0.1 Pokémon Dex Data'!$B$3:$B951,0))</f>
        <v>1</v>
      </c>
      <c r="O148" s="490"/>
      <c r="Q148" s="367" t="n">
        <f aca="false">IF('Reverse Search'!$F$4="All (including temporary formes)",1,IF('Reverse Search'!$F$4="Base Pokémon and permanent formes only",IF(F148&lt;=1,1,0),IF(F148=0,1,0)))</f>
        <v>1</v>
      </c>
      <c r="R148" s="0" t="n">
        <f aca="false">IF('Reverse Search'!$C$7="Disable",1,IF('Reverse Search'!$D$9="Disable",1,IF(OR('Reverse Search'!$F$9=H148,'Reverse Search'!$F$9=I148),1,0)))</f>
        <v>1</v>
      </c>
      <c r="S148" s="0" t="n">
        <f aca="false">IF('Reverse Search'!$C$7="Disable",1,IF('Reverse Search'!$D$10="Disable",1,IF(OR('Reverse Search'!$F$10=H148,'Reverse Search'!$F$10=I148),1,0)))</f>
        <v>1</v>
      </c>
      <c r="T148" s="0" t="n">
        <f aca="false">INDEX($B$4:$B$22,MATCH(H148,$A$4:$A$22,0))</f>
        <v>1</v>
      </c>
      <c r="U148" s="0" t="e">
        <f aca="false">IF(ISBLANK(I148),1,INDEX($B$4:$B$22,MATCH(I148,$A$4:$A$22,0)))</f>
        <v>#N/A</v>
      </c>
      <c r="V148" s="367" t="n">
        <f aca="false">IF('Reverse Search'!$C$7="Disable",1,IF('Reverse Search'!$D$11="Disable",1,IF('Reverse Search'!$E$11="Neutral to:",IF(ROUND(T148*U148,2)&lt;=1,1,0),IF(ROUND(T148*U148,2)&lt;1,1,0))))</f>
        <v>1</v>
      </c>
      <c r="W148" s="0" t="n">
        <f aca="false">IF('Reverse Search'!$N$7="Disable",1,IF('Reverse Search'!$I$9="Disable",1,IF('Reverse Search'!$K$9="≥",IF(J148&gt;='Reverse Search'!$L$9,1,0),IF('Reverse Search'!$K$9="≤",IF(J148&lt;='Reverse Search'!$L$9,1,0),IF(J148='Reverse Search'!$L$9,1,0)))))</f>
        <v>1</v>
      </c>
      <c r="X148" s="0" t="n">
        <f aca="false">IF('Reverse Search'!$N$7="Disable",1,IF('Reverse Search'!$I$10="Disable",1,IF('Reverse Search'!$K$10="≥",IF(K148&gt;='Reverse Search'!$L$10,1,0),IF('Reverse Search'!$K$10="≤",IF(K148&lt;='Reverse Search'!$L$10,1,0),IF(K148='Reverse Search'!$L$10,1,0)))))</f>
        <v>1</v>
      </c>
      <c r="Y148" s="367" t="n">
        <f aca="false">IF('Reverse Search'!$N$7="Disable",1,IF('Reverse Search'!$I$11="Disable",1,IF('Reverse Search'!$K$11="≥",IF(L148&gt;='Reverse Search'!$L$11,1,0),IF('Reverse Search'!$K$11="≤",IF(L148&lt;='Reverse Search'!$L$11,1,0),IF(L148='Reverse Search'!$L$11,1,0)))))</f>
        <v>1</v>
      </c>
      <c r="Z148" s="0" t="n">
        <f aca="true">IF('Reverse Search'!$C$14="Disable",1,IF('Reverse Search'!$D$16="Disable",1,IF($C$2=3,IF($M148=0,0,COUNTIF(INDIRECT("'0.0.2 Pokémon Learnset (Core)'!$D$"&amp;MATCH($E148,'0.0.2 Pokémon Learnset (Core)'!$A$1:$A951,0)&amp;":$FK$"&amp;MATCH($E148,'0.0.2 Pokémon Learnset (Core)'!$A$1:$A951,0)),'Reverse Search'!$E$21)),IF($C$2=2,COUNTIF(INDIRECT("'0.1.1 Pokémon GO Moves'!$B$"&amp;MATCH($E148,'0.1.1 Pokémon GO Moves'!$A$1:$A951,0)&amp;":$R$"&amp;MATCH($E148,'0.1.1 Pokémon GO Moves'!$A$1:$A951,0)),'Reverse Search'!$E$21),COUNTIF(INDIRECT("'0.1.1 Pokémon GO Moves'!$B$"&amp;MATCH($E148,'0.1.1 Pokémon GO Moves'!$A$1:$A951,0)&amp;":$L$"&amp;MATCH($E148,'0.1.1 Pokémon GO Moves'!$A$1:$A951,0)),'Reverse Search'!$E$21)))))</f>
        <v>1</v>
      </c>
      <c r="AA148" s="0" t="n">
        <f aca="true">IF('Reverse Search'!$C$14="Disable",1,IF('Reverse Search'!$I$16="Disable",1,IF($D$2=3,IF($M148=0,0,COUNTIF(INDIRECT("'0.0.2 Pokémon Learnset (Core)'!$D$"&amp;MATCH($E148,'0.0.2 Pokémon Learnset (Core)'!$A$1:$A951,0)&amp;":$FK$"&amp;MATCH($E148,'0.0.2 Pokémon Learnset (Core)'!$A$1:$A951,0)),'Reverse Search'!$J$21)),IF($D$2=2,COUNTIF(INDIRECT("'0.1.1 Pokémon GO Moves'!$B$"&amp;MATCH($E148,'0.1.1 Pokémon GO Moves'!$A$1:$A951,0)&amp;":$R$"&amp;MATCH($E148,'0.1.1 Pokémon GO Moves'!$A$1:$A951,0)),'Reverse Search'!$J$21),COUNTIF(INDIRECT("'0.1.1 Pokémon GO Moves'!$B$"&amp;MATCH($E148,'0.1.1 Pokémon GO Moves'!$A$1:$A951,0)&amp;":$L$"&amp;MATCH($E148,'0.1.1 Pokémon GO Moves'!$A$1:$A951,0)),'Reverse Search'!$J$21)))))</f>
        <v>0</v>
      </c>
      <c r="AB148" s="490"/>
      <c r="AC148" s="260" t="n">
        <f aca="false">IF((Q148+R148+S148+V148+W148+X148+Y148+IF(Z148&gt;=1,1,0)+IF(AA148&gt;=1,1,0))=9,G148&amp;", ",)</f>
        <v>0</v>
      </c>
    </row>
    <row r="149" customFormat="false" ht="15.75" hidden="false" customHeight="false" outlineLevel="0" collapsed="false">
      <c r="A149" s="260"/>
      <c r="B149" s="358"/>
      <c r="C149" s="260"/>
      <c r="D149" s="358"/>
      <c r="E149" s="260" t="n">
        <v>148</v>
      </c>
      <c r="F149" s="260" t="n">
        <f aca="false" t="array" ref="F149:F149">INDEX('0.0.1 Pokémon Dex Data'!$H$3:$H951,MATCH(E149,'0.0.1 Pokémon Dex Data'!$B$3:$B951,0))</f>
        <v>0</v>
      </c>
      <c r="G149" s="0" t="str">
        <f aca="false" t="array" ref="G149:G149">INDEX('0.0.1 Pokémon Dex Data'!$E$3:$E951,MATCH(E149,'0.0.1 Pokémon Dex Data'!$B$3:$B951,0))</f>
        <v>Staryu</v>
      </c>
      <c r="H149" s="0" t="str">
        <f aca="false" t="array" ref="H149:H149">INDEX('0.0.1 Pokémon Dex Data'!$Q$3:$Q951,MATCH(E149,'0.0.1 Pokémon Dex Data'!$B$3:$B951,0))</f>
        <v>Water</v>
      </c>
      <c r="I149" s="0" t="n">
        <f aca="false">INDEX('0.0.1 Pokémon Dex Data'!$R$3:$R951,MATCH(E149,'0.0.1 Pokémon Dex Data'!$B$3:$B951,0))</f>
        <v>0</v>
      </c>
      <c r="J149" s="260" t="n">
        <f aca="false" t="array" ref="J149:J149">ROUND(INDEX('0.0.1 Pokémon Dex Data'!$S$3:$S951,MATCH($E149,'0.0.1 Pokémon Dex Data'!$B$3:$B951,0))*INDEX('0.0.1 Pokémon Dex Data'!T$3:T951,MATCH($E149,'0.0.1 Pokémon Dex Data'!$B$3:$B951,0)),0)</f>
        <v>137</v>
      </c>
      <c r="K149" s="260" t="n">
        <f aca="false" t="array" ref="K149:K149">ROUND(INDEX('0.0.1 Pokémon Dex Data'!$S$3:$S951,MATCH($E149,'0.0.1 Pokémon Dex Data'!$B$3:$B951,0))*INDEX('0.0.1 Pokémon Dex Data'!U$3:U951,MATCH($E149,'0.0.1 Pokémon Dex Data'!$B$3:$B951,0)),0)</f>
        <v>112</v>
      </c>
      <c r="L149" s="260" t="n">
        <f aca="false" t="array" ref="L149:L149">ROUND(INDEX('0.0.1 Pokémon Dex Data'!$S$3:$S951,MATCH($E149,'0.0.1 Pokémon Dex Data'!$B$3:$B951,0))*INDEX('0.0.1 Pokémon Dex Data'!V$3:V951,MATCH($E149,'0.0.1 Pokémon Dex Data'!$B$3:$B951,0)),0)</f>
        <v>102</v>
      </c>
      <c r="M149" s="260" t="n">
        <f aca="false" t="array" ref="M149:M149">INDEX('0.0.1 Pokémon Dex Data'!$J$3:$J951,MATCH(E149,'0.0.1 Pokémon Dex Data'!$B$3:$B951,0))</f>
        <v>0</v>
      </c>
      <c r="O149" s="490"/>
      <c r="Q149" s="367" t="n">
        <f aca="false">IF('Reverse Search'!$F$4="All (including temporary formes)",1,IF('Reverse Search'!$F$4="Base Pokémon and permanent formes only",IF(F149&lt;=1,1,0),IF(F149=0,1,0)))</f>
        <v>1</v>
      </c>
      <c r="R149" s="0" t="n">
        <f aca="false">IF('Reverse Search'!$C$7="Disable",1,IF('Reverse Search'!$D$9="Disable",1,IF(OR('Reverse Search'!$F$9=H149,'Reverse Search'!$F$9=I149),1,0)))</f>
        <v>1</v>
      </c>
      <c r="S149" s="0" t="n">
        <f aca="false">IF('Reverse Search'!$C$7="Disable",1,IF('Reverse Search'!$D$10="Disable",1,IF(OR('Reverse Search'!$F$10=H149,'Reverse Search'!$F$10=I149),1,0)))</f>
        <v>1</v>
      </c>
      <c r="T149" s="0" t="n">
        <f aca="false">INDEX($B$4:$B$22,MATCH(H149,$A$4:$A$22,0))</f>
        <v>1</v>
      </c>
      <c r="U149" s="0" t="e">
        <f aca="false">IF(ISBLANK(I149),1,INDEX($B$4:$B$22,MATCH(I149,$A$4:$A$22,0)))</f>
        <v>#N/A</v>
      </c>
      <c r="V149" s="367" t="n">
        <f aca="false">IF('Reverse Search'!$C$7="Disable",1,IF('Reverse Search'!$D$11="Disable",1,IF('Reverse Search'!$E$11="Neutral to:",IF(ROUND(T149*U149,2)&lt;=1,1,0),IF(ROUND(T149*U149,2)&lt;1,1,0))))</f>
        <v>1</v>
      </c>
      <c r="W149" s="0" t="n">
        <f aca="false">IF('Reverse Search'!$N$7="Disable",1,IF('Reverse Search'!$I$9="Disable",1,IF('Reverse Search'!$K$9="≥",IF(J149&gt;='Reverse Search'!$L$9,1,0),IF('Reverse Search'!$K$9="≤",IF(J149&lt;='Reverse Search'!$L$9,1,0),IF(J149='Reverse Search'!$L$9,1,0)))))</f>
        <v>1</v>
      </c>
      <c r="X149" s="0" t="n">
        <f aca="false">IF('Reverse Search'!$N$7="Disable",1,IF('Reverse Search'!$I$10="Disable",1,IF('Reverse Search'!$K$10="≥",IF(K149&gt;='Reverse Search'!$L$10,1,0),IF('Reverse Search'!$K$10="≤",IF(K149&lt;='Reverse Search'!$L$10,1,0),IF(K149='Reverse Search'!$L$10,1,0)))))</f>
        <v>1</v>
      </c>
      <c r="Y149" s="367" t="n">
        <f aca="false">IF('Reverse Search'!$N$7="Disable",1,IF('Reverse Search'!$I$11="Disable",1,IF('Reverse Search'!$K$11="≥",IF(L149&gt;='Reverse Search'!$L$11,1,0),IF('Reverse Search'!$K$11="≤",IF(L149&lt;='Reverse Search'!$L$11,1,0),IF(L149='Reverse Search'!$L$11,1,0)))))</f>
        <v>1</v>
      </c>
      <c r="Z149" s="0" t="n">
        <f aca="true">IF('Reverse Search'!$C$14="Disable",1,IF('Reverse Search'!$D$16="Disable",1,IF($C$2=3,IF($M149=0,0,COUNTIF(INDIRECT("'0.0.2 Pokémon Learnset (Core)'!$D$"&amp;MATCH($E149,'0.0.2 Pokémon Learnset (Core)'!$A$1:$A951,0)&amp;":$FK$"&amp;MATCH($E149,'0.0.2 Pokémon Learnset (Core)'!$A$1:$A951,0)),'Reverse Search'!$E$21)),IF($C$2=2,COUNTIF(INDIRECT("'0.1.1 Pokémon GO Moves'!$B$"&amp;MATCH($E149,'0.1.1 Pokémon GO Moves'!$A$1:$A951,0)&amp;":$R$"&amp;MATCH($E149,'0.1.1 Pokémon GO Moves'!$A$1:$A951,0)),'Reverse Search'!$E$21),COUNTIF(INDIRECT("'0.1.1 Pokémon GO Moves'!$B$"&amp;MATCH($E149,'0.1.1 Pokémon GO Moves'!$A$1:$A951,0)&amp;":$L$"&amp;MATCH($E149,'0.1.1 Pokémon GO Moves'!$A$1:$A951,0)),'Reverse Search'!$E$21)))))</f>
        <v>1</v>
      </c>
      <c r="AA149" s="0" t="n">
        <f aca="true">IF('Reverse Search'!$C$14="Disable",1,IF('Reverse Search'!$I$16="Disable",1,IF($D$2=3,IF($M149=0,0,COUNTIF(INDIRECT("'0.0.2 Pokémon Learnset (Core)'!$D$"&amp;MATCH($E149,'0.0.2 Pokémon Learnset (Core)'!$A$1:$A951,0)&amp;":$FK$"&amp;MATCH($E149,'0.0.2 Pokémon Learnset (Core)'!$A$1:$A951,0)),'Reverse Search'!$J$21)),IF($D$2=2,COUNTIF(INDIRECT("'0.1.1 Pokémon GO Moves'!$B$"&amp;MATCH($E149,'0.1.1 Pokémon GO Moves'!$A$1:$A951,0)&amp;":$R$"&amp;MATCH($E149,'0.1.1 Pokémon GO Moves'!$A$1:$A951,0)),'Reverse Search'!$J$21),COUNTIF(INDIRECT("'0.1.1 Pokémon GO Moves'!$B$"&amp;MATCH($E149,'0.1.1 Pokémon GO Moves'!$A$1:$A951,0)&amp;":$L$"&amp;MATCH($E149,'0.1.1 Pokémon GO Moves'!$A$1:$A951,0)),'Reverse Search'!$J$21)))))</f>
        <v>0</v>
      </c>
      <c r="AB149" s="490"/>
      <c r="AC149" s="260" t="n">
        <f aca="false">IF((Q149+R149+S149+V149+W149+X149+Y149+IF(Z149&gt;=1,1,0)+IF(AA149&gt;=1,1,0))=9,G149&amp;", ",)</f>
        <v>0</v>
      </c>
    </row>
    <row r="150" customFormat="false" ht="15.75" hidden="false" customHeight="false" outlineLevel="0" collapsed="false">
      <c r="A150" s="260"/>
      <c r="B150" s="358"/>
      <c r="C150" s="260"/>
      <c r="D150" s="358"/>
      <c r="E150" s="260" t="n">
        <v>149</v>
      </c>
      <c r="F150" s="260" t="n">
        <f aca="false" t="array" ref="F150:F150">INDEX('0.0.1 Pokémon Dex Data'!$H$3:$H951,MATCH(E150,'0.0.1 Pokémon Dex Data'!$B$3:$B951,0))</f>
        <v>0</v>
      </c>
      <c r="G150" s="0" t="str">
        <f aca="false" t="array" ref="G150:G150">INDEX('0.0.1 Pokémon Dex Data'!$E$3:$E951,MATCH(E150,'0.0.1 Pokémon Dex Data'!$B$3:$B951,0))</f>
        <v>Starmie</v>
      </c>
      <c r="H150" s="0" t="str">
        <f aca="false" t="array" ref="H150:H150">INDEX('0.0.1 Pokémon Dex Data'!$Q$3:$Q951,MATCH(E150,'0.0.1 Pokémon Dex Data'!$B$3:$B951,0))</f>
        <v>Water</v>
      </c>
      <c r="I150" s="0" t="str">
        <f aca="false" t="array" ref="I150:I150">INDEX('0.0.1 Pokémon Dex Data'!$R$3:$R951,MATCH(E150,'0.0.1 Pokémon Dex Data'!$B$3:$B951,0))</f>
        <v>Psychic</v>
      </c>
      <c r="J150" s="260" t="n">
        <f aca="false" t="array" ref="J150:J150">ROUND(INDEX('0.0.1 Pokémon Dex Data'!$S$3:$S951,MATCH($E150,'0.0.1 Pokémon Dex Data'!$B$3:$B951,0))*INDEX('0.0.1 Pokémon Dex Data'!T$3:T951,MATCH($E150,'0.0.1 Pokémon Dex Data'!$B$3:$B951,0)),0)</f>
        <v>210</v>
      </c>
      <c r="K150" s="260" t="n">
        <f aca="false" t="array" ref="K150:K150">ROUND(INDEX('0.0.1 Pokémon Dex Data'!$S$3:$S951,MATCH($E150,'0.0.1 Pokémon Dex Data'!$B$3:$B951,0))*INDEX('0.0.1 Pokémon Dex Data'!U$3:U951,MATCH($E150,'0.0.1 Pokémon Dex Data'!$B$3:$B951,0)),0)</f>
        <v>184</v>
      </c>
      <c r="L150" s="260" t="n">
        <f aca="false" t="array" ref="L150:L150">ROUND(INDEX('0.0.1 Pokémon Dex Data'!$S$3:$S951,MATCH($E150,'0.0.1 Pokémon Dex Data'!$B$3:$B951,0))*INDEX('0.0.1 Pokémon Dex Data'!V$3:V951,MATCH($E150,'0.0.1 Pokémon Dex Data'!$B$3:$B951,0)),0)</f>
        <v>155</v>
      </c>
      <c r="M150" s="260" t="n">
        <f aca="false" t="array" ref="M150:M150">INDEX('0.0.1 Pokémon Dex Data'!$J$3:$J951,MATCH(E150,'0.0.1 Pokémon Dex Data'!$B$3:$B951,0))</f>
        <v>1</v>
      </c>
      <c r="O150" s="490"/>
      <c r="Q150" s="367" t="n">
        <f aca="false">IF('Reverse Search'!$F$4="All (including temporary formes)",1,IF('Reverse Search'!$F$4="Base Pokémon and permanent formes only",IF(F150&lt;=1,1,0),IF(F150=0,1,0)))</f>
        <v>1</v>
      </c>
      <c r="R150" s="0" t="n">
        <f aca="false">IF('Reverse Search'!$C$7="Disable",1,IF('Reverse Search'!$D$9="Disable",1,IF(OR('Reverse Search'!$F$9=H150,'Reverse Search'!$F$9=I150),1,0)))</f>
        <v>1</v>
      </c>
      <c r="S150" s="0" t="n">
        <f aca="false">IF('Reverse Search'!$C$7="Disable",1,IF('Reverse Search'!$D$10="Disable",1,IF(OR('Reverse Search'!$F$10=H150,'Reverse Search'!$F$10=I150),1,0)))</f>
        <v>1</v>
      </c>
      <c r="T150" s="0" t="n">
        <f aca="false">INDEX($B$4:$B$22,MATCH(H150,$A$4:$A$22,0))</f>
        <v>1</v>
      </c>
      <c r="U150" s="0" t="n">
        <f aca="false">IF(ISBLANK(I150),1,INDEX($B$4:$B$22,MATCH(I150,$A$4:$A$22,0)))</f>
        <v>1</v>
      </c>
      <c r="V150" s="367" t="n">
        <f aca="false">IF('Reverse Search'!$C$7="Disable",1,IF('Reverse Search'!$D$11="Disable",1,IF('Reverse Search'!$E$11="Neutral to:",IF(ROUND(T150*U150,2)&lt;=1,1,0),IF(ROUND(T150*U150,2)&lt;1,1,0))))</f>
        <v>1</v>
      </c>
      <c r="W150" s="0" t="n">
        <f aca="false">IF('Reverse Search'!$N$7="Disable",1,IF('Reverse Search'!$I$9="Disable",1,IF('Reverse Search'!$K$9="≥",IF(J150&gt;='Reverse Search'!$L$9,1,0),IF('Reverse Search'!$K$9="≤",IF(J150&lt;='Reverse Search'!$L$9,1,0),IF(J150='Reverse Search'!$L$9,1,0)))))</f>
        <v>1</v>
      </c>
      <c r="X150" s="0" t="n">
        <f aca="false">IF('Reverse Search'!$N$7="Disable",1,IF('Reverse Search'!$I$10="Disable",1,IF('Reverse Search'!$K$10="≥",IF(K150&gt;='Reverse Search'!$L$10,1,0),IF('Reverse Search'!$K$10="≤",IF(K150&lt;='Reverse Search'!$L$10,1,0),IF(K150='Reverse Search'!$L$10,1,0)))))</f>
        <v>1</v>
      </c>
      <c r="Y150" s="367" t="n">
        <f aca="false">IF('Reverse Search'!$N$7="Disable",1,IF('Reverse Search'!$I$11="Disable",1,IF('Reverse Search'!$K$11="≥",IF(L150&gt;='Reverse Search'!$L$11,1,0),IF('Reverse Search'!$K$11="≤",IF(L150&lt;='Reverse Search'!$L$11,1,0),IF(L150='Reverse Search'!$L$11,1,0)))))</f>
        <v>1</v>
      </c>
      <c r="Z150" s="0" t="n">
        <f aca="true">IF('Reverse Search'!$C$14="Disable",1,IF('Reverse Search'!$D$16="Disable",1,IF($C$2=3,IF($M150=0,0,COUNTIF(INDIRECT("'0.0.2 Pokémon Learnset (Core)'!$D$"&amp;MATCH($E150,'0.0.2 Pokémon Learnset (Core)'!$A$1:$A951,0)&amp;":$FK$"&amp;MATCH($E150,'0.0.2 Pokémon Learnset (Core)'!$A$1:$A951,0)),'Reverse Search'!$E$21)),IF($C$2=2,COUNTIF(INDIRECT("'0.1.1 Pokémon GO Moves'!$B$"&amp;MATCH($E150,'0.1.1 Pokémon GO Moves'!$A$1:$A951,0)&amp;":$R$"&amp;MATCH($E150,'0.1.1 Pokémon GO Moves'!$A$1:$A951,0)),'Reverse Search'!$E$21),COUNTIF(INDIRECT("'0.1.1 Pokémon GO Moves'!$B$"&amp;MATCH($E150,'0.1.1 Pokémon GO Moves'!$A$1:$A951,0)&amp;":$L$"&amp;MATCH($E150,'0.1.1 Pokémon GO Moves'!$A$1:$A951,0)),'Reverse Search'!$E$21)))))</f>
        <v>1</v>
      </c>
      <c r="AA150" s="0" t="n">
        <f aca="true">IF('Reverse Search'!$C$14="Disable",1,IF('Reverse Search'!$I$16="Disable",1,IF($D$2=3,IF($M150=0,0,COUNTIF(INDIRECT("'0.0.2 Pokémon Learnset (Core)'!$D$"&amp;MATCH($E150,'0.0.2 Pokémon Learnset (Core)'!$A$1:$A951,0)&amp;":$FK$"&amp;MATCH($E150,'0.0.2 Pokémon Learnset (Core)'!$A$1:$A951,0)),'Reverse Search'!$J$21)),IF($D$2=2,COUNTIF(INDIRECT("'0.1.1 Pokémon GO Moves'!$B$"&amp;MATCH($E150,'0.1.1 Pokémon GO Moves'!$A$1:$A951,0)&amp;":$R$"&amp;MATCH($E150,'0.1.1 Pokémon GO Moves'!$A$1:$A951,0)),'Reverse Search'!$J$21),COUNTIF(INDIRECT("'0.1.1 Pokémon GO Moves'!$B$"&amp;MATCH($E150,'0.1.1 Pokémon GO Moves'!$A$1:$A951,0)&amp;":$L$"&amp;MATCH($E150,'0.1.1 Pokémon GO Moves'!$A$1:$A951,0)),'Reverse Search'!$J$21)))))</f>
        <v>0</v>
      </c>
      <c r="AB150" s="490"/>
      <c r="AC150" s="260" t="n">
        <f aca="false">IF((Q150+R150+S150+V150+W150+X150+Y150+IF(Z150&gt;=1,1,0)+IF(AA150&gt;=1,1,0))=9,G150&amp;", ",)</f>
        <v>0</v>
      </c>
    </row>
    <row r="151" customFormat="false" ht="15.75" hidden="false" customHeight="false" outlineLevel="0" collapsed="false">
      <c r="A151" s="260"/>
      <c r="B151" s="358"/>
      <c r="C151" s="260"/>
      <c r="D151" s="358"/>
      <c r="E151" s="260" t="n">
        <v>150</v>
      </c>
      <c r="F151" s="260" t="n">
        <f aca="false" t="array" ref="F151:F151">INDEX('0.0.1 Pokémon Dex Data'!$H$3:$H951,MATCH(E151,'0.0.1 Pokémon Dex Data'!$B$3:$B951,0))</f>
        <v>0</v>
      </c>
      <c r="G151" s="0" t="str">
        <f aca="false" t="array" ref="G151:G151">INDEX('0.0.1 Pokémon Dex Data'!$E$3:$E951,MATCH(E151,'0.0.1 Pokémon Dex Data'!$B$3:$B951,0))</f>
        <v>Mr. Mime</v>
      </c>
      <c r="H151" s="0" t="str">
        <f aca="false" t="array" ref="H151:H151">INDEX('0.0.1 Pokémon Dex Data'!$Q$3:$Q951,MATCH(E151,'0.0.1 Pokémon Dex Data'!$B$3:$B951,0))</f>
        <v>Psychic</v>
      </c>
      <c r="I151" s="0" t="str">
        <f aca="false" t="array" ref="I151:I151">INDEX('0.0.1 Pokémon Dex Data'!$R$3:$R951,MATCH(E151,'0.0.1 Pokémon Dex Data'!$B$3:$B951,0))</f>
        <v>Fairy</v>
      </c>
      <c r="J151" s="260" t="n">
        <f aca="false" t="array" ref="J151:J151">ROUND(INDEX('0.0.1 Pokémon Dex Data'!$S$3:$S951,MATCH($E151,'0.0.1 Pokémon Dex Data'!$B$3:$B951,0))*INDEX('0.0.1 Pokémon Dex Data'!T$3:T951,MATCH($E151,'0.0.1 Pokémon Dex Data'!$B$3:$B951,0)),0)</f>
        <v>192</v>
      </c>
      <c r="K151" s="260" t="n">
        <f aca="false" t="array" ref="K151:K151">ROUND(INDEX('0.0.1 Pokémon Dex Data'!$S$3:$S951,MATCH($E151,'0.0.1 Pokémon Dex Data'!$B$3:$B951,0))*INDEX('0.0.1 Pokémon Dex Data'!U$3:U951,MATCH($E151,'0.0.1 Pokémon Dex Data'!$B$3:$B951,0)),0)</f>
        <v>205</v>
      </c>
      <c r="L151" s="260" t="n">
        <f aca="false" t="array" ref="L151:L151">ROUND(INDEX('0.0.1 Pokémon Dex Data'!$S$3:$S951,MATCH($E151,'0.0.1 Pokémon Dex Data'!$B$3:$B951,0))*INDEX('0.0.1 Pokémon Dex Data'!V$3:V951,MATCH($E151,'0.0.1 Pokémon Dex Data'!$B$3:$B951,0)),0)</f>
        <v>120</v>
      </c>
      <c r="M151" s="260" t="n">
        <f aca="false" t="array" ref="M151:M151">INDEX('0.0.1 Pokémon Dex Data'!$J$3:$J951,MATCH(E151,'0.0.1 Pokémon Dex Data'!$B$3:$B951,0))</f>
        <v>1</v>
      </c>
      <c r="O151" s="490"/>
      <c r="Q151" s="367" t="n">
        <f aca="false">IF('Reverse Search'!$F$4="All (including temporary formes)",1,IF('Reverse Search'!$F$4="Base Pokémon and permanent formes only",IF(F151&lt;=1,1,0),IF(F151=0,1,0)))</f>
        <v>1</v>
      </c>
      <c r="R151" s="0" t="n">
        <f aca="false">IF('Reverse Search'!$C$7="Disable",1,IF('Reverse Search'!$D$9="Disable",1,IF(OR('Reverse Search'!$F$9=H151,'Reverse Search'!$F$9=I151),1,0)))</f>
        <v>1</v>
      </c>
      <c r="S151" s="0" t="n">
        <f aca="false">IF('Reverse Search'!$C$7="Disable",1,IF('Reverse Search'!$D$10="Disable",1,IF(OR('Reverse Search'!$F$10=H151,'Reverse Search'!$F$10=I151),1,0)))</f>
        <v>1</v>
      </c>
      <c r="T151" s="0" t="n">
        <f aca="false">INDEX($B$4:$B$22,MATCH(H151,$A$4:$A$22,0))</f>
        <v>1</v>
      </c>
      <c r="U151" s="0" t="n">
        <f aca="false">IF(ISBLANK(I151),1,INDEX($B$4:$B$22,MATCH(I151,$A$4:$A$22,0)))</f>
        <v>1</v>
      </c>
      <c r="V151" s="367" t="n">
        <f aca="false">IF('Reverse Search'!$C$7="Disable",1,IF('Reverse Search'!$D$11="Disable",1,IF('Reverse Search'!$E$11="Neutral to:",IF(ROUND(T151*U151,2)&lt;=1,1,0),IF(ROUND(T151*U151,2)&lt;1,1,0))))</f>
        <v>1</v>
      </c>
      <c r="W151" s="0" t="n">
        <f aca="false">IF('Reverse Search'!$N$7="Disable",1,IF('Reverse Search'!$I$9="Disable",1,IF('Reverse Search'!$K$9="≥",IF(J151&gt;='Reverse Search'!$L$9,1,0),IF('Reverse Search'!$K$9="≤",IF(J151&lt;='Reverse Search'!$L$9,1,0),IF(J151='Reverse Search'!$L$9,1,0)))))</f>
        <v>1</v>
      </c>
      <c r="X151" s="0" t="n">
        <f aca="false">IF('Reverse Search'!$N$7="Disable",1,IF('Reverse Search'!$I$10="Disable",1,IF('Reverse Search'!$K$10="≥",IF(K151&gt;='Reverse Search'!$L$10,1,0),IF('Reverse Search'!$K$10="≤",IF(K151&lt;='Reverse Search'!$L$10,1,0),IF(K151='Reverse Search'!$L$10,1,0)))))</f>
        <v>1</v>
      </c>
      <c r="Y151" s="367" t="n">
        <f aca="false">IF('Reverse Search'!$N$7="Disable",1,IF('Reverse Search'!$I$11="Disable",1,IF('Reverse Search'!$K$11="≥",IF(L151&gt;='Reverse Search'!$L$11,1,0),IF('Reverse Search'!$K$11="≤",IF(L151&lt;='Reverse Search'!$L$11,1,0),IF(L151='Reverse Search'!$L$11,1,0)))))</f>
        <v>1</v>
      </c>
      <c r="Z151" s="0" t="n">
        <f aca="true">IF('Reverse Search'!$C$14="Disable",1,IF('Reverse Search'!$D$16="Disable",1,IF($C$2=3,IF($M151=0,0,COUNTIF(INDIRECT("'0.0.2 Pokémon Learnset (Core)'!$D$"&amp;MATCH($E151,'0.0.2 Pokémon Learnset (Core)'!$A$1:$A951,0)&amp;":$FK$"&amp;MATCH($E151,'0.0.2 Pokémon Learnset (Core)'!$A$1:$A951,0)),'Reverse Search'!$E$21)),IF($C$2=2,COUNTIF(INDIRECT("'0.1.1 Pokémon GO Moves'!$B$"&amp;MATCH($E151,'0.1.1 Pokémon GO Moves'!$A$1:$A951,0)&amp;":$R$"&amp;MATCH($E151,'0.1.1 Pokémon GO Moves'!$A$1:$A951,0)),'Reverse Search'!$E$21),COUNTIF(INDIRECT("'0.1.1 Pokémon GO Moves'!$B$"&amp;MATCH($E151,'0.1.1 Pokémon GO Moves'!$A$1:$A951,0)&amp;":$L$"&amp;MATCH($E151,'0.1.1 Pokémon GO Moves'!$A$1:$A951,0)),'Reverse Search'!$E$21)))))</f>
        <v>1</v>
      </c>
      <c r="AA151" s="0" t="n">
        <f aca="true">IF('Reverse Search'!$C$14="Disable",1,IF('Reverse Search'!$I$16="Disable",1,IF($D$2=3,IF($M151=0,0,COUNTIF(INDIRECT("'0.0.2 Pokémon Learnset (Core)'!$D$"&amp;MATCH($E151,'0.0.2 Pokémon Learnset (Core)'!$A$1:$A951,0)&amp;":$FK$"&amp;MATCH($E151,'0.0.2 Pokémon Learnset (Core)'!$A$1:$A951,0)),'Reverse Search'!$J$21)),IF($D$2=2,COUNTIF(INDIRECT("'0.1.1 Pokémon GO Moves'!$B$"&amp;MATCH($E151,'0.1.1 Pokémon GO Moves'!$A$1:$A951,0)&amp;":$R$"&amp;MATCH($E151,'0.1.1 Pokémon GO Moves'!$A$1:$A951,0)),'Reverse Search'!$J$21),COUNTIF(INDIRECT("'0.1.1 Pokémon GO Moves'!$B$"&amp;MATCH($E151,'0.1.1 Pokémon GO Moves'!$A$1:$A951,0)&amp;":$L$"&amp;MATCH($E151,'0.1.1 Pokémon GO Moves'!$A$1:$A951,0)),'Reverse Search'!$J$21)))))</f>
        <v>0</v>
      </c>
      <c r="AB151" s="490"/>
      <c r="AC151" s="260" t="n">
        <f aca="false">IF((Q151+R151+S151+V151+W151+X151+Y151+IF(Z151&gt;=1,1,0)+IF(AA151&gt;=1,1,0))=9,G151&amp;", ",)</f>
        <v>0</v>
      </c>
    </row>
    <row r="152" customFormat="false" ht="15.75" hidden="false" customHeight="false" outlineLevel="0" collapsed="false">
      <c r="A152" s="260"/>
      <c r="B152" s="358"/>
      <c r="C152" s="260"/>
      <c r="D152" s="358"/>
      <c r="E152" s="260" t="n">
        <v>151</v>
      </c>
      <c r="F152" s="260" t="n">
        <f aca="false" t="array" ref="F152:F152">INDEX('0.0.1 Pokémon Dex Data'!$H$3:$H951,MATCH(E152,'0.0.1 Pokémon Dex Data'!$B$3:$B951,0))</f>
        <v>0</v>
      </c>
      <c r="G152" s="0" t="str">
        <f aca="false" t="array" ref="G152:G152">INDEX('0.0.1 Pokémon Dex Data'!$E$3:$E951,MATCH(E152,'0.0.1 Pokémon Dex Data'!$B$3:$B951,0))</f>
        <v>Scyther</v>
      </c>
      <c r="H152" s="0" t="str">
        <f aca="false" t="array" ref="H152:H152">INDEX('0.0.1 Pokémon Dex Data'!$Q$3:$Q951,MATCH(E152,'0.0.1 Pokémon Dex Data'!$B$3:$B951,0))</f>
        <v>Bug</v>
      </c>
      <c r="I152" s="0" t="str">
        <f aca="false" t="array" ref="I152:I152">INDEX('0.0.1 Pokémon Dex Data'!$R$3:$R951,MATCH(E152,'0.0.1 Pokémon Dex Data'!$B$3:$B951,0))</f>
        <v>Flying</v>
      </c>
      <c r="J152" s="260" t="n">
        <f aca="false" t="array" ref="J152:J152">ROUND(INDEX('0.0.1 Pokémon Dex Data'!$S$3:$S951,MATCH($E152,'0.0.1 Pokémon Dex Data'!$B$3:$B951,0))*INDEX('0.0.1 Pokémon Dex Data'!T$3:T951,MATCH($E152,'0.0.1 Pokémon Dex Data'!$B$3:$B951,0)),0)</f>
        <v>218</v>
      </c>
      <c r="K152" s="260" t="n">
        <f aca="false" t="array" ref="K152:K152">ROUND(INDEX('0.0.1 Pokémon Dex Data'!$S$3:$S951,MATCH($E152,'0.0.1 Pokémon Dex Data'!$B$3:$B951,0))*INDEX('0.0.1 Pokémon Dex Data'!U$3:U951,MATCH($E152,'0.0.1 Pokémon Dex Data'!$B$3:$B951,0)),0)</f>
        <v>170</v>
      </c>
      <c r="L152" s="260" t="n">
        <f aca="false" t="array" ref="L152:L152">ROUND(INDEX('0.0.1 Pokémon Dex Data'!$S$3:$S951,MATCH($E152,'0.0.1 Pokémon Dex Data'!$B$3:$B951,0))*INDEX('0.0.1 Pokémon Dex Data'!V$3:V951,MATCH($E152,'0.0.1 Pokémon Dex Data'!$B$3:$B951,0)),0)</f>
        <v>172</v>
      </c>
      <c r="M152" s="260" t="n">
        <f aca="false" t="array" ref="M152:M152">INDEX('0.0.1 Pokémon Dex Data'!$J$3:$J951,MATCH(E152,'0.0.1 Pokémon Dex Data'!$B$3:$B951,0))</f>
        <v>1</v>
      </c>
      <c r="O152" s="490"/>
      <c r="Q152" s="367" t="n">
        <f aca="false">IF('Reverse Search'!$F$4="All (including temporary formes)",1,IF('Reverse Search'!$F$4="Base Pokémon and permanent formes only",IF(F152&lt;=1,1,0),IF(F152=0,1,0)))</f>
        <v>1</v>
      </c>
      <c r="R152" s="0" t="n">
        <f aca="false">IF('Reverse Search'!$C$7="Disable",1,IF('Reverse Search'!$D$9="Disable",1,IF(OR('Reverse Search'!$F$9=H152,'Reverse Search'!$F$9=I152),1,0)))</f>
        <v>1</v>
      </c>
      <c r="S152" s="0" t="n">
        <f aca="false">IF('Reverse Search'!$C$7="Disable",1,IF('Reverse Search'!$D$10="Disable",1,IF(OR('Reverse Search'!$F$10=H152,'Reverse Search'!$F$10=I152),1,0)))</f>
        <v>1</v>
      </c>
      <c r="T152" s="0" t="n">
        <f aca="false">INDEX($B$4:$B$22,MATCH(H152,$A$4:$A$22,0))</f>
        <v>1</v>
      </c>
      <c r="U152" s="0" t="n">
        <f aca="false">IF(ISBLANK(I152),1,INDEX($B$4:$B$22,MATCH(I152,$A$4:$A$22,0)))</f>
        <v>1</v>
      </c>
      <c r="V152" s="367" t="n">
        <f aca="false">IF('Reverse Search'!$C$7="Disable",1,IF('Reverse Search'!$D$11="Disable",1,IF('Reverse Search'!$E$11="Neutral to:",IF(ROUND(T152*U152,2)&lt;=1,1,0),IF(ROUND(T152*U152,2)&lt;1,1,0))))</f>
        <v>1</v>
      </c>
      <c r="W152" s="0" t="n">
        <f aca="false">IF('Reverse Search'!$N$7="Disable",1,IF('Reverse Search'!$I$9="Disable",1,IF('Reverse Search'!$K$9="≥",IF(J152&gt;='Reverse Search'!$L$9,1,0),IF('Reverse Search'!$K$9="≤",IF(J152&lt;='Reverse Search'!$L$9,1,0),IF(J152='Reverse Search'!$L$9,1,0)))))</f>
        <v>1</v>
      </c>
      <c r="X152" s="0" t="n">
        <f aca="false">IF('Reverse Search'!$N$7="Disable",1,IF('Reverse Search'!$I$10="Disable",1,IF('Reverse Search'!$K$10="≥",IF(K152&gt;='Reverse Search'!$L$10,1,0),IF('Reverse Search'!$K$10="≤",IF(K152&lt;='Reverse Search'!$L$10,1,0),IF(K152='Reverse Search'!$L$10,1,0)))))</f>
        <v>1</v>
      </c>
      <c r="Y152" s="367" t="n">
        <f aca="false">IF('Reverse Search'!$N$7="Disable",1,IF('Reverse Search'!$I$11="Disable",1,IF('Reverse Search'!$K$11="≥",IF(L152&gt;='Reverse Search'!$L$11,1,0),IF('Reverse Search'!$K$11="≤",IF(L152&lt;='Reverse Search'!$L$11,1,0),IF(L152='Reverse Search'!$L$11,1,0)))))</f>
        <v>1</v>
      </c>
      <c r="Z152" s="0" t="n">
        <f aca="true">IF('Reverse Search'!$C$14="Disable",1,IF('Reverse Search'!$D$16="Disable",1,IF($C$2=3,IF($M152=0,0,COUNTIF(INDIRECT("'0.0.2 Pokémon Learnset (Core)'!$D$"&amp;MATCH($E152,'0.0.2 Pokémon Learnset (Core)'!$A$1:$A951,0)&amp;":$FK$"&amp;MATCH($E152,'0.0.2 Pokémon Learnset (Core)'!$A$1:$A951,0)),'Reverse Search'!$E$21)),IF($C$2=2,COUNTIF(INDIRECT("'0.1.1 Pokémon GO Moves'!$B$"&amp;MATCH($E152,'0.1.1 Pokémon GO Moves'!$A$1:$A951,0)&amp;":$R$"&amp;MATCH($E152,'0.1.1 Pokémon GO Moves'!$A$1:$A951,0)),'Reverse Search'!$E$21),COUNTIF(INDIRECT("'0.1.1 Pokémon GO Moves'!$B$"&amp;MATCH($E152,'0.1.1 Pokémon GO Moves'!$A$1:$A951,0)&amp;":$L$"&amp;MATCH($E152,'0.1.1 Pokémon GO Moves'!$A$1:$A951,0)),'Reverse Search'!$E$21)))))</f>
        <v>1</v>
      </c>
      <c r="AA152" s="0" t="n">
        <f aca="true">IF('Reverse Search'!$C$14="Disable",1,IF('Reverse Search'!$I$16="Disable",1,IF($D$2=3,IF($M152=0,0,COUNTIF(INDIRECT("'0.0.2 Pokémon Learnset (Core)'!$D$"&amp;MATCH($E152,'0.0.2 Pokémon Learnset (Core)'!$A$1:$A951,0)&amp;":$FK$"&amp;MATCH($E152,'0.0.2 Pokémon Learnset (Core)'!$A$1:$A951,0)),'Reverse Search'!$J$21)),IF($D$2=2,COUNTIF(INDIRECT("'0.1.1 Pokémon GO Moves'!$B$"&amp;MATCH($E152,'0.1.1 Pokémon GO Moves'!$A$1:$A951,0)&amp;":$R$"&amp;MATCH($E152,'0.1.1 Pokémon GO Moves'!$A$1:$A951,0)),'Reverse Search'!$J$21),COUNTIF(INDIRECT("'0.1.1 Pokémon GO Moves'!$B$"&amp;MATCH($E152,'0.1.1 Pokémon GO Moves'!$A$1:$A951,0)&amp;":$L$"&amp;MATCH($E152,'0.1.1 Pokémon GO Moves'!$A$1:$A951,0)),'Reverse Search'!$J$21)))))</f>
        <v>0</v>
      </c>
      <c r="AB152" s="490"/>
      <c r="AC152" s="260" t="n">
        <f aca="false">IF((Q152+R152+S152+V152+W152+X152+Y152+IF(Z152&gt;=1,1,0)+IF(AA152&gt;=1,1,0))=9,G152&amp;", ",)</f>
        <v>0</v>
      </c>
    </row>
    <row r="153" customFormat="false" ht="15.75" hidden="false" customHeight="false" outlineLevel="0" collapsed="false">
      <c r="A153" s="260"/>
      <c r="B153" s="358"/>
      <c r="C153" s="260"/>
      <c r="D153" s="358"/>
      <c r="E153" s="260" t="n">
        <v>152</v>
      </c>
      <c r="F153" s="260" t="n">
        <f aca="false" t="array" ref="F153:F153">INDEX('0.0.1 Pokémon Dex Data'!$H$3:$H951,MATCH(E153,'0.0.1 Pokémon Dex Data'!$B$3:$B951,0))</f>
        <v>0</v>
      </c>
      <c r="G153" s="0" t="str">
        <f aca="false" t="array" ref="G153:G153">INDEX('0.0.1 Pokémon Dex Data'!$E$3:$E951,MATCH(E153,'0.0.1 Pokémon Dex Data'!$B$3:$B951,0))</f>
        <v>Jynx</v>
      </c>
      <c r="H153" s="0" t="str">
        <f aca="false" t="array" ref="H153:H153">INDEX('0.0.1 Pokémon Dex Data'!$Q$3:$Q951,MATCH(E153,'0.0.1 Pokémon Dex Data'!$B$3:$B951,0))</f>
        <v>Ice</v>
      </c>
      <c r="I153" s="0" t="str">
        <f aca="false" t="array" ref="I153:I153">INDEX('0.0.1 Pokémon Dex Data'!$R$3:$R951,MATCH(E153,'0.0.1 Pokémon Dex Data'!$B$3:$B951,0))</f>
        <v>Psychic</v>
      </c>
      <c r="J153" s="260" t="n">
        <f aca="false" t="array" ref="J153:J153">ROUND(INDEX('0.0.1 Pokémon Dex Data'!$S$3:$S951,MATCH($E153,'0.0.1 Pokémon Dex Data'!$B$3:$B951,0))*INDEX('0.0.1 Pokémon Dex Data'!T$3:T951,MATCH($E153,'0.0.1 Pokémon Dex Data'!$B$3:$B951,0)),0)</f>
        <v>223</v>
      </c>
      <c r="K153" s="260" t="n">
        <f aca="false" t="array" ref="K153:K153">ROUND(INDEX('0.0.1 Pokémon Dex Data'!$S$3:$S951,MATCH($E153,'0.0.1 Pokémon Dex Data'!$B$3:$B951,0))*INDEX('0.0.1 Pokémon Dex Data'!U$3:U951,MATCH($E153,'0.0.1 Pokémon Dex Data'!$B$3:$B951,0)),0)</f>
        <v>151</v>
      </c>
      <c r="L153" s="260" t="n">
        <f aca="false" t="array" ref="L153:L153">ROUND(INDEX('0.0.1 Pokémon Dex Data'!$S$3:$S951,MATCH($E153,'0.0.1 Pokémon Dex Data'!$B$3:$B951,0))*INDEX('0.0.1 Pokémon Dex Data'!V$3:V951,MATCH($E153,'0.0.1 Pokémon Dex Data'!$B$3:$B951,0)),0)</f>
        <v>163</v>
      </c>
      <c r="M153" s="260" t="n">
        <f aca="false" t="array" ref="M153:M153">INDEX('0.0.1 Pokémon Dex Data'!$J$3:$J951,MATCH(E153,'0.0.1 Pokémon Dex Data'!$B$3:$B951,0))</f>
        <v>1</v>
      </c>
      <c r="O153" s="490"/>
      <c r="Q153" s="367" t="n">
        <f aca="false">IF('Reverse Search'!$F$4="All (including temporary formes)",1,IF('Reverse Search'!$F$4="Base Pokémon and permanent formes only",IF(F153&lt;=1,1,0),IF(F153=0,1,0)))</f>
        <v>1</v>
      </c>
      <c r="R153" s="0" t="n">
        <f aca="false">IF('Reverse Search'!$C$7="Disable",1,IF('Reverse Search'!$D$9="Disable",1,IF(OR('Reverse Search'!$F$9=H153,'Reverse Search'!$F$9=I153),1,0)))</f>
        <v>1</v>
      </c>
      <c r="S153" s="0" t="n">
        <f aca="false">IF('Reverse Search'!$C$7="Disable",1,IF('Reverse Search'!$D$10="Disable",1,IF(OR('Reverse Search'!$F$10=H153,'Reverse Search'!$F$10=I153),1,0)))</f>
        <v>1</v>
      </c>
      <c r="T153" s="0" t="n">
        <f aca="false">INDEX($B$4:$B$22,MATCH(H153,$A$4:$A$22,0))</f>
        <v>1</v>
      </c>
      <c r="U153" s="0" t="n">
        <f aca="false">IF(ISBLANK(I153),1,INDEX($B$4:$B$22,MATCH(I153,$A$4:$A$22,0)))</f>
        <v>1</v>
      </c>
      <c r="V153" s="367" t="n">
        <f aca="false">IF('Reverse Search'!$C$7="Disable",1,IF('Reverse Search'!$D$11="Disable",1,IF('Reverse Search'!$E$11="Neutral to:",IF(ROUND(T153*U153,2)&lt;=1,1,0),IF(ROUND(T153*U153,2)&lt;1,1,0))))</f>
        <v>1</v>
      </c>
      <c r="W153" s="0" t="n">
        <f aca="false">IF('Reverse Search'!$N$7="Disable",1,IF('Reverse Search'!$I$9="Disable",1,IF('Reverse Search'!$K$9="≥",IF(J153&gt;='Reverse Search'!$L$9,1,0),IF('Reverse Search'!$K$9="≤",IF(J153&lt;='Reverse Search'!$L$9,1,0),IF(J153='Reverse Search'!$L$9,1,0)))))</f>
        <v>1</v>
      </c>
      <c r="X153" s="0" t="n">
        <f aca="false">IF('Reverse Search'!$N$7="Disable",1,IF('Reverse Search'!$I$10="Disable",1,IF('Reverse Search'!$K$10="≥",IF(K153&gt;='Reverse Search'!$L$10,1,0),IF('Reverse Search'!$K$10="≤",IF(K153&lt;='Reverse Search'!$L$10,1,0),IF(K153='Reverse Search'!$L$10,1,0)))))</f>
        <v>1</v>
      </c>
      <c r="Y153" s="367" t="n">
        <f aca="false">IF('Reverse Search'!$N$7="Disable",1,IF('Reverse Search'!$I$11="Disable",1,IF('Reverse Search'!$K$11="≥",IF(L153&gt;='Reverse Search'!$L$11,1,0),IF('Reverse Search'!$K$11="≤",IF(L153&lt;='Reverse Search'!$L$11,1,0),IF(L153='Reverse Search'!$L$11,1,0)))))</f>
        <v>1</v>
      </c>
      <c r="Z153" s="0" t="n">
        <f aca="true">IF('Reverse Search'!$C$14="Disable",1,IF('Reverse Search'!$D$16="Disable",1,IF($C$2=3,IF($M153=0,0,COUNTIF(INDIRECT("'0.0.2 Pokémon Learnset (Core)'!$D$"&amp;MATCH($E153,'0.0.2 Pokémon Learnset (Core)'!$A$1:$A951,0)&amp;":$FK$"&amp;MATCH($E153,'0.0.2 Pokémon Learnset (Core)'!$A$1:$A951,0)),'Reverse Search'!$E$21)),IF($C$2=2,COUNTIF(INDIRECT("'0.1.1 Pokémon GO Moves'!$B$"&amp;MATCH($E153,'0.1.1 Pokémon GO Moves'!$A$1:$A951,0)&amp;":$R$"&amp;MATCH($E153,'0.1.1 Pokémon GO Moves'!$A$1:$A951,0)),'Reverse Search'!$E$21),COUNTIF(INDIRECT("'0.1.1 Pokémon GO Moves'!$B$"&amp;MATCH($E153,'0.1.1 Pokémon GO Moves'!$A$1:$A951,0)&amp;":$L$"&amp;MATCH($E153,'0.1.1 Pokémon GO Moves'!$A$1:$A951,0)),'Reverse Search'!$E$21)))))</f>
        <v>1</v>
      </c>
      <c r="AA153" s="0" t="n">
        <f aca="true">IF('Reverse Search'!$C$14="Disable",1,IF('Reverse Search'!$I$16="Disable",1,IF($D$2=3,IF($M153=0,0,COUNTIF(INDIRECT("'0.0.2 Pokémon Learnset (Core)'!$D$"&amp;MATCH($E153,'0.0.2 Pokémon Learnset (Core)'!$A$1:$A951,0)&amp;":$FK$"&amp;MATCH($E153,'0.0.2 Pokémon Learnset (Core)'!$A$1:$A951,0)),'Reverse Search'!$J$21)),IF($D$2=2,COUNTIF(INDIRECT("'0.1.1 Pokémon GO Moves'!$B$"&amp;MATCH($E153,'0.1.1 Pokémon GO Moves'!$A$1:$A951,0)&amp;":$R$"&amp;MATCH($E153,'0.1.1 Pokémon GO Moves'!$A$1:$A951,0)),'Reverse Search'!$J$21),COUNTIF(INDIRECT("'0.1.1 Pokémon GO Moves'!$B$"&amp;MATCH($E153,'0.1.1 Pokémon GO Moves'!$A$1:$A951,0)&amp;":$L$"&amp;MATCH($E153,'0.1.1 Pokémon GO Moves'!$A$1:$A951,0)),'Reverse Search'!$J$21)))))</f>
        <v>0</v>
      </c>
      <c r="AB153" s="490"/>
      <c r="AC153" s="260" t="n">
        <f aca="false">IF((Q153+R153+S153+V153+W153+X153+Y153+IF(Z153&gt;=1,1,0)+IF(AA153&gt;=1,1,0))=9,G153&amp;", ",)</f>
        <v>0</v>
      </c>
    </row>
    <row r="154" customFormat="false" ht="15.75" hidden="false" customHeight="false" outlineLevel="0" collapsed="false">
      <c r="A154" s="260"/>
      <c r="B154" s="358"/>
      <c r="C154" s="260"/>
      <c r="D154" s="358"/>
      <c r="E154" s="260" t="n">
        <v>153</v>
      </c>
      <c r="F154" s="260" t="n">
        <f aca="false" t="array" ref="F154:F154">INDEX('0.0.1 Pokémon Dex Data'!$H$3:$H951,MATCH(E154,'0.0.1 Pokémon Dex Data'!$B$3:$B951,0))</f>
        <v>0</v>
      </c>
      <c r="G154" s="0" t="str">
        <f aca="false" t="array" ref="G154:G154">INDEX('0.0.1 Pokémon Dex Data'!$E$3:$E951,MATCH(E154,'0.0.1 Pokémon Dex Data'!$B$3:$B951,0))</f>
        <v>Electabuzz</v>
      </c>
      <c r="H154" s="0" t="str">
        <f aca="false" t="array" ref="H154:H154">INDEX('0.0.1 Pokémon Dex Data'!$Q$3:$Q951,MATCH(E154,'0.0.1 Pokémon Dex Data'!$B$3:$B951,0))</f>
        <v>Electric</v>
      </c>
      <c r="I154" s="0" t="n">
        <f aca="false">INDEX('0.0.1 Pokémon Dex Data'!$R$3:$R951,MATCH(E154,'0.0.1 Pokémon Dex Data'!$B$3:$B951,0))</f>
        <v>0</v>
      </c>
      <c r="J154" s="260" t="n">
        <f aca="false" t="array" ref="J154:J154">ROUND(INDEX('0.0.1 Pokémon Dex Data'!$S$3:$S951,MATCH($E154,'0.0.1 Pokémon Dex Data'!$B$3:$B951,0))*INDEX('0.0.1 Pokémon Dex Data'!T$3:T951,MATCH($E154,'0.0.1 Pokémon Dex Data'!$B$3:$B951,0)),0)</f>
        <v>198</v>
      </c>
      <c r="K154" s="260" t="n">
        <f aca="false" t="array" ref="K154:K154">ROUND(INDEX('0.0.1 Pokémon Dex Data'!$S$3:$S951,MATCH($E154,'0.0.1 Pokémon Dex Data'!$B$3:$B951,0))*INDEX('0.0.1 Pokémon Dex Data'!U$3:U951,MATCH($E154,'0.0.1 Pokémon Dex Data'!$B$3:$B951,0)),0)</f>
        <v>158</v>
      </c>
      <c r="L154" s="260" t="n">
        <f aca="false" t="array" ref="L154:L154">ROUND(INDEX('0.0.1 Pokémon Dex Data'!$S$3:$S951,MATCH($E154,'0.0.1 Pokémon Dex Data'!$B$3:$B951,0))*INDEX('0.0.1 Pokémon Dex Data'!V$3:V951,MATCH($E154,'0.0.1 Pokémon Dex Data'!$B$3:$B951,0)),0)</f>
        <v>163</v>
      </c>
      <c r="M154" s="260" t="n">
        <f aca="false" t="array" ref="M154:M154">INDEX('0.0.1 Pokémon Dex Data'!$J$3:$J951,MATCH(E154,'0.0.1 Pokémon Dex Data'!$B$3:$B951,0))</f>
        <v>1</v>
      </c>
      <c r="O154" s="490"/>
      <c r="Q154" s="367" t="n">
        <f aca="false">IF('Reverse Search'!$F$4="All (including temporary formes)",1,IF('Reverse Search'!$F$4="Base Pokémon and permanent formes only",IF(F154&lt;=1,1,0),IF(F154=0,1,0)))</f>
        <v>1</v>
      </c>
      <c r="R154" s="0" t="n">
        <f aca="false">IF('Reverse Search'!$C$7="Disable",1,IF('Reverse Search'!$D$9="Disable",1,IF(OR('Reverse Search'!$F$9=H154,'Reverse Search'!$F$9=I154),1,0)))</f>
        <v>1</v>
      </c>
      <c r="S154" s="0" t="n">
        <f aca="false">IF('Reverse Search'!$C$7="Disable",1,IF('Reverse Search'!$D$10="Disable",1,IF(OR('Reverse Search'!$F$10=H154,'Reverse Search'!$F$10=I154),1,0)))</f>
        <v>1</v>
      </c>
      <c r="T154" s="0" t="n">
        <f aca="false">INDEX($B$4:$B$22,MATCH(H154,$A$4:$A$22,0))</f>
        <v>1</v>
      </c>
      <c r="U154" s="0" t="e">
        <f aca="false">IF(ISBLANK(I154),1,INDEX($B$4:$B$22,MATCH(I154,$A$4:$A$22,0)))</f>
        <v>#N/A</v>
      </c>
      <c r="V154" s="367" t="n">
        <f aca="false">IF('Reverse Search'!$C$7="Disable",1,IF('Reverse Search'!$D$11="Disable",1,IF('Reverse Search'!$E$11="Neutral to:",IF(ROUND(T154*U154,2)&lt;=1,1,0),IF(ROUND(T154*U154,2)&lt;1,1,0))))</f>
        <v>1</v>
      </c>
      <c r="W154" s="0" t="n">
        <f aca="false">IF('Reverse Search'!$N$7="Disable",1,IF('Reverse Search'!$I$9="Disable",1,IF('Reverse Search'!$K$9="≥",IF(J154&gt;='Reverse Search'!$L$9,1,0),IF('Reverse Search'!$K$9="≤",IF(J154&lt;='Reverse Search'!$L$9,1,0),IF(J154='Reverse Search'!$L$9,1,0)))))</f>
        <v>1</v>
      </c>
      <c r="X154" s="0" t="n">
        <f aca="false">IF('Reverse Search'!$N$7="Disable",1,IF('Reverse Search'!$I$10="Disable",1,IF('Reverse Search'!$K$10="≥",IF(K154&gt;='Reverse Search'!$L$10,1,0),IF('Reverse Search'!$K$10="≤",IF(K154&lt;='Reverse Search'!$L$10,1,0),IF(K154='Reverse Search'!$L$10,1,0)))))</f>
        <v>1</v>
      </c>
      <c r="Y154" s="367" t="n">
        <f aca="false">IF('Reverse Search'!$N$7="Disable",1,IF('Reverse Search'!$I$11="Disable",1,IF('Reverse Search'!$K$11="≥",IF(L154&gt;='Reverse Search'!$L$11,1,0),IF('Reverse Search'!$K$11="≤",IF(L154&lt;='Reverse Search'!$L$11,1,0),IF(L154='Reverse Search'!$L$11,1,0)))))</f>
        <v>1</v>
      </c>
      <c r="Z154" s="0" t="n">
        <f aca="true">IF('Reverse Search'!$C$14="Disable",1,IF('Reverse Search'!$D$16="Disable",1,IF($C$2=3,IF($M154=0,0,COUNTIF(INDIRECT("'0.0.2 Pokémon Learnset (Core)'!$D$"&amp;MATCH($E154,'0.0.2 Pokémon Learnset (Core)'!$A$1:$A951,0)&amp;":$FK$"&amp;MATCH($E154,'0.0.2 Pokémon Learnset (Core)'!$A$1:$A951,0)),'Reverse Search'!$E$21)),IF($C$2=2,COUNTIF(INDIRECT("'0.1.1 Pokémon GO Moves'!$B$"&amp;MATCH($E154,'0.1.1 Pokémon GO Moves'!$A$1:$A951,0)&amp;":$R$"&amp;MATCH($E154,'0.1.1 Pokémon GO Moves'!$A$1:$A951,0)),'Reverse Search'!$E$21),COUNTIF(INDIRECT("'0.1.1 Pokémon GO Moves'!$B$"&amp;MATCH($E154,'0.1.1 Pokémon GO Moves'!$A$1:$A951,0)&amp;":$L$"&amp;MATCH($E154,'0.1.1 Pokémon GO Moves'!$A$1:$A951,0)),'Reverse Search'!$E$21)))))</f>
        <v>1</v>
      </c>
      <c r="AA154" s="0" t="n">
        <f aca="true">IF('Reverse Search'!$C$14="Disable",1,IF('Reverse Search'!$I$16="Disable",1,IF($D$2=3,IF($M154=0,0,COUNTIF(INDIRECT("'0.0.2 Pokémon Learnset (Core)'!$D$"&amp;MATCH($E154,'0.0.2 Pokémon Learnset (Core)'!$A$1:$A951,0)&amp;":$FK$"&amp;MATCH($E154,'0.0.2 Pokémon Learnset (Core)'!$A$1:$A951,0)),'Reverse Search'!$J$21)),IF($D$2=2,COUNTIF(INDIRECT("'0.1.1 Pokémon GO Moves'!$B$"&amp;MATCH($E154,'0.1.1 Pokémon GO Moves'!$A$1:$A951,0)&amp;":$R$"&amp;MATCH($E154,'0.1.1 Pokémon GO Moves'!$A$1:$A951,0)),'Reverse Search'!$J$21),COUNTIF(INDIRECT("'0.1.1 Pokémon GO Moves'!$B$"&amp;MATCH($E154,'0.1.1 Pokémon GO Moves'!$A$1:$A951,0)&amp;":$L$"&amp;MATCH($E154,'0.1.1 Pokémon GO Moves'!$A$1:$A951,0)),'Reverse Search'!$J$21)))))</f>
        <v>0</v>
      </c>
      <c r="AB154" s="490"/>
      <c r="AC154" s="260" t="n">
        <f aca="false">IF((Q154+R154+S154+V154+W154+X154+Y154+IF(Z154&gt;=1,1,0)+IF(AA154&gt;=1,1,0))=9,G154&amp;", ",)</f>
        <v>0</v>
      </c>
    </row>
    <row r="155" customFormat="false" ht="15.75" hidden="false" customHeight="false" outlineLevel="0" collapsed="false">
      <c r="A155" s="260"/>
      <c r="B155" s="358"/>
      <c r="C155" s="260"/>
      <c r="D155" s="358"/>
      <c r="E155" s="260" t="n">
        <v>154</v>
      </c>
      <c r="F155" s="260" t="n">
        <f aca="false" t="array" ref="F155:F155">INDEX('0.0.1 Pokémon Dex Data'!$H$3:$H951,MATCH(E155,'0.0.1 Pokémon Dex Data'!$B$3:$B951,0))</f>
        <v>0</v>
      </c>
      <c r="G155" s="0" t="str">
        <f aca="false" t="array" ref="G155:G155">INDEX('0.0.1 Pokémon Dex Data'!$E$3:$E951,MATCH(E155,'0.0.1 Pokémon Dex Data'!$B$3:$B951,0))</f>
        <v>Magmar</v>
      </c>
      <c r="H155" s="0" t="str">
        <f aca="false" t="array" ref="H155:H155">INDEX('0.0.1 Pokémon Dex Data'!$Q$3:$Q951,MATCH(E155,'0.0.1 Pokémon Dex Data'!$B$3:$B951,0))</f>
        <v>Fire</v>
      </c>
      <c r="I155" s="0" t="n">
        <f aca="false">INDEX('0.0.1 Pokémon Dex Data'!$R$3:$R951,MATCH(E155,'0.0.1 Pokémon Dex Data'!$B$3:$B951,0))</f>
        <v>0</v>
      </c>
      <c r="J155" s="260" t="n">
        <f aca="false" t="array" ref="J155:J155">ROUND(INDEX('0.0.1 Pokémon Dex Data'!$S$3:$S951,MATCH($E155,'0.0.1 Pokémon Dex Data'!$B$3:$B951,0))*INDEX('0.0.1 Pokémon Dex Data'!T$3:T951,MATCH($E155,'0.0.1 Pokémon Dex Data'!$B$3:$B951,0)),0)</f>
        <v>206</v>
      </c>
      <c r="K155" s="260" t="n">
        <f aca="false" t="array" ref="K155:K155">ROUND(INDEX('0.0.1 Pokémon Dex Data'!$S$3:$S951,MATCH($E155,'0.0.1 Pokémon Dex Data'!$B$3:$B951,0))*INDEX('0.0.1 Pokémon Dex Data'!U$3:U951,MATCH($E155,'0.0.1 Pokémon Dex Data'!$B$3:$B951,0)),0)</f>
        <v>154</v>
      </c>
      <c r="L155" s="260" t="n">
        <f aca="false" t="array" ref="L155:L155">ROUND(INDEX('0.0.1 Pokémon Dex Data'!$S$3:$S951,MATCH($E155,'0.0.1 Pokémon Dex Data'!$B$3:$B951,0))*INDEX('0.0.1 Pokémon Dex Data'!V$3:V951,MATCH($E155,'0.0.1 Pokémon Dex Data'!$B$3:$B951,0)),0)</f>
        <v>163</v>
      </c>
      <c r="M155" s="260" t="n">
        <f aca="false" t="array" ref="M155:M155">INDEX('0.0.1 Pokémon Dex Data'!$J$3:$J951,MATCH(E155,'0.0.1 Pokémon Dex Data'!$B$3:$B951,0))</f>
        <v>1</v>
      </c>
      <c r="O155" s="490"/>
      <c r="Q155" s="367" t="n">
        <f aca="false">IF('Reverse Search'!$F$4="All (including temporary formes)",1,IF('Reverse Search'!$F$4="Base Pokémon and permanent formes only",IF(F155&lt;=1,1,0),IF(F155=0,1,0)))</f>
        <v>1</v>
      </c>
      <c r="R155" s="0" t="n">
        <f aca="false">IF('Reverse Search'!$C$7="Disable",1,IF('Reverse Search'!$D$9="Disable",1,IF(OR('Reverse Search'!$F$9=H155,'Reverse Search'!$F$9=I155),1,0)))</f>
        <v>1</v>
      </c>
      <c r="S155" s="0" t="n">
        <f aca="false">IF('Reverse Search'!$C$7="Disable",1,IF('Reverse Search'!$D$10="Disable",1,IF(OR('Reverse Search'!$F$10=H155,'Reverse Search'!$F$10=I155),1,0)))</f>
        <v>1</v>
      </c>
      <c r="T155" s="0" t="n">
        <f aca="false">INDEX($B$4:$B$22,MATCH(H155,$A$4:$A$22,0))</f>
        <v>1</v>
      </c>
      <c r="U155" s="0" t="e">
        <f aca="false">IF(ISBLANK(I155),1,INDEX($B$4:$B$22,MATCH(I155,$A$4:$A$22,0)))</f>
        <v>#N/A</v>
      </c>
      <c r="V155" s="367" t="n">
        <f aca="false">IF('Reverse Search'!$C$7="Disable",1,IF('Reverse Search'!$D$11="Disable",1,IF('Reverse Search'!$E$11="Neutral to:",IF(ROUND(T155*U155,2)&lt;=1,1,0),IF(ROUND(T155*U155,2)&lt;1,1,0))))</f>
        <v>1</v>
      </c>
      <c r="W155" s="0" t="n">
        <f aca="false">IF('Reverse Search'!$N$7="Disable",1,IF('Reverse Search'!$I$9="Disable",1,IF('Reverse Search'!$K$9="≥",IF(J155&gt;='Reverse Search'!$L$9,1,0),IF('Reverse Search'!$K$9="≤",IF(J155&lt;='Reverse Search'!$L$9,1,0),IF(J155='Reverse Search'!$L$9,1,0)))))</f>
        <v>1</v>
      </c>
      <c r="X155" s="0" t="n">
        <f aca="false">IF('Reverse Search'!$N$7="Disable",1,IF('Reverse Search'!$I$10="Disable",1,IF('Reverse Search'!$K$10="≥",IF(K155&gt;='Reverse Search'!$L$10,1,0),IF('Reverse Search'!$K$10="≤",IF(K155&lt;='Reverse Search'!$L$10,1,0),IF(K155='Reverse Search'!$L$10,1,0)))))</f>
        <v>1</v>
      </c>
      <c r="Y155" s="367" t="n">
        <f aca="false">IF('Reverse Search'!$N$7="Disable",1,IF('Reverse Search'!$I$11="Disable",1,IF('Reverse Search'!$K$11="≥",IF(L155&gt;='Reverse Search'!$L$11,1,0),IF('Reverse Search'!$K$11="≤",IF(L155&lt;='Reverse Search'!$L$11,1,0),IF(L155='Reverse Search'!$L$11,1,0)))))</f>
        <v>1</v>
      </c>
      <c r="Z155" s="0" t="n">
        <f aca="true">IF('Reverse Search'!$C$14="Disable",1,IF('Reverse Search'!$D$16="Disable",1,IF($C$2=3,IF($M155=0,0,COUNTIF(INDIRECT("'0.0.2 Pokémon Learnset (Core)'!$D$"&amp;MATCH($E155,'0.0.2 Pokémon Learnset (Core)'!$A$1:$A951,0)&amp;":$FK$"&amp;MATCH($E155,'0.0.2 Pokémon Learnset (Core)'!$A$1:$A951,0)),'Reverse Search'!$E$21)),IF($C$2=2,COUNTIF(INDIRECT("'0.1.1 Pokémon GO Moves'!$B$"&amp;MATCH($E155,'0.1.1 Pokémon GO Moves'!$A$1:$A951,0)&amp;":$R$"&amp;MATCH($E155,'0.1.1 Pokémon GO Moves'!$A$1:$A951,0)),'Reverse Search'!$E$21),COUNTIF(INDIRECT("'0.1.1 Pokémon GO Moves'!$B$"&amp;MATCH($E155,'0.1.1 Pokémon GO Moves'!$A$1:$A951,0)&amp;":$L$"&amp;MATCH($E155,'0.1.1 Pokémon GO Moves'!$A$1:$A951,0)),'Reverse Search'!$E$21)))))</f>
        <v>1</v>
      </c>
      <c r="AA155" s="0" t="n">
        <f aca="true">IF('Reverse Search'!$C$14="Disable",1,IF('Reverse Search'!$I$16="Disable",1,IF($D$2=3,IF($M155=0,0,COUNTIF(INDIRECT("'0.0.2 Pokémon Learnset (Core)'!$D$"&amp;MATCH($E155,'0.0.2 Pokémon Learnset (Core)'!$A$1:$A951,0)&amp;":$FK$"&amp;MATCH($E155,'0.0.2 Pokémon Learnset (Core)'!$A$1:$A951,0)),'Reverse Search'!$J$21)),IF($D$2=2,COUNTIF(INDIRECT("'0.1.1 Pokémon GO Moves'!$B$"&amp;MATCH($E155,'0.1.1 Pokémon GO Moves'!$A$1:$A951,0)&amp;":$R$"&amp;MATCH($E155,'0.1.1 Pokémon GO Moves'!$A$1:$A951,0)),'Reverse Search'!$J$21),COUNTIF(INDIRECT("'0.1.1 Pokémon GO Moves'!$B$"&amp;MATCH($E155,'0.1.1 Pokémon GO Moves'!$A$1:$A951,0)&amp;":$L$"&amp;MATCH($E155,'0.1.1 Pokémon GO Moves'!$A$1:$A951,0)),'Reverse Search'!$J$21)))))</f>
        <v>0</v>
      </c>
      <c r="AB155" s="490"/>
      <c r="AC155" s="260" t="n">
        <f aca="false">IF((Q155+R155+S155+V155+W155+X155+Y155+IF(Z155&gt;=1,1,0)+IF(AA155&gt;=1,1,0))=9,G155&amp;", ",)</f>
        <v>0</v>
      </c>
    </row>
    <row r="156" customFormat="false" ht="15.75" hidden="false" customHeight="false" outlineLevel="0" collapsed="false">
      <c r="A156" s="260"/>
      <c r="B156" s="358"/>
      <c r="C156" s="260"/>
      <c r="D156" s="358"/>
      <c r="E156" s="260" t="n">
        <v>155</v>
      </c>
      <c r="F156" s="260" t="n">
        <f aca="false" t="array" ref="F156:F156">INDEX('0.0.1 Pokémon Dex Data'!$H$3:$H951,MATCH(E156,'0.0.1 Pokémon Dex Data'!$B$3:$B951,0))</f>
        <v>0</v>
      </c>
      <c r="G156" s="0" t="str">
        <f aca="false" t="array" ref="G156:G156">INDEX('0.0.1 Pokémon Dex Data'!$E$3:$E951,MATCH(E156,'0.0.1 Pokémon Dex Data'!$B$3:$B951,0))</f>
        <v>Pinsir</v>
      </c>
      <c r="H156" s="0" t="str">
        <f aca="false" t="array" ref="H156:H156">INDEX('0.0.1 Pokémon Dex Data'!$Q$3:$Q951,MATCH(E156,'0.0.1 Pokémon Dex Data'!$B$3:$B951,0))</f>
        <v>Bug</v>
      </c>
      <c r="I156" s="0" t="n">
        <f aca="false">INDEX('0.0.1 Pokémon Dex Data'!$R$3:$R951,MATCH(E156,'0.0.1 Pokémon Dex Data'!$B$3:$B951,0))</f>
        <v>0</v>
      </c>
      <c r="J156" s="260" t="n">
        <f aca="false" t="array" ref="J156:J156">ROUND(INDEX('0.0.1 Pokémon Dex Data'!$S$3:$S951,MATCH($E156,'0.0.1 Pokémon Dex Data'!$B$3:$B951,0))*INDEX('0.0.1 Pokémon Dex Data'!T$3:T951,MATCH($E156,'0.0.1 Pokémon Dex Data'!$B$3:$B951,0)),0)</f>
        <v>238</v>
      </c>
      <c r="K156" s="260" t="n">
        <f aca="false" t="array" ref="K156:K156">ROUND(INDEX('0.0.1 Pokémon Dex Data'!$S$3:$S951,MATCH($E156,'0.0.1 Pokémon Dex Data'!$B$3:$B951,0))*INDEX('0.0.1 Pokémon Dex Data'!U$3:U951,MATCH($E156,'0.0.1 Pokémon Dex Data'!$B$3:$B951,0)),0)</f>
        <v>182</v>
      </c>
      <c r="L156" s="260" t="n">
        <f aca="false" t="array" ref="L156:L156">ROUND(INDEX('0.0.1 Pokémon Dex Data'!$S$3:$S951,MATCH($E156,'0.0.1 Pokémon Dex Data'!$B$3:$B951,0))*INDEX('0.0.1 Pokémon Dex Data'!V$3:V951,MATCH($E156,'0.0.1 Pokémon Dex Data'!$B$3:$B951,0)),0)</f>
        <v>163</v>
      </c>
      <c r="M156" s="260" t="n">
        <f aca="false" t="array" ref="M156:M156">INDEX('0.0.1 Pokémon Dex Data'!$J$3:$J951,MATCH(E156,'0.0.1 Pokémon Dex Data'!$B$3:$B951,0))</f>
        <v>1</v>
      </c>
      <c r="O156" s="490"/>
      <c r="Q156" s="367" t="n">
        <f aca="false">IF('Reverse Search'!$F$4="All (including temporary formes)",1,IF('Reverse Search'!$F$4="Base Pokémon and permanent formes only",IF(F156&lt;=1,1,0),IF(F156=0,1,0)))</f>
        <v>1</v>
      </c>
      <c r="R156" s="0" t="n">
        <f aca="false">IF('Reverse Search'!$C$7="Disable",1,IF('Reverse Search'!$D$9="Disable",1,IF(OR('Reverse Search'!$F$9=H156,'Reverse Search'!$F$9=I156),1,0)))</f>
        <v>1</v>
      </c>
      <c r="S156" s="0" t="n">
        <f aca="false">IF('Reverse Search'!$C$7="Disable",1,IF('Reverse Search'!$D$10="Disable",1,IF(OR('Reverse Search'!$F$10=H156,'Reverse Search'!$F$10=I156),1,0)))</f>
        <v>1</v>
      </c>
      <c r="T156" s="0" t="n">
        <f aca="false">INDEX($B$4:$B$22,MATCH(H156,$A$4:$A$22,0))</f>
        <v>1</v>
      </c>
      <c r="U156" s="0" t="e">
        <f aca="false">IF(ISBLANK(I156),1,INDEX($B$4:$B$22,MATCH(I156,$A$4:$A$22,0)))</f>
        <v>#N/A</v>
      </c>
      <c r="V156" s="367" t="n">
        <f aca="false">IF('Reverse Search'!$C$7="Disable",1,IF('Reverse Search'!$D$11="Disable",1,IF('Reverse Search'!$E$11="Neutral to:",IF(ROUND(T156*U156,2)&lt;=1,1,0),IF(ROUND(T156*U156,2)&lt;1,1,0))))</f>
        <v>1</v>
      </c>
      <c r="W156" s="0" t="n">
        <f aca="false">IF('Reverse Search'!$N$7="Disable",1,IF('Reverse Search'!$I$9="Disable",1,IF('Reverse Search'!$K$9="≥",IF(J156&gt;='Reverse Search'!$L$9,1,0),IF('Reverse Search'!$K$9="≤",IF(J156&lt;='Reverse Search'!$L$9,1,0),IF(J156='Reverse Search'!$L$9,1,0)))))</f>
        <v>1</v>
      </c>
      <c r="X156" s="0" t="n">
        <f aca="false">IF('Reverse Search'!$N$7="Disable",1,IF('Reverse Search'!$I$10="Disable",1,IF('Reverse Search'!$K$10="≥",IF(K156&gt;='Reverse Search'!$L$10,1,0),IF('Reverse Search'!$K$10="≤",IF(K156&lt;='Reverse Search'!$L$10,1,0),IF(K156='Reverse Search'!$L$10,1,0)))))</f>
        <v>1</v>
      </c>
      <c r="Y156" s="367" t="n">
        <f aca="false">IF('Reverse Search'!$N$7="Disable",1,IF('Reverse Search'!$I$11="Disable",1,IF('Reverse Search'!$K$11="≥",IF(L156&gt;='Reverse Search'!$L$11,1,0),IF('Reverse Search'!$K$11="≤",IF(L156&lt;='Reverse Search'!$L$11,1,0),IF(L156='Reverse Search'!$L$11,1,0)))))</f>
        <v>1</v>
      </c>
      <c r="Z156" s="0" t="n">
        <f aca="true">IF('Reverse Search'!$C$14="Disable",1,IF('Reverse Search'!$D$16="Disable",1,IF($C$2=3,IF($M156=0,0,COUNTIF(INDIRECT("'0.0.2 Pokémon Learnset (Core)'!$D$"&amp;MATCH($E156,'0.0.2 Pokémon Learnset (Core)'!$A$1:$A951,0)&amp;":$FK$"&amp;MATCH($E156,'0.0.2 Pokémon Learnset (Core)'!$A$1:$A951,0)),'Reverse Search'!$E$21)),IF($C$2=2,COUNTIF(INDIRECT("'0.1.1 Pokémon GO Moves'!$B$"&amp;MATCH($E156,'0.1.1 Pokémon GO Moves'!$A$1:$A951,0)&amp;":$R$"&amp;MATCH($E156,'0.1.1 Pokémon GO Moves'!$A$1:$A951,0)),'Reverse Search'!$E$21),COUNTIF(INDIRECT("'0.1.1 Pokémon GO Moves'!$B$"&amp;MATCH($E156,'0.1.1 Pokémon GO Moves'!$A$1:$A951,0)&amp;":$L$"&amp;MATCH($E156,'0.1.1 Pokémon GO Moves'!$A$1:$A951,0)),'Reverse Search'!$E$21)))))</f>
        <v>1</v>
      </c>
      <c r="AA156" s="0" t="n">
        <f aca="true">IF('Reverse Search'!$C$14="Disable",1,IF('Reverse Search'!$I$16="Disable",1,IF($D$2=3,IF($M156=0,0,COUNTIF(INDIRECT("'0.0.2 Pokémon Learnset (Core)'!$D$"&amp;MATCH($E156,'0.0.2 Pokémon Learnset (Core)'!$A$1:$A951,0)&amp;":$FK$"&amp;MATCH($E156,'0.0.2 Pokémon Learnset (Core)'!$A$1:$A951,0)),'Reverse Search'!$J$21)),IF($D$2=2,COUNTIF(INDIRECT("'0.1.1 Pokémon GO Moves'!$B$"&amp;MATCH($E156,'0.1.1 Pokémon GO Moves'!$A$1:$A951,0)&amp;":$R$"&amp;MATCH($E156,'0.1.1 Pokémon GO Moves'!$A$1:$A951,0)),'Reverse Search'!$J$21),COUNTIF(INDIRECT("'0.1.1 Pokémon GO Moves'!$B$"&amp;MATCH($E156,'0.1.1 Pokémon GO Moves'!$A$1:$A951,0)&amp;":$L$"&amp;MATCH($E156,'0.1.1 Pokémon GO Moves'!$A$1:$A951,0)),'Reverse Search'!$J$21)))))</f>
        <v>0</v>
      </c>
      <c r="AB156" s="490"/>
      <c r="AC156" s="260" t="n">
        <f aca="false">IF((Q156+R156+S156+V156+W156+X156+Y156+IF(Z156&gt;=1,1,0)+IF(AA156&gt;=1,1,0))=9,G156&amp;", ",)</f>
        <v>0</v>
      </c>
    </row>
    <row r="157" customFormat="false" ht="15.75" hidden="false" customHeight="false" outlineLevel="0" collapsed="false">
      <c r="A157" s="260"/>
      <c r="B157" s="358"/>
      <c r="C157" s="260"/>
      <c r="D157" s="358"/>
      <c r="E157" s="260" t="n">
        <v>156</v>
      </c>
      <c r="F157" s="260" t="n">
        <f aca="false" t="array" ref="F157:F157">INDEX('0.0.1 Pokémon Dex Data'!$H$3:$H951,MATCH(E157,'0.0.1 Pokémon Dex Data'!$B$3:$B951,0))</f>
        <v>2</v>
      </c>
      <c r="G157" s="0" t="str">
        <f aca="false" t="array" ref="G157:G157">INDEX('0.0.1 Pokémon Dex Data'!$E$3:$E951,MATCH(E157,'0.0.1 Pokémon Dex Data'!$B$3:$B951,0))</f>
        <v>Pinsir-Mega</v>
      </c>
      <c r="H157" s="0" t="str">
        <f aca="false" t="array" ref="H157:H157">INDEX('0.0.1 Pokémon Dex Data'!$Q$3:$Q951,MATCH(E157,'0.0.1 Pokémon Dex Data'!$B$3:$B951,0))</f>
        <v>Bug</v>
      </c>
      <c r="I157" s="0" t="str">
        <f aca="false" t="array" ref="I157:I157">INDEX('0.0.1 Pokémon Dex Data'!$R$3:$R951,MATCH(E157,'0.0.1 Pokémon Dex Data'!$B$3:$B951,0))</f>
        <v>Flying</v>
      </c>
      <c r="J157" s="260" t="n">
        <f aca="false" t="array" ref="J157:J157">ROUND(INDEX('0.0.1 Pokémon Dex Data'!$S$3:$S951,MATCH($E157,'0.0.1 Pokémon Dex Data'!$B$3:$B951,0))*INDEX('0.0.1 Pokémon Dex Data'!T$3:T951,MATCH($E157,'0.0.1 Pokémon Dex Data'!$B$3:$B951,0)),0)</f>
        <v>305</v>
      </c>
      <c r="K157" s="260" t="n">
        <f aca="false" t="array" ref="K157:K157">ROUND(INDEX('0.0.1 Pokémon Dex Data'!$S$3:$S951,MATCH($E157,'0.0.1 Pokémon Dex Data'!$B$3:$B951,0))*INDEX('0.0.1 Pokémon Dex Data'!U$3:U951,MATCH($E157,'0.0.1 Pokémon Dex Data'!$B$3:$B951,0)),0)</f>
        <v>231</v>
      </c>
      <c r="L157" s="260" t="n">
        <f aca="false" t="array" ref="L157:L157">ROUND(INDEX('0.0.1 Pokémon Dex Data'!$S$3:$S951,MATCH($E157,'0.0.1 Pokémon Dex Data'!$B$3:$B951,0))*INDEX('0.0.1 Pokémon Dex Data'!V$3:V951,MATCH($E157,'0.0.1 Pokémon Dex Data'!$B$3:$B951,0)),0)</f>
        <v>163</v>
      </c>
      <c r="M157" s="260" t="n">
        <f aca="false" t="array" ref="M157:M157">INDEX('0.0.1 Pokémon Dex Data'!$J$3:$J951,MATCH(E157,'0.0.1 Pokémon Dex Data'!$B$3:$B951,0))</f>
        <v>1</v>
      </c>
      <c r="O157" s="490"/>
      <c r="Q157" s="367" t="n">
        <f aca="false">IF('Reverse Search'!$F$4="All (including temporary formes)",1,IF('Reverse Search'!$F$4="Base Pokémon and permanent formes only",IF(F157&lt;=1,1,0),IF(F157=0,1,0)))</f>
        <v>0</v>
      </c>
      <c r="R157" s="0" t="n">
        <f aca="false">IF('Reverse Search'!$C$7="Disable",1,IF('Reverse Search'!$D$9="Disable",1,IF(OR('Reverse Search'!$F$9=H157,'Reverse Search'!$F$9=I157),1,0)))</f>
        <v>1</v>
      </c>
      <c r="S157" s="0" t="n">
        <f aca="false">IF('Reverse Search'!$C$7="Disable",1,IF('Reverse Search'!$D$10="Disable",1,IF(OR('Reverse Search'!$F$10=H157,'Reverse Search'!$F$10=I157),1,0)))</f>
        <v>1</v>
      </c>
      <c r="T157" s="0" t="n">
        <f aca="false">INDEX($B$4:$B$22,MATCH(H157,$A$4:$A$22,0))</f>
        <v>1</v>
      </c>
      <c r="U157" s="0" t="n">
        <f aca="false">IF(ISBLANK(I157),1,INDEX($B$4:$B$22,MATCH(I157,$A$4:$A$22,0)))</f>
        <v>1</v>
      </c>
      <c r="V157" s="367" t="n">
        <f aca="false">IF('Reverse Search'!$C$7="Disable",1,IF('Reverse Search'!$D$11="Disable",1,IF('Reverse Search'!$E$11="Neutral to:",IF(ROUND(T157*U157,2)&lt;=1,1,0),IF(ROUND(T157*U157,2)&lt;1,1,0))))</f>
        <v>1</v>
      </c>
      <c r="W157" s="0" t="n">
        <f aca="false">IF('Reverse Search'!$N$7="Disable",1,IF('Reverse Search'!$I$9="Disable",1,IF('Reverse Search'!$K$9="≥",IF(J157&gt;='Reverse Search'!$L$9,1,0),IF('Reverse Search'!$K$9="≤",IF(J157&lt;='Reverse Search'!$L$9,1,0),IF(J157='Reverse Search'!$L$9,1,0)))))</f>
        <v>1</v>
      </c>
      <c r="X157" s="0" t="n">
        <f aca="false">IF('Reverse Search'!$N$7="Disable",1,IF('Reverse Search'!$I$10="Disable",1,IF('Reverse Search'!$K$10="≥",IF(K157&gt;='Reverse Search'!$L$10,1,0),IF('Reverse Search'!$K$10="≤",IF(K157&lt;='Reverse Search'!$L$10,1,0),IF(K157='Reverse Search'!$L$10,1,0)))))</f>
        <v>1</v>
      </c>
      <c r="Y157" s="367" t="n">
        <f aca="false">IF('Reverse Search'!$N$7="Disable",1,IF('Reverse Search'!$I$11="Disable",1,IF('Reverse Search'!$K$11="≥",IF(L157&gt;='Reverse Search'!$L$11,1,0),IF('Reverse Search'!$K$11="≤",IF(L157&lt;='Reverse Search'!$L$11,1,0),IF(L157='Reverse Search'!$L$11,1,0)))))</f>
        <v>1</v>
      </c>
      <c r="Z157" s="0" t="n">
        <f aca="true">IF('Reverse Search'!$C$14="Disable",1,IF('Reverse Search'!$D$16="Disable",1,IF($C$2=3,IF($M157=0,0,COUNTIF(INDIRECT("'0.0.2 Pokémon Learnset (Core)'!$D$"&amp;MATCH($E157,'0.0.2 Pokémon Learnset (Core)'!$A$1:$A951,0)&amp;":$FK$"&amp;MATCH($E157,'0.0.2 Pokémon Learnset (Core)'!$A$1:$A951,0)),'Reverse Search'!$E$21)),IF($C$2=2,COUNTIF(INDIRECT("'0.1.1 Pokémon GO Moves'!$B$"&amp;MATCH($E157,'0.1.1 Pokémon GO Moves'!$A$1:$A951,0)&amp;":$R$"&amp;MATCH($E157,'0.1.1 Pokémon GO Moves'!$A$1:$A951,0)),'Reverse Search'!$E$21),COUNTIF(INDIRECT("'0.1.1 Pokémon GO Moves'!$B$"&amp;MATCH($E157,'0.1.1 Pokémon GO Moves'!$A$1:$A951,0)&amp;":$L$"&amp;MATCH($E157,'0.1.1 Pokémon GO Moves'!$A$1:$A951,0)),'Reverse Search'!$E$21)))))</f>
        <v>1</v>
      </c>
      <c r="AA157" s="0" t="e">
        <f aca="true">IF('Reverse Search'!$C$14="Disable",1,IF('Reverse Search'!$I$16="Disable",1,IF($D$2=3,IF($M157=0,0,COUNTIF(INDIRECT("'0.0.2 Pokémon Learnset (Core)'!$D$"&amp;MATCH($E157,'0.0.2 Pokémon Learnset (Core)'!$A$1:$A951,0)&amp;":$FK$"&amp;MATCH($E157,'0.0.2 Pokémon Learnset (Core)'!$A$1:$A951,0)),'Reverse Search'!$J$21)),IF($D$2=2,COUNTIF(INDIRECT("'0.1.1 Pokémon GO Moves'!$B$"&amp;MATCH($E157,'0.1.1 Pokémon GO Moves'!$A$1:$A951,0)&amp;":$R$"&amp;MATCH($E157,'0.1.1 Pokémon GO Moves'!$A$1:$A951,0)),'Reverse Search'!$J$21),COUNTIF(INDIRECT("'0.1.1 Pokémon GO Moves'!$B$"&amp;MATCH($E157,'0.1.1 Pokémon GO Moves'!$A$1:$A951,0)&amp;":$L$"&amp;MATCH($E157,'0.1.1 Pokémon GO Moves'!$A$1:$A951,0)),'Reverse Search'!$J$21)))))</f>
        <v>#N/A</v>
      </c>
      <c r="AB157" s="490"/>
      <c r="AC157" s="260" t="e">
        <f aca="false">IF((Q157+R157+S157+V157+W157+X157+Y157+IF(Z157&gt;=1,1,0)+IF(AA157&gt;=1,1,0))=9,G157&amp;", ",)</f>
        <v>#N/A</v>
      </c>
    </row>
    <row r="158" customFormat="false" ht="15.75" hidden="false" customHeight="false" outlineLevel="0" collapsed="false">
      <c r="A158" s="260"/>
      <c r="B158" s="358"/>
      <c r="C158" s="260"/>
      <c r="D158" s="358"/>
      <c r="E158" s="260" t="n">
        <v>157</v>
      </c>
      <c r="F158" s="260" t="n">
        <f aca="false" t="array" ref="F158:F158">INDEX('0.0.1 Pokémon Dex Data'!$H$3:$H951,MATCH(E158,'0.0.1 Pokémon Dex Data'!$B$3:$B951,0))</f>
        <v>0</v>
      </c>
      <c r="G158" s="0" t="str">
        <f aca="false" t="array" ref="G158:G158">INDEX('0.0.1 Pokémon Dex Data'!$E$3:$E951,MATCH(E158,'0.0.1 Pokémon Dex Data'!$B$3:$B951,0))</f>
        <v>Tauros</v>
      </c>
      <c r="H158" s="0" t="str">
        <f aca="false" t="array" ref="H158:H158">INDEX('0.0.1 Pokémon Dex Data'!$Q$3:$Q951,MATCH(E158,'0.0.1 Pokémon Dex Data'!$B$3:$B951,0))</f>
        <v>Normal</v>
      </c>
      <c r="I158" s="0" t="n">
        <f aca="false">INDEX('0.0.1 Pokémon Dex Data'!$R$3:$R951,MATCH(E158,'0.0.1 Pokémon Dex Data'!$B$3:$B951,0))</f>
        <v>0</v>
      </c>
      <c r="J158" s="260" t="n">
        <f aca="false" t="array" ref="J158:J158">ROUND(INDEX('0.0.1 Pokémon Dex Data'!$S$3:$S951,MATCH($E158,'0.0.1 Pokémon Dex Data'!$B$3:$B951,0))*INDEX('0.0.1 Pokémon Dex Data'!T$3:T951,MATCH($E158,'0.0.1 Pokémon Dex Data'!$B$3:$B951,0)),0)</f>
        <v>198</v>
      </c>
      <c r="K158" s="260" t="n">
        <f aca="false" t="array" ref="K158:K158">ROUND(INDEX('0.0.1 Pokémon Dex Data'!$S$3:$S951,MATCH($E158,'0.0.1 Pokémon Dex Data'!$B$3:$B951,0))*INDEX('0.0.1 Pokémon Dex Data'!U$3:U951,MATCH($E158,'0.0.1 Pokémon Dex Data'!$B$3:$B951,0)),0)</f>
        <v>183</v>
      </c>
      <c r="L158" s="260" t="n">
        <f aca="false" t="array" ref="L158:L158">ROUND(INDEX('0.0.1 Pokémon Dex Data'!$S$3:$S951,MATCH($E158,'0.0.1 Pokémon Dex Data'!$B$3:$B951,0))*INDEX('0.0.1 Pokémon Dex Data'!V$3:V951,MATCH($E158,'0.0.1 Pokémon Dex Data'!$B$3:$B951,0)),0)</f>
        <v>181</v>
      </c>
      <c r="M158" s="260" t="n">
        <f aca="false" t="array" ref="M158:M158">INDEX('0.0.1 Pokémon Dex Data'!$J$3:$J951,MATCH(E158,'0.0.1 Pokémon Dex Data'!$B$3:$B951,0))</f>
        <v>1</v>
      </c>
      <c r="O158" s="490"/>
      <c r="Q158" s="367" t="n">
        <f aca="false">IF('Reverse Search'!$F$4="All (including temporary formes)",1,IF('Reverse Search'!$F$4="Base Pokémon and permanent formes only",IF(F158&lt;=1,1,0),IF(F158=0,1,0)))</f>
        <v>1</v>
      </c>
      <c r="R158" s="0" t="n">
        <f aca="false">IF('Reverse Search'!$C$7="Disable",1,IF('Reverse Search'!$D$9="Disable",1,IF(OR('Reverse Search'!$F$9=H158,'Reverse Search'!$F$9=I158),1,0)))</f>
        <v>1</v>
      </c>
      <c r="S158" s="0" t="n">
        <f aca="false">IF('Reverse Search'!$C$7="Disable",1,IF('Reverse Search'!$D$10="Disable",1,IF(OR('Reverse Search'!$F$10=H158,'Reverse Search'!$F$10=I158),1,0)))</f>
        <v>1</v>
      </c>
      <c r="T158" s="0" t="n">
        <f aca="false">INDEX($B$4:$B$22,MATCH(H158,$A$4:$A$22,0))</f>
        <v>1</v>
      </c>
      <c r="U158" s="0" t="e">
        <f aca="false">IF(ISBLANK(I158),1,INDEX($B$4:$B$22,MATCH(I158,$A$4:$A$22,0)))</f>
        <v>#N/A</v>
      </c>
      <c r="V158" s="367" t="n">
        <f aca="false">IF('Reverse Search'!$C$7="Disable",1,IF('Reverse Search'!$D$11="Disable",1,IF('Reverse Search'!$E$11="Neutral to:",IF(ROUND(T158*U158,2)&lt;=1,1,0),IF(ROUND(T158*U158,2)&lt;1,1,0))))</f>
        <v>1</v>
      </c>
      <c r="W158" s="0" t="n">
        <f aca="false">IF('Reverse Search'!$N$7="Disable",1,IF('Reverse Search'!$I$9="Disable",1,IF('Reverse Search'!$K$9="≥",IF(J158&gt;='Reverse Search'!$L$9,1,0),IF('Reverse Search'!$K$9="≤",IF(J158&lt;='Reverse Search'!$L$9,1,0),IF(J158='Reverse Search'!$L$9,1,0)))))</f>
        <v>1</v>
      </c>
      <c r="X158" s="0" t="n">
        <f aca="false">IF('Reverse Search'!$N$7="Disable",1,IF('Reverse Search'!$I$10="Disable",1,IF('Reverse Search'!$K$10="≥",IF(K158&gt;='Reverse Search'!$L$10,1,0),IF('Reverse Search'!$K$10="≤",IF(K158&lt;='Reverse Search'!$L$10,1,0),IF(K158='Reverse Search'!$L$10,1,0)))))</f>
        <v>1</v>
      </c>
      <c r="Y158" s="367" t="n">
        <f aca="false">IF('Reverse Search'!$N$7="Disable",1,IF('Reverse Search'!$I$11="Disable",1,IF('Reverse Search'!$K$11="≥",IF(L158&gt;='Reverse Search'!$L$11,1,0),IF('Reverse Search'!$K$11="≤",IF(L158&lt;='Reverse Search'!$L$11,1,0),IF(L158='Reverse Search'!$L$11,1,0)))))</f>
        <v>1</v>
      </c>
      <c r="Z158" s="0" t="n">
        <f aca="true">IF('Reverse Search'!$C$14="Disable",1,IF('Reverse Search'!$D$16="Disable",1,IF($C$2=3,IF($M158=0,0,COUNTIF(INDIRECT("'0.0.2 Pokémon Learnset (Core)'!$D$"&amp;MATCH($E158,'0.0.2 Pokémon Learnset (Core)'!$A$1:$A951,0)&amp;":$FK$"&amp;MATCH($E158,'0.0.2 Pokémon Learnset (Core)'!$A$1:$A951,0)),'Reverse Search'!$E$21)),IF($C$2=2,COUNTIF(INDIRECT("'0.1.1 Pokémon GO Moves'!$B$"&amp;MATCH($E158,'0.1.1 Pokémon GO Moves'!$A$1:$A951,0)&amp;":$R$"&amp;MATCH($E158,'0.1.1 Pokémon GO Moves'!$A$1:$A951,0)),'Reverse Search'!$E$21),COUNTIF(INDIRECT("'0.1.1 Pokémon GO Moves'!$B$"&amp;MATCH($E158,'0.1.1 Pokémon GO Moves'!$A$1:$A951,0)&amp;":$L$"&amp;MATCH($E158,'0.1.1 Pokémon GO Moves'!$A$1:$A951,0)),'Reverse Search'!$E$21)))))</f>
        <v>1</v>
      </c>
      <c r="AA158" s="0" t="n">
        <f aca="true">IF('Reverse Search'!$C$14="Disable",1,IF('Reverse Search'!$I$16="Disable",1,IF($D$2=3,IF($M158=0,0,COUNTIF(INDIRECT("'0.0.2 Pokémon Learnset (Core)'!$D$"&amp;MATCH($E158,'0.0.2 Pokémon Learnset (Core)'!$A$1:$A951,0)&amp;":$FK$"&amp;MATCH($E158,'0.0.2 Pokémon Learnset (Core)'!$A$1:$A951,0)),'Reverse Search'!$J$21)),IF($D$2=2,COUNTIF(INDIRECT("'0.1.1 Pokémon GO Moves'!$B$"&amp;MATCH($E158,'0.1.1 Pokémon GO Moves'!$A$1:$A951,0)&amp;":$R$"&amp;MATCH($E158,'0.1.1 Pokémon GO Moves'!$A$1:$A951,0)),'Reverse Search'!$J$21),COUNTIF(INDIRECT("'0.1.1 Pokémon GO Moves'!$B$"&amp;MATCH($E158,'0.1.1 Pokémon GO Moves'!$A$1:$A951,0)&amp;":$L$"&amp;MATCH($E158,'0.1.1 Pokémon GO Moves'!$A$1:$A951,0)),'Reverse Search'!$J$21)))))</f>
        <v>0</v>
      </c>
      <c r="AB158" s="490"/>
      <c r="AC158" s="260" t="n">
        <f aca="false">IF((Q158+R158+S158+V158+W158+X158+Y158+IF(Z158&gt;=1,1,0)+IF(AA158&gt;=1,1,0))=9,G158&amp;", ",)</f>
        <v>0</v>
      </c>
    </row>
    <row r="159" customFormat="false" ht="15.75" hidden="false" customHeight="false" outlineLevel="0" collapsed="false">
      <c r="A159" s="260"/>
      <c r="B159" s="358"/>
      <c r="C159" s="260"/>
      <c r="D159" s="358"/>
      <c r="E159" s="260" t="n">
        <v>158</v>
      </c>
      <c r="F159" s="260" t="n">
        <f aca="false" t="array" ref="F159:F159">INDEX('0.0.1 Pokémon Dex Data'!$H$3:$H951,MATCH(E159,'0.0.1 Pokémon Dex Data'!$B$3:$B951,0))</f>
        <v>0</v>
      </c>
      <c r="G159" s="0" t="str">
        <f aca="false" t="array" ref="G159:G159">INDEX('0.0.1 Pokémon Dex Data'!$E$3:$E951,MATCH(E159,'0.0.1 Pokémon Dex Data'!$B$3:$B951,0))</f>
        <v>Magikarp</v>
      </c>
      <c r="H159" s="0" t="str">
        <f aca="false" t="array" ref="H159:H159">INDEX('0.0.1 Pokémon Dex Data'!$Q$3:$Q951,MATCH(E159,'0.0.1 Pokémon Dex Data'!$B$3:$B951,0))</f>
        <v>Water</v>
      </c>
      <c r="I159" s="0" t="n">
        <f aca="false">INDEX('0.0.1 Pokémon Dex Data'!$R$3:$R951,MATCH(E159,'0.0.1 Pokémon Dex Data'!$B$3:$B951,0))</f>
        <v>0</v>
      </c>
      <c r="J159" s="260" t="n">
        <f aca="false" t="array" ref="J159:J159">ROUND(INDEX('0.0.1 Pokémon Dex Data'!$S$3:$S951,MATCH($E159,'0.0.1 Pokémon Dex Data'!$B$3:$B951,0))*INDEX('0.0.1 Pokémon Dex Data'!T$3:T951,MATCH($E159,'0.0.1 Pokémon Dex Data'!$B$3:$B951,0)),0)</f>
        <v>29</v>
      </c>
      <c r="K159" s="260" t="n">
        <f aca="false" t="array" ref="K159:K159">ROUND(INDEX('0.0.1 Pokémon Dex Data'!$S$3:$S951,MATCH($E159,'0.0.1 Pokémon Dex Data'!$B$3:$B951,0))*INDEX('0.0.1 Pokémon Dex Data'!U$3:U951,MATCH($E159,'0.0.1 Pokémon Dex Data'!$B$3:$B951,0)),0)</f>
        <v>85</v>
      </c>
      <c r="L159" s="260" t="n">
        <f aca="false" t="array" ref="L159:L159">ROUND(INDEX('0.0.1 Pokémon Dex Data'!$S$3:$S951,MATCH($E159,'0.0.1 Pokémon Dex Data'!$B$3:$B951,0))*INDEX('0.0.1 Pokémon Dex Data'!V$3:V951,MATCH($E159,'0.0.1 Pokémon Dex Data'!$B$3:$B951,0)),0)</f>
        <v>85</v>
      </c>
      <c r="M159" s="260" t="n">
        <f aca="false" t="array" ref="M159:M159">INDEX('0.0.1 Pokémon Dex Data'!$J$3:$J951,MATCH(E159,'0.0.1 Pokémon Dex Data'!$B$3:$B951,0))</f>
        <v>0</v>
      </c>
      <c r="O159" s="490"/>
      <c r="Q159" s="367" t="n">
        <f aca="false">IF('Reverse Search'!$F$4="All (including temporary formes)",1,IF('Reverse Search'!$F$4="Base Pokémon and permanent formes only",IF(F159&lt;=1,1,0),IF(F159=0,1,0)))</f>
        <v>1</v>
      </c>
      <c r="R159" s="0" t="n">
        <f aca="false">IF('Reverse Search'!$C$7="Disable",1,IF('Reverse Search'!$D$9="Disable",1,IF(OR('Reverse Search'!$F$9=H159,'Reverse Search'!$F$9=I159),1,0)))</f>
        <v>1</v>
      </c>
      <c r="S159" s="0" t="n">
        <f aca="false">IF('Reverse Search'!$C$7="Disable",1,IF('Reverse Search'!$D$10="Disable",1,IF(OR('Reverse Search'!$F$10=H159,'Reverse Search'!$F$10=I159),1,0)))</f>
        <v>1</v>
      </c>
      <c r="T159" s="0" t="n">
        <f aca="false">INDEX($B$4:$B$22,MATCH(H159,$A$4:$A$22,0))</f>
        <v>1</v>
      </c>
      <c r="U159" s="0" t="e">
        <f aca="false">IF(ISBLANK(I159),1,INDEX($B$4:$B$22,MATCH(I159,$A$4:$A$22,0)))</f>
        <v>#N/A</v>
      </c>
      <c r="V159" s="367" t="n">
        <f aca="false">IF('Reverse Search'!$C$7="Disable",1,IF('Reverse Search'!$D$11="Disable",1,IF('Reverse Search'!$E$11="Neutral to:",IF(ROUND(T159*U159,2)&lt;=1,1,0),IF(ROUND(T159*U159,2)&lt;1,1,0))))</f>
        <v>1</v>
      </c>
      <c r="W159" s="0" t="n">
        <f aca="false">IF('Reverse Search'!$N$7="Disable",1,IF('Reverse Search'!$I$9="Disable",1,IF('Reverse Search'!$K$9="≥",IF(J159&gt;='Reverse Search'!$L$9,1,0),IF('Reverse Search'!$K$9="≤",IF(J159&lt;='Reverse Search'!$L$9,1,0),IF(J159='Reverse Search'!$L$9,1,0)))))</f>
        <v>1</v>
      </c>
      <c r="X159" s="0" t="n">
        <f aca="false">IF('Reverse Search'!$N$7="Disable",1,IF('Reverse Search'!$I$10="Disable",1,IF('Reverse Search'!$K$10="≥",IF(K159&gt;='Reverse Search'!$L$10,1,0),IF('Reverse Search'!$K$10="≤",IF(K159&lt;='Reverse Search'!$L$10,1,0),IF(K159='Reverse Search'!$L$10,1,0)))))</f>
        <v>1</v>
      </c>
      <c r="Y159" s="367" t="n">
        <f aca="false">IF('Reverse Search'!$N$7="Disable",1,IF('Reverse Search'!$I$11="Disable",1,IF('Reverse Search'!$K$11="≥",IF(L159&gt;='Reverse Search'!$L$11,1,0),IF('Reverse Search'!$K$11="≤",IF(L159&lt;='Reverse Search'!$L$11,1,0),IF(L159='Reverse Search'!$L$11,1,0)))))</f>
        <v>1</v>
      </c>
      <c r="Z159" s="0" t="n">
        <f aca="true">IF('Reverse Search'!$C$14="Disable",1,IF('Reverse Search'!$D$16="Disable",1,IF($C$2=3,IF($M159=0,0,COUNTIF(INDIRECT("'0.0.2 Pokémon Learnset (Core)'!$D$"&amp;MATCH($E159,'0.0.2 Pokémon Learnset (Core)'!$A$1:$A951,0)&amp;":$FK$"&amp;MATCH($E159,'0.0.2 Pokémon Learnset (Core)'!$A$1:$A951,0)),'Reverse Search'!$E$21)),IF($C$2=2,COUNTIF(INDIRECT("'0.1.1 Pokémon GO Moves'!$B$"&amp;MATCH($E159,'0.1.1 Pokémon GO Moves'!$A$1:$A951,0)&amp;":$R$"&amp;MATCH($E159,'0.1.1 Pokémon GO Moves'!$A$1:$A951,0)),'Reverse Search'!$E$21),COUNTIF(INDIRECT("'0.1.1 Pokémon GO Moves'!$B$"&amp;MATCH($E159,'0.1.1 Pokémon GO Moves'!$A$1:$A951,0)&amp;":$L$"&amp;MATCH($E159,'0.1.1 Pokémon GO Moves'!$A$1:$A951,0)),'Reverse Search'!$E$21)))))</f>
        <v>1</v>
      </c>
      <c r="AA159" s="0" t="n">
        <f aca="true">IF('Reverse Search'!$C$14="Disable",1,IF('Reverse Search'!$I$16="Disable",1,IF($D$2=3,IF($M159=0,0,COUNTIF(INDIRECT("'0.0.2 Pokémon Learnset (Core)'!$D$"&amp;MATCH($E159,'0.0.2 Pokémon Learnset (Core)'!$A$1:$A951,0)&amp;":$FK$"&amp;MATCH($E159,'0.0.2 Pokémon Learnset (Core)'!$A$1:$A951,0)),'Reverse Search'!$J$21)),IF($D$2=2,COUNTIF(INDIRECT("'0.1.1 Pokémon GO Moves'!$B$"&amp;MATCH($E159,'0.1.1 Pokémon GO Moves'!$A$1:$A951,0)&amp;":$R$"&amp;MATCH($E159,'0.1.1 Pokémon GO Moves'!$A$1:$A951,0)),'Reverse Search'!$J$21),COUNTIF(INDIRECT("'0.1.1 Pokémon GO Moves'!$B$"&amp;MATCH($E159,'0.1.1 Pokémon GO Moves'!$A$1:$A951,0)&amp;":$L$"&amp;MATCH($E159,'0.1.1 Pokémon GO Moves'!$A$1:$A951,0)),'Reverse Search'!$J$21)))))</f>
        <v>0</v>
      </c>
      <c r="AB159" s="490"/>
      <c r="AC159" s="260" t="n">
        <f aca="false">IF((Q159+R159+S159+V159+W159+X159+Y159+IF(Z159&gt;=1,1,0)+IF(AA159&gt;=1,1,0))=9,G159&amp;", ",)</f>
        <v>0</v>
      </c>
    </row>
    <row r="160" customFormat="false" ht="15.75" hidden="false" customHeight="false" outlineLevel="0" collapsed="false">
      <c r="A160" s="260"/>
      <c r="B160" s="358"/>
      <c r="C160" s="260"/>
      <c r="D160" s="358"/>
      <c r="E160" s="260" t="n">
        <v>159</v>
      </c>
      <c r="F160" s="260" t="n">
        <f aca="false" t="array" ref="F160:F160">INDEX('0.0.1 Pokémon Dex Data'!$H$3:$H951,MATCH(E160,'0.0.1 Pokémon Dex Data'!$B$3:$B951,0))</f>
        <v>0</v>
      </c>
      <c r="G160" s="0" t="str">
        <f aca="false" t="array" ref="G160:G160">INDEX('0.0.1 Pokémon Dex Data'!$E$3:$E951,MATCH(E160,'0.0.1 Pokémon Dex Data'!$B$3:$B951,0))</f>
        <v>Gyarados</v>
      </c>
      <c r="H160" s="0" t="str">
        <f aca="false" t="array" ref="H160:H160">INDEX('0.0.1 Pokémon Dex Data'!$Q$3:$Q951,MATCH(E160,'0.0.1 Pokémon Dex Data'!$B$3:$B951,0))</f>
        <v>Water</v>
      </c>
      <c r="I160" s="0" t="str">
        <f aca="false" t="array" ref="I160:I160">INDEX('0.0.1 Pokémon Dex Data'!$R$3:$R951,MATCH(E160,'0.0.1 Pokémon Dex Data'!$B$3:$B951,0))</f>
        <v>Flying</v>
      </c>
      <c r="J160" s="260" t="n">
        <f aca="false" t="array" ref="J160:J160">ROUND(INDEX('0.0.1 Pokémon Dex Data'!$S$3:$S951,MATCH($E160,'0.0.1 Pokémon Dex Data'!$B$3:$B951,0))*INDEX('0.0.1 Pokémon Dex Data'!T$3:T951,MATCH($E160,'0.0.1 Pokémon Dex Data'!$B$3:$B951,0)),0)</f>
        <v>237</v>
      </c>
      <c r="K160" s="260" t="n">
        <f aca="false" t="array" ref="K160:K160">ROUND(INDEX('0.0.1 Pokémon Dex Data'!$S$3:$S951,MATCH($E160,'0.0.1 Pokémon Dex Data'!$B$3:$B951,0))*INDEX('0.0.1 Pokémon Dex Data'!U$3:U951,MATCH($E160,'0.0.1 Pokémon Dex Data'!$B$3:$B951,0)),0)</f>
        <v>186</v>
      </c>
      <c r="L160" s="260" t="n">
        <f aca="false" t="array" ref="L160:L160">ROUND(INDEX('0.0.1 Pokémon Dex Data'!$S$3:$S951,MATCH($E160,'0.0.1 Pokémon Dex Data'!$B$3:$B951,0))*INDEX('0.0.1 Pokémon Dex Data'!V$3:V951,MATCH($E160,'0.0.1 Pokémon Dex Data'!$B$3:$B951,0)),0)</f>
        <v>216</v>
      </c>
      <c r="M160" s="260" t="n">
        <f aca="false" t="array" ref="M160:M160">INDEX('0.0.1 Pokémon Dex Data'!$J$3:$J951,MATCH(E160,'0.0.1 Pokémon Dex Data'!$B$3:$B951,0))</f>
        <v>1</v>
      </c>
      <c r="O160" s="490"/>
      <c r="Q160" s="367" t="n">
        <f aca="false">IF('Reverse Search'!$F$4="All (including temporary formes)",1,IF('Reverse Search'!$F$4="Base Pokémon and permanent formes only",IF(F160&lt;=1,1,0),IF(F160=0,1,0)))</f>
        <v>1</v>
      </c>
      <c r="R160" s="0" t="n">
        <f aca="false">IF('Reverse Search'!$C$7="Disable",1,IF('Reverse Search'!$D$9="Disable",1,IF(OR('Reverse Search'!$F$9=H160,'Reverse Search'!$F$9=I160),1,0)))</f>
        <v>1</v>
      </c>
      <c r="S160" s="0" t="n">
        <f aca="false">IF('Reverse Search'!$C$7="Disable",1,IF('Reverse Search'!$D$10="Disable",1,IF(OR('Reverse Search'!$F$10=H160,'Reverse Search'!$F$10=I160),1,0)))</f>
        <v>1</v>
      </c>
      <c r="T160" s="0" t="n">
        <f aca="false">INDEX($B$4:$B$22,MATCH(H160,$A$4:$A$22,0))</f>
        <v>1</v>
      </c>
      <c r="U160" s="0" t="n">
        <f aca="false">IF(ISBLANK(I160),1,INDEX($B$4:$B$22,MATCH(I160,$A$4:$A$22,0)))</f>
        <v>1</v>
      </c>
      <c r="V160" s="367" t="n">
        <f aca="false">IF('Reverse Search'!$C$7="Disable",1,IF('Reverse Search'!$D$11="Disable",1,IF('Reverse Search'!$E$11="Neutral to:",IF(ROUND(T160*U160,2)&lt;=1,1,0),IF(ROUND(T160*U160,2)&lt;1,1,0))))</f>
        <v>1</v>
      </c>
      <c r="W160" s="0" t="n">
        <f aca="false">IF('Reverse Search'!$N$7="Disable",1,IF('Reverse Search'!$I$9="Disable",1,IF('Reverse Search'!$K$9="≥",IF(J160&gt;='Reverse Search'!$L$9,1,0),IF('Reverse Search'!$K$9="≤",IF(J160&lt;='Reverse Search'!$L$9,1,0),IF(J160='Reverse Search'!$L$9,1,0)))))</f>
        <v>1</v>
      </c>
      <c r="X160" s="0" t="n">
        <f aca="false">IF('Reverse Search'!$N$7="Disable",1,IF('Reverse Search'!$I$10="Disable",1,IF('Reverse Search'!$K$10="≥",IF(K160&gt;='Reverse Search'!$L$10,1,0),IF('Reverse Search'!$K$10="≤",IF(K160&lt;='Reverse Search'!$L$10,1,0),IF(K160='Reverse Search'!$L$10,1,0)))))</f>
        <v>1</v>
      </c>
      <c r="Y160" s="367" t="n">
        <f aca="false">IF('Reverse Search'!$N$7="Disable",1,IF('Reverse Search'!$I$11="Disable",1,IF('Reverse Search'!$K$11="≥",IF(L160&gt;='Reverse Search'!$L$11,1,0),IF('Reverse Search'!$K$11="≤",IF(L160&lt;='Reverse Search'!$L$11,1,0),IF(L160='Reverse Search'!$L$11,1,0)))))</f>
        <v>1</v>
      </c>
      <c r="Z160" s="0" t="n">
        <f aca="true">IF('Reverse Search'!$C$14="Disable",1,IF('Reverse Search'!$D$16="Disable",1,IF($C$2=3,IF($M160=0,0,COUNTIF(INDIRECT("'0.0.2 Pokémon Learnset (Core)'!$D$"&amp;MATCH($E160,'0.0.2 Pokémon Learnset (Core)'!$A$1:$A951,0)&amp;":$FK$"&amp;MATCH($E160,'0.0.2 Pokémon Learnset (Core)'!$A$1:$A951,0)),'Reverse Search'!$E$21)),IF($C$2=2,COUNTIF(INDIRECT("'0.1.1 Pokémon GO Moves'!$B$"&amp;MATCH($E160,'0.1.1 Pokémon GO Moves'!$A$1:$A951,0)&amp;":$R$"&amp;MATCH($E160,'0.1.1 Pokémon GO Moves'!$A$1:$A951,0)),'Reverse Search'!$E$21),COUNTIF(INDIRECT("'0.1.1 Pokémon GO Moves'!$B$"&amp;MATCH($E160,'0.1.1 Pokémon GO Moves'!$A$1:$A951,0)&amp;":$L$"&amp;MATCH($E160,'0.1.1 Pokémon GO Moves'!$A$1:$A951,0)),'Reverse Search'!$E$21)))))</f>
        <v>1</v>
      </c>
      <c r="AA160" s="0" t="n">
        <f aca="true">IF('Reverse Search'!$C$14="Disable",1,IF('Reverse Search'!$I$16="Disable",1,IF($D$2=3,IF($M160=0,0,COUNTIF(INDIRECT("'0.0.2 Pokémon Learnset (Core)'!$D$"&amp;MATCH($E160,'0.0.2 Pokémon Learnset (Core)'!$A$1:$A951,0)&amp;":$FK$"&amp;MATCH($E160,'0.0.2 Pokémon Learnset (Core)'!$A$1:$A951,0)),'Reverse Search'!$J$21)),IF($D$2=2,COUNTIF(INDIRECT("'0.1.1 Pokémon GO Moves'!$B$"&amp;MATCH($E160,'0.1.1 Pokémon GO Moves'!$A$1:$A951,0)&amp;":$R$"&amp;MATCH($E160,'0.1.1 Pokémon GO Moves'!$A$1:$A951,0)),'Reverse Search'!$J$21),COUNTIF(INDIRECT("'0.1.1 Pokémon GO Moves'!$B$"&amp;MATCH($E160,'0.1.1 Pokémon GO Moves'!$A$1:$A951,0)&amp;":$L$"&amp;MATCH($E160,'0.1.1 Pokémon GO Moves'!$A$1:$A951,0)),'Reverse Search'!$J$21)))))</f>
        <v>0</v>
      </c>
      <c r="AB160" s="490"/>
      <c r="AC160" s="260" t="n">
        <f aca="false">IF((Q160+R160+S160+V160+W160+X160+Y160+IF(Z160&gt;=1,1,0)+IF(AA160&gt;=1,1,0))=9,G160&amp;", ",)</f>
        <v>0</v>
      </c>
    </row>
    <row r="161" customFormat="false" ht="15.75" hidden="false" customHeight="false" outlineLevel="0" collapsed="false">
      <c r="A161" s="260"/>
      <c r="B161" s="358"/>
      <c r="C161" s="260"/>
      <c r="D161" s="358"/>
      <c r="E161" s="260" t="n">
        <v>160</v>
      </c>
      <c r="F161" s="260" t="n">
        <f aca="false" t="array" ref="F161:F161">INDEX('0.0.1 Pokémon Dex Data'!$H$3:$H951,MATCH(E161,'0.0.1 Pokémon Dex Data'!$B$3:$B951,0))</f>
        <v>2</v>
      </c>
      <c r="G161" s="0" t="str">
        <f aca="false" t="array" ref="G161:G161">INDEX('0.0.1 Pokémon Dex Data'!$E$3:$E951,MATCH(E161,'0.0.1 Pokémon Dex Data'!$B$3:$B951,0))</f>
        <v>Gyarados-Mega</v>
      </c>
      <c r="H161" s="0" t="str">
        <f aca="false" t="array" ref="H161:H161">INDEX('0.0.1 Pokémon Dex Data'!$Q$3:$Q951,MATCH(E161,'0.0.1 Pokémon Dex Data'!$B$3:$B951,0))</f>
        <v>Water</v>
      </c>
      <c r="I161" s="0" t="str">
        <f aca="false" t="array" ref="I161:I161">INDEX('0.0.1 Pokémon Dex Data'!$R$3:$R951,MATCH(E161,'0.0.1 Pokémon Dex Data'!$B$3:$B951,0))</f>
        <v>Dark</v>
      </c>
      <c r="J161" s="260" t="n">
        <f aca="false" t="array" ref="J161:J161">ROUND(INDEX('0.0.1 Pokémon Dex Data'!$S$3:$S951,MATCH($E161,'0.0.1 Pokémon Dex Data'!$B$3:$B951,0))*INDEX('0.0.1 Pokémon Dex Data'!T$3:T951,MATCH($E161,'0.0.1 Pokémon Dex Data'!$B$3:$B951,0)),0)</f>
        <v>292</v>
      </c>
      <c r="K161" s="260" t="n">
        <f aca="false" t="array" ref="K161:K161">ROUND(INDEX('0.0.1 Pokémon Dex Data'!$S$3:$S951,MATCH($E161,'0.0.1 Pokémon Dex Data'!$B$3:$B951,0))*INDEX('0.0.1 Pokémon Dex Data'!U$3:U951,MATCH($E161,'0.0.1 Pokémon Dex Data'!$B$3:$B951,0)),0)</f>
        <v>247</v>
      </c>
      <c r="L161" s="260" t="n">
        <f aca="false" t="array" ref="L161:L161">ROUND(INDEX('0.0.1 Pokémon Dex Data'!$S$3:$S951,MATCH($E161,'0.0.1 Pokémon Dex Data'!$B$3:$B951,0))*INDEX('0.0.1 Pokémon Dex Data'!V$3:V951,MATCH($E161,'0.0.1 Pokémon Dex Data'!$B$3:$B951,0)),0)</f>
        <v>216</v>
      </c>
      <c r="M161" s="260" t="n">
        <f aca="false" t="array" ref="M161:M161">INDEX('0.0.1 Pokémon Dex Data'!$J$3:$J951,MATCH(E161,'0.0.1 Pokémon Dex Data'!$B$3:$B951,0))</f>
        <v>1</v>
      </c>
      <c r="O161" s="490"/>
      <c r="Q161" s="367" t="n">
        <f aca="false">IF('Reverse Search'!$F$4="All (including temporary formes)",1,IF('Reverse Search'!$F$4="Base Pokémon and permanent formes only",IF(F161&lt;=1,1,0),IF(F161=0,1,0)))</f>
        <v>0</v>
      </c>
      <c r="R161" s="0" t="n">
        <f aca="false">IF('Reverse Search'!$C$7="Disable",1,IF('Reverse Search'!$D$9="Disable",1,IF(OR('Reverse Search'!$F$9=H161,'Reverse Search'!$F$9=I161),1,0)))</f>
        <v>1</v>
      </c>
      <c r="S161" s="0" t="n">
        <f aca="false">IF('Reverse Search'!$C$7="Disable",1,IF('Reverse Search'!$D$10="Disable",1,IF(OR('Reverse Search'!$F$10=H161,'Reverse Search'!$F$10=I161),1,0)))</f>
        <v>1</v>
      </c>
      <c r="T161" s="0" t="n">
        <f aca="false">INDEX($B$4:$B$22,MATCH(H161,$A$4:$A$22,0))</f>
        <v>1</v>
      </c>
      <c r="U161" s="0" t="n">
        <f aca="false">IF(ISBLANK(I161),1,INDEX($B$4:$B$22,MATCH(I161,$A$4:$A$22,0)))</f>
        <v>1</v>
      </c>
      <c r="V161" s="367" t="n">
        <f aca="false">IF('Reverse Search'!$C$7="Disable",1,IF('Reverse Search'!$D$11="Disable",1,IF('Reverse Search'!$E$11="Neutral to:",IF(ROUND(T161*U161,2)&lt;=1,1,0),IF(ROUND(T161*U161,2)&lt;1,1,0))))</f>
        <v>1</v>
      </c>
      <c r="W161" s="0" t="n">
        <f aca="false">IF('Reverse Search'!$N$7="Disable",1,IF('Reverse Search'!$I$9="Disable",1,IF('Reverse Search'!$K$9="≥",IF(J161&gt;='Reverse Search'!$L$9,1,0),IF('Reverse Search'!$K$9="≤",IF(J161&lt;='Reverse Search'!$L$9,1,0),IF(J161='Reverse Search'!$L$9,1,0)))))</f>
        <v>1</v>
      </c>
      <c r="X161" s="0" t="n">
        <f aca="false">IF('Reverse Search'!$N$7="Disable",1,IF('Reverse Search'!$I$10="Disable",1,IF('Reverse Search'!$K$10="≥",IF(K161&gt;='Reverse Search'!$L$10,1,0),IF('Reverse Search'!$K$10="≤",IF(K161&lt;='Reverse Search'!$L$10,1,0),IF(K161='Reverse Search'!$L$10,1,0)))))</f>
        <v>1</v>
      </c>
      <c r="Y161" s="367" t="n">
        <f aca="false">IF('Reverse Search'!$N$7="Disable",1,IF('Reverse Search'!$I$11="Disable",1,IF('Reverse Search'!$K$11="≥",IF(L161&gt;='Reverse Search'!$L$11,1,0),IF('Reverse Search'!$K$11="≤",IF(L161&lt;='Reverse Search'!$L$11,1,0),IF(L161='Reverse Search'!$L$11,1,0)))))</f>
        <v>1</v>
      </c>
      <c r="Z161" s="0" t="n">
        <f aca="true">IF('Reverse Search'!$C$14="Disable",1,IF('Reverse Search'!$D$16="Disable",1,IF($C$2=3,IF($M161=0,0,COUNTIF(INDIRECT("'0.0.2 Pokémon Learnset (Core)'!$D$"&amp;MATCH($E161,'0.0.2 Pokémon Learnset (Core)'!$A$1:$A951,0)&amp;":$FK$"&amp;MATCH($E161,'0.0.2 Pokémon Learnset (Core)'!$A$1:$A951,0)),'Reverse Search'!$E$21)),IF($C$2=2,COUNTIF(INDIRECT("'0.1.1 Pokémon GO Moves'!$B$"&amp;MATCH($E161,'0.1.1 Pokémon GO Moves'!$A$1:$A951,0)&amp;":$R$"&amp;MATCH($E161,'0.1.1 Pokémon GO Moves'!$A$1:$A951,0)),'Reverse Search'!$E$21),COUNTIF(INDIRECT("'0.1.1 Pokémon GO Moves'!$B$"&amp;MATCH($E161,'0.1.1 Pokémon GO Moves'!$A$1:$A951,0)&amp;":$L$"&amp;MATCH($E161,'0.1.1 Pokémon GO Moves'!$A$1:$A951,0)),'Reverse Search'!$E$21)))))</f>
        <v>1</v>
      </c>
      <c r="AA161" s="0" t="e">
        <f aca="true">IF('Reverse Search'!$C$14="Disable",1,IF('Reverse Search'!$I$16="Disable",1,IF($D$2=3,IF($M161=0,0,COUNTIF(INDIRECT("'0.0.2 Pokémon Learnset (Core)'!$D$"&amp;MATCH($E161,'0.0.2 Pokémon Learnset (Core)'!$A$1:$A951,0)&amp;":$FK$"&amp;MATCH($E161,'0.0.2 Pokémon Learnset (Core)'!$A$1:$A951,0)),'Reverse Search'!$J$21)),IF($D$2=2,COUNTIF(INDIRECT("'0.1.1 Pokémon GO Moves'!$B$"&amp;MATCH($E161,'0.1.1 Pokémon GO Moves'!$A$1:$A951,0)&amp;":$R$"&amp;MATCH($E161,'0.1.1 Pokémon GO Moves'!$A$1:$A951,0)),'Reverse Search'!$J$21),COUNTIF(INDIRECT("'0.1.1 Pokémon GO Moves'!$B$"&amp;MATCH($E161,'0.1.1 Pokémon GO Moves'!$A$1:$A951,0)&amp;":$L$"&amp;MATCH($E161,'0.1.1 Pokémon GO Moves'!$A$1:$A951,0)),'Reverse Search'!$J$21)))))</f>
        <v>#N/A</v>
      </c>
      <c r="AB161" s="490"/>
      <c r="AC161" s="260" t="e">
        <f aca="false">IF((Q161+R161+S161+V161+W161+X161+Y161+IF(Z161&gt;=1,1,0)+IF(AA161&gt;=1,1,0))=9,G161&amp;", ",)</f>
        <v>#N/A</v>
      </c>
    </row>
    <row r="162" customFormat="false" ht="15.75" hidden="false" customHeight="false" outlineLevel="0" collapsed="false">
      <c r="A162" s="260"/>
      <c r="B162" s="358"/>
      <c r="C162" s="260"/>
      <c r="D162" s="358"/>
      <c r="E162" s="260" t="n">
        <v>161</v>
      </c>
      <c r="F162" s="260" t="n">
        <f aca="false" t="array" ref="F162:F162">INDEX('0.0.1 Pokémon Dex Data'!$H$3:$H951,MATCH(E162,'0.0.1 Pokémon Dex Data'!$B$3:$B951,0))</f>
        <v>0</v>
      </c>
      <c r="G162" s="0" t="str">
        <f aca="false" t="array" ref="G162:G162">INDEX('0.0.1 Pokémon Dex Data'!$E$3:$E951,MATCH(E162,'0.0.1 Pokémon Dex Data'!$B$3:$B951,0))</f>
        <v>Lapras</v>
      </c>
      <c r="H162" s="0" t="str">
        <f aca="false" t="array" ref="H162:H162">INDEX('0.0.1 Pokémon Dex Data'!$Q$3:$Q951,MATCH(E162,'0.0.1 Pokémon Dex Data'!$B$3:$B951,0))</f>
        <v>Water</v>
      </c>
      <c r="I162" s="0" t="str">
        <f aca="false" t="array" ref="I162:I162">INDEX('0.0.1 Pokémon Dex Data'!$R$3:$R951,MATCH(E162,'0.0.1 Pokémon Dex Data'!$B$3:$B951,0))</f>
        <v>Ice</v>
      </c>
      <c r="J162" s="260" t="n">
        <f aca="false" t="array" ref="J162:J162">ROUND(INDEX('0.0.1 Pokémon Dex Data'!$S$3:$S951,MATCH($E162,'0.0.1 Pokémon Dex Data'!$B$3:$B951,0))*INDEX('0.0.1 Pokémon Dex Data'!T$3:T951,MATCH($E162,'0.0.1 Pokémon Dex Data'!$B$3:$B951,0)),0)</f>
        <v>165</v>
      </c>
      <c r="K162" s="260" t="n">
        <f aca="false" t="array" ref="K162:K162">ROUND(INDEX('0.0.1 Pokémon Dex Data'!$S$3:$S951,MATCH($E162,'0.0.1 Pokémon Dex Data'!$B$3:$B951,0))*INDEX('0.0.1 Pokémon Dex Data'!U$3:U951,MATCH($E162,'0.0.1 Pokémon Dex Data'!$B$3:$B951,0)),0)</f>
        <v>174</v>
      </c>
      <c r="L162" s="260" t="n">
        <f aca="false" t="array" ref="L162:L162">ROUND(INDEX('0.0.1 Pokémon Dex Data'!$S$3:$S951,MATCH($E162,'0.0.1 Pokémon Dex Data'!$B$3:$B951,0))*INDEX('0.0.1 Pokémon Dex Data'!V$3:V951,MATCH($E162,'0.0.1 Pokémon Dex Data'!$B$3:$B951,0)),0)</f>
        <v>277</v>
      </c>
      <c r="M162" s="260" t="n">
        <f aca="false" t="array" ref="M162:M162">INDEX('0.0.1 Pokémon Dex Data'!$J$3:$J951,MATCH(E162,'0.0.1 Pokémon Dex Data'!$B$3:$B951,0))</f>
        <v>1</v>
      </c>
      <c r="O162" s="490"/>
      <c r="Q162" s="367" t="n">
        <f aca="false">IF('Reverse Search'!$F$4="All (including temporary formes)",1,IF('Reverse Search'!$F$4="Base Pokémon and permanent formes only",IF(F162&lt;=1,1,0),IF(F162=0,1,0)))</f>
        <v>1</v>
      </c>
      <c r="R162" s="0" t="n">
        <f aca="false">IF('Reverse Search'!$C$7="Disable",1,IF('Reverse Search'!$D$9="Disable",1,IF(OR('Reverse Search'!$F$9=H162,'Reverse Search'!$F$9=I162),1,0)))</f>
        <v>1</v>
      </c>
      <c r="S162" s="0" t="n">
        <f aca="false">IF('Reverse Search'!$C$7="Disable",1,IF('Reverse Search'!$D$10="Disable",1,IF(OR('Reverse Search'!$F$10=H162,'Reverse Search'!$F$10=I162),1,0)))</f>
        <v>1</v>
      </c>
      <c r="T162" s="0" t="n">
        <f aca="false">INDEX($B$4:$B$22,MATCH(H162,$A$4:$A$22,0))</f>
        <v>1</v>
      </c>
      <c r="U162" s="0" t="n">
        <f aca="false">IF(ISBLANK(I162),1,INDEX($B$4:$B$22,MATCH(I162,$A$4:$A$22,0)))</f>
        <v>1</v>
      </c>
      <c r="V162" s="367" t="n">
        <f aca="false">IF('Reverse Search'!$C$7="Disable",1,IF('Reverse Search'!$D$11="Disable",1,IF('Reverse Search'!$E$11="Neutral to:",IF(ROUND(T162*U162,2)&lt;=1,1,0),IF(ROUND(T162*U162,2)&lt;1,1,0))))</f>
        <v>1</v>
      </c>
      <c r="W162" s="0" t="n">
        <f aca="false">IF('Reverse Search'!$N$7="Disable",1,IF('Reverse Search'!$I$9="Disable",1,IF('Reverse Search'!$K$9="≥",IF(J162&gt;='Reverse Search'!$L$9,1,0),IF('Reverse Search'!$K$9="≤",IF(J162&lt;='Reverse Search'!$L$9,1,0),IF(J162='Reverse Search'!$L$9,1,0)))))</f>
        <v>1</v>
      </c>
      <c r="X162" s="0" t="n">
        <f aca="false">IF('Reverse Search'!$N$7="Disable",1,IF('Reverse Search'!$I$10="Disable",1,IF('Reverse Search'!$K$10="≥",IF(K162&gt;='Reverse Search'!$L$10,1,0),IF('Reverse Search'!$K$10="≤",IF(K162&lt;='Reverse Search'!$L$10,1,0),IF(K162='Reverse Search'!$L$10,1,0)))))</f>
        <v>1</v>
      </c>
      <c r="Y162" s="367" t="n">
        <f aca="false">IF('Reverse Search'!$N$7="Disable",1,IF('Reverse Search'!$I$11="Disable",1,IF('Reverse Search'!$K$11="≥",IF(L162&gt;='Reverse Search'!$L$11,1,0),IF('Reverse Search'!$K$11="≤",IF(L162&lt;='Reverse Search'!$L$11,1,0),IF(L162='Reverse Search'!$L$11,1,0)))))</f>
        <v>1</v>
      </c>
      <c r="Z162" s="0" t="n">
        <f aca="true">IF('Reverse Search'!$C$14="Disable",1,IF('Reverse Search'!$D$16="Disable",1,IF($C$2=3,IF($M162=0,0,COUNTIF(INDIRECT("'0.0.2 Pokémon Learnset (Core)'!$D$"&amp;MATCH($E162,'0.0.2 Pokémon Learnset (Core)'!$A$1:$A951,0)&amp;":$FK$"&amp;MATCH($E162,'0.0.2 Pokémon Learnset (Core)'!$A$1:$A951,0)),'Reverse Search'!$E$21)),IF($C$2=2,COUNTIF(INDIRECT("'0.1.1 Pokémon GO Moves'!$B$"&amp;MATCH($E162,'0.1.1 Pokémon GO Moves'!$A$1:$A951,0)&amp;":$R$"&amp;MATCH($E162,'0.1.1 Pokémon GO Moves'!$A$1:$A951,0)),'Reverse Search'!$E$21),COUNTIF(INDIRECT("'0.1.1 Pokémon GO Moves'!$B$"&amp;MATCH($E162,'0.1.1 Pokémon GO Moves'!$A$1:$A951,0)&amp;":$L$"&amp;MATCH($E162,'0.1.1 Pokémon GO Moves'!$A$1:$A951,0)),'Reverse Search'!$E$21)))))</f>
        <v>1</v>
      </c>
      <c r="AA162" s="0" t="n">
        <f aca="true">IF('Reverse Search'!$C$14="Disable",1,IF('Reverse Search'!$I$16="Disable",1,IF($D$2=3,IF($M162=0,0,COUNTIF(INDIRECT("'0.0.2 Pokémon Learnset (Core)'!$D$"&amp;MATCH($E162,'0.0.2 Pokémon Learnset (Core)'!$A$1:$A951,0)&amp;":$FK$"&amp;MATCH($E162,'0.0.2 Pokémon Learnset (Core)'!$A$1:$A951,0)),'Reverse Search'!$J$21)),IF($D$2=2,COUNTIF(INDIRECT("'0.1.1 Pokémon GO Moves'!$B$"&amp;MATCH($E162,'0.1.1 Pokémon GO Moves'!$A$1:$A951,0)&amp;":$R$"&amp;MATCH($E162,'0.1.1 Pokémon GO Moves'!$A$1:$A951,0)),'Reverse Search'!$J$21),COUNTIF(INDIRECT("'0.1.1 Pokémon GO Moves'!$B$"&amp;MATCH($E162,'0.1.1 Pokémon GO Moves'!$A$1:$A951,0)&amp;":$L$"&amp;MATCH($E162,'0.1.1 Pokémon GO Moves'!$A$1:$A951,0)),'Reverse Search'!$J$21)))))</f>
        <v>0</v>
      </c>
      <c r="AB162" s="490"/>
      <c r="AC162" s="260" t="n">
        <f aca="false">IF((Q162+R162+S162+V162+W162+X162+Y162+IF(Z162&gt;=1,1,0)+IF(AA162&gt;=1,1,0))=9,G162&amp;", ",)</f>
        <v>0</v>
      </c>
    </row>
    <row r="163" customFormat="false" ht="15.75" hidden="false" customHeight="false" outlineLevel="0" collapsed="false">
      <c r="A163" s="260"/>
      <c r="B163" s="358"/>
      <c r="C163" s="260"/>
      <c r="D163" s="358"/>
      <c r="E163" s="260" t="n">
        <v>162</v>
      </c>
      <c r="F163" s="260" t="n">
        <f aca="false" t="array" ref="F163:F163">INDEX('0.0.1 Pokémon Dex Data'!$H$3:$H951,MATCH(E163,'0.0.1 Pokémon Dex Data'!$B$3:$B951,0))</f>
        <v>0</v>
      </c>
      <c r="G163" s="0" t="str">
        <f aca="false" t="array" ref="G163:G163">INDEX('0.0.1 Pokémon Dex Data'!$E$3:$E951,MATCH(E163,'0.0.1 Pokémon Dex Data'!$B$3:$B951,0))</f>
        <v>Ditto</v>
      </c>
      <c r="H163" s="0" t="str">
        <f aca="false" t="array" ref="H163:H163">INDEX('0.0.1 Pokémon Dex Data'!$Q$3:$Q951,MATCH(E163,'0.0.1 Pokémon Dex Data'!$B$3:$B951,0))</f>
        <v>Normal</v>
      </c>
      <c r="I163" s="0" t="n">
        <f aca="false">INDEX('0.0.1 Pokémon Dex Data'!$R$3:$R951,MATCH(E163,'0.0.1 Pokémon Dex Data'!$B$3:$B951,0))</f>
        <v>0</v>
      </c>
      <c r="J163" s="260" t="n">
        <f aca="false" t="array" ref="J163:J163">ROUND(INDEX('0.0.1 Pokémon Dex Data'!$S$3:$S951,MATCH($E163,'0.0.1 Pokémon Dex Data'!$B$3:$B951,0))*INDEX('0.0.1 Pokémon Dex Data'!T$3:T951,MATCH($E163,'0.0.1 Pokémon Dex Data'!$B$3:$B951,0)),0)</f>
        <v>91</v>
      </c>
      <c r="K163" s="260" t="n">
        <f aca="false" t="array" ref="K163:K163">ROUND(INDEX('0.0.1 Pokémon Dex Data'!$S$3:$S951,MATCH($E163,'0.0.1 Pokémon Dex Data'!$B$3:$B951,0))*INDEX('0.0.1 Pokémon Dex Data'!U$3:U951,MATCH($E163,'0.0.1 Pokémon Dex Data'!$B$3:$B951,0)),0)</f>
        <v>91</v>
      </c>
      <c r="L163" s="260" t="n">
        <f aca="false" t="array" ref="L163:L163">ROUND(INDEX('0.0.1 Pokémon Dex Data'!$S$3:$S951,MATCH($E163,'0.0.1 Pokémon Dex Data'!$B$3:$B951,0))*INDEX('0.0.1 Pokémon Dex Data'!V$3:V951,MATCH($E163,'0.0.1 Pokémon Dex Data'!$B$3:$B951,0)),0)</f>
        <v>134</v>
      </c>
      <c r="M163" s="260" t="n">
        <f aca="false" t="array" ref="M163:M163">INDEX('0.0.1 Pokémon Dex Data'!$J$3:$J951,MATCH(E163,'0.0.1 Pokémon Dex Data'!$B$3:$B951,0))</f>
        <v>1</v>
      </c>
      <c r="O163" s="490"/>
      <c r="Q163" s="367" t="n">
        <f aca="false">IF('Reverse Search'!$F$4="All (including temporary formes)",1,IF('Reverse Search'!$F$4="Base Pokémon and permanent formes only",IF(F163&lt;=1,1,0),IF(F163=0,1,0)))</f>
        <v>1</v>
      </c>
      <c r="R163" s="0" t="n">
        <f aca="false">IF('Reverse Search'!$C$7="Disable",1,IF('Reverse Search'!$D$9="Disable",1,IF(OR('Reverse Search'!$F$9=H163,'Reverse Search'!$F$9=I163),1,0)))</f>
        <v>1</v>
      </c>
      <c r="S163" s="0" t="n">
        <f aca="false">IF('Reverse Search'!$C$7="Disable",1,IF('Reverse Search'!$D$10="Disable",1,IF(OR('Reverse Search'!$F$10=H163,'Reverse Search'!$F$10=I163),1,0)))</f>
        <v>1</v>
      </c>
      <c r="T163" s="0" t="n">
        <f aca="false">INDEX($B$4:$B$22,MATCH(H163,$A$4:$A$22,0))</f>
        <v>1</v>
      </c>
      <c r="U163" s="0" t="e">
        <f aca="false">IF(ISBLANK(I163),1,INDEX($B$4:$B$22,MATCH(I163,$A$4:$A$22,0)))</f>
        <v>#N/A</v>
      </c>
      <c r="V163" s="367" t="n">
        <f aca="false">IF('Reverse Search'!$C$7="Disable",1,IF('Reverse Search'!$D$11="Disable",1,IF('Reverse Search'!$E$11="Neutral to:",IF(ROUND(T163*U163,2)&lt;=1,1,0),IF(ROUND(T163*U163,2)&lt;1,1,0))))</f>
        <v>1</v>
      </c>
      <c r="W163" s="0" t="n">
        <f aca="false">IF('Reverse Search'!$N$7="Disable",1,IF('Reverse Search'!$I$9="Disable",1,IF('Reverse Search'!$K$9="≥",IF(J163&gt;='Reverse Search'!$L$9,1,0),IF('Reverse Search'!$K$9="≤",IF(J163&lt;='Reverse Search'!$L$9,1,0),IF(J163='Reverse Search'!$L$9,1,0)))))</f>
        <v>1</v>
      </c>
      <c r="X163" s="0" t="n">
        <f aca="false">IF('Reverse Search'!$N$7="Disable",1,IF('Reverse Search'!$I$10="Disable",1,IF('Reverse Search'!$K$10="≥",IF(K163&gt;='Reverse Search'!$L$10,1,0),IF('Reverse Search'!$K$10="≤",IF(K163&lt;='Reverse Search'!$L$10,1,0),IF(K163='Reverse Search'!$L$10,1,0)))))</f>
        <v>1</v>
      </c>
      <c r="Y163" s="367" t="n">
        <f aca="false">IF('Reverse Search'!$N$7="Disable",1,IF('Reverse Search'!$I$11="Disable",1,IF('Reverse Search'!$K$11="≥",IF(L163&gt;='Reverse Search'!$L$11,1,0),IF('Reverse Search'!$K$11="≤",IF(L163&lt;='Reverse Search'!$L$11,1,0),IF(L163='Reverse Search'!$L$11,1,0)))))</f>
        <v>1</v>
      </c>
      <c r="Z163" s="0" t="n">
        <f aca="true">IF('Reverse Search'!$C$14="Disable",1,IF('Reverse Search'!$D$16="Disable",1,IF($C$2=3,IF($M163=0,0,COUNTIF(INDIRECT("'0.0.2 Pokémon Learnset (Core)'!$D$"&amp;MATCH($E163,'0.0.2 Pokémon Learnset (Core)'!$A$1:$A951,0)&amp;":$FK$"&amp;MATCH($E163,'0.0.2 Pokémon Learnset (Core)'!$A$1:$A951,0)),'Reverse Search'!$E$21)),IF($C$2=2,COUNTIF(INDIRECT("'0.1.1 Pokémon GO Moves'!$B$"&amp;MATCH($E163,'0.1.1 Pokémon GO Moves'!$A$1:$A951,0)&amp;":$R$"&amp;MATCH($E163,'0.1.1 Pokémon GO Moves'!$A$1:$A951,0)),'Reverse Search'!$E$21),COUNTIF(INDIRECT("'0.1.1 Pokémon GO Moves'!$B$"&amp;MATCH($E163,'0.1.1 Pokémon GO Moves'!$A$1:$A951,0)&amp;":$L$"&amp;MATCH($E163,'0.1.1 Pokémon GO Moves'!$A$1:$A951,0)),'Reverse Search'!$E$21)))))</f>
        <v>1</v>
      </c>
      <c r="AA163" s="0" t="n">
        <f aca="true">IF('Reverse Search'!$C$14="Disable",1,IF('Reverse Search'!$I$16="Disable",1,IF($D$2=3,IF($M163=0,0,COUNTIF(INDIRECT("'0.0.2 Pokémon Learnset (Core)'!$D$"&amp;MATCH($E163,'0.0.2 Pokémon Learnset (Core)'!$A$1:$A951,0)&amp;":$FK$"&amp;MATCH($E163,'0.0.2 Pokémon Learnset (Core)'!$A$1:$A951,0)),'Reverse Search'!$J$21)),IF($D$2=2,COUNTIF(INDIRECT("'0.1.1 Pokémon GO Moves'!$B$"&amp;MATCH($E163,'0.1.1 Pokémon GO Moves'!$A$1:$A951,0)&amp;":$R$"&amp;MATCH($E163,'0.1.1 Pokémon GO Moves'!$A$1:$A951,0)),'Reverse Search'!$J$21),COUNTIF(INDIRECT("'0.1.1 Pokémon GO Moves'!$B$"&amp;MATCH($E163,'0.1.1 Pokémon GO Moves'!$A$1:$A951,0)&amp;":$L$"&amp;MATCH($E163,'0.1.1 Pokémon GO Moves'!$A$1:$A951,0)),'Reverse Search'!$J$21)))))</f>
        <v>0</v>
      </c>
      <c r="AB163" s="490"/>
      <c r="AC163" s="260" t="n">
        <f aca="false">IF((Q163+R163+S163+V163+W163+X163+Y163+IF(Z163&gt;=1,1,0)+IF(AA163&gt;=1,1,0))=9,G163&amp;", ",)</f>
        <v>0</v>
      </c>
    </row>
    <row r="164" customFormat="false" ht="15.75" hidden="false" customHeight="false" outlineLevel="0" collapsed="false">
      <c r="A164" s="260"/>
      <c r="B164" s="358"/>
      <c r="C164" s="260"/>
      <c r="D164" s="358"/>
      <c r="E164" s="260" t="n">
        <v>163</v>
      </c>
      <c r="F164" s="260" t="n">
        <f aca="false" t="array" ref="F164:F164">INDEX('0.0.1 Pokémon Dex Data'!$H$3:$H951,MATCH(E164,'0.0.1 Pokémon Dex Data'!$B$3:$B951,0))</f>
        <v>0</v>
      </c>
      <c r="G164" s="0" t="str">
        <f aca="false" t="array" ref="G164:G164">INDEX('0.0.1 Pokémon Dex Data'!$E$3:$E951,MATCH(E164,'0.0.1 Pokémon Dex Data'!$B$3:$B951,0))</f>
        <v>Eevee</v>
      </c>
      <c r="H164" s="0" t="str">
        <f aca="false" t="array" ref="H164:H164">INDEX('0.0.1 Pokémon Dex Data'!$Q$3:$Q951,MATCH(E164,'0.0.1 Pokémon Dex Data'!$B$3:$B951,0))</f>
        <v>Normal</v>
      </c>
      <c r="I164" s="0" t="n">
        <f aca="false">INDEX('0.0.1 Pokémon Dex Data'!$R$3:$R951,MATCH(E164,'0.0.1 Pokémon Dex Data'!$B$3:$B951,0))</f>
        <v>0</v>
      </c>
      <c r="J164" s="260" t="n">
        <f aca="false" t="array" ref="J164:J164">ROUND(INDEX('0.0.1 Pokémon Dex Data'!$S$3:$S951,MATCH($E164,'0.0.1 Pokémon Dex Data'!$B$3:$B951,0))*INDEX('0.0.1 Pokémon Dex Data'!T$3:T951,MATCH($E164,'0.0.1 Pokémon Dex Data'!$B$3:$B951,0)),0)</f>
        <v>104</v>
      </c>
      <c r="K164" s="260" t="n">
        <f aca="false" t="array" ref="K164:K164">ROUND(INDEX('0.0.1 Pokémon Dex Data'!$S$3:$S951,MATCH($E164,'0.0.1 Pokémon Dex Data'!$B$3:$B951,0))*INDEX('0.0.1 Pokémon Dex Data'!U$3:U951,MATCH($E164,'0.0.1 Pokémon Dex Data'!$B$3:$B951,0)),0)</f>
        <v>114</v>
      </c>
      <c r="L164" s="260" t="n">
        <f aca="false" t="array" ref="L164:L164">ROUND(INDEX('0.0.1 Pokémon Dex Data'!$S$3:$S951,MATCH($E164,'0.0.1 Pokémon Dex Data'!$B$3:$B951,0))*INDEX('0.0.1 Pokémon Dex Data'!V$3:V951,MATCH($E164,'0.0.1 Pokémon Dex Data'!$B$3:$B951,0)),0)</f>
        <v>146</v>
      </c>
      <c r="M164" s="260" t="n">
        <f aca="false" t="array" ref="M164:M164">INDEX('0.0.1 Pokémon Dex Data'!$J$3:$J951,MATCH(E164,'0.0.1 Pokémon Dex Data'!$B$3:$B951,0))</f>
        <v>0</v>
      </c>
      <c r="O164" s="490"/>
      <c r="Q164" s="367" t="n">
        <f aca="false">IF('Reverse Search'!$F$4="All (including temporary formes)",1,IF('Reverse Search'!$F$4="Base Pokémon and permanent formes only",IF(F164&lt;=1,1,0),IF(F164=0,1,0)))</f>
        <v>1</v>
      </c>
      <c r="R164" s="0" t="n">
        <f aca="false">IF('Reverse Search'!$C$7="Disable",1,IF('Reverse Search'!$D$9="Disable",1,IF(OR('Reverse Search'!$F$9=H164,'Reverse Search'!$F$9=I164),1,0)))</f>
        <v>1</v>
      </c>
      <c r="S164" s="0" t="n">
        <f aca="false">IF('Reverse Search'!$C$7="Disable",1,IF('Reverse Search'!$D$10="Disable",1,IF(OR('Reverse Search'!$F$10=H164,'Reverse Search'!$F$10=I164),1,0)))</f>
        <v>1</v>
      </c>
      <c r="T164" s="0" t="n">
        <f aca="false">INDEX($B$4:$B$22,MATCH(H164,$A$4:$A$22,0))</f>
        <v>1</v>
      </c>
      <c r="U164" s="0" t="e">
        <f aca="false">IF(ISBLANK(I164),1,INDEX($B$4:$B$22,MATCH(I164,$A$4:$A$22,0)))</f>
        <v>#N/A</v>
      </c>
      <c r="V164" s="367" t="n">
        <f aca="false">IF('Reverse Search'!$C$7="Disable",1,IF('Reverse Search'!$D$11="Disable",1,IF('Reverse Search'!$E$11="Neutral to:",IF(ROUND(T164*U164,2)&lt;=1,1,0),IF(ROUND(T164*U164,2)&lt;1,1,0))))</f>
        <v>1</v>
      </c>
      <c r="W164" s="0" t="n">
        <f aca="false">IF('Reverse Search'!$N$7="Disable",1,IF('Reverse Search'!$I$9="Disable",1,IF('Reverse Search'!$K$9="≥",IF(J164&gt;='Reverse Search'!$L$9,1,0),IF('Reverse Search'!$K$9="≤",IF(J164&lt;='Reverse Search'!$L$9,1,0),IF(J164='Reverse Search'!$L$9,1,0)))))</f>
        <v>1</v>
      </c>
      <c r="X164" s="0" t="n">
        <f aca="false">IF('Reverse Search'!$N$7="Disable",1,IF('Reverse Search'!$I$10="Disable",1,IF('Reverse Search'!$K$10="≥",IF(K164&gt;='Reverse Search'!$L$10,1,0),IF('Reverse Search'!$K$10="≤",IF(K164&lt;='Reverse Search'!$L$10,1,0),IF(K164='Reverse Search'!$L$10,1,0)))))</f>
        <v>1</v>
      </c>
      <c r="Y164" s="367" t="n">
        <f aca="false">IF('Reverse Search'!$N$7="Disable",1,IF('Reverse Search'!$I$11="Disable",1,IF('Reverse Search'!$K$11="≥",IF(L164&gt;='Reverse Search'!$L$11,1,0),IF('Reverse Search'!$K$11="≤",IF(L164&lt;='Reverse Search'!$L$11,1,0),IF(L164='Reverse Search'!$L$11,1,0)))))</f>
        <v>1</v>
      </c>
      <c r="Z164" s="0" t="n">
        <f aca="true">IF('Reverse Search'!$C$14="Disable",1,IF('Reverse Search'!$D$16="Disable",1,IF($C$2=3,IF($M164=0,0,COUNTIF(INDIRECT("'0.0.2 Pokémon Learnset (Core)'!$D$"&amp;MATCH($E164,'0.0.2 Pokémon Learnset (Core)'!$A$1:$A951,0)&amp;":$FK$"&amp;MATCH($E164,'0.0.2 Pokémon Learnset (Core)'!$A$1:$A951,0)),'Reverse Search'!$E$21)),IF($C$2=2,COUNTIF(INDIRECT("'0.1.1 Pokémon GO Moves'!$B$"&amp;MATCH($E164,'0.1.1 Pokémon GO Moves'!$A$1:$A951,0)&amp;":$R$"&amp;MATCH($E164,'0.1.1 Pokémon GO Moves'!$A$1:$A951,0)),'Reverse Search'!$E$21),COUNTIF(INDIRECT("'0.1.1 Pokémon GO Moves'!$B$"&amp;MATCH($E164,'0.1.1 Pokémon GO Moves'!$A$1:$A951,0)&amp;":$L$"&amp;MATCH($E164,'0.1.1 Pokémon GO Moves'!$A$1:$A951,0)),'Reverse Search'!$E$21)))))</f>
        <v>1</v>
      </c>
      <c r="AA164" s="0" t="n">
        <f aca="true">IF('Reverse Search'!$C$14="Disable",1,IF('Reverse Search'!$I$16="Disable",1,IF($D$2=3,IF($M164=0,0,COUNTIF(INDIRECT("'0.0.2 Pokémon Learnset (Core)'!$D$"&amp;MATCH($E164,'0.0.2 Pokémon Learnset (Core)'!$A$1:$A951,0)&amp;":$FK$"&amp;MATCH($E164,'0.0.2 Pokémon Learnset (Core)'!$A$1:$A951,0)),'Reverse Search'!$J$21)),IF($D$2=2,COUNTIF(INDIRECT("'0.1.1 Pokémon GO Moves'!$B$"&amp;MATCH($E164,'0.1.1 Pokémon GO Moves'!$A$1:$A951,0)&amp;":$R$"&amp;MATCH($E164,'0.1.1 Pokémon GO Moves'!$A$1:$A951,0)),'Reverse Search'!$J$21),COUNTIF(INDIRECT("'0.1.1 Pokémon GO Moves'!$B$"&amp;MATCH($E164,'0.1.1 Pokémon GO Moves'!$A$1:$A951,0)&amp;":$L$"&amp;MATCH($E164,'0.1.1 Pokémon GO Moves'!$A$1:$A951,0)),'Reverse Search'!$J$21)))))</f>
        <v>0</v>
      </c>
      <c r="AB164" s="490"/>
      <c r="AC164" s="260" t="n">
        <f aca="false">IF((Q164+R164+S164+V164+W164+X164+Y164+IF(Z164&gt;=1,1,0)+IF(AA164&gt;=1,1,0))=9,G164&amp;", ",)</f>
        <v>0</v>
      </c>
    </row>
    <row r="165" customFormat="false" ht="15.75" hidden="false" customHeight="false" outlineLevel="0" collapsed="false">
      <c r="A165" s="260"/>
      <c r="B165" s="358"/>
      <c r="C165" s="260"/>
      <c r="D165" s="358"/>
      <c r="E165" s="260" t="n">
        <v>164</v>
      </c>
      <c r="F165" s="260" t="n">
        <f aca="false" t="array" ref="F165:F165">INDEX('0.0.1 Pokémon Dex Data'!$H$3:$H951,MATCH(E165,'0.0.1 Pokémon Dex Data'!$B$3:$B951,0))</f>
        <v>0</v>
      </c>
      <c r="G165" s="0" t="str">
        <f aca="false" t="array" ref="G165:G165">INDEX('0.0.1 Pokémon Dex Data'!$E$3:$E951,MATCH(E165,'0.0.1 Pokémon Dex Data'!$B$3:$B951,0))</f>
        <v>Vaporeon</v>
      </c>
      <c r="H165" s="0" t="str">
        <f aca="false" t="array" ref="H165:H165">INDEX('0.0.1 Pokémon Dex Data'!$Q$3:$Q951,MATCH(E165,'0.0.1 Pokémon Dex Data'!$B$3:$B951,0))</f>
        <v>Water</v>
      </c>
      <c r="I165" s="0" t="n">
        <f aca="false">INDEX('0.0.1 Pokémon Dex Data'!$R$3:$R951,MATCH(E165,'0.0.1 Pokémon Dex Data'!$B$3:$B951,0))</f>
        <v>0</v>
      </c>
      <c r="J165" s="260" t="n">
        <f aca="false" t="array" ref="J165:J165">ROUND(INDEX('0.0.1 Pokémon Dex Data'!$S$3:$S951,MATCH($E165,'0.0.1 Pokémon Dex Data'!$B$3:$B951,0))*INDEX('0.0.1 Pokémon Dex Data'!T$3:T951,MATCH($E165,'0.0.1 Pokémon Dex Data'!$B$3:$B951,0)),0)</f>
        <v>205</v>
      </c>
      <c r="K165" s="260" t="n">
        <f aca="false" t="array" ref="K165:K165">ROUND(INDEX('0.0.1 Pokémon Dex Data'!$S$3:$S951,MATCH($E165,'0.0.1 Pokémon Dex Data'!$B$3:$B951,0))*INDEX('0.0.1 Pokémon Dex Data'!U$3:U951,MATCH($E165,'0.0.1 Pokémon Dex Data'!$B$3:$B951,0)),0)</f>
        <v>161</v>
      </c>
      <c r="L165" s="260" t="n">
        <f aca="false" t="array" ref="L165:L165">ROUND(INDEX('0.0.1 Pokémon Dex Data'!$S$3:$S951,MATCH($E165,'0.0.1 Pokémon Dex Data'!$B$3:$B951,0))*INDEX('0.0.1 Pokémon Dex Data'!V$3:V951,MATCH($E165,'0.0.1 Pokémon Dex Data'!$B$3:$B951,0)),0)</f>
        <v>277</v>
      </c>
      <c r="M165" s="260" t="n">
        <f aca="false" t="array" ref="M165:M165">INDEX('0.0.1 Pokémon Dex Data'!$J$3:$J951,MATCH(E165,'0.0.1 Pokémon Dex Data'!$B$3:$B951,0))</f>
        <v>1</v>
      </c>
      <c r="O165" s="490"/>
      <c r="Q165" s="367" t="n">
        <f aca="false">IF('Reverse Search'!$F$4="All (including temporary formes)",1,IF('Reverse Search'!$F$4="Base Pokémon and permanent formes only",IF(F165&lt;=1,1,0),IF(F165=0,1,0)))</f>
        <v>1</v>
      </c>
      <c r="R165" s="0" t="n">
        <f aca="false">IF('Reverse Search'!$C$7="Disable",1,IF('Reverse Search'!$D$9="Disable",1,IF(OR('Reverse Search'!$F$9=H165,'Reverse Search'!$F$9=I165),1,0)))</f>
        <v>1</v>
      </c>
      <c r="S165" s="0" t="n">
        <f aca="false">IF('Reverse Search'!$C$7="Disable",1,IF('Reverse Search'!$D$10="Disable",1,IF(OR('Reverse Search'!$F$10=H165,'Reverse Search'!$F$10=I165),1,0)))</f>
        <v>1</v>
      </c>
      <c r="T165" s="0" t="n">
        <f aca="false">INDEX($B$4:$B$22,MATCH(H165,$A$4:$A$22,0))</f>
        <v>1</v>
      </c>
      <c r="U165" s="0" t="e">
        <f aca="false">IF(ISBLANK(I165),1,INDEX($B$4:$B$22,MATCH(I165,$A$4:$A$22,0)))</f>
        <v>#N/A</v>
      </c>
      <c r="V165" s="367" t="n">
        <f aca="false">IF('Reverse Search'!$C$7="Disable",1,IF('Reverse Search'!$D$11="Disable",1,IF('Reverse Search'!$E$11="Neutral to:",IF(ROUND(T165*U165,2)&lt;=1,1,0),IF(ROUND(T165*U165,2)&lt;1,1,0))))</f>
        <v>1</v>
      </c>
      <c r="W165" s="0" t="n">
        <f aca="false">IF('Reverse Search'!$N$7="Disable",1,IF('Reverse Search'!$I$9="Disable",1,IF('Reverse Search'!$K$9="≥",IF(J165&gt;='Reverse Search'!$L$9,1,0),IF('Reverse Search'!$K$9="≤",IF(J165&lt;='Reverse Search'!$L$9,1,0),IF(J165='Reverse Search'!$L$9,1,0)))))</f>
        <v>1</v>
      </c>
      <c r="X165" s="0" t="n">
        <f aca="false">IF('Reverse Search'!$N$7="Disable",1,IF('Reverse Search'!$I$10="Disable",1,IF('Reverse Search'!$K$10="≥",IF(K165&gt;='Reverse Search'!$L$10,1,0),IF('Reverse Search'!$K$10="≤",IF(K165&lt;='Reverse Search'!$L$10,1,0),IF(K165='Reverse Search'!$L$10,1,0)))))</f>
        <v>1</v>
      </c>
      <c r="Y165" s="367" t="n">
        <f aca="false">IF('Reverse Search'!$N$7="Disable",1,IF('Reverse Search'!$I$11="Disable",1,IF('Reverse Search'!$K$11="≥",IF(L165&gt;='Reverse Search'!$L$11,1,0),IF('Reverse Search'!$K$11="≤",IF(L165&lt;='Reverse Search'!$L$11,1,0),IF(L165='Reverse Search'!$L$11,1,0)))))</f>
        <v>1</v>
      </c>
      <c r="Z165" s="0" t="n">
        <f aca="true">IF('Reverse Search'!$C$14="Disable",1,IF('Reverse Search'!$D$16="Disable",1,IF($C$2=3,IF($M165=0,0,COUNTIF(INDIRECT("'0.0.2 Pokémon Learnset (Core)'!$D$"&amp;MATCH($E165,'0.0.2 Pokémon Learnset (Core)'!$A$1:$A951,0)&amp;":$FK$"&amp;MATCH($E165,'0.0.2 Pokémon Learnset (Core)'!$A$1:$A951,0)),'Reverse Search'!$E$21)),IF($C$2=2,COUNTIF(INDIRECT("'0.1.1 Pokémon GO Moves'!$B$"&amp;MATCH($E165,'0.1.1 Pokémon GO Moves'!$A$1:$A951,0)&amp;":$R$"&amp;MATCH($E165,'0.1.1 Pokémon GO Moves'!$A$1:$A951,0)),'Reverse Search'!$E$21),COUNTIF(INDIRECT("'0.1.1 Pokémon GO Moves'!$B$"&amp;MATCH($E165,'0.1.1 Pokémon GO Moves'!$A$1:$A951,0)&amp;":$L$"&amp;MATCH($E165,'0.1.1 Pokémon GO Moves'!$A$1:$A951,0)),'Reverse Search'!$E$21)))))</f>
        <v>1</v>
      </c>
      <c r="AA165" s="0" t="n">
        <f aca="true">IF('Reverse Search'!$C$14="Disable",1,IF('Reverse Search'!$I$16="Disable",1,IF($D$2=3,IF($M165=0,0,COUNTIF(INDIRECT("'0.0.2 Pokémon Learnset (Core)'!$D$"&amp;MATCH($E165,'0.0.2 Pokémon Learnset (Core)'!$A$1:$A951,0)&amp;":$FK$"&amp;MATCH($E165,'0.0.2 Pokémon Learnset (Core)'!$A$1:$A951,0)),'Reverse Search'!$J$21)),IF($D$2=2,COUNTIF(INDIRECT("'0.1.1 Pokémon GO Moves'!$B$"&amp;MATCH($E165,'0.1.1 Pokémon GO Moves'!$A$1:$A951,0)&amp;":$R$"&amp;MATCH($E165,'0.1.1 Pokémon GO Moves'!$A$1:$A951,0)),'Reverse Search'!$J$21),COUNTIF(INDIRECT("'0.1.1 Pokémon GO Moves'!$B$"&amp;MATCH($E165,'0.1.1 Pokémon GO Moves'!$A$1:$A951,0)&amp;":$L$"&amp;MATCH($E165,'0.1.1 Pokémon GO Moves'!$A$1:$A951,0)),'Reverse Search'!$J$21)))))</f>
        <v>0</v>
      </c>
      <c r="AB165" s="490"/>
      <c r="AC165" s="260" t="n">
        <f aca="false">IF((Q165+R165+S165+V165+W165+X165+Y165+IF(Z165&gt;=1,1,0)+IF(AA165&gt;=1,1,0))=9,G165&amp;", ",)</f>
        <v>0</v>
      </c>
    </row>
    <row r="166" customFormat="false" ht="15.75" hidden="false" customHeight="false" outlineLevel="0" collapsed="false">
      <c r="A166" s="260"/>
      <c r="B166" s="358"/>
      <c r="C166" s="260"/>
      <c r="D166" s="358"/>
      <c r="E166" s="260" t="n">
        <v>165</v>
      </c>
      <c r="F166" s="260" t="n">
        <f aca="false" t="array" ref="F166:F166">INDEX('0.0.1 Pokémon Dex Data'!$H$3:$H951,MATCH(E166,'0.0.1 Pokémon Dex Data'!$B$3:$B951,0))</f>
        <v>0</v>
      </c>
      <c r="G166" s="0" t="str">
        <f aca="false" t="array" ref="G166:G166">INDEX('0.0.1 Pokémon Dex Data'!$E$3:$E951,MATCH(E166,'0.0.1 Pokémon Dex Data'!$B$3:$B951,0))</f>
        <v>Jolteon</v>
      </c>
      <c r="H166" s="0" t="str">
        <f aca="false" t="array" ref="H166:H166">INDEX('0.0.1 Pokémon Dex Data'!$Q$3:$Q951,MATCH(E166,'0.0.1 Pokémon Dex Data'!$B$3:$B951,0))</f>
        <v>Electric</v>
      </c>
      <c r="I166" s="0" t="n">
        <f aca="false">INDEX('0.0.1 Pokémon Dex Data'!$R$3:$R951,MATCH(E166,'0.0.1 Pokémon Dex Data'!$B$3:$B951,0))</f>
        <v>0</v>
      </c>
      <c r="J166" s="260" t="n">
        <f aca="false" t="array" ref="J166:J166">ROUND(INDEX('0.0.1 Pokémon Dex Data'!$S$3:$S951,MATCH($E166,'0.0.1 Pokémon Dex Data'!$B$3:$B951,0))*INDEX('0.0.1 Pokémon Dex Data'!T$3:T951,MATCH($E166,'0.0.1 Pokémon Dex Data'!$B$3:$B951,0)),0)</f>
        <v>232</v>
      </c>
      <c r="K166" s="260" t="n">
        <f aca="false" t="array" ref="K166:K166">ROUND(INDEX('0.0.1 Pokémon Dex Data'!$S$3:$S951,MATCH($E166,'0.0.1 Pokémon Dex Data'!$B$3:$B951,0))*INDEX('0.0.1 Pokémon Dex Data'!U$3:U951,MATCH($E166,'0.0.1 Pokémon Dex Data'!$B$3:$B951,0)),0)</f>
        <v>182</v>
      </c>
      <c r="L166" s="260" t="n">
        <f aca="false" t="array" ref="L166:L166">ROUND(INDEX('0.0.1 Pokémon Dex Data'!$S$3:$S951,MATCH($E166,'0.0.1 Pokémon Dex Data'!$B$3:$B951,0))*INDEX('0.0.1 Pokémon Dex Data'!V$3:V951,MATCH($E166,'0.0.1 Pokémon Dex Data'!$B$3:$B951,0)),0)</f>
        <v>163</v>
      </c>
      <c r="M166" s="260" t="n">
        <f aca="false" t="array" ref="M166:M166">INDEX('0.0.1 Pokémon Dex Data'!$J$3:$J951,MATCH(E166,'0.0.1 Pokémon Dex Data'!$B$3:$B951,0))</f>
        <v>1</v>
      </c>
      <c r="O166" s="490"/>
      <c r="Q166" s="367" t="n">
        <f aca="false">IF('Reverse Search'!$F$4="All (including temporary formes)",1,IF('Reverse Search'!$F$4="Base Pokémon and permanent formes only",IF(F166&lt;=1,1,0),IF(F166=0,1,0)))</f>
        <v>1</v>
      </c>
      <c r="R166" s="0" t="n">
        <f aca="false">IF('Reverse Search'!$C$7="Disable",1,IF('Reverse Search'!$D$9="Disable",1,IF(OR('Reverse Search'!$F$9=H166,'Reverse Search'!$F$9=I166),1,0)))</f>
        <v>1</v>
      </c>
      <c r="S166" s="0" t="n">
        <f aca="false">IF('Reverse Search'!$C$7="Disable",1,IF('Reverse Search'!$D$10="Disable",1,IF(OR('Reverse Search'!$F$10=H166,'Reverse Search'!$F$10=I166),1,0)))</f>
        <v>1</v>
      </c>
      <c r="T166" s="0" t="n">
        <f aca="false">INDEX($B$4:$B$22,MATCH(H166,$A$4:$A$22,0))</f>
        <v>1</v>
      </c>
      <c r="U166" s="0" t="e">
        <f aca="false">IF(ISBLANK(I166),1,INDEX($B$4:$B$22,MATCH(I166,$A$4:$A$22,0)))</f>
        <v>#N/A</v>
      </c>
      <c r="V166" s="367" t="n">
        <f aca="false">IF('Reverse Search'!$C$7="Disable",1,IF('Reverse Search'!$D$11="Disable",1,IF('Reverse Search'!$E$11="Neutral to:",IF(ROUND(T166*U166,2)&lt;=1,1,0),IF(ROUND(T166*U166,2)&lt;1,1,0))))</f>
        <v>1</v>
      </c>
      <c r="W166" s="0" t="n">
        <f aca="false">IF('Reverse Search'!$N$7="Disable",1,IF('Reverse Search'!$I$9="Disable",1,IF('Reverse Search'!$K$9="≥",IF(J166&gt;='Reverse Search'!$L$9,1,0),IF('Reverse Search'!$K$9="≤",IF(J166&lt;='Reverse Search'!$L$9,1,0),IF(J166='Reverse Search'!$L$9,1,0)))))</f>
        <v>1</v>
      </c>
      <c r="X166" s="0" t="n">
        <f aca="false">IF('Reverse Search'!$N$7="Disable",1,IF('Reverse Search'!$I$10="Disable",1,IF('Reverse Search'!$K$10="≥",IF(K166&gt;='Reverse Search'!$L$10,1,0),IF('Reverse Search'!$K$10="≤",IF(K166&lt;='Reverse Search'!$L$10,1,0),IF(K166='Reverse Search'!$L$10,1,0)))))</f>
        <v>1</v>
      </c>
      <c r="Y166" s="367" t="n">
        <f aca="false">IF('Reverse Search'!$N$7="Disable",1,IF('Reverse Search'!$I$11="Disable",1,IF('Reverse Search'!$K$11="≥",IF(L166&gt;='Reverse Search'!$L$11,1,0),IF('Reverse Search'!$K$11="≤",IF(L166&lt;='Reverse Search'!$L$11,1,0),IF(L166='Reverse Search'!$L$11,1,0)))))</f>
        <v>1</v>
      </c>
      <c r="Z166" s="0" t="n">
        <f aca="true">IF('Reverse Search'!$C$14="Disable",1,IF('Reverse Search'!$D$16="Disable",1,IF($C$2=3,IF($M166=0,0,COUNTIF(INDIRECT("'0.0.2 Pokémon Learnset (Core)'!$D$"&amp;MATCH($E166,'0.0.2 Pokémon Learnset (Core)'!$A$1:$A951,0)&amp;":$FK$"&amp;MATCH($E166,'0.0.2 Pokémon Learnset (Core)'!$A$1:$A951,0)),'Reverse Search'!$E$21)),IF($C$2=2,COUNTIF(INDIRECT("'0.1.1 Pokémon GO Moves'!$B$"&amp;MATCH($E166,'0.1.1 Pokémon GO Moves'!$A$1:$A951,0)&amp;":$R$"&amp;MATCH($E166,'0.1.1 Pokémon GO Moves'!$A$1:$A951,0)),'Reverse Search'!$E$21),COUNTIF(INDIRECT("'0.1.1 Pokémon GO Moves'!$B$"&amp;MATCH($E166,'0.1.1 Pokémon GO Moves'!$A$1:$A951,0)&amp;":$L$"&amp;MATCH($E166,'0.1.1 Pokémon GO Moves'!$A$1:$A951,0)),'Reverse Search'!$E$21)))))</f>
        <v>1</v>
      </c>
      <c r="AA166" s="0" t="n">
        <f aca="true">IF('Reverse Search'!$C$14="Disable",1,IF('Reverse Search'!$I$16="Disable",1,IF($D$2=3,IF($M166=0,0,COUNTIF(INDIRECT("'0.0.2 Pokémon Learnset (Core)'!$D$"&amp;MATCH($E166,'0.0.2 Pokémon Learnset (Core)'!$A$1:$A951,0)&amp;":$FK$"&amp;MATCH($E166,'0.0.2 Pokémon Learnset (Core)'!$A$1:$A951,0)),'Reverse Search'!$J$21)),IF($D$2=2,COUNTIF(INDIRECT("'0.1.1 Pokémon GO Moves'!$B$"&amp;MATCH($E166,'0.1.1 Pokémon GO Moves'!$A$1:$A951,0)&amp;":$R$"&amp;MATCH($E166,'0.1.1 Pokémon GO Moves'!$A$1:$A951,0)),'Reverse Search'!$J$21),COUNTIF(INDIRECT("'0.1.1 Pokémon GO Moves'!$B$"&amp;MATCH($E166,'0.1.1 Pokémon GO Moves'!$A$1:$A951,0)&amp;":$L$"&amp;MATCH($E166,'0.1.1 Pokémon GO Moves'!$A$1:$A951,0)),'Reverse Search'!$J$21)))))</f>
        <v>0</v>
      </c>
      <c r="AB166" s="490"/>
      <c r="AC166" s="260" t="n">
        <f aca="false">IF((Q166+R166+S166+V166+W166+X166+Y166+IF(Z166&gt;=1,1,0)+IF(AA166&gt;=1,1,0))=9,G166&amp;", ",)</f>
        <v>0</v>
      </c>
    </row>
    <row r="167" customFormat="false" ht="15.75" hidden="false" customHeight="false" outlineLevel="0" collapsed="false">
      <c r="A167" s="260"/>
      <c r="B167" s="358"/>
      <c r="C167" s="260"/>
      <c r="D167" s="358"/>
      <c r="E167" s="260" t="n">
        <v>166</v>
      </c>
      <c r="F167" s="260" t="n">
        <f aca="false" t="array" ref="F167:F167">INDEX('0.0.1 Pokémon Dex Data'!$H$3:$H951,MATCH(E167,'0.0.1 Pokémon Dex Data'!$B$3:$B951,0))</f>
        <v>0</v>
      </c>
      <c r="G167" s="0" t="str">
        <f aca="false" t="array" ref="G167:G167">INDEX('0.0.1 Pokémon Dex Data'!$E$3:$E951,MATCH(E167,'0.0.1 Pokémon Dex Data'!$B$3:$B951,0))</f>
        <v>Flareon</v>
      </c>
      <c r="H167" s="0" t="str">
        <f aca="false" t="array" ref="H167:H167">INDEX('0.0.1 Pokémon Dex Data'!$Q$3:$Q951,MATCH(E167,'0.0.1 Pokémon Dex Data'!$B$3:$B951,0))</f>
        <v>Fire</v>
      </c>
      <c r="I167" s="0" t="n">
        <f aca="false">INDEX('0.0.1 Pokémon Dex Data'!$R$3:$R951,MATCH(E167,'0.0.1 Pokémon Dex Data'!$B$3:$B951,0))</f>
        <v>0</v>
      </c>
      <c r="J167" s="260" t="n">
        <f aca="false" t="array" ref="J167:J167">ROUND(INDEX('0.0.1 Pokémon Dex Data'!$S$3:$S951,MATCH($E167,'0.0.1 Pokémon Dex Data'!$B$3:$B951,0))*INDEX('0.0.1 Pokémon Dex Data'!T$3:T951,MATCH($E167,'0.0.1 Pokémon Dex Data'!$B$3:$B951,0)),0)</f>
        <v>246</v>
      </c>
      <c r="K167" s="260" t="n">
        <f aca="false" t="array" ref="K167:K167">ROUND(INDEX('0.0.1 Pokémon Dex Data'!$S$3:$S951,MATCH($E167,'0.0.1 Pokémon Dex Data'!$B$3:$B951,0))*INDEX('0.0.1 Pokémon Dex Data'!U$3:U951,MATCH($E167,'0.0.1 Pokémon Dex Data'!$B$3:$B951,0)),0)</f>
        <v>179</v>
      </c>
      <c r="L167" s="260" t="n">
        <f aca="false" t="array" ref="L167:L167">ROUND(INDEX('0.0.1 Pokémon Dex Data'!$S$3:$S951,MATCH($E167,'0.0.1 Pokémon Dex Data'!$B$3:$B951,0))*INDEX('0.0.1 Pokémon Dex Data'!V$3:V951,MATCH($E167,'0.0.1 Pokémon Dex Data'!$B$3:$B951,0)),0)</f>
        <v>163</v>
      </c>
      <c r="M167" s="260" t="n">
        <f aca="false" t="array" ref="M167:M167">INDEX('0.0.1 Pokémon Dex Data'!$J$3:$J951,MATCH(E167,'0.0.1 Pokémon Dex Data'!$B$3:$B951,0))</f>
        <v>1</v>
      </c>
      <c r="O167" s="490"/>
      <c r="Q167" s="367" t="n">
        <f aca="false">IF('Reverse Search'!$F$4="All (including temporary formes)",1,IF('Reverse Search'!$F$4="Base Pokémon and permanent formes only",IF(F167&lt;=1,1,0),IF(F167=0,1,0)))</f>
        <v>1</v>
      </c>
      <c r="R167" s="0" t="n">
        <f aca="false">IF('Reverse Search'!$C$7="Disable",1,IF('Reverse Search'!$D$9="Disable",1,IF(OR('Reverse Search'!$F$9=H167,'Reverse Search'!$F$9=I167),1,0)))</f>
        <v>1</v>
      </c>
      <c r="S167" s="0" t="n">
        <f aca="false">IF('Reverse Search'!$C$7="Disable",1,IF('Reverse Search'!$D$10="Disable",1,IF(OR('Reverse Search'!$F$10=H167,'Reverse Search'!$F$10=I167),1,0)))</f>
        <v>1</v>
      </c>
      <c r="T167" s="0" t="n">
        <f aca="false">INDEX($B$4:$B$22,MATCH(H167,$A$4:$A$22,0))</f>
        <v>1</v>
      </c>
      <c r="U167" s="0" t="e">
        <f aca="false">IF(ISBLANK(I167),1,INDEX($B$4:$B$22,MATCH(I167,$A$4:$A$22,0)))</f>
        <v>#N/A</v>
      </c>
      <c r="V167" s="367" t="n">
        <f aca="false">IF('Reverse Search'!$C$7="Disable",1,IF('Reverse Search'!$D$11="Disable",1,IF('Reverse Search'!$E$11="Neutral to:",IF(ROUND(T167*U167,2)&lt;=1,1,0),IF(ROUND(T167*U167,2)&lt;1,1,0))))</f>
        <v>1</v>
      </c>
      <c r="W167" s="0" t="n">
        <f aca="false">IF('Reverse Search'!$N$7="Disable",1,IF('Reverse Search'!$I$9="Disable",1,IF('Reverse Search'!$K$9="≥",IF(J167&gt;='Reverse Search'!$L$9,1,0),IF('Reverse Search'!$K$9="≤",IF(J167&lt;='Reverse Search'!$L$9,1,0),IF(J167='Reverse Search'!$L$9,1,0)))))</f>
        <v>1</v>
      </c>
      <c r="X167" s="0" t="n">
        <f aca="false">IF('Reverse Search'!$N$7="Disable",1,IF('Reverse Search'!$I$10="Disable",1,IF('Reverse Search'!$K$10="≥",IF(K167&gt;='Reverse Search'!$L$10,1,0),IF('Reverse Search'!$K$10="≤",IF(K167&lt;='Reverse Search'!$L$10,1,0),IF(K167='Reverse Search'!$L$10,1,0)))))</f>
        <v>1</v>
      </c>
      <c r="Y167" s="367" t="n">
        <f aca="false">IF('Reverse Search'!$N$7="Disable",1,IF('Reverse Search'!$I$11="Disable",1,IF('Reverse Search'!$K$11="≥",IF(L167&gt;='Reverse Search'!$L$11,1,0),IF('Reverse Search'!$K$11="≤",IF(L167&lt;='Reverse Search'!$L$11,1,0),IF(L167='Reverse Search'!$L$11,1,0)))))</f>
        <v>1</v>
      </c>
      <c r="Z167" s="0" t="n">
        <f aca="true">IF('Reverse Search'!$C$14="Disable",1,IF('Reverse Search'!$D$16="Disable",1,IF($C$2=3,IF($M167=0,0,COUNTIF(INDIRECT("'0.0.2 Pokémon Learnset (Core)'!$D$"&amp;MATCH($E167,'0.0.2 Pokémon Learnset (Core)'!$A$1:$A951,0)&amp;":$FK$"&amp;MATCH($E167,'0.0.2 Pokémon Learnset (Core)'!$A$1:$A951,0)),'Reverse Search'!$E$21)),IF($C$2=2,COUNTIF(INDIRECT("'0.1.1 Pokémon GO Moves'!$B$"&amp;MATCH($E167,'0.1.1 Pokémon GO Moves'!$A$1:$A951,0)&amp;":$R$"&amp;MATCH($E167,'0.1.1 Pokémon GO Moves'!$A$1:$A951,0)),'Reverse Search'!$E$21),COUNTIF(INDIRECT("'0.1.1 Pokémon GO Moves'!$B$"&amp;MATCH($E167,'0.1.1 Pokémon GO Moves'!$A$1:$A951,0)&amp;":$L$"&amp;MATCH($E167,'0.1.1 Pokémon GO Moves'!$A$1:$A951,0)),'Reverse Search'!$E$21)))))</f>
        <v>1</v>
      </c>
      <c r="AA167" s="0" t="n">
        <f aca="true">IF('Reverse Search'!$C$14="Disable",1,IF('Reverse Search'!$I$16="Disable",1,IF($D$2=3,IF($M167=0,0,COUNTIF(INDIRECT("'0.0.2 Pokémon Learnset (Core)'!$D$"&amp;MATCH($E167,'0.0.2 Pokémon Learnset (Core)'!$A$1:$A951,0)&amp;":$FK$"&amp;MATCH($E167,'0.0.2 Pokémon Learnset (Core)'!$A$1:$A951,0)),'Reverse Search'!$J$21)),IF($D$2=2,COUNTIF(INDIRECT("'0.1.1 Pokémon GO Moves'!$B$"&amp;MATCH($E167,'0.1.1 Pokémon GO Moves'!$A$1:$A951,0)&amp;":$R$"&amp;MATCH($E167,'0.1.1 Pokémon GO Moves'!$A$1:$A951,0)),'Reverse Search'!$J$21),COUNTIF(INDIRECT("'0.1.1 Pokémon GO Moves'!$B$"&amp;MATCH($E167,'0.1.1 Pokémon GO Moves'!$A$1:$A951,0)&amp;":$L$"&amp;MATCH($E167,'0.1.1 Pokémon GO Moves'!$A$1:$A951,0)),'Reverse Search'!$J$21)))))</f>
        <v>0</v>
      </c>
      <c r="AB167" s="490"/>
      <c r="AC167" s="260" t="n">
        <f aca="false">IF((Q167+R167+S167+V167+W167+X167+Y167+IF(Z167&gt;=1,1,0)+IF(AA167&gt;=1,1,0))=9,G167&amp;", ",)</f>
        <v>0</v>
      </c>
    </row>
    <row r="168" customFormat="false" ht="15.75" hidden="false" customHeight="false" outlineLevel="0" collapsed="false">
      <c r="A168" s="260"/>
      <c r="B168" s="358"/>
      <c r="C168" s="260"/>
      <c r="D168" s="358"/>
      <c r="E168" s="260" t="n">
        <v>167</v>
      </c>
      <c r="F168" s="260" t="n">
        <f aca="false" t="array" ref="F168:F168">INDEX('0.0.1 Pokémon Dex Data'!$H$3:$H951,MATCH(E168,'0.0.1 Pokémon Dex Data'!$B$3:$B951,0))</f>
        <v>0</v>
      </c>
      <c r="G168" s="0" t="str">
        <f aca="false" t="array" ref="G168:G168">INDEX('0.0.1 Pokémon Dex Data'!$E$3:$E951,MATCH(E168,'0.0.1 Pokémon Dex Data'!$B$3:$B951,0))</f>
        <v>Porygon</v>
      </c>
      <c r="H168" s="0" t="str">
        <f aca="false" t="array" ref="H168:H168">INDEX('0.0.1 Pokémon Dex Data'!$Q$3:$Q951,MATCH(E168,'0.0.1 Pokémon Dex Data'!$B$3:$B951,0))</f>
        <v>Normal</v>
      </c>
      <c r="I168" s="0" t="n">
        <f aca="false">INDEX('0.0.1 Pokémon Dex Data'!$R$3:$R951,MATCH(E168,'0.0.1 Pokémon Dex Data'!$B$3:$B951,0))</f>
        <v>0</v>
      </c>
      <c r="J168" s="260" t="n">
        <f aca="false" t="array" ref="J168:J168">ROUND(INDEX('0.0.1 Pokémon Dex Data'!$S$3:$S951,MATCH($E168,'0.0.1 Pokémon Dex Data'!$B$3:$B951,0))*INDEX('0.0.1 Pokémon Dex Data'!T$3:T951,MATCH($E168,'0.0.1 Pokémon Dex Data'!$B$3:$B951,0)),0)</f>
        <v>153</v>
      </c>
      <c r="K168" s="260" t="n">
        <f aca="false" t="array" ref="K168:K168">ROUND(INDEX('0.0.1 Pokémon Dex Data'!$S$3:$S951,MATCH($E168,'0.0.1 Pokémon Dex Data'!$B$3:$B951,0))*INDEX('0.0.1 Pokémon Dex Data'!U$3:U951,MATCH($E168,'0.0.1 Pokémon Dex Data'!$B$3:$B951,0)),0)</f>
        <v>136</v>
      </c>
      <c r="L168" s="260" t="n">
        <f aca="false" t="array" ref="L168:L168">ROUND(INDEX('0.0.1 Pokémon Dex Data'!$S$3:$S951,MATCH($E168,'0.0.1 Pokémon Dex Data'!$B$3:$B951,0))*INDEX('0.0.1 Pokémon Dex Data'!V$3:V951,MATCH($E168,'0.0.1 Pokémon Dex Data'!$B$3:$B951,0)),0)</f>
        <v>163</v>
      </c>
      <c r="M168" s="260" t="n">
        <f aca="false" t="array" ref="M168:M168">INDEX('0.0.1 Pokémon Dex Data'!$J$3:$J951,MATCH(E168,'0.0.1 Pokémon Dex Data'!$B$3:$B951,0))</f>
        <v>1</v>
      </c>
      <c r="O168" s="490"/>
      <c r="Q168" s="367" t="n">
        <f aca="false">IF('Reverse Search'!$F$4="All (including temporary formes)",1,IF('Reverse Search'!$F$4="Base Pokémon and permanent formes only",IF(F168&lt;=1,1,0),IF(F168=0,1,0)))</f>
        <v>1</v>
      </c>
      <c r="R168" s="0" t="n">
        <f aca="false">IF('Reverse Search'!$C$7="Disable",1,IF('Reverse Search'!$D$9="Disable",1,IF(OR('Reverse Search'!$F$9=H168,'Reverse Search'!$F$9=I168),1,0)))</f>
        <v>1</v>
      </c>
      <c r="S168" s="0" t="n">
        <f aca="false">IF('Reverse Search'!$C$7="Disable",1,IF('Reverse Search'!$D$10="Disable",1,IF(OR('Reverse Search'!$F$10=H168,'Reverse Search'!$F$10=I168),1,0)))</f>
        <v>1</v>
      </c>
      <c r="T168" s="0" t="n">
        <f aca="false">INDEX($B$4:$B$22,MATCH(H168,$A$4:$A$22,0))</f>
        <v>1</v>
      </c>
      <c r="U168" s="0" t="e">
        <f aca="false">IF(ISBLANK(I168),1,INDEX($B$4:$B$22,MATCH(I168,$A$4:$A$22,0)))</f>
        <v>#N/A</v>
      </c>
      <c r="V168" s="367" t="n">
        <f aca="false">IF('Reverse Search'!$C$7="Disable",1,IF('Reverse Search'!$D$11="Disable",1,IF('Reverse Search'!$E$11="Neutral to:",IF(ROUND(T168*U168,2)&lt;=1,1,0),IF(ROUND(T168*U168,2)&lt;1,1,0))))</f>
        <v>1</v>
      </c>
      <c r="W168" s="0" t="n">
        <f aca="false">IF('Reverse Search'!$N$7="Disable",1,IF('Reverse Search'!$I$9="Disable",1,IF('Reverse Search'!$K$9="≥",IF(J168&gt;='Reverse Search'!$L$9,1,0),IF('Reverse Search'!$K$9="≤",IF(J168&lt;='Reverse Search'!$L$9,1,0),IF(J168='Reverse Search'!$L$9,1,0)))))</f>
        <v>1</v>
      </c>
      <c r="X168" s="0" t="n">
        <f aca="false">IF('Reverse Search'!$N$7="Disable",1,IF('Reverse Search'!$I$10="Disable",1,IF('Reverse Search'!$K$10="≥",IF(K168&gt;='Reverse Search'!$L$10,1,0),IF('Reverse Search'!$K$10="≤",IF(K168&lt;='Reverse Search'!$L$10,1,0),IF(K168='Reverse Search'!$L$10,1,0)))))</f>
        <v>1</v>
      </c>
      <c r="Y168" s="367" t="n">
        <f aca="false">IF('Reverse Search'!$N$7="Disable",1,IF('Reverse Search'!$I$11="Disable",1,IF('Reverse Search'!$K$11="≥",IF(L168&gt;='Reverse Search'!$L$11,1,0),IF('Reverse Search'!$K$11="≤",IF(L168&lt;='Reverse Search'!$L$11,1,0),IF(L168='Reverse Search'!$L$11,1,0)))))</f>
        <v>1</v>
      </c>
      <c r="Z168" s="0" t="n">
        <f aca="true">IF('Reverse Search'!$C$14="Disable",1,IF('Reverse Search'!$D$16="Disable",1,IF($C$2=3,IF($M168=0,0,COUNTIF(INDIRECT("'0.0.2 Pokémon Learnset (Core)'!$D$"&amp;MATCH($E168,'0.0.2 Pokémon Learnset (Core)'!$A$1:$A951,0)&amp;":$FK$"&amp;MATCH($E168,'0.0.2 Pokémon Learnset (Core)'!$A$1:$A951,0)),'Reverse Search'!$E$21)),IF($C$2=2,COUNTIF(INDIRECT("'0.1.1 Pokémon GO Moves'!$B$"&amp;MATCH($E168,'0.1.1 Pokémon GO Moves'!$A$1:$A951,0)&amp;":$R$"&amp;MATCH($E168,'0.1.1 Pokémon GO Moves'!$A$1:$A951,0)),'Reverse Search'!$E$21),COUNTIF(INDIRECT("'0.1.1 Pokémon GO Moves'!$B$"&amp;MATCH($E168,'0.1.1 Pokémon GO Moves'!$A$1:$A951,0)&amp;":$L$"&amp;MATCH($E168,'0.1.1 Pokémon GO Moves'!$A$1:$A951,0)),'Reverse Search'!$E$21)))))</f>
        <v>1</v>
      </c>
      <c r="AA168" s="0" t="n">
        <f aca="true">IF('Reverse Search'!$C$14="Disable",1,IF('Reverse Search'!$I$16="Disable",1,IF($D$2=3,IF($M168=0,0,COUNTIF(INDIRECT("'0.0.2 Pokémon Learnset (Core)'!$D$"&amp;MATCH($E168,'0.0.2 Pokémon Learnset (Core)'!$A$1:$A951,0)&amp;":$FK$"&amp;MATCH($E168,'0.0.2 Pokémon Learnset (Core)'!$A$1:$A951,0)),'Reverse Search'!$J$21)),IF($D$2=2,COUNTIF(INDIRECT("'0.1.1 Pokémon GO Moves'!$B$"&amp;MATCH($E168,'0.1.1 Pokémon GO Moves'!$A$1:$A951,0)&amp;":$R$"&amp;MATCH($E168,'0.1.1 Pokémon GO Moves'!$A$1:$A951,0)),'Reverse Search'!$J$21),COUNTIF(INDIRECT("'0.1.1 Pokémon GO Moves'!$B$"&amp;MATCH($E168,'0.1.1 Pokémon GO Moves'!$A$1:$A951,0)&amp;":$L$"&amp;MATCH($E168,'0.1.1 Pokémon GO Moves'!$A$1:$A951,0)),'Reverse Search'!$J$21)))))</f>
        <v>0</v>
      </c>
      <c r="AB168" s="490"/>
      <c r="AC168" s="260" t="n">
        <f aca="false">IF((Q168+R168+S168+V168+W168+X168+Y168+IF(Z168&gt;=1,1,0)+IF(AA168&gt;=1,1,0))=9,G168&amp;", ",)</f>
        <v>0</v>
      </c>
    </row>
    <row r="169" customFormat="false" ht="15.75" hidden="false" customHeight="false" outlineLevel="0" collapsed="false">
      <c r="A169" s="260"/>
      <c r="B169" s="358"/>
      <c r="C169" s="260"/>
      <c r="D169" s="358"/>
      <c r="E169" s="260" t="n">
        <v>168</v>
      </c>
      <c r="F169" s="260" t="n">
        <f aca="false" t="array" ref="F169:F169">INDEX('0.0.1 Pokémon Dex Data'!$H$3:$H951,MATCH(E169,'0.0.1 Pokémon Dex Data'!$B$3:$B951,0))</f>
        <v>0</v>
      </c>
      <c r="G169" s="0" t="str">
        <f aca="false" t="array" ref="G169:G169">INDEX('0.0.1 Pokémon Dex Data'!$E$3:$E951,MATCH(E169,'0.0.1 Pokémon Dex Data'!$B$3:$B951,0))</f>
        <v>Omanyte</v>
      </c>
      <c r="H169" s="0" t="str">
        <f aca="false" t="array" ref="H169:H169">INDEX('0.0.1 Pokémon Dex Data'!$Q$3:$Q951,MATCH(E169,'0.0.1 Pokémon Dex Data'!$B$3:$B951,0))</f>
        <v>Rock</v>
      </c>
      <c r="I169" s="0" t="str">
        <f aca="false" t="array" ref="I169:I169">INDEX('0.0.1 Pokémon Dex Data'!$R$3:$R951,MATCH(E169,'0.0.1 Pokémon Dex Data'!$B$3:$B951,0))</f>
        <v>Water</v>
      </c>
      <c r="J169" s="260" t="n">
        <f aca="false" t="array" ref="J169:J169">ROUND(INDEX('0.0.1 Pokémon Dex Data'!$S$3:$S951,MATCH($E169,'0.0.1 Pokémon Dex Data'!$B$3:$B951,0))*INDEX('0.0.1 Pokémon Dex Data'!T$3:T951,MATCH($E169,'0.0.1 Pokémon Dex Data'!$B$3:$B951,0)),0)</f>
        <v>155</v>
      </c>
      <c r="K169" s="260" t="n">
        <f aca="false" t="array" ref="K169:K169">ROUND(INDEX('0.0.1 Pokémon Dex Data'!$S$3:$S951,MATCH($E169,'0.0.1 Pokémon Dex Data'!$B$3:$B951,0))*INDEX('0.0.1 Pokémon Dex Data'!U$3:U951,MATCH($E169,'0.0.1 Pokémon Dex Data'!$B$3:$B951,0)),0)</f>
        <v>153</v>
      </c>
      <c r="L169" s="260" t="n">
        <f aca="false" t="array" ref="L169:L169">ROUND(INDEX('0.0.1 Pokémon Dex Data'!$S$3:$S951,MATCH($E169,'0.0.1 Pokémon Dex Data'!$B$3:$B951,0))*INDEX('0.0.1 Pokémon Dex Data'!V$3:V951,MATCH($E169,'0.0.1 Pokémon Dex Data'!$B$3:$B951,0)),0)</f>
        <v>111</v>
      </c>
      <c r="M169" s="260" t="n">
        <f aca="false" t="array" ref="M169:M169">INDEX('0.0.1 Pokémon Dex Data'!$J$3:$J951,MATCH(E169,'0.0.1 Pokémon Dex Data'!$B$3:$B951,0))</f>
        <v>0</v>
      </c>
      <c r="O169" s="490"/>
      <c r="Q169" s="367" t="n">
        <f aca="false">IF('Reverse Search'!$F$4="All (including temporary formes)",1,IF('Reverse Search'!$F$4="Base Pokémon and permanent formes only",IF(F169&lt;=1,1,0),IF(F169=0,1,0)))</f>
        <v>1</v>
      </c>
      <c r="R169" s="0" t="n">
        <f aca="false">IF('Reverse Search'!$C$7="Disable",1,IF('Reverse Search'!$D$9="Disable",1,IF(OR('Reverse Search'!$F$9=H169,'Reverse Search'!$F$9=I169),1,0)))</f>
        <v>1</v>
      </c>
      <c r="S169" s="0" t="n">
        <f aca="false">IF('Reverse Search'!$C$7="Disable",1,IF('Reverse Search'!$D$10="Disable",1,IF(OR('Reverse Search'!$F$10=H169,'Reverse Search'!$F$10=I169),1,0)))</f>
        <v>1</v>
      </c>
      <c r="T169" s="0" t="n">
        <f aca="false">INDEX($B$4:$B$22,MATCH(H169,$A$4:$A$22,0))</f>
        <v>0.714</v>
      </c>
      <c r="U169" s="0" t="n">
        <f aca="false">IF(ISBLANK(I169),1,INDEX($B$4:$B$22,MATCH(I169,$A$4:$A$22,0)))</f>
        <v>1</v>
      </c>
      <c r="V169" s="367" t="n">
        <f aca="false">IF('Reverse Search'!$C$7="Disable",1,IF('Reverse Search'!$D$11="Disable",1,IF('Reverse Search'!$E$11="Neutral to:",IF(ROUND(T169*U169,2)&lt;=1,1,0),IF(ROUND(T169*U169,2)&lt;1,1,0))))</f>
        <v>1</v>
      </c>
      <c r="W169" s="0" t="n">
        <f aca="false">IF('Reverse Search'!$N$7="Disable",1,IF('Reverse Search'!$I$9="Disable",1,IF('Reverse Search'!$K$9="≥",IF(J169&gt;='Reverse Search'!$L$9,1,0),IF('Reverse Search'!$K$9="≤",IF(J169&lt;='Reverse Search'!$L$9,1,0),IF(J169='Reverse Search'!$L$9,1,0)))))</f>
        <v>1</v>
      </c>
      <c r="X169" s="0" t="n">
        <f aca="false">IF('Reverse Search'!$N$7="Disable",1,IF('Reverse Search'!$I$10="Disable",1,IF('Reverse Search'!$K$10="≥",IF(K169&gt;='Reverse Search'!$L$10,1,0),IF('Reverse Search'!$K$10="≤",IF(K169&lt;='Reverse Search'!$L$10,1,0),IF(K169='Reverse Search'!$L$10,1,0)))))</f>
        <v>1</v>
      </c>
      <c r="Y169" s="367" t="n">
        <f aca="false">IF('Reverse Search'!$N$7="Disable",1,IF('Reverse Search'!$I$11="Disable",1,IF('Reverse Search'!$K$11="≥",IF(L169&gt;='Reverse Search'!$L$11,1,0),IF('Reverse Search'!$K$11="≤",IF(L169&lt;='Reverse Search'!$L$11,1,0),IF(L169='Reverse Search'!$L$11,1,0)))))</f>
        <v>1</v>
      </c>
      <c r="Z169" s="0" t="n">
        <f aca="true">IF('Reverse Search'!$C$14="Disable",1,IF('Reverse Search'!$D$16="Disable",1,IF($C$2=3,IF($M169=0,0,COUNTIF(INDIRECT("'0.0.2 Pokémon Learnset (Core)'!$D$"&amp;MATCH($E169,'0.0.2 Pokémon Learnset (Core)'!$A$1:$A951,0)&amp;":$FK$"&amp;MATCH($E169,'0.0.2 Pokémon Learnset (Core)'!$A$1:$A951,0)),'Reverse Search'!$E$21)),IF($C$2=2,COUNTIF(INDIRECT("'0.1.1 Pokémon GO Moves'!$B$"&amp;MATCH($E169,'0.1.1 Pokémon GO Moves'!$A$1:$A951,0)&amp;":$R$"&amp;MATCH($E169,'0.1.1 Pokémon GO Moves'!$A$1:$A951,0)),'Reverse Search'!$E$21),COUNTIF(INDIRECT("'0.1.1 Pokémon GO Moves'!$B$"&amp;MATCH($E169,'0.1.1 Pokémon GO Moves'!$A$1:$A951,0)&amp;":$L$"&amp;MATCH($E169,'0.1.1 Pokémon GO Moves'!$A$1:$A951,0)),'Reverse Search'!$E$21)))))</f>
        <v>1</v>
      </c>
      <c r="AA169" s="0" t="n">
        <f aca="true">IF('Reverse Search'!$C$14="Disable",1,IF('Reverse Search'!$I$16="Disable",1,IF($D$2=3,IF($M169=0,0,COUNTIF(INDIRECT("'0.0.2 Pokémon Learnset (Core)'!$D$"&amp;MATCH($E169,'0.0.2 Pokémon Learnset (Core)'!$A$1:$A951,0)&amp;":$FK$"&amp;MATCH($E169,'0.0.2 Pokémon Learnset (Core)'!$A$1:$A951,0)),'Reverse Search'!$J$21)),IF($D$2=2,COUNTIF(INDIRECT("'0.1.1 Pokémon GO Moves'!$B$"&amp;MATCH($E169,'0.1.1 Pokémon GO Moves'!$A$1:$A951,0)&amp;":$R$"&amp;MATCH($E169,'0.1.1 Pokémon GO Moves'!$A$1:$A951,0)),'Reverse Search'!$J$21),COUNTIF(INDIRECT("'0.1.1 Pokémon GO Moves'!$B$"&amp;MATCH($E169,'0.1.1 Pokémon GO Moves'!$A$1:$A951,0)&amp;":$L$"&amp;MATCH($E169,'0.1.1 Pokémon GO Moves'!$A$1:$A951,0)),'Reverse Search'!$J$21)))))</f>
        <v>0</v>
      </c>
      <c r="AB169" s="490"/>
      <c r="AC169" s="260" t="n">
        <f aca="false">IF((Q169+R169+S169+V169+W169+X169+Y169+IF(Z169&gt;=1,1,0)+IF(AA169&gt;=1,1,0))=9,G169&amp;", ",)</f>
        <v>0</v>
      </c>
    </row>
    <row r="170" customFormat="false" ht="15.75" hidden="false" customHeight="false" outlineLevel="0" collapsed="false">
      <c r="A170" s="260"/>
      <c r="B170" s="358"/>
      <c r="C170" s="260"/>
      <c r="D170" s="358"/>
      <c r="E170" s="260" t="n">
        <v>169</v>
      </c>
      <c r="F170" s="260" t="n">
        <f aca="false" t="array" ref="F170:F170">INDEX('0.0.1 Pokémon Dex Data'!$H$3:$H951,MATCH(E170,'0.0.1 Pokémon Dex Data'!$B$3:$B951,0))</f>
        <v>0</v>
      </c>
      <c r="G170" s="0" t="str">
        <f aca="false" t="array" ref="G170:G170">INDEX('0.0.1 Pokémon Dex Data'!$E$3:$E951,MATCH(E170,'0.0.1 Pokémon Dex Data'!$B$3:$B951,0))</f>
        <v>Omastar</v>
      </c>
      <c r="H170" s="0" t="str">
        <f aca="false" t="array" ref="H170:H170">INDEX('0.0.1 Pokémon Dex Data'!$Q$3:$Q951,MATCH(E170,'0.0.1 Pokémon Dex Data'!$B$3:$B951,0))</f>
        <v>Rock</v>
      </c>
      <c r="I170" s="0" t="str">
        <f aca="false" t="array" ref="I170:I170">INDEX('0.0.1 Pokémon Dex Data'!$R$3:$R951,MATCH(E170,'0.0.1 Pokémon Dex Data'!$B$3:$B951,0))</f>
        <v>Water</v>
      </c>
      <c r="J170" s="260" t="n">
        <f aca="false" t="array" ref="J170:J170">ROUND(INDEX('0.0.1 Pokémon Dex Data'!$S$3:$S951,MATCH($E170,'0.0.1 Pokémon Dex Data'!$B$3:$B951,0))*INDEX('0.0.1 Pokémon Dex Data'!T$3:T951,MATCH($E170,'0.0.1 Pokémon Dex Data'!$B$3:$B951,0)),0)</f>
        <v>207</v>
      </c>
      <c r="K170" s="260" t="n">
        <f aca="false" t="array" ref="K170:K170">ROUND(INDEX('0.0.1 Pokémon Dex Data'!$S$3:$S951,MATCH($E170,'0.0.1 Pokémon Dex Data'!$B$3:$B951,0))*INDEX('0.0.1 Pokémon Dex Data'!U$3:U951,MATCH($E170,'0.0.1 Pokémon Dex Data'!$B$3:$B951,0)),0)</f>
        <v>201</v>
      </c>
      <c r="L170" s="260" t="n">
        <f aca="false" t="array" ref="L170:L170">ROUND(INDEX('0.0.1 Pokémon Dex Data'!$S$3:$S951,MATCH($E170,'0.0.1 Pokémon Dex Data'!$B$3:$B951,0))*INDEX('0.0.1 Pokémon Dex Data'!V$3:V951,MATCH($E170,'0.0.1 Pokémon Dex Data'!$B$3:$B951,0)),0)</f>
        <v>172</v>
      </c>
      <c r="M170" s="260" t="n">
        <f aca="false" t="array" ref="M170:M170">INDEX('0.0.1 Pokémon Dex Data'!$J$3:$J951,MATCH(E170,'0.0.1 Pokémon Dex Data'!$B$3:$B951,0))</f>
        <v>1</v>
      </c>
      <c r="O170" s="490"/>
      <c r="Q170" s="367" t="n">
        <f aca="false">IF('Reverse Search'!$F$4="All (including temporary formes)",1,IF('Reverse Search'!$F$4="Base Pokémon and permanent formes only",IF(F170&lt;=1,1,0),IF(F170=0,1,0)))</f>
        <v>1</v>
      </c>
      <c r="R170" s="0" t="n">
        <f aca="false">IF('Reverse Search'!$C$7="Disable",1,IF('Reverse Search'!$D$9="Disable",1,IF(OR('Reverse Search'!$F$9=H170,'Reverse Search'!$F$9=I170),1,0)))</f>
        <v>1</v>
      </c>
      <c r="S170" s="0" t="n">
        <f aca="false">IF('Reverse Search'!$C$7="Disable",1,IF('Reverse Search'!$D$10="Disable",1,IF(OR('Reverse Search'!$F$10=H170,'Reverse Search'!$F$10=I170),1,0)))</f>
        <v>1</v>
      </c>
      <c r="T170" s="0" t="n">
        <f aca="false">INDEX($B$4:$B$22,MATCH(H170,$A$4:$A$22,0))</f>
        <v>0.714</v>
      </c>
      <c r="U170" s="0" t="n">
        <f aca="false">IF(ISBLANK(I170),1,INDEX($B$4:$B$22,MATCH(I170,$A$4:$A$22,0)))</f>
        <v>1</v>
      </c>
      <c r="V170" s="367" t="n">
        <f aca="false">IF('Reverse Search'!$C$7="Disable",1,IF('Reverse Search'!$D$11="Disable",1,IF('Reverse Search'!$E$11="Neutral to:",IF(ROUND(T170*U170,2)&lt;=1,1,0),IF(ROUND(T170*U170,2)&lt;1,1,0))))</f>
        <v>1</v>
      </c>
      <c r="W170" s="0" t="n">
        <f aca="false">IF('Reverse Search'!$N$7="Disable",1,IF('Reverse Search'!$I$9="Disable",1,IF('Reverse Search'!$K$9="≥",IF(J170&gt;='Reverse Search'!$L$9,1,0),IF('Reverse Search'!$K$9="≤",IF(J170&lt;='Reverse Search'!$L$9,1,0),IF(J170='Reverse Search'!$L$9,1,0)))))</f>
        <v>1</v>
      </c>
      <c r="X170" s="0" t="n">
        <f aca="false">IF('Reverse Search'!$N$7="Disable",1,IF('Reverse Search'!$I$10="Disable",1,IF('Reverse Search'!$K$10="≥",IF(K170&gt;='Reverse Search'!$L$10,1,0),IF('Reverse Search'!$K$10="≤",IF(K170&lt;='Reverse Search'!$L$10,1,0),IF(K170='Reverse Search'!$L$10,1,0)))))</f>
        <v>1</v>
      </c>
      <c r="Y170" s="367" t="n">
        <f aca="false">IF('Reverse Search'!$N$7="Disable",1,IF('Reverse Search'!$I$11="Disable",1,IF('Reverse Search'!$K$11="≥",IF(L170&gt;='Reverse Search'!$L$11,1,0),IF('Reverse Search'!$K$11="≤",IF(L170&lt;='Reverse Search'!$L$11,1,0),IF(L170='Reverse Search'!$L$11,1,0)))))</f>
        <v>1</v>
      </c>
      <c r="Z170" s="0" t="n">
        <f aca="true">IF('Reverse Search'!$C$14="Disable",1,IF('Reverse Search'!$D$16="Disable",1,IF($C$2=3,IF($M170=0,0,COUNTIF(INDIRECT("'0.0.2 Pokémon Learnset (Core)'!$D$"&amp;MATCH($E170,'0.0.2 Pokémon Learnset (Core)'!$A$1:$A951,0)&amp;":$FK$"&amp;MATCH($E170,'0.0.2 Pokémon Learnset (Core)'!$A$1:$A951,0)),'Reverse Search'!$E$21)),IF($C$2=2,COUNTIF(INDIRECT("'0.1.1 Pokémon GO Moves'!$B$"&amp;MATCH($E170,'0.1.1 Pokémon GO Moves'!$A$1:$A951,0)&amp;":$R$"&amp;MATCH($E170,'0.1.1 Pokémon GO Moves'!$A$1:$A951,0)),'Reverse Search'!$E$21),COUNTIF(INDIRECT("'0.1.1 Pokémon GO Moves'!$B$"&amp;MATCH($E170,'0.1.1 Pokémon GO Moves'!$A$1:$A951,0)&amp;":$L$"&amp;MATCH($E170,'0.1.1 Pokémon GO Moves'!$A$1:$A951,0)),'Reverse Search'!$E$21)))))</f>
        <v>1</v>
      </c>
      <c r="AA170" s="0" t="n">
        <f aca="true">IF('Reverse Search'!$C$14="Disable",1,IF('Reverse Search'!$I$16="Disable",1,IF($D$2=3,IF($M170=0,0,COUNTIF(INDIRECT("'0.0.2 Pokémon Learnset (Core)'!$D$"&amp;MATCH($E170,'0.0.2 Pokémon Learnset (Core)'!$A$1:$A951,0)&amp;":$FK$"&amp;MATCH($E170,'0.0.2 Pokémon Learnset (Core)'!$A$1:$A951,0)),'Reverse Search'!$J$21)),IF($D$2=2,COUNTIF(INDIRECT("'0.1.1 Pokémon GO Moves'!$B$"&amp;MATCH($E170,'0.1.1 Pokémon GO Moves'!$A$1:$A951,0)&amp;":$R$"&amp;MATCH($E170,'0.1.1 Pokémon GO Moves'!$A$1:$A951,0)),'Reverse Search'!$J$21),COUNTIF(INDIRECT("'0.1.1 Pokémon GO Moves'!$B$"&amp;MATCH($E170,'0.1.1 Pokémon GO Moves'!$A$1:$A951,0)&amp;":$L$"&amp;MATCH($E170,'0.1.1 Pokémon GO Moves'!$A$1:$A951,0)),'Reverse Search'!$J$21)))))</f>
        <v>0</v>
      </c>
      <c r="AB170" s="490"/>
      <c r="AC170" s="260" t="n">
        <f aca="false">IF((Q170+R170+S170+V170+W170+X170+Y170+IF(Z170&gt;=1,1,0)+IF(AA170&gt;=1,1,0))=9,G170&amp;", ",)</f>
        <v>0</v>
      </c>
    </row>
    <row r="171" customFormat="false" ht="15.75" hidden="false" customHeight="false" outlineLevel="0" collapsed="false">
      <c r="A171" s="260"/>
      <c r="B171" s="358"/>
      <c r="C171" s="260"/>
      <c r="D171" s="358"/>
      <c r="E171" s="260" t="n">
        <v>170</v>
      </c>
      <c r="F171" s="260" t="n">
        <f aca="false" t="array" ref="F171:F171">INDEX('0.0.1 Pokémon Dex Data'!$H$3:$H951,MATCH(E171,'0.0.1 Pokémon Dex Data'!$B$3:$B951,0))</f>
        <v>0</v>
      </c>
      <c r="G171" s="0" t="str">
        <f aca="false" t="array" ref="G171:G171">INDEX('0.0.1 Pokémon Dex Data'!$E$3:$E951,MATCH(E171,'0.0.1 Pokémon Dex Data'!$B$3:$B951,0))</f>
        <v>Kabuto</v>
      </c>
      <c r="H171" s="0" t="str">
        <f aca="false" t="array" ref="H171:H171">INDEX('0.0.1 Pokémon Dex Data'!$Q$3:$Q951,MATCH(E171,'0.0.1 Pokémon Dex Data'!$B$3:$B951,0))</f>
        <v>Rock</v>
      </c>
      <c r="I171" s="0" t="str">
        <f aca="false" t="array" ref="I171:I171">INDEX('0.0.1 Pokémon Dex Data'!$R$3:$R951,MATCH(E171,'0.0.1 Pokémon Dex Data'!$B$3:$B951,0))</f>
        <v>Water</v>
      </c>
      <c r="J171" s="260" t="n">
        <f aca="false" t="array" ref="J171:J171">ROUND(INDEX('0.0.1 Pokémon Dex Data'!$S$3:$S951,MATCH($E171,'0.0.1 Pokémon Dex Data'!$B$3:$B951,0))*INDEX('0.0.1 Pokémon Dex Data'!T$3:T951,MATCH($E171,'0.0.1 Pokémon Dex Data'!$B$3:$B951,0)),0)</f>
        <v>148</v>
      </c>
      <c r="K171" s="260" t="n">
        <f aca="false" t="array" ref="K171:K171">ROUND(INDEX('0.0.1 Pokémon Dex Data'!$S$3:$S951,MATCH($E171,'0.0.1 Pokémon Dex Data'!$B$3:$B951,0))*INDEX('0.0.1 Pokémon Dex Data'!U$3:U951,MATCH($E171,'0.0.1 Pokémon Dex Data'!$B$3:$B951,0)),0)</f>
        <v>140</v>
      </c>
      <c r="L171" s="260" t="n">
        <f aca="false" t="array" ref="L171:L171">ROUND(INDEX('0.0.1 Pokémon Dex Data'!$S$3:$S951,MATCH($E171,'0.0.1 Pokémon Dex Data'!$B$3:$B951,0))*INDEX('0.0.1 Pokémon Dex Data'!V$3:V951,MATCH($E171,'0.0.1 Pokémon Dex Data'!$B$3:$B951,0)),0)</f>
        <v>102</v>
      </c>
      <c r="M171" s="260" t="n">
        <f aca="false" t="array" ref="M171:M171">INDEX('0.0.1 Pokémon Dex Data'!$J$3:$J951,MATCH(E171,'0.0.1 Pokémon Dex Data'!$B$3:$B951,0))</f>
        <v>0</v>
      </c>
      <c r="O171" s="490"/>
      <c r="Q171" s="367" t="n">
        <f aca="false">IF('Reverse Search'!$F$4="All (including temporary formes)",1,IF('Reverse Search'!$F$4="Base Pokémon and permanent formes only",IF(F171&lt;=1,1,0),IF(F171=0,1,0)))</f>
        <v>1</v>
      </c>
      <c r="R171" s="0" t="n">
        <f aca="false">IF('Reverse Search'!$C$7="Disable",1,IF('Reverse Search'!$D$9="Disable",1,IF(OR('Reverse Search'!$F$9=H171,'Reverse Search'!$F$9=I171),1,0)))</f>
        <v>1</v>
      </c>
      <c r="S171" s="0" t="n">
        <f aca="false">IF('Reverse Search'!$C$7="Disable",1,IF('Reverse Search'!$D$10="Disable",1,IF(OR('Reverse Search'!$F$10=H171,'Reverse Search'!$F$10=I171),1,0)))</f>
        <v>1</v>
      </c>
      <c r="T171" s="0" t="n">
        <f aca="false">INDEX($B$4:$B$22,MATCH(H171,$A$4:$A$22,0))</f>
        <v>0.714</v>
      </c>
      <c r="U171" s="0" t="n">
        <f aca="false">IF(ISBLANK(I171),1,INDEX($B$4:$B$22,MATCH(I171,$A$4:$A$22,0)))</f>
        <v>1</v>
      </c>
      <c r="V171" s="367" t="n">
        <f aca="false">IF('Reverse Search'!$C$7="Disable",1,IF('Reverse Search'!$D$11="Disable",1,IF('Reverse Search'!$E$11="Neutral to:",IF(ROUND(T171*U171,2)&lt;=1,1,0),IF(ROUND(T171*U171,2)&lt;1,1,0))))</f>
        <v>1</v>
      </c>
      <c r="W171" s="0" t="n">
        <f aca="false">IF('Reverse Search'!$N$7="Disable",1,IF('Reverse Search'!$I$9="Disable",1,IF('Reverse Search'!$K$9="≥",IF(J171&gt;='Reverse Search'!$L$9,1,0),IF('Reverse Search'!$K$9="≤",IF(J171&lt;='Reverse Search'!$L$9,1,0),IF(J171='Reverse Search'!$L$9,1,0)))))</f>
        <v>1</v>
      </c>
      <c r="X171" s="0" t="n">
        <f aca="false">IF('Reverse Search'!$N$7="Disable",1,IF('Reverse Search'!$I$10="Disable",1,IF('Reverse Search'!$K$10="≥",IF(K171&gt;='Reverse Search'!$L$10,1,0),IF('Reverse Search'!$K$10="≤",IF(K171&lt;='Reverse Search'!$L$10,1,0),IF(K171='Reverse Search'!$L$10,1,0)))))</f>
        <v>1</v>
      </c>
      <c r="Y171" s="367" t="n">
        <f aca="false">IF('Reverse Search'!$N$7="Disable",1,IF('Reverse Search'!$I$11="Disable",1,IF('Reverse Search'!$K$11="≥",IF(L171&gt;='Reverse Search'!$L$11,1,0),IF('Reverse Search'!$K$11="≤",IF(L171&lt;='Reverse Search'!$L$11,1,0),IF(L171='Reverse Search'!$L$11,1,0)))))</f>
        <v>1</v>
      </c>
      <c r="Z171" s="0" t="n">
        <f aca="true">IF('Reverse Search'!$C$14="Disable",1,IF('Reverse Search'!$D$16="Disable",1,IF($C$2=3,IF($M171=0,0,COUNTIF(INDIRECT("'0.0.2 Pokémon Learnset (Core)'!$D$"&amp;MATCH($E171,'0.0.2 Pokémon Learnset (Core)'!$A$1:$A951,0)&amp;":$FK$"&amp;MATCH($E171,'0.0.2 Pokémon Learnset (Core)'!$A$1:$A951,0)),'Reverse Search'!$E$21)),IF($C$2=2,COUNTIF(INDIRECT("'0.1.1 Pokémon GO Moves'!$B$"&amp;MATCH($E171,'0.1.1 Pokémon GO Moves'!$A$1:$A951,0)&amp;":$R$"&amp;MATCH($E171,'0.1.1 Pokémon GO Moves'!$A$1:$A951,0)),'Reverse Search'!$E$21),COUNTIF(INDIRECT("'0.1.1 Pokémon GO Moves'!$B$"&amp;MATCH($E171,'0.1.1 Pokémon GO Moves'!$A$1:$A951,0)&amp;":$L$"&amp;MATCH($E171,'0.1.1 Pokémon GO Moves'!$A$1:$A951,0)),'Reverse Search'!$E$21)))))</f>
        <v>1</v>
      </c>
      <c r="AA171" s="0" t="n">
        <f aca="true">IF('Reverse Search'!$C$14="Disable",1,IF('Reverse Search'!$I$16="Disable",1,IF($D$2=3,IF($M171=0,0,COUNTIF(INDIRECT("'0.0.2 Pokémon Learnset (Core)'!$D$"&amp;MATCH($E171,'0.0.2 Pokémon Learnset (Core)'!$A$1:$A951,0)&amp;":$FK$"&amp;MATCH($E171,'0.0.2 Pokémon Learnset (Core)'!$A$1:$A951,0)),'Reverse Search'!$J$21)),IF($D$2=2,COUNTIF(INDIRECT("'0.1.1 Pokémon GO Moves'!$B$"&amp;MATCH($E171,'0.1.1 Pokémon GO Moves'!$A$1:$A951,0)&amp;":$R$"&amp;MATCH($E171,'0.1.1 Pokémon GO Moves'!$A$1:$A951,0)),'Reverse Search'!$J$21),COUNTIF(INDIRECT("'0.1.1 Pokémon GO Moves'!$B$"&amp;MATCH($E171,'0.1.1 Pokémon GO Moves'!$A$1:$A951,0)&amp;":$L$"&amp;MATCH($E171,'0.1.1 Pokémon GO Moves'!$A$1:$A951,0)),'Reverse Search'!$J$21)))))</f>
        <v>0</v>
      </c>
      <c r="AB171" s="490"/>
      <c r="AC171" s="260" t="n">
        <f aca="false">IF((Q171+R171+S171+V171+W171+X171+Y171+IF(Z171&gt;=1,1,0)+IF(AA171&gt;=1,1,0))=9,G171&amp;", ",)</f>
        <v>0</v>
      </c>
    </row>
    <row r="172" customFormat="false" ht="15.75" hidden="false" customHeight="false" outlineLevel="0" collapsed="false">
      <c r="A172" s="260"/>
      <c r="B172" s="358"/>
      <c r="C172" s="260"/>
      <c r="D172" s="358"/>
      <c r="E172" s="260" t="n">
        <v>171</v>
      </c>
      <c r="F172" s="260" t="n">
        <f aca="false" t="array" ref="F172:F172">INDEX('0.0.1 Pokémon Dex Data'!$H$3:$H951,MATCH(E172,'0.0.1 Pokémon Dex Data'!$B$3:$B951,0))</f>
        <v>0</v>
      </c>
      <c r="G172" s="0" t="str">
        <f aca="false" t="array" ref="G172:G172">INDEX('0.0.1 Pokémon Dex Data'!$E$3:$E951,MATCH(E172,'0.0.1 Pokémon Dex Data'!$B$3:$B951,0))</f>
        <v>Kabutops</v>
      </c>
      <c r="H172" s="0" t="str">
        <f aca="false" t="array" ref="H172:H172">INDEX('0.0.1 Pokémon Dex Data'!$Q$3:$Q951,MATCH(E172,'0.0.1 Pokémon Dex Data'!$B$3:$B951,0))</f>
        <v>Rock</v>
      </c>
      <c r="I172" s="0" t="str">
        <f aca="false" t="array" ref="I172:I172">INDEX('0.0.1 Pokémon Dex Data'!$R$3:$R951,MATCH(E172,'0.0.1 Pokémon Dex Data'!$B$3:$B951,0))</f>
        <v>Water</v>
      </c>
      <c r="J172" s="260" t="n">
        <f aca="false" t="array" ref="J172:J172">ROUND(INDEX('0.0.1 Pokémon Dex Data'!$S$3:$S951,MATCH($E172,'0.0.1 Pokémon Dex Data'!$B$3:$B951,0))*INDEX('0.0.1 Pokémon Dex Data'!T$3:T951,MATCH($E172,'0.0.1 Pokémon Dex Data'!$B$3:$B951,0)),0)</f>
        <v>220</v>
      </c>
      <c r="K172" s="260" t="n">
        <f aca="false" t="array" ref="K172:K172">ROUND(INDEX('0.0.1 Pokémon Dex Data'!$S$3:$S951,MATCH($E172,'0.0.1 Pokémon Dex Data'!$B$3:$B951,0))*INDEX('0.0.1 Pokémon Dex Data'!U$3:U951,MATCH($E172,'0.0.1 Pokémon Dex Data'!$B$3:$B951,0)),0)</f>
        <v>186</v>
      </c>
      <c r="L172" s="260" t="n">
        <f aca="false" t="array" ref="L172:L172">ROUND(INDEX('0.0.1 Pokémon Dex Data'!$S$3:$S951,MATCH($E172,'0.0.1 Pokémon Dex Data'!$B$3:$B951,0))*INDEX('0.0.1 Pokémon Dex Data'!V$3:V951,MATCH($E172,'0.0.1 Pokémon Dex Data'!$B$3:$B951,0)),0)</f>
        <v>155</v>
      </c>
      <c r="M172" s="260" t="n">
        <f aca="false" t="array" ref="M172:M172">INDEX('0.0.1 Pokémon Dex Data'!$J$3:$J951,MATCH(E172,'0.0.1 Pokémon Dex Data'!$B$3:$B951,0))</f>
        <v>1</v>
      </c>
      <c r="O172" s="490"/>
      <c r="Q172" s="367" t="n">
        <f aca="false">IF('Reverse Search'!$F$4="All (including temporary formes)",1,IF('Reverse Search'!$F$4="Base Pokémon and permanent formes only",IF(F172&lt;=1,1,0),IF(F172=0,1,0)))</f>
        <v>1</v>
      </c>
      <c r="R172" s="0" t="n">
        <f aca="false">IF('Reverse Search'!$C$7="Disable",1,IF('Reverse Search'!$D$9="Disable",1,IF(OR('Reverse Search'!$F$9=H172,'Reverse Search'!$F$9=I172),1,0)))</f>
        <v>1</v>
      </c>
      <c r="S172" s="0" t="n">
        <f aca="false">IF('Reverse Search'!$C$7="Disable",1,IF('Reverse Search'!$D$10="Disable",1,IF(OR('Reverse Search'!$F$10=H172,'Reverse Search'!$F$10=I172),1,0)))</f>
        <v>1</v>
      </c>
      <c r="T172" s="0" t="n">
        <f aca="false">INDEX($B$4:$B$22,MATCH(H172,$A$4:$A$22,0))</f>
        <v>0.714</v>
      </c>
      <c r="U172" s="0" t="n">
        <f aca="false">IF(ISBLANK(I172),1,INDEX($B$4:$B$22,MATCH(I172,$A$4:$A$22,0)))</f>
        <v>1</v>
      </c>
      <c r="V172" s="367" t="n">
        <f aca="false">IF('Reverse Search'!$C$7="Disable",1,IF('Reverse Search'!$D$11="Disable",1,IF('Reverse Search'!$E$11="Neutral to:",IF(ROUND(T172*U172,2)&lt;=1,1,0),IF(ROUND(T172*U172,2)&lt;1,1,0))))</f>
        <v>1</v>
      </c>
      <c r="W172" s="0" t="n">
        <f aca="false">IF('Reverse Search'!$N$7="Disable",1,IF('Reverse Search'!$I$9="Disable",1,IF('Reverse Search'!$K$9="≥",IF(J172&gt;='Reverse Search'!$L$9,1,0),IF('Reverse Search'!$K$9="≤",IF(J172&lt;='Reverse Search'!$L$9,1,0),IF(J172='Reverse Search'!$L$9,1,0)))))</f>
        <v>1</v>
      </c>
      <c r="X172" s="0" t="n">
        <f aca="false">IF('Reverse Search'!$N$7="Disable",1,IF('Reverse Search'!$I$10="Disable",1,IF('Reverse Search'!$K$10="≥",IF(K172&gt;='Reverse Search'!$L$10,1,0),IF('Reverse Search'!$K$10="≤",IF(K172&lt;='Reverse Search'!$L$10,1,0),IF(K172='Reverse Search'!$L$10,1,0)))))</f>
        <v>1</v>
      </c>
      <c r="Y172" s="367" t="n">
        <f aca="false">IF('Reverse Search'!$N$7="Disable",1,IF('Reverse Search'!$I$11="Disable",1,IF('Reverse Search'!$K$11="≥",IF(L172&gt;='Reverse Search'!$L$11,1,0),IF('Reverse Search'!$K$11="≤",IF(L172&lt;='Reverse Search'!$L$11,1,0),IF(L172='Reverse Search'!$L$11,1,0)))))</f>
        <v>1</v>
      </c>
      <c r="Z172" s="0" t="n">
        <f aca="true">IF('Reverse Search'!$C$14="Disable",1,IF('Reverse Search'!$D$16="Disable",1,IF($C$2=3,IF($M172=0,0,COUNTIF(INDIRECT("'0.0.2 Pokémon Learnset (Core)'!$D$"&amp;MATCH($E172,'0.0.2 Pokémon Learnset (Core)'!$A$1:$A951,0)&amp;":$FK$"&amp;MATCH($E172,'0.0.2 Pokémon Learnset (Core)'!$A$1:$A951,0)),'Reverse Search'!$E$21)),IF($C$2=2,COUNTIF(INDIRECT("'0.1.1 Pokémon GO Moves'!$B$"&amp;MATCH($E172,'0.1.1 Pokémon GO Moves'!$A$1:$A951,0)&amp;":$R$"&amp;MATCH($E172,'0.1.1 Pokémon GO Moves'!$A$1:$A951,0)),'Reverse Search'!$E$21),COUNTIF(INDIRECT("'0.1.1 Pokémon GO Moves'!$B$"&amp;MATCH($E172,'0.1.1 Pokémon GO Moves'!$A$1:$A951,0)&amp;":$L$"&amp;MATCH($E172,'0.1.1 Pokémon GO Moves'!$A$1:$A951,0)),'Reverse Search'!$E$21)))))</f>
        <v>1</v>
      </c>
      <c r="AA172" s="0" t="n">
        <f aca="true">IF('Reverse Search'!$C$14="Disable",1,IF('Reverse Search'!$I$16="Disable",1,IF($D$2=3,IF($M172=0,0,COUNTIF(INDIRECT("'0.0.2 Pokémon Learnset (Core)'!$D$"&amp;MATCH($E172,'0.0.2 Pokémon Learnset (Core)'!$A$1:$A951,0)&amp;":$FK$"&amp;MATCH($E172,'0.0.2 Pokémon Learnset (Core)'!$A$1:$A951,0)),'Reverse Search'!$J$21)),IF($D$2=2,COUNTIF(INDIRECT("'0.1.1 Pokémon GO Moves'!$B$"&amp;MATCH($E172,'0.1.1 Pokémon GO Moves'!$A$1:$A951,0)&amp;":$R$"&amp;MATCH($E172,'0.1.1 Pokémon GO Moves'!$A$1:$A951,0)),'Reverse Search'!$J$21),COUNTIF(INDIRECT("'0.1.1 Pokémon GO Moves'!$B$"&amp;MATCH($E172,'0.1.1 Pokémon GO Moves'!$A$1:$A951,0)&amp;":$L$"&amp;MATCH($E172,'0.1.1 Pokémon GO Moves'!$A$1:$A951,0)),'Reverse Search'!$J$21)))))</f>
        <v>0</v>
      </c>
      <c r="AB172" s="490"/>
      <c r="AC172" s="260" t="n">
        <f aca="false">IF((Q172+R172+S172+V172+W172+X172+Y172+IF(Z172&gt;=1,1,0)+IF(AA172&gt;=1,1,0))=9,G172&amp;", ",)</f>
        <v>0</v>
      </c>
    </row>
    <row r="173" customFormat="false" ht="15.75" hidden="false" customHeight="false" outlineLevel="0" collapsed="false">
      <c r="A173" s="260"/>
      <c r="B173" s="358"/>
      <c r="C173" s="260"/>
      <c r="D173" s="358"/>
      <c r="E173" s="260" t="n">
        <v>172</v>
      </c>
      <c r="F173" s="260" t="n">
        <f aca="false" t="array" ref="F173:F173">INDEX('0.0.1 Pokémon Dex Data'!$H$3:$H951,MATCH(E173,'0.0.1 Pokémon Dex Data'!$B$3:$B951,0))</f>
        <v>0</v>
      </c>
      <c r="G173" s="0" t="str">
        <f aca="false" t="array" ref="G173:G173">INDEX('0.0.1 Pokémon Dex Data'!$E$3:$E951,MATCH(E173,'0.0.1 Pokémon Dex Data'!$B$3:$B951,0))</f>
        <v>Aerodactyl</v>
      </c>
      <c r="H173" s="0" t="str">
        <f aca="false" t="array" ref="H173:H173">INDEX('0.0.1 Pokémon Dex Data'!$Q$3:$Q951,MATCH(E173,'0.0.1 Pokémon Dex Data'!$B$3:$B951,0))</f>
        <v>Rock</v>
      </c>
      <c r="I173" s="0" t="str">
        <f aca="false" t="array" ref="I173:I173">INDEX('0.0.1 Pokémon Dex Data'!$R$3:$R951,MATCH(E173,'0.0.1 Pokémon Dex Data'!$B$3:$B951,0))</f>
        <v>Flying</v>
      </c>
      <c r="J173" s="260" t="n">
        <f aca="false" t="array" ref="J173:J173">ROUND(INDEX('0.0.1 Pokémon Dex Data'!$S$3:$S951,MATCH($E173,'0.0.1 Pokémon Dex Data'!$B$3:$B951,0))*INDEX('0.0.1 Pokémon Dex Data'!T$3:T951,MATCH($E173,'0.0.1 Pokémon Dex Data'!$B$3:$B951,0)),0)</f>
        <v>221</v>
      </c>
      <c r="K173" s="260" t="n">
        <f aca="false" t="array" ref="K173:K173">ROUND(INDEX('0.0.1 Pokémon Dex Data'!$S$3:$S951,MATCH($E173,'0.0.1 Pokémon Dex Data'!$B$3:$B951,0))*INDEX('0.0.1 Pokémon Dex Data'!U$3:U951,MATCH($E173,'0.0.1 Pokémon Dex Data'!$B$3:$B951,0)),0)</f>
        <v>159</v>
      </c>
      <c r="L173" s="260" t="n">
        <f aca="false" t="array" ref="L173:L173">ROUND(INDEX('0.0.1 Pokémon Dex Data'!$S$3:$S951,MATCH($E173,'0.0.1 Pokémon Dex Data'!$B$3:$B951,0))*INDEX('0.0.1 Pokémon Dex Data'!V$3:V951,MATCH($E173,'0.0.1 Pokémon Dex Data'!$B$3:$B951,0)),0)</f>
        <v>190</v>
      </c>
      <c r="M173" s="260" t="n">
        <f aca="false" t="array" ref="M173:M173">INDEX('0.0.1 Pokémon Dex Data'!$J$3:$J951,MATCH(E173,'0.0.1 Pokémon Dex Data'!$B$3:$B951,0))</f>
        <v>1</v>
      </c>
      <c r="O173" s="490"/>
      <c r="Q173" s="367" t="n">
        <f aca="false">IF('Reverse Search'!$F$4="All (including temporary formes)",1,IF('Reverse Search'!$F$4="Base Pokémon and permanent formes only",IF(F173&lt;=1,1,0),IF(F173=0,1,0)))</f>
        <v>1</v>
      </c>
      <c r="R173" s="0" t="n">
        <f aca="false">IF('Reverse Search'!$C$7="Disable",1,IF('Reverse Search'!$D$9="Disable",1,IF(OR('Reverse Search'!$F$9=H173,'Reverse Search'!$F$9=I173),1,0)))</f>
        <v>1</v>
      </c>
      <c r="S173" s="0" t="n">
        <f aca="false">IF('Reverse Search'!$C$7="Disable",1,IF('Reverse Search'!$D$10="Disable",1,IF(OR('Reverse Search'!$F$10=H173,'Reverse Search'!$F$10=I173),1,0)))</f>
        <v>1</v>
      </c>
      <c r="T173" s="0" t="n">
        <f aca="false">INDEX($B$4:$B$22,MATCH(H173,$A$4:$A$22,0))</f>
        <v>0.714</v>
      </c>
      <c r="U173" s="0" t="n">
        <f aca="false">IF(ISBLANK(I173),1,INDEX($B$4:$B$22,MATCH(I173,$A$4:$A$22,0)))</f>
        <v>1</v>
      </c>
      <c r="V173" s="367" t="n">
        <f aca="false">IF('Reverse Search'!$C$7="Disable",1,IF('Reverse Search'!$D$11="Disable",1,IF('Reverse Search'!$E$11="Neutral to:",IF(ROUND(T173*U173,2)&lt;=1,1,0),IF(ROUND(T173*U173,2)&lt;1,1,0))))</f>
        <v>1</v>
      </c>
      <c r="W173" s="0" t="n">
        <f aca="false">IF('Reverse Search'!$N$7="Disable",1,IF('Reverse Search'!$I$9="Disable",1,IF('Reverse Search'!$K$9="≥",IF(J173&gt;='Reverse Search'!$L$9,1,0),IF('Reverse Search'!$K$9="≤",IF(J173&lt;='Reverse Search'!$L$9,1,0),IF(J173='Reverse Search'!$L$9,1,0)))))</f>
        <v>1</v>
      </c>
      <c r="X173" s="0" t="n">
        <f aca="false">IF('Reverse Search'!$N$7="Disable",1,IF('Reverse Search'!$I$10="Disable",1,IF('Reverse Search'!$K$10="≥",IF(K173&gt;='Reverse Search'!$L$10,1,0),IF('Reverse Search'!$K$10="≤",IF(K173&lt;='Reverse Search'!$L$10,1,0),IF(K173='Reverse Search'!$L$10,1,0)))))</f>
        <v>1</v>
      </c>
      <c r="Y173" s="367" t="n">
        <f aca="false">IF('Reverse Search'!$N$7="Disable",1,IF('Reverse Search'!$I$11="Disable",1,IF('Reverse Search'!$K$11="≥",IF(L173&gt;='Reverse Search'!$L$11,1,0),IF('Reverse Search'!$K$11="≤",IF(L173&lt;='Reverse Search'!$L$11,1,0),IF(L173='Reverse Search'!$L$11,1,0)))))</f>
        <v>1</v>
      </c>
      <c r="Z173" s="0" t="n">
        <f aca="true">IF('Reverse Search'!$C$14="Disable",1,IF('Reverse Search'!$D$16="Disable",1,IF($C$2=3,IF($M173=0,0,COUNTIF(INDIRECT("'0.0.2 Pokémon Learnset (Core)'!$D$"&amp;MATCH($E173,'0.0.2 Pokémon Learnset (Core)'!$A$1:$A951,0)&amp;":$FK$"&amp;MATCH($E173,'0.0.2 Pokémon Learnset (Core)'!$A$1:$A951,0)),'Reverse Search'!$E$21)),IF($C$2=2,COUNTIF(INDIRECT("'0.1.1 Pokémon GO Moves'!$B$"&amp;MATCH($E173,'0.1.1 Pokémon GO Moves'!$A$1:$A951,0)&amp;":$R$"&amp;MATCH($E173,'0.1.1 Pokémon GO Moves'!$A$1:$A951,0)),'Reverse Search'!$E$21),COUNTIF(INDIRECT("'0.1.1 Pokémon GO Moves'!$B$"&amp;MATCH($E173,'0.1.1 Pokémon GO Moves'!$A$1:$A951,0)&amp;":$L$"&amp;MATCH($E173,'0.1.1 Pokémon GO Moves'!$A$1:$A951,0)),'Reverse Search'!$E$21)))))</f>
        <v>1</v>
      </c>
      <c r="AA173" s="0" t="n">
        <f aca="true">IF('Reverse Search'!$C$14="Disable",1,IF('Reverse Search'!$I$16="Disable",1,IF($D$2=3,IF($M173=0,0,COUNTIF(INDIRECT("'0.0.2 Pokémon Learnset (Core)'!$D$"&amp;MATCH($E173,'0.0.2 Pokémon Learnset (Core)'!$A$1:$A951,0)&amp;":$FK$"&amp;MATCH($E173,'0.0.2 Pokémon Learnset (Core)'!$A$1:$A951,0)),'Reverse Search'!$J$21)),IF($D$2=2,COUNTIF(INDIRECT("'0.1.1 Pokémon GO Moves'!$B$"&amp;MATCH($E173,'0.1.1 Pokémon GO Moves'!$A$1:$A951,0)&amp;":$R$"&amp;MATCH($E173,'0.1.1 Pokémon GO Moves'!$A$1:$A951,0)),'Reverse Search'!$J$21),COUNTIF(INDIRECT("'0.1.1 Pokémon GO Moves'!$B$"&amp;MATCH($E173,'0.1.1 Pokémon GO Moves'!$A$1:$A951,0)&amp;":$L$"&amp;MATCH($E173,'0.1.1 Pokémon GO Moves'!$A$1:$A951,0)),'Reverse Search'!$J$21)))))</f>
        <v>0</v>
      </c>
      <c r="AB173" s="490"/>
      <c r="AC173" s="260" t="n">
        <f aca="false">IF((Q173+R173+S173+V173+W173+X173+Y173+IF(Z173&gt;=1,1,0)+IF(AA173&gt;=1,1,0))=9,G173&amp;", ",)</f>
        <v>0</v>
      </c>
    </row>
    <row r="174" customFormat="false" ht="15.75" hidden="false" customHeight="false" outlineLevel="0" collapsed="false">
      <c r="A174" s="260"/>
      <c r="B174" s="358"/>
      <c r="C174" s="260"/>
      <c r="D174" s="358"/>
      <c r="E174" s="260" t="n">
        <v>173</v>
      </c>
      <c r="F174" s="260" t="n">
        <f aca="false" t="array" ref="F174:F174">INDEX('0.0.1 Pokémon Dex Data'!$H$3:$H951,MATCH(E174,'0.0.1 Pokémon Dex Data'!$B$3:$B951,0))</f>
        <v>2</v>
      </c>
      <c r="G174" s="0" t="str">
        <f aca="false" t="array" ref="G174:G174">INDEX('0.0.1 Pokémon Dex Data'!$E$3:$E951,MATCH(E174,'0.0.1 Pokémon Dex Data'!$B$3:$B951,0))</f>
        <v>Aerodactyl-Mega</v>
      </c>
      <c r="H174" s="0" t="str">
        <f aca="false" t="array" ref="H174:H174">INDEX('0.0.1 Pokémon Dex Data'!$Q$3:$Q951,MATCH(E174,'0.0.1 Pokémon Dex Data'!$B$3:$B951,0))</f>
        <v>Rock</v>
      </c>
      <c r="I174" s="0" t="str">
        <f aca="false" t="array" ref="I174:I174">INDEX('0.0.1 Pokémon Dex Data'!$R$3:$R951,MATCH(E174,'0.0.1 Pokémon Dex Data'!$B$3:$B951,0))</f>
        <v>Flying</v>
      </c>
      <c r="J174" s="260" t="n">
        <f aca="false" t="array" ref="J174:J174">ROUND(INDEX('0.0.1 Pokémon Dex Data'!$S$3:$S951,MATCH($E174,'0.0.1 Pokémon Dex Data'!$B$3:$B951,0))*INDEX('0.0.1 Pokémon Dex Data'!T$3:T951,MATCH($E174,'0.0.1 Pokémon Dex Data'!$B$3:$B951,0)),0)</f>
        <v>292</v>
      </c>
      <c r="K174" s="260" t="n">
        <f aca="false" t="array" ref="K174:K174">ROUND(INDEX('0.0.1 Pokémon Dex Data'!$S$3:$S951,MATCH($E174,'0.0.1 Pokémon Dex Data'!$B$3:$B951,0))*INDEX('0.0.1 Pokémon Dex Data'!U$3:U951,MATCH($E174,'0.0.1 Pokémon Dex Data'!$B$3:$B951,0)),0)</f>
        <v>210</v>
      </c>
      <c r="L174" s="260" t="n">
        <f aca="false" t="array" ref="L174:L174">ROUND(INDEX('0.0.1 Pokémon Dex Data'!$S$3:$S951,MATCH($E174,'0.0.1 Pokémon Dex Data'!$B$3:$B951,0))*INDEX('0.0.1 Pokémon Dex Data'!V$3:V951,MATCH($E174,'0.0.1 Pokémon Dex Data'!$B$3:$B951,0)),0)</f>
        <v>190</v>
      </c>
      <c r="M174" s="260" t="n">
        <f aca="false" t="array" ref="M174:M174">INDEX('0.0.1 Pokémon Dex Data'!$J$3:$J951,MATCH(E174,'0.0.1 Pokémon Dex Data'!$B$3:$B951,0))</f>
        <v>1</v>
      </c>
      <c r="O174" s="490"/>
      <c r="Q174" s="367" t="n">
        <f aca="false">IF('Reverse Search'!$F$4="All (including temporary formes)",1,IF('Reverse Search'!$F$4="Base Pokémon and permanent formes only",IF(F174&lt;=1,1,0),IF(F174=0,1,0)))</f>
        <v>0</v>
      </c>
      <c r="R174" s="0" t="n">
        <f aca="false">IF('Reverse Search'!$C$7="Disable",1,IF('Reverse Search'!$D$9="Disable",1,IF(OR('Reverse Search'!$F$9=H174,'Reverse Search'!$F$9=I174),1,0)))</f>
        <v>1</v>
      </c>
      <c r="S174" s="0" t="n">
        <f aca="false">IF('Reverse Search'!$C$7="Disable",1,IF('Reverse Search'!$D$10="Disable",1,IF(OR('Reverse Search'!$F$10=H174,'Reverse Search'!$F$10=I174),1,0)))</f>
        <v>1</v>
      </c>
      <c r="T174" s="0" t="n">
        <f aca="false">INDEX($B$4:$B$22,MATCH(H174,$A$4:$A$22,0))</f>
        <v>0.714</v>
      </c>
      <c r="U174" s="0" t="n">
        <f aca="false">IF(ISBLANK(I174),1,INDEX($B$4:$B$22,MATCH(I174,$A$4:$A$22,0)))</f>
        <v>1</v>
      </c>
      <c r="V174" s="367" t="n">
        <f aca="false">IF('Reverse Search'!$C$7="Disable",1,IF('Reverse Search'!$D$11="Disable",1,IF('Reverse Search'!$E$11="Neutral to:",IF(ROUND(T174*U174,2)&lt;=1,1,0),IF(ROUND(T174*U174,2)&lt;1,1,0))))</f>
        <v>1</v>
      </c>
      <c r="W174" s="0" t="n">
        <f aca="false">IF('Reverse Search'!$N$7="Disable",1,IF('Reverse Search'!$I$9="Disable",1,IF('Reverse Search'!$K$9="≥",IF(J174&gt;='Reverse Search'!$L$9,1,0),IF('Reverse Search'!$K$9="≤",IF(J174&lt;='Reverse Search'!$L$9,1,0),IF(J174='Reverse Search'!$L$9,1,0)))))</f>
        <v>1</v>
      </c>
      <c r="X174" s="0" t="n">
        <f aca="false">IF('Reverse Search'!$N$7="Disable",1,IF('Reverse Search'!$I$10="Disable",1,IF('Reverse Search'!$K$10="≥",IF(K174&gt;='Reverse Search'!$L$10,1,0),IF('Reverse Search'!$K$10="≤",IF(K174&lt;='Reverse Search'!$L$10,1,0),IF(K174='Reverse Search'!$L$10,1,0)))))</f>
        <v>1</v>
      </c>
      <c r="Y174" s="367" t="n">
        <f aca="false">IF('Reverse Search'!$N$7="Disable",1,IF('Reverse Search'!$I$11="Disable",1,IF('Reverse Search'!$K$11="≥",IF(L174&gt;='Reverse Search'!$L$11,1,0),IF('Reverse Search'!$K$11="≤",IF(L174&lt;='Reverse Search'!$L$11,1,0),IF(L174='Reverse Search'!$L$11,1,0)))))</f>
        <v>1</v>
      </c>
      <c r="Z174" s="0" t="n">
        <f aca="true">IF('Reverse Search'!$C$14="Disable",1,IF('Reverse Search'!$D$16="Disable",1,IF($C$2=3,IF($M174=0,0,COUNTIF(INDIRECT("'0.0.2 Pokémon Learnset (Core)'!$D$"&amp;MATCH($E174,'0.0.2 Pokémon Learnset (Core)'!$A$1:$A951,0)&amp;":$FK$"&amp;MATCH($E174,'0.0.2 Pokémon Learnset (Core)'!$A$1:$A951,0)),'Reverse Search'!$E$21)),IF($C$2=2,COUNTIF(INDIRECT("'0.1.1 Pokémon GO Moves'!$B$"&amp;MATCH($E174,'0.1.1 Pokémon GO Moves'!$A$1:$A951,0)&amp;":$R$"&amp;MATCH($E174,'0.1.1 Pokémon GO Moves'!$A$1:$A951,0)),'Reverse Search'!$E$21),COUNTIF(INDIRECT("'0.1.1 Pokémon GO Moves'!$B$"&amp;MATCH($E174,'0.1.1 Pokémon GO Moves'!$A$1:$A951,0)&amp;":$L$"&amp;MATCH($E174,'0.1.1 Pokémon GO Moves'!$A$1:$A951,0)),'Reverse Search'!$E$21)))))</f>
        <v>1</v>
      </c>
      <c r="AA174" s="0" t="e">
        <f aca="true">IF('Reverse Search'!$C$14="Disable",1,IF('Reverse Search'!$I$16="Disable",1,IF($D$2=3,IF($M174=0,0,COUNTIF(INDIRECT("'0.0.2 Pokémon Learnset (Core)'!$D$"&amp;MATCH($E174,'0.0.2 Pokémon Learnset (Core)'!$A$1:$A951,0)&amp;":$FK$"&amp;MATCH($E174,'0.0.2 Pokémon Learnset (Core)'!$A$1:$A951,0)),'Reverse Search'!$J$21)),IF($D$2=2,COUNTIF(INDIRECT("'0.1.1 Pokémon GO Moves'!$B$"&amp;MATCH($E174,'0.1.1 Pokémon GO Moves'!$A$1:$A951,0)&amp;":$R$"&amp;MATCH($E174,'0.1.1 Pokémon GO Moves'!$A$1:$A951,0)),'Reverse Search'!$J$21),COUNTIF(INDIRECT("'0.1.1 Pokémon GO Moves'!$B$"&amp;MATCH($E174,'0.1.1 Pokémon GO Moves'!$A$1:$A951,0)&amp;":$L$"&amp;MATCH($E174,'0.1.1 Pokémon GO Moves'!$A$1:$A951,0)),'Reverse Search'!$J$21)))))</f>
        <v>#N/A</v>
      </c>
      <c r="AB174" s="490"/>
      <c r="AC174" s="260" t="e">
        <f aca="false">IF((Q174+R174+S174+V174+W174+X174+Y174+IF(Z174&gt;=1,1,0)+IF(AA174&gt;=1,1,0))=9,G174&amp;", ",)</f>
        <v>#N/A</v>
      </c>
    </row>
    <row r="175" customFormat="false" ht="15.75" hidden="false" customHeight="false" outlineLevel="0" collapsed="false">
      <c r="A175" s="260"/>
      <c r="B175" s="358"/>
      <c r="C175" s="260"/>
      <c r="D175" s="358"/>
      <c r="E175" s="260" t="n">
        <v>174</v>
      </c>
      <c r="F175" s="260" t="n">
        <f aca="false" t="array" ref="F175:F175">INDEX('0.0.1 Pokémon Dex Data'!$H$3:$H951,MATCH(E175,'0.0.1 Pokémon Dex Data'!$B$3:$B951,0))</f>
        <v>0</v>
      </c>
      <c r="G175" s="0" t="str">
        <f aca="false" t="array" ref="G175:G175">INDEX('0.0.1 Pokémon Dex Data'!$E$3:$E951,MATCH(E175,'0.0.1 Pokémon Dex Data'!$B$3:$B951,0))</f>
        <v>Snorlax</v>
      </c>
      <c r="H175" s="0" t="str">
        <f aca="false" t="array" ref="H175:H175">INDEX('0.0.1 Pokémon Dex Data'!$Q$3:$Q951,MATCH(E175,'0.0.1 Pokémon Dex Data'!$B$3:$B951,0))</f>
        <v>Normal</v>
      </c>
      <c r="I175" s="0" t="n">
        <f aca="false">INDEX('0.0.1 Pokémon Dex Data'!$R$3:$R951,MATCH(E175,'0.0.1 Pokémon Dex Data'!$B$3:$B951,0))</f>
        <v>0</v>
      </c>
      <c r="J175" s="260" t="n">
        <f aca="false" t="array" ref="J175:J175">ROUND(INDEX('0.0.1 Pokémon Dex Data'!$S$3:$S951,MATCH($E175,'0.0.1 Pokémon Dex Data'!$B$3:$B951,0))*INDEX('0.0.1 Pokémon Dex Data'!T$3:T951,MATCH($E175,'0.0.1 Pokémon Dex Data'!$B$3:$B951,0)),0)</f>
        <v>190</v>
      </c>
      <c r="K175" s="260" t="n">
        <f aca="false" t="array" ref="K175:K175">ROUND(INDEX('0.0.1 Pokémon Dex Data'!$S$3:$S951,MATCH($E175,'0.0.1 Pokémon Dex Data'!$B$3:$B951,0))*INDEX('0.0.1 Pokémon Dex Data'!U$3:U951,MATCH($E175,'0.0.1 Pokémon Dex Data'!$B$3:$B951,0)),0)</f>
        <v>169</v>
      </c>
      <c r="L175" s="260" t="n">
        <f aca="false" t="array" ref="L175:L175">ROUND(INDEX('0.0.1 Pokémon Dex Data'!$S$3:$S951,MATCH($E175,'0.0.1 Pokémon Dex Data'!$B$3:$B951,0))*INDEX('0.0.1 Pokémon Dex Data'!V$3:V951,MATCH($E175,'0.0.1 Pokémon Dex Data'!$B$3:$B951,0)),0)</f>
        <v>330</v>
      </c>
      <c r="M175" s="260" t="n">
        <f aca="false" t="array" ref="M175:M175">INDEX('0.0.1 Pokémon Dex Data'!$J$3:$J951,MATCH(E175,'0.0.1 Pokémon Dex Data'!$B$3:$B951,0))</f>
        <v>1</v>
      </c>
      <c r="O175" s="490"/>
      <c r="Q175" s="367" t="n">
        <f aca="false">IF('Reverse Search'!$F$4="All (including temporary formes)",1,IF('Reverse Search'!$F$4="Base Pokémon and permanent formes only",IF(F175&lt;=1,1,0),IF(F175=0,1,0)))</f>
        <v>1</v>
      </c>
      <c r="R175" s="0" t="n">
        <f aca="false">IF('Reverse Search'!$C$7="Disable",1,IF('Reverse Search'!$D$9="Disable",1,IF(OR('Reverse Search'!$F$9=H175,'Reverse Search'!$F$9=I175),1,0)))</f>
        <v>1</v>
      </c>
      <c r="S175" s="0" t="n">
        <f aca="false">IF('Reverse Search'!$C$7="Disable",1,IF('Reverse Search'!$D$10="Disable",1,IF(OR('Reverse Search'!$F$10=H175,'Reverse Search'!$F$10=I175),1,0)))</f>
        <v>1</v>
      </c>
      <c r="T175" s="0" t="n">
        <f aca="false">INDEX($B$4:$B$22,MATCH(H175,$A$4:$A$22,0))</f>
        <v>1</v>
      </c>
      <c r="U175" s="0" t="e">
        <f aca="false">IF(ISBLANK(I175),1,INDEX($B$4:$B$22,MATCH(I175,$A$4:$A$22,0)))</f>
        <v>#N/A</v>
      </c>
      <c r="V175" s="367" t="n">
        <f aca="false">IF('Reverse Search'!$C$7="Disable",1,IF('Reverse Search'!$D$11="Disable",1,IF('Reverse Search'!$E$11="Neutral to:",IF(ROUND(T175*U175,2)&lt;=1,1,0),IF(ROUND(T175*U175,2)&lt;1,1,0))))</f>
        <v>1</v>
      </c>
      <c r="W175" s="0" t="n">
        <f aca="false">IF('Reverse Search'!$N$7="Disable",1,IF('Reverse Search'!$I$9="Disable",1,IF('Reverse Search'!$K$9="≥",IF(J175&gt;='Reverse Search'!$L$9,1,0),IF('Reverse Search'!$K$9="≤",IF(J175&lt;='Reverse Search'!$L$9,1,0),IF(J175='Reverse Search'!$L$9,1,0)))))</f>
        <v>1</v>
      </c>
      <c r="X175" s="0" t="n">
        <f aca="false">IF('Reverse Search'!$N$7="Disable",1,IF('Reverse Search'!$I$10="Disable",1,IF('Reverse Search'!$K$10="≥",IF(K175&gt;='Reverse Search'!$L$10,1,0),IF('Reverse Search'!$K$10="≤",IF(K175&lt;='Reverse Search'!$L$10,1,0),IF(K175='Reverse Search'!$L$10,1,0)))))</f>
        <v>1</v>
      </c>
      <c r="Y175" s="367" t="n">
        <f aca="false">IF('Reverse Search'!$N$7="Disable",1,IF('Reverse Search'!$I$11="Disable",1,IF('Reverse Search'!$K$11="≥",IF(L175&gt;='Reverse Search'!$L$11,1,0),IF('Reverse Search'!$K$11="≤",IF(L175&lt;='Reverse Search'!$L$11,1,0),IF(L175='Reverse Search'!$L$11,1,0)))))</f>
        <v>1</v>
      </c>
      <c r="Z175" s="0" t="n">
        <f aca="true">IF('Reverse Search'!$C$14="Disable",1,IF('Reverse Search'!$D$16="Disable",1,IF($C$2=3,IF($M175=0,0,COUNTIF(INDIRECT("'0.0.2 Pokémon Learnset (Core)'!$D$"&amp;MATCH($E175,'0.0.2 Pokémon Learnset (Core)'!$A$1:$A951,0)&amp;":$FK$"&amp;MATCH($E175,'0.0.2 Pokémon Learnset (Core)'!$A$1:$A951,0)),'Reverse Search'!$E$21)),IF($C$2=2,COUNTIF(INDIRECT("'0.1.1 Pokémon GO Moves'!$B$"&amp;MATCH($E175,'0.1.1 Pokémon GO Moves'!$A$1:$A951,0)&amp;":$R$"&amp;MATCH($E175,'0.1.1 Pokémon GO Moves'!$A$1:$A951,0)),'Reverse Search'!$E$21),COUNTIF(INDIRECT("'0.1.1 Pokémon GO Moves'!$B$"&amp;MATCH($E175,'0.1.1 Pokémon GO Moves'!$A$1:$A951,0)&amp;":$L$"&amp;MATCH($E175,'0.1.1 Pokémon GO Moves'!$A$1:$A951,0)),'Reverse Search'!$E$21)))))</f>
        <v>1</v>
      </c>
      <c r="AA175" s="0" t="n">
        <f aca="true">IF('Reverse Search'!$C$14="Disable",1,IF('Reverse Search'!$I$16="Disable",1,IF($D$2=3,IF($M175=0,0,COUNTIF(INDIRECT("'0.0.2 Pokémon Learnset (Core)'!$D$"&amp;MATCH($E175,'0.0.2 Pokémon Learnset (Core)'!$A$1:$A951,0)&amp;":$FK$"&amp;MATCH($E175,'0.0.2 Pokémon Learnset (Core)'!$A$1:$A951,0)),'Reverse Search'!$J$21)),IF($D$2=2,COUNTIF(INDIRECT("'0.1.1 Pokémon GO Moves'!$B$"&amp;MATCH($E175,'0.1.1 Pokémon GO Moves'!$A$1:$A951,0)&amp;":$R$"&amp;MATCH($E175,'0.1.1 Pokémon GO Moves'!$A$1:$A951,0)),'Reverse Search'!$J$21),COUNTIF(INDIRECT("'0.1.1 Pokémon GO Moves'!$B$"&amp;MATCH($E175,'0.1.1 Pokémon GO Moves'!$A$1:$A951,0)&amp;":$L$"&amp;MATCH($E175,'0.1.1 Pokémon GO Moves'!$A$1:$A951,0)),'Reverse Search'!$J$21)))))</f>
        <v>0</v>
      </c>
      <c r="AB175" s="490"/>
      <c r="AC175" s="260" t="n">
        <f aca="false">IF((Q175+R175+S175+V175+W175+X175+Y175+IF(Z175&gt;=1,1,0)+IF(AA175&gt;=1,1,0))=9,G175&amp;", ",)</f>
        <v>0</v>
      </c>
    </row>
    <row r="176" customFormat="false" ht="15.75" hidden="false" customHeight="false" outlineLevel="0" collapsed="false">
      <c r="A176" s="260"/>
      <c r="B176" s="358"/>
      <c r="C176" s="260"/>
      <c r="D176" s="358"/>
      <c r="E176" s="260" t="n">
        <v>175</v>
      </c>
      <c r="F176" s="260" t="n">
        <f aca="false" t="array" ref="F176:F176">INDEX('0.0.1 Pokémon Dex Data'!$H$3:$H951,MATCH(E176,'0.0.1 Pokémon Dex Data'!$B$3:$B951,0))</f>
        <v>0</v>
      </c>
      <c r="G176" s="0" t="str">
        <f aca="false" t="array" ref="G176:G176">INDEX('0.0.1 Pokémon Dex Data'!$E$3:$E951,MATCH(E176,'0.0.1 Pokémon Dex Data'!$B$3:$B951,0))</f>
        <v>Articuno</v>
      </c>
      <c r="H176" s="0" t="str">
        <f aca="false" t="array" ref="H176:H176">INDEX('0.0.1 Pokémon Dex Data'!$Q$3:$Q951,MATCH(E176,'0.0.1 Pokémon Dex Data'!$B$3:$B951,0))</f>
        <v>Ice</v>
      </c>
      <c r="I176" s="0" t="str">
        <f aca="false" t="array" ref="I176:I176">INDEX('0.0.1 Pokémon Dex Data'!$R$3:$R951,MATCH(E176,'0.0.1 Pokémon Dex Data'!$B$3:$B951,0))</f>
        <v>Flying</v>
      </c>
      <c r="J176" s="260" t="n">
        <f aca="false" t="array" ref="J176:J176">ROUND(INDEX('0.0.1 Pokémon Dex Data'!$S$3:$S951,MATCH($E176,'0.0.1 Pokémon Dex Data'!$B$3:$B951,0))*INDEX('0.0.1 Pokémon Dex Data'!T$3:T951,MATCH($E176,'0.0.1 Pokémon Dex Data'!$B$3:$B951,0)),0)</f>
        <v>192</v>
      </c>
      <c r="K176" s="260" t="n">
        <f aca="false" t="array" ref="K176:K176">ROUND(INDEX('0.0.1 Pokémon Dex Data'!$S$3:$S951,MATCH($E176,'0.0.1 Pokémon Dex Data'!$B$3:$B951,0))*INDEX('0.0.1 Pokémon Dex Data'!U$3:U951,MATCH($E176,'0.0.1 Pokémon Dex Data'!$B$3:$B951,0)),0)</f>
        <v>236</v>
      </c>
      <c r="L176" s="260" t="n">
        <f aca="false" t="array" ref="L176:L176">ROUND(INDEX('0.0.1 Pokémon Dex Data'!$S$3:$S951,MATCH($E176,'0.0.1 Pokémon Dex Data'!$B$3:$B951,0))*INDEX('0.0.1 Pokémon Dex Data'!V$3:V951,MATCH($E176,'0.0.1 Pokémon Dex Data'!$B$3:$B951,0)),0)</f>
        <v>207</v>
      </c>
      <c r="M176" s="260" t="n">
        <f aca="false" t="array" ref="M176:M176">INDEX('0.0.1 Pokémon Dex Data'!$J$3:$J951,MATCH(E176,'0.0.1 Pokémon Dex Data'!$B$3:$B951,0))</f>
        <v>1</v>
      </c>
      <c r="O176" s="490"/>
      <c r="Q176" s="367" t="n">
        <f aca="false">IF('Reverse Search'!$F$4="All (including temporary formes)",1,IF('Reverse Search'!$F$4="Base Pokémon and permanent formes only",IF(F176&lt;=1,1,0),IF(F176=0,1,0)))</f>
        <v>1</v>
      </c>
      <c r="R176" s="0" t="n">
        <f aca="false">IF('Reverse Search'!$C$7="Disable",1,IF('Reverse Search'!$D$9="Disable",1,IF(OR('Reverse Search'!$F$9=H176,'Reverse Search'!$F$9=I176),1,0)))</f>
        <v>1</v>
      </c>
      <c r="S176" s="0" t="n">
        <f aca="false">IF('Reverse Search'!$C$7="Disable",1,IF('Reverse Search'!$D$10="Disable",1,IF(OR('Reverse Search'!$F$10=H176,'Reverse Search'!$F$10=I176),1,0)))</f>
        <v>1</v>
      </c>
      <c r="T176" s="0" t="n">
        <f aca="false">INDEX($B$4:$B$22,MATCH(H176,$A$4:$A$22,0))</f>
        <v>1</v>
      </c>
      <c r="U176" s="0" t="n">
        <f aca="false">IF(ISBLANK(I176),1,INDEX($B$4:$B$22,MATCH(I176,$A$4:$A$22,0)))</f>
        <v>1</v>
      </c>
      <c r="V176" s="367" t="n">
        <f aca="false">IF('Reverse Search'!$C$7="Disable",1,IF('Reverse Search'!$D$11="Disable",1,IF('Reverse Search'!$E$11="Neutral to:",IF(ROUND(T176*U176,2)&lt;=1,1,0),IF(ROUND(T176*U176,2)&lt;1,1,0))))</f>
        <v>1</v>
      </c>
      <c r="W176" s="0" t="n">
        <f aca="false">IF('Reverse Search'!$N$7="Disable",1,IF('Reverse Search'!$I$9="Disable",1,IF('Reverse Search'!$K$9="≥",IF(J176&gt;='Reverse Search'!$L$9,1,0),IF('Reverse Search'!$K$9="≤",IF(J176&lt;='Reverse Search'!$L$9,1,0),IF(J176='Reverse Search'!$L$9,1,0)))))</f>
        <v>1</v>
      </c>
      <c r="X176" s="0" t="n">
        <f aca="false">IF('Reverse Search'!$N$7="Disable",1,IF('Reverse Search'!$I$10="Disable",1,IF('Reverse Search'!$K$10="≥",IF(K176&gt;='Reverse Search'!$L$10,1,0),IF('Reverse Search'!$K$10="≤",IF(K176&lt;='Reverse Search'!$L$10,1,0),IF(K176='Reverse Search'!$L$10,1,0)))))</f>
        <v>1</v>
      </c>
      <c r="Y176" s="367" t="n">
        <f aca="false">IF('Reverse Search'!$N$7="Disable",1,IF('Reverse Search'!$I$11="Disable",1,IF('Reverse Search'!$K$11="≥",IF(L176&gt;='Reverse Search'!$L$11,1,0),IF('Reverse Search'!$K$11="≤",IF(L176&lt;='Reverse Search'!$L$11,1,0),IF(L176='Reverse Search'!$L$11,1,0)))))</f>
        <v>1</v>
      </c>
      <c r="Z176" s="0" t="n">
        <f aca="true">IF('Reverse Search'!$C$14="Disable",1,IF('Reverse Search'!$D$16="Disable",1,IF($C$2=3,IF($M176=0,0,COUNTIF(INDIRECT("'0.0.2 Pokémon Learnset (Core)'!$D$"&amp;MATCH($E176,'0.0.2 Pokémon Learnset (Core)'!$A$1:$A951,0)&amp;":$FK$"&amp;MATCH($E176,'0.0.2 Pokémon Learnset (Core)'!$A$1:$A951,0)),'Reverse Search'!$E$21)),IF($C$2=2,COUNTIF(INDIRECT("'0.1.1 Pokémon GO Moves'!$B$"&amp;MATCH($E176,'0.1.1 Pokémon GO Moves'!$A$1:$A951,0)&amp;":$R$"&amp;MATCH($E176,'0.1.1 Pokémon GO Moves'!$A$1:$A951,0)),'Reverse Search'!$E$21),COUNTIF(INDIRECT("'0.1.1 Pokémon GO Moves'!$B$"&amp;MATCH($E176,'0.1.1 Pokémon GO Moves'!$A$1:$A951,0)&amp;":$L$"&amp;MATCH($E176,'0.1.1 Pokémon GO Moves'!$A$1:$A951,0)),'Reverse Search'!$E$21)))))</f>
        <v>1</v>
      </c>
      <c r="AA176" s="0" t="n">
        <f aca="true">IF('Reverse Search'!$C$14="Disable",1,IF('Reverse Search'!$I$16="Disable",1,IF($D$2=3,IF($M176=0,0,COUNTIF(INDIRECT("'0.0.2 Pokémon Learnset (Core)'!$D$"&amp;MATCH($E176,'0.0.2 Pokémon Learnset (Core)'!$A$1:$A951,0)&amp;":$FK$"&amp;MATCH($E176,'0.0.2 Pokémon Learnset (Core)'!$A$1:$A951,0)),'Reverse Search'!$J$21)),IF($D$2=2,COUNTIF(INDIRECT("'0.1.1 Pokémon GO Moves'!$B$"&amp;MATCH($E176,'0.1.1 Pokémon GO Moves'!$A$1:$A951,0)&amp;":$R$"&amp;MATCH($E176,'0.1.1 Pokémon GO Moves'!$A$1:$A951,0)),'Reverse Search'!$J$21),COUNTIF(INDIRECT("'0.1.1 Pokémon GO Moves'!$B$"&amp;MATCH($E176,'0.1.1 Pokémon GO Moves'!$A$1:$A951,0)&amp;":$L$"&amp;MATCH($E176,'0.1.1 Pokémon GO Moves'!$A$1:$A951,0)),'Reverse Search'!$J$21)))))</f>
        <v>0</v>
      </c>
      <c r="AB176" s="490"/>
      <c r="AC176" s="260" t="n">
        <f aca="false">IF((Q176+R176+S176+V176+W176+X176+Y176+IF(Z176&gt;=1,1,0)+IF(AA176&gt;=1,1,0))=9,G176&amp;", ",)</f>
        <v>0</v>
      </c>
    </row>
    <row r="177" customFormat="false" ht="15.75" hidden="false" customHeight="false" outlineLevel="0" collapsed="false">
      <c r="A177" s="260"/>
      <c r="B177" s="358"/>
      <c r="C177" s="260"/>
      <c r="D177" s="358"/>
      <c r="E177" s="260" t="n">
        <v>176</v>
      </c>
      <c r="F177" s="260" t="n">
        <f aca="false" t="array" ref="F177:F177">INDEX('0.0.1 Pokémon Dex Data'!$H$3:$H951,MATCH(E177,'0.0.1 Pokémon Dex Data'!$B$3:$B951,0))</f>
        <v>0</v>
      </c>
      <c r="G177" s="0" t="str">
        <f aca="false" t="array" ref="G177:G177">INDEX('0.0.1 Pokémon Dex Data'!$E$3:$E951,MATCH(E177,'0.0.1 Pokémon Dex Data'!$B$3:$B951,0))</f>
        <v>Zapdos</v>
      </c>
      <c r="H177" s="0" t="str">
        <f aca="false" t="array" ref="H177:H177">INDEX('0.0.1 Pokémon Dex Data'!$Q$3:$Q951,MATCH(E177,'0.0.1 Pokémon Dex Data'!$B$3:$B951,0))</f>
        <v>Electric</v>
      </c>
      <c r="I177" s="0" t="str">
        <f aca="false" t="array" ref="I177:I177">INDEX('0.0.1 Pokémon Dex Data'!$R$3:$R951,MATCH(E177,'0.0.1 Pokémon Dex Data'!$B$3:$B951,0))</f>
        <v>Flying</v>
      </c>
      <c r="J177" s="260" t="n">
        <f aca="false" t="array" ref="J177:J177">ROUND(INDEX('0.0.1 Pokémon Dex Data'!$S$3:$S951,MATCH($E177,'0.0.1 Pokémon Dex Data'!$B$3:$B951,0))*INDEX('0.0.1 Pokémon Dex Data'!T$3:T951,MATCH($E177,'0.0.1 Pokémon Dex Data'!$B$3:$B951,0)),0)</f>
        <v>253</v>
      </c>
      <c r="K177" s="260" t="n">
        <f aca="false" t="array" ref="K177:K177">ROUND(INDEX('0.0.1 Pokémon Dex Data'!$S$3:$S951,MATCH($E177,'0.0.1 Pokémon Dex Data'!$B$3:$B951,0))*INDEX('0.0.1 Pokémon Dex Data'!U$3:U951,MATCH($E177,'0.0.1 Pokémon Dex Data'!$B$3:$B951,0)),0)</f>
        <v>185</v>
      </c>
      <c r="L177" s="260" t="n">
        <f aca="false" t="array" ref="L177:L177">ROUND(INDEX('0.0.1 Pokémon Dex Data'!$S$3:$S951,MATCH($E177,'0.0.1 Pokémon Dex Data'!$B$3:$B951,0))*INDEX('0.0.1 Pokémon Dex Data'!V$3:V951,MATCH($E177,'0.0.1 Pokémon Dex Data'!$B$3:$B951,0)),0)</f>
        <v>207</v>
      </c>
      <c r="M177" s="260" t="n">
        <f aca="false" t="array" ref="M177:M177">INDEX('0.0.1 Pokémon Dex Data'!$J$3:$J951,MATCH(E177,'0.0.1 Pokémon Dex Data'!$B$3:$B951,0))</f>
        <v>1</v>
      </c>
      <c r="O177" s="490"/>
      <c r="Q177" s="367" t="n">
        <f aca="false">IF('Reverse Search'!$F$4="All (including temporary formes)",1,IF('Reverse Search'!$F$4="Base Pokémon and permanent formes only",IF(F177&lt;=1,1,0),IF(F177=0,1,0)))</f>
        <v>1</v>
      </c>
      <c r="R177" s="0" t="n">
        <f aca="false">IF('Reverse Search'!$C$7="Disable",1,IF('Reverse Search'!$D$9="Disable",1,IF(OR('Reverse Search'!$F$9=H177,'Reverse Search'!$F$9=I177),1,0)))</f>
        <v>1</v>
      </c>
      <c r="S177" s="0" t="n">
        <f aca="false">IF('Reverse Search'!$C$7="Disable",1,IF('Reverse Search'!$D$10="Disable",1,IF(OR('Reverse Search'!$F$10=H177,'Reverse Search'!$F$10=I177),1,0)))</f>
        <v>1</v>
      </c>
      <c r="T177" s="0" t="n">
        <f aca="false">INDEX($B$4:$B$22,MATCH(H177,$A$4:$A$22,0))</f>
        <v>1</v>
      </c>
      <c r="U177" s="0" t="n">
        <f aca="false">IF(ISBLANK(I177),1,INDEX($B$4:$B$22,MATCH(I177,$A$4:$A$22,0)))</f>
        <v>1</v>
      </c>
      <c r="V177" s="367" t="n">
        <f aca="false">IF('Reverse Search'!$C$7="Disable",1,IF('Reverse Search'!$D$11="Disable",1,IF('Reverse Search'!$E$11="Neutral to:",IF(ROUND(T177*U177,2)&lt;=1,1,0),IF(ROUND(T177*U177,2)&lt;1,1,0))))</f>
        <v>1</v>
      </c>
      <c r="W177" s="0" t="n">
        <f aca="false">IF('Reverse Search'!$N$7="Disable",1,IF('Reverse Search'!$I$9="Disable",1,IF('Reverse Search'!$K$9="≥",IF(J177&gt;='Reverse Search'!$L$9,1,0),IF('Reverse Search'!$K$9="≤",IF(J177&lt;='Reverse Search'!$L$9,1,0),IF(J177='Reverse Search'!$L$9,1,0)))))</f>
        <v>1</v>
      </c>
      <c r="X177" s="0" t="n">
        <f aca="false">IF('Reverse Search'!$N$7="Disable",1,IF('Reverse Search'!$I$10="Disable",1,IF('Reverse Search'!$K$10="≥",IF(K177&gt;='Reverse Search'!$L$10,1,0),IF('Reverse Search'!$K$10="≤",IF(K177&lt;='Reverse Search'!$L$10,1,0),IF(K177='Reverse Search'!$L$10,1,0)))))</f>
        <v>1</v>
      </c>
      <c r="Y177" s="367" t="n">
        <f aca="false">IF('Reverse Search'!$N$7="Disable",1,IF('Reverse Search'!$I$11="Disable",1,IF('Reverse Search'!$K$11="≥",IF(L177&gt;='Reverse Search'!$L$11,1,0),IF('Reverse Search'!$K$11="≤",IF(L177&lt;='Reverse Search'!$L$11,1,0),IF(L177='Reverse Search'!$L$11,1,0)))))</f>
        <v>1</v>
      </c>
      <c r="Z177" s="0" t="n">
        <f aca="true">IF('Reverse Search'!$C$14="Disable",1,IF('Reverse Search'!$D$16="Disable",1,IF($C$2=3,IF($M177=0,0,COUNTIF(INDIRECT("'0.0.2 Pokémon Learnset (Core)'!$D$"&amp;MATCH($E177,'0.0.2 Pokémon Learnset (Core)'!$A$1:$A951,0)&amp;":$FK$"&amp;MATCH($E177,'0.0.2 Pokémon Learnset (Core)'!$A$1:$A951,0)),'Reverse Search'!$E$21)),IF($C$2=2,COUNTIF(INDIRECT("'0.1.1 Pokémon GO Moves'!$B$"&amp;MATCH($E177,'0.1.1 Pokémon GO Moves'!$A$1:$A951,0)&amp;":$R$"&amp;MATCH($E177,'0.1.1 Pokémon GO Moves'!$A$1:$A951,0)),'Reverse Search'!$E$21),COUNTIF(INDIRECT("'0.1.1 Pokémon GO Moves'!$B$"&amp;MATCH($E177,'0.1.1 Pokémon GO Moves'!$A$1:$A951,0)&amp;":$L$"&amp;MATCH($E177,'0.1.1 Pokémon GO Moves'!$A$1:$A951,0)),'Reverse Search'!$E$21)))))</f>
        <v>1</v>
      </c>
      <c r="AA177" s="0" t="n">
        <f aca="true">IF('Reverse Search'!$C$14="Disable",1,IF('Reverse Search'!$I$16="Disable",1,IF($D$2=3,IF($M177=0,0,COUNTIF(INDIRECT("'0.0.2 Pokémon Learnset (Core)'!$D$"&amp;MATCH($E177,'0.0.2 Pokémon Learnset (Core)'!$A$1:$A951,0)&amp;":$FK$"&amp;MATCH($E177,'0.0.2 Pokémon Learnset (Core)'!$A$1:$A951,0)),'Reverse Search'!$J$21)),IF($D$2=2,COUNTIF(INDIRECT("'0.1.1 Pokémon GO Moves'!$B$"&amp;MATCH($E177,'0.1.1 Pokémon GO Moves'!$A$1:$A951,0)&amp;":$R$"&amp;MATCH($E177,'0.1.1 Pokémon GO Moves'!$A$1:$A951,0)),'Reverse Search'!$J$21),COUNTIF(INDIRECT("'0.1.1 Pokémon GO Moves'!$B$"&amp;MATCH($E177,'0.1.1 Pokémon GO Moves'!$A$1:$A951,0)&amp;":$L$"&amp;MATCH($E177,'0.1.1 Pokémon GO Moves'!$A$1:$A951,0)),'Reverse Search'!$J$21)))))</f>
        <v>0</v>
      </c>
      <c r="AB177" s="490"/>
      <c r="AC177" s="260" t="n">
        <f aca="false">IF((Q177+R177+S177+V177+W177+X177+Y177+IF(Z177&gt;=1,1,0)+IF(AA177&gt;=1,1,0))=9,G177&amp;", ",)</f>
        <v>0</v>
      </c>
    </row>
    <row r="178" customFormat="false" ht="15.75" hidden="false" customHeight="false" outlineLevel="0" collapsed="false">
      <c r="A178" s="260"/>
      <c r="B178" s="358"/>
      <c r="C178" s="260"/>
      <c r="D178" s="358"/>
      <c r="E178" s="260" t="n">
        <v>177</v>
      </c>
      <c r="F178" s="260" t="n">
        <f aca="false" t="array" ref="F178:F178">INDEX('0.0.1 Pokémon Dex Data'!$H$3:$H951,MATCH(E178,'0.0.1 Pokémon Dex Data'!$B$3:$B951,0))</f>
        <v>0</v>
      </c>
      <c r="G178" s="0" t="str">
        <f aca="false" t="array" ref="G178:G178">INDEX('0.0.1 Pokémon Dex Data'!$E$3:$E951,MATCH(E178,'0.0.1 Pokémon Dex Data'!$B$3:$B951,0))</f>
        <v>Moltres</v>
      </c>
      <c r="H178" s="0" t="str">
        <f aca="false" t="array" ref="H178:H178">INDEX('0.0.1 Pokémon Dex Data'!$Q$3:$Q951,MATCH(E178,'0.0.1 Pokémon Dex Data'!$B$3:$B951,0))</f>
        <v>Fire</v>
      </c>
      <c r="I178" s="0" t="str">
        <f aca="false" t="array" ref="I178:I178">INDEX('0.0.1 Pokémon Dex Data'!$R$3:$R951,MATCH(E178,'0.0.1 Pokémon Dex Data'!$B$3:$B951,0))</f>
        <v>Flying</v>
      </c>
      <c r="J178" s="260" t="n">
        <f aca="false" t="array" ref="J178:J178">ROUND(INDEX('0.0.1 Pokémon Dex Data'!$S$3:$S951,MATCH($E178,'0.0.1 Pokémon Dex Data'!$B$3:$B951,0))*INDEX('0.0.1 Pokémon Dex Data'!T$3:T951,MATCH($E178,'0.0.1 Pokémon Dex Data'!$B$3:$B951,0)),0)</f>
        <v>251</v>
      </c>
      <c r="K178" s="260" t="n">
        <f aca="false" t="array" ref="K178:K178">ROUND(INDEX('0.0.1 Pokémon Dex Data'!$S$3:$S951,MATCH($E178,'0.0.1 Pokémon Dex Data'!$B$3:$B951,0))*INDEX('0.0.1 Pokémon Dex Data'!U$3:U951,MATCH($E178,'0.0.1 Pokémon Dex Data'!$B$3:$B951,0)),0)</f>
        <v>181</v>
      </c>
      <c r="L178" s="260" t="n">
        <f aca="false" t="array" ref="L178:L178">ROUND(INDEX('0.0.1 Pokémon Dex Data'!$S$3:$S951,MATCH($E178,'0.0.1 Pokémon Dex Data'!$B$3:$B951,0))*INDEX('0.0.1 Pokémon Dex Data'!V$3:V951,MATCH($E178,'0.0.1 Pokémon Dex Data'!$B$3:$B951,0)),0)</f>
        <v>207</v>
      </c>
      <c r="M178" s="260" t="n">
        <f aca="false" t="array" ref="M178:M178">INDEX('0.0.1 Pokémon Dex Data'!$J$3:$J951,MATCH(E178,'0.0.1 Pokémon Dex Data'!$B$3:$B951,0))</f>
        <v>1</v>
      </c>
      <c r="O178" s="490"/>
      <c r="Q178" s="367" t="n">
        <f aca="false">IF('Reverse Search'!$F$4="All (including temporary formes)",1,IF('Reverse Search'!$F$4="Base Pokémon and permanent formes only",IF(F178&lt;=1,1,0),IF(F178=0,1,0)))</f>
        <v>1</v>
      </c>
      <c r="R178" s="0" t="n">
        <f aca="false">IF('Reverse Search'!$C$7="Disable",1,IF('Reverse Search'!$D$9="Disable",1,IF(OR('Reverse Search'!$F$9=H178,'Reverse Search'!$F$9=I178),1,0)))</f>
        <v>1</v>
      </c>
      <c r="S178" s="0" t="n">
        <f aca="false">IF('Reverse Search'!$C$7="Disable",1,IF('Reverse Search'!$D$10="Disable",1,IF(OR('Reverse Search'!$F$10=H178,'Reverse Search'!$F$10=I178),1,0)))</f>
        <v>1</v>
      </c>
      <c r="T178" s="0" t="n">
        <f aca="false">INDEX($B$4:$B$22,MATCH(H178,$A$4:$A$22,0))</f>
        <v>1</v>
      </c>
      <c r="U178" s="0" t="n">
        <f aca="false">IF(ISBLANK(I178),1,INDEX($B$4:$B$22,MATCH(I178,$A$4:$A$22,0)))</f>
        <v>1</v>
      </c>
      <c r="V178" s="367" t="n">
        <f aca="false">IF('Reverse Search'!$C$7="Disable",1,IF('Reverse Search'!$D$11="Disable",1,IF('Reverse Search'!$E$11="Neutral to:",IF(ROUND(T178*U178,2)&lt;=1,1,0),IF(ROUND(T178*U178,2)&lt;1,1,0))))</f>
        <v>1</v>
      </c>
      <c r="W178" s="0" t="n">
        <f aca="false">IF('Reverse Search'!$N$7="Disable",1,IF('Reverse Search'!$I$9="Disable",1,IF('Reverse Search'!$K$9="≥",IF(J178&gt;='Reverse Search'!$L$9,1,0),IF('Reverse Search'!$K$9="≤",IF(J178&lt;='Reverse Search'!$L$9,1,0),IF(J178='Reverse Search'!$L$9,1,0)))))</f>
        <v>1</v>
      </c>
      <c r="X178" s="0" t="n">
        <f aca="false">IF('Reverse Search'!$N$7="Disable",1,IF('Reverse Search'!$I$10="Disable",1,IF('Reverse Search'!$K$10="≥",IF(K178&gt;='Reverse Search'!$L$10,1,0),IF('Reverse Search'!$K$10="≤",IF(K178&lt;='Reverse Search'!$L$10,1,0),IF(K178='Reverse Search'!$L$10,1,0)))))</f>
        <v>1</v>
      </c>
      <c r="Y178" s="367" t="n">
        <f aca="false">IF('Reverse Search'!$N$7="Disable",1,IF('Reverse Search'!$I$11="Disable",1,IF('Reverse Search'!$K$11="≥",IF(L178&gt;='Reverse Search'!$L$11,1,0),IF('Reverse Search'!$K$11="≤",IF(L178&lt;='Reverse Search'!$L$11,1,0),IF(L178='Reverse Search'!$L$11,1,0)))))</f>
        <v>1</v>
      </c>
      <c r="Z178" s="0" t="n">
        <f aca="true">IF('Reverse Search'!$C$14="Disable",1,IF('Reverse Search'!$D$16="Disable",1,IF($C$2=3,IF($M178=0,0,COUNTIF(INDIRECT("'0.0.2 Pokémon Learnset (Core)'!$D$"&amp;MATCH($E178,'0.0.2 Pokémon Learnset (Core)'!$A$1:$A951,0)&amp;":$FK$"&amp;MATCH($E178,'0.0.2 Pokémon Learnset (Core)'!$A$1:$A951,0)),'Reverse Search'!$E$21)),IF($C$2=2,COUNTIF(INDIRECT("'0.1.1 Pokémon GO Moves'!$B$"&amp;MATCH($E178,'0.1.1 Pokémon GO Moves'!$A$1:$A951,0)&amp;":$R$"&amp;MATCH($E178,'0.1.1 Pokémon GO Moves'!$A$1:$A951,0)),'Reverse Search'!$E$21),COUNTIF(INDIRECT("'0.1.1 Pokémon GO Moves'!$B$"&amp;MATCH($E178,'0.1.1 Pokémon GO Moves'!$A$1:$A951,0)&amp;":$L$"&amp;MATCH($E178,'0.1.1 Pokémon GO Moves'!$A$1:$A951,0)),'Reverse Search'!$E$21)))))</f>
        <v>1</v>
      </c>
      <c r="AA178" s="0" t="n">
        <f aca="true">IF('Reverse Search'!$C$14="Disable",1,IF('Reverse Search'!$I$16="Disable",1,IF($D$2=3,IF($M178=0,0,COUNTIF(INDIRECT("'0.0.2 Pokémon Learnset (Core)'!$D$"&amp;MATCH($E178,'0.0.2 Pokémon Learnset (Core)'!$A$1:$A951,0)&amp;":$FK$"&amp;MATCH($E178,'0.0.2 Pokémon Learnset (Core)'!$A$1:$A951,0)),'Reverse Search'!$J$21)),IF($D$2=2,COUNTIF(INDIRECT("'0.1.1 Pokémon GO Moves'!$B$"&amp;MATCH($E178,'0.1.1 Pokémon GO Moves'!$A$1:$A951,0)&amp;":$R$"&amp;MATCH($E178,'0.1.1 Pokémon GO Moves'!$A$1:$A951,0)),'Reverse Search'!$J$21),COUNTIF(INDIRECT("'0.1.1 Pokémon GO Moves'!$B$"&amp;MATCH($E178,'0.1.1 Pokémon GO Moves'!$A$1:$A951,0)&amp;":$L$"&amp;MATCH($E178,'0.1.1 Pokémon GO Moves'!$A$1:$A951,0)),'Reverse Search'!$J$21)))))</f>
        <v>0</v>
      </c>
      <c r="AB178" s="490"/>
      <c r="AC178" s="260" t="n">
        <f aca="false">IF((Q178+R178+S178+V178+W178+X178+Y178+IF(Z178&gt;=1,1,0)+IF(AA178&gt;=1,1,0))=9,G178&amp;", ",)</f>
        <v>0</v>
      </c>
    </row>
    <row r="179" customFormat="false" ht="15.75" hidden="false" customHeight="false" outlineLevel="0" collapsed="false">
      <c r="A179" s="260"/>
      <c r="B179" s="358"/>
      <c r="C179" s="260"/>
      <c r="D179" s="358"/>
      <c r="E179" s="260" t="n">
        <v>178</v>
      </c>
      <c r="F179" s="260" t="n">
        <f aca="false" t="array" ref="F179:F179">INDEX('0.0.1 Pokémon Dex Data'!$H$3:$H951,MATCH(E179,'0.0.1 Pokémon Dex Data'!$B$3:$B951,0))</f>
        <v>0</v>
      </c>
      <c r="G179" s="0" t="str">
        <f aca="false" t="array" ref="G179:G179">INDEX('0.0.1 Pokémon Dex Data'!$E$3:$E951,MATCH(E179,'0.0.1 Pokémon Dex Data'!$B$3:$B951,0))</f>
        <v>Dratini</v>
      </c>
      <c r="H179" s="0" t="str">
        <f aca="false" t="array" ref="H179:H179">INDEX('0.0.1 Pokémon Dex Data'!$Q$3:$Q951,MATCH(E179,'0.0.1 Pokémon Dex Data'!$B$3:$B951,0))</f>
        <v>Dragon</v>
      </c>
      <c r="I179" s="0" t="n">
        <f aca="false">INDEX('0.0.1 Pokémon Dex Data'!$R$3:$R951,MATCH(E179,'0.0.1 Pokémon Dex Data'!$B$3:$B951,0))</f>
        <v>0</v>
      </c>
      <c r="J179" s="260" t="n">
        <f aca="false" t="array" ref="J179:J179">ROUND(INDEX('0.0.1 Pokémon Dex Data'!$S$3:$S951,MATCH($E179,'0.0.1 Pokémon Dex Data'!$B$3:$B951,0))*INDEX('0.0.1 Pokémon Dex Data'!T$3:T951,MATCH($E179,'0.0.1 Pokémon Dex Data'!$B$3:$B951,0)),0)</f>
        <v>119</v>
      </c>
      <c r="K179" s="260" t="n">
        <f aca="false" t="array" ref="K179:K179">ROUND(INDEX('0.0.1 Pokémon Dex Data'!$S$3:$S951,MATCH($E179,'0.0.1 Pokémon Dex Data'!$B$3:$B951,0))*INDEX('0.0.1 Pokémon Dex Data'!U$3:U951,MATCH($E179,'0.0.1 Pokémon Dex Data'!$B$3:$B951,0)),0)</f>
        <v>91</v>
      </c>
      <c r="L179" s="260" t="n">
        <f aca="false" t="array" ref="L179:L179">ROUND(INDEX('0.0.1 Pokémon Dex Data'!$S$3:$S951,MATCH($E179,'0.0.1 Pokémon Dex Data'!$B$3:$B951,0))*INDEX('0.0.1 Pokémon Dex Data'!V$3:V951,MATCH($E179,'0.0.1 Pokémon Dex Data'!$B$3:$B951,0)),0)</f>
        <v>121</v>
      </c>
      <c r="M179" s="260" t="n">
        <f aca="false" t="array" ref="M179:M179">INDEX('0.0.1 Pokémon Dex Data'!$J$3:$J951,MATCH(E179,'0.0.1 Pokémon Dex Data'!$B$3:$B951,0))</f>
        <v>0</v>
      </c>
      <c r="O179" s="490"/>
      <c r="Q179" s="367" t="n">
        <f aca="false">IF('Reverse Search'!$F$4="All (including temporary formes)",1,IF('Reverse Search'!$F$4="Base Pokémon and permanent formes only",IF(F179&lt;=1,1,0),IF(F179=0,1,0)))</f>
        <v>1</v>
      </c>
      <c r="R179" s="0" t="n">
        <f aca="false">IF('Reverse Search'!$C$7="Disable",1,IF('Reverse Search'!$D$9="Disable",1,IF(OR('Reverse Search'!$F$9=H179,'Reverse Search'!$F$9=I179),1,0)))</f>
        <v>1</v>
      </c>
      <c r="S179" s="0" t="n">
        <f aca="false">IF('Reverse Search'!$C$7="Disable",1,IF('Reverse Search'!$D$10="Disable",1,IF(OR('Reverse Search'!$F$10=H179,'Reverse Search'!$F$10=I179),1,0)))</f>
        <v>1</v>
      </c>
      <c r="T179" s="0" t="n">
        <f aca="false">INDEX($B$4:$B$22,MATCH(H179,$A$4:$A$22,0))</f>
        <v>1</v>
      </c>
      <c r="U179" s="0" t="e">
        <f aca="false">IF(ISBLANK(I179),1,INDEX($B$4:$B$22,MATCH(I179,$A$4:$A$22,0)))</f>
        <v>#N/A</v>
      </c>
      <c r="V179" s="367" t="n">
        <f aca="false">IF('Reverse Search'!$C$7="Disable",1,IF('Reverse Search'!$D$11="Disable",1,IF('Reverse Search'!$E$11="Neutral to:",IF(ROUND(T179*U179,2)&lt;=1,1,0),IF(ROUND(T179*U179,2)&lt;1,1,0))))</f>
        <v>1</v>
      </c>
      <c r="W179" s="0" t="n">
        <f aca="false">IF('Reverse Search'!$N$7="Disable",1,IF('Reverse Search'!$I$9="Disable",1,IF('Reverse Search'!$K$9="≥",IF(J179&gt;='Reverse Search'!$L$9,1,0),IF('Reverse Search'!$K$9="≤",IF(J179&lt;='Reverse Search'!$L$9,1,0),IF(J179='Reverse Search'!$L$9,1,0)))))</f>
        <v>1</v>
      </c>
      <c r="X179" s="0" t="n">
        <f aca="false">IF('Reverse Search'!$N$7="Disable",1,IF('Reverse Search'!$I$10="Disable",1,IF('Reverse Search'!$K$10="≥",IF(K179&gt;='Reverse Search'!$L$10,1,0),IF('Reverse Search'!$K$10="≤",IF(K179&lt;='Reverse Search'!$L$10,1,0),IF(K179='Reverse Search'!$L$10,1,0)))))</f>
        <v>1</v>
      </c>
      <c r="Y179" s="367" t="n">
        <f aca="false">IF('Reverse Search'!$N$7="Disable",1,IF('Reverse Search'!$I$11="Disable",1,IF('Reverse Search'!$K$11="≥",IF(L179&gt;='Reverse Search'!$L$11,1,0),IF('Reverse Search'!$K$11="≤",IF(L179&lt;='Reverse Search'!$L$11,1,0),IF(L179='Reverse Search'!$L$11,1,0)))))</f>
        <v>1</v>
      </c>
      <c r="Z179" s="0" t="n">
        <f aca="true">IF('Reverse Search'!$C$14="Disable",1,IF('Reverse Search'!$D$16="Disable",1,IF($C$2=3,IF($M179=0,0,COUNTIF(INDIRECT("'0.0.2 Pokémon Learnset (Core)'!$D$"&amp;MATCH($E179,'0.0.2 Pokémon Learnset (Core)'!$A$1:$A951,0)&amp;":$FK$"&amp;MATCH($E179,'0.0.2 Pokémon Learnset (Core)'!$A$1:$A951,0)),'Reverse Search'!$E$21)),IF($C$2=2,COUNTIF(INDIRECT("'0.1.1 Pokémon GO Moves'!$B$"&amp;MATCH($E179,'0.1.1 Pokémon GO Moves'!$A$1:$A951,0)&amp;":$R$"&amp;MATCH($E179,'0.1.1 Pokémon GO Moves'!$A$1:$A951,0)),'Reverse Search'!$E$21),COUNTIF(INDIRECT("'0.1.1 Pokémon GO Moves'!$B$"&amp;MATCH($E179,'0.1.1 Pokémon GO Moves'!$A$1:$A951,0)&amp;":$L$"&amp;MATCH($E179,'0.1.1 Pokémon GO Moves'!$A$1:$A951,0)),'Reverse Search'!$E$21)))))</f>
        <v>1</v>
      </c>
      <c r="AA179" s="0" t="n">
        <f aca="true">IF('Reverse Search'!$C$14="Disable",1,IF('Reverse Search'!$I$16="Disable",1,IF($D$2=3,IF($M179=0,0,COUNTIF(INDIRECT("'0.0.2 Pokémon Learnset (Core)'!$D$"&amp;MATCH($E179,'0.0.2 Pokémon Learnset (Core)'!$A$1:$A951,0)&amp;":$FK$"&amp;MATCH($E179,'0.0.2 Pokémon Learnset (Core)'!$A$1:$A951,0)),'Reverse Search'!$J$21)),IF($D$2=2,COUNTIF(INDIRECT("'0.1.1 Pokémon GO Moves'!$B$"&amp;MATCH($E179,'0.1.1 Pokémon GO Moves'!$A$1:$A951,0)&amp;":$R$"&amp;MATCH($E179,'0.1.1 Pokémon GO Moves'!$A$1:$A951,0)),'Reverse Search'!$J$21),COUNTIF(INDIRECT("'0.1.1 Pokémon GO Moves'!$B$"&amp;MATCH($E179,'0.1.1 Pokémon GO Moves'!$A$1:$A951,0)&amp;":$L$"&amp;MATCH($E179,'0.1.1 Pokémon GO Moves'!$A$1:$A951,0)),'Reverse Search'!$J$21)))))</f>
        <v>0</v>
      </c>
      <c r="AB179" s="490"/>
      <c r="AC179" s="260" t="n">
        <f aca="false">IF((Q179+R179+S179+V179+W179+X179+Y179+IF(Z179&gt;=1,1,0)+IF(AA179&gt;=1,1,0))=9,G179&amp;", ",)</f>
        <v>0</v>
      </c>
    </row>
    <row r="180" customFormat="false" ht="15.75" hidden="false" customHeight="false" outlineLevel="0" collapsed="false">
      <c r="A180" s="260"/>
      <c r="B180" s="358"/>
      <c r="C180" s="260"/>
      <c r="D180" s="358"/>
      <c r="E180" s="260" t="n">
        <v>179</v>
      </c>
      <c r="F180" s="260" t="n">
        <f aca="false" t="array" ref="F180:F180">INDEX('0.0.1 Pokémon Dex Data'!$H$3:$H951,MATCH(E180,'0.0.1 Pokémon Dex Data'!$B$3:$B951,0))</f>
        <v>0</v>
      </c>
      <c r="G180" s="0" t="str">
        <f aca="false" t="array" ref="G180:G180">INDEX('0.0.1 Pokémon Dex Data'!$E$3:$E951,MATCH(E180,'0.0.1 Pokémon Dex Data'!$B$3:$B951,0))</f>
        <v>Dragonair</v>
      </c>
      <c r="H180" s="0" t="str">
        <f aca="false" t="array" ref="H180:H180">INDEX('0.0.1 Pokémon Dex Data'!$Q$3:$Q951,MATCH(E180,'0.0.1 Pokémon Dex Data'!$B$3:$B951,0))</f>
        <v>Dragon</v>
      </c>
      <c r="I180" s="0" t="n">
        <f aca="false">INDEX('0.0.1 Pokémon Dex Data'!$R$3:$R951,MATCH(E180,'0.0.1 Pokémon Dex Data'!$B$3:$B951,0))</f>
        <v>0</v>
      </c>
      <c r="J180" s="260" t="n">
        <f aca="false" t="array" ref="J180:J180">ROUND(INDEX('0.0.1 Pokémon Dex Data'!$S$3:$S951,MATCH($E180,'0.0.1 Pokémon Dex Data'!$B$3:$B951,0))*INDEX('0.0.1 Pokémon Dex Data'!T$3:T951,MATCH($E180,'0.0.1 Pokémon Dex Data'!$B$3:$B951,0)),0)</f>
        <v>163</v>
      </c>
      <c r="K180" s="260" t="n">
        <f aca="false" t="array" ref="K180:K180">ROUND(INDEX('0.0.1 Pokémon Dex Data'!$S$3:$S951,MATCH($E180,'0.0.1 Pokémon Dex Data'!$B$3:$B951,0))*INDEX('0.0.1 Pokémon Dex Data'!U$3:U951,MATCH($E180,'0.0.1 Pokémon Dex Data'!$B$3:$B951,0)),0)</f>
        <v>135</v>
      </c>
      <c r="L180" s="260" t="n">
        <f aca="false" t="array" ref="L180:L180">ROUND(INDEX('0.0.1 Pokémon Dex Data'!$S$3:$S951,MATCH($E180,'0.0.1 Pokémon Dex Data'!$B$3:$B951,0))*INDEX('0.0.1 Pokémon Dex Data'!V$3:V951,MATCH($E180,'0.0.1 Pokémon Dex Data'!$B$3:$B951,0)),0)</f>
        <v>156</v>
      </c>
      <c r="M180" s="260" t="n">
        <f aca="false" t="array" ref="M180:M180">INDEX('0.0.1 Pokémon Dex Data'!$J$3:$J951,MATCH(E180,'0.0.1 Pokémon Dex Data'!$B$3:$B951,0))</f>
        <v>0</v>
      </c>
      <c r="O180" s="490"/>
      <c r="Q180" s="367" t="n">
        <f aca="false">IF('Reverse Search'!$F$4="All (including temporary formes)",1,IF('Reverse Search'!$F$4="Base Pokémon and permanent formes only",IF(F180&lt;=1,1,0),IF(F180=0,1,0)))</f>
        <v>1</v>
      </c>
      <c r="R180" s="0" t="n">
        <f aca="false">IF('Reverse Search'!$C$7="Disable",1,IF('Reverse Search'!$D$9="Disable",1,IF(OR('Reverse Search'!$F$9=H180,'Reverse Search'!$F$9=I180),1,0)))</f>
        <v>1</v>
      </c>
      <c r="S180" s="0" t="n">
        <f aca="false">IF('Reverse Search'!$C$7="Disable",1,IF('Reverse Search'!$D$10="Disable",1,IF(OR('Reverse Search'!$F$10=H180,'Reverse Search'!$F$10=I180),1,0)))</f>
        <v>1</v>
      </c>
      <c r="T180" s="0" t="n">
        <f aca="false">INDEX($B$4:$B$22,MATCH(H180,$A$4:$A$22,0))</f>
        <v>1</v>
      </c>
      <c r="U180" s="0" t="e">
        <f aca="false">IF(ISBLANK(I180),1,INDEX($B$4:$B$22,MATCH(I180,$A$4:$A$22,0)))</f>
        <v>#N/A</v>
      </c>
      <c r="V180" s="367" t="n">
        <f aca="false">IF('Reverse Search'!$C$7="Disable",1,IF('Reverse Search'!$D$11="Disable",1,IF('Reverse Search'!$E$11="Neutral to:",IF(ROUND(T180*U180,2)&lt;=1,1,0),IF(ROUND(T180*U180,2)&lt;1,1,0))))</f>
        <v>1</v>
      </c>
      <c r="W180" s="0" t="n">
        <f aca="false">IF('Reverse Search'!$N$7="Disable",1,IF('Reverse Search'!$I$9="Disable",1,IF('Reverse Search'!$K$9="≥",IF(J180&gt;='Reverse Search'!$L$9,1,0),IF('Reverse Search'!$K$9="≤",IF(J180&lt;='Reverse Search'!$L$9,1,0),IF(J180='Reverse Search'!$L$9,1,0)))))</f>
        <v>1</v>
      </c>
      <c r="X180" s="0" t="n">
        <f aca="false">IF('Reverse Search'!$N$7="Disable",1,IF('Reverse Search'!$I$10="Disable",1,IF('Reverse Search'!$K$10="≥",IF(K180&gt;='Reverse Search'!$L$10,1,0),IF('Reverse Search'!$K$10="≤",IF(K180&lt;='Reverse Search'!$L$10,1,0),IF(K180='Reverse Search'!$L$10,1,0)))))</f>
        <v>1</v>
      </c>
      <c r="Y180" s="367" t="n">
        <f aca="false">IF('Reverse Search'!$N$7="Disable",1,IF('Reverse Search'!$I$11="Disable",1,IF('Reverse Search'!$K$11="≥",IF(L180&gt;='Reverse Search'!$L$11,1,0),IF('Reverse Search'!$K$11="≤",IF(L180&lt;='Reverse Search'!$L$11,1,0),IF(L180='Reverse Search'!$L$11,1,0)))))</f>
        <v>1</v>
      </c>
      <c r="Z180" s="0" t="n">
        <f aca="true">IF('Reverse Search'!$C$14="Disable",1,IF('Reverse Search'!$D$16="Disable",1,IF($C$2=3,IF($M180=0,0,COUNTIF(INDIRECT("'0.0.2 Pokémon Learnset (Core)'!$D$"&amp;MATCH($E180,'0.0.2 Pokémon Learnset (Core)'!$A$1:$A951,0)&amp;":$FK$"&amp;MATCH($E180,'0.0.2 Pokémon Learnset (Core)'!$A$1:$A951,0)),'Reverse Search'!$E$21)),IF($C$2=2,COUNTIF(INDIRECT("'0.1.1 Pokémon GO Moves'!$B$"&amp;MATCH($E180,'0.1.1 Pokémon GO Moves'!$A$1:$A951,0)&amp;":$R$"&amp;MATCH($E180,'0.1.1 Pokémon GO Moves'!$A$1:$A951,0)),'Reverse Search'!$E$21),COUNTIF(INDIRECT("'0.1.1 Pokémon GO Moves'!$B$"&amp;MATCH($E180,'0.1.1 Pokémon GO Moves'!$A$1:$A951,0)&amp;":$L$"&amp;MATCH($E180,'0.1.1 Pokémon GO Moves'!$A$1:$A951,0)),'Reverse Search'!$E$21)))))</f>
        <v>1</v>
      </c>
      <c r="AA180" s="0" t="n">
        <f aca="true">IF('Reverse Search'!$C$14="Disable",1,IF('Reverse Search'!$I$16="Disable",1,IF($D$2=3,IF($M180=0,0,COUNTIF(INDIRECT("'0.0.2 Pokémon Learnset (Core)'!$D$"&amp;MATCH($E180,'0.0.2 Pokémon Learnset (Core)'!$A$1:$A951,0)&amp;":$FK$"&amp;MATCH($E180,'0.0.2 Pokémon Learnset (Core)'!$A$1:$A951,0)),'Reverse Search'!$J$21)),IF($D$2=2,COUNTIF(INDIRECT("'0.1.1 Pokémon GO Moves'!$B$"&amp;MATCH($E180,'0.1.1 Pokémon GO Moves'!$A$1:$A951,0)&amp;":$R$"&amp;MATCH($E180,'0.1.1 Pokémon GO Moves'!$A$1:$A951,0)),'Reverse Search'!$J$21),COUNTIF(INDIRECT("'0.1.1 Pokémon GO Moves'!$B$"&amp;MATCH($E180,'0.1.1 Pokémon GO Moves'!$A$1:$A951,0)&amp;":$L$"&amp;MATCH($E180,'0.1.1 Pokémon GO Moves'!$A$1:$A951,0)),'Reverse Search'!$J$21)))))</f>
        <v>0</v>
      </c>
      <c r="AB180" s="490"/>
      <c r="AC180" s="260" t="n">
        <f aca="false">IF((Q180+R180+S180+V180+W180+X180+Y180+IF(Z180&gt;=1,1,0)+IF(AA180&gt;=1,1,0))=9,G180&amp;", ",)</f>
        <v>0</v>
      </c>
    </row>
    <row r="181" customFormat="false" ht="15.75" hidden="false" customHeight="false" outlineLevel="0" collapsed="false">
      <c r="A181" s="260"/>
      <c r="B181" s="358"/>
      <c r="C181" s="260"/>
      <c r="D181" s="358"/>
      <c r="E181" s="260" t="n">
        <v>180</v>
      </c>
      <c r="F181" s="260" t="n">
        <f aca="false" t="array" ref="F181:F181">INDEX('0.0.1 Pokémon Dex Data'!$H$3:$H951,MATCH(E181,'0.0.1 Pokémon Dex Data'!$B$3:$B951,0))</f>
        <v>0</v>
      </c>
      <c r="G181" s="0" t="str">
        <f aca="false" t="array" ref="G181:G181">INDEX('0.0.1 Pokémon Dex Data'!$E$3:$E951,MATCH(E181,'0.0.1 Pokémon Dex Data'!$B$3:$B951,0))</f>
        <v>Dragonite</v>
      </c>
      <c r="H181" s="0" t="str">
        <f aca="false" t="array" ref="H181:H181">INDEX('0.0.1 Pokémon Dex Data'!$Q$3:$Q951,MATCH(E181,'0.0.1 Pokémon Dex Data'!$B$3:$B951,0))</f>
        <v>Dragon</v>
      </c>
      <c r="I181" s="0" t="str">
        <f aca="false" t="array" ref="I181:I181">INDEX('0.0.1 Pokémon Dex Data'!$R$3:$R951,MATCH(E181,'0.0.1 Pokémon Dex Data'!$B$3:$B951,0))</f>
        <v>Flying</v>
      </c>
      <c r="J181" s="260" t="n">
        <f aca="false" t="array" ref="J181:J181">ROUND(INDEX('0.0.1 Pokémon Dex Data'!$S$3:$S951,MATCH($E181,'0.0.1 Pokémon Dex Data'!$B$3:$B951,0))*INDEX('0.0.1 Pokémon Dex Data'!T$3:T951,MATCH($E181,'0.0.1 Pokémon Dex Data'!$B$3:$B951,0)),0)</f>
        <v>263</v>
      </c>
      <c r="K181" s="260" t="n">
        <f aca="false" t="array" ref="K181:K181">ROUND(INDEX('0.0.1 Pokémon Dex Data'!$S$3:$S951,MATCH($E181,'0.0.1 Pokémon Dex Data'!$B$3:$B951,0))*INDEX('0.0.1 Pokémon Dex Data'!U$3:U951,MATCH($E181,'0.0.1 Pokémon Dex Data'!$B$3:$B951,0)),0)</f>
        <v>198</v>
      </c>
      <c r="L181" s="260" t="n">
        <f aca="false" t="array" ref="L181:L181">ROUND(INDEX('0.0.1 Pokémon Dex Data'!$S$3:$S951,MATCH($E181,'0.0.1 Pokémon Dex Data'!$B$3:$B951,0))*INDEX('0.0.1 Pokémon Dex Data'!V$3:V951,MATCH($E181,'0.0.1 Pokémon Dex Data'!$B$3:$B951,0)),0)</f>
        <v>209</v>
      </c>
      <c r="M181" s="260" t="n">
        <f aca="false" t="array" ref="M181:M181">INDEX('0.0.1 Pokémon Dex Data'!$J$3:$J951,MATCH(E181,'0.0.1 Pokémon Dex Data'!$B$3:$B951,0))</f>
        <v>1</v>
      </c>
      <c r="O181" s="490"/>
      <c r="Q181" s="367" t="n">
        <f aca="false">IF('Reverse Search'!$F$4="All (including temporary formes)",1,IF('Reverse Search'!$F$4="Base Pokémon and permanent formes only",IF(F181&lt;=1,1,0),IF(F181=0,1,0)))</f>
        <v>1</v>
      </c>
      <c r="R181" s="0" t="n">
        <f aca="false">IF('Reverse Search'!$C$7="Disable",1,IF('Reverse Search'!$D$9="Disable",1,IF(OR('Reverse Search'!$F$9=H181,'Reverse Search'!$F$9=I181),1,0)))</f>
        <v>1</v>
      </c>
      <c r="S181" s="0" t="n">
        <f aca="false">IF('Reverse Search'!$C$7="Disable",1,IF('Reverse Search'!$D$10="Disable",1,IF(OR('Reverse Search'!$F$10=H181,'Reverse Search'!$F$10=I181),1,0)))</f>
        <v>1</v>
      </c>
      <c r="T181" s="0" t="n">
        <f aca="false">INDEX($B$4:$B$22,MATCH(H181,$A$4:$A$22,0))</f>
        <v>1</v>
      </c>
      <c r="U181" s="0" t="n">
        <f aca="false">IF(ISBLANK(I181),1,INDEX($B$4:$B$22,MATCH(I181,$A$4:$A$22,0)))</f>
        <v>1</v>
      </c>
      <c r="V181" s="367" t="n">
        <f aca="false">IF('Reverse Search'!$C$7="Disable",1,IF('Reverse Search'!$D$11="Disable",1,IF('Reverse Search'!$E$11="Neutral to:",IF(ROUND(T181*U181,2)&lt;=1,1,0),IF(ROUND(T181*U181,2)&lt;1,1,0))))</f>
        <v>1</v>
      </c>
      <c r="W181" s="0" t="n">
        <f aca="false">IF('Reverse Search'!$N$7="Disable",1,IF('Reverse Search'!$I$9="Disable",1,IF('Reverse Search'!$K$9="≥",IF(J181&gt;='Reverse Search'!$L$9,1,0),IF('Reverse Search'!$K$9="≤",IF(J181&lt;='Reverse Search'!$L$9,1,0),IF(J181='Reverse Search'!$L$9,1,0)))))</f>
        <v>1</v>
      </c>
      <c r="X181" s="0" t="n">
        <f aca="false">IF('Reverse Search'!$N$7="Disable",1,IF('Reverse Search'!$I$10="Disable",1,IF('Reverse Search'!$K$10="≥",IF(K181&gt;='Reverse Search'!$L$10,1,0),IF('Reverse Search'!$K$10="≤",IF(K181&lt;='Reverse Search'!$L$10,1,0),IF(K181='Reverse Search'!$L$10,1,0)))))</f>
        <v>1</v>
      </c>
      <c r="Y181" s="367" t="n">
        <f aca="false">IF('Reverse Search'!$N$7="Disable",1,IF('Reverse Search'!$I$11="Disable",1,IF('Reverse Search'!$K$11="≥",IF(L181&gt;='Reverse Search'!$L$11,1,0),IF('Reverse Search'!$K$11="≤",IF(L181&lt;='Reverse Search'!$L$11,1,0),IF(L181='Reverse Search'!$L$11,1,0)))))</f>
        <v>1</v>
      </c>
      <c r="Z181" s="0" t="n">
        <f aca="true">IF('Reverse Search'!$C$14="Disable",1,IF('Reverse Search'!$D$16="Disable",1,IF($C$2=3,IF($M181=0,0,COUNTIF(INDIRECT("'0.0.2 Pokémon Learnset (Core)'!$D$"&amp;MATCH($E181,'0.0.2 Pokémon Learnset (Core)'!$A$1:$A951,0)&amp;":$FK$"&amp;MATCH($E181,'0.0.2 Pokémon Learnset (Core)'!$A$1:$A951,0)),'Reverse Search'!$E$21)),IF($C$2=2,COUNTIF(INDIRECT("'0.1.1 Pokémon GO Moves'!$B$"&amp;MATCH($E181,'0.1.1 Pokémon GO Moves'!$A$1:$A951,0)&amp;":$R$"&amp;MATCH($E181,'0.1.1 Pokémon GO Moves'!$A$1:$A951,0)),'Reverse Search'!$E$21),COUNTIF(INDIRECT("'0.1.1 Pokémon GO Moves'!$B$"&amp;MATCH($E181,'0.1.1 Pokémon GO Moves'!$A$1:$A951,0)&amp;":$L$"&amp;MATCH($E181,'0.1.1 Pokémon GO Moves'!$A$1:$A951,0)),'Reverse Search'!$E$21)))))</f>
        <v>1</v>
      </c>
      <c r="AA181" s="0" t="n">
        <f aca="true">IF('Reverse Search'!$C$14="Disable",1,IF('Reverse Search'!$I$16="Disable",1,IF($D$2=3,IF($M181=0,0,COUNTIF(INDIRECT("'0.0.2 Pokémon Learnset (Core)'!$D$"&amp;MATCH($E181,'0.0.2 Pokémon Learnset (Core)'!$A$1:$A951,0)&amp;":$FK$"&amp;MATCH($E181,'0.0.2 Pokémon Learnset (Core)'!$A$1:$A951,0)),'Reverse Search'!$J$21)),IF($D$2=2,COUNTIF(INDIRECT("'0.1.1 Pokémon GO Moves'!$B$"&amp;MATCH($E181,'0.1.1 Pokémon GO Moves'!$A$1:$A951,0)&amp;":$R$"&amp;MATCH($E181,'0.1.1 Pokémon GO Moves'!$A$1:$A951,0)),'Reverse Search'!$J$21),COUNTIF(INDIRECT("'0.1.1 Pokémon GO Moves'!$B$"&amp;MATCH($E181,'0.1.1 Pokémon GO Moves'!$A$1:$A951,0)&amp;":$L$"&amp;MATCH($E181,'0.1.1 Pokémon GO Moves'!$A$1:$A951,0)),'Reverse Search'!$J$21)))))</f>
        <v>0</v>
      </c>
      <c r="AB181" s="490"/>
      <c r="AC181" s="260" t="n">
        <f aca="false">IF((Q181+R181+S181+V181+W181+X181+Y181+IF(Z181&gt;=1,1,0)+IF(AA181&gt;=1,1,0))=9,G181&amp;", ",)</f>
        <v>0</v>
      </c>
    </row>
    <row r="182" customFormat="false" ht="15.75" hidden="false" customHeight="false" outlineLevel="0" collapsed="false">
      <c r="A182" s="260"/>
      <c r="B182" s="358"/>
      <c r="C182" s="260"/>
      <c r="D182" s="358"/>
      <c r="E182" s="260" t="n">
        <v>181</v>
      </c>
      <c r="F182" s="260" t="n">
        <f aca="false" t="array" ref="F182:F182">INDEX('0.0.1 Pokémon Dex Data'!$H$3:$H951,MATCH(E182,'0.0.1 Pokémon Dex Data'!$B$3:$B951,0))</f>
        <v>0</v>
      </c>
      <c r="G182" s="0" t="str">
        <f aca="false" t="array" ref="G182:G182">INDEX('0.0.1 Pokémon Dex Data'!$E$3:$E951,MATCH(E182,'0.0.1 Pokémon Dex Data'!$B$3:$B951,0))</f>
        <v>Mewtwo</v>
      </c>
      <c r="H182" s="0" t="str">
        <f aca="false" t="array" ref="H182:H182">INDEX('0.0.1 Pokémon Dex Data'!$Q$3:$Q951,MATCH(E182,'0.0.1 Pokémon Dex Data'!$B$3:$B951,0))</f>
        <v>Psychic</v>
      </c>
      <c r="I182" s="0" t="n">
        <f aca="false">INDEX('0.0.1 Pokémon Dex Data'!$R$3:$R951,MATCH(E182,'0.0.1 Pokémon Dex Data'!$B$3:$B951,0))</f>
        <v>0</v>
      </c>
      <c r="J182" s="260" t="n">
        <f aca="false" t="array" ref="J182:J182">ROUND(INDEX('0.0.1 Pokémon Dex Data'!$S$3:$S951,MATCH($E182,'0.0.1 Pokémon Dex Data'!$B$3:$B951,0))*INDEX('0.0.1 Pokémon Dex Data'!T$3:T951,MATCH($E182,'0.0.1 Pokémon Dex Data'!$B$3:$B951,0)),0)</f>
        <v>300</v>
      </c>
      <c r="K182" s="260" t="n">
        <f aca="false" t="array" ref="K182:K182">ROUND(INDEX('0.0.1 Pokémon Dex Data'!$S$3:$S951,MATCH($E182,'0.0.1 Pokémon Dex Data'!$B$3:$B951,0))*INDEX('0.0.1 Pokémon Dex Data'!U$3:U951,MATCH($E182,'0.0.1 Pokémon Dex Data'!$B$3:$B951,0)),0)</f>
        <v>182</v>
      </c>
      <c r="L182" s="260" t="n">
        <f aca="false" t="array" ref="L182:L182">ROUND(INDEX('0.0.1 Pokémon Dex Data'!$S$3:$S951,MATCH($E182,'0.0.1 Pokémon Dex Data'!$B$3:$B951,0))*INDEX('0.0.1 Pokémon Dex Data'!V$3:V951,MATCH($E182,'0.0.1 Pokémon Dex Data'!$B$3:$B951,0)),0)</f>
        <v>214</v>
      </c>
      <c r="M182" s="260" t="n">
        <f aca="false" t="array" ref="M182:M182">INDEX('0.0.1 Pokémon Dex Data'!$J$3:$J951,MATCH(E182,'0.0.1 Pokémon Dex Data'!$B$3:$B951,0))</f>
        <v>1</v>
      </c>
      <c r="O182" s="490"/>
      <c r="Q182" s="367" t="n">
        <f aca="false">IF('Reverse Search'!$F$4="All (including temporary formes)",1,IF('Reverse Search'!$F$4="Base Pokémon and permanent formes only",IF(F182&lt;=1,1,0),IF(F182=0,1,0)))</f>
        <v>1</v>
      </c>
      <c r="R182" s="0" t="n">
        <f aca="false">IF('Reverse Search'!$C$7="Disable",1,IF('Reverse Search'!$D$9="Disable",1,IF(OR('Reverse Search'!$F$9=H182,'Reverse Search'!$F$9=I182),1,0)))</f>
        <v>1</v>
      </c>
      <c r="S182" s="0" t="n">
        <f aca="false">IF('Reverse Search'!$C$7="Disable",1,IF('Reverse Search'!$D$10="Disable",1,IF(OR('Reverse Search'!$F$10=H182,'Reverse Search'!$F$10=I182),1,0)))</f>
        <v>1</v>
      </c>
      <c r="T182" s="0" t="n">
        <f aca="false">INDEX($B$4:$B$22,MATCH(H182,$A$4:$A$22,0))</f>
        <v>1</v>
      </c>
      <c r="U182" s="0" t="e">
        <f aca="false">IF(ISBLANK(I182),1,INDEX($B$4:$B$22,MATCH(I182,$A$4:$A$22,0)))</f>
        <v>#N/A</v>
      </c>
      <c r="V182" s="367" t="n">
        <f aca="false">IF('Reverse Search'!$C$7="Disable",1,IF('Reverse Search'!$D$11="Disable",1,IF('Reverse Search'!$E$11="Neutral to:",IF(ROUND(T182*U182,2)&lt;=1,1,0),IF(ROUND(T182*U182,2)&lt;1,1,0))))</f>
        <v>1</v>
      </c>
      <c r="W182" s="0" t="n">
        <f aca="false">IF('Reverse Search'!$N$7="Disable",1,IF('Reverse Search'!$I$9="Disable",1,IF('Reverse Search'!$K$9="≥",IF(J182&gt;='Reverse Search'!$L$9,1,0),IF('Reverse Search'!$K$9="≤",IF(J182&lt;='Reverse Search'!$L$9,1,0),IF(J182='Reverse Search'!$L$9,1,0)))))</f>
        <v>1</v>
      </c>
      <c r="X182" s="0" t="n">
        <f aca="false">IF('Reverse Search'!$N$7="Disable",1,IF('Reverse Search'!$I$10="Disable",1,IF('Reverse Search'!$K$10="≥",IF(K182&gt;='Reverse Search'!$L$10,1,0),IF('Reverse Search'!$K$10="≤",IF(K182&lt;='Reverse Search'!$L$10,1,0),IF(K182='Reverse Search'!$L$10,1,0)))))</f>
        <v>1</v>
      </c>
      <c r="Y182" s="367" t="n">
        <f aca="false">IF('Reverse Search'!$N$7="Disable",1,IF('Reverse Search'!$I$11="Disable",1,IF('Reverse Search'!$K$11="≥",IF(L182&gt;='Reverse Search'!$L$11,1,0),IF('Reverse Search'!$K$11="≤",IF(L182&lt;='Reverse Search'!$L$11,1,0),IF(L182='Reverse Search'!$L$11,1,0)))))</f>
        <v>1</v>
      </c>
      <c r="Z182" s="0" t="n">
        <f aca="true">IF('Reverse Search'!$C$14="Disable",1,IF('Reverse Search'!$D$16="Disable",1,IF($C$2=3,IF($M182=0,0,COUNTIF(INDIRECT("'0.0.2 Pokémon Learnset (Core)'!$D$"&amp;MATCH($E182,'0.0.2 Pokémon Learnset (Core)'!$A$1:$A951,0)&amp;":$FK$"&amp;MATCH($E182,'0.0.2 Pokémon Learnset (Core)'!$A$1:$A951,0)),'Reverse Search'!$E$21)),IF($C$2=2,COUNTIF(INDIRECT("'0.1.1 Pokémon GO Moves'!$B$"&amp;MATCH($E182,'0.1.1 Pokémon GO Moves'!$A$1:$A951,0)&amp;":$R$"&amp;MATCH($E182,'0.1.1 Pokémon GO Moves'!$A$1:$A951,0)),'Reverse Search'!$E$21),COUNTIF(INDIRECT("'0.1.1 Pokémon GO Moves'!$B$"&amp;MATCH($E182,'0.1.1 Pokémon GO Moves'!$A$1:$A951,0)&amp;":$L$"&amp;MATCH($E182,'0.1.1 Pokémon GO Moves'!$A$1:$A951,0)),'Reverse Search'!$E$21)))))</f>
        <v>1</v>
      </c>
      <c r="AA182" s="0" t="n">
        <f aca="true">IF('Reverse Search'!$C$14="Disable",1,IF('Reverse Search'!$I$16="Disable",1,IF($D$2=3,IF($M182=0,0,COUNTIF(INDIRECT("'0.0.2 Pokémon Learnset (Core)'!$D$"&amp;MATCH($E182,'0.0.2 Pokémon Learnset (Core)'!$A$1:$A951,0)&amp;":$FK$"&amp;MATCH($E182,'0.0.2 Pokémon Learnset (Core)'!$A$1:$A951,0)),'Reverse Search'!$J$21)),IF($D$2=2,COUNTIF(INDIRECT("'0.1.1 Pokémon GO Moves'!$B$"&amp;MATCH($E182,'0.1.1 Pokémon GO Moves'!$A$1:$A951,0)&amp;":$R$"&amp;MATCH($E182,'0.1.1 Pokémon GO Moves'!$A$1:$A951,0)),'Reverse Search'!$J$21),COUNTIF(INDIRECT("'0.1.1 Pokémon GO Moves'!$B$"&amp;MATCH($E182,'0.1.1 Pokémon GO Moves'!$A$1:$A951,0)&amp;":$L$"&amp;MATCH($E182,'0.1.1 Pokémon GO Moves'!$A$1:$A951,0)),'Reverse Search'!$J$21)))))</f>
        <v>0</v>
      </c>
      <c r="AB182" s="490"/>
      <c r="AC182" s="260" t="n">
        <f aca="false">IF((Q182+R182+S182+V182+W182+X182+Y182+IF(Z182&gt;=1,1,0)+IF(AA182&gt;=1,1,0))=9,G182&amp;", ",)</f>
        <v>0</v>
      </c>
    </row>
    <row r="183" customFormat="false" ht="15.75" hidden="false" customHeight="false" outlineLevel="0" collapsed="false">
      <c r="A183" s="260"/>
      <c r="B183" s="358"/>
      <c r="C183" s="260"/>
      <c r="D183" s="358"/>
      <c r="E183" s="260" t="n">
        <v>182</v>
      </c>
      <c r="F183" s="260" t="n">
        <f aca="false" t="array" ref="F183:F183">INDEX('0.0.1 Pokémon Dex Data'!$H$3:$H951,MATCH(E183,'0.0.1 Pokémon Dex Data'!$B$3:$B951,0))</f>
        <v>2</v>
      </c>
      <c r="G183" s="0" t="str">
        <f aca="false" t="array" ref="G183:G183">INDEX('0.0.1 Pokémon Dex Data'!$E$3:$E951,MATCH(E183,'0.0.1 Pokémon Dex Data'!$B$3:$B951,0))</f>
        <v>Mewtwo-Mega-X</v>
      </c>
      <c r="H183" s="0" t="str">
        <f aca="false" t="array" ref="H183:H183">INDEX('0.0.1 Pokémon Dex Data'!$Q$3:$Q951,MATCH(E183,'0.0.1 Pokémon Dex Data'!$B$3:$B951,0))</f>
        <v>Psychic</v>
      </c>
      <c r="I183" s="0" t="str">
        <f aca="false" t="array" ref="I183:I183">INDEX('0.0.1 Pokémon Dex Data'!$R$3:$R951,MATCH(E183,'0.0.1 Pokémon Dex Data'!$B$3:$B951,0))</f>
        <v>Fighting</v>
      </c>
      <c r="J183" s="260" t="n">
        <f aca="false" t="array" ref="J183:J183">ROUND(INDEX('0.0.1 Pokémon Dex Data'!$S$3:$S951,MATCH($E183,'0.0.1 Pokémon Dex Data'!$B$3:$B951,0))*INDEX('0.0.1 Pokémon Dex Data'!T$3:T951,MATCH($E183,'0.0.1 Pokémon Dex Data'!$B$3:$B951,0)),0)</f>
        <v>375</v>
      </c>
      <c r="K183" s="260" t="n">
        <f aca="false" t="array" ref="K183:K183">ROUND(INDEX('0.0.1 Pokémon Dex Data'!$S$3:$S951,MATCH($E183,'0.0.1 Pokémon Dex Data'!$B$3:$B951,0))*INDEX('0.0.1 Pokémon Dex Data'!U$3:U951,MATCH($E183,'0.0.1 Pokémon Dex Data'!$B$3:$B951,0)),0)</f>
        <v>202</v>
      </c>
      <c r="L183" s="260" t="n">
        <f aca="false" t="array" ref="L183:L183">ROUND(INDEX('0.0.1 Pokémon Dex Data'!$S$3:$S951,MATCH($E183,'0.0.1 Pokémon Dex Data'!$B$3:$B951,0))*INDEX('0.0.1 Pokémon Dex Data'!V$3:V951,MATCH($E183,'0.0.1 Pokémon Dex Data'!$B$3:$B951,0)),0)</f>
        <v>214</v>
      </c>
      <c r="M183" s="260" t="n">
        <f aca="false" t="array" ref="M183:M183">INDEX('0.0.1 Pokémon Dex Data'!$J$3:$J951,MATCH(E183,'0.0.1 Pokémon Dex Data'!$B$3:$B951,0))</f>
        <v>1</v>
      </c>
      <c r="O183" s="490"/>
      <c r="Q183" s="367" t="n">
        <f aca="false">IF('Reverse Search'!$F$4="All (including temporary formes)",1,IF('Reverse Search'!$F$4="Base Pokémon and permanent formes only",IF(F183&lt;=1,1,0),IF(F183=0,1,0)))</f>
        <v>0</v>
      </c>
      <c r="R183" s="0" t="n">
        <f aca="false">IF('Reverse Search'!$C$7="Disable",1,IF('Reverse Search'!$D$9="Disable",1,IF(OR('Reverse Search'!$F$9=H183,'Reverse Search'!$F$9=I183),1,0)))</f>
        <v>1</v>
      </c>
      <c r="S183" s="0" t="n">
        <f aca="false">IF('Reverse Search'!$C$7="Disable",1,IF('Reverse Search'!$D$10="Disable",1,IF(OR('Reverse Search'!$F$10=H183,'Reverse Search'!$F$10=I183),1,0)))</f>
        <v>1</v>
      </c>
      <c r="T183" s="0" t="n">
        <f aca="false">INDEX($B$4:$B$22,MATCH(H183,$A$4:$A$22,0))</f>
        <v>1</v>
      </c>
      <c r="U183" s="0" t="n">
        <f aca="false">IF(ISBLANK(I183),1,INDEX($B$4:$B$22,MATCH(I183,$A$4:$A$22,0)))</f>
        <v>1</v>
      </c>
      <c r="V183" s="367" t="n">
        <f aca="false">IF('Reverse Search'!$C$7="Disable",1,IF('Reverse Search'!$D$11="Disable",1,IF('Reverse Search'!$E$11="Neutral to:",IF(ROUND(T183*U183,2)&lt;=1,1,0),IF(ROUND(T183*U183,2)&lt;1,1,0))))</f>
        <v>1</v>
      </c>
      <c r="W183" s="0" t="n">
        <f aca="false">IF('Reverse Search'!$N$7="Disable",1,IF('Reverse Search'!$I$9="Disable",1,IF('Reverse Search'!$K$9="≥",IF(J183&gt;='Reverse Search'!$L$9,1,0),IF('Reverse Search'!$K$9="≤",IF(J183&lt;='Reverse Search'!$L$9,1,0),IF(J183='Reverse Search'!$L$9,1,0)))))</f>
        <v>1</v>
      </c>
      <c r="X183" s="0" t="n">
        <f aca="false">IF('Reverse Search'!$N$7="Disable",1,IF('Reverse Search'!$I$10="Disable",1,IF('Reverse Search'!$K$10="≥",IF(K183&gt;='Reverse Search'!$L$10,1,0),IF('Reverse Search'!$K$10="≤",IF(K183&lt;='Reverse Search'!$L$10,1,0),IF(K183='Reverse Search'!$L$10,1,0)))))</f>
        <v>1</v>
      </c>
      <c r="Y183" s="367" t="n">
        <f aca="false">IF('Reverse Search'!$N$7="Disable",1,IF('Reverse Search'!$I$11="Disable",1,IF('Reverse Search'!$K$11="≥",IF(L183&gt;='Reverse Search'!$L$11,1,0),IF('Reverse Search'!$K$11="≤",IF(L183&lt;='Reverse Search'!$L$11,1,0),IF(L183='Reverse Search'!$L$11,1,0)))))</f>
        <v>1</v>
      </c>
      <c r="Z183" s="0" t="n">
        <f aca="true">IF('Reverse Search'!$C$14="Disable",1,IF('Reverse Search'!$D$16="Disable",1,IF($C$2=3,IF($M183=0,0,COUNTIF(INDIRECT("'0.0.2 Pokémon Learnset (Core)'!$D$"&amp;MATCH($E183,'0.0.2 Pokémon Learnset (Core)'!$A$1:$A951,0)&amp;":$FK$"&amp;MATCH($E183,'0.0.2 Pokémon Learnset (Core)'!$A$1:$A951,0)),'Reverse Search'!$E$21)),IF($C$2=2,COUNTIF(INDIRECT("'0.1.1 Pokémon GO Moves'!$B$"&amp;MATCH($E183,'0.1.1 Pokémon GO Moves'!$A$1:$A951,0)&amp;":$R$"&amp;MATCH($E183,'0.1.1 Pokémon GO Moves'!$A$1:$A951,0)),'Reverse Search'!$E$21),COUNTIF(INDIRECT("'0.1.1 Pokémon GO Moves'!$B$"&amp;MATCH($E183,'0.1.1 Pokémon GO Moves'!$A$1:$A951,0)&amp;":$L$"&amp;MATCH($E183,'0.1.1 Pokémon GO Moves'!$A$1:$A951,0)),'Reverse Search'!$E$21)))))</f>
        <v>1</v>
      </c>
      <c r="AA183" s="0" t="e">
        <f aca="true">IF('Reverse Search'!$C$14="Disable",1,IF('Reverse Search'!$I$16="Disable",1,IF($D$2=3,IF($M183=0,0,COUNTIF(INDIRECT("'0.0.2 Pokémon Learnset (Core)'!$D$"&amp;MATCH($E183,'0.0.2 Pokémon Learnset (Core)'!$A$1:$A951,0)&amp;":$FK$"&amp;MATCH($E183,'0.0.2 Pokémon Learnset (Core)'!$A$1:$A951,0)),'Reverse Search'!$J$21)),IF($D$2=2,COUNTIF(INDIRECT("'0.1.1 Pokémon GO Moves'!$B$"&amp;MATCH($E183,'0.1.1 Pokémon GO Moves'!$A$1:$A951,0)&amp;":$R$"&amp;MATCH($E183,'0.1.1 Pokémon GO Moves'!$A$1:$A951,0)),'Reverse Search'!$J$21),COUNTIF(INDIRECT("'0.1.1 Pokémon GO Moves'!$B$"&amp;MATCH($E183,'0.1.1 Pokémon GO Moves'!$A$1:$A951,0)&amp;":$L$"&amp;MATCH($E183,'0.1.1 Pokémon GO Moves'!$A$1:$A951,0)),'Reverse Search'!$J$21)))))</f>
        <v>#N/A</v>
      </c>
      <c r="AB183" s="490"/>
      <c r="AC183" s="260" t="e">
        <f aca="false">IF((Q183+R183+S183+V183+W183+X183+Y183+IF(Z183&gt;=1,1,0)+IF(AA183&gt;=1,1,0))=9,G183&amp;", ",)</f>
        <v>#N/A</v>
      </c>
    </row>
    <row r="184" customFormat="false" ht="15.75" hidden="false" customHeight="false" outlineLevel="0" collapsed="false">
      <c r="A184" s="260"/>
      <c r="B184" s="358"/>
      <c r="C184" s="260"/>
      <c r="D184" s="358"/>
      <c r="E184" s="260" t="n">
        <v>183</v>
      </c>
      <c r="F184" s="260" t="n">
        <f aca="false" t="array" ref="F184:F184">INDEX('0.0.1 Pokémon Dex Data'!$H$3:$H951,MATCH(E184,'0.0.1 Pokémon Dex Data'!$B$3:$B951,0))</f>
        <v>2</v>
      </c>
      <c r="G184" s="0" t="str">
        <f aca="false" t="array" ref="G184:G184">INDEX('0.0.1 Pokémon Dex Data'!$E$3:$E951,MATCH(E184,'0.0.1 Pokémon Dex Data'!$B$3:$B951,0))</f>
        <v>Mewtwo-Mega-Y</v>
      </c>
      <c r="H184" s="0" t="str">
        <f aca="false" t="array" ref="H184:H184">INDEX('0.0.1 Pokémon Dex Data'!$Q$3:$Q951,MATCH(E184,'0.0.1 Pokémon Dex Data'!$B$3:$B951,0))</f>
        <v>Psychic</v>
      </c>
      <c r="I184" s="0" t="n">
        <f aca="false">INDEX('0.0.1 Pokémon Dex Data'!$R$3:$R951,MATCH(E184,'0.0.1 Pokémon Dex Data'!$B$3:$B951,0))</f>
        <v>0</v>
      </c>
      <c r="J184" s="260" t="n">
        <f aca="false" t="array" ref="J184:J184">ROUND(INDEX('0.0.1 Pokémon Dex Data'!$S$3:$S951,MATCH($E184,'0.0.1 Pokémon Dex Data'!$B$3:$B951,0))*INDEX('0.0.1 Pokémon Dex Data'!T$3:T951,MATCH($E184,'0.0.1 Pokémon Dex Data'!$B$3:$B951,0)),0)</f>
        <v>387</v>
      </c>
      <c r="K184" s="260" t="n">
        <f aca="false" t="array" ref="K184:K184">ROUND(INDEX('0.0.1 Pokémon Dex Data'!$S$3:$S951,MATCH($E184,'0.0.1 Pokémon Dex Data'!$B$3:$B951,0))*INDEX('0.0.1 Pokémon Dex Data'!U$3:U951,MATCH($E184,'0.0.1 Pokémon Dex Data'!$B$3:$B951,0)),0)</f>
        <v>208</v>
      </c>
      <c r="L184" s="260" t="n">
        <f aca="false" t="array" ref="L184:L184">ROUND(INDEX('0.0.1 Pokémon Dex Data'!$S$3:$S951,MATCH($E184,'0.0.1 Pokémon Dex Data'!$B$3:$B951,0))*INDEX('0.0.1 Pokémon Dex Data'!V$3:V951,MATCH($E184,'0.0.1 Pokémon Dex Data'!$B$3:$B951,0)),0)</f>
        <v>214</v>
      </c>
      <c r="M184" s="260" t="n">
        <f aca="false" t="array" ref="M184:M184">INDEX('0.0.1 Pokémon Dex Data'!$J$3:$J951,MATCH(E184,'0.0.1 Pokémon Dex Data'!$B$3:$B951,0))</f>
        <v>1</v>
      </c>
      <c r="O184" s="490"/>
      <c r="Q184" s="367" t="n">
        <f aca="false">IF('Reverse Search'!$F$4="All (including temporary formes)",1,IF('Reverse Search'!$F$4="Base Pokémon and permanent formes only",IF(F184&lt;=1,1,0),IF(F184=0,1,0)))</f>
        <v>0</v>
      </c>
      <c r="R184" s="0" t="n">
        <f aca="false">IF('Reverse Search'!$C$7="Disable",1,IF('Reverse Search'!$D$9="Disable",1,IF(OR('Reverse Search'!$F$9=H184,'Reverse Search'!$F$9=I184),1,0)))</f>
        <v>1</v>
      </c>
      <c r="S184" s="0" t="n">
        <f aca="false">IF('Reverse Search'!$C$7="Disable",1,IF('Reverse Search'!$D$10="Disable",1,IF(OR('Reverse Search'!$F$10=H184,'Reverse Search'!$F$10=I184),1,0)))</f>
        <v>1</v>
      </c>
      <c r="T184" s="0" t="n">
        <f aca="false">INDEX($B$4:$B$22,MATCH(H184,$A$4:$A$22,0))</f>
        <v>1</v>
      </c>
      <c r="U184" s="0" t="e">
        <f aca="false">IF(ISBLANK(I184),1,INDEX($B$4:$B$22,MATCH(I184,$A$4:$A$22,0)))</f>
        <v>#N/A</v>
      </c>
      <c r="V184" s="367" t="n">
        <f aca="false">IF('Reverse Search'!$C$7="Disable",1,IF('Reverse Search'!$D$11="Disable",1,IF('Reverse Search'!$E$11="Neutral to:",IF(ROUND(T184*U184,2)&lt;=1,1,0),IF(ROUND(T184*U184,2)&lt;1,1,0))))</f>
        <v>1</v>
      </c>
      <c r="W184" s="0" t="n">
        <f aca="false">IF('Reverse Search'!$N$7="Disable",1,IF('Reverse Search'!$I$9="Disable",1,IF('Reverse Search'!$K$9="≥",IF(J184&gt;='Reverse Search'!$L$9,1,0),IF('Reverse Search'!$K$9="≤",IF(J184&lt;='Reverse Search'!$L$9,1,0),IF(J184='Reverse Search'!$L$9,1,0)))))</f>
        <v>1</v>
      </c>
      <c r="X184" s="0" t="n">
        <f aca="false">IF('Reverse Search'!$N$7="Disable",1,IF('Reverse Search'!$I$10="Disable",1,IF('Reverse Search'!$K$10="≥",IF(K184&gt;='Reverse Search'!$L$10,1,0),IF('Reverse Search'!$K$10="≤",IF(K184&lt;='Reverse Search'!$L$10,1,0),IF(K184='Reverse Search'!$L$10,1,0)))))</f>
        <v>1</v>
      </c>
      <c r="Y184" s="367" t="n">
        <f aca="false">IF('Reverse Search'!$N$7="Disable",1,IF('Reverse Search'!$I$11="Disable",1,IF('Reverse Search'!$K$11="≥",IF(L184&gt;='Reverse Search'!$L$11,1,0),IF('Reverse Search'!$K$11="≤",IF(L184&lt;='Reverse Search'!$L$11,1,0),IF(L184='Reverse Search'!$L$11,1,0)))))</f>
        <v>1</v>
      </c>
      <c r="Z184" s="0" t="n">
        <f aca="true">IF('Reverse Search'!$C$14="Disable",1,IF('Reverse Search'!$D$16="Disable",1,IF($C$2=3,IF($M184=0,0,COUNTIF(INDIRECT("'0.0.2 Pokémon Learnset (Core)'!$D$"&amp;MATCH($E184,'0.0.2 Pokémon Learnset (Core)'!$A$1:$A951,0)&amp;":$FK$"&amp;MATCH($E184,'0.0.2 Pokémon Learnset (Core)'!$A$1:$A951,0)),'Reverse Search'!$E$21)),IF($C$2=2,COUNTIF(INDIRECT("'0.1.1 Pokémon GO Moves'!$B$"&amp;MATCH($E184,'0.1.1 Pokémon GO Moves'!$A$1:$A951,0)&amp;":$R$"&amp;MATCH($E184,'0.1.1 Pokémon GO Moves'!$A$1:$A951,0)),'Reverse Search'!$E$21),COUNTIF(INDIRECT("'0.1.1 Pokémon GO Moves'!$B$"&amp;MATCH($E184,'0.1.1 Pokémon GO Moves'!$A$1:$A951,0)&amp;":$L$"&amp;MATCH($E184,'0.1.1 Pokémon GO Moves'!$A$1:$A951,0)),'Reverse Search'!$E$21)))))</f>
        <v>1</v>
      </c>
      <c r="AA184" s="0" t="e">
        <f aca="true">IF('Reverse Search'!$C$14="Disable",1,IF('Reverse Search'!$I$16="Disable",1,IF($D$2=3,IF($M184=0,0,COUNTIF(INDIRECT("'0.0.2 Pokémon Learnset (Core)'!$D$"&amp;MATCH($E184,'0.0.2 Pokémon Learnset (Core)'!$A$1:$A951,0)&amp;":$FK$"&amp;MATCH($E184,'0.0.2 Pokémon Learnset (Core)'!$A$1:$A951,0)),'Reverse Search'!$J$21)),IF($D$2=2,COUNTIF(INDIRECT("'0.1.1 Pokémon GO Moves'!$B$"&amp;MATCH($E184,'0.1.1 Pokémon GO Moves'!$A$1:$A951,0)&amp;":$R$"&amp;MATCH($E184,'0.1.1 Pokémon GO Moves'!$A$1:$A951,0)),'Reverse Search'!$J$21),COUNTIF(INDIRECT("'0.1.1 Pokémon GO Moves'!$B$"&amp;MATCH($E184,'0.1.1 Pokémon GO Moves'!$A$1:$A951,0)&amp;":$L$"&amp;MATCH($E184,'0.1.1 Pokémon GO Moves'!$A$1:$A951,0)),'Reverse Search'!$J$21)))))</f>
        <v>#N/A</v>
      </c>
      <c r="AB184" s="490"/>
      <c r="AC184" s="260" t="e">
        <f aca="false">IF((Q184+R184+S184+V184+W184+X184+Y184+IF(Z184&gt;=1,1,0)+IF(AA184&gt;=1,1,0))=9,G184&amp;", ",)</f>
        <v>#N/A</v>
      </c>
    </row>
    <row r="185" customFormat="false" ht="15.75" hidden="false" customHeight="false" outlineLevel="0" collapsed="false">
      <c r="A185" s="260"/>
      <c r="B185" s="358"/>
      <c r="C185" s="260"/>
      <c r="D185" s="358"/>
      <c r="E185" s="260" t="n">
        <v>184</v>
      </c>
      <c r="F185" s="260" t="n">
        <f aca="false" t="array" ref="F185:F185">INDEX('0.0.1 Pokémon Dex Data'!$H$3:$H951,MATCH(E185,'0.0.1 Pokémon Dex Data'!$B$3:$B951,0))</f>
        <v>0</v>
      </c>
      <c r="G185" s="0" t="str">
        <f aca="false" t="array" ref="G185:G185">INDEX('0.0.1 Pokémon Dex Data'!$E$3:$E951,MATCH(E185,'0.0.1 Pokémon Dex Data'!$B$3:$B951,0))</f>
        <v>Mew</v>
      </c>
      <c r="H185" s="0" t="str">
        <f aca="false" t="array" ref="H185:H185">INDEX('0.0.1 Pokémon Dex Data'!$Q$3:$Q951,MATCH(E185,'0.0.1 Pokémon Dex Data'!$B$3:$B951,0))</f>
        <v>Psychic</v>
      </c>
      <c r="I185" s="0" t="n">
        <f aca="false">INDEX('0.0.1 Pokémon Dex Data'!$R$3:$R951,MATCH(E185,'0.0.1 Pokémon Dex Data'!$B$3:$B951,0))</f>
        <v>0</v>
      </c>
      <c r="J185" s="260" t="n">
        <f aca="false" t="array" ref="J185:J185">ROUND(INDEX('0.0.1 Pokémon Dex Data'!$S$3:$S951,MATCH($E185,'0.0.1 Pokémon Dex Data'!$B$3:$B951,0))*INDEX('0.0.1 Pokémon Dex Data'!T$3:T951,MATCH($E185,'0.0.1 Pokémon Dex Data'!$B$3:$B951,0)),0)</f>
        <v>210</v>
      </c>
      <c r="K185" s="260" t="n">
        <f aca="false" t="array" ref="K185:K185">ROUND(INDEX('0.0.1 Pokémon Dex Data'!$S$3:$S951,MATCH($E185,'0.0.1 Pokémon Dex Data'!$B$3:$B951,0))*INDEX('0.0.1 Pokémon Dex Data'!U$3:U951,MATCH($E185,'0.0.1 Pokémon Dex Data'!$B$3:$B951,0)),0)</f>
        <v>210</v>
      </c>
      <c r="L185" s="260" t="n">
        <f aca="false" t="array" ref="L185:L185">ROUND(INDEX('0.0.1 Pokémon Dex Data'!$S$3:$S951,MATCH($E185,'0.0.1 Pokémon Dex Data'!$B$3:$B951,0))*INDEX('0.0.1 Pokémon Dex Data'!V$3:V951,MATCH($E185,'0.0.1 Pokémon Dex Data'!$B$3:$B951,0)),0)</f>
        <v>225</v>
      </c>
      <c r="M185" s="260" t="n">
        <f aca="false" t="array" ref="M185:M185">INDEX('0.0.1 Pokémon Dex Data'!$J$3:$J951,MATCH(E185,'0.0.1 Pokémon Dex Data'!$B$3:$B951,0))</f>
        <v>1</v>
      </c>
      <c r="O185" s="490"/>
      <c r="Q185" s="367" t="n">
        <f aca="false">IF('Reverse Search'!$F$4="All (including temporary formes)",1,IF('Reverse Search'!$F$4="Base Pokémon and permanent formes only",IF(F185&lt;=1,1,0),IF(F185=0,1,0)))</f>
        <v>1</v>
      </c>
      <c r="R185" s="0" t="n">
        <f aca="false">IF('Reverse Search'!$C$7="Disable",1,IF('Reverse Search'!$D$9="Disable",1,IF(OR('Reverse Search'!$F$9=H185,'Reverse Search'!$F$9=I185),1,0)))</f>
        <v>1</v>
      </c>
      <c r="S185" s="0" t="n">
        <f aca="false">IF('Reverse Search'!$C$7="Disable",1,IF('Reverse Search'!$D$10="Disable",1,IF(OR('Reverse Search'!$F$10=H185,'Reverse Search'!$F$10=I185),1,0)))</f>
        <v>1</v>
      </c>
      <c r="T185" s="0" t="n">
        <f aca="false">INDEX($B$4:$B$22,MATCH(H185,$A$4:$A$22,0))</f>
        <v>1</v>
      </c>
      <c r="U185" s="0" t="e">
        <f aca="false">IF(ISBLANK(I185),1,INDEX($B$4:$B$22,MATCH(I185,$A$4:$A$22,0)))</f>
        <v>#N/A</v>
      </c>
      <c r="V185" s="367" t="n">
        <f aca="false">IF('Reverse Search'!$C$7="Disable",1,IF('Reverse Search'!$D$11="Disable",1,IF('Reverse Search'!$E$11="Neutral to:",IF(ROUND(T185*U185,2)&lt;=1,1,0),IF(ROUND(T185*U185,2)&lt;1,1,0))))</f>
        <v>1</v>
      </c>
      <c r="W185" s="0" t="n">
        <f aca="false">IF('Reverse Search'!$N$7="Disable",1,IF('Reverse Search'!$I$9="Disable",1,IF('Reverse Search'!$K$9="≥",IF(J185&gt;='Reverse Search'!$L$9,1,0),IF('Reverse Search'!$K$9="≤",IF(J185&lt;='Reverse Search'!$L$9,1,0),IF(J185='Reverse Search'!$L$9,1,0)))))</f>
        <v>1</v>
      </c>
      <c r="X185" s="0" t="n">
        <f aca="false">IF('Reverse Search'!$N$7="Disable",1,IF('Reverse Search'!$I$10="Disable",1,IF('Reverse Search'!$K$10="≥",IF(K185&gt;='Reverse Search'!$L$10,1,0),IF('Reverse Search'!$K$10="≤",IF(K185&lt;='Reverse Search'!$L$10,1,0),IF(K185='Reverse Search'!$L$10,1,0)))))</f>
        <v>1</v>
      </c>
      <c r="Y185" s="367" t="n">
        <f aca="false">IF('Reverse Search'!$N$7="Disable",1,IF('Reverse Search'!$I$11="Disable",1,IF('Reverse Search'!$K$11="≥",IF(L185&gt;='Reverse Search'!$L$11,1,0),IF('Reverse Search'!$K$11="≤",IF(L185&lt;='Reverse Search'!$L$11,1,0),IF(L185='Reverse Search'!$L$11,1,0)))))</f>
        <v>1</v>
      </c>
      <c r="Z185" s="0" t="n">
        <f aca="true">IF('Reverse Search'!$C$14="Disable",1,IF('Reverse Search'!$D$16="Disable",1,IF($C$2=3,IF($M185=0,0,COUNTIF(INDIRECT("'0.0.2 Pokémon Learnset (Core)'!$D$"&amp;MATCH($E185,'0.0.2 Pokémon Learnset (Core)'!$A$1:$A951,0)&amp;":$FK$"&amp;MATCH($E185,'0.0.2 Pokémon Learnset (Core)'!$A$1:$A951,0)),'Reverse Search'!$E$21)),IF($C$2=2,COUNTIF(INDIRECT("'0.1.1 Pokémon GO Moves'!$B$"&amp;MATCH($E185,'0.1.1 Pokémon GO Moves'!$A$1:$A951,0)&amp;":$R$"&amp;MATCH($E185,'0.1.1 Pokémon GO Moves'!$A$1:$A951,0)),'Reverse Search'!$E$21),COUNTIF(INDIRECT("'0.1.1 Pokémon GO Moves'!$B$"&amp;MATCH($E185,'0.1.1 Pokémon GO Moves'!$A$1:$A951,0)&amp;":$L$"&amp;MATCH($E185,'0.1.1 Pokémon GO Moves'!$A$1:$A951,0)),'Reverse Search'!$E$21)))))</f>
        <v>1</v>
      </c>
      <c r="AA185" s="0" t="n">
        <f aca="true">IF('Reverse Search'!$C$14="Disable",1,IF('Reverse Search'!$I$16="Disable",1,IF($D$2=3,IF($M185=0,0,COUNTIF(INDIRECT("'0.0.2 Pokémon Learnset (Core)'!$D$"&amp;MATCH($E185,'0.0.2 Pokémon Learnset (Core)'!$A$1:$A951,0)&amp;":$FK$"&amp;MATCH($E185,'0.0.2 Pokémon Learnset (Core)'!$A$1:$A951,0)),'Reverse Search'!$J$21)),IF($D$2=2,COUNTIF(INDIRECT("'0.1.1 Pokémon GO Moves'!$B$"&amp;MATCH($E185,'0.1.1 Pokémon GO Moves'!$A$1:$A951,0)&amp;":$R$"&amp;MATCH($E185,'0.1.1 Pokémon GO Moves'!$A$1:$A951,0)),'Reverse Search'!$J$21),COUNTIF(INDIRECT("'0.1.1 Pokémon GO Moves'!$B$"&amp;MATCH($E185,'0.1.1 Pokémon GO Moves'!$A$1:$A951,0)&amp;":$L$"&amp;MATCH($E185,'0.1.1 Pokémon GO Moves'!$A$1:$A951,0)),'Reverse Search'!$J$21)))))</f>
        <v>0</v>
      </c>
      <c r="AB185" s="490"/>
      <c r="AC185" s="260" t="n">
        <f aca="false">IF((Q185+R185+S185+V185+W185+X185+Y185+IF(Z185&gt;=1,1,0)+IF(AA185&gt;=1,1,0))=9,G185&amp;", ",)</f>
        <v>0</v>
      </c>
    </row>
    <row r="186" customFormat="false" ht="15.75" hidden="false" customHeight="false" outlineLevel="0" collapsed="false">
      <c r="A186" s="260"/>
      <c r="B186" s="358"/>
      <c r="C186" s="260"/>
      <c r="D186" s="358"/>
      <c r="E186" s="260" t="n">
        <v>185</v>
      </c>
      <c r="F186" s="260" t="n">
        <f aca="false" t="array" ref="F186:F186">INDEX('0.0.1 Pokémon Dex Data'!$H$3:$H951,MATCH(E186,'0.0.1 Pokémon Dex Data'!$B$3:$B951,0))</f>
        <v>0</v>
      </c>
      <c r="G186" s="0" t="str">
        <f aca="false" t="array" ref="G186:G186">INDEX('0.0.1 Pokémon Dex Data'!$E$3:$E951,MATCH(E186,'0.0.1 Pokémon Dex Data'!$B$3:$B951,0))</f>
        <v>Chikorita</v>
      </c>
      <c r="H186" s="0" t="str">
        <f aca="false" t="array" ref="H186:H186">INDEX('0.0.1 Pokémon Dex Data'!$Q$3:$Q951,MATCH(E186,'0.0.1 Pokémon Dex Data'!$B$3:$B951,0))</f>
        <v>Grass</v>
      </c>
      <c r="I186" s="0" t="n">
        <f aca="false">INDEX('0.0.1 Pokémon Dex Data'!$R$3:$R951,MATCH(E186,'0.0.1 Pokémon Dex Data'!$B$3:$B951,0))</f>
        <v>0</v>
      </c>
      <c r="J186" s="260" t="n">
        <f aca="false" t="array" ref="J186:J186">ROUND(INDEX('0.0.1 Pokémon Dex Data'!$S$3:$S951,MATCH($E186,'0.0.1 Pokémon Dex Data'!$B$3:$B951,0))*INDEX('0.0.1 Pokémon Dex Data'!T$3:T951,MATCH($E186,'0.0.1 Pokémon Dex Data'!$B$3:$B951,0)),0)</f>
        <v>92</v>
      </c>
      <c r="K186" s="260" t="n">
        <f aca="false" t="array" ref="K186:K186">ROUND(INDEX('0.0.1 Pokémon Dex Data'!$S$3:$S951,MATCH($E186,'0.0.1 Pokémon Dex Data'!$B$3:$B951,0))*INDEX('0.0.1 Pokémon Dex Data'!U$3:U951,MATCH($E186,'0.0.1 Pokémon Dex Data'!$B$3:$B951,0)),0)</f>
        <v>122</v>
      </c>
      <c r="L186" s="260" t="n">
        <f aca="false" t="array" ref="L186:L186">ROUND(INDEX('0.0.1 Pokémon Dex Data'!$S$3:$S951,MATCH($E186,'0.0.1 Pokémon Dex Data'!$B$3:$B951,0))*INDEX('0.0.1 Pokémon Dex Data'!V$3:V951,MATCH($E186,'0.0.1 Pokémon Dex Data'!$B$3:$B951,0)),0)</f>
        <v>128</v>
      </c>
      <c r="M186" s="260" t="n">
        <f aca="false" t="array" ref="M186:M186">INDEX('0.0.1 Pokémon Dex Data'!$J$3:$J951,MATCH(E186,'0.0.1 Pokémon Dex Data'!$B$3:$B951,0))</f>
        <v>0</v>
      </c>
      <c r="O186" s="490"/>
      <c r="Q186" s="367" t="n">
        <f aca="false">IF('Reverse Search'!$F$4="All (including temporary formes)",1,IF('Reverse Search'!$F$4="Base Pokémon and permanent formes only",IF(F186&lt;=1,1,0),IF(F186=0,1,0)))</f>
        <v>1</v>
      </c>
      <c r="R186" s="0" t="n">
        <f aca="false">IF('Reverse Search'!$C$7="Disable",1,IF('Reverse Search'!$D$9="Disable",1,IF(OR('Reverse Search'!$F$9=H186,'Reverse Search'!$F$9=I186),1,0)))</f>
        <v>1</v>
      </c>
      <c r="S186" s="0" t="n">
        <f aca="false">IF('Reverse Search'!$C$7="Disable",1,IF('Reverse Search'!$D$10="Disable",1,IF(OR('Reverse Search'!$F$10=H186,'Reverse Search'!$F$10=I186),1,0)))</f>
        <v>1</v>
      </c>
      <c r="T186" s="0" t="n">
        <f aca="false">INDEX($B$4:$B$22,MATCH(H186,$A$4:$A$22,0))</f>
        <v>1</v>
      </c>
      <c r="U186" s="0" t="e">
        <f aca="false">IF(ISBLANK(I186),1,INDEX($B$4:$B$22,MATCH(I186,$A$4:$A$22,0)))</f>
        <v>#N/A</v>
      </c>
      <c r="V186" s="367" t="n">
        <f aca="false">IF('Reverse Search'!$C$7="Disable",1,IF('Reverse Search'!$D$11="Disable",1,IF('Reverse Search'!$E$11="Neutral to:",IF(ROUND(T186*U186,2)&lt;=1,1,0),IF(ROUND(T186*U186,2)&lt;1,1,0))))</f>
        <v>1</v>
      </c>
      <c r="W186" s="0" t="n">
        <f aca="false">IF('Reverse Search'!$N$7="Disable",1,IF('Reverse Search'!$I$9="Disable",1,IF('Reverse Search'!$K$9="≥",IF(J186&gt;='Reverse Search'!$L$9,1,0),IF('Reverse Search'!$K$9="≤",IF(J186&lt;='Reverse Search'!$L$9,1,0),IF(J186='Reverse Search'!$L$9,1,0)))))</f>
        <v>1</v>
      </c>
      <c r="X186" s="0" t="n">
        <f aca="false">IF('Reverse Search'!$N$7="Disable",1,IF('Reverse Search'!$I$10="Disable",1,IF('Reverse Search'!$K$10="≥",IF(K186&gt;='Reverse Search'!$L$10,1,0),IF('Reverse Search'!$K$10="≤",IF(K186&lt;='Reverse Search'!$L$10,1,0),IF(K186='Reverse Search'!$L$10,1,0)))))</f>
        <v>1</v>
      </c>
      <c r="Y186" s="367" t="n">
        <f aca="false">IF('Reverse Search'!$N$7="Disable",1,IF('Reverse Search'!$I$11="Disable",1,IF('Reverse Search'!$K$11="≥",IF(L186&gt;='Reverse Search'!$L$11,1,0),IF('Reverse Search'!$K$11="≤",IF(L186&lt;='Reverse Search'!$L$11,1,0),IF(L186='Reverse Search'!$L$11,1,0)))))</f>
        <v>1</v>
      </c>
      <c r="Z186" s="0" t="n">
        <f aca="true">IF('Reverse Search'!$C$14="Disable",1,IF('Reverse Search'!$D$16="Disable",1,IF($C$2=3,IF($M186=0,0,COUNTIF(INDIRECT("'0.0.2 Pokémon Learnset (Core)'!$D$"&amp;MATCH($E186,'0.0.2 Pokémon Learnset (Core)'!$A$1:$A951,0)&amp;":$FK$"&amp;MATCH($E186,'0.0.2 Pokémon Learnset (Core)'!$A$1:$A951,0)),'Reverse Search'!$E$21)),IF($C$2=2,COUNTIF(INDIRECT("'0.1.1 Pokémon GO Moves'!$B$"&amp;MATCH($E186,'0.1.1 Pokémon GO Moves'!$A$1:$A951,0)&amp;":$R$"&amp;MATCH($E186,'0.1.1 Pokémon GO Moves'!$A$1:$A951,0)),'Reverse Search'!$E$21),COUNTIF(INDIRECT("'0.1.1 Pokémon GO Moves'!$B$"&amp;MATCH($E186,'0.1.1 Pokémon GO Moves'!$A$1:$A951,0)&amp;":$L$"&amp;MATCH($E186,'0.1.1 Pokémon GO Moves'!$A$1:$A951,0)),'Reverse Search'!$E$21)))))</f>
        <v>1</v>
      </c>
      <c r="AA186" s="0" t="n">
        <f aca="true">IF('Reverse Search'!$C$14="Disable",1,IF('Reverse Search'!$I$16="Disable",1,IF($D$2=3,IF($M186=0,0,COUNTIF(INDIRECT("'0.0.2 Pokémon Learnset (Core)'!$D$"&amp;MATCH($E186,'0.0.2 Pokémon Learnset (Core)'!$A$1:$A951,0)&amp;":$FK$"&amp;MATCH($E186,'0.0.2 Pokémon Learnset (Core)'!$A$1:$A951,0)),'Reverse Search'!$J$21)),IF($D$2=2,COUNTIF(INDIRECT("'0.1.1 Pokémon GO Moves'!$B$"&amp;MATCH($E186,'0.1.1 Pokémon GO Moves'!$A$1:$A951,0)&amp;":$R$"&amp;MATCH($E186,'0.1.1 Pokémon GO Moves'!$A$1:$A951,0)),'Reverse Search'!$J$21),COUNTIF(INDIRECT("'0.1.1 Pokémon GO Moves'!$B$"&amp;MATCH($E186,'0.1.1 Pokémon GO Moves'!$A$1:$A951,0)&amp;":$L$"&amp;MATCH($E186,'0.1.1 Pokémon GO Moves'!$A$1:$A951,0)),'Reverse Search'!$J$21)))))</f>
        <v>0</v>
      </c>
      <c r="AB186" s="490"/>
      <c r="AC186" s="260" t="n">
        <f aca="false">IF((Q186+R186+S186+V186+W186+X186+Y186+IF(Z186&gt;=1,1,0)+IF(AA186&gt;=1,1,0))=9,G186&amp;", ",)</f>
        <v>0</v>
      </c>
    </row>
    <row r="187" customFormat="false" ht="15.75" hidden="false" customHeight="false" outlineLevel="0" collapsed="false">
      <c r="A187" s="260"/>
      <c r="B187" s="358"/>
      <c r="C187" s="260"/>
      <c r="D187" s="358"/>
      <c r="E187" s="260" t="n">
        <v>186</v>
      </c>
      <c r="F187" s="260" t="n">
        <f aca="false" t="array" ref="F187:F187">INDEX('0.0.1 Pokémon Dex Data'!$H$3:$H951,MATCH(E187,'0.0.1 Pokémon Dex Data'!$B$3:$B951,0))</f>
        <v>0</v>
      </c>
      <c r="G187" s="0" t="str">
        <f aca="false" t="array" ref="G187:G187">INDEX('0.0.1 Pokémon Dex Data'!$E$3:$E951,MATCH(E187,'0.0.1 Pokémon Dex Data'!$B$3:$B951,0))</f>
        <v>Bayleef</v>
      </c>
      <c r="H187" s="0" t="str">
        <f aca="false" t="array" ref="H187:H187">INDEX('0.0.1 Pokémon Dex Data'!$Q$3:$Q951,MATCH(E187,'0.0.1 Pokémon Dex Data'!$B$3:$B951,0))</f>
        <v>Grass</v>
      </c>
      <c r="I187" s="0" t="n">
        <f aca="false">INDEX('0.0.1 Pokémon Dex Data'!$R$3:$R951,MATCH(E187,'0.0.1 Pokémon Dex Data'!$B$3:$B951,0))</f>
        <v>0</v>
      </c>
      <c r="J187" s="260" t="n">
        <f aca="false" t="array" ref="J187:J187">ROUND(INDEX('0.0.1 Pokémon Dex Data'!$S$3:$S951,MATCH($E187,'0.0.1 Pokémon Dex Data'!$B$3:$B951,0))*INDEX('0.0.1 Pokémon Dex Data'!T$3:T951,MATCH($E187,'0.0.1 Pokémon Dex Data'!$B$3:$B951,0)),0)</f>
        <v>122</v>
      </c>
      <c r="K187" s="260" t="n">
        <f aca="false" t="array" ref="K187:K187">ROUND(INDEX('0.0.1 Pokémon Dex Data'!$S$3:$S951,MATCH($E187,'0.0.1 Pokémon Dex Data'!$B$3:$B951,0))*INDEX('0.0.1 Pokémon Dex Data'!U$3:U951,MATCH($E187,'0.0.1 Pokémon Dex Data'!$B$3:$B951,0)),0)</f>
        <v>155</v>
      </c>
      <c r="L187" s="260" t="n">
        <f aca="false" t="array" ref="L187:L187">ROUND(INDEX('0.0.1 Pokémon Dex Data'!$S$3:$S951,MATCH($E187,'0.0.1 Pokémon Dex Data'!$B$3:$B951,0))*INDEX('0.0.1 Pokémon Dex Data'!V$3:V951,MATCH($E187,'0.0.1 Pokémon Dex Data'!$B$3:$B951,0)),0)</f>
        <v>155</v>
      </c>
      <c r="M187" s="260" t="n">
        <f aca="false" t="array" ref="M187:M187">INDEX('0.0.1 Pokémon Dex Data'!$J$3:$J951,MATCH(E187,'0.0.1 Pokémon Dex Data'!$B$3:$B951,0))</f>
        <v>0</v>
      </c>
      <c r="O187" s="490"/>
      <c r="Q187" s="367" t="n">
        <f aca="false">IF('Reverse Search'!$F$4="All (including temporary formes)",1,IF('Reverse Search'!$F$4="Base Pokémon and permanent formes only",IF(F187&lt;=1,1,0),IF(F187=0,1,0)))</f>
        <v>1</v>
      </c>
      <c r="R187" s="0" t="n">
        <f aca="false">IF('Reverse Search'!$C$7="Disable",1,IF('Reverse Search'!$D$9="Disable",1,IF(OR('Reverse Search'!$F$9=H187,'Reverse Search'!$F$9=I187),1,0)))</f>
        <v>1</v>
      </c>
      <c r="S187" s="0" t="n">
        <f aca="false">IF('Reverse Search'!$C$7="Disable",1,IF('Reverse Search'!$D$10="Disable",1,IF(OR('Reverse Search'!$F$10=H187,'Reverse Search'!$F$10=I187),1,0)))</f>
        <v>1</v>
      </c>
      <c r="T187" s="0" t="n">
        <f aca="false">INDEX($B$4:$B$22,MATCH(H187,$A$4:$A$22,0))</f>
        <v>1</v>
      </c>
      <c r="U187" s="0" t="e">
        <f aca="false">IF(ISBLANK(I187),1,INDEX($B$4:$B$22,MATCH(I187,$A$4:$A$22,0)))</f>
        <v>#N/A</v>
      </c>
      <c r="V187" s="367" t="n">
        <f aca="false">IF('Reverse Search'!$C$7="Disable",1,IF('Reverse Search'!$D$11="Disable",1,IF('Reverse Search'!$E$11="Neutral to:",IF(ROUND(T187*U187,2)&lt;=1,1,0),IF(ROUND(T187*U187,2)&lt;1,1,0))))</f>
        <v>1</v>
      </c>
      <c r="W187" s="0" t="n">
        <f aca="false">IF('Reverse Search'!$N$7="Disable",1,IF('Reverse Search'!$I$9="Disable",1,IF('Reverse Search'!$K$9="≥",IF(J187&gt;='Reverse Search'!$L$9,1,0),IF('Reverse Search'!$K$9="≤",IF(J187&lt;='Reverse Search'!$L$9,1,0),IF(J187='Reverse Search'!$L$9,1,0)))))</f>
        <v>1</v>
      </c>
      <c r="X187" s="0" t="n">
        <f aca="false">IF('Reverse Search'!$N$7="Disable",1,IF('Reverse Search'!$I$10="Disable",1,IF('Reverse Search'!$K$10="≥",IF(K187&gt;='Reverse Search'!$L$10,1,0),IF('Reverse Search'!$K$10="≤",IF(K187&lt;='Reverse Search'!$L$10,1,0),IF(K187='Reverse Search'!$L$10,1,0)))))</f>
        <v>1</v>
      </c>
      <c r="Y187" s="367" t="n">
        <f aca="false">IF('Reverse Search'!$N$7="Disable",1,IF('Reverse Search'!$I$11="Disable",1,IF('Reverse Search'!$K$11="≥",IF(L187&gt;='Reverse Search'!$L$11,1,0),IF('Reverse Search'!$K$11="≤",IF(L187&lt;='Reverse Search'!$L$11,1,0),IF(L187='Reverse Search'!$L$11,1,0)))))</f>
        <v>1</v>
      </c>
      <c r="Z187" s="0" t="n">
        <f aca="true">IF('Reverse Search'!$C$14="Disable",1,IF('Reverse Search'!$D$16="Disable",1,IF($C$2=3,IF($M187=0,0,COUNTIF(INDIRECT("'0.0.2 Pokémon Learnset (Core)'!$D$"&amp;MATCH($E187,'0.0.2 Pokémon Learnset (Core)'!$A$1:$A951,0)&amp;":$FK$"&amp;MATCH($E187,'0.0.2 Pokémon Learnset (Core)'!$A$1:$A951,0)),'Reverse Search'!$E$21)),IF($C$2=2,COUNTIF(INDIRECT("'0.1.1 Pokémon GO Moves'!$B$"&amp;MATCH($E187,'0.1.1 Pokémon GO Moves'!$A$1:$A951,0)&amp;":$R$"&amp;MATCH($E187,'0.1.1 Pokémon GO Moves'!$A$1:$A951,0)),'Reverse Search'!$E$21),COUNTIF(INDIRECT("'0.1.1 Pokémon GO Moves'!$B$"&amp;MATCH($E187,'0.1.1 Pokémon GO Moves'!$A$1:$A951,0)&amp;":$L$"&amp;MATCH($E187,'0.1.1 Pokémon GO Moves'!$A$1:$A951,0)),'Reverse Search'!$E$21)))))</f>
        <v>1</v>
      </c>
      <c r="AA187" s="0" t="n">
        <f aca="true">IF('Reverse Search'!$C$14="Disable",1,IF('Reverse Search'!$I$16="Disable",1,IF($D$2=3,IF($M187=0,0,COUNTIF(INDIRECT("'0.0.2 Pokémon Learnset (Core)'!$D$"&amp;MATCH($E187,'0.0.2 Pokémon Learnset (Core)'!$A$1:$A951,0)&amp;":$FK$"&amp;MATCH($E187,'0.0.2 Pokémon Learnset (Core)'!$A$1:$A951,0)),'Reverse Search'!$J$21)),IF($D$2=2,COUNTIF(INDIRECT("'0.1.1 Pokémon GO Moves'!$B$"&amp;MATCH($E187,'0.1.1 Pokémon GO Moves'!$A$1:$A951,0)&amp;":$R$"&amp;MATCH($E187,'0.1.1 Pokémon GO Moves'!$A$1:$A951,0)),'Reverse Search'!$J$21),COUNTIF(INDIRECT("'0.1.1 Pokémon GO Moves'!$B$"&amp;MATCH($E187,'0.1.1 Pokémon GO Moves'!$A$1:$A951,0)&amp;":$L$"&amp;MATCH($E187,'0.1.1 Pokémon GO Moves'!$A$1:$A951,0)),'Reverse Search'!$J$21)))))</f>
        <v>0</v>
      </c>
      <c r="AB187" s="490"/>
      <c r="AC187" s="260" t="n">
        <f aca="false">IF((Q187+R187+S187+V187+W187+X187+Y187+IF(Z187&gt;=1,1,0)+IF(AA187&gt;=1,1,0))=9,G187&amp;", ",)</f>
        <v>0</v>
      </c>
    </row>
    <row r="188" customFormat="false" ht="15.75" hidden="false" customHeight="false" outlineLevel="0" collapsed="false">
      <c r="A188" s="260"/>
      <c r="B188" s="358"/>
      <c r="C188" s="260"/>
      <c r="D188" s="358"/>
      <c r="E188" s="260" t="n">
        <v>187</v>
      </c>
      <c r="F188" s="260" t="n">
        <f aca="false" t="array" ref="F188:F188">INDEX('0.0.1 Pokémon Dex Data'!$H$3:$H951,MATCH(E188,'0.0.1 Pokémon Dex Data'!$B$3:$B951,0))</f>
        <v>0</v>
      </c>
      <c r="G188" s="0" t="str">
        <f aca="false" t="array" ref="G188:G188">INDEX('0.0.1 Pokémon Dex Data'!$E$3:$E951,MATCH(E188,'0.0.1 Pokémon Dex Data'!$B$3:$B951,0))</f>
        <v>Meganium</v>
      </c>
      <c r="H188" s="0" t="str">
        <f aca="false" t="array" ref="H188:H188">INDEX('0.0.1 Pokémon Dex Data'!$Q$3:$Q951,MATCH(E188,'0.0.1 Pokémon Dex Data'!$B$3:$B951,0))</f>
        <v>Grass</v>
      </c>
      <c r="I188" s="0" t="n">
        <f aca="false">INDEX('0.0.1 Pokémon Dex Data'!$R$3:$R951,MATCH(E188,'0.0.1 Pokémon Dex Data'!$B$3:$B951,0))</f>
        <v>0</v>
      </c>
      <c r="J188" s="260" t="n">
        <f aca="false" t="array" ref="J188:J188">ROUND(INDEX('0.0.1 Pokémon Dex Data'!$S$3:$S951,MATCH($E188,'0.0.1 Pokémon Dex Data'!$B$3:$B951,0))*INDEX('0.0.1 Pokémon Dex Data'!T$3:T951,MATCH($E188,'0.0.1 Pokémon Dex Data'!$B$3:$B951,0)),0)</f>
        <v>168</v>
      </c>
      <c r="K188" s="260" t="n">
        <f aca="false" t="array" ref="K188:K188">ROUND(INDEX('0.0.1 Pokémon Dex Data'!$S$3:$S951,MATCH($E188,'0.0.1 Pokémon Dex Data'!$B$3:$B951,0))*INDEX('0.0.1 Pokémon Dex Data'!U$3:U951,MATCH($E188,'0.0.1 Pokémon Dex Data'!$B$3:$B951,0)),0)</f>
        <v>202</v>
      </c>
      <c r="L188" s="260" t="n">
        <f aca="false" t="array" ref="L188:L188">ROUND(INDEX('0.0.1 Pokémon Dex Data'!$S$3:$S951,MATCH($E188,'0.0.1 Pokémon Dex Data'!$B$3:$B951,0))*INDEX('0.0.1 Pokémon Dex Data'!V$3:V951,MATCH($E188,'0.0.1 Pokémon Dex Data'!$B$3:$B951,0)),0)</f>
        <v>190</v>
      </c>
      <c r="M188" s="260" t="n">
        <f aca="false" t="array" ref="M188:M188">INDEX('0.0.1 Pokémon Dex Data'!$J$3:$J951,MATCH(E188,'0.0.1 Pokémon Dex Data'!$B$3:$B951,0))</f>
        <v>1</v>
      </c>
      <c r="O188" s="490"/>
      <c r="Q188" s="367" t="n">
        <f aca="false">IF('Reverse Search'!$F$4="All (including temporary formes)",1,IF('Reverse Search'!$F$4="Base Pokémon and permanent formes only",IF(F188&lt;=1,1,0),IF(F188=0,1,0)))</f>
        <v>1</v>
      </c>
      <c r="R188" s="0" t="n">
        <f aca="false">IF('Reverse Search'!$C$7="Disable",1,IF('Reverse Search'!$D$9="Disable",1,IF(OR('Reverse Search'!$F$9=H188,'Reverse Search'!$F$9=I188),1,0)))</f>
        <v>1</v>
      </c>
      <c r="S188" s="0" t="n">
        <f aca="false">IF('Reverse Search'!$C$7="Disable",1,IF('Reverse Search'!$D$10="Disable",1,IF(OR('Reverse Search'!$F$10=H188,'Reverse Search'!$F$10=I188),1,0)))</f>
        <v>1</v>
      </c>
      <c r="T188" s="0" t="n">
        <f aca="false">INDEX($B$4:$B$22,MATCH(H188,$A$4:$A$22,0))</f>
        <v>1</v>
      </c>
      <c r="U188" s="0" t="e">
        <f aca="false">IF(ISBLANK(I188),1,INDEX($B$4:$B$22,MATCH(I188,$A$4:$A$22,0)))</f>
        <v>#N/A</v>
      </c>
      <c r="V188" s="367" t="n">
        <f aca="false">IF('Reverse Search'!$C$7="Disable",1,IF('Reverse Search'!$D$11="Disable",1,IF('Reverse Search'!$E$11="Neutral to:",IF(ROUND(T188*U188,2)&lt;=1,1,0),IF(ROUND(T188*U188,2)&lt;1,1,0))))</f>
        <v>1</v>
      </c>
      <c r="W188" s="0" t="n">
        <f aca="false">IF('Reverse Search'!$N$7="Disable",1,IF('Reverse Search'!$I$9="Disable",1,IF('Reverse Search'!$K$9="≥",IF(J188&gt;='Reverse Search'!$L$9,1,0),IF('Reverse Search'!$K$9="≤",IF(J188&lt;='Reverse Search'!$L$9,1,0),IF(J188='Reverse Search'!$L$9,1,0)))))</f>
        <v>1</v>
      </c>
      <c r="X188" s="0" t="n">
        <f aca="false">IF('Reverse Search'!$N$7="Disable",1,IF('Reverse Search'!$I$10="Disable",1,IF('Reverse Search'!$K$10="≥",IF(K188&gt;='Reverse Search'!$L$10,1,0),IF('Reverse Search'!$K$10="≤",IF(K188&lt;='Reverse Search'!$L$10,1,0),IF(K188='Reverse Search'!$L$10,1,0)))))</f>
        <v>1</v>
      </c>
      <c r="Y188" s="367" t="n">
        <f aca="false">IF('Reverse Search'!$N$7="Disable",1,IF('Reverse Search'!$I$11="Disable",1,IF('Reverse Search'!$K$11="≥",IF(L188&gt;='Reverse Search'!$L$11,1,0),IF('Reverse Search'!$K$11="≤",IF(L188&lt;='Reverse Search'!$L$11,1,0),IF(L188='Reverse Search'!$L$11,1,0)))))</f>
        <v>1</v>
      </c>
      <c r="Z188" s="0" t="n">
        <f aca="true">IF('Reverse Search'!$C$14="Disable",1,IF('Reverse Search'!$D$16="Disable",1,IF($C$2=3,IF($M188=0,0,COUNTIF(INDIRECT("'0.0.2 Pokémon Learnset (Core)'!$D$"&amp;MATCH($E188,'0.0.2 Pokémon Learnset (Core)'!$A$1:$A951,0)&amp;":$FK$"&amp;MATCH($E188,'0.0.2 Pokémon Learnset (Core)'!$A$1:$A951,0)),'Reverse Search'!$E$21)),IF($C$2=2,COUNTIF(INDIRECT("'0.1.1 Pokémon GO Moves'!$B$"&amp;MATCH($E188,'0.1.1 Pokémon GO Moves'!$A$1:$A951,0)&amp;":$R$"&amp;MATCH($E188,'0.1.1 Pokémon GO Moves'!$A$1:$A951,0)),'Reverse Search'!$E$21),COUNTIF(INDIRECT("'0.1.1 Pokémon GO Moves'!$B$"&amp;MATCH($E188,'0.1.1 Pokémon GO Moves'!$A$1:$A951,0)&amp;":$L$"&amp;MATCH($E188,'0.1.1 Pokémon GO Moves'!$A$1:$A951,0)),'Reverse Search'!$E$21)))))</f>
        <v>1</v>
      </c>
      <c r="AA188" s="0" t="n">
        <f aca="true">IF('Reverse Search'!$C$14="Disable",1,IF('Reverse Search'!$I$16="Disable",1,IF($D$2=3,IF($M188=0,0,COUNTIF(INDIRECT("'0.0.2 Pokémon Learnset (Core)'!$D$"&amp;MATCH($E188,'0.0.2 Pokémon Learnset (Core)'!$A$1:$A951,0)&amp;":$FK$"&amp;MATCH($E188,'0.0.2 Pokémon Learnset (Core)'!$A$1:$A951,0)),'Reverse Search'!$J$21)),IF($D$2=2,COUNTIF(INDIRECT("'0.1.1 Pokémon GO Moves'!$B$"&amp;MATCH($E188,'0.1.1 Pokémon GO Moves'!$A$1:$A951,0)&amp;":$R$"&amp;MATCH($E188,'0.1.1 Pokémon GO Moves'!$A$1:$A951,0)),'Reverse Search'!$J$21),COUNTIF(INDIRECT("'0.1.1 Pokémon GO Moves'!$B$"&amp;MATCH($E188,'0.1.1 Pokémon GO Moves'!$A$1:$A951,0)&amp;":$L$"&amp;MATCH($E188,'0.1.1 Pokémon GO Moves'!$A$1:$A951,0)),'Reverse Search'!$J$21)))))</f>
        <v>0</v>
      </c>
      <c r="AB188" s="490"/>
      <c r="AC188" s="260" t="n">
        <f aca="false">IF((Q188+R188+S188+V188+W188+X188+Y188+IF(Z188&gt;=1,1,0)+IF(AA188&gt;=1,1,0))=9,G188&amp;", ",)</f>
        <v>0</v>
      </c>
    </row>
    <row r="189" customFormat="false" ht="15.75" hidden="false" customHeight="false" outlineLevel="0" collapsed="false">
      <c r="A189" s="260"/>
      <c r="B189" s="358"/>
      <c r="C189" s="260"/>
      <c r="D189" s="358"/>
      <c r="E189" s="260" t="n">
        <v>188</v>
      </c>
      <c r="F189" s="260" t="n">
        <f aca="false" t="array" ref="F189:F189">INDEX('0.0.1 Pokémon Dex Data'!$H$3:$H951,MATCH(E189,'0.0.1 Pokémon Dex Data'!$B$3:$B951,0))</f>
        <v>0</v>
      </c>
      <c r="G189" s="0" t="str">
        <f aca="false" t="array" ref="G189:G189">INDEX('0.0.1 Pokémon Dex Data'!$E$3:$E951,MATCH(E189,'0.0.1 Pokémon Dex Data'!$B$3:$B951,0))</f>
        <v>Cyndaquil</v>
      </c>
      <c r="H189" s="0" t="str">
        <f aca="false" t="array" ref="H189:H189">INDEX('0.0.1 Pokémon Dex Data'!$Q$3:$Q951,MATCH(E189,'0.0.1 Pokémon Dex Data'!$B$3:$B951,0))</f>
        <v>Fire</v>
      </c>
      <c r="I189" s="0" t="n">
        <f aca="false">INDEX('0.0.1 Pokémon Dex Data'!$R$3:$R951,MATCH(E189,'0.0.1 Pokémon Dex Data'!$B$3:$B951,0))</f>
        <v>0</v>
      </c>
      <c r="J189" s="260" t="n">
        <f aca="false" t="array" ref="J189:J189">ROUND(INDEX('0.0.1 Pokémon Dex Data'!$S$3:$S951,MATCH($E189,'0.0.1 Pokémon Dex Data'!$B$3:$B951,0))*INDEX('0.0.1 Pokémon Dex Data'!T$3:T951,MATCH($E189,'0.0.1 Pokémon Dex Data'!$B$3:$B951,0)),0)</f>
        <v>116</v>
      </c>
      <c r="K189" s="260" t="n">
        <f aca="false" t="array" ref="K189:K189">ROUND(INDEX('0.0.1 Pokémon Dex Data'!$S$3:$S951,MATCH($E189,'0.0.1 Pokémon Dex Data'!$B$3:$B951,0))*INDEX('0.0.1 Pokémon Dex Data'!U$3:U951,MATCH($E189,'0.0.1 Pokémon Dex Data'!$B$3:$B951,0)),0)</f>
        <v>93</v>
      </c>
      <c r="L189" s="260" t="n">
        <f aca="false" t="array" ref="L189:L189">ROUND(INDEX('0.0.1 Pokémon Dex Data'!$S$3:$S951,MATCH($E189,'0.0.1 Pokémon Dex Data'!$B$3:$B951,0))*INDEX('0.0.1 Pokémon Dex Data'!V$3:V951,MATCH($E189,'0.0.1 Pokémon Dex Data'!$B$3:$B951,0)),0)</f>
        <v>118</v>
      </c>
      <c r="M189" s="260" t="n">
        <f aca="false" t="array" ref="M189:M189">INDEX('0.0.1 Pokémon Dex Data'!$J$3:$J951,MATCH(E189,'0.0.1 Pokémon Dex Data'!$B$3:$B951,0))</f>
        <v>0</v>
      </c>
      <c r="O189" s="490"/>
      <c r="Q189" s="367" t="n">
        <f aca="false">IF('Reverse Search'!$F$4="All (including temporary formes)",1,IF('Reverse Search'!$F$4="Base Pokémon and permanent formes only",IF(F189&lt;=1,1,0),IF(F189=0,1,0)))</f>
        <v>1</v>
      </c>
      <c r="R189" s="0" t="n">
        <f aca="false">IF('Reverse Search'!$C$7="Disable",1,IF('Reverse Search'!$D$9="Disable",1,IF(OR('Reverse Search'!$F$9=H189,'Reverse Search'!$F$9=I189),1,0)))</f>
        <v>1</v>
      </c>
      <c r="S189" s="0" t="n">
        <f aca="false">IF('Reverse Search'!$C$7="Disable",1,IF('Reverse Search'!$D$10="Disable",1,IF(OR('Reverse Search'!$F$10=H189,'Reverse Search'!$F$10=I189),1,0)))</f>
        <v>1</v>
      </c>
      <c r="T189" s="0" t="n">
        <f aca="false">INDEX($B$4:$B$22,MATCH(H189,$A$4:$A$22,0))</f>
        <v>1</v>
      </c>
      <c r="U189" s="0" t="e">
        <f aca="false">IF(ISBLANK(I189),1,INDEX($B$4:$B$22,MATCH(I189,$A$4:$A$22,0)))</f>
        <v>#N/A</v>
      </c>
      <c r="V189" s="367" t="n">
        <f aca="false">IF('Reverse Search'!$C$7="Disable",1,IF('Reverse Search'!$D$11="Disable",1,IF('Reverse Search'!$E$11="Neutral to:",IF(ROUND(T189*U189,2)&lt;=1,1,0),IF(ROUND(T189*U189,2)&lt;1,1,0))))</f>
        <v>1</v>
      </c>
      <c r="W189" s="0" t="n">
        <f aca="false">IF('Reverse Search'!$N$7="Disable",1,IF('Reverse Search'!$I$9="Disable",1,IF('Reverse Search'!$K$9="≥",IF(J189&gt;='Reverse Search'!$L$9,1,0),IF('Reverse Search'!$K$9="≤",IF(J189&lt;='Reverse Search'!$L$9,1,0),IF(J189='Reverse Search'!$L$9,1,0)))))</f>
        <v>1</v>
      </c>
      <c r="X189" s="0" t="n">
        <f aca="false">IF('Reverse Search'!$N$7="Disable",1,IF('Reverse Search'!$I$10="Disable",1,IF('Reverse Search'!$K$10="≥",IF(K189&gt;='Reverse Search'!$L$10,1,0),IF('Reverse Search'!$K$10="≤",IF(K189&lt;='Reverse Search'!$L$10,1,0),IF(K189='Reverse Search'!$L$10,1,0)))))</f>
        <v>1</v>
      </c>
      <c r="Y189" s="367" t="n">
        <f aca="false">IF('Reverse Search'!$N$7="Disable",1,IF('Reverse Search'!$I$11="Disable",1,IF('Reverse Search'!$K$11="≥",IF(L189&gt;='Reverse Search'!$L$11,1,0),IF('Reverse Search'!$K$11="≤",IF(L189&lt;='Reverse Search'!$L$11,1,0),IF(L189='Reverse Search'!$L$11,1,0)))))</f>
        <v>1</v>
      </c>
      <c r="Z189" s="0" t="n">
        <f aca="true">IF('Reverse Search'!$C$14="Disable",1,IF('Reverse Search'!$D$16="Disable",1,IF($C$2=3,IF($M189=0,0,COUNTIF(INDIRECT("'0.0.2 Pokémon Learnset (Core)'!$D$"&amp;MATCH($E189,'0.0.2 Pokémon Learnset (Core)'!$A$1:$A951,0)&amp;":$FK$"&amp;MATCH($E189,'0.0.2 Pokémon Learnset (Core)'!$A$1:$A951,0)),'Reverse Search'!$E$21)),IF($C$2=2,COUNTIF(INDIRECT("'0.1.1 Pokémon GO Moves'!$B$"&amp;MATCH($E189,'0.1.1 Pokémon GO Moves'!$A$1:$A951,0)&amp;":$R$"&amp;MATCH($E189,'0.1.1 Pokémon GO Moves'!$A$1:$A951,0)),'Reverse Search'!$E$21),COUNTIF(INDIRECT("'0.1.1 Pokémon GO Moves'!$B$"&amp;MATCH($E189,'0.1.1 Pokémon GO Moves'!$A$1:$A951,0)&amp;":$L$"&amp;MATCH($E189,'0.1.1 Pokémon GO Moves'!$A$1:$A951,0)),'Reverse Search'!$E$21)))))</f>
        <v>1</v>
      </c>
      <c r="AA189" s="0" t="n">
        <f aca="true">IF('Reverse Search'!$C$14="Disable",1,IF('Reverse Search'!$I$16="Disable",1,IF($D$2=3,IF($M189=0,0,COUNTIF(INDIRECT("'0.0.2 Pokémon Learnset (Core)'!$D$"&amp;MATCH($E189,'0.0.2 Pokémon Learnset (Core)'!$A$1:$A951,0)&amp;":$FK$"&amp;MATCH($E189,'0.0.2 Pokémon Learnset (Core)'!$A$1:$A951,0)),'Reverse Search'!$J$21)),IF($D$2=2,COUNTIF(INDIRECT("'0.1.1 Pokémon GO Moves'!$B$"&amp;MATCH($E189,'0.1.1 Pokémon GO Moves'!$A$1:$A951,0)&amp;":$R$"&amp;MATCH($E189,'0.1.1 Pokémon GO Moves'!$A$1:$A951,0)),'Reverse Search'!$J$21),COUNTIF(INDIRECT("'0.1.1 Pokémon GO Moves'!$B$"&amp;MATCH($E189,'0.1.1 Pokémon GO Moves'!$A$1:$A951,0)&amp;":$L$"&amp;MATCH($E189,'0.1.1 Pokémon GO Moves'!$A$1:$A951,0)),'Reverse Search'!$J$21)))))</f>
        <v>0</v>
      </c>
      <c r="AB189" s="490"/>
      <c r="AC189" s="260" t="n">
        <f aca="false">IF((Q189+R189+S189+V189+W189+X189+Y189+IF(Z189&gt;=1,1,0)+IF(AA189&gt;=1,1,0))=9,G189&amp;", ",)</f>
        <v>0</v>
      </c>
    </row>
    <row r="190" customFormat="false" ht="15.75" hidden="false" customHeight="false" outlineLevel="0" collapsed="false">
      <c r="A190" s="260"/>
      <c r="B190" s="358"/>
      <c r="C190" s="260"/>
      <c r="D190" s="358"/>
      <c r="E190" s="260" t="n">
        <v>189</v>
      </c>
      <c r="F190" s="260" t="n">
        <f aca="false" t="array" ref="F190:F190">INDEX('0.0.1 Pokémon Dex Data'!$H$3:$H951,MATCH(E190,'0.0.1 Pokémon Dex Data'!$B$3:$B951,0))</f>
        <v>0</v>
      </c>
      <c r="G190" s="0" t="str">
        <f aca="false" t="array" ref="G190:G190">INDEX('0.0.1 Pokémon Dex Data'!$E$3:$E951,MATCH(E190,'0.0.1 Pokémon Dex Data'!$B$3:$B951,0))</f>
        <v>Quilava</v>
      </c>
      <c r="H190" s="0" t="str">
        <f aca="false" t="array" ref="H190:H190">INDEX('0.0.1 Pokémon Dex Data'!$Q$3:$Q951,MATCH(E190,'0.0.1 Pokémon Dex Data'!$B$3:$B951,0))</f>
        <v>Fire</v>
      </c>
      <c r="I190" s="0" t="n">
        <f aca="false">INDEX('0.0.1 Pokémon Dex Data'!$R$3:$R951,MATCH(E190,'0.0.1 Pokémon Dex Data'!$B$3:$B951,0))</f>
        <v>0</v>
      </c>
      <c r="J190" s="260" t="n">
        <f aca="false" t="array" ref="J190:J190">ROUND(INDEX('0.0.1 Pokémon Dex Data'!$S$3:$S951,MATCH($E190,'0.0.1 Pokémon Dex Data'!$B$3:$B951,0))*INDEX('0.0.1 Pokémon Dex Data'!T$3:T951,MATCH($E190,'0.0.1 Pokémon Dex Data'!$B$3:$B951,0)),0)</f>
        <v>158</v>
      </c>
      <c r="K190" s="260" t="n">
        <f aca="false" t="array" ref="K190:K190">ROUND(INDEX('0.0.1 Pokémon Dex Data'!$S$3:$S951,MATCH($E190,'0.0.1 Pokémon Dex Data'!$B$3:$B951,0))*INDEX('0.0.1 Pokémon Dex Data'!U$3:U951,MATCH($E190,'0.0.1 Pokémon Dex Data'!$B$3:$B951,0)),0)</f>
        <v>126</v>
      </c>
      <c r="L190" s="260" t="n">
        <f aca="false" t="array" ref="L190:L190">ROUND(INDEX('0.0.1 Pokémon Dex Data'!$S$3:$S951,MATCH($E190,'0.0.1 Pokémon Dex Data'!$B$3:$B951,0))*INDEX('0.0.1 Pokémon Dex Data'!V$3:V951,MATCH($E190,'0.0.1 Pokémon Dex Data'!$B$3:$B951,0)),0)</f>
        <v>151</v>
      </c>
      <c r="M190" s="260" t="n">
        <f aca="false" t="array" ref="M190:M190">INDEX('0.0.1 Pokémon Dex Data'!$J$3:$J951,MATCH(E190,'0.0.1 Pokémon Dex Data'!$B$3:$B951,0))</f>
        <v>0</v>
      </c>
      <c r="O190" s="490"/>
      <c r="Q190" s="367" t="n">
        <f aca="false">IF('Reverse Search'!$F$4="All (including temporary formes)",1,IF('Reverse Search'!$F$4="Base Pokémon and permanent formes only",IF(F190&lt;=1,1,0),IF(F190=0,1,0)))</f>
        <v>1</v>
      </c>
      <c r="R190" s="0" t="n">
        <f aca="false">IF('Reverse Search'!$C$7="Disable",1,IF('Reverse Search'!$D$9="Disable",1,IF(OR('Reverse Search'!$F$9=H190,'Reverse Search'!$F$9=I190),1,0)))</f>
        <v>1</v>
      </c>
      <c r="S190" s="0" t="n">
        <f aca="false">IF('Reverse Search'!$C$7="Disable",1,IF('Reverse Search'!$D$10="Disable",1,IF(OR('Reverse Search'!$F$10=H190,'Reverse Search'!$F$10=I190),1,0)))</f>
        <v>1</v>
      </c>
      <c r="T190" s="0" t="n">
        <f aca="false">INDEX($B$4:$B$22,MATCH(H190,$A$4:$A$22,0))</f>
        <v>1</v>
      </c>
      <c r="U190" s="0" t="e">
        <f aca="false">IF(ISBLANK(I190),1,INDEX($B$4:$B$22,MATCH(I190,$A$4:$A$22,0)))</f>
        <v>#N/A</v>
      </c>
      <c r="V190" s="367" t="n">
        <f aca="false">IF('Reverse Search'!$C$7="Disable",1,IF('Reverse Search'!$D$11="Disable",1,IF('Reverse Search'!$E$11="Neutral to:",IF(ROUND(T190*U190,2)&lt;=1,1,0),IF(ROUND(T190*U190,2)&lt;1,1,0))))</f>
        <v>1</v>
      </c>
      <c r="W190" s="0" t="n">
        <f aca="false">IF('Reverse Search'!$N$7="Disable",1,IF('Reverse Search'!$I$9="Disable",1,IF('Reverse Search'!$K$9="≥",IF(J190&gt;='Reverse Search'!$L$9,1,0),IF('Reverse Search'!$K$9="≤",IF(J190&lt;='Reverse Search'!$L$9,1,0),IF(J190='Reverse Search'!$L$9,1,0)))))</f>
        <v>1</v>
      </c>
      <c r="X190" s="0" t="n">
        <f aca="false">IF('Reverse Search'!$N$7="Disable",1,IF('Reverse Search'!$I$10="Disable",1,IF('Reverse Search'!$K$10="≥",IF(K190&gt;='Reverse Search'!$L$10,1,0),IF('Reverse Search'!$K$10="≤",IF(K190&lt;='Reverse Search'!$L$10,1,0),IF(K190='Reverse Search'!$L$10,1,0)))))</f>
        <v>1</v>
      </c>
      <c r="Y190" s="367" t="n">
        <f aca="false">IF('Reverse Search'!$N$7="Disable",1,IF('Reverse Search'!$I$11="Disable",1,IF('Reverse Search'!$K$11="≥",IF(L190&gt;='Reverse Search'!$L$11,1,0),IF('Reverse Search'!$K$11="≤",IF(L190&lt;='Reverse Search'!$L$11,1,0),IF(L190='Reverse Search'!$L$11,1,0)))))</f>
        <v>1</v>
      </c>
      <c r="Z190" s="0" t="n">
        <f aca="true">IF('Reverse Search'!$C$14="Disable",1,IF('Reverse Search'!$D$16="Disable",1,IF($C$2=3,IF($M190=0,0,COUNTIF(INDIRECT("'0.0.2 Pokémon Learnset (Core)'!$D$"&amp;MATCH($E190,'0.0.2 Pokémon Learnset (Core)'!$A$1:$A951,0)&amp;":$FK$"&amp;MATCH($E190,'0.0.2 Pokémon Learnset (Core)'!$A$1:$A951,0)),'Reverse Search'!$E$21)),IF($C$2=2,COUNTIF(INDIRECT("'0.1.1 Pokémon GO Moves'!$B$"&amp;MATCH($E190,'0.1.1 Pokémon GO Moves'!$A$1:$A951,0)&amp;":$R$"&amp;MATCH($E190,'0.1.1 Pokémon GO Moves'!$A$1:$A951,0)),'Reverse Search'!$E$21),COUNTIF(INDIRECT("'0.1.1 Pokémon GO Moves'!$B$"&amp;MATCH($E190,'0.1.1 Pokémon GO Moves'!$A$1:$A951,0)&amp;":$L$"&amp;MATCH($E190,'0.1.1 Pokémon GO Moves'!$A$1:$A951,0)),'Reverse Search'!$E$21)))))</f>
        <v>1</v>
      </c>
      <c r="AA190" s="0" t="n">
        <f aca="true">IF('Reverse Search'!$C$14="Disable",1,IF('Reverse Search'!$I$16="Disable",1,IF($D$2=3,IF($M190=0,0,COUNTIF(INDIRECT("'0.0.2 Pokémon Learnset (Core)'!$D$"&amp;MATCH($E190,'0.0.2 Pokémon Learnset (Core)'!$A$1:$A951,0)&amp;":$FK$"&amp;MATCH($E190,'0.0.2 Pokémon Learnset (Core)'!$A$1:$A951,0)),'Reverse Search'!$J$21)),IF($D$2=2,COUNTIF(INDIRECT("'0.1.1 Pokémon GO Moves'!$B$"&amp;MATCH($E190,'0.1.1 Pokémon GO Moves'!$A$1:$A951,0)&amp;":$R$"&amp;MATCH($E190,'0.1.1 Pokémon GO Moves'!$A$1:$A951,0)),'Reverse Search'!$J$21),COUNTIF(INDIRECT("'0.1.1 Pokémon GO Moves'!$B$"&amp;MATCH($E190,'0.1.1 Pokémon GO Moves'!$A$1:$A951,0)&amp;":$L$"&amp;MATCH($E190,'0.1.1 Pokémon GO Moves'!$A$1:$A951,0)),'Reverse Search'!$J$21)))))</f>
        <v>0</v>
      </c>
      <c r="AB190" s="490"/>
      <c r="AC190" s="260" t="n">
        <f aca="false">IF((Q190+R190+S190+V190+W190+X190+Y190+IF(Z190&gt;=1,1,0)+IF(AA190&gt;=1,1,0))=9,G190&amp;", ",)</f>
        <v>0</v>
      </c>
    </row>
    <row r="191" customFormat="false" ht="15.75" hidden="false" customHeight="false" outlineLevel="0" collapsed="false">
      <c r="A191" s="260"/>
      <c r="B191" s="358"/>
      <c r="C191" s="260"/>
      <c r="D191" s="358"/>
      <c r="E191" s="260" t="n">
        <v>190</v>
      </c>
      <c r="F191" s="260" t="n">
        <f aca="false" t="array" ref="F191:F191">INDEX('0.0.1 Pokémon Dex Data'!$H$3:$H951,MATCH(E191,'0.0.1 Pokémon Dex Data'!$B$3:$B951,0))</f>
        <v>0</v>
      </c>
      <c r="G191" s="0" t="str">
        <f aca="false" t="array" ref="G191:G191">INDEX('0.0.1 Pokémon Dex Data'!$E$3:$E951,MATCH(E191,'0.0.1 Pokémon Dex Data'!$B$3:$B951,0))</f>
        <v>Typhlosion</v>
      </c>
      <c r="H191" s="0" t="str">
        <f aca="false" t="array" ref="H191:H191">INDEX('0.0.1 Pokémon Dex Data'!$Q$3:$Q951,MATCH(E191,'0.0.1 Pokémon Dex Data'!$B$3:$B951,0))</f>
        <v>Fire</v>
      </c>
      <c r="I191" s="0" t="n">
        <f aca="false">INDEX('0.0.1 Pokémon Dex Data'!$R$3:$R951,MATCH(E191,'0.0.1 Pokémon Dex Data'!$B$3:$B951,0))</f>
        <v>0</v>
      </c>
      <c r="J191" s="260" t="n">
        <f aca="false" t="array" ref="J191:J191">ROUND(INDEX('0.0.1 Pokémon Dex Data'!$S$3:$S951,MATCH($E191,'0.0.1 Pokémon Dex Data'!$B$3:$B951,0))*INDEX('0.0.1 Pokémon Dex Data'!T$3:T951,MATCH($E191,'0.0.1 Pokémon Dex Data'!$B$3:$B951,0)),0)</f>
        <v>223</v>
      </c>
      <c r="K191" s="260" t="n">
        <f aca="false" t="array" ref="K191:K191">ROUND(INDEX('0.0.1 Pokémon Dex Data'!$S$3:$S951,MATCH($E191,'0.0.1 Pokémon Dex Data'!$B$3:$B951,0))*INDEX('0.0.1 Pokémon Dex Data'!U$3:U951,MATCH($E191,'0.0.1 Pokémon Dex Data'!$B$3:$B951,0)),0)</f>
        <v>173</v>
      </c>
      <c r="L191" s="260" t="n">
        <f aca="false" t="array" ref="L191:L191">ROUND(INDEX('0.0.1 Pokémon Dex Data'!$S$3:$S951,MATCH($E191,'0.0.1 Pokémon Dex Data'!$B$3:$B951,0))*INDEX('0.0.1 Pokémon Dex Data'!V$3:V951,MATCH($E191,'0.0.1 Pokémon Dex Data'!$B$3:$B951,0)),0)</f>
        <v>186</v>
      </c>
      <c r="M191" s="260" t="n">
        <f aca="false" t="array" ref="M191:M191">INDEX('0.0.1 Pokémon Dex Data'!$J$3:$J951,MATCH(E191,'0.0.1 Pokémon Dex Data'!$B$3:$B951,0))</f>
        <v>1</v>
      </c>
      <c r="O191" s="490"/>
      <c r="Q191" s="367" t="n">
        <f aca="false">IF('Reverse Search'!$F$4="All (including temporary formes)",1,IF('Reverse Search'!$F$4="Base Pokémon and permanent formes only",IF(F191&lt;=1,1,0),IF(F191=0,1,0)))</f>
        <v>1</v>
      </c>
      <c r="R191" s="0" t="n">
        <f aca="false">IF('Reverse Search'!$C$7="Disable",1,IF('Reverse Search'!$D$9="Disable",1,IF(OR('Reverse Search'!$F$9=H191,'Reverse Search'!$F$9=I191),1,0)))</f>
        <v>1</v>
      </c>
      <c r="S191" s="0" t="n">
        <f aca="false">IF('Reverse Search'!$C$7="Disable",1,IF('Reverse Search'!$D$10="Disable",1,IF(OR('Reverse Search'!$F$10=H191,'Reverse Search'!$F$10=I191),1,0)))</f>
        <v>1</v>
      </c>
      <c r="T191" s="0" t="n">
        <f aca="false">INDEX($B$4:$B$22,MATCH(H191,$A$4:$A$22,0))</f>
        <v>1</v>
      </c>
      <c r="U191" s="0" t="e">
        <f aca="false">IF(ISBLANK(I191),1,INDEX($B$4:$B$22,MATCH(I191,$A$4:$A$22,0)))</f>
        <v>#N/A</v>
      </c>
      <c r="V191" s="367" t="n">
        <f aca="false">IF('Reverse Search'!$C$7="Disable",1,IF('Reverse Search'!$D$11="Disable",1,IF('Reverse Search'!$E$11="Neutral to:",IF(ROUND(T191*U191,2)&lt;=1,1,0),IF(ROUND(T191*U191,2)&lt;1,1,0))))</f>
        <v>1</v>
      </c>
      <c r="W191" s="0" t="n">
        <f aca="false">IF('Reverse Search'!$N$7="Disable",1,IF('Reverse Search'!$I$9="Disable",1,IF('Reverse Search'!$K$9="≥",IF(J191&gt;='Reverse Search'!$L$9,1,0),IF('Reverse Search'!$K$9="≤",IF(J191&lt;='Reverse Search'!$L$9,1,0),IF(J191='Reverse Search'!$L$9,1,0)))))</f>
        <v>1</v>
      </c>
      <c r="X191" s="0" t="n">
        <f aca="false">IF('Reverse Search'!$N$7="Disable",1,IF('Reverse Search'!$I$10="Disable",1,IF('Reverse Search'!$K$10="≥",IF(K191&gt;='Reverse Search'!$L$10,1,0),IF('Reverse Search'!$K$10="≤",IF(K191&lt;='Reverse Search'!$L$10,1,0),IF(K191='Reverse Search'!$L$10,1,0)))))</f>
        <v>1</v>
      </c>
      <c r="Y191" s="367" t="n">
        <f aca="false">IF('Reverse Search'!$N$7="Disable",1,IF('Reverse Search'!$I$11="Disable",1,IF('Reverse Search'!$K$11="≥",IF(L191&gt;='Reverse Search'!$L$11,1,0),IF('Reverse Search'!$K$11="≤",IF(L191&lt;='Reverse Search'!$L$11,1,0),IF(L191='Reverse Search'!$L$11,1,0)))))</f>
        <v>1</v>
      </c>
      <c r="Z191" s="0" t="n">
        <f aca="true">IF('Reverse Search'!$C$14="Disable",1,IF('Reverse Search'!$D$16="Disable",1,IF($C$2=3,IF($M191=0,0,COUNTIF(INDIRECT("'0.0.2 Pokémon Learnset (Core)'!$D$"&amp;MATCH($E191,'0.0.2 Pokémon Learnset (Core)'!$A$1:$A951,0)&amp;":$FK$"&amp;MATCH($E191,'0.0.2 Pokémon Learnset (Core)'!$A$1:$A951,0)),'Reverse Search'!$E$21)),IF($C$2=2,COUNTIF(INDIRECT("'0.1.1 Pokémon GO Moves'!$B$"&amp;MATCH($E191,'0.1.1 Pokémon GO Moves'!$A$1:$A951,0)&amp;":$R$"&amp;MATCH($E191,'0.1.1 Pokémon GO Moves'!$A$1:$A951,0)),'Reverse Search'!$E$21),COUNTIF(INDIRECT("'0.1.1 Pokémon GO Moves'!$B$"&amp;MATCH($E191,'0.1.1 Pokémon GO Moves'!$A$1:$A951,0)&amp;":$L$"&amp;MATCH($E191,'0.1.1 Pokémon GO Moves'!$A$1:$A951,0)),'Reverse Search'!$E$21)))))</f>
        <v>1</v>
      </c>
      <c r="AA191" s="0" t="n">
        <f aca="true">IF('Reverse Search'!$C$14="Disable",1,IF('Reverse Search'!$I$16="Disable",1,IF($D$2=3,IF($M191=0,0,COUNTIF(INDIRECT("'0.0.2 Pokémon Learnset (Core)'!$D$"&amp;MATCH($E191,'0.0.2 Pokémon Learnset (Core)'!$A$1:$A951,0)&amp;":$FK$"&amp;MATCH($E191,'0.0.2 Pokémon Learnset (Core)'!$A$1:$A951,0)),'Reverse Search'!$J$21)),IF($D$2=2,COUNTIF(INDIRECT("'0.1.1 Pokémon GO Moves'!$B$"&amp;MATCH($E191,'0.1.1 Pokémon GO Moves'!$A$1:$A951,0)&amp;":$R$"&amp;MATCH($E191,'0.1.1 Pokémon GO Moves'!$A$1:$A951,0)),'Reverse Search'!$J$21),COUNTIF(INDIRECT("'0.1.1 Pokémon GO Moves'!$B$"&amp;MATCH($E191,'0.1.1 Pokémon GO Moves'!$A$1:$A951,0)&amp;":$L$"&amp;MATCH($E191,'0.1.1 Pokémon GO Moves'!$A$1:$A951,0)),'Reverse Search'!$J$21)))))</f>
        <v>0</v>
      </c>
      <c r="AB191" s="490"/>
      <c r="AC191" s="260" t="n">
        <f aca="false">IF((Q191+R191+S191+V191+W191+X191+Y191+IF(Z191&gt;=1,1,0)+IF(AA191&gt;=1,1,0))=9,G191&amp;", ",)</f>
        <v>0</v>
      </c>
    </row>
    <row r="192" customFormat="false" ht="15.75" hidden="false" customHeight="false" outlineLevel="0" collapsed="false">
      <c r="A192" s="260"/>
      <c r="B192" s="358"/>
      <c r="C192" s="260"/>
      <c r="D192" s="358"/>
      <c r="E192" s="260" t="n">
        <v>191</v>
      </c>
      <c r="F192" s="260" t="n">
        <f aca="false" t="array" ref="F192:F192">INDEX('0.0.1 Pokémon Dex Data'!$H$3:$H951,MATCH(E192,'0.0.1 Pokémon Dex Data'!$B$3:$B951,0))</f>
        <v>0</v>
      </c>
      <c r="G192" s="0" t="str">
        <f aca="false" t="array" ref="G192:G192">INDEX('0.0.1 Pokémon Dex Data'!$E$3:$E951,MATCH(E192,'0.0.1 Pokémon Dex Data'!$B$3:$B951,0))</f>
        <v>Totodile</v>
      </c>
      <c r="H192" s="0" t="str">
        <f aca="false" t="array" ref="H192:H192">INDEX('0.0.1 Pokémon Dex Data'!$Q$3:$Q951,MATCH(E192,'0.0.1 Pokémon Dex Data'!$B$3:$B951,0))</f>
        <v>Water</v>
      </c>
      <c r="I192" s="0" t="n">
        <f aca="false">INDEX('0.0.1 Pokémon Dex Data'!$R$3:$R951,MATCH(E192,'0.0.1 Pokémon Dex Data'!$B$3:$B951,0))</f>
        <v>0</v>
      </c>
      <c r="J192" s="260" t="n">
        <f aca="false" t="array" ref="J192:J192">ROUND(INDEX('0.0.1 Pokémon Dex Data'!$S$3:$S951,MATCH($E192,'0.0.1 Pokémon Dex Data'!$B$3:$B951,0))*INDEX('0.0.1 Pokémon Dex Data'!T$3:T951,MATCH($E192,'0.0.1 Pokémon Dex Data'!$B$3:$B951,0)),0)</f>
        <v>117</v>
      </c>
      <c r="K192" s="260" t="n">
        <f aca="false" t="array" ref="K192:K192">ROUND(INDEX('0.0.1 Pokémon Dex Data'!$S$3:$S951,MATCH($E192,'0.0.1 Pokémon Dex Data'!$B$3:$B951,0))*INDEX('0.0.1 Pokémon Dex Data'!U$3:U951,MATCH($E192,'0.0.1 Pokémon Dex Data'!$B$3:$B951,0)),0)</f>
        <v>109</v>
      </c>
      <c r="L192" s="260" t="n">
        <f aca="false" t="array" ref="L192:L192">ROUND(INDEX('0.0.1 Pokémon Dex Data'!$S$3:$S951,MATCH($E192,'0.0.1 Pokémon Dex Data'!$B$3:$B951,0))*INDEX('0.0.1 Pokémon Dex Data'!V$3:V951,MATCH($E192,'0.0.1 Pokémon Dex Data'!$B$3:$B951,0)),0)</f>
        <v>137</v>
      </c>
      <c r="M192" s="260" t="n">
        <f aca="false" t="array" ref="M192:M192">INDEX('0.0.1 Pokémon Dex Data'!$J$3:$J951,MATCH(E192,'0.0.1 Pokémon Dex Data'!$B$3:$B951,0))</f>
        <v>0</v>
      </c>
      <c r="O192" s="490"/>
      <c r="Q192" s="367" t="n">
        <f aca="false">IF('Reverse Search'!$F$4="All (including temporary formes)",1,IF('Reverse Search'!$F$4="Base Pokémon and permanent formes only",IF(F192&lt;=1,1,0),IF(F192=0,1,0)))</f>
        <v>1</v>
      </c>
      <c r="R192" s="0" t="n">
        <f aca="false">IF('Reverse Search'!$C$7="Disable",1,IF('Reverse Search'!$D$9="Disable",1,IF(OR('Reverse Search'!$F$9=H192,'Reverse Search'!$F$9=I192),1,0)))</f>
        <v>1</v>
      </c>
      <c r="S192" s="0" t="n">
        <f aca="false">IF('Reverse Search'!$C$7="Disable",1,IF('Reverse Search'!$D$10="Disable",1,IF(OR('Reverse Search'!$F$10=H192,'Reverse Search'!$F$10=I192),1,0)))</f>
        <v>1</v>
      </c>
      <c r="T192" s="0" t="n">
        <f aca="false">INDEX($B$4:$B$22,MATCH(H192,$A$4:$A$22,0))</f>
        <v>1</v>
      </c>
      <c r="U192" s="0" t="e">
        <f aca="false">IF(ISBLANK(I192),1,INDEX($B$4:$B$22,MATCH(I192,$A$4:$A$22,0)))</f>
        <v>#N/A</v>
      </c>
      <c r="V192" s="367" t="n">
        <f aca="false">IF('Reverse Search'!$C$7="Disable",1,IF('Reverse Search'!$D$11="Disable",1,IF('Reverse Search'!$E$11="Neutral to:",IF(ROUND(T192*U192,2)&lt;=1,1,0),IF(ROUND(T192*U192,2)&lt;1,1,0))))</f>
        <v>1</v>
      </c>
      <c r="W192" s="0" t="n">
        <f aca="false">IF('Reverse Search'!$N$7="Disable",1,IF('Reverse Search'!$I$9="Disable",1,IF('Reverse Search'!$K$9="≥",IF(J192&gt;='Reverse Search'!$L$9,1,0),IF('Reverse Search'!$K$9="≤",IF(J192&lt;='Reverse Search'!$L$9,1,0),IF(J192='Reverse Search'!$L$9,1,0)))))</f>
        <v>1</v>
      </c>
      <c r="X192" s="0" t="n">
        <f aca="false">IF('Reverse Search'!$N$7="Disable",1,IF('Reverse Search'!$I$10="Disable",1,IF('Reverse Search'!$K$10="≥",IF(K192&gt;='Reverse Search'!$L$10,1,0),IF('Reverse Search'!$K$10="≤",IF(K192&lt;='Reverse Search'!$L$10,1,0),IF(K192='Reverse Search'!$L$10,1,0)))))</f>
        <v>1</v>
      </c>
      <c r="Y192" s="367" t="n">
        <f aca="false">IF('Reverse Search'!$N$7="Disable",1,IF('Reverse Search'!$I$11="Disable",1,IF('Reverse Search'!$K$11="≥",IF(L192&gt;='Reverse Search'!$L$11,1,0),IF('Reverse Search'!$K$11="≤",IF(L192&lt;='Reverse Search'!$L$11,1,0),IF(L192='Reverse Search'!$L$11,1,0)))))</f>
        <v>1</v>
      </c>
      <c r="Z192" s="0" t="n">
        <f aca="true">IF('Reverse Search'!$C$14="Disable",1,IF('Reverse Search'!$D$16="Disable",1,IF($C$2=3,IF($M192=0,0,COUNTIF(INDIRECT("'0.0.2 Pokémon Learnset (Core)'!$D$"&amp;MATCH($E192,'0.0.2 Pokémon Learnset (Core)'!$A$1:$A951,0)&amp;":$FK$"&amp;MATCH($E192,'0.0.2 Pokémon Learnset (Core)'!$A$1:$A951,0)),'Reverse Search'!$E$21)),IF($C$2=2,COUNTIF(INDIRECT("'0.1.1 Pokémon GO Moves'!$B$"&amp;MATCH($E192,'0.1.1 Pokémon GO Moves'!$A$1:$A951,0)&amp;":$R$"&amp;MATCH($E192,'0.1.1 Pokémon GO Moves'!$A$1:$A951,0)),'Reverse Search'!$E$21),COUNTIF(INDIRECT("'0.1.1 Pokémon GO Moves'!$B$"&amp;MATCH($E192,'0.1.1 Pokémon GO Moves'!$A$1:$A951,0)&amp;":$L$"&amp;MATCH($E192,'0.1.1 Pokémon GO Moves'!$A$1:$A951,0)),'Reverse Search'!$E$21)))))</f>
        <v>1</v>
      </c>
      <c r="AA192" s="0" t="n">
        <f aca="true">IF('Reverse Search'!$C$14="Disable",1,IF('Reverse Search'!$I$16="Disable",1,IF($D$2=3,IF($M192=0,0,COUNTIF(INDIRECT("'0.0.2 Pokémon Learnset (Core)'!$D$"&amp;MATCH($E192,'0.0.2 Pokémon Learnset (Core)'!$A$1:$A951,0)&amp;":$FK$"&amp;MATCH($E192,'0.0.2 Pokémon Learnset (Core)'!$A$1:$A951,0)),'Reverse Search'!$J$21)),IF($D$2=2,COUNTIF(INDIRECT("'0.1.1 Pokémon GO Moves'!$B$"&amp;MATCH($E192,'0.1.1 Pokémon GO Moves'!$A$1:$A951,0)&amp;":$R$"&amp;MATCH($E192,'0.1.1 Pokémon GO Moves'!$A$1:$A951,0)),'Reverse Search'!$J$21),COUNTIF(INDIRECT("'0.1.1 Pokémon GO Moves'!$B$"&amp;MATCH($E192,'0.1.1 Pokémon GO Moves'!$A$1:$A951,0)&amp;":$L$"&amp;MATCH($E192,'0.1.1 Pokémon GO Moves'!$A$1:$A951,0)),'Reverse Search'!$J$21)))))</f>
        <v>0</v>
      </c>
      <c r="AB192" s="490"/>
      <c r="AC192" s="260" t="n">
        <f aca="false">IF((Q192+R192+S192+V192+W192+X192+Y192+IF(Z192&gt;=1,1,0)+IF(AA192&gt;=1,1,0))=9,G192&amp;", ",)</f>
        <v>0</v>
      </c>
    </row>
    <row r="193" customFormat="false" ht="15.75" hidden="false" customHeight="false" outlineLevel="0" collapsed="false">
      <c r="A193" s="260"/>
      <c r="B193" s="358"/>
      <c r="C193" s="260"/>
      <c r="D193" s="358"/>
      <c r="E193" s="260" t="n">
        <v>192</v>
      </c>
      <c r="F193" s="260" t="n">
        <f aca="false" t="array" ref="F193:F193">INDEX('0.0.1 Pokémon Dex Data'!$H$3:$H951,MATCH(E193,'0.0.1 Pokémon Dex Data'!$B$3:$B951,0))</f>
        <v>0</v>
      </c>
      <c r="G193" s="0" t="str">
        <f aca="false" t="array" ref="G193:G193">INDEX('0.0.1 Pokémon Dex Data'!$E$3:$E951,MATCH(E193,'0.0.1 Pokémon Dex Data'!$B$3:$B951,0))</f>
        <v>Croconaw</v>
      </c>
      <c r="H193" s="0" t="str">
        <f aca="false" t="array" ref="H193:H193">INDEX('0.0.1 Pokémon Dex Data'!$Q$3:$Q951,MATCH(E193,'0.0.1 Pokémon Dex Data'!$B$3:$B951,0))</f>
        <v>Water</v>
      </c>
      <c r="I193" s="0" t="n">
        <f aca="false">INDEX('0.0.1 Pokémon Dex Data'!$R$3:$R951,MATCH(E193,'0.0.1 Pokémon Dex Data'!$B$3:$B951,0))</f>
        <v>0</v>
      </c>
      <c r="J193" s="260" t="n">
        <f aca="false" t="array" ref="J193:J193">ROUND(INDEX('0.0.1 Pokémon Dex Data'!$S$3:$S951,MATCH($E193,'0.0.1 Pokémon Dex Data'!$B$3:$B951,0))*INDEX('0.0.1 Pokémon Dex Data'!T$3:T951,MATCH($E193,'0.0.1 Pokémon Dex Data'!$B$3:$B951,0)),0)</f>
        <v>150</v>
      </c>
      <c r="K193" s="260" t="n">
        <f aca="false" t="array" ref="K193:K193">ROUND(INDEX('0.0.1 Pokémon Dex Data'!$S$3:$S951,MATCH($E193,'0.0.1 Pokémon Dex Data'!$B$3:$B951,0))*INDEX('0.0.1 Pokémon Dex Data'!U$3:U951,MATCH($E193,'0.0.1 Pokémon Dex Data'!$B$3:$B951,0)),0)</f>
        <v>142</v>
      </c>
      <c r="L193" s="260" t="n">
        <f aca="false" t="array" ref="L193:L193">ROUND(INDEX('0.0.1 Pokémon Dex Data'!$S$3:$S951,MATCH($E193,'0.0.1 Pokémon Dex Data'!$B$3:$B951,0))*INDEX('0.0.1 Pokémon Dex Data'!V$3:V951,MATCH($E193,'0.0.1 Pokémon Dex Data'!$B$3:$B951,0)),0)</f>
        <v>163</v>
      </c>
      <c r="M193" s="260" t="n">
        <f aca="false" t="array" ref="M193:M193">INDEX('0.0.1 Pokémon Dex Data'!$J$3:$J951,MATCH(E193,'0.0.1 Pokémon Dex Data'!$B$3:$B951,0))</f>
        <v>0</v>
      </c>
      <c r="O193" s="490"/>
      <c r="Q193" s="367" t="n">
        <f aca="false">IF('Reverse Search'!$F$4="All (including temporary formes)",1,IF('Reverse Search'!$F$4="Base Pokémon and permanent formes only",IF(F193&lt;=1,1,0),IF(F193=0,1,0)))</f>
        <v>1</v>
      </c>
      <c r="R193" s="0" t="n">
        <f aca="false">IF('Reverse Search'!$C$7="Disable",1,IF('Reverse Search'!$D$9="Disable",1,IF(OR('Reverse Search'!$F$9=H193,'Reverse Search'!$F$9=I193),1,0)))</f>
        <v>1</v>
      </c>
      <c r="S193" s="0" t="n">
        <f aca="false">IF('Reverse Search'!$C$7="Disable",1,IF('Reverse Search'!$D$10="Disable",1,IF(OR('Reverse Search'!$F$10=H193,'Reverse Search'!$F$10=I193),1,0)))</f>
        <v>1</v>
      </c>
      <c r="T193" s="0" t="n">
        <f aca="false">INDEX($B$4:$B$22,MATCH(H193,$A$4:$A$22,0))</f>
        <v>1</v>
      </c>
      <c r="U193" s="0" t="e">
        <f aca="false">IF(ISBLANK(I193),1,INDEX($B$4:$B$22,MATCH(I193,$A$4:$A$22,0)))</f>
        <v>#N/A</v>
      </c>
      <c r="V193" s="367" t="n">
        <f aca="false">IF('Reverse Search'!$C$7="Disable",1,IF('Reverse Search'!$D$11="Disable",1,IF('Reverse Search'!$E$11="Neutral to:",IF(ROUND(T193*U193,2)&lt;=1,1,0),IF(ROUND(T193*U193,2)&lt;1,1,0))))</f>
        <v>1</v>
      </c>
      <c r="W193" s="0" t="n">
        <f aca="false">IF('Reverse Search'!$N$7="Disable",1,IF('Reverse Search'!$I$9="Disable",1,IF('Reverse Search'!$K$9="≥",IF(J193&gt;='Reverse Search'!$L$9,1,0),IF('Reverse Search'!$K$9="≤",IF(J193&lt;='Reverse Search'!$L$9,1,0),IF(J193='Reverse Search'!$L$9,1,0)))))</f>
        <v>1</v>
      </c>
      <c r="X193" s="0" t="n">
        <f aca="false">IF('Reverse Search'!$N$7="Disable",1,IF('Reverse Search'!$I$10="Disable",1,IF('Reverse Search'!$K$10="≥",IF(K193&gt;='Reverse Search'!$L$10,1,0),IF('Reverse Search'!$K$10="≤",IF(K193&lt;='Reverse Search'!$L$10,1,0),IF(K193='Reverse Search'!$L$10,1,0)))))</f>
        <v>1</v>
      </c>
      <c r="Y193" s="367" t="n">
        <f aca="false">IF('Reverse Search'!$N$7="Disable",1,IF('Reverse Search'!$I$11="Disable",1,IF('Reverse Search'!$K$11="≥",IF(L193&gt;='Reverse Search'!$L$11,1,0),IF('Reverse Search'!$K$11="≤",IF(L193&lt;='Reverse Search'!$L$11,1,0),IF(L193='Reverse Search'!$L$11,1,0)))))</f>
        <v>1</v>
      </c>
      <c r="Z193" s="0" t="n">
        <f aca="true">IF('Reverse Search'!$C$14="Disable",1,IF('Reverse Search'!$D$16="Disable",1,IF($C$2=3,IF($M193=0,0,COUNTIF(INDIRECT("'0.0.2 Pokémon Learnset (Core)'!$D$"&amp;MATCH($E193,'0.0.2 Pokémon Learnset (Core)'!$A$1:$A951,0)&amp;":$FK$"&amp;MATCH($E193,'0.0.2 Pokémon Learnset (Core)'!$A$1:$A951,0)),'Reverse Search'!$E$21)),IF($C$2=2,COUNTIF(INDIRECT("'0.1.1 Pokémon GO Moves'!$B$"&amp;MATCH($E193,'0.1.1 Pokémon GO Moves'!$A$1:$A951,0)&amp;":$R$"&amp;MATCH($E193,'0.1.1 Pokémon GO Moves'!$A$1:$A951,0)),'Reverse Search'!$E$21),COUNTIF(INDIRECT("'0.1.1 Pokémon GO Moves'!$B$"&amp;MATCH($E193,'0.1.1 Pokémon GO Moves'!$A$1:$A951,0)&amp;":$L$"&amp;MATCH($E193,'0.1.1 Pokémon GO Moves'!$A$1:$A951,0)),'Reverse Search'!$E$21)))))</f>
        <v>1</v>
      </c>
      <c r="AA193" s="0" t="n">
        <f aca="true">IF('Reverse Search'!$C$14="Disable",1,IF('Reverse Search'!$I$16="Disable",1,IF($D$2=3,IF($M193=0,0,COUNTIF(INDIRECT("'0.0.2 Pokémon Learnset (Core)'!$D$"&amp;MATCH($E193,'0.0.2 Pokémon Learnset (Core)'!$A$1:$A951,0)&amp;":$FK$"&amp;MATCH($E193,'0.0.2 Pokémon Learnset (Core)'!$A$1:$A951,0)),'Reverse Search'!$J$21)),IF($D$2=2,COUNTIF(INDIRECT("'0.1.1 Pokémon GO Moves'!$B$"&amp;MATCH($E193,'0.1.1 Pokémon GO Moves'!$A$1:$A951,0)&amp;":$R$"&amp;MATCH($E193,'0.1.1 Pokémon GO Moves'!$A$1:$A951,0)),'Reverse Search'!$J$21),COUNTIF(INDIRECT("'0.1.1 Pokémon GO Moves'!$B$"&amp;MATCH($E193,'0.1.1 Pokémon GO Moves'!$A$1:$A951,0)&amp;":$L$"&amp;MATCH($E193,'0.1.1 Pokémon GO Moves'!$A$1:$A951,0)),'Reverse Search'!$J$21)))))</f>
        <v>0</v>
      </c>
      <c r="AB193" s="490"/>
      <c r="AC193" s="260" t="n">
        <f aca="false">IF((Q193+R193+S193+V193+W193+X193+Y193+IF(Z193&gt;=1,1,0)+IF(AA193&gt;=1,1,0))=9,G193&amp;", ",)</f>
        <v>0</v>
      </c>
    </row>
    <row r="194" customFormat="false" ht="15.75" hidden="false" customHeight="false" outlineLevel="0" collapsed="false">
      <c r="A194" s="260"/>
      <c r="B194" s="358"/>
      <c r="C194" s="260"/>
      <c r="D194" s="358"/>
      <c r="E194" s="260" t="n">
        <v>193</v>
      </c>
      <c r="F194" s="260" t="n">
        <f aca="false" t="array" ref="F194:F194">INDEX('0.0.1 Pokémon Dex Data'!$H$3:$H951,MATCH(E194,'0.0.1 Pokémon Dex Data'!$B$3:$B951,0))</f>
        <v>0</v>
      </c>
      <c r="G194" s="0" t="str">
        <f aca="false" t="array" ref="G194:G194">INDEX('0.0.1 Pokémon Dex Data'!$E$3:$E951,MATCH(E194,'0.0.1 Pokémon Dex Data'!$B$3:$B951,0))</f>
        <v>Feraligatr</v>
      </c>
      <c r="H194" s="0" t="str">
        <f aca="false" t="array" ref="H194:H194">INDEX('0.0.1 Pokémon Dex Data'!$Q$3:$Q951,MATCH(E194,'0.0.1 Pokémon Dex Data'!$B$3:$B951,0))</f>
        <v>Water</v>
      </c>
      <c r="I194" s="0" t="n">
        <f aca="false">INDEX('0.0.1 Pokémon Dex Data'!$R$3:$R951,MATCH(E194,'0.0.1 Pokémon Dex Data'!$B$3:$B951,0))</f>
        <v>0</v>
      </c>
      <c r="J194" s="260" t="n">
        <f aca="false" t="array" ref="J194:J194">ROUND(INDEX('0.0.1 Pokémon Dex Data'!$S$3:$S951,MATCH($E194,'0.0.1 Pokémon Dex Data'!$B$3:$B951,0))*INDEX('0.0.1 Pokémon Dex Data'!T$3:T951,MATCH($E194,'0.0.1 Pokémon Dex Data'!$B$3:$B951,0)),0)</f>
        <v>205</v>
      </c>
      <c r="K194" s="260" t="n">
        <f aca="false" t="array" ref="K194:K194">ROUND(INDEX('0.0.1 Pokémon Dex Data'!$S$3:$S951,MATCH($E194,'0.0.1 Pokémon Dex Data'!$B$3:$B951,0))*INDEX('0.0.1 Pokémon Dex Data'!U$3:U951,MATCH($E194,'0.0.1 Pokémon Dex Data'!$B$3:$B951,0)),0)</f>
        <v>188</v>
      </c>
      <c r="L194" s="260" t="n">
        <f aca="false" t="array" ref="L194:L194">ROUND(INDEX('0.0.1 Pokémon Dex Data'!$S$3:$S951,MATCH($E194,'0.0.1 Pokémon Dex Data'!$B$3:$B951,0))*INDEX('0.0.1 Pokémon Dex Data'!V$3:V951,MATCH($E194,'0.0.1 Pokémon Dex Data'!$B$3:$B951,0)),0)</f>
        <v>198</v>
      </c>
      <c r="M194" s="260" t="n">
        <f aca="false" t="array" ref="M194:M194">INDEX('0.0.1 Pokémon Dex Data'!$J$3:$J951,MATCH(E194,'0.0.1 Pokémon Dex Data'!$B$3:$B951,0))</f>
        <v>1</v>
      </c>
      <c r="O194" s="490"/>
      <c r="Q194" s="367" t="n">
        <f aca="false">IF('Reverse Search'!$F$4="All (including temporary formes)",1,IF('Reverse Search'!$F$4="Base Pokémon and permanent formes only",IF(F194&lt;=1,1,0),IF(F194=0,1,0)))</f>
        <v>1</v>
      </c>
      <c r="R194" s="0" t="n">
        <f aca="false">IF('Reverse Search'!$C$7="Disable",1,IF('Reverse Search'!$D$9="Disable",1,IF(OR('Reverse Search'!$F$9=H194,'Reverse Search'!$F$9=I194),1,0)))</f>
        <v>1</v>
      </c>
      <c r="S194" s="0" t="n">
        <f aca="false">IF('Reverse Search'!$C$7="Disable",1,IF('Reverse Search'!$D$10="Disable",1,IF(OR('Reverse Search'!$F$10=H194,'Reverse Search'!$F$10=I194),1,0)))</f>
        <v>1</v>
      </c>
      <c r="T194" s="0" t="n">
        <f aca="false">INDEX($B$4:$B$22,MATCH(H194,$A$4:$A$22,0))</f>
        <v>1</v>
      </c>
      <c r="U194" s="0" t="e">
        <f aca="false">IF(ISBLANK(I194),1,INDEX($B$4:$B$22,MATCH(I194,$A$4:$A$22,0)))</f>
        <v>#N/A</v>
      </c>
      <c r="V194" s="367" t="n">
        <f aca="false">IF('Reverse Search'!$C$7="Disable",1,IF('Reverse Search'!$D$11="Disable",1,IF('Reverse Search'!$E$11="Neutral to:",IF(ROUND(T194*U194,2)&lt;=1,1,0),IF(ROUND(T194*U194,2)&lt;1,1,0))))</f>
        <v>1</v>
      </c>
      <c r="W194" s="0" t="n">
        <f aca="false">IF('Reverse Search'!$N$7="Disable",1,IF('Reverse Search'!$I$9="Disable",1,IF('Reverse Search'!$K$9="≥",IF(J194&gt;='Reverse Search'!$L$9,1,0),IF('Reverse Search'!$K$9="≤",IF(J194&lt;='Reverse Search'!$L$9,1,0),IF(J194='Reverse Search'!$L$9,1,0)))))</f>
        <v>1</v>
      </c>
      <c r="X194" s="0" t="n">
        <f aca="false">IF('Reverse Search'!$N$7="Disable",1,IF('Reverse Search'!$I$10="Disable",1,IF('Reverse Search'!$K$10="≥",IF(K194&gt;='Reverse Search'!$L$10,1,0),IF('Reverse Search'!$K$10="≤",IF(K194&lt;='Reverse Search'!$L$10,1,0),IF(K194='Reverse Search'!$L$10,1,0)))))</f>
        <v>1</v>
      </c>
      <c r="Y194" s="367" t="n">
        <f aca="false">IF('Reverse Search'!$N$7="Disable",1,IF('Reverse Search'!$I$11="Disable",1,IF('Reverse Search'!$K$11="≥",IF(L194&gt;='Reverse Search'!$L$11,1,0),IF('Reverse Search'!$K$11="≤",IF(L194&lt;='Reverse Search'!$L$11,1,0),IF(L194='Reverse Search'!$L$11,1,0)))))</f>
        <v>1</v>
      </c>
      <c r="Z194" s="0" t="n">
        <f aca="true">IF('Reverse Search'!$C$14="Disable",1,IF('Reverse Search'!$D$16="Disable",1,IF($C$2=3,IF($M194=0,0,COUNTIF(INDIRECT("'0.0.2 Pokémon Learnset (Core)'!$D$"&amp;MATCH($E194,'0.0.2 Pokémon Learnset (Core)'!$A$1:$A951,0)&amp;":$FK$"&amp;MATCH($E194,'0.0.2 Pokémon Learnset (Core)'!$A$1:$A951,0)),'Reverse Search'!$E$21)),IF($C$2=2,COUNTIF(INDIRECT("'0.1.1 Pokémon GO Moves'!$B$"&amp;MATCH($E194,'0.1.1 Pokémon GO Moves'!$A$1:$A951,0)&amp;":$R$"&amp;MATCH($E194,'0.1.1 Pokémon GO Moves'!$A$1:$A951,0)),'Reverse Search'!$E$21),COUNTIF(INDIRECT("'0.1.1 Pokémon GO Moves'!$B$"&amp;MATCH($E194,'0.1.1 Pokémon GO Moves'!$A$1:$A951,0)&amp;":$L$"&amp;MATCH($E194,'0.1.1 Pokémon GO Moves'!$A$1:$A951,0)),'Reverse Search'!$E$21)))))</f>
        <v>1</v>
      </c>
      <c r="AA194" s="0" t="n">
        <f aca="true">IF('Reverse Search'!$C$14="Disable",1,IF('Reverse Search'!$I$16="Disable",1,IF($D$2=3,IF($M194=0,0,COUNTIF(INDIRECT("'0.0.2 Pokémon Learnset (Core)'!$D$"&amp;MATCH($E194,'0.0.2 Pokémon Learnset (Core)'!$A$1:$A951,0)&amp;":$FK$"&amp;MATCH($E194,'0.0.2 Pokémon Learnset (Core)'!$A$1:$A951,0)),'Reverse Search'!$J$21)),IF($D$2=2,COUNTIF(INDIRECT("'0.1.1 Pokémon GO Moves'!$B$"&amp;MATCH($E194,'0.1.1 Pokémon GO Moves'!$A$1:$A951,0)&amp;":$R$"&amp;MATCH($E194,'0.1.1 Pokémon GO Moves'!$A$1:$A951,0)),'Reverse Search'!$J$21),COUNTIF(INDIRECT("'0.1.1 Pokémon GO Moves'!$B$"&amp;MATCH($E194,'0.1.1 Pokémon GO Moves'!$A$1:$A951,0)&amp;":$L$"&amp;MATCH($E194,'0.1.1 Pokémon GO Moves'!$A$1:$A951,0)),'Reverse Search'!$J$21)))))</f>
        <v>0</v>
      </c>
      <c r="AB194" s="490"/>
      <c r="AC194" s="260" t="n">
        <f aca="false">IF((Q194+R194+S194+V194+W194+X194+Y194+IF(Z194&gt;=1,1,0)+IF(AA194&gt;=1,1,0))=9,G194&amp;", ",)</f>
        <v>0</v>
      </c>
    </row>
    <row r="195" customFormat="false" ht="15.75" hidden="false" customHeight="false" outlineLevel="0" collapsed="false">
      <c r="A195" s="260"/>
      <c r="B195" s="358"/>
      <c r="C195" s="260"/>
      <c r="D195" s="358"/>
      <c r="E195" s="260" t="n">
        <v>194</v>
      </c>
      <c r="F195" s="260" t="n">
        <f aca="false" t="array" ref="F195:F195">INDEX('0.0.1 Pokémon Dex Data'!$H$3:$H951,MATCH(E195,'0.0.1 Pokémon Dex Data'!$B$3:$B951,0))</f>
        <v>0</v>
      </c>
      <c r="G195" s="0" t="str">
        <f aca="false" t="array" ref="G195:G195">INDEX('0.0.1 Pokémon Dex Data'!$E$3:$E951,MATCH(E195,'0.0.1 Pokémon Dex Data'!$B$3:$B951,0))</f>
        <v>Sentret</v>
      </c>
      <c r="H195" s="0" t="str">
        <f aca="false" t="array" ref="H195:H195">INDEX('0.0.1 Pokémon Dex Data'!$Q$3:$Q951,MATCH(E195,'0.0.1 Pokémon Dex Data'!$B$3:$B951,0))</f>
        <v>Normal</v>
      </c>
      <c r="I195" s="0" t="n">
        <f aca="false">INDEX('0.0.1 Pokémon Dex Data'!$R$3:$R951,MATCH(E195,'0.0.1 Pokémon Dex Data'!$B$3:$B951,0))</f>
        <v>0</v>
      </c>
      <c r="J195" s="260" t="n">
        <f aca="false" t="array" ref="J195:J195">ROUND(INDEX('0.0.1 Pokémon Dex Data'!$S$3:$S951,MATCH($E195,'0.0.1 Pokémon Dex Data'!$B$3:$B951,0))*INDEX('0.0.1 Pokémon Dex Data'!T$3:T951,MATCH($E195,'0.0.1 Pokémon Dex Data'!$B$3:$B951,0)),0)</f>
        <v>79</v>
      </c>
      <c r="K195" s="260" t="n">
        <f aca="false" t="array" ref="K195:K195">ROUND(INDEX('0.0.1 Pokémon Dex Data'!$S$3:$S951,MATCH($E195,'0.0.1 Pokémon Dex Data'!$B$3:$B951,0))*INDEX('0.0.1 Pokémon Dex Data'!U$3:U951,MATCH($E195,'0.0.1 Pokémon Dex Data'!$B$3:$B951,0)),0)</f>
        <v>73</v>
      </c>
      <c r="L195" s="260" t="n">
        <f aca="false" t="array" ref="L195:L195">ROUND(INDEX('0.0.1 Pokémon Dex Data'!$S$3:$S951,MATCH($E195,'0.0.1 Pokémon Dex Data'!$B$3:$B951,0))*INDEX('0.0.1 Pokémon Dex Data'!V$3:V951,MATCH($E195,'0.0.1 Pokémon Dex Data'!$B$3:$B951,0)),0)</f>
        <v>111</v>
      </c>
      <c r="M195" s="260" t="n">
        <f aca="false" t="array" ref="M195:M195">INDEX('0.0.1 Pokémon Dex Data'!$J$3:$J951,MATCH(E195,'0.0.1 Pokémon Dex Data'!$B$3:$B951,0))</f>
        <v>0</v>
      </c>
      <c r="O195" s="490"/>
      <c r="Q195" s="367" t="n">
        <f aca="false">IF('Reverse Search'!$F$4="All (including temporary formes)",1,IF('Reverse Search'!$F$4="Base Pokémon and permanent formes only",IF(F195&lt;=1,1,0),IF(F195=0,1,0)))</f>
        <v>1</v>
      </c>
      <c r="R195" s="0" t="n">
        <f aca="false">IF('Reverse Search'!$C$7="Disable",1,IF('Reverse Search'!$D$9="Disable",1,IF(OR('Reverse Search'!$F$9=H195,'Reverse Search'!$F$9=I195),1,0)))</f>
        <v>1</v>
      </c>
      <c r="S195" s="0" t="n">
        <f aca="false">IF('Reverse Search'!$C$7="Disable",1,IF('Reverse Search'!$D$10="Disable",1,IF(OR('Reverse Search'!$F$10=H195,'Reverse Search'!$F$10=I195),1,0)))</f>
        <v>1</v>
      </c>
      <c r="T195" s="0" t="n">
        <f aca="false">INDEX($B$4:$B$22,MATCH(H195,$A$4:$A$22,0))</f>
        <v>1</v>
      </c>
      <c r="U195" s="0" t="e">
        <f aca="false">IF(ISBLANK(I195),1,INDEX($B$4:$B$22,MATCH(I195,$A$4:$A$22,0)))</f>
        <v>#N/A</v>
      </c>
      <c r="V195" s="367" t="n">
        <f aca="false">IF('Reverse Search'!$C$7="Disable",1,IF('Reverse Search'!$D$11="Disable",1,IF('Reverse Search'!$E$11="Neutral to:",IF(ROUND(T195*U195,2)&lt;=1,1,0),IF(ROUND(T195*U195,2)&lt;1,1,0))))</f>
        <v>1</v>
      </c>
      <c r="W195" s="0" t="n">
        <f aca="false">IF('Reverse Search'!$N$7="Disable",1,IF('Reverse Search'!$I$9="Disable",1,IF('Reverse Search'!$K$9="≥",IF(J195&gt;='Reverse Search'!$L$9,1,0),IF('Reverse Search'!$K$9="≤",IF(J195&lt;='Reverse Search'!$L$9,1,0),IF(J195='Reverse Search'!$L$9,1,0)))))</f>
        <v>1</v>
      </c>
      <c r="X195" s="0" t="n">
        <f aca="false">IF('Reverse Search'!$N$7="Disable",1,IF('Reverse Search'!$I$10="Disable",1,IF('Reverse Search'!$K$10="≥",IF(K195&gt;='Reverse Search'!$L$10,1,0),IF('Reverse Search'!$K$10="≤",IF(K195&lt;='Reverse Search'!$L$10,1,0),IF(K195='Reverse Search'!$L$10,1,0)))))</f>
        <v>1</v>
      </c>
      <c r="Y195" s="367" t="n">
        <f aca="false">IF('Reverse Search'!$N$7="Disable",1,IF('Reverse Search'!$I$11="Disable",1,IF('Reverse Search'!$K$11="≥",IF(L195&gt;='Reverse Search'!$L$11,1,0),IF('Reverse Search'!$K$11="≤",IF(L195&lt;='Reverse Search'!$L$11,1,0),IF(L195='Reverse Search'!$L$11,1,0)))))</f>
        <v>1</v>
      </c>
      <c r="Z195" s="0" t="n">
        <f aca="true">IF('Reverse Search'!$C$14="Disable",1,IF('Reverse Search'!$D$16="Disable",1,IF($C$2=3,IF($M195=0,0,COUNTIF(INDIRECT("'0.0.2 Pokémon Learnset (Core)'!$D$"&amp;MATCH($E195,'0.0.2 Pokémon Learnset (Core)'!$A$1:$A951,0)&amp;":$FK$"&amp;MATCH($E195,'0.0.2 Pokémon Learnset (Core)'!$A$1:$A951,0)),'Reverse Search'!$E$21)),IF($C$2=2,COUNTIF(INDIRECT("'0.1.1 Pokémon GO Moves'!$B$"&amp;MATCH($E195,'0.1.1 Pokémon GO Moves'!$A$1:$A951,0)&amp;":$R$"&amp;MATCH($E195,'0.1.1 Pokémon GO Moves'!$A$1:$A951,0)),'Reverse Search'!$E$21),COUNTIF(INDIRECT("'0.1.1 Pokémon GO Moves'!$B$"&amp;MATCH($E195,'0.1.1 Pokémon GO Moves'!$A$1:$A951,0)&amp;":$L$"&amp;MATCH($E195,'0.1.1 Pokémon GO Moves'!$A$1:$A951,0)),'Reverse Search'!$E$21)))))</f>
        <v>1</v>
      </c>
      <c r="AA195" s="0" t="n">
        <f aca="true">IF('Reverse Search'!$C$14="Disable",1,IF('Reverse Search'!$I$16="Disable",1,IF($D$2=3,IF($M195=0,0,COUNTIF(INDIRECT("'0.0.2 Pokémon Learnset (Core)'!$D$"&amp;MATCH($E195,'0.0.2 Pokémon Learnset (Core)'!$A$1:$A951,0)&amp;":$FK$"&amp;MATCH($E195,'0.0.2 Pokémon Learnset (Core)'!$A$1:$A951,0)),'Reverse Search'!$J$21)),IF($D$2=2,COUNTIF(INDIRECT("'0.1.1 Pokémon GO Moves'!$B$"&amp;MATCH($E195,'0.1.1 Pokémon GO Moves'!$A$1:$A951,0)&amp;":$R$"&amp;MATCH($E195,'0.1.1 Pokémon GO Moves'!$A$1:$A951,0)),'Reverse Search'!$J$21),COUNTIF(INDIRECT("'0.1.1 Pokémon GO Moves'!$B$"&amp;MATCH($E195,'0.1.1 Pokémon GO Moves'!$A$1:$A951,0)&amp;":$L$"&amp;MATCH($E195,'0.1.1 Pokémon GO Moves'!$A$1:$A951,0)),'Reverse Search'!$J$21)))))</f>
        <v>0</v>
      </c>
      <c r="AB195" s="490"/>
      <c r="AC195" s="260" t="n">
        <f aca="false">IF((Q195+R195+S195+V195+W195+X195+Y195+IF(Z195&gt;=1,1,0)+IF(AA195&gt;=1,1,0))=9,G195&amp;", ",)</f>
        <v>0</v>
      </c>
    </row>
    <row r="196" customFormat="false" ht="15.75" hidden="false" customHeight="false" outlineLevel="0" collapsed="false">
      <c r="A196" s="260"/>
      <c r="B196" s="358"/>
      <c r="C196" s="260"/>
      <c r="D196" s="358"/>
      <c r="E196" s="260" t="n">
        <v>195</v>
      </c>
      <c r="F196" s="260" t="n">
        <f aca="false" t="array" ref="F196:F196">INDEX('0.0.1 Pokémon Dex Data'!$H$3:$H951,MATCH(E196,'0.0.1 Pokémon Dex Data'!$B$3:$B951,0))</f>
        <v>0</v>
      </c>
      <c r="G196" s="0" t="str">
        <f aca="false" t="array" ref="G196:G196">INDEX('0.0.1 Pokémon Dex Data'!$E$3:$E951,MATCH(E196,'0.0.1 Pokémon Dex Data'!$B$3:$B951,0))</f>
        <v>Furret</v>
      </c>
      <c r="H196" s="0" t="str">
        <f aca="false" t="array" ref="H196:H196">INDEX('0.0.1 Pokémon Dex Data'!$Q$3:$Q951,MATCH(E196,'0.0.1 Pokémon Dex Data'!$B$3:$B951,0))</f>
        <v>Normal</v>
      </c>
      <c r="I196" s="0" t="n">
        <f aca="false">INDEX('0.0.1 Pokémon Dex Data'!$R$3:$R951,MATCH(E196,'0.0.1 Pokémon Dex Data'!$B$3:$B951,0))</f>
        <v>0</v>
      </c>
      <c r="J196" s="260" t="n">
        <f aca="false" t="array" ref="J196:J196">ROUND(INDEX('0.0.1 Pokémon Dex Data'!$S$3:$S951,MATCH($E196,'0.0.1 Pokémon Dex Data'!$B$3:$B951,0))*INDEX('0.0.1 Pokémon Dex Data'!T$3:T951,MATCH($E196,'0.0.1 Pokémon Dex Data'!$B$3:$B951,0)),0)</f>
        <v>148</v>
      </c>
      <c r="K196" s="260" t="n">
        <f aca="false" t="array" ref="K196:K196">ROUND(INDEX('0.0.1 Pokémon Dex Data'!$S$3:$S951,MATCH($E196,'0.0.1 Pokémon Dex Data'!$B$3:$B951,0))*INDEX('0.0.1 Pokémon Dex Data'!U$3:U951,MATCH($E196,'0.0.1 Pokémon Dex Data'!$B$3:$B951,0)),0)</f>
        <v>125</v>
      </c>
      <c r="L196" s="260" t="n">
        <f aca="false" t="array" ref="L196:L196">ROUND(INDEX('0.0.1 Pokémon Dex Data'!$S$3:$S951,MATCH($E196,'0.0.1 Pokémon Dex Data'!$B$3:$B951,0))*INDEX('0.0.1 Pokémon Dex Data'!V$3:V951,MATCH($E196,'0.0.1 Pokémon Dex Data'!$B$3:$B951,0)),0)</f>
        <v>198</v>
      </c>
      <c r="M196" s="260" t="n">
        <f aca="false" t="array" ref="M196:M196">INDEX('0.0.1 Pokémon Dex Data'!$J$3:$J951,MATCH(E196,'0.0.1 Pokémon Dex Data'!$B$3:$B951,0))</f>
        <v>1</v>
      </c>
      <c r="O196" s="490"/>
      <c r="Q196" s="367" t="n">
        <f aca="false">IF('Reverse Search'!$F$4="All (including temporary formes)",1,IF('Reverse Search'!$F$4="Base Pokémon and permanent formes only",IF(F196&lt;=1,1,0),IF(F196=0,1,0)))</f>
        <v>1</v>
      </c>
      <c r="R196" s="0" t="n">
        <f aca="false">IF('Reverse Search'!$C$7="Disable",1,IF('Reverse Search'!$D$9="Disable",1,IF(OR('Reverse Search'!$F$9=H196,'Reverse Search'!$F$9=I196),1,0)))</f>
        <v>1</v>
      </c>
      <c r="S196" s="0" t="n">
        <f aca="false">IF('Reverse Search'!$C$7="Disable",1,IF('Reverse Search'!$D$10="Disable",1,IF(OR('Reverse Search'!$F$10=H196,'Reverse Search'!$F$10=I196),1,0)))</f>
        <v>1</v>
      </c>
      <c r="T196" s="0" t="n">
        <f aca="false">INDEX($B$4:$B$22,MATCH(H196,$A$4:$A$22,0))</f>
        <v>1</v>
      </c>
      <c r="U196" s="0" t="e">
        <f aca="false">IF(ISBLANK(I196),1,INDEX($B$4:$B$22,MATCH(I196,$A$4:$A$22,0)))</f>
        <v>#N/A</v>
      </c>
      <c r="V196" s="367" t="n">
        <f aca="false">IF('Reverse Search'!$C$7="Disable",1,IF('Reverse Search'!$D$11="Disable",1,IF('Reverse Search'!$E$11="Neutral to:",IF(ROUND(T196*U196,2)&lt;=1,1,0),IF(ROUND(T196*U196,2)&lt;1,1,0))))</f>
        <v>1</v>
      </c>
      <c r="W196" s="0" t="n">
        <f aca="false">IF('Reverse Search'!$N$7="Disable",1,IF('Reverse Search'!$I$9="Disable",1,IF('Reverse Search'!$K$9="≥",IF(J196&gt;='Reverse Search'!$L$9,1,0),IF('Reverse Search'!$K$9="≤",IF(J196&lt;='Reverse Search'!$L$9,1,0),IF(J196='Reverse Search'!$L$9,1,0)))))</f>
        <v>1</v>
      </c>
      <c r="X196" s="0" t="n">
        <f aca="false">IF('Reverse Search'!$N$7="Disable",1,IF('Reverse Search'!$I$10="Disable",1,IF('Reverse Search'!$K$10="≥",IF(K196&gt;='Reverse Search'!$L$10,1,0),IF('Reverse Search'!$K$10="≤",IF(K196&lt;='Reverse Search'!$L$10,1,0),IF(K196='Reverse Search'!$L$10,1,0)))))</f>
        <v>1</v>
      </c>
      <c r="Y196" s="367" t="n">
        <f aca="false">IF('Reverse Search'!$N$7="Disable",1,IF('Reverse Search'!$I$11="Disable",1,IF('Reverse Search'!$K$11="≥",IF(L196&gt;='Reverse Search'!$L$11,1,0),IF('Reverse Search'!$K$11="≤",IF(L196&lt;='Reverse Search'!$L$11,1,0),IF(L196='Reverse Search'!$L$11,1,0)))))</f>
        <v>1</v>
      </c>
      <c r="Z196" s="0" t="n">
        <f aca="true">IF('Reverse Search'!$C$14="Disable",1,IF('Reverse Search'!$D$16="Disable",1,IF($C$2=3,IF($M196=0,0,COUNTIF(INDIRECT("'0.0.2 Pokémon Learnset (Core)'!$D$"&amp;MATCH($E196,'0.0.2 Pokémon Learnset (Core)'!$A$1:$A951,0)&amp;":$FK$"&amp;MATCH($E196,'0.0.2 Pokémon Learnset (Core)'!$A$1:$A951,0)),'Reverse Search'!$E$21)),IF($C$2=2,COUNTIF(INDIRECT("'0.1.1 Pokémon GO Moves'!$B$"&amp;MATCH($E196,'0.1.1 Pokémon GO Moves'!$A$1:$A951,0)&amp;":$R$"&amp;MATCH($E196,'0.1.1 Pokémon GO Moves'!$A$1:$A951,0)),'Reverse Search'!$E$21),COUNTIF(INDIRECT("'0.1.1 Pokémon GO Moves'!$B$"&amp;MATCH($E196,'0.1.1 Pokémon GO Moves'!$A$1:$A951,0)&amp;":$L$"&amp;MATCH($E196,'0.1.1 Pokémon GO Moves'!$A$1:$A951,0)),'Reverse Search'!$E$21)))))</f>
        <v>1</v>
      </c>
      <c r="AA196" s="0" t="n">
        <f aca="true">IF('Reverse Search'!$C$14="Disable",1,IF('Reverse Search'!$I$16="Disable",1,IF($D$2=3,IF($M196=0,0,COUNTIF(INDIRECT("'0.0.2 Pokémon Learnset (Core)'!$D$"&amp;MATCH($E196,'0.0.2 Pokémon Learnset (Core)'!$A$1:$A951,0)&amp;":$FK$"&amp;MATCH($E196,'0.0.2 Pokémon Learnset (Core)'!$A$1:$A951,0)),'Reverse Search'!$J$21)),IF($D$2=2,COUNTIF(INDIRECT("'0.1.1 Pokémon GO Moves'!$B$"&amp;MATCH($E196,'0.1.1 Pokémon GO Moves'!$A$1:$A951,0)&amp;":$R$"&amp;MATCH($E196,'0.1.1 Pokémon GO Moves'!$A$1:$A951,0)),'Reverse Search'!$J$21),COUNTIF(INDIRECT("'0.1.1 Pokémon GO Moves'!$B$"&amp;MATCH($E196,'0.1.1 Pokémon GO Moves'!$A$1:$A951,0)&amp;":$L$"&amp;MATCH($E196,'0.1.1 Pokémon GO Moves'!$A$1:$A951,0)),'Reverse Search'!$J$21)))))</f>
        <v>0</v>
      </c>
      <c r="AB196" s="490"/>
      <c r="AC196" s="260" t="n">
        <f aca="false">IF((Q196+R196+S196+V196+W196+X196+Y196+IF(Z196&gt;=1,1,0)+IF(AA196&gt;=1,1,0))=9,G196&amp;", ",)</f>
        <v>0</v>
      </c>
    </row>
    <row r="197" customFormat="false" ht="15.75" hidden="false" customHeight="false" outlineLevel="0" collapsed="false">
      <c r="A197" s="260"/>
      <c r="B197" s="358"/>
      <c r="C197" s="260"/>
      <c r="D197" s="358"/>
      <c r="E197" s="260" t="n">
        <v>196</v>
      </c>
      <c r="F197" s="260" t="n">
        <f aca="false" t="array" ref="F197:F197">INDEX('0.0.1 Pokémon Dex Data'!$H$3:$H951,MATCH(E197,'0.0.1 Pokémon Dex Data'!$B$3:$B951,0))</f>
        <v>0</v>
      </c>
      <c r="G197" s="0" t="str">
        <f aca="false" t="array" ref="G197:G197">INDEX('0.0.1 Pokémon Dex Data'!$E$3:$E951,MATCH(E197,'0.0.1 Pokémon Dex Data'!$B$3:$B951,0))</f>
        <v>Hoothoot</v>
      </c>
      <c r="H197" s="0" t="str">
        <f aca="false" t="array" ref="H197:H197">INDEX('0.0.1 Pokémon Dex Data'!$Q$3:$Q951,MATCH(E197,'0.0.1 Pokémon Dex Data'!$B$3:$B951,0))</f>
        <v>Normal</v>
      </c>
      <c r="I197" s="0" t="str">
        <f aca="false" t="array" ref="I197:I197">INDEX('0.0.1 Pokémon Dex Data'!$R$3:$R951,MATCH(E197,'0.0.1 Pokémon Dex Data'!$B$3:$B951,0))</f>
        <v>Flying</v>
      </c>
      <c r="J197" s="260" t="n">
        <f aca="false" t="array" ref="J197:J197">ROUND(INDEX('0.0.1 Pokémon Dex Data'!$S$3:$S951,MATCH($E197,'0.0.1 Pokémon Dex Data'!$B$3:$B951,0))*INDEX('0.0.1 Pokémon Dex Data'!T$3:T951,MATCH($E197,'0.0.1 Pokémon Dex Data'!$B$3:$B951,0)),0)</f>
        <v>67</v>
      </c>
      <c r="K197" s="260" t="n">
        <f aca="false" t="array" ref="K197:K197">ROUND(INDEX('0.0.1 Pokémon Dex Data'!$S$3:$S951,MATCH($E197,'0.0.1 Pokémon Dex Data'!$B$3:$B951,0))*INDEX('0.0.1 Pokémon Dex Data'!U$3:U951,MATCH($E197,'0.0.1 Pokémon Dex Data'!$B$3:$B951,0)),0)</f>
        <v>88</v>
      </c>
      <c r="L197" s="260" t="n">
        <f aca="false" t="array" ref="L197:L197">ROUND(INDEX('0.0.1 Pokémon Dex Data'!$S$3:$S951,MATCH($E197,'0.0.1 Pokémon Dex Data'!$B$3:$B951,0))*INDEX('0.0.1 Pokémon Dex Data'!V$3:V951,MATCH($E197,'0.0.1 Pokémon Dex Data'!$B$3:$B951,0)),0)</f>
        <v>155</v>
      </c>
      <c r="M197" s="260" t="n">
        <f aca="false" t="array" ref="M197:M197">INDEX('0.0.1 Pokémon Dex Data'!$J$3:$J951,MATCH(E197,'0.0.1 Pokémon Dex Data'!$B$3:$B951,0))</f>
        <v>0</v>
      </c>
      <c r="O197" s="490"/>
      <c r="Q197" s="367" t="n">
        <f aca="false">IF('Reverse Search'!$F$4="All (including temporary formes)",1,IF('Reverse Search'!$F$4="Base Pokémon and permanent formes only",IF(F197&lt;=1,1,0),IF(F197=0,1,0)))</f>
        <v>1</v>
      </c>
      <c r="R197" s="0" t="n">
        <f aca="false">IF('Reverse Search'!$C$7="Disable",1,IF('Reverse Search'!$D$9="Disable",1,IF(OR('Reverse Search'!$F$9=H197,'Reverse Search'!$F$9=I197),1,0)))</f>
        <v>1</v>
      </c>
      <c r="S197" s="0" t="n">
        <f aca="false">IF('Reverse Search'!$C$7="Disable",1,IF('Reverse Search'!$D$10="Disable",1,IF(OR('Reverse Search'!$F$10=H197,'Reverse Search'!$F$10=I197),1,0)))</f>
        <v>1</v>
      </c>
      <c r="T197" s="0" t="n">
        <f aca="false">INDEX($B$4:$B$22,MATCH(H197,$A$4:$A$22,0))</f>
        <v>1</v>
      </c>
      <c r="U197" s="0" t="n">
        <f aca="false">IF(ISBLANK(I197),1,INDEX($B$4:$B$22,MATCH(I197,$A$4:$A$22,0)))</f>
        <v>1</v>
      </c>
      <c r="V197" s="367" t="n">
        <f aca="false">IF('Reverse Search'!$C$7="Disable",1,IF('Reverse Search'!$D$11="Disable",1,IF('Reverse Search'!$E$11="Neutral to:",IF(ROUND(T197*U197,2)&lt;=1,1,0),IF(ROUND(T197*U197,2)&lt;1,1,0))))</f>
        <v>1</v>
      </c>
      <c r="W197" s="0" t="n">
        <f aca="false">IF('Reverse Search'!$N$7="Disable",1,IF('Reverse Search'!$I$9="Disable",1,IF('Reverse Search'!$K$9="≥",IF(J197&gt;='Reverse Search'!$L$9,1,0),IF('Reverse Search'!$K$9="≤",IF(J197&lt;='Reverse Search'!$L$9,1,0),IF(J197='Reverse Search'!$L$9,1,0)))))</f>
        <v>1</v>
      </c>
      <c r="X197" s="0" t="n">
        <f aca="false">IF('Reverse Search'!$N$7="Disable",1,IF('Reverse Search'!$I$10="Disable",1,IF('Reverse Search'!$K$10="≥",IF(K197&gt;='Reverse Search'!$L$10,1,0),IF('Reverse Search'!$K$10="≤",IF(K197&lt;='Reverse Search'!$L$10,1,0),IF(K197='Reverse Search'!$L$10,1,0)))))</f>
        <v>1</v>
      </c>
      <c r="Y197" s="367" t="n">
        <f aca="false">IF('Reverse Search'!$N$7="Disable",1,IF('Reverse Search'!$I$11="Disable",1,IF('Reverse Search'!$K$11="≥",IF(L197&gt;='Reverse Search'!$L$11,1,0),IF('Reverse Search'!$K$11="≤",IF(L197&lt;='Reverse Search'!$L$11,1,0),IF(L197='Reverse Search'!$L$11,1,0)))))</f>
        <v>1</v>
      </c>
      <c r="Z197" s="0" t="n">
        <f aca="true">IF('Reverse Search'!$C$14="Disable",1,IF('Reverse Search'!$D$16="Disable",1,IF($C$2=3,IF($M197=0,0,COUNTIF(INDIRECT("'0.0.2 Pokémon Learnset (Core)'!$D$"&amp;MATCH($E197,'0.0.2 Pokémon Learnset (Core)'!$A$1:$A951,0)&amp;":$FK$"&amp;MATCH($E197,'0.0.2 Pokémon Learnset (Core)'!$A$1:$A951,0)),'Reverse Search'!$E$21)),IF($C$2=2,COUNTIF(INDIRECT("'0.1.1 Pokémon GO Moves'!$B$"&amp;MATCH($E197,'0.1.1 Pokémon GO Moves'!$A$1:$A951,0)&amp;":$R$"&amp;MATCH($E197,'0.1.1 Pokémon GO Moves'!$A$1:$A951,0)),'Reverse Search'!$E$21),COUNTIF(INDIRECT("'0.1.1 Pokémon GO Moves'!$B$"&amp;MATCH($E197,'0.1.1 Pokémon GO Moves'!$A$1:$A951,0)&amp;":$L$"&amp;MATCH($E197,'0.1.1 Pokémon GO Moves'!$A$1:$A951,0)),'Reverse Search'!$E$21)))))</f>
        <v>1</v>
      </c>
      <c r="AA197" s="0" t="n">
        <f aca="true">IF('Reverse Search'!$C$14="Disable",1,IF('Reverse Search'!$I$16="Disable",1,IF($D$2=3,IF($M197=0,0,COUNTIF(INDIRECT("'0.0.2 Pokémon Learnset (Core)'!$D$"&amp;MATCH($E197,'0.0.2 Pokémon Learnset (Core)'!$A$1:$A951,0)&amp;":$FK$"&amp;MATCH($E197,'0.0.2 Pokémon Learnset (Core)'!$A$1:$A951,0)),'Reverse Search'!$J$21)),IF($D$2=2,COUNTIF(INDIRECT("'0.1.1 Pokémon GO Moves'!$B$"&amp;MATCH($E197,'0.1.1 Pokémon GO Moves'!$A$1:$A951,0)&amp;":$R$"&amp;MATCH($E197,'0.1.1 Pokémon GO Moves'!$A$1:$A951,0)),'Reverse Search'!$J$21),COUNTIF(INDIRECT("'0.1.1 Pokémon GO Moves'!$B$"&amp;MATCH($E197,'0.1.1 Pokémon GO Moves'!$A$1:$A951,0)&amp;":$L$"&amp;MATCH($E197,'0.1.1 Pokémon GO Moves'!$A$1:$A951,0)),'Reverse Search'!$J$21)))))</f>
        <v>0</v>
      </c>
      <c r="AB197" s="490"/>
      <c r="AC197" s="260" t="n">
        <f aca="false">IF((Q197+R197+S197+V197+W197+X197+Y197+IF(Z197&gt;=1,1,0)+IF(AA197&gt;=1,1,0))=9,G197&amp;", ",)</f>
        <v>0</v>
      </c>
    </row>
    <row r="198" customFormat="false" ht="15.75" hidden="false" customHeight="false" outlineLevel="0" collapsed="false">
      <c r="A198" s="260"/>
      <c r="B198" s="358"/>
      <c r="C198" s="260"/>
      <c r="D198" s="358"/>
      <c r="E198" s="260" t="n">
        <v>197</v>
      </c>
      <c r="F198" s="260" t="n">
        <f aca="false" t="array" ref="F198:F198">INDEX('0.0.1 Pokémon Dex Data'!$H$3:$H951,MATCH(E198,'0.0.1 Pokémon Dex Data'!$B$3:$B951,0))</f>
        <v>0</v>
      </c>
      <c r="G198" s="0" t="str">
        <f aca="false" t="array" ref="G198:G198">INDEX('0.0.1 Pokémon Dex Data'!$E$3:$E951,MATCH(E198,'0.0.1 Pokémon Dex Data'!$B$3:$B951,0))</f>
        <v>Noctowl</v>
      </c>
      <c r="H198" s="0" t="str">
        <f aca="false" t="array" ref="H198:H198">INDEX('0.0.1 Pokémon Dex Data'!$Q$3:$Q951,MATCH(E198,'0.0.1 Pokémon Dex Data'!$B$3:$B951,0))</f>
        <v>Normal</v>
      </c>
      <c r="I198" s="0" t="str">
        <f aca="false" t="array" ref="I198:I198">INDEX('0.0.1 Pokémon Dex Data'!$R$3:$R951,MATCH(E198,'0.0.1 Pokémon Dex Data'!$B$3:$B951,0))</f>
        <v>Flying</v>
      </c>
      <c r="J198" s="260" t="n">
        <f aca="false" t="array" ref="J198:J198">ROUND(INDEX('0.0.1 Pokémon Dex Data'!$S$3:$S951,MATCH($E198,'0.0.1 Pokémon Dex Data'!$B$3:$B951,0))*INDEX('0.0.1 Pokémon Dex Data'!T$3:T951,MATCH($E198,'0.0.1 Pokémon Dex Data'!$B$3:$B951,0)),0)</f>
        <v>145</v>
      </c>
      <c r="K198" s="260" t="n">
        <f aca="false" t="array" ref="K198:K198">ROUND(INDEX('0.0.1 Pokémon Dex Data'!$S$3:$S951,MATCH($E198,'0.0.1 Pokémon Dex Data'!$B$3:$B951,0))*INDEX('0.0.1 Pokémon Dex Data'!U$3:U951,MATCH($E198,'0.0.1 Pokémon Dex Data'!$B$3:$B951,0)),0)</f>
        <v>156</v>
      </c>
      <c r="L198" s="260" t="n">
        <f aca="false" t="array" ref="L198:L198">ROUND(INDEX('0.0.1 Pokémon Dex Data'!$S$3:$S951,MATCH($E198,'0.0.1 Pokémon Dex Data'!$B$3:$B951,0))*INDEX('0.0.1 Pokémon Dex Data'!V$3:V951,MATCH($E198,'0.0.1 Pokémon Dex Data'!$B$3:$B951,0)),0)</f>
        <v>225</v>
      </c>
      <c r="M198" s="260" t="n">
        <f aca="false" t="array" ref="M198:M198">INDEX('0.0.1 Pokémon Dex Data'!$J$3:$J951,MATCH(E198,'0.0.1 Pokémon Dex Data'!$B$3:$B951,0))</f>
        <v>1</v>
      </c>
      <c r="O198" s="490"/>
      <c r="Q198" s="367" t="n">
        <f aca="false">IF('Reverse Search'!$F$4="All (including temporary formes)",1,IF('Reverse Search'!$F$4="Base Pokémon and permanent formes only",IF(F198&lt;=1,1,0),IF(F198=0,1,0)))</f>
        <v>1</v>
      </c>
      <c r="R198" s="0" t="n">
        <f aca="false">IF('Reverse Search'!$C$7="Disable",1,IF('Reverse Search'!$D$9="Disable",1,IF(OR('Reverse Search'!$F$9=H198,'Reverse Search'!$F$9=I198),1,0)))</f>
        <v>1</v>
      </c>
      <c r="S198" s="0" t="n">
        <f aca="false">IF('Reverse Search'!$C$7="Disable",1,IF('Reverse Search'!$D$10="Disable",1,IF(OR('Reverse Search'!$F$10=H198,'Reverse Search'!$F$10=I198),1,0)))</f>
        <v>1</v>
      </c>
      <c r="T198" s="0" t="n">
        <f aca="false">INDEX($B$4:$B$22,MATCH(H198,$A$4:$A$22,0))</f>
        <v>1</v>
      </c>
      <c r="U198" s="0" t="n">
        <f aca="false">IF(ISBLANK(I198),1,INDEX($B$4:$B$22,MATCH(I198,$A$4:$A$22,0)))</f>
        <v>1</v>
      </c>
      <c r="V198" s="367" t="n">
        <f aca="false">IF('Reverse Search'!$C$7="Disable",1,IF('Reverse Search'!$D$11="Disable",1,IF('Reverse Search'!$E$11="Neutral to:",IF(ROUND(T198*U198,2)&lt;=1,1,0),IF(ROUND(T198*U198,2)&lt;1,1,0))))</f>
        <v>1</v>
      </c>
      <c r="W198" s="0" t="n">
        <f aca="false">IF('Reverse Search'!$N$7="Disable",1,IF('Reverse Search'!$I$9="Disable",1,IF('Reverse Search'!$K$9="≥",IF(J198&gt;='Reverse Search'!$L$9,1,0),IF('Reverse Search'!$K$9="≤",IF(J198&lt;='Reverse Search'!$L$9,1,0),IF(J198='Reverse Search'!$L$9,1,0)))))</f>
        <v>1</v>
      </c>
      <c r="X198" s="0" t="n">
        <f aca="false">IF('Reverse Search'!$N$7="Disable",1,IF('Reverse Search'!$I$10="Disable",1,IF('Reverse Search'!$K$10="≥",IF(K198&gt;='Reverse Search'!$L$10,1,0),IF('Reverse Search'!$K$10="≤",IF(K198&lt;='Reverse Search'!$L$10,1,0),IF(K198='Reverse Search'!$L$10,1,0)))))</f>
        <v>1</v>
      </c>
      <c r="Y198" s="367" t="n">
        <f aca="false">IF('Reverse Search'!$N$7="Disable",1,IF('Reverse Search'!$I$11="Disable",1,IF('Reverse Search'!$K$11="≥",IF(L198&gt;='Reverse Search'!$L$11,1,0),IF('Reverse Search'!$K$11="≤",IF(L198&lt;='Reverse Search'!$L$11,1,0),IF(L198='Reverse Search'!$L$11,1,0)))))</f>
        <v>1</v>
      </c>
      <c r="Z198" s="0" t="n">
        <f aca="true">IF('Reverse Search'!$C$14="Disable",1,IF('Reverse Search'!$D$16="Disable",1,IF($C$2=3,IF($M198=0,0,COUNTIF(INDIRECT("'0.0.2 Pokémon Learnset (Core)'!$D$"&amp;MATCH($E198,'0.0.2 Pokémon Learnset (Core)'!$A$1:$A951,0)&amp;":$FK$"&amp;MATCH($E198,'0.0.2 Pokémon Learnset (Core)'!$A$1:$A951,0)),'Reverse Search'!$E$21)),IF($C$2=2,COUNTIF(INDIRECT("'0.1.1 Pokémon GO Moves'!$B$"&amp;MATCH($E198,'0.1.1 Pokémon GO Moves'!$A$1:$A951,0)&amp;":$R$"&amp;MATCH($E198,'0.1.1 Pokémon GO Moves'!$A$1:$A951,0)),'Reverse Search'!$E$21),COUNTIF(INDIRECT("'0.1.1 Pokémon GO Moves'!$B$"&amp;MATCH($E198,'0.1.1 Pokémon GO Moves'!$A$1:$A951,0)&amp;":$L$"&amp;MATCH($E198,'0.1.1 Pokémon GO Moves'!$A$1:$A951,0)),'Reverse Search'!$E$21)))))</f>
        <v>1</v>
      </c>
      <c r="AA198" s="0" t="n">
        <f aca="true">IF('Reverse Search'!$C$14="Disable",1,IF('Reverse Search'!$I$16="Disable",1,IF($D$2=3,IF($M198=0,0,COUNTIF(INDIRECT("'0.0.2 Pokémon Learnset (Core)'!$D$"&amp;MATCH($E198,'0.0.2 Pokémon Learnset (Core)'!$A$1:$A951,0)&amp;":$FK$"&amp;MATCH($E198,'0.0.2 Pokémon Learnset (Core)'!$A$1:$A951,0)),'Reverse Search'!$J$21)),IF($D$2=2,COUNTIF(INDIRECT("'0.1.1 Pokémon GO Moves'!$B$"&amp;MATCH($E198,'0.1.1 Pokémon GO Moves'!$A$1:$A951,0)&amp;":$R$"&amp;MATCH($E198,'0.1.1 Pokémon GO Moves'!$A$1:$A951,0)),'Reverse Search'!$J$21),COUNTIF(INDIRECT("'0.1.1 Pokémon GO Moves'!$B$"&amp;MATCH($E198,'0.1.1 Pokémon GO Moves'!$A$1:$A951,0)&amp;":$L$"&amp;MATCH($E198,'0.1.1 Pokémon GO Moves'!$A$1:$A951,0)),'Reverse Search'!$J$21)))))</f>
        <v>0</v>
      </c>
      <c r="AB198" s="490"/>
      <c r="AC198" s="260" t="n">
        <f aca="false">IF((Q198+R198+S198+V198+W198+X198+Y198+IF(Z198&gt;=1,1,0)+IF(AA198&gt;=1,1,0))=9,G198&amp;", ",)</f>
        <v>0</v>
      </c>
    </row>
    <row r="199" customFormat="false" ht="15.75" hidden="false" customHeight="false" outlineLevel="0" collapsed="false">
      <c r="A199" s="260"/>
      <c r="B199" s="358"/>
      <c r="C199" s="260"/>
      <c r="D199" s="358"/>
      <c r="E199" s="260" t="n">
        <v>198</v>
      </c>
      <c r="F199" s="260" t="n">
        <f aca="false" t="array" ref="F199:F199">INDEX('0.0.1 Pokémon Dex Data'!$H$3:$H951,MATCH(E199,'0.0.1 Pokémon Dex Data'!$B$3:$B951,0))</f>
        <v>0</v>
      </c>
      <c r="G199" s="0" t="str">
        <f aca="false" t="array" ref="G199:G199">INDEX('0.0.1 Pokémon Dex Data'!$E$3:$E951,MATCH(E199,'0.0.1 Pokémon Dex Data'!$B$3:$B951,0))</f>
        <v>Ledyba</v>
      </c>
      <c r="H199" s="0" t="str">
        <f aca="false" t="array" ref="H199:H199">INDEX('0.0.1 Pokémon Dex Data'!$Q$3:$Q951,MATCH(E199,'0.0.1 Pokémon Dex Data'!$B$3:$B951,0))</f>
        <v>Bug</v>
      </c>
      <c r="I199" s="0" t="str">
        <f aca="false" t="array" ref="I199:I199">INDEX('0.0.1 Pokémon Dex Data'!$R$3:$R951,MATCH(E199,'0.0.1 Pokémon Dex Data'!$B$3:$B951,0))</f>
        <v>Flying</v>
      </c>
      <c r="J199" s="260" t="n">
        <f aca="false" t="array" ref="J199:J199">ROUND(INDEX('0.0.1 Pokémon Dex Data'!$S$3:$S951,MATCH($E199,'0.0.1 Pokémon Dex Data'!$B$3:$B951,0))*INDEX('0.0.1 Pokémon Dex Data'!T$3:T951,MATCH($E199,'0.0.1 Pokémon Dex Data'!$B$3:$B951,0)),0)</f>
        <v>72</v>
      </c>
      <c r="K199" s="260" t="n">
        <f aca="false" t="array" ref="K199:K199">ROUND(INDEX('0.0.1 Pokémon Dex Data'!$S$3:$S951,MATCH($E199,'0.0.1 Pokémon Dex Data'!$B$3:$B951,0))*INDEX('0.0.1 Pokémon Dex Data'!U$3:U951,MATCH($E199,'0.0.1 Pokémon Dex Data'!$B$3:$B951,0)),0)</f>
        <v>118</v>
      </c>
      <c r="L199" s="260" t="n">
        <f aca="false" t="array" ref="L199:L199">ROUND(INDEX('0.0.1 Pokémon Dex Data'!$S$3:$S951,MATCH($E199,'0.0.1 Pokémon Dex Data'!$B$3:$B951,0))*INDEX('0.0.1 Pokémon Dex Data'!V$3:V951,MATCH($E199,'0.0.1 Pokémon Dex Data'!$B$3:$B951,0)),0)</f>
        <v>120</v>
      </c>
      <c r="M199" s="260" t="n">
        <f aca="false" t="array" ref="M199:M199">INDEX('0.0.1 Pokémon Dex Data'!$J$3:$J951,MATCH(E199,'0.0.1 Pokémon Dex Data'!$B$3:$B951,0))</f>
        <v>0</v>
      </c>
      <c r="O199" s="490"/>
      <c r="Q199" s="367" t="n">
        <f aca="false">IF('Reverse Search'!$F$4="All (including temporary formes)",1,IF('Reverse Search'!$F$4="Base Pokémon and permanent formes only",IF(F199&lt;=1,1,0),IF(F199=0,1,0)))</f>
        <v>1</v>
      </c>
      <c r="R199" s="0" t="n">
        <f aca="false">IF('Reverse Search'!$C$7="Disable",1,IF('Reverse Search'!$D$9="Disable",1,IF(OR('Reverse Search'!$F$9=H199,'Reverse Search'!$F$9=I199),1,0)))</f>
        <v>1</v>
      </c>
      <c r="S199" s="0" t="n">
        <f aca="false">IF('Reverse Search'!$C$7="Disable",1,IF('Reverse Search'!$D$10="Disable",1,IF(OR('Reverse Search'!$F$10=H199,'Reverse Search'!$F$10=I199),1,0)))</f>
        <v>1</v>
      </c>
      <c r="T199" s="0" t="n">
        <f aca="false">INDEX($B$4:$B$22,MATCH(H199,$A$4:$A$22,0))</f>
        <v>1</v>
      </c>
      <c r="U199" s="0" t="n">
        <f aca="false">IF(ISBLANK(I199),1,INDEX($B$4:$B$22,MATCH(I199,$A$4:$A$22,0)))</f>
        <v>1</v>
      </c>
      <c r="V199" s="367" t="n">
        <f aca="false">IF('Reverse Search'!$C$7="Disable",1,IF('Reverse Search'!$D$11="Disable",1,IF('Reverse Search'!$E$11="Neutral to:",IF(ROUND(T199*U199,2)&lt;=1,1,0),IF(ROUND(T199*U199,2)&lt;1,1,0))))</f>
        <v>1</v>
      </c>
      <c r="W199" s="0" t="n">
        <f aca="false">IF('Reverse Search'!$N$7="Disable",1,IF('Reverse Search'!$I$9="Disable",1,IF('Reverse Search'!$K$9="≥",IF(J199&gt;='Reverse Search'!$L$9,1,0),IF('Reverse Search'!$K$9="≤",IF(J199&lt;='Reverse Search'!$L$9,1,0),IF(J199='Reverse Search'!$L$9,1,0)))))</f>
        <v>1</v>
      </c>
      <c r="X199" s="0" t="n">
        <f aca="false">IF('Reverse Search'!$N$7="Disable",1,IF('Reverse Search'!$I$10="Disable",1,IF('Reverse Search'!$K$10="≥",IF(K199&gt;='Reverse Search'!$L$10,1,0),IF('Reverse Search'!$K$10="≤",IF(K199&lt;='Reverse Search'!$L$10,1,0),IF(K199='Reverse Search'!$L$10,1,0)))))</f>
        <v>1</v>
      </c>
      <c r="Y199" s="367" t="n">
        <f aca="false">IF('Reverse Search'!$N$7="Disable",1,IF('Reverse Search'!$I$11="Disable",1,IF('Reverse Search'!$K$11="≥",IF(L199&gt;='Reverse Search'!$L$11,1,0),IF('Reverse Search'!$K$11="≤",IF(L199&lt;='Reverse Search'!$L$11,1,0),IF(L199='Reverse Search'!$L$11,1,0)))))</f>
        <v>1</v>
      </c>
      <c r="Z199" s="0" t="n">
        <f aca="true">IF('Reverse Search'!$C$14="Disable",1,IF('Reverse Search'!$D$16="Disable",1,IF($C$2=3,IF($M199=0,0,COUNTIF(INDIRECT("'0.0.2 Pokémon Learnset (Core)'!$D$"&amp;MATCH($E199,'0.0.2 Pokémon Learnset (Core)'!$A$1:$A951,0)&amp;":$FK$"&amp;MATCH($E199,'0.0.2 Pokémon Learnset (Core)'!$A$1:$A951,0)),'Reverse Search'!$E$21)),IF($C$2=2,COUNTIF(INDIRECT("'0.1.1 Pokémon GO Moves'!$B$"&amp;MATCH($E199,'0.1.1 Pokémon GO Moves'!$A$1:$A951,0)&amp;":$R$"&amp;MATCH($E199,'0.1.1 Pokémon GO Moves'!$A$1:$A951,0)),'Reverse Search'!$E$21),COUNTIF(INDIRECT("'0.1.1 Pokémon GO Moves'!$B$"&amp;MATCH($E199,'0.1.1 Pokémon GO Moves'!$A$1:$A951,0)&amp;":$L$"&amp;MATCH($E199,'0.1.1 Pokémon GO Moves'!$A$1:$A951,0)),'Reverse Search'!$E$21)))))</f>
        <v>1</v>
      </c>
      <c r="AA199" s="0" t="n">
        <f aca="true">IF('Reverse Search'!$C$14="Disable",1,IF('Reverse Search'!$I$16="Disable",1,IF($D$2=3,IF($M199=0,0,COUNTIF(INDIRECT("'0.0.2 Pokémon Learnset (Core)'!$D$"&amp;MATCH($E199,'0.0.2 Pokémon Learnset (Core)'!$A$1:$A951,0)&amp;":$FK$"&amp;MATCH($E199,'0.0.2 Pokémon Learnset (Core)'!$A$1:$A951,0)),'Reverse Search'!$J$21)),IF($D$2=2,COUNTIF(INDIRECT("'0.1.1 Pokémon GO Moves'!$B$"&amp;MATCH($E199,'0.1.1 Pokémon GO Moves'!$A$1:$A951,0)&amp;":$R$"&amp;MATCH($E199,'0.1.1 Pokémon GO Moves'!$A$1:$A951,0)),'Reverse Search'!$J$21),COUNTIF(INDIRECT("'0.1.1 Pokémon GO Moves'!$B$"&amp;MATCH($E199,'0.1.1 Pokémon GO Moves'!$A$1:$A951,0)&amp;":$L$"&amp;MATCH($E199,'0.1.1 Pokémon GO Moves'!$A$1:$A951,0)),'Reverse Search'!$J$21)))))</f>
        <v>0</v>
      </c>
      <c r="AB199" s="490"/>
      <c r="AC199" s="260" t="n">
        <f aca="false">IF((Q199+R199+S199+V199+W199+X199+Y199+IF(Z199&gt;=1,1,0)+IF(AA199&gt;=1,1,0))=9,G199&amp;", ",)</f>
        <v>0</v>
      </c>
    </row>
    <row r="200" customFormat="false" ht="15.75" hidden="false" customHeight="false" outlineLevel="0" collapsed="false">
      <c r="A200" s="260"/>
      <c r="B200" s="358"/>
      <c r="C200" s="260"/>
      <c r="D200" s="358"/>
      <c r="E200" s="260" t="n">
        <v>199</v>
      </c>
      <c r="F200" s="260" t="n">
        <f aca="false" t="array" ref="F200:F200">INDEX('0.0.1 Pokémon Dex Data'!$H$3:$H951,MATCH(E200,'0.0.1 Pokémon Dex Data'!$B$3:$B951,0))</f>
        <v>0</v>
      </c>
      <c r="G200" s="0" t="str">
        <f aca="false" t="array" ref="G200:G200">INDEX('0.0.1 Pokémon Dex Data'!$E$3:$E951,MATCH(E200,'0.0.1 Pokémon Dex Data'!$B$3:$B951,0))</f>
        <v>Ledian</v>
      </c>
      <c r="H200" s="0" t="str">
        <f aca="false" t="array" ref="H200:H200">INDEX('0.0.1 Pokémon Dex Data'!$Q$3:$Q951,MATCH(E200,'0.0.1 Pokémon Dex Data'!$B$3:$B951,0))</f>
        <v>Bug</v>
      </c>
      <c r="I200" s="0" t="str">
        <f aca="false" t="array" ref="I200:I200">INDEX('0.0.1 Pokémon Dex Data'!$R$3:$R951,MATCH(E200,'0.0.1 Pokémon Dex Data'!$B$3:$B951,0))</f>
        <v>Flying</v>
      </c>
      <c r="J200" s="260" t="n">
        <f aca="false" t="array" ref="J200:J200">ROUND(INDEX('0.0.1 Pokémon Dex Data'!$S$3:$S951,MATCH($E200,'0.0.1 Pokémon Dex Data'!$B$3:$B951,0))*INDEX('0.0.1 Pokémon Dex Data'!T$3:T951,MATCH($E200,'0.0.1 Pokémon Dex Data'!$B$3:$B951,0)),0)</f>
        <v>107</v>
      </c>
      <c r="K200" s="260" t="n">
        <f aca="false" t="array" ref="K200:K200">ROUND(INDEX('0.0.1 Pokémon Dex Data'!$S$3:$S951,MATCH($E200,'0.0.1 Pokémon Dex Data'!$B$3:$B951,0))*INDEX('0.0.1 Pokémon Dex Data'!U$3:U951,MATCH($E200,'0.0.1 Pokémon Dex Data'!$B$3:$B951,0)),0)</f>
        <v>179</v>
      </c>
      <c r="L200" s="260" t="n">
        <f aca="false" t="array" ref="L200:L200">ROUND(INDEX('0.0.1 Pokémon Dex Data'!$S$3:$S951,MATCH($E200,'0.0.1 Pokémon Dex Data'!$B$3:$B951,0))*INDEX('0.0.1 Pokémon Dex Data'!V$3:V951,MATCH($E200,'0.0.1 Pokémon Dex Data'!$B$3:$B951,0)),0)</f>
        <v>146</v>
      </c>
      <c r="M200" s="260" t="n">
        <f aca="false" t="array" ref="M200:M200">INDEX('0.0.1 Pokémon Dex Data'!$J$3:$J951,MATCH(E200,'0.0.1 Pokémon Dex Data'!$B$3:$B951,0))</f>
        <v>1</v>
      </c>
      <c r="O200" s="490"/>
      <c r="Q200" s="367" t="n">
        <f aca="false">IF('Reverse Search'!$F$4="All (including temporary formes)",1,IF('Reverse Search'!$F$4="Base Pokémon and permanent formes only",IF(F200&lt;=1,1,0),IF(F200=0,1,0)))</f>
        <v>1</v>
      </c>
      <c r="R200" s="0" t="n">
        <f aca="false">IF('Reverse Search'!$C$7="Disable",1,IF('Reverse Search'!$D$9="Disable",1,IF(OR('Reverse Search'!$F$9=H200,'Reverse Search'!$F$9=I200),1,0)))</f>
        <v>1</v>
      </c>
      <c r="S200" s="0" t="n">
        <f aca="false">IF('Reverse Search'!$C$7="Disable",1,IF('Reverse Search'!$D$10="Disable",1,IF(OR('Reverse Search'!$F$10=H200,'Reverse Search'!$F$10=I200),1,0)))</f>
        <v>1</v>
      </c>
      <c r="T200" s="0" t="n">
        <f aca="false">INDEX($B$4:$B$22,MATCH(H200,$A$4:$A$22,0))</f>
        <v>1</v>
      </c>
      <c r="U200" s="0" t="n">
        <f aca="false">IF(ISBLANK(I200),1,INDEX($B$4:$B$22,MATCH(I200,$A$4:$A$22,0)))</f>
        <v>1</v>
      </c>
      <c r="V200" s="367" t="n">
        <f aca="false">IF('Reverse Search'!$C$7="Disable",1,IF('Reverse Search'!$D$11="Disable",1,IF('Reverse Search'!$E$11="Neutral to:",IF(ROUND(T200*U200,2)&lt;=1,1,0),IF(ROUND(T200*U200,2)&lt;1,1,0))))</f>
        <v>1</v>
      </c>
      <c r="W200" s="0" t="n">
        <f aca="false">IF('Reverse Search'!$N$7="Disable",1,IF('Reverse Search'!$I$9="Disable",1,IF('Reverse Search'!$K$9="≥",IF(J200&gt;='Reverse Search'!$L$9,1,0),IF('Reverse Search'!$K$9="≤",IF(J200&lt;='Reverse Search'!$L$9,1,0),IF(J200='Reverse Search'!$L$9,1,0)))))</f>
        <v>1</v>
      </c>
      <c r="X200" s="0" t="n">
        <f aca="false">IF('Reverse Search'!$N$7="Disable",1,IF('Reverse Search'!$I$10="Disable",1,IF('Reverse Search'!$K$10="≥",IF(K200&gt;='Reverse Search'!$L$10,1,0),IF('Reverse Search'!$K$10="≤",IF(K200&lt;='Reverse Search'!$L$10,1,0),IF(K200='Reverse Search'!$L$10,1,0)))))</f>
        <v>1</v>
      </c>
      <c r="Y200" s="367" t="n">
        <f aca="false">IF('Reverse Search'!$N$7="Disable",1,IF('Reverse Search'!$I$11="Disable",1,IF('Reverse Search'!$K$11="≥",IF(L200&gt;='Reverse Search'!$L$11,1,0),IF('Reverse Search'!$K$11="≤",IF(L200&lt;='Reverse Search'!$L$11,1,0),IF(L200='Reverse Search'!$L$11,1,0)))))</f>
        <v>1</v>
      </c>
      <c r="Z200" s="0" t="n">
        <f aca="true">IF('Reverse Search'!$C$14="Disable",1,IF('Reverse Search'!$D$16="Disable",1,IF($C$2=3,IF($M200=0,0,COUNTIF(INDIRECT("'0.0.2 Pokémon Learnset (Core)'!$D$"&amp;MATCH($E200,'0.0.2 Pokémon Learnset (Core)'!$A$1:$A951,0)&amp;":$FK$"&amp;MATCH($E200,'0.0.2 Pokémon Learnset (Core)'!$A$1:$A951,0)),'Reverse Search'!$E$21)),IF($C$2=2,COUNTIF(INDIRECT("'0.1.1 Pokémon GO Moves'!$B$"&amp;MATCH($E200,'0.1.1 Pokémon GO Moves'!$A$1:$A951,0)&amp;":$R$"&amp;MATCH($E200,'0.1.1 Pokémon GO Moves'!$A$1:$A951,0)),'Reverse Search'!$E$21),COUNTIF(INDIRECT("'0.1.1 Pokémon GO Moves'!$B$"&amp;MATCH($E200,'0.1.1 Pokémon GO Moves'!$A$1:$A951,0)&amp;":$L$"&amp;MATCH($E200,'0.1.1 Pokémon GO Moves'!$A$1:$A951,0)),'Reverse Search'!$E$21)))))</f>
        <v>1</v>
      </c>
      <c r="AA200" s="0" t="n">
        <f aca="true">IF('Reverse Search'!$C$14="Disable",1,IF('Reverse Search'!$I$16="Disable",1,IF($D$2=3,IF($M200=0,0,COUNTIF(INDIRECT("'0.0.2 Pokémon Learnset (Core)'!$D$"&amp;MATCH($E200,'0.0.2 Pokémon Learnset (Core)'!$A$1:$A951,0)&amp;":$FK$"&amp;MATCH($E200,'0.0.2 Pokémon Learnset (Core)'!$A$1:$A951,0)),'Reverse Search'!$J$21)),IF($D$2=2,COUNTIF(INDIRECT("'0.1.1 Pokémon GO Moves'!$B$"&amp;MATCH($E200,'0.1.1 Pokémon GO Moves'!$A$1:$A951,0)&amp;":$R$"&amp;MATCH($E200,'0.1.1 Pokémon GO Moves'!$A$1:$A951,0)),'Reverse Search'!$J$21),COUNTIF(INDIRECT("'0.1.1 Pokémon GO Moves'!$B$"&amp;MATCH($E200,'0.1.1 Pokémon GO Moves'!$A$1:$A951,0)&amp;":$L$"&amp;MATCH($E200,'0.1.1 Pokémon GO Moves'!$A$1:$A951,0)),'Reverse Search'!$J$21)))))</f>
        <v>0</v>
      </c>
      <c r="AB200" s="490"/>
      <c r="AC200" s="260" t="n">
        <f aca="false">IF((Q200+R200+S200+V200+W200+X200+Y200+IF(Z200&gt;=1,1,0)+IF(AA200&gt;=1,1,0))=9,G200&amp;", ",)</f>
        <v>0</v>
      </c>
    </row>
    <row r="201" customFormat="false" ht="15.75" hidden="false" customHeight="false" outlineLevel="0" collapsed="false">
      <c r="A201" s="260"/>
      <c r="B201" s="358"/>
      <c r="C201" s="260"/>
      <c r="D201" s="358"/>
      <c r="E201" s="260" t="n">
        <v>200</v>
      </c>
      <c r="F201" s="260" t="n">
        <f aca="false" t="array" ref="F201:F201">INDEX('0.0.1 Pokémon Dex Data'!$H$3:$H951,MATCH(E201,'0.0.1 Pokémon Dex Data'!$B$3:$B951,0))</f>
        <v>0</v>
      </c>
      <c r="G201" s="0" t="str">
        <f aca="false" t="array" ref="G201:G201">INDEX('0.0.1 Pokémon Dex Data'!$E$3:$E951,MATCH(E201,'0.0.1 Pokémon Dex Data'!$B$3:$B951,0))</f>
        <v>Spinarak</v>
      </c>
      <c r="H201" s="0" t="str">
        <f aca="false" t="array" ref="H201:H201">INDEX('0.0.1 Pokémon Dex Data'!$Q$3:$Q951,MATCH(E201,'0.0.1 Pokémon Dex Data'!$B$3:$B951,0))</f>
        <v>Bug</v>
      </c>
      <c r="I201" s="0" t="str">
        <f aca="false" t="array" ref="I201:I201">INDEX('0.0.1 Pokémon Dex Data'!$R$3:$R951,MATCH(E201,'0.0.1 Pokémon Dex Data'!$B$3:$B951,0))</f>
        <v>Poison</v>
      </c>
      <c r="J201" s="260" t="n">
        <f aca="false" t="array" ref="J201:J201">ROUND(INDEX('0.0.1 Pokémon Dex Data'!$S$3:$S951,MATCH($E201,'0.0.1 Pokémon Dex Data'!$B$3:$B951,0))*INDEX('0.0.1 Pokémon Dex Data'!T$3:T951,MATCH($E201,'0.0.1 Pokémon Dex Data'!$B$3:$B951,0)),0)</f>
        <v>105</v>
      </c>
      <c r="K201" s="260" t="n">
        <f aca="false" t="array" ref="K201:K201">ROUND(INDEX('0.0.1 Pokémon Dex Data'!$S$3:$S951,MATCH($E201,'0.0.1 Pokémon Dex Data'!$B$3:$B951,0))*INDEX('0.0.1 Pokémon Dex Data'!U$3:U951,MATCH($E201,'0.0.1 Pokémon Dex Data'!$B$3:$B951,0)),0)</f>
        <v>73</v>
      </c>
      <c r="L201" s="260" t="n">
        <f aca="false" t="array" ref="L201:L201">ROUND(INDEX('0.0.1 Pokémon Dex Data'!$S$3:$S951,MATCH($E201,'0.0.1 Pokémon Dex Data'!$B$3:$B951,0))*INDEX('0.0.1 Pokémon Dex Data'!V$3:V951,MATCH($E201,'0.0.1 Pokémon Dex Data'!$B$3:$B951,0)),0)</f>
        <v>120</v>
      </c>
      <c r="M201" s="260" t="n">
        <f aca="false" t="array" ref="M201:M201">INDEX('0.0.1 Pokémon Dex Data'!$J$3:$J951,MATCH(E201,'0.0.1 Pokémon Dex Data'!$B$3:$B951,0))</f>
        <v>0</v>
      </c>
      <c r="O201" s="490"/>
      <c r="Q201" s="367" t="n">
        <f aca="false">IF('Reverse Search'!$F$4="All (including temporary formes)",1,IF('Reverse Search'!$F$4="Base Pokémon and permanent formes only",IF(F201&lt;=1,1,0),IF(F201=0,1,0)))</f>
        <v>1</v>
      </c>
      <c r="R201" s="0" t="n">
        <f aca="false">IF('Reverse Search'!$C$7="Disable",1,IF('Reverse Search'!$D$9="Disable",1,IF(OR('Reverse Search'!$F$9=H201,'Reverse Search'!$F$9=I201),1,0)))</f>
        <v>1</v>
      </c>
      <c r="S201" s="0" t="n">
        <f aca="false">IF('Reverse Search'!$C$7="Disable",1,IF('Reverse Search'!$D$10="Disable",1,IF(OR('Reverse Search'!$F$10=H201,'Reverse Search'!$F$10=I201),1,0)))</f>
        <v>1</v>
      </c>
      <c r="T201" s="0" t="n">
        <f aca="false">INDEX($B$4:$B$22,MATCH(H201,$A$4:$A$22,0))</f>
        <v>1</v>
      </c>
      <c r="U201" s="0" t="n">
        <f aca="false">IF(ISBLANK(I201),1,INDEX($B$4:$B$22,MATCH(I201,$A$4:$A$22,0)))</f>
        <v>1</v>
      </c>
      <c r="V201" s="367" t="n">
        <f aca="false">IF('Reverse Search'!$C$7="Disable",1,IF('Reverse Search'!$D$11="Disable",1,IF('Reverse Search'!$E$11="Neutral to:",IF(ROUND(T201*U201,2)&lt;=1,1,0),IF(ROUND(T201*U201,2)&lt;1,1,0))))</f>
        <v>1</v>
      </c>
      <c r="W201" s="0" t="n">
        <f aca="false">IF('Reverse Search'!$N$7="Disable",1,IF('Reverse Search'!$I$9="Disable",1,IF('Reverse Search'!$K$9="≥",IF(J201&gt;='Reverse Search'!$L$9,1,0),IF('Reverse Search'!$K$9="≤",IF(J201&lt;='Reverse Search'!$L$9,1,0),IF(J201='Reverse Search'!$L$9,1,0)))))</f>
        <v>1</v>
      </c>
      <c r="X201" s="0" t="n">
        <f aca="false">IF('Reverse Search'!$N$7="Disable",1,IF('Reverse Search'!$I$10="Disable",1,IF('Reverse Search'!$K$10="≥",IF(K201&gt;='Reverse Search'!$L$10,1,0),IF('Reverse Search'!$K$10="≤",IF(K201&lt;='Reverse Search'!$L$10,1,0),IF(K201='Reverse Search'!$L$10,1,0)))))</f>
        <v>1</v>
      </c>
      <c r="Y201" s="367" t="n">
        <f aca="false">IF('Reverse Search'!$N$7="Disable",1,IF('Reverse Search'!$I$11="Disable",1,IF('Reverse Search'!$K$11="≥",IF(L201&gt;='Reverse Search'!$L$11,1,0),IF('Reverse Search'!$K$11="≤",IF(L201&lt;='Reverse Search'!$L$11,1,0),IF(L201='Reverse Search'!$L$11,1,0)))))</f>
        <v>1</v>
      </c>
      <c r="Z201" s="0" t="n">
        <f aca="true">IF('Reverse Search'!$C$14="Disable",1,IF('Reverse Search'!$D$16="Disable",1,IF($C$2=3,IF($M201=0,0,COUNTIF(INDIRECT("'0.0.2 Pokémon Learnset (Core)'!$D$"&amp;MATCH($E201,'0.0.2 Pokémon Learnset (Core)'!$A$1:$A951,0)&amp;":$FK$"&amp;MATCH($E201,'0.0.2 Pokémon Learnset (Core)'!$A$1:$A951,0)),'Reverse Search'!$E$21)),IF($C$2=2,COUNTIF(INDIRECT("'0.1.1 Pokémon GO Moves'!$B$"&amp;MATCH($E201,'0.1.1 Pokémon GO Moves'!$A$1:$A951,0)&amp;":$R$"&amp;MATCH($E201,'0.1.1 Pokémon GO Moves'!$A$1:$A951,0)),'Reverse Search'!$E$21),COUNTIF(INDIRECT("'0.1.1 Pokémon GO Moves'!$B$"&amp;MATCH($E201,'0.1.1 Pokémon GO Moves'!$A$1:$A951,0)&amp;":$L$"&amp;MATCH($E201,'0.1.1 Pokémon GO Moves'!$A$1:$A951,0)),'Reverse Search'!$E$21)))))</f>
        <v>1</v>
      </c>
      <c r="AA201" s="0" t="n">
        <f aca="true">IF('Reverse Search'!$C$14="Disable",1,IF('Reverse Search'!$I$16="Disable",1,IF($D$2=3,IF($M201=0,0,COUNTIF(INDIRECT("'0.0.2 Pokémon Learnset (Core)'!$D$"&amp;MATCH($E201,'0.0.2 Pokémon Learnset (Core)'!$A$1:$A951,0)&amp;":$FK$"&amp;MATCH($E201,'0.0.2 Pokémon Learnset (Core)'!$A$1:$A951,0)),'Reverse Search'!$J$21)),IF($D$2=2,COUNTIF(INDIRECT("'0.1.1 Pokémon GO Moves'!$B$"&amp;MATCH($E201,'0.1.1 Pokémon GO Moves'!$A$1:$A951,0)&amp;":$R$"&amp;MATCH($E201,'0.1.1 Pokémon GO Moves'!$A$1:$A951,0)),'Reverse Search'!$J$21),COUNTIF(INDIRECT("'0.1.1 Pokémon GO Moves'!$B$"&amp;MATCH($E201,'0.1.1 Pokémon GO Moves'!$A$1:$A951,0)&amp;":$L$"&amp;MATCH($E201,'0.1.1 Pokémon GO Moves'!$A$1:$A951,0)),'Reverse Search'!$J$21)))))</f>
        <v>0</v>
      </c>
      <c r="AB201" s="490"/>
      <c r="AC201" s="260" t="n">
        <f aca="false">IF((Q201+R201+S201+V201+W201+X201+Y201+IF(Z201&gt;=1,1,0)+IF(AA201&gt;=1,1,0))=9,G201&amp;", ",)</f>
        <v>0</v>
      </c>
    </row>
    <row r="202" customFormat="false" ht="15.75" hidden="false" customHeight="false" outlineLevel="0" collapsed="false">
      <c r="A202" s="260"/>
      <c r="B202" s="358"/>
      <c r="C202" s="260"/>
      <c r="D202" s="358"/>
      <c r="E202" s="260" t="n">
        <v>201</v>
      </c>
      <c r="F202" s="260" t="n">
        <f aca="false" t="array" ref="F202:F202">INDEX('0.0.1 Pokémon Dex Data'!$H$3:$H951,MATCH(E202,'0.0.1 Pokémon Dex Data'!$B$3:$B951,0))</f>
        <v>0</v>
      </c>
      <c r="G202" s="0" t="str">
        <f aca="false" t="array" ref="G202:G202">INDEX('0.0.1 Pokémon Dex Data'!$E$3:$E951,MATCH(E202,'0.0.1 Pokémon Dex Data'!$B$3:$B951,0))</f>
        <v>Ariados</v>
      </c>
      <c r="H202" s="0" t="str">
        <f aca="false" t="array" ref="H202:H202">INDEX('0.0.1 Pokémon Dex Data'!$Q$3:$Q951,MATCH(E202,'0.0.1 Pokémon Dex Data'!$B$3:$B951,0))</f>
        <v>Bug</v>
      </c>
      <c r="I202" s="0" t="str">
        <f aca="false" t="array" ref="I202:I202">INDEX('0.0.1 Pokémon Dex Data'!$R$3:$R951,MATCH(E202,'0.0.1 Pokémon Dex Data'!$B$3:$B951,0))</f>
        <v>Poison</v>
      </c>
      <c r="J202" s="260" t="n">
        <f aca="false" t="array" ref="J202:J202">ROUND(INDEX('0.0.1 Pokémon Dex Data'!$S$3:$S951,MATCH($E202,'0.0.1 Pokémon Dex Data'!$B$3:$B951,0))*INDEX('0.0.1 Pokémon Dex Data'!T$3:T951,MATCH($E202,'0.0.1 Pokémon Dex Data'!$B$3:$B951,0)),0)</f>
        <v>161</v>
      </c>
      <c r="K202" s="260" t="n">
        <f aca="false" t="array" ref="K202:K202">ROUND(INDEX('0.0.1 Pokémon Dex Data'!$S$3:$S951,MATCH($E202,'0.0.1 Pokémon Dex Data'!$B$3:$B951,0))*INDEX('0.0.1 Pokémon Dex Data'!U$3:U951,MATCH($E202,'0.0.1 Pokémon Dex Data'!$B$3:$B951,0)),0)</f>
        <v>124</v>
      </c>
      <c r="L202" s="260" t="n">
        <f aca="false" t="array" ref="L202:L202">ROUND(INDEX('0.0.1 Pokémon Dex Data'!$S$3:$S951,MATCH($E202,'0.0.1 Pokémon Dex Data'!$B$3:$B951,0))*INDEX('0.0.1 Pokémon Dex Data'!V$3:V951,MATCH($E202,'0.0.1 Pokémon Dex Data'!$B$3:$B951,0)),0)</f>
        <v>172</v>
      </c>
      <c r="M202" s="260" t="n">
        <f aca="false" t="array" ref="M202:M202">INDEX('0.0.1 Pokémon Dex Data'!$J$3:$J951,MATCH(E202,'0.0.1 Pokémon Dex Data'!$B$3:$B951,0))</f>
        <v>1</v>
      </c>
      <c r="O202" s="490"/>
      <c r="Q202" s="367" t="n">
        <f aca="false">IF('Reverse Search'!$F$4="All (including temporary formes)",1,IF('Reverse Search'!$F$4="Base Pokémon and permanent formes only",IF(F202&lt;=1,1,0),IF(F202=0,1,0)))</f>
        <v>1</v>
      </c>
      <c r="R202" s="0" t="n">
        <f aca="false">IF('Reverse Search'!$C$7="Disable",1,IF('Reverse Search'!$D$9="Disable",1,IF(OR('Reverse Search'!$F$9=H202,'Reverse Search'!$F$9=I202),1,0)))</f>
        <v>1</v>
      </c>
      <c r="S202" s="0" t="n">
        <f aca="false">IF('Reverse Search'!$C$7="Disable",1,IF('Reverse Search'!$D$10="Disable",1,IF(OR('Reverse Search'!$F$10=H202,'Reverse Search'!$F$10=I202),1,0)))</f>
        <v>1</v>
      </c>
      <c r="T202" s="0" t="n">
        <f aca="false">INDEX($B$4:$B$22,MATCH(H202,$A$4:$A$22,0))</f>
        <v>1</v>
      </c>
      <c r="U202" s="0" t="n">
        <f aca="false">IF(ISBLANK(I202),1,INDEX($B$4:$B$22,MATCH(I202,$A$4:$A$22,0)))</f>
        <v>1</v>
      </c>
      <c r="V202" s="367" t="n">
        <f aca="false">IF('Reverse Search'!$C$7="Disable",1,IF('Reverse Search'!$D$11="Disable",1,IF('Reverse Search'!$E$11="Neutral to:",IF(ROUND(T202*U202,2)&lt;=1,1,0),IF(ROUND(T202*U202,2)&lt;1,1,0))))</f>
        <v>1</v>
      </c>
      <c r="W202" s="0" t="n">
        <f aca="false">IF('Reverse Search'!$N$7="Disable",1,IF('Reverse Search'!$I$9="Disable",1,IF('Reverse Search'!$K$9="≥",IF(J202&gt;='Reverse Search'!$L$9,1,0),IF('Reverse Search'!$K$9="≤",IF(J202&lt;='Reverse Search'!$L$9,1,0),IF(J202='Reverse Search'!$L$9,1,0)))))</f>
        <v>1</v>
      </c>
      <c r="X202" s="0" t="n">
        <f aca="false">IF('Reverse Search'!$N$7="Disable",1,IF('Reverse Search'!$I$10="Disable",1,IF('Reverse Search'!$K$10="≥",IF(K202&gt;='Reverse Search'!$L$10,1,0),IF('Reverse Search'!$K$10="≤",IF(K202&lt;='Reverse Search'!$L$10,1,0),IF(K202='Reverse Search'!$L$10,1,0)))))</f>
        <v>1</v>
      </c>
      <c r="Y202" s="367" t="n">
        <f aca="false">IF('Reverse Search'!$N$7="Disable",1,IF('Reverse Search'!$I$11="Disable",1,IF('Reverse Search'!$K$11="≥",IF(L202&gt;='Reverse Search'!$L$11,1,0),IF('Reverse Search'!$K$11="≤",IF(L202&lt;='Reverse Search'!$L$11,1,0),IF(L202='Reverse Search'!$L$11,1,0)))))</f>
        <v>1</v>
      </c>
      <c r="Z202" s="0" t="n">
        <f aca="true">IF('Reverse Search'!$C$14="Disable",1,IF('Reverse Search'!$D$16="Disable",1,IF($C$2=3,IF($M202=0,0,COUNTIF(INDIRECT("'0.0.2 Pokémon Learnset (Core)'!$D$"&amp;MATCH($E202,'0.0.2 Pokémon Learnset (Core)'!$A$1:$A951,0)&amp;":$FK$"&amp;MATCH($E202,'0.0.2 Pokémon Learnset (Core)'!$A$1:$A951,0)),'Reverse Search'!$E$21)),IF($C$2=2,COUNTIF(INDIRECT("'0.1.1 Pokémon GO Moves'!$B$"&amp;MATCH($E202,'0.1.1 Pokémon GO Moves'!$A$1:$A951,0)&amp;":$R$"&amp;MATCH($E202,'0.1.1 Pokémon GO Moves'!$A$1:$A951,0)),'Reverse Search'!$E$21),COUNTIF(INDIRECT("'0.1.1 Pokémon GO Moves'!$B$"&amp;MATCH($E202,'0.1.1 Pokémon GO Moves'!$A$1:$A951,0)&amp;":$L$"&amp;MATCH($E202,'0.1.1 Pokémon GO Moves'!$A$1:$A951,0)),'Reverse Search'!$E$21)))))</f>
        <v>1</v>
      </c>
      <c r="AA202" s="0" t="n">
        <f aca="true">IF('Reverse Search'!$C$14="Disable",1,IF('Reverse Search'!$I$16="Disable",1,IF($D$2=3,IF($M202=0,0,COUNTIF(INDIRECT("'0.0.2 Pokémon Learnset (Core)'!$D$"&amp;MATCH($E202,'0.0.2 Pokémon Learnset (Core)'!$A$1:$A951,0)&amp;":$FK$"&amp;MATCH($E202,'0.0.2 Pokémon Learnset (Core)'!$A$1:$A951,0)),'Reverse Search'!$J$21)),IF($D$2=2,COUNTIF(INDIRECT("'0.1.1 Pokémon GO Moves'!$B$"&amp;MATCH($E202,'0.1.1 Pokémon GO Moves'!$A$1:$A951,0)&amp;":$R$"&amp;MATCH($E202,'0.1.1 Pokémon GO Moves'!$A$1:$A951,0)),'Reverse Search'!$J$21),COUNTIF(INDIRECT("'0.1.1 Pokémon GO Moves'!$B$"&amp;MATCH($E202,'0.1.1 Pokémon GO Moves'!$A$1:$A951,0)&amp;":$L$"&amp;MATCH($E202,'0.1.1 Pokémon GO Moves'!$A$1:$A951,0)),'Reverse Search'!$J$21)))))</f>
        <v>0</v>
      </c>
      <c r="AB202" s="490"/>
      <c r="AC202" s="260" t="n">
        <f aca="false">IF((Q202+R202+S202+V202+W202+X202+Y202+IF(Z202&gt;=1,1,0)+IF(AA202&gt;=1,1,0))=9,G202&amp;", ",)</f>
        <v>0</v>
      </c>
    </row>
    <row r="203" customFormat="false" ht="15.75" hidden="false" customHeight="false" outlineLevel="0" collapsed="false">
      <c r="A203" s="260"/>
      <c r="B203" s="358"/>
      <c r="C203" s="260"/>
      <c r="D203" s="358"/>
      <c r="E203" s="260" t="n">
        <v>202</v>
      </c>
      <c r="F203" s="260" t="n">
        <f aca="false" t="array" ref="F203:F203">INDEX('0.0.1 Pokémon Dex Data'!$H$3:$H951,MATCH(E203,'0.0.1 Pokémon Dex Data'!$B$3:$B951,0))</f>
        <v>0</v>
      </c>
      <c r="G203" s="0" t="str">
        <f aca="false" t="array" ref="G203:G203">INDEX('0.0.1 Pokémon Dex Data'!$E$3:$E951,MATCH(E203,'0.0.1 Pokémon Dex Data'!$B$3:$B951,0))</f>
        <v>Crobat</v>
      </c>
      <c r="H203" s="0" t="str">
        <f aca="false" t="array" ref="H203:H203">INDEX('0.0.1 Pokémon Dex Data'!$Q$3:$Q951,MATCH(E203,'0.0.1 Pokémon Dex Data'!$B$3:$B951,0))</f>
        <v>Poison</v>
      </c>
      <c r="I203" s="0" t="str">
        <f aca="false" t="array" ref="I203:I203">INDEX('0.0.1 Pokémon Dex Data'!$R$3:$R951,MATCH(E203,'0.0.1 Pokémon Dex Data'!$B$3:$B951,0))</f>
        <v>Flying</v>
      </c>
      <c r="J203" s="260" t="n">
        <f aca="false" t="array" ref="J203:J203">ROUND(INDEX('0.0.1 Pokémon Dex Data'!$S$3:$S951,MATCH($E203,'0.0.1 Pokémon Dex Data'!$B$3:$B951,0))*INDEX('0.0.1 Pokémon Dex Data'!T$3:T951,MATCH($E203,'0.0.1 Pokémon Dex Data'!$B$3:$B951,0)),0)</f>
        <v>194</v>
      </c>
      <c r="K203" s="260" t="n">
        <f aca="false" t="array" ref="K203:K203">ROUND(INDEX('0.0.1 Pokémon Dex Data'!$S$3:$S951,MATCH($E203,'0.0.1 Pokémon Dex Data'!$B$3:$B951,0))*INDEX('0.0.1 Pokémon Dex Data'!U$3:U951,MATCH($E203,'0.0.1 Pokémon Dex Data'!$B$3:$B951,0)),0)</f>
        <v>178</v>
      </c>
      <c r="L203" s="260" t="n">
        <f aca="false" t="array" ref="L203:L203">ROUND(INDEX('0.0.1 Pokémon Dex Data'!$S$3:$S951,MATCH($E203,'0.0.1 Pokémon Dex Data'!$B$3:$B951,0))*INDEX('0.0.1 Pokémon Dex Data'!V$3:V951,MATCH($E203,'0.0.1 Pokémon Dex Data'!$B$3:$B951,0)),0)</f>
        <v>198</v>
      </c>
      <c r="M203" s="260" t="n">
        <f aca="false" t="array" ref="M203:M203">INDEX('0.0.1 Pokémon Dex Data'!$J$3:$J951,MATCH(E203,'0.0.1 Pokémon Dex Data'!$B$3:$B951,0))</f>
        <v>1</v>
      </c>
      <c r="O203" s="490"/>
      <c r="Q203" s="367" t="n">
        <f aca="false">IF('Reverse Search'!$F$4="All (including temporary formes)",1,IF('Reverse Search'!$F$4="Base Pokémon and permanent formes only",IF(F203&lt;=1,1,0),IF(F203=0,1,0)))</f>
        <v>1</v>
      </c>
      <c r="R203" s="0" t="n">
        <f aca="false">IF('Reverse Search'!$C$7="Disable",1,IF('Reverse Search'!$D$9="Disable",1,IF(OR('Reverse Search'!$F$9=H203,'Reverse Search'!$F$9=I203),1,0)))</f>
        <v>1</v>
      </c>
      <c r="S203" s="0" t="n">
        <f aca="false">IF('Reverse Search'!$C$7="Disable",1,IF('Reverse Search'!$D$10="Disable",1,IF(OR('Reverse Search'!$F$10=H203,'Reverse Search'!$F$10=I203),1,0)))</f>
        <v>1</v>
      </c>
      <c r="T203" s="0" t="n">
        <f aca="false">INDEX($B$4:$B$22,MATCH(H203,$A$4:$A$22,0))</f>
        <v>1</v>
      </c>
      <c r="U203" s="0" t="n">
        <f aca="false">IF(ISBLANK(I203),1,INDEX($B$4:$B$22,MATCH(I203,$A$4:$A$22,0)))</f>
        <v>1</v>
      </c>
      <c r="V203" s="367" t="n">
        <f aca="false">IF('Reverse Search'!$C$7="Disable",1,IF('Reverse Search'!$D$11="Disable",1,IF('Reverse Search'!$E$11="Neutral to:",IF(ROUND(T203*U203,2)&lt;=1,1,0),IF(ROUND(T203*U203,2)&lt;1,1,0))))</f>
        <v>1</v>
      </c>
      <c r="W203" s="0" t="n">
        <f aca="false">IF('Reverse Search'!$N$7="Disable",1,IF('Reverse Search'!$I$9="Disable",1,IF('Reverse Search'!$K$9="≥",IF(J203&gt;='Reverse Search'!$L$9,1,0),IF('Reverse Search'!$K$9="≤",IF(J203&lt;='Reverse Search'!$L$9,1,0),IF(J203='Reverse Search'!$L$9,1,0)))))</f>
        <v>1</v>
      </c>
      <c r="X203" s="0" t="n">
        <f aca="false">IF('Reverse Search'!$N$7="Disable",1,IF('Reverse Search'!$I$10="Disable",1,IF('Reverse Search'!$K$10="≥",IF(K203&gt;='Reverse Search'!$L$10,1,0),IF('Reverse Search'!$K$10="≤",IF(K203&lt;='Reverse Search'!$L$10,1,0),IF(K203='Reverse Search'!$L$10,1,0)))))</f>
        <v>1</v>
      </c>
      <c r="Y203" s="367" t="n">
        <f aca="false">IF('Reverse Search'!$N$7="Disable",1,IF('Reverse Search'!$I$11="Disable",1,IF('Reverse Search'!$K$11="≥",IF(L203&gt;='Reverse Search'!$L$11,1,0),IF('Reverse Search'!$K$11="≤",IF(L203&lt;='Reverse Search'!$L$11,1,0),IF(L203='Reverse Search'!$L$11,1,0)))))</f>
        <v>1</v>
      </c>
      <c r="Z203" s="0" t="n">
        <f aca="true">IF('Reverse Search'!$C$14="Disable",1,IF('Reverse Search'!$D$16="Disable",1,IF($C$2=3,IF($M203=0,0,COUNTIF(INDIRECT("'0.0.2 Pokémon Learnset (Core)'!$D$"&amp;MATCH($E203,'0.0.2 Pokémon Learnset (Core)'!$A$1:$A951,0)&amp;":$FK$"&amp;MATCH($E203,'0.0.2 Pokémon Learnset (Core)'!$A$1:$A951,0)),'Reverse Search'!$E$21)),IF($C$2=2,COUNTIF(INDIRECT("'0.1.1 Pokémon GO Moves'!$B$"&amp;MATCH($E203,'0.1.1 Pokémon GO Moves'!$A$1:$A951,0)&amp;":$R$"&amp;MATCH($E203,'0.1.1 Pokémon GO Moves'!$A$1:$A951,0)),'Reverse Search'!$E$21),COUNTIF(INDIRECT("'0.1.1 Pokémon GO Moves'!$B$"&amp;MATCH($E203,'0.1.1 Pokémon GO Moves'!$A$1:$A951,0)&amp;":$L$"&amp;MATCH($E203,'0.1.1 Pokémon GO Moves'!$A$1:$A951,0)),'Reverse Search'!$E$21)))))</f>
        <v>1</v>
      </c>
      <c r="AA203" s="0" t="n">
        <f aca="true">IF('Reverse Search'!$C$14="Disable",1,IF('Reverse Search'!$I$16="Disable",1,IF($D$2=3,IF($M203=0,0,COUNTIF(INDIRECT("'0.0.2 Pokémon Learnset (Core)'!$D$"&amp;MATCH($E203,'0.0.2 Pokémon Learnset (Core)'!$A$1:$A951,0)&amp;":$FK$"&amp;MATCH($E203,'0.0.2 Pokémon Learnset (Core)'!$A$1:$A951,0)),'Reverse Search'!$J$21)),IF($D$2=2,COUNTIF(INDIRECT("'0.1.1 Pokémon GO Moves'!$B$"&amp;MATCH($E203,'0.1.1 Pokémon GO Moves'!$A$1:$A951,0)&amp;":$R$"&amp;MATCH($E203,'0.1.1 Pokémon GO Moves'!$A$1:$A951,0)),'Reverse Search'!$J$21),COUNTIF(INDIRECT("'0.1.1 Pokémon GO Moves'!$B$"&amp;MATCH($E203,'0.1.1 Pokémon GO Moves'!$A$1:$A951,0)&amp;":$L$"&amp;MATCH($E203,'0.1.1 Pokémon GO Moves'!$A$1:$A951,0)),'Reverse Search'!$J$21)))))</f>
        <v>0</v>
      </c>
      <c r="AB203" s="490"/>
      <c r="AC203" s="260" t="n">
        <f aca="false">IF((Q203+R203+S203+V203+W203+X203+Y203+IF(Z203&gt;=1,1,0)+IF(AA203&gt;=1,1,0))=9,G203&amp;", ",)</f>
        <v>0</v>
      </c>
    </row>
    <row r="204" customFormat="false" ht="15.75" hidden="false" customHeight="false" outlineLevel="0" collapsed="false">
      <c r="A204" s="260"/>
      <c r="B204" s="358"/>
      <c r="C204" s="260"/>
      <c r="D204" s="358"/>
      <c r="E204" s="260" t="n">
        <v>203</v>
      </c>
      <c r="F204" s="260" t="n">
        <f aca="false" t="array" ref="F204:F204">INDEX('0.0.1 Pokémon Dex Data'!$H$3:$H951,MATCH(E204,'0.0.1 Pokémon Dex Data'!$B$3:$B951,0))</f>
        <v>0</v>
      </c>
      <c r="G204" s="0" t="str">
        <f aca="false" t="array" ref="G204:G204">INDEX('0.0.1 Pokémon Dex Data'!$E$3:$E951,MATCH(E204,'0.0.1 Pokémon Dex Data'!$B$3:$B951,0))</f>
        <v>Chinchou</v>
      </c>
      <c r="H204" s="0" t="str">
        <f aca="false" t="array" ref="H204:H204">INDEX('0.0.1 Pokémon Dex Data'!$Q$3:$Q951,MATCH(E204,'0.0.1 Pokémon Dex Data'!$B$3:$B951,0))</f>
        <v>Water</v>
      </c>
      <c r="I204" s="0" t="str">
        <f aca="false" t="array" ref="I204:I204">INDEX('0.0.1 Pokémon Dex Data'!$R$3:$R951,MATCH(E204,'0.0.1 Pokémon Dex Data'!$B$3:$B951,0))</f>
        <v>Electric</v>
      </c>
      <c r="J204" s="260" t="n">
        <f aca="false" t="array" ref="J204:J204">ROUND(INDEX('0.0.1 Pokémon Dex Data'!$S$3:$S951,MATCH($E204,'0.0.1 Pokémon Dex Data'!$B$3:$B951,0))*INDEX('0.0.1 Pokémon Dex Data'!T$3:T951,MATCH($E204,'0.0.1 Pokémon Dex Data'!$B$3:$B951,0)),0)</f>
        <v>106</v>
      </c>
      <c r="K204" s="260" t="n">
        <f aca="false" t="array" ref="K204:K204">ROUND(INDEX('0.0.1 Pokémon Dex Data'!$S$3:$S951,MATCH($E204,'0.0.1 Pokémon Dex Data'!$B$3:$B951,0))*INDEX('0.0.1 Pokémon Dex Data'!U$3:U951,MATCH($E204,'0.0.1 Pokémon Dex Data'!$B$3:$B951,0)),0)</f>
        <v>97</v>
      </c>
      <c r="L204" s="260" t="n">
        <f aca="false" t="array" ref="L204:L204">ROUND(INDEX('0.0.1 Pokémon Dex Data'!$S$3:$S951,MATCH($E204,'0.0.1 Pokémon Dex Data'!$B$3:$B951,0))*INDEX('0.0.1 Pokémon Dex Data'!V$3:V951,MATCH($E204,'0.0.1 Pokémon Dex Data'!$B$3:$B951,0)),0)</f>
        <v>181</v>
      </c>
      <c r="M204" s="260" t="n">
        <f aca="false" t="array" ref="M204:M204">INDEX('0.0.1 Pokémon Dex Data'!$J$3:$J951,MATCH(E204,'0.0.1 Pokémon Dex Data'!$B$3:$B951,0))</f>
        <v>0</v>
      </c>
      <c r="O204" s="490"/>
      <c r="Q204" s="367" t="n">
        <f aca="false">IF('Reverse Search'!$F$4="All (including temporary formes)",1,IF('Reverse Search'!$F$4="Base Pokémon and permanent formes only",IF(F204&lt;=1,1,0),IF(F204=0,1,0)))</f>
        <v>1</v>
      </c>
      <c r="R204" s="0" t="n">
        <f aca="false">IF('Reverse Search'!$C$7="Disable",1,IF('Reverse Search'!$D$9="Disable",1,IF(OR('Reverse Search'!$F$9=H204,'Reverse Search'!$F$9=I204),1,0)))</f>
        <v>1</v>
      </c>
      <c r="S204" s="0" t="n">
        <f aca="false">IF('Reverse Search'!$C$7="Disable",1,IF('Reverse Search'!$D$10="Disable",1,IF(OR('Reverse Search'!$F$10=H204,'Reverse Search'!$F$10=I204),1,0)))</f>
        <v>1</v>
      </c>
      <c r="T204" s="0" t="n">
        <f aca="false">INDEX($B$4:$B$22,MATCH(H204,$A$4:$A$22,0))</f>
        <v>1</v>
      </c>
      <c r="U204" s="0" t="n">
        <f aca="false">IF(ISBLANK(I204),1,INDEX($B$4:$B$22,MATCH(I204,$A$4:$A$22,0)))</f>
        <v>1</v>
      </c>
      <c r="V204" s="367" t="n">
        <f aca="false">IF('Reverse Search'!$C$7="Disable",1,IF('Reverse Search'!$D$11="Disable",1,IF('Reverse Search'!$E$11="Neutral to:",IF(ROUND(T204*U204,2)&lt;=1,1,0),IF(ROUND(T204*U204,2)&lt;1,1,0))))</f>
        <v>1</v>
      </c>
      <c r="W204" s="0" t="n">
        <f aca="false">IF('Reverse Search'!$N$7="Disable",1,IF('Reverse Search'!$I$9="Disable",1,IF('Reverse Search'!$K$9="≥",IF(J204&gt;='Reverse Search'!$L$9,1,0),IF('Reverse Search'!$K$9="≤",IF(J204&lt;='Reverse Search'!$L$9,1,0),IF(J204='Reverse Search'!$L$9,1,0)))))</f>
        <v>1</v>
      </c>
      <c r="X204" s="0" t="n">
        <f aca="false">IF('Reverse Search'!$N$7="Disable",1,IF('Reverse Search'!$I$10="Disable",1,IF('Reverse Search'!$K$10="≥",IF(K204&gt;='Reverse Search'!$L$10,1,0),IF('Reverse Search'!$K$10="≤",IF(K204&lt;='Reverse Search'!$L$10,1,0),IF(K204='Reverse Search'!$L$10,1,0)))))</f>
        <v>1</v>
      </c>
      <c r="Y204" s="367" t="n">
        <f aca="false">IF('Reverse Search'!$N$7="Disable",1,IF('Reverse Search'!$I$11="Disable",1,IF('Reverse Search'!$K$11="≥",IF(L204&gt;='Reverse Search'!$L$11,1,0),IF('Reverse Search'!$K$11="≤",IF(L204&lt;='Reverse Search'!$L$11,1,0),IF(L204='Reverse Search'!$L$11,1,0)))))</f>
        <v>1</v>
      </c>
      <c r="Z204" s="0" t="n">
        <f aca="true">IF('Reverse Search'!$C$14="Disable",1,IF('Reverse Search'!$D$16="Disable",1,IF($C$2=3,IF($M204=0,0,COUNTIF(INDIRECT("'0.0.2 Pokémon Learnset (Core)'!$D$"&amp;MATCH($E204,'0.0.2 Pokémon Learnset (Core)'!$A$1:$A951,0)&amp;":$FK$"&amp;MATCH($E204,'0.0.2 Pokémon Learnset (Core)'!$A$1:$A951,0)),'Reverse Search'!$E$21)),IF($C$2=2,COUNTIF(INDIRECT("'0.1.1 Pokémon GO Moves'!$B$"&amp;MATCH($E204,'0.1.1 Pokémon GO Moves'!$A$1:$A951,0)&amp;":$R$"&amp;MATCH($E204,'0.1.1 Pokémon GO Moves'!$A$1:$A951,0)),'Reverse Search'!$E$21),COUNTIF(INDIRECT("'0.1.1 Pokémon GO Moves'!$B$"&amp;MATCH($E204,'0.1.1 Pokémon GO Moves'!$A$1:$A951,0)&amp;":$L$"&amp;MATCH($E204,'0.1.1 Pokémon GO Moves'!$A$1:$A951,0)),'Reverse Search'!$E$21)))))</f>
        <v>1</v>
      </c>
      <c r="AA204" s="0" t="n">
        <f aca="true">IF('Reverse Search'!$C$14="Disable",1,IF('Reverse Search'!$I$16="Disable",1,IF($D$2=3,IF($M204=0,0,COUNTIF(INDIRECT("'0.0.2 Pokémon Learnset (Core)'!$D$"&amp;MATCH($E204,'0.0.2 Pokémon Learnset (Core)'!$A$1:$A951,0)&amp;":$FK$"&amp;MATCH($E204,'0.0.2 Pokémon Learnset (Core)'!$A$1:$A951,0)),'Reverse Search'!$J$21)),IF($D$2=2,COUNTIF(INDIRECT("'0.1.1 Pokémon GO Moves'!$B$"&amp;MATCH($E204,'0.1.1 Pokémon GO Moves'!$A$1:$A951,0)&amp;":$R$"&amp;MATCH($E204,'0.1.1 Pokémon GO Moves'!$A$1:$A951,0)),'Reverse Search'!$J$21),COUNTIF(INDIRECT("'0.1.1 Pokémon GO Moves'!$B$"&amp;MATCH($E204,'0.1.1 Pokémon GO Moves'!$A$1:$A951,0)&amp;":$L$"&amp;MATCH($E204,'0.1.1 Pokémon GO Moves'!$A$1:$A951,0)),'Reverse Search'!$J$21)))))</f>
        <v>0</v>
      </c>
      <c r="AB204" s="490"/>
      <c r="AC204" s="260" t="n">
        <f aca="false">IF((Q204+R204+S204+V204+W204+X204+Y204+IF(Z204&gt;=1,1,0)+IF(AA204&gt;=1,1,0))=9,G204&amp;", ",)</f>
        <v>0</v>
      </c>
    </row>
    <row r="205" customFormat="false" ht="15.75" hidden="false" customHeight="false" outlineLevel="0" collapsed="false">
      <c r="A205" s="260"/>
      <c r="B205" s="358"/>
      <c r="C205" s="260"/>
      <c r="D205" s="358"/>
      <c r="E205" s="260" t="n">
        <v>204</v>
      </c>
      <c r="F205" s="260" t="n">
        <f aca="false" t="array" ref="F205:F205">INDEX('0.0.1 Pokémon Dex Data'!$H$3:$H951,MATCH(E205,'0.0.1 Pokémon Dex Data'!$B$3:$B951,0))</f>
        <v>0</v>
      </c>
      <c r="G205" s="0" t="str">
        <f aca="false" t="array" ref="G205:G205">INDEX('0.0.1 Pokémon Dex Data'!$E$3:$E951,MATCH(E205,'0.0.1 Pokémon Dex Data'!$B$3:$B951,0))</f>
        <v>Lanturn</v>
      </c>
      <c r="H205" s="0" t="str">
        <f aca="false" t="array" ref="H205:H205">INDEX('0.0.1 Pokémon Dex Data'!$Q$3:$Q951,MATCH(E205,'0.0.1 Pokémon Dex Data'!$B$3:$B951,0))</f>
        <v>Water</v>
      </c>
      <c r="I205" s="0" t="str">
        <f aca="false" t="array" ref="I205:I205">INDEX('0.0.1 Pokémon Dex Data'!$R$3:$R951,MATCH(E205,'0.0.1 Pokémon Dex Data'!$B$3:$B951,0))</f>
        <v>Electric</v>
      </c>
      <c r="J205" s="260" t="n">
        <f aca="false" t="array" ref="J205:J205">ROUND(INDEX('0.0.1 Pokémon Dex Data'!$S$3:$S951,MATCH($E205,'0.0.1 Pokémon Dex Data'!$B$3:$B951,0))*INDEX('0.0.1 Pokémon Dex Data'!T$3:T951,MATCH($E205,'0.0.1 Pokémon Dex Data'!$B$3:$B951,0)),0)</f>
        <v>146</v>
      </c>
      <c r="K205" s="260" t="n">
        <f aca="false" t="array" ref="K205:K205">ROUND(INDEX('0.0.1 Pokémon Dex Data'!$S$3:$S951,MATCH($E205,'0.0.1 Pokémon Dex Data'!$B$3:$B951,0))*INDEX('0.0.1 Pokémon Dex Data'!U$3:U951,MATCH($E205,'0.0.1 Pokémon Dex Data'!$B$3:$B951,0)),0)</f>
        <v>137</v>
      </c>
      <c r="L205" s="260" t="n">
        <f aca="false" t="array" ref="L205:L205">ROUND(INDEX('0.0.1 Pokémon Dex Data'!$S$3:$S951,MATCH($E205,'0.0.1 Pokémon Dex Data'!$B$3:$B951,0))*INDEX('0.0.1 Pokémon Dex Data'!V$3:V951,MATCH($E205,'0.0.1 Pokémon Dex Data'!$B$3:$B951,0)),0)</f>
        <v>268</v>
      </c>
      <c r="M205" s="260" t="n">
        <f aca="false" t="array" ref="M205:M205">INDEX('0.0.1 Pokémon Dex Data'!$J$3:$J951,MATCH(E205,'0.0.1 Pokémon Dex Data'!$B$3:$B951,0))</f>
        <v>1</v>
      </c>
      <c r="O205" s="490"/>
      <c r="Q205" s="367" t="n">
        <f aca="false">IF('Reverse Search'!$F$4="All (including temporary formes)",1,IF('Reverse Search'!$F$4="Base Pokémon and permanent formes only",IF(F205&lt;=1,1,0),IF(F205=0,1,0)))</f>
        <v>1</v>
      </c>
      <c r="R205" s="0" t="n">
        <f aca="false">IF('Reverse Search'!$C$7="Disable",1,IF('Reverse Search'!$D$9="Disable",1,IF(OR('Reverse Search'!$F$9=H205,'Reverse Search'!$F$9=I205),1,0)))</f>
        <v>1</v>
      </c>
      <c r="S205" s="0" t="n">
        <f aca="false">IF('Reverse Search'!$C$7="Disable",1,IF('Reverse Search'!$D$10="Disable",1,IF(OR('Reverse Search'!$F$10=H205,'Reverse Search'!$F$10=I205),1,0)))</f>
        <v>1</v>
      </c>
      <c r="T205" s="0" t="n">
        <f aca="false">INDEX($B$4:$B$22,MATCH(H205,$A$4:$A$22,0))</f>
        <v>1</v>
      </c>
      <c r="U205" s="0" t="n">
        <f aca="false">IF(ISBLANK(I205),1,INDEX($B$4:$B$22,MATCH(I205,$A$4:$A$22,0)))</f>
        <v>1</v>
      </c>
      <c r="V205" s="367" t="n">
        <f aca="false">IF('Reverse Search'!$C$7="Disable",1,IF('Reverse Search'!$D$11="Disable",1,IF('Reverse Search'!$E$11="Neutral to:",IF(ROUND(T205*U205,2)&lt;=1,1,0),IF(ROUND(T205*U205,2)&lt;1,1,0))))</f>
        <v>1</v>
      </c>
      <c r="W205" s="0" t="n">
        <f aca="false">IF('Reverse Search'!$N$7="Disable",1,IF('Reverse Search'!$I$9="Disable",1,IF('Reverse Search'!$K$9="≥",IF(J205&gt;='Reverse Search'!$L$9,1,0),IF('Reverse Search'!$K$9="≤",IF(J205&lt;='Reverse Search'!$L$9,1,0),IF(J205='Reverse Search'!$L$9,1,0)))))</f>
        <v>1</v>
      </c>
      <c r="X205" s="0" t="n">
        <f aca="false">IF('Reverse Search'!$N$7="Disable",1,IF('Reverse Search'!$I$10="Disable",1,IF('Reverse Search'!$K$10="≥",IF(K205&gt;='Reverse Search'!$L$10,1,0),IF('Reverse Search'!$K$10="≤",IF(K205&lt;='Reverse Search'!$L$10,1,0),IF(K205='Reverse Search'!$L$10,1,0)))))</f>
        <v>1</v>
      </c>
      <c r="Y205" s="367" t="n">
        <f aca="false">IF('Reverse Search'!$N$7="Disable",1,IF('Reverse Search'!$I$11="Disable",1,IF('Reverse Search'!$K$11="≥",IF(L205&gt;='Reverse Search'!$L$11,1,0),IF('Reverse Search'!$K$11="≤",IF(L205&lt;='Reverse Search'!$L$11,1,0),IF(L205='Reverse Search'!$L$11,1,0)))))</f>
        <v>1</v>
      </c>
      <c r="Z205" s="0" t="n">
        <f aca="true">IF('Reverse Search'!$C$14="Disable",1,IF('Reverse Search'!$D$16="Disable",1,IF($C$2=3,IF($M205=0,0,COUNTIF(INDIRECT("'0.0.2 Pokémon Learnset (Core)'!$D$"&amp;MATCH($E205,'0.0.2 Pokémon Learnset (Core)'!$A$1:$A951,0)&amp;":$FK$"&amp;MATCH($E205,'0.0.2 Pokémon Learnset (Core)'!$A$1:$A951,0)),'Reverse Search'!$E$21)),IF($C$2=2,COUNTIF(INDIRECT("'0.1.1 Pokémon GO Moves'!$B$"&amp;MATCH($E205,'0.1.1 Pokémon GO Moves'!$A$1:$A951,0)&amp;":$R$"&amp;MATCH($E205,'0.1.1 Pokémon GO Moves'!$A$1:$A951,0)),'Reverse Search'!$E$21),COUNTIF(INDIRECT("'0.1.1 Pokémon GO Moves'!$B$"&amp;MATCH($E205,'0.1.1 Pokémon GO Moves'!$A$1:$A951,0)&amp;":$L$"&amp;MATCH($E205,'0.1.1 Pokémon GO Moves'!$A$1:$A951,0)),'Reverse Search'!$E$21)))))</f>
        <v>1</v>
      </c>
      <c r="AA205" s="0" t="n">
        <f aca="true">IF('Reverse Search'!$C$14="Disable",1,IF('Reverse Search'!$I$16="Disable",1,IF($D$2=3,IF($M205=0,0,COUNTIF(INDIRECT("'0.0.2 Pokémon Learnset (Core)'!$D$"&amp;MATCH($E205,'0.0.2 Pokémon Learnset (Core)'!$A$1:$A951,0)&amp;":$FK$"&amp;MATCH($E205,'0.0.2 Pokémon Learnset (Core)'!$A$1:$A951,0)),'Reverse Search'!$J$21)),IF($D$2=2,COUNTIF(INDIRECT("'0.1.1 Pokémon GO Moves'!$B$"&amp;MATCH($E205,'0.1.1 Pokémon GO Moves'!$A$1:$A951,0)&amp;":$R$"&amp;MATCH($E205,'0.1.1 Pokémon GO Moves'!$A$1:$A951,0)),'Reverse Search'!$J$21),COUNTIF(INDIRECT("'0.1.1 Pokémon GO Moves'!$B$"&amp;MATCH($E205,'0.1.1 Pokémon GO Moves'!$A$1:$A951,0)&amp;":$L$"&amp;MATCH($E205,'0.1.1 Pokémon GO Moves'!$A$1:$A951,0)),'Reverse Search'!$J$21)))))</f>
        <v>0</v>
      </c>
      <c r="AB205" s="490"/>
      <c r="AC205" s="260" t="n">
        <f aca="false">IF((Q205+R205+S205+V205+W205+X205+Y205+IF(Z205&gt;=1,1,0)+IF(AA205&gt;=1,1,0))=9,G205&amp;", ",)</f>
        <v>0</v>
      </c>
    </row>
    <row r="206" customFormat="false" ht="15.75" hidden="false" customHeight="false" outlineLevel="0" collapsed="false">
      <c r="A206" s="260"/>
      <c r="B206" s="358"/>
      <c r="C206" s="260"/>
      <c r="D206" s="358"/>
      <c r="E206" s="260" t="n">
        <v>205</v>
      </c>
      <c r="F206" s="260" t="n">
        <f aca="false" t="array" ref="F206:F206">INDEX('0.0.1 Pokémon Dex Data'!$H$3:$H951,MATCH(E206,'0.0.1 Pokémon Dex Data'!$B$3:$B951,0))</f>
        <v>0</v>
      </c>
      <c r="G206" s="0" t="str">
        <f aca="false" t="array" ref="G206:G206">INDEX('0.0.1 Pokémon Dex Data'!$E$3:$E951,MATCH(E206,'0.0.1 Pokémon Dex Data'!$B$3:$B951,0))</f>
        <v>Pichu</v>
      </c>
      <c r="H206" s="0" t="str">
        <f aca="false" t="array" ref="H206:H206">INDEX('0.0.1 Pokémon Dex Data'!$Q$3:$Q951,MATCH(E206,'0.0.1 Pokémon Dex Data'!$B$3:$B951,0))</f>
        <v>Electric</v>
      </c>
      <c r="I206" s="0" t="n">
        <f aca="false">INDEX('0.0.1 Pokémon Dex Data'!$R$3:$R951,MATCH(E206,'0.0.1 Pokémon Dex Data'!$B$3:$B951,0))</f>
        <v>0</v>
      </c>
      <c r="J206" s="260" t="n">
        <f aca="false" t="array" ref="J206:J206">ROUND(INDEX('0.0.1 Pokémon Dex Data'!$S$3:$S951,MATCH($E206,'0.0.1 Pokémon Dex Data'!$B$3:$B951,0))*INDEX('0.0.1 Pokémon Dex Data'!T$3:T951,MATCH($E206,'0.0.1 Pokémon Dex Data'!$B$3:$B951,0)),0)</f>
        <v>77</v>
      </c>
      <c r="K206" s="260" t="n">
        <f aca="false" t="array" ref="K206:K206">ROUND(INDEX('0.0.1 Pokémon Dex Data'!$S$3:$S951,MATCH($E206,'0.0.1 Pokémon Dex Data'!$B$3:$B951,0))*INDEX('0.0.1 Pokémon Dex Data'!U$3:U951,MATCH($E206,'0.0.1 Pokémon Dex Data'!$B$3:$B951,0)),0)</f>
        <v>53</v>
      </c>
      <c r="L206" s="260" t="n">
        <f aca="false" t="array" ref="L206:L206">ROUND(INDEX('0.0.1 Pokémon Dex Data'!$S$3:$S951,MATCH($E206,'0.0.1 Pokémon Dex Data'!$B$3:$B951,0))*INDEX('0.0.1 Pokémon Dex Data'!V$3:V951,MATCH($E206,'0.0.1 Pokémon Dex Data'!$B$3:$B951,0)),0)</f>
        <v>85</v>
      </c>
      <c r="M206" s="260" t="n">
        <f aca="false" t="array" ref="M206:M206">INDEX('0.0.1 Pokémon Dex Data'!$J$3:$J951,MATCH(E206,'0.0.1 Pokémon Dex Data'!$B$3:$B951,0))</f>
        <v>0</v>
      </c>
      <c r="O206" s="490"/>
      <c r="Q206" s="367" t="n">
        <f aca="false">IF('Reverse Search'!$F$4="All (including temporary formes)",1,IF('Reverse Search'!$F$4="Base Pokémon and permanent formes only",IF(F206&lt;=1,1,0),IF(F206=0,1,0)))</f>
        <v>1</v>
      </c>
      <c r="R206" s="0" t="n">
        <f aca="false">IF('Reverse Search'!$C$7="Disable",1,IF('Reverse Search'!$D$9="Disable",1,IF(OR('Reverse Search'!$F$9=H206,'Reverse Search'!$F$9=I206),1,0)))</f>
        <v>1</v>
      </c>
      <c r="S206" s="0" t="n">
        <f aca="false">IF('Reverse Search'!$C$7="Disable",1,IF('Reverse Search'!$D$10="Disable",1,IF(OR('Reverse Search'!$F$10=H206,'Reverse Search'!$F$10=I206),1,0)))</f>
        <v>1</v>
      </c>
      <c r="T206" s="0" t="n">
        <f aca="false">INDEX($B$4:$B$22,MATCH(H206,$A$4:$A$22,0))</f>
        <v>1</v>
      </c>
      <c r="U206" s="0" t="e">
        <f aca="false">IF(ISBLANK(I206),1,INDEX($B$4:$B$22,MATCH(I206,$A$4:$A$22,0)))</f>
        <v>#N/A</v>
      </c>
      <c r="V206" s="367" t="n">
        <f aca="false">IF('Reverse Search'!$C$7="Disable",1,IF('Reverse Search'!$D$11="Disable",1,IF('Reverse Search'!$E$11="Neutral to:",IF(ROUND(T206*U206,2)&lt;=1,1,0),IF(ROUND(T206*U206,2)&lt;1,1,0))))</f>
        <v>1</v>
      </c>
      <c r="W206" s="0" t="n">
        <f aca="false">IF('Reverse Search'!$N$7="Disable",1,IF('Reverse Search'!$I$9="Disable",1,IF('Reverse Search'!$K$9="≥",IF(J206&gt;='Reverse Search'!$L$9,1,0),IF('Reverse Search'!$K$9="≤",IF(J206&lt;='Reverse Search'!$L$9,1,0),IF(J206='Reverse Search'!$L$9,1,0)))))</f>
        <v>1</v>
      </c>
      <c r="X206" s="0" t="n">
        <f aca="false">IF('Reverse Search'!$N$7="Disable",1,IF('Reverse Search'!$I$10="Disable",1,IF('Reverse Search'!$K$10="≥",IF(K206&gt;='Reverse Search'!$L$10,1,0),IF('Reverse Search'!$K$10="≤",IF(K206&lt;='Reverse Search'!$L$10,1,0),IF(K206='Reverse Search'!$L$10,1,0)))))</f>
        <v>1</v>
      </c>
      <c r="Y206" s="367" t="n">
        <f aca="false">IF('Reverse Search'!$N$7="Disable",1,IF('Reverse Search'!$I$11="Disable",1,IF('Reverse Search'!$K$11="≥",IF(L206&gt;='Reverse Search'!$L$11,1,0),IF('Reverse Search'!$K$11="≤",IF(L206&lt;='Reverse Search'!$L$11,1,0),IF(L206='Reverse Search'!$L$11,1,0)))))</f>
        <v>1</v>
      </c>
      <c r="Z206" s="0" t="n">
        <f aca="true">IF('Reverse Search'!$C$14="Disable",1,IF('Reverse Search'!$D$16="Disable",1,IF($C$2=3,IF($M206=0,0,COUNTIF(INDIRECT("'0.0.2 Pokémon Learnset (Core)'!$D$"&amp;MATCH($E206,'0.0.2 Pokémon Learnset (Core)'!$A$1:$A951,0)&amp;":$FK$"&amp;MATCH($E206,'0.0.2 Pokémon Learnset (Core)'!$A$1:$A951,0)),'Reverse Search'!$E$21)),IF($C$2=2,COUNTIF(INDIRECT("'0.1.1 Pokémon GO Moves'!$B$"&amp;MATCH($E206,'0.1.1 Pokémon GO Moves'!$A$1:$A951,0)&amp;":$R$"&amp;MATCH($E206,'0.1.1 Pokémon GO Moves'!$A$1:$A951,0)),'Reverse Search'!$E$21),COUNTIF(INDIRECT("'0.1.1 Pokémon GO Moves'!$B$"&amp;MATCH($E206,'0.1.1 Pokémon GO Moves'!$A$1:$A951,0)&amp;":$L$"&amp;MATCH($E206,'0.1.1 Pokémon GO Moves'!$A$1:$A951,0)),'Reverse Search'!$E$21)))))</f>
        <v>1</v>
      </c>
      <c r="AA206" s="0" t="n">
        <f aca="true">IF('Reverse Search'!$C$14="Disable",1,IF('Reverse Search'!$I$16="Disable",1,IF($D$2=3,IF($M206=0,0,COUNTIF(INDIRECT("'0.0.2 Pokémon Learnset (Core)'!$D$"&amp;MATCH($E206,'0.0.2 Pokémon Learnset (Core)'!$A$1:$A951,0)&amp;":$FK$"&amp;MATCH($E206,'0.0.2 Pokémon Learnset (Core)'!$A$1:$A951,0)),'Reverse Search'!$J$21)),IF($D$2=2,COUNTIF(INDIRECT("'0.1.1 Pokémon GO Moves'!$B$"&amp;MATCH($E206,'0.1.1 Pokémon GO Moves'!$A$1:$A951,0)&amp;":$R$"&amp;MATCH($E206,'0.1.1 Pokémon GO Moves'!$A$1:$A951,0)),'Reverse Search'!$J$21),COUNTIF(INDIRECT("'0.1.1 Pokémon GO Moves'!$B$"&amp;MATCH($E206,'0.1.1 Pokémon GO Moves'!$A$1:$A951,0)&amp;":$L$"&amp;MATCH($E206,'0.1.1 Pokémon GO Moves'!$A$1:$A951,0)),'Reverse Search'!$J$21)))))</f>
        <v>0</v>
      </c>
      <c r="AB206" s="490"/>
      <c r="AC206" s="260" t="n">
        <f aca="false">IF((Q206+R206+S206+V206+W206+X206+Y206+IF(Z206&gt;=1,1,0)+IF(AA206&gt;=1,1,0))=9,G206&amp;", ",)</f>
        <v>0</v>
      </c>
    </row>
    <row r="207" customFormat="false" ht="15.75" hidden="false" customHeight="false" outlineLevel="0" collapsed="false">
      <c r="A207" s="260"/>
      <c r="B207" s="358"/>
      <c r="C207" s="260"/>
      <c r="D207" s="358"/>
      <c r="E207" s="260" t="n">
        <v>206</v>
      </c>
      <c r="F207" s="260" t="n">
        <f aca="false" t="array" ref="F207:F207">INDEX('0.0.1 Pokémon Dex Data'!$H$3:$H951,MATCH(E207,'0.0.1 Pokémon Dex Data'!$B$3:$B951,0))</f>
        <v>0</v>
      </c>
      <c r="G207" s="0" t="str">
        <f aca="false" t="array" ref="G207:G207">INDEX('0.0.1 Pokémon Dex Data'!$E$3:$E951,MATCH(E207,'0.0.1 Pokémon Dex Data'!$B$3:$B951,0))</f>
        <v>Cleffa</v>
      </c>
      <c r="H207" s="0" t="str">
        <f aca="false" t="array" ref="H207:H207">INDEX('0.0.1 Pokémon Dex Data'!$Q$3:$Q951,MATCH(E207,'0.0.1 Pokémon Dex Data'!$B$3:$B951,0))</f>
        <v>Fairy</v>
      </c>
      <c r="I207" s="0" t="n">
        <f aca="false">INDEX('0.0.1 Pokémon Dex Data'!$R$3:$R951,MATCH(E207,'0.0.1 Pokémon Dex Data'!$B$3:$B951,0))</f>
        <v>0</v>
      </c>
      <c r="J207" s="260" t="n">
        <f aca="false" t="array" ref="J207:J207">ROUND(INDEX('0.0.1 Pokémon Dex Data'!$S$3:$S951,MATCH($E207,'0.0.1 Pokémon Dex Data'!$B$3:$B951,0))*INDEX('0.0.1 Pokémon Dex Data'!T$3:T951,MATCH($E207,'0.0.1 Pokémon Dex Data'!$B$3:$B951,0)),0)</f>
        <v>75</v>
      </c>
      <c r="K207" s="260" t="n">
        <f aca="false" t="array" ref="K207:K207">ROUND(INDEX('0.0.1 Pokémon Dex Data'!$S$3:$S951,MATCH($E207,'0.0.1 Pokémon Dex Data'!$B$3:$B951,0))*INDEX('0.0.1 Pokémon Dex Data'!U$3:U951,MATCH($E207,'0.0.1 Pokémon Dex Data'!$B$3:$B951,0)),0)</f>
        <v>79</v>
      </c>
      <c r="L207" s="260" t="n">
        <f aca="false" t="array" ref="L207:L207">ROUND(INDEX('0.0.1 Pokémon Dex Data'!$S$3:$S951,MATCH($E207,'0.0.1 Pokémon Dex Data'!$B$3:$B951,0))*INDEX('0.0.1 Pokémon Dex Data'!V$3:V951,MATCH($E207,'0.0.1 Pokémon Dex Data'!$B$3:$B951,0)),0)</f>
        <v>137</v>
      </c>
      <c r="M207" s="260" t="n">
        <f aca="false" t="array" ref="M207:M207">INDEX('0.0.1 Pokémon Dex Data'!$J$3:$J951,MATCH(E207,'0.0.1 Pokémon Dex Data'!$B$3:$B951,0))</f>
        <v>0</v>
      </c>
      <c r="O207" s="490"/>
      <c r="Q207" s="367" t="n">
        <f aca="false">IF('Reverse Search'!$F$4="All (including temporary formes)",1,IF('Reverse Search'!$F$4="Base Pokémon and permanent formes only",IF(F207&lt;=1,1,0),IF(F207=0,1,0)))</f>
        <v>1</v>
      </c>
      <c r="R207" s="0" t="n">
        <f aca="false">IF('Reverse Search'!$C$7="Disable",1,IF('Reverse Search'!$D$9="Disable",1,IF(OR('Reverse Search'!$F$9=H207,'Reverse Search'!$F$9=I207),1,0)))</f>
        <v>1</v>
      </c>
      <c r="S207" s="0" t="n">
        <f aca="false">IF('Reverse Search'!$C$7="Disable",1,IF('Reverse Search'!$D$10="Disable",1,IF(OR('Reverse Search'!$F$10=H207,'Reverse Search'!$F$10=I207),1,0)))</f>
        <v>1</v>
      </c>
      <c r="T207" s="0" t="n">
        <f aca="false">INDEX($B$4:$B$22,MATCH(H207,$A$4:$A$22,0))</f>
        <v>1</v>
      </c>
      <c r="U207" s="0" t="e">
        <f aca="false">IF(ISBLANK(I207),1,INDEX($B$4:$B$22,MATCH(I207,$A$4:$A$22,0)))</f>
        <v>#N/A</v>
      </c>
      <c r="V207" s="367" t="n">
        <f aca="false">IF('Reverse Search'!$C$7="Disable",1,IF('Reverse Search'!$D$11="Disable",1,IF('Reverse Search'!$E$11="Neutral to:",IF(ROUND(T207*U207,2)&lt;=1,1,0),IF(ROUND(T207*U207,2)&lt;1,1,0))))</f>
        <v>1</v>
      </c>
      <c r="W207" s="0" t="n">
        <f aca="false">IF('Reverse Search'!$N$7="Disable",1,IF('Reverse Search'!$I$9="Disable",1,IF('Reverse Search'!$K$9="≥",IF(J207&gt;='Reverse Search'!$L$9,1,0),IF('Reverse Search'!$K$9="≤",IF(J207&lt;='Reverse Search'!$L$9,1,0),IF(J207='Reverse Search'!$L$9,1,0)))))</f>
        <v>1</v>
      </c>
      <c r="X207" s="0" t="n">
        <f aca="false">IF('Reverse Search'!$N$7="Disable",1,IF('Reverse Search'!$I$10="Disable",1,IF('Reverse Search'!$K$10="≥",IF(K207&gt;='Reverse Search'!$L$10,1,0),IF('Reverse Search'!$K$10="≤",IF(K207&lt;='Reverse Search'!$L$10,1,0),IF(K207='Reverse Search'!$L$10,1,0)))))</f>
        <v>1</v>
      </c>
      <c r="Y207" s="367" t="n">
        <f aca="false">IF('Reverse Search'!$N$7="Disable",1,IF('Reverse Search'!$I$11="Disable",1,IF('Reverse Search'!$K$11="≥",IF(L207&gt;='Reverse Search'!$L$11,1,0),IF('Reverse Search'!$K$11="≤",IF(L207&lt;='Reverse Search'!$L$11,1,0),IF(L207='Reverse Search'!$L$11,1,0)))))</f>
        <v>1</v>
      </c>
      <c r="Z207" s="0" t="n">
        <f aca="true">IF('Reverse Search'!$C$14="Disable",1,IF('Reverse Search'!$D$16="Disable",1,IF($C$2=3,IF($M207=0,0,COUNTIF(INDIRECT("'0.0.2 Pokémon Learnset (Core)'!$D$"&amp;MATCH($E207,'0.0.2 Pokémon Learnset (Core)'!$A$1:$A951,0)&amp;":$FK$"&amp;MATCH($E207,'0.0.2 Pokémon Learnset (Core)'!$A$1:$A951,0)),'Reverse Search'!$E$21)),IF($C$2=2,COUNTIF(INDIRECT("'0.1.1 Pokémon GO Moves'!$B$"&amp;MATCH($E207,'0.1.1 Pokémon GO Moves'!$A$1:$A951,0)&amp;":$R$"&amp;MATCH($E207,'0.1.1 Pokémon GO Moves'!$A$1:$A951,0)),'Reverse Search'!$E$21),COUNTIF(INDIRECT("'0.1.1 Pokémon GO Moves'!$B$"&amp;MATCH($E207,'0.1.1 Pokémon GO Moves'!$A$1:$A951,0)&amp;":$L$"&amp;MATCH($E207,'0.1.1 Pokémon GO Moves'!$A$1:$A951,0)),'Reverse Search'!$E$21)))))</f>
        <v>1</v>
      </c>
      <c r="AA207" s="0" t="n">
        <f aca="true">IF('Reverse Search'!$C$14="Disable",1,IF('Reverse Search'!$I$16="Disable",1,IF($D$2=3,IF($M207=0,0,COUNTIF(INDIRECT("'0.0.2 Pokémon Learnset (Core)'!$D$"&amp;MATCH($E207,'0.0.2 Pokémon Learnset (Core)'!$A$1:$A951,0)&amp;":$FK$"&amp;MATCH($E207,'0.0.2 Pokémon Learnset (Core)'!$A$1:$A951,0)),'Reverse Search'!$J$21)),IF($D$2=2,COUNTIF(INDIRECT("'0.1.1 Pokémon GO Moves'!$B$"&amp;MATCH($E207,'0.1.1 Pokémon GO Moves'!$A$1:$A951,0)&amp;":$R$"&amp;MATCH($E207,'0.1.1 Pokémon GO Moves'!$A$1:$A951,0)),'Reverse Search'!$J$21),COUNTIF(INDIRECT("'0.1.1 Pokémon GO Moves'!$B$"&amp;MATCH($E207,'0.1.1 Pokémon GO Moves'!$A$1:$A951,0)&amp;":$L$"&amp;MATCH($E207,'0.1.1 Pokémon GO Moves'!$A$1:$A951,0)),'Reverse Search'!$J$21)))))</f>
        <v>0</v>
      </c>
      <c r="AB207" s="490"/>
      <c r="AC207" s="260" t="n">
        <f aca="false">IF((Q207+R207+S207+V207+W207+X207+Y207+IF(Z207&gt;=1,1,0)+IF(AA207&gt;=1,1,0))=9,G207&amp;", ",)</f>
        <v>0</v>
      </c>
    </row>
    <row r="208" customFormat="false" ht="15.75" hidden="false" customHeight="false" outlineLevel="0" collapsed="false">
      <c r="A208" s="260"/>
      <c r="B208" s="358"/>
      <c r="C208" s="260"/>
      <c r="D208" s="358"/>
      <c r="E208" s="260" t="n">
        <v>207</v>
      </c>
      <c r="F208" s="260" t="n">
        <f aca="false" t="array" ref="F208:F208">INDEX('0.0.1 Pokémon Dex Data'!$H$3:$H951,MATCH(E208,'0.0.1 Pokémon Dex Data'!$B$3:$B951,0))</f>
        <v>0</v>
      </c>
      <c r="G208" s="0" t="str">
        <f aca="false" t="array" ref="G208:G208">INDEX('0.0.1 Pokémon Dex Data'!$E$3:$E951,MATCH(E208,'0.0.1 Pokémon Dex Data'!$B$3:$B951,0))</f>
        <v>Igglybuff</v>
      </c>
      <c r="H208" s="0" t="str">
        <f aca="false" t="array" ref="H208:H208">INDEX('0.0.1 Pokémon Dex Data'!$Q$3:$Q951,MATCH(E208,'0.0.1 Pokémon Dex Data'!$B$3:$B951,0))</f>
        <v>Normal</v>
      </c>
      <c r="I208" s="0" t="str">
        <f aca="false" t="array" ref="I208:I208">INDEX('0.0.1 Pokémon Dex Data'!$R$3:$R951,MATCH(E208,'0.0.1 Pokémon Dex Data'!$B$3:$B951,0))</f>
        <v>Fairy</v>
      </c>
      <c r="J208" s="260" t="n">
        <f aca="false" t="array" ref="J208:J208">ROUND(INDEX('0.0.1 Pokémon Dex Data'!$S$3:$S951,MATCH($E208,'0.0.1 Pokémon Dex Data'!$B$3:$B951,0))*INDEX('0.0.1 Pokémon Dex Data'!T$3:T951,MATCH($E208,'0.0.1 Pokémon Dex Data'!$B$3:$B951,0)),0)</f>
        <v>69</v>
      </c>
      <c r="K208" s="260" t="n">
        <f aca="false" t="array" ref="K208:K208">ROUND(INDEX('0.0.1 Pokémon Dex Data'!$S$3:$S951,MATCH($E208,'0.0.1 Pokémon Dex Data'!$B$3:$B951,0))*INDEX('0.0.1 Pokémon Dex Data'!U$3:U951,MATCH($E208,'0.0.1 Pokémon Dex Data'!$B$3:$B951,0)),0)</f>
        <v>32</v>
      </c>
      <c r="L208" s="260" t="n">
        <f aca="false" t="array" ref="L208:L208">ROUND(INDEX('0.0.1 Pokémon Dex Data'!$S$3:$S951,MATCH($E208,'0.0.1 Pokémon Dex Data'!$B$3:$B951,0))*INDEX('0.0.1 Pokémon Dex Data'!V$3:V951,MATCH($E208,'0.0.1 Pokémon Dex Data'!$B$3:$B951,0)),0)</f>
        <v>207</v>
      </c>
      <c r="M208" s="260" t="n">
        <f aca="false" t="array" ref="M208:M208">INDEX('0.0.1 Pokémon Dex Data'!$J$3:$J951,MATCH(E208,'0.0.1 Pokémon Dex Data'!$B$3:$B951,0))</f>
        <v>0</v>
      </c>
      <c r="O208" s="490"/>
      <c r="Q208" s="367" t="n">
        <f aca="false">IF('Reverse Search'!$F$4="All (including temporary formes)",1,IF('Reverse Search'!$F$4="Base Pokémon and permanent formes only",IF(F208&lt;=1,1,0),IF(F208=0,1,0)))</f>
        <v>1</v>
      </c>
      <c r="R208" s="0" t="n">
        <f aca="false">IF('Reverse Search'!$C$7="Disable",1,IF('Reverse Search'!$D$9="Disable",1,IF(OR('Reverse Search'!$F$9=H208,'Reverse Search'!$F$9=I208),1,0)))</f>
        <v>1</v>
      </c>
      <c r="S208" s="0" t="n">
        <f aca="false">IF('Reverse Search'!$C$7="Disable",1,IF('Reverse Search'!$D$10="Disable",1,IF(OR('Reverse Search'!$F$10=H208,'Reverse Search'!$F$10=I208),1,0)))</f>
        <v>1</v>
      </c>
      <c r="T208" s="0" t="n">
        <f aca="false">INDEX($B$4:$B$22,MATCH(H208,$A$4:$A$22,0))</f>
        <v>1</v>
      </c>
      <c r="U208" s="0" t="n">
        <f aca="false">IF(ISBLANK(I208),1,INDEX($B$4:$B$22,MATCH(I208,$A$4:$A$22,0)))</f>
        <v>1</v>
      </c>
      <c r="V208" s="367" t="n">
        <f aca="false">IF('Reverse Search'!$C$7="Disable",1,IF('Reverse Search'!$D$11="Disable",1,IF('Reverse Search'!$E$11="Neutral to:",IF(ROUND(T208*U208,2)&lt;=1,1,0),IF(ROUND(T208*U208,2)&lt;1,1,0))))</f>
        <v>1</v>
      </c>
      <c r="W208" s="0" t="n">
        <f aca="false">IF('Reverse Search'!$N$7="Disable",1,IF('Reverse Search'!$I$9="Disable",1,IF('Reverse Search'!$K$9="≥",IF(J208&gt;='Reverse Search'!$L$9,1,0),IF('Reverse Search'!$K$9="≤",IF(J208&lt;='Reverse Search'!$L$9,1,0),IF(J208='Reverse Search'!$L$9,1,0)))))</f>
        <v>1</v>
      </c>
      <c r="X208" s="0" t="n">
        <f aca="false">IF('Reverse Search'!$N$7="Disable",1,IF('Reverse Search'!$I$10="Disable",1,IF('Reverse Search'!$K$10="≥",IF(K208&gt;='Reverse Search'!$L$10,1,0),IF('Reverse Search'!$K$10="≤",IF(K208&lt;='Reverse Search'!$L$10,1,0),IF(K208='Reverse Search'!$L$10,1,0)))))</f>
        <v>1</v>
      </c>
      <c r="Y208" s="367" t="n">
        <f aca="false">IF('Reverse Search'!$N$7="Disable",1,IF('Reverse Search'!$I$11="Disable",1,IF('Reverse Search'!$K$11="≥",IF(L208&gt;='Reverse Search'!$L$11,1,0),IF('Reverse Search'!$K$11="≤",IF(L208&lt;='Reverse Search'!$L$11,1,0),IF(L208='Reverse Search'!$L$11,1,0)))))</f>
        <v>1</v>
      </c>
      <c r="Z208" s="0" t="n">
        <f aca="true">IF('Reverse Search'!$C$14="Disable",1,IF('Reverse Search'!$D$16="Disable",1,IF($C$2=3,IF($M208=0,0,COUNTIF(INDIRECT("'0.0.2 Pokémon Learnset (Core)'!$D$"&amp;MATCH($E208,'0.0.2 Pokémon Learnset (Core)'!$A$1:$A951,0)&amp;":$FK$"&amp;MATCH($E208,'0.0.2 Pokémon Learnset (Core)'!$A$1:$A951,0)),'Reverse Search'!$E$21)),IF($C$2=2,COUNTIF(INDIRECT("'0.1.1 Pokémon GO Moves'!$B$"&amp;MATCH($E208,'0.1.1 Pokémon GO Moves'!$A$1:$A951,0)&amp;":$R$"&amp;MATCH($E208,'0.1.1 Pokémon GO Moves'!$A$1:$A951,0)),'Reverse Search'!$E$21),COUNTIF(INDIRECT("'0.1.1 Pokémon GO Moves'!$B$"&amp;MATCH($E208,'0.1.1 Pokémon GO Moves'!$A$1:$A951,0)&amp;":$L$"&amp;MATCH($E208,'0.1.1 Pokémon GO Moves'!$A$1:$A951,0)),'Reverse Search'!$E$21)))))</f>
        <v>1</v>
      </c>
      <c r="AA208" s="0" t="n">
        <f aca="true">IF('Reverse Search'!$C$14="Disable",1,IF('Reverse Search'!$I$16="Disable",1,IF($D$2=3,IF($M208=0,0,COUNTIF(INDIRECT("'0.0.2 Pokémon Learnset (Core)'!$D$"&amp;MATCH($E208,'0.0.2 Pokémon Learnset (Core)'!$A$1:$A951,0)&amp;":$FK$"&amp;MATCH($E208,'0.0.2 Pokémon Learnset (Core)'!$A$1:$A951,0)),'Reverse Search'!$J$21)),IF($D$2=2,COUNTIF(INDIRECT("'0.1.1 Pokémon GO Moves'!$B$"&amp;MATCH($E208,'0.1.1 Pokémon GO Moves'!$A$1:$A951,0)&amp;":$R$"&amp;MATCH($E208,'0.1.1 Pokémon GO Moves'!$A$1:$A951,0)),'Reverse Search'!$J$21),COUNTIF(INDIRECT("'0.1.1 Pokémon GO Moves'!$B$"&amp;MATCH($E208,'0.1.1 Pokémon GO Moves'!$A$1:$A951,0)&amp;":$L$"&amp;MATCH($E208,'0.1.1 Pokémon GO Moves'!$A$1:$A951,0)),'Reverse Search'!$J$21)))))</f>
        <v>0</v>
      </c>
      <c r="AB208" s="490"/>
      <c r="AC208" s="260" t="n">
        <f aca="false">IF((Q208+R208+S208+V208+W208+X208+Y208+IF(Z208&gt;=1,1,0)+IF(AA208&gt;=1,1,0))=9,G208&amp;", ",)</f>
        <v>0</v>
      </c>
    </row>
    <row r="209" customFormat="false" ht="15.75" hidden="false" customHeight="false" outlineLevel="0" collapsed="false">
      <c r="A209" s="260"/>
      <c r="B209" s="358"/>
      <c r="C209" s="260"/>
      <c r="D209" s="358"/>
      <c r="E209" s="260" t="n">
        <v>208</v>
      </c>
      <c r="F209" s="260" t="n">
        <f aca="false" t="array" ref="F209:F209">INDEX('0.0.1 Pokémon Dex Data'!$H$3:$H951,MATCH(E209,'0.0.1 Pokémon Dex Data'!$B$3:$B951,0))</f>
        <v>0</v>
      </c>
      <c r="G209" s="0" t="str">
        <f aca="false" t="array" ref="G209:G209">INDEX('0.0.1 Pokémon Dex Data'!$E$3:$E951,MATCH(E209,'0.0.1 Pokémon Dex Data'!$B$3:$B951,0))</f>
        <v>Togepi</v>
      </c>
      <c r="H209" s="0" t="str">
        <f aca="false" t="array" ref="H209:H209">INDEX('0.0.1 Pokémon Dex Data'!$Q$3:$Q951,MATCH(E209,'0.0.1 Pokémon Dex Data'!$B$3:$B951,0))</f>
        <v>Fairy</v>
      </c>
      <c r="I209" s="0" t="n">
        <f aca="false">INDEX('0.0.1 Pokémon Dex Data'!$R$3:$R951,MATCH(E209,'0.0.1 Pokémon Dex Data'!$B$3:$B951,0))</f>
        <v>0</v>
      </c>
      <c r="J209" s="260" t="n">
        <f aca="false" t="array" ref="J209:J209">ROUND(INDEX('0.0.1 Pokémon Dex Data'!$S$3:$S951,MATCH($E209,'0.0.1 Pokémon Dex Data'!$B$3:$B951,0))*INDEX('0.0.1 Pokémon Dex Data'!T$3:T951,MATCH($E209,'0.0.1 Pokémon Dex Data'!$B$3:$B951,0)),0)</f>
        <v>67</v>
      </c>
      <c r="K209" s="260" t="n">
        <f aca="false" t="array" ref="K209:K209">ROUND(INDEX('0.0.1 Pokémon Dex Data'!$S$3:$S951,MATCH($E209,'0.0.1 Pokémon Dex Data'!$B$3:$B951,0))*INDEX('0.0.1 Pokémon Dex Data'!U$3:U951,MATCH($E209,'0.0.1 Pokémon Dex Data'!$B$3:$B951,0)),0)</f>
        <v>116</v>
      </c>
      <c r="L209" s="260" t="n">
        <f aca="false" t="array" ref="L209:L209">ROUND(INDEX('0.0.1 Pokémon Dex Data'!$S$3:$S951,MATCH($E209,'0.0.1 Pokémon Dex Data'!$B$3:$B951,0))*INDEX('0.0.1 Pokémon Dex Data'!V$3:V951,MATCH($E209,'0.0.1 Pokémon Dex Data'!$B$3:$B951,0)),0)</f>
        <v>111</v>
      </c>
      <c r="M209" s="260" t="n">
        <f aca="false" t="array" ref="M209:M209">INDEX('0.0.1 Pokémon Dex Data'!$J$3:$J951,MATCH(E209,'0.0.1 Pokémon Dex Data'!$B$3:$B951,0))</f>
        <v>0</v>
      </c>
      <c r="O209" s="490"/>
      <c r="Q209" s="367" t="n">
        <f aca="false">IF('Reverse Search'!$F$4="All (including temporary formes)",1,IF('Reverse Search'!$F$4="Base Pokémon and permanent formes only",IF(F209&lt;=1,1,0),IF(F209=0,1,0)))</f>
        <v>1</v>
      </c>
      <c r="R209" s="0" t="n">
        <f aca="false">IF('Reverse Search'!$C$7="Disable",1,IF('Reverse Search'!$D$9="Disable",1,IF(OR('Reverse Search'!$F$9=H209,'Reverse Search'!$F$9=I209),1,0)))</f>
        <v>1</v>
      </c>
      <c r="S209" s="0" t="n">
        <f aca="false">IF('Reverse Search'!$C$7="Disable",1,IF('Reverse Search'!$D$10="Disable",1,IF(OR('Reverse Search'!$F$10=H209,'Reverse Search'!$F$10=I209),1,0)))</f>
        <v>1</v>
      </c>
      <c r="T209" s="0" t="n">
        <f aca="false">INDEX($B$4:$B$22,MATCH(H209,$A$4:$A$22,0))</f>
        <v>1</v>
      </c>
      <c r="U209" s="0" t="e">
        <f aca="false">IF(ISBLANK(I209),1,INDEX($B$4:$B$22,MATCH(I209,$A$4:$A$22,0)))</f>
        <v>#N/A</v>
      </c>
      <c r="V209" s="367" t="n">
        <f aca="false">IF('Reverse Search'!$C$7="Disable",1,IF('Reverse Search'!$D$11="Disable",1,IF('Reverse Search'!$E$11="Neutral to:",IF(ROUND(T209*U209,2)&lt;=1,1,0),IF(ROUND(T209*U209,2)&lt;1,1,0))))</f>
        <v>1</v>
      </c>
      <c r="W209" s="0" t="n">
        <f aca="false">IF('Reverse Search'!$N$7="Disable",1,IF('Reverse Search'!$I$9="Disable",1,IF('Reverse Search'!$K$9="≥",IF(J209&gt;='Reverse Search'!$L$9,1,0),IF('Reverse Search'!$K$9="≤",IF(J209&lt;='Reverse Search'!$L$9,1,0),IF(J209='Reverse Search'!$L$9,1,0)))))</f>
        <v>1</v>
      </c>
      <c r="X209" s="0" t="n">
        <f aca="false">IF('Reverse Search'!$N$7="Disable",1,IF('Reverse Search'!$I$10="Disable",1,IF('Reverse Search'!$K$10="≥",IF(K209&gt;='Reverse Search'!$L$10,1,0),IF('Reverse Search'!$K$10="≤",IF(K209&lt;='Reverse Search'!$L$10,1,0),IF(K209='Reverse Search'!$L$10,1,0)))))</f>
        <v>1</v>
      </c>
      <c r="Y209" s="367" t="n">
        <f aca="false">IF('Reverse Search'!$N$7="Disable",1,IF('Reverse Search'!$I$11="Disable",1,IF('Reverse Search'!$K$11="≥",IF(L209&gt;='Reverse Search'!$L$11,1,0),IF('Reverse Search'!$K$11="≤",IF(L209&lt;='Reverse Search'!$L$11,1,0),IF(L209='Reverse Search'!$L$11,1,0)))))</f>
        <v>1</v>
      </c>
      <c r="Z209" s="0" t="n">
        <f aca="true">IF('Reverse Search'!$C$14="Disable",1,IF('Reverse Search'!$D$16="Disable",1,IF($C$2=3,IF($M209=0,0,COUNTIF(INDIRECT("'0.0.2 Pokémon Learnset (Core)'!$D$"&amp;MATCH($E209,'0.0.2 Pokémon Learnset (Core)'!$A$1:$A951,0)&amp;":$FK$"&amp;MATCH($E209,'0.0.2 Pokémon Learnset (Core)'!$A$1:$A951,0)),'Reverse Search'!$E$21)),IF($C$2=2,COUNTIF(INDIRECT("'0.1.1 Pokémon GO Moves'!$B$"&amp;MATCH($E209,'0.1.1 Pokémon GO Moves'!$A$1:$A951,0)&amp;":$R$"&amp;MATCH($E209,'0.1.1 Pokémon GO Moves'!$A$1:$A951,0)),'Reverse Search'!$E$21),COUNTIF(INDIRECT("'0.1.1 Pokémon GO Moves'!$B$"&amp;MATCH($E209,'0.1.1 Pokémon GO Moves'!$A$1:$A951,0)&amp;":$L$"&amp;MATCH($E209,'0.1.1 Pokémon GO Moves'!$A$1:$A951,0)),'Reverse Search'!$E$21)))))</f>
        <v>1</v>
      </c>
      <c r="AA209" s="0" t="n">
        <f aca="true">IF('Reverse Search'!$C$14="Disable",1,IF('Reverse Search'!$I$16="Disable",1,IF($D$2=3,IF($M209=0,0,COUNTIF(INDIRECT("'0.0.2 Pokémon Learnset (Core)'!$D$"&amp;MATCH($E209,'0.0.2 Pokémon Learnset (Core)'!$A$1:$A951,0)&amp;":$FK$"&amp;MATCH($E209,'0.0.2 Pokémon Learnset (Core)'!$A$1:$A951,0)),'Reverse Search'!$J$21)),IF($D$2=2,COUNTIF(INDIRECT("'0.1.1 Pokémon GO Moves'!$B$"&amp;MATCH($E209,'0.1.1 Pokémon GO Moves'!$A$1:$A951,0)&amp;":$R$"&amp;MATCH($E209,'0.1.1 Pokémon GO Moves'!$A$1:$A951,0)),'Reverse Search'!$J$21),COUNTIF(INDIRECT("'0.1.1 Pokémon GO Moves'!$B$"&amp;MATCH($E209,'0.1.1 Pokémon GO Moves'!$A$1:$A951,0)&amp;":$L$"&amp;MATCH($E209,'0.1.1 Pokémon GO Moves'!$A$1:$A951,0)),'Reverse Search'!$J$21)))))</f>
        <v>0</v>
      </c>
      <c r="AB209" s="490"/>
      <c r="AC209" s="260" t="n">
        <f aca="false">IF((Q209+R209+S209+V209+W209+X209+Y209+IF(Z209&gt;=1,1,0)+IF(AA209&gt;=1,1,0))=9,G209&amp;", ",)</f>
        <v>0</v>
      </c>
    </row>
    <row r="210" customFormat="false" ht="15.75" hidden="false" customHeight="false" outlineLevel="0" collapsed="false">
      <c r="A210" s="260"/>
      <c r="B210" s="358"/>
      <c r="C210" s="260"/>
      <c r="D210" s="358"/>
      <c r="E210" s="260" t="n">
        <v>209</v>
      </c>
      <c r="F210" s="260" t="n">
        <f aca="false" t="array" ref="F210:F210">INDEX('0.0.1 Pokémon Dex Data'!$H$3:$H951,MATCH(E210,'0.0.1 Pokémon Dex Data'!$B$3:$B951,0))</f>
        <v>0</v>
      </c>
      <c r="G210" s="0" t="str">
        <f aca="false" t="array" ref="G210:G210">INDEX('0.0.1 Pokémon Dex Data'!$E$3:$E951,MATCH(E210,'0.0.1 Pokémon Dex Data'!$B$3:$B951,0))</f>
        <v>Togetic</v>
      </c>
      <c r="H210" s="0" t="str">
        <f aca="false" t="array" ref="H210:H210">INDEX('0.0.1 Pokémon Dex Data'!$Q$3:$Q951,MATCH(E210,'0.0.1 Pokémon Dex Data'!$B$3:$B951,0))</f>
        <v>Fairy</v>
      </c>
      <c r="I210" s="0" t="str">
        <f aca="false" t="array" ref="I210:I210">INDEX('0.0.1 Pokémon Dex Data'!$R$3:$R951,MATCH(E210,'0.0.1 Pokémon Dex Data'!$B$3:$B951,0))</f>
        <v>Flying</v>
      </c>
      <c r="J210" s="260" t="n">
        <f aca="false" t="array" ref="J210:J210">ROUND(INDEX('0.0.1 Pokémon Dex Data'!$S$3:$S951,MATCH($E210,'0.0.1 Pokémon Dex Data'!$B$3:$B951,0))*INDEX('0.0.1 Pokémon Dex Data'!T$3:T951,MATCH($E210,'0.0.1 Pokémon Dex Data'!$B$3:$B951,0)),0)</f>
        <v>140</v>
      </c>
      <c r="K210" s="260" t="n">
        <f aca="false" t="array" ref="K210:K210">ROUND(INDEX('0.0.1 Pokémon Dex Data'!$S$3:$S951,MATCH($E210,'0.0.1 Pokémon Dex Data'!$B$3:$B951,0))*INDEX('0.0.1 Pokémon Dex Data'!U$3:U951,MATCH($E210,'0.0.1 Pokémon Dex Data'!$B$3:$B951,0)),0)</f>
        <v>181</v>
      </c>
      <c r="L210" s="260" t="n">
        <f aca="false" t="array" ref="L210:L210">ROUND(INDEX('0.0.1 Pokémon Dex Data'!$S$3:$S951,MATCH($E210,'0.0.1 Pokémon Dex Data'!$B$3:$B951,0))*INDEX('0.0.1 Pokémon Dex Data'!V$3:V951,MATCH($E210,'0.0.1 Pokémon Dex Data'!$B$3:$B951,0)),0)</f>
        <v>146</v>
      </c>
      <c r="M210" s="260" t="n">
        <f aca="false" t="array" ref="M210:M210">INDEX('0.0.1 Pokémon Dex Data'!$J$3:$J951,MATCH(E210,'0.0.1 Pokémon Dex Data'!$B$3:$B951,0))</f>
        <v>1</v>
      </c>
      <c r="O210" s="490"/>
      <c r="Q210" s="367" t="n">
        <f aca="false">IF('Reverse Search'!$F$4="All (including temporary formes)",1,IF('Reverse Search'!$F$4="Base Pokémon and permanent formes only",IF(F210&lt;=1,1,0),IF(F210=0,1,0)))</f>
        <v>1</v>
      </c>
      <c r="R210" s="0" t="n">
        <f aca="false">IF('Reverse Search'!$C$7="Disable",1,IF('Reverse Search'!$D$9="Disable",1,IF(OR('Reverse Search'!$F$9=H210,'Reverse Search'!$F$9=I210),1,0)))</f>
        <v>1</v>
      </c>
      <c r="S210" s="0" t="n">
        <f aca="false">IF('Reverse Search'!$C$7="Disable",1,IF('Reverse Search'!$D$10="Disable",1,IF(OR('Reverse Search'!$F$10=H210,'Reverse Search'!$F$10=I210),1,0)))</f>
        <v>1</v>
      </c>
      <c r="T210" s="0" t="n">
        <f aca="false">INDEX($B$4:$B$22,MATCH(H210,$A$4:$A$22,0))</f>
        <v>1</v>
      </c>
      <c r="U210" s="0" t="n">
        <f aca="false">IF(ISBLANK(I210),1,INDEX($B$4:$B$22,MATCH(I210,$A$4:$A$22,0)))</f>
        <v>1</v>
      </c>
      <c r="V210" s="367" t="n">
        <f aca="false">IF('Reverse Search'!$C$7="Disable",1,IF('Reverse Search'!$D$11="Disable",1,IF('Reverse Search'!$E$11="Neutral to:",IF(ROUND(T210*U210,2)&lt;=1,1,0),IF(ROUND(T210*U210,2)&lt;1,1,0))))</f>
        <v>1</v>
      </c>
      <c r="W210" s="0" t="n">
        <f aca="false">IF('Reverse Search'!$N$7="Disable",1,IF('Reverse Search'!$I$9="Disable",1,IF('Reverse Search'!$K$9="≥",IF(J210&gt;='Reverse Search'!$L$9,1,0),IF('Reverse Search'!$K$9="≤",IF(J210&lt;='Reverse Search'!$L$9,1,0),IF(J210='Reverse Search'!$L$9,1,0)))))</f>
        <v>1</v>
      </c>
      <c r="X210" s="0" t="n">
        <f aca="false">IF('Reverse Search'!$N$7="Disable",1,IF('Reverse Search'!$I$10="Disable",1,IF('Reverse Search'!$K$10="≥",IF(K210&gt;='Reverse Search'!$L$10,1,0),IF('Reverse Search'!$K$10="≤",IF(K210&lt;='Reverse Search'!$L$10,1,0),IF(K210='Reverse Search'!$L$10,1,0)))))</f>
        <v>1</v>
      </c>
      <c r="Y210" s="367" t="n">
        <f aca="false">IF('Reverse Search'!$N$7="Disable",1,IF('Reverse Search'!$I$11="Disable",1,IF('Reverse Search'!$K$11="≥",IF(L210&gt;='Reverse Search'!$L$11,1,0),IF('Reverse Search'!$K$11="≤",IF(L210&lt;='Reverse Search'!$L$11,1,0),IF(L210='Reverse Search'!$L$11,1,0)))))</f>
        <v>1</v>
      </c>
      <c r="Z210" s="0" t="n">
        <f aca="true">IF('Reverse Search'!$C$14="Disable",1,IF('Reverse Search'!$D$16="Disable",1,IF($C$2=3,IF($M210=0,0,COUNTIF(INDIRECT("'0.0.2 Pokémon Learnset (Core)'!$D$"&amp;MATCH($E210,'0.0.2 Pokémon Learnset (Core)'!$A$1:$A951,0)&amp;":$FK$"&amp;MATCH($E210,'0.0.2 Pokémon Learnset (Core)'!$A$1:$A951,0)),'Reverse Search'!$E$21)),IF($C$2=2,COUNTIF(INDIRECT("'0.1.1 Pokémon GO Moves'!$B$"&amp;MATCH($E210,'0.1.1 Pokémon GO Moves'!$A$1:$A951,0)&amp;":$R$"&amp;MATCH($E210,'0.1.1 Pokémon GO Moves'!$A$1:$A951,0)),'Reverse Search'!$E$21),COUNTIF(INDIRECT("'0.1.1 Pokémon GO Moves'!$B$"&amp;MATCH($E210,'0.1.1 Pokémon GO Moves'!$A$1:$A951,0)&amp;":$L$"&amp;MATCH($E210,'0.1.1 Pokémon GO Moves'!$A$1:$A951,0)),'Reverse Search'!$E$21)))))</f>
        <v>1</v>
      </c>
      <c r="AA210" s="0" t="n">
        <f aca="true">IF('Reverse Search'!$C$14="Disable",1,IF('Reverse Search'!$I$16="Disable",1,IF($D$2=3,IF($M210=0,0,COUNTIF(INDIRECT("'0.0.2 Pokémon Learnset (Core)'!$D$"&amp;MATCH($E210,'0.0.2 Pokémon Learnset (Core)'!$A$1:$A951,0)&amp;":$FK$"&amp;MATCH($E210,'0.0.2 Pokémon Learnset (Core)'!$A$1:$A951,0)),'Reverse Search'!$J$21)),IF($D$2=2,COUNTIF(INDIRECT("'0.1.1 Pokémon GO Moves'!$B$"&amp;MATCH($E210,'0.1.1 Pokémon GO Moves'!$A$1:$A951,0)&amp;":$R$"&amp;MATCH($E210,'0.1.1 Pokémon GO Moves'!$A$1:$A951,0)),'Reverse Search'!$J$21),COUNTIF(INDIRECT("'0.1.1 Pokémon GO Moves'!$B$"&amp;MATCH($E210,'0.1.1 Pokémon GO Moves'!$A$1:$A951,0)&amp;":$L$"&amp;MATCH($E210,'0.1.1 Pokémon GO Moves'!$A$1:$A951,0)),'Reverse Search'!$J$21)))))</f>
        <v>0</v>
      </c>
      <c r="AB210" s="490"/>
      <c r="AC210" s="260" t="n">
        <f aca="false">IF((Q210+R210+S210+V210+W210+X210+Y210+IF(Z210&gt;=1,1,0)+IF(AA210&gt;=1,1,0))=9,G210&amp;", ",)</f>
        <v>0</v>
      </c>
    </row>
    <row r="211" customFormat="false" ht="15.75" hidden="false" customHeight="false" outlineLevel="0" collapsed="false">
      <c r="A211" s="260"/>
      <c r="B211" s="358"/>
      <c r="C211" s="260"/>
      <c r="D211" s="358"/>
      <c r="E211" s="260" t="n">
        <v>210</v>
      </c>
      <c r="F211" s="260" t="n">
        <f aca="false" t="array" ref="F211:F211">INDEX('0.0.1 Pokémon Dex Data'!$H$3:$H951,MATCH(E211,'0.0.1 Pokémon Dex Data'!$B$3:$B951,0))</f>
        <v>0</v>
      </c>
      <c r="G211" s="0" t="str">
        <f aca="false" t="array" ref="G211:G211">INDEX('0.0.1 Pokémon Dex Data'!$E$3:$E951,MATCH(E211,'0.0.1 Pokémon Dex Data'!$B$3:$B951,0))</f>
        <v>Natu</v>
      </c>
      <c r="H211" s="0" t="str">
        <f aca="false" t="array" ref="H211:H211">INDEX('0.0.1 Pokémon Dex Data'!$Q$3:$Q951,MATCH(E211,'0.0.1 Pokémon Dex Data'!$B$3:$B951,0))</f>
        <v>Psychic</v>
      </c>
      <c r="I211" s="0" t="str">
        <f aca="false" t="array" ref="I211:I211">INDEX('0.0.1 Pokémon Dex Data'!$R$3:$R951,MATCH(E211,'0.0.1 Pokémon Dex Data'!$B$3:$B951,0))</f>
        <v>Flying</v>
      </c>
      <c r="J211" s="260" t="n">
        <f aca="false" t="array" ref="J211:J211">ROUND(INDEX('0.0.1 Pokémon Dex Data'!$S$3:$S951,MATCH($E211,'0.0.1 Pokémon Dex Data'!$B$3:$B951,0))*INDEX('0.0.1 Pokémon Dex Data'!T$3:T951,MATCH($E211,'0.0.1 Pokémon Dex Data'!$B$3:$B951,0)),0)</f>
        <v>134</v>
      </c>
      <c r="K211" s="260" t="n">
        <f aca="false" t="array" ref="K211:K211">ROUND(INDEX('0.0.1 Pokémon Dex Data'!$S$3:$S951,MATCH($E211,'0.0.1 Pokémon Dex Data'!$B$3:$B951,0))*INDEX('0.0.1 Pokémon Dex Data'!U$3:U951,MATCH($E211,'0.0.1 Pokémon Dex Data'!$B$3:$B951,0)),0)</f>
        <v>89</v>
      </c>
      <c r="L211" s="260" t="n">
        <f aca="false" t="array" ref="L211:L211">ROUND(INDEX('0.0.1 Pokémon Dex Data'!$S$3:$S951,MATCH($E211,'0.0.1 Pokémon Dex Data'!$B$3:$B951,0))*INDEX('0.0.1 Pokémon Dex Data'!V$3:V951,MATCH($E211,'0.0.1 Pokémon Dex Data'!$B$3:$B951,0)),0)</f>
        <v>120</v>
      </c>
      <c r="M211" s="260" t="n">
        <f aca="false" t="array" ref="M211:M211">INDEX('0.0.1 Pokémon Dex Data'!$J$3:$J951,MATCH(E211,'0.0.1 Pokémon Dex Data'!$B$3:$B951,0))</f>
        <v>0</v>
      </c>
      <c r="O211" s="490"/>
      <c r="Q211" s="367" t="n">
        <f aca="false">IF('Reverse Search'!$F$4="All (including temporary formes)",1,IF('Reverse Search'!$F$4="Base Pokémon and permanent formes only",IF(F211&lt;=1,1,0),IF(F211=0,1,0)))</f>
        <v>1</v>
      </c>
      <c r="R211" s="0" t="n">
        <f aca="false">IF('Reverse Search'!$C$7="Disable",1,IF('Reverse Search'!$D$9="Disable",1,IF(OR('Reverse Search'!$F$9=H211,'Reverse Search'!$F$9=I211),1,0)))</f>
        <v>1</v>
      </c>
      <c r="S211" s="0" t="n">
        <f aca="false">IF('Reverse Search'!$C$7="Disable",1,IF('Reverse Search'!$D$10="Disable",1,IF(OR('Reverse Search'!$F$10=H211,'Reverse Search'!$F$10=I211),1,0)))</f>
        <v>1</v>
      </c>
      <c r="T211" s="0" t="n">
        <f aca="false">INDEX($B$4:$B$22,MATCH(H211,$A$4:$A$22,0))</f>
        <v>1</v>
      </c>
      <c r="U211" s="0" t="n">
        <f aca="false">IF(ISBLANK(I211),1,INDEX($B$4:$B$22,MATCH(I211,$A$4:$A$22,0)))</f>
        <v>1</v>
      </c>
      <c r="V211" s="367" t="n">
        <f aca="false">IF('Reverse Search'!$C$7="Disable",1,IF('Reverse Search'!$D$11="Disable",1,IF('Reverse Search'!$E$11="Neutral to:",IF(ROUND(T211*U211,2)&lt;=1,1,0),IF(ROUND(T211*U211,2)&lt;1,1,0))))</f>
        <v>1</v>
      </c>
      <c r="W211" s="0" t="n">
        <f aca="false">IF('Reverse Search'!$N$7="Disable",1,IF('Reverse Search'!$I$9="Disable",1,IF('Reverse Search'!$K$9="≥",IF(J211&gt;='Reverse Search'!$L$9,1,0),IF('Reverse Search'!$K$9="≤",IF(J211&lt;='Reverse Search'!$L$9,1,0),IF(J211='Reverse Search'!$L$9,1,0)))))</f>
        <v>1</v>
      </c>
      <c r="X211" s="0" t="n">
        <f aca="false">IF('Reverse Search'!$N$7="Disable",1,IF('Reverse Search'!$I$10="Disable",1,IF('Reverse Search'!$K$10="≥",IF(K211&gt;='Reverse Search'!$L$10,1,0),IF('Reverse Search'!$K$10="≤",IF(K211&lt;='Reverse Search'!$L$10,1,0),IF(K211='Reverse Search'!$L$10,1,0)))))</f>
        <v>1</v>
      </c>
      <c r="Y211" s="367" t="n">
        <f aca="false">IF('Reverse Search'!$N$7="Disable",1,IF('Reverse Search'!$I$11="Disable",1,IF('Reverse Search'!$K$11="≥",IF(L211&gt;='Reverse Search'!$L$11,1,0),IF('Reverse Search'!$K$11="≤",IF(L211&lt;='Reverse Search'!$L$11,1,0),IF(L211='Reverse Search'!$L$11,1,0)))))</f>
        <v>1</v>
      </c>
      <c r="Z211" s="0" t="n">
        <f aca="true">IF('Reverse Search'!$C$14="Disable",1,IF('Reverse Search'!$D$16="Disable",1,IF($C$2=3,IF($M211=0,0,COUNTIF(INDIRECT("'0.0.2 Pokémon Learnset (Core)'!$D$"&amp;MATCH($E211,'0.0.2 Pokémon Learnset (Core)'!$A$1:$A951,0)&amp;":$FK$"&amp;MATCH($E211,'0.0.2 Pokémon Learnset (Core)'!$A$1:$A951,0)),'Reverse Search'!$E$21)),IF($C$2=2,COUNTIF(INDIRECT("'0.1.1 Pokémon GO Moves'!$B$"&amp;MATCH($E211,'0.1.1 Pokémon GO Moves'!$A$1:$A951,0)&amp;":$R$"&amp;MATCH($E211,'0.1.1 Pokémon GO Moves'!$A$1:$A951,0)),'Reverse Search'!$E$21),COUNTIF(INDIRECT("'0.1.1 Pokémon GO Moves'!$B$"&amp;MATCH($E211,'0.1.1 Pokémon GO Moves'!$A$1:$A951,0)&amp;":$L$"&amp;MATCH($E211,'0.1.1 Pokémon GO Moves'!$A$1:$A951,0)),'Reverse Search'!$E$21)))))</f>
        <v>1</v>
      </c>
      <c r="AA211" s="0" t="n">
        <f aca="true">IF('Reverse Search'!$C$14="Disable",1,IF('Reverse Search'!$I$16="Disable",1,IF($D$2=3,IF($M211=0,0,COUNTIF(INDIRECT("'0.0.2 Pokémon Learnset (Core)'!$D$"&amp;MATCH($E211,'0.0.2 Pokémon Learnset (Core)'!$A$1:$A951,0)&amp;":$FK$"&amp;MATCH($E211,'0.0.2 Pokémon Learnset (Core)'!$A$1:$A951,0)),'Reverse Search'!$J$21)),IF($D$2=2,COUNTIF(INDIRECT("'0.1.1 Pokémon GO Moves'!$B$"&amp;MATCH($E211,'0.1.1 Pokémon GO Moves'!$A$1:$A951,0)&amp;":$R$"&amp;MATCH($E211,'0.1.1 Pokémon GO Moves'!$A$1:$A951,0)),'Reverse Search'!$J$21),COUNTIF(INDIRECT("'0.1.1 Pokémon GO Moves'!$B$"&amp;MATCH($E211,'0.1.1 Pokémon GO Moves'!$A$1:$A951,0)&amp;":$L$"&amp;MATCH($E211,'0.1.1 Pokémon GO Moves'!$A$1:$A951,0)),'Reverse Search'!$J$21)))))</f>
        <v>0</v>
      </c>
      <c r="AB211" s="490"/>
      <c r="AC211" s="260" t="n">
        <f aca="false">IF((Q211+R211+S211+V211+W211+X211+Y211+IF(Z211&gt;=1,1,0)+IF(AA211&gt;=1,1,0))=9,G211&amp;", ",)</f>
        <v>0</v>
      </c>
    </row>
    <row r="212" customFormat="false" ht="15.75" hidden="false" customHeight="false" outlineLevel="0" collapsed="false">
      <c r="A212" s="260"/>
      <c r="B212" s="358"/>
      <c r="C212" s="260"/>
      <c r="D212" s="358"/>
      <c r="E212" s="260" t="n">
        <v>211</v>
      </c>
      <c r="F212" s="260" t="n">
        <f aca="false" t="array" ref="F212:F212">INDEX('0.0.1 Pokémon Dex Data'!$H$3:$H951,MATCH(E212,'0.0.1 Pokémon Dex Data'!$B$3:$B951,0))</f>
        <v>0</v>
      </c>
      <c r="G212" s="0" t="str">
        <f aca="false" t="array" ref="G212:G212">INDEX('0.0.1 Pokémon Dex Data'!$E$3:$E951,MATCH(E212,'0.0.1 Pokémon Dex Data'!$B$3:$B951,0))</f>
        <v>Xatu</v>
      </c>
      <c r="H212" s="0" t="str">
        <f aca="false" t="array" ref="H212:H212">INDEX('0.0.1 Pokémon Dex Data'!$Q$3:$Q951,MATCH(E212,'0.0.1 Pokémon Dex Data'!$B$3:$B951,0))</f>
        <v>Psychic</v>
      </c>
      <c r="I212" s="0" t="str">
        <f aca="false" t="array" ref="I212:I212">INDEX('0.0.1 Pokémon Dex Data'!$R$3:$R951,MATCH(E212,'0.0.1 Pokémon Dex Data'!$B$3:$B951,0))</f>
        <v>Flying</v>
      </c>
      <c r="J212" s="260" t="n">
        <f aca="false" t="array" ref="J212:J212">ROUND(INDEX('0.0.1 Pokémon Dex Data'!$S$3:$S951,MATCH($E212,'0.0.1 Pokémon Dex Data'!$B$3:$B951,0))*INDEX('0.0.1 Pokémon Dex Data'!T$3:T951,MATCH($E212,'0.0.1 Pokémon Dex Data'!$B$3:$B951,0)),0)</f>
        <v>192</v>
      </c>
      <c r="K212" s="260" t="n">
        <f aca="false" t="array" ref="K212:K212">ROUND(INDEX('0.0.1 Pokémon Dex Data'!$S$3:$S951,MATCH($E212,'0.0.1 Pokémon Dex Data'!$B$3:$B951,0))*INDEX('0.0.1 Pokémon Dex Data'!U$3:U951,MATCH($E212,'0.0.1 Pokémon Dex Data'!$B$3:$B951,0)),0)</f>
        <v>146</v>
      </c>
      <c r="L212" s="260" t="n">
        <f aca="false" t="array" ref="L212:L212">ROUND(INDEX('0.0.1 Pokémon Dex Data'!$S$3:$S951,MATCH($E212,'0.0.1 Pokémon Dex Data'!$B$3:$B951,0))*INDEX('0.0.1 Pokémon Dex Data'!V$3:V951,MATCH($E212,'0.0.1 Pokémon Dex Data'!$B$3:$B951,0)),0)</f>
        <v>163</v>
      </c>
      <c r="M212" s="260" t="n">
        <f aca="false" t="array" ref="M212:M212">INDEX('0.0.1 Pokémon Dex Data'!$J$3:$J951,MATCH(E212,'0.0.1 Pokémon Dex Data'!$B$3:$B951,0))</f>
        <v>1</v>
      </c>
      <c r="O212" s="490"/>
      <c r="Q212" s="367" t="n">
        <f aca="false">IF('Reverse Search'!$F$4="All (including temporary formes)",1,IF('Reverse Search'!$F$4="Base Pokémon and permanent formes only",IF(F212&lt;=1,1,0),IF(F212=0,1,0)))</f>
        <v>1</v>
      </c>
      <c r="R212" s="0" t="n">
        <f aca="false">IF('Reverse Search'!$C$7="Disable",1,IF('Reverse Search'!$D$9="Disable",1,IF(OR('Reverse Search'!$F$9=H212,'Reverse Search'!$F$9=I212),1,0)))</f>
        <v>1</v>
      </c>
      <c r="S212" s="0" t="n">
        <f aca="false">IF('Reverse Search'!$C$7="Disable",1,IF('Reverse Search'!$D$10="Disable",1,IF(OR('Reverse Search'!$F$10=H212,'Reverse Search'!$F$10=I212),1,0)))</f>
        <v>1</v>
      </c>
      <c r="T212" s="0" t="n">
        <f aca="false">INDEX($B$4:$B$22,MATCH(H212,$A$4:$A$22,0))</f>
        <v>1</v>
      </c>
      <c r="U212" s="0" t="n">
        <f aca="false">IF(ISBLANK(I212),1,INDEX($B$4:$B$22,MATCH(I212,$A$4:$A$22,0)))</f>
        <v>1</v>
      </c>
      <c r="V212" s="367" t="n">
        <f aca="false">IF('Reverse Search'!$C$7="Disable",1,IF('Reverse Search'!$D$11="Disable",1,IF('Reverse Search'!$E$11="Neutral to:",IF(ROUND(T212*U212,2)&lt;=1,1,0),IF(ROUND(T212*U212,2)&lt;1,1,0))))</f>
        <v>1</v>
      </c>
      <c r="W212" s="0" t="n">
        <f aca="false">IF('Reverse Search'!$N$7="Disable",1,IF('Reverse Search'!$I$9="Disable",1,IF('Reverse Search'!$K$9="≥",IF(J212&gt;='Reverse Search'!$L$9,1,0),IF('Reverse Search'!$K$9="≤",IF(J212&lt;='Reverse Search'!$L$9,1,0),IF(J212='Reverse Search'!$L$9,1,0)))))</f>
        <v>1</v>
      </c>
      <c r="X212" s="0" t="n">
        <f aca="false">IF('Reverse Search'!$N$7="Disable",1,IF('Reverse Search'!$I$10="Disable",1,IF('Reverse Search'!$K$10="≥",IF(K212&gt;='Reverse Search'!$L$10,1,0),IF('Reverse Search'!$K$10="≤",IF(K212&lt;='Reverse Search'!$L$10,1,0),IF(K212='Reverse Search'!$L$10,1,0)))))</f>
        <v>1</v>
      </c>
      <c r="Y212" s="367" t="n">
        <f aca="false">IF('Reverse Search'!$N$7="Disable",1,IF('Reverse Search'!$I$11="Disable",1,IF('Reverse Search'!$K$11="≥",IF(L212&gt;='Reverse Search'!$L$11,1,0),IF('Reverse Search'!$K$11="≤",IF(L212&lt;='Reverse Search'!$L$11,1,0),IF(L212='Reverse Search'!$L$11,1,0)))))</f>
        <v>1</v>
      </c>
      <c r="Z212" s="0" t="n">
        <f aca="true">IF('Reverse Search'!$C$14="Disable",1,IF('Reverse Search'!$D$16="Disable",1,IF($C$2=3,IF($M212=0,0,COUNTIF(INDIRECT("'0.0.2 Pokémon Learnset (Core)'!$D$"&amp;MATCH($E212,'0.0.2 Pokémon Learnset (Core)'!$A$1:$A951,0)&amp;":$FK$"&amp;MATCH($E212,'0.0.2 Pokémon Learnset (Core)'!$A$1:$A951,0)),'Reverse Search'!$E$21)),IF($C$2=2,COUNTIF(INDIRECT("'0.1.1 Pokémon GO Moves'!$B$"&amp;MATCH($E212,'0.1.1 Pokémon GO Moves'!$A$1:$A951,0)&amp;":$R$"&amp;MATCH($E212,'0.1.1 Pokémon GO Moves'!$A$1:$A951,0)),'Reverse Search'!$E$21),COUNTIF(INDIRECT("'0.1.1 Pokémon GO Moves'!$B$"&amp;MATCH($E212,'0.1.1 Pokémon GO Moves'!$A$1:$A951,0)&amp;":$L$"&amp;MATCH($E212,'0.1.1 Pokémon GO Moves'!$A$1:$A951,0)),'Reverse Search'!$E$21)))))</f>
        <v>1</v>
      </c>
      <c r="AA212" s="0" t="n">
        <f aca="true">IF('Reverse Search'!$C$14="Disable",1,IF('Reverse Search'!$I$16="Disable",1,IF($D$2=3,IF($M212=0,0,COUNTIF(INDIRECT("'0.0.2 Pokémon Learnset (Core)'!$D$"&amp;MATCH($E212,'0.0.2 Pokémon Learnset (Core)'!$A$1:$A951,0)&amp;":$FK$"&amp;MATCH($E212,'0.0.2 Pokémon Learnset (Core)'!$A$1:$A951,0)),'Reverse Search'!$J$21)),IF($D$2=2,COUNTIF(INDIRECT("'0.1.1 Pokémon GO Moves'!$B$"&amp;MATCH($E212,'0.1.1 Pokémon GO Moves'!$A$1:$A951,0)&amp;":$R$"&amp;MATCH($E212,'0.1.1 Pokémon GO Moves'!$A$1:$A951,0)),'Reverse Search'!$J$21),COUNTIF(INDIRECT("'0.1.1 Pokémon GO Moves'!$B$"&amp;MATCH($E212,'0.1.1 Pokémon GO Moves'!$A$1:$A951,0)&amp;":$L$"&amp;MATCH($E212,'0.1.1 Pokémon GO Moves'!$A$1:$A951,0)),'Reverse Search'!$J$21)))))</f>
        <v>0</v>
      </c>
      <c r="AB212" s="490"/>
      <c r="AC212" s="260" t="n">
        <f aca="false">IF((Q212+R212+S212+V212+W212+X212+Y212+IF(Z212&gt;=1,1,0)+IF(AA212&gt;=1,1,0))=9,G212&amp;", ",)</f>
        <v>0</v>
      </c>
    </row>
    <row r="213" customFormat="false" ht="15.75" hidden="false" customHeight="false" outlineLevel="0" collapsed="false">
      <c r="A213" s="260"/>
      <c r="B213" s="358"/>
      <c r="C213" s="260"/>
      <c r="D213" s="358"/>
      <c r="E213" s="260" t="n">
        <v>212</v>
      </c>
      <c r="F213" s="260" t="n">
        <f aca="false" t="array" ref="F213:F213">INDEX('0.0.1 Pokémon Dex Data'!$H$3:$H951,MATCH(E213,'0.0.1 Pokémon Dex Data'!$B$3:$B951,0))</f>
        <v>0</v>
      </c>
      <c r="G213" s="0" t="str">
        <f aca="false" t="array" ref="G213:G213">INDEX('0.0.1 Pokémon Dex Data'!$E$3:$E951,MATCH(E213,'0.0.1 Pokémon Dex Data'!$B$3:$B951,0))</f>
        <v>Mareep</v>
      </c>
      <c r="H213" s="0" t="str">
        <f aca="false" t="array" ref="H213:H213">INDEX('0.0.1 Pokémon Dex Data'!$Q$3:$Q951,MATCH(E213,'0.0.1 Pokémon Dex Data'!$B$3:$B951,0))</f>
        <v>Electric</v>
      </c>
      <c r="I213" s="0" t="n">
        <f aca="false">INDEX('0.0.1 Pokémon Dex Data'!$R$3:$R951,MATCH(E213,'0.0.1 Pokémon Dex Data'!$B$3:$B951,0))</f>
        <v>0</v>
      </c>
      <c r="J213" s="260" t="n">
        <f aca="false" t="array" ref="J213:J213">ROUND(INDEX('0.0.1 Pokémon Dex Data'!$S$3:$S951,MATCH($E213,'0.0.1 Pokémon Dex Data'!$B$3:$B951,0))*INDEX('0.0.1 Pokémon Dex Data'!T$3:T951,MATCH($E213,'0.0.1 Pokémon Dex Data'!$B$3:$B951,0)),0)</f>
        <v>114</v>
      </c>
      <c r="K213" s="260" t="n">
        <f aca="false" t="array" ref="K213:K213">ROUND(INDEX('0.0.1 Pokémon Dex Data'!$S$3:$S951,MATCH($E213,'0.0.1 Pokémon Dex Data'!$B$3:$B951,0))*INDEX('0.0.1 Pokémon Dex Data'!U$3:U951,MATCH($E213,'0.0.1 Pokémon Dex Data'!$B$3:$B951,0)),0)</f>
        <v>79</v>
      </c>
      <c r="L213" s="260" t="n">
        <f aca="false" t="array" ref="L213:L213">ROUND(INDEX('0.0.1 Pokémon Dex Data'!$S$3:$S951,MATCH($E213,'0.0.1 Pokémon Dex Data'!$B$3:$B951,0))*INDEX('0.0.1 Pokémon Dex Data'!V$3:V951,MATCH($E213,'0.0.1 Pokémon Dex Data'!$B$3:$B951,0)),0)</f>
        <v>146</v>
      </c>
      <c r="M213" s="260" t="n">
        <f aca="false" t="array" ref="M213:M213">INDEX('0.0.1 Pokémon Dex Data'!$J$3:$J951,MATCH(E213,'0.0.1 Pokémon Dex Data'!$B$3:$B951,0))</f>
        <v>0</v>
      </c>
      <c r="O213" s="490"/>
      <c r="Q213" s="367" t="n">
        <f aca="false">IF('Reverse Search'!$F$4="All (including temporary formes)",1,IF('Reverse Search'!$F$4="Base Pokémon and permanent formes only",IF(F213&lt;=1,1,0),IF(F213=0,1,0)))</f>
        <v>1</v>
      </c>
      <c r="R213" s="0" t="n">
        <f aca="false">IF('Reverse Search'!$C$7="Disable",1,IF('Reverse Search'!$D$9="Disable",1,IF(OR('Reverse Search'!$F$9=H213,'Reverse Search'!$F$9=I213),1,0)))</f>
        <v>1</v>
      </c>
      <c r="S213" s="0" t="n">
        <f aca="false">IF('Reverse Search'!$C$7="Disable",1,IF('Reverse Search'!$D$10="Disable",1,IF(OR('Reverse Search'!$F$10=H213,'Reverse Search'!$F$10=I213),1,0)))</f>
        <v>1</v>
      </c>
      <c r="T213" s="0" t="n">
        <f aca="false">INDEX($B$4:$B$22,MATCH(H213,$A$4:$A$22,0))</f>
        <v>1</v>
      </c>
      <c r="U213" s="0" t="e">
        <f aca="false">IF(ISBLANK(I213),1,INDEX($B$4:$B$22,MATCH(I213,$A$4:$A$22,0)))</f>
        <v>#N/A</v>
      </c>
      <c r="V213" s="367" t="n">
        <f aca="false">IF('Reverse Search'!$C$7="Disable",1,IF('Reverse Search'!$D$11="Disable",1,IF('Reverse Search'!$E$11="Neutral to:",IF(ROUND(T213*U213,2)&lt;=1,1,0),IF(ROUND(T213*U213,2)&lt;1,1,0))))</f>
        <v>1</v>
      </c>
      <c r="W213" s="0" t="n">
        <f aca="false">IF('Reverse Search'!$N$7="Disable",1,IF('Reverse Search'!$I$9="Disable",1,IF('Reverse Search'!$K$9="≥",IF(J213&gt;='Reverse Search'!$L$9,1,0),IF('Reverse Search'!$K$9="≤",IF(J213&lt;='Reverse Search'!$L$9,1,0),IF(J213='Reverse Search'!$L$9,1,0)))))</f>
        <v>1</v>
      </c>
      <c r="X213" s="0" t="n">
        <f aca="false">IF('Reverse Search'!$N$7="Disable",1,IF('Reverse Search'!$I$10="Disable",1,IF('Reverse Search'!$K$10="≥",IF(K213&gt;='Reverse Search'!$L$10,1,0),IF('Reverse Search'!$K$10="≤",IF(K213&lt;='Reverse Search'!$L$10,1,0),IF(K213='Reverse Search'!$L$10,1,0)))))</f>
        <v>1</v>
      </c>
      <c r="Y213" s="367" t="n">
        <f aca="false">IF('Reverse Search'!$N$7="Disable",1,IF('Reverse Search'!$I$11="Disable",1,IF('Reverse Search'!$K$11="≥",IF(L213&gt;='Reverse Search'!$L$11,1,0),IF('Reverse Search'!$K$11="≤",IF(L213&lt;='Reverse Search'!$L$11,1,0),IF(L213='Reverse Search'!$L$11,1,0)))))</f>
        <v>1</v>
      </c>
      <c r="Z213" s="0" t="n">
        <f aca="true">IF('Reverse Search'!$C$14="Disable",1,IF('Reverse Search'!$D$16="Disable",1,IF($C$2=3,IF($M213=0,0,COUNTIF(INDIRECT("'0.0.2 Pokémon Learnset (Core)'!$D$"&amp;MATCH($E213,'0.0.2 Pokémon Learnset (Core)'!$A$1:$A951,0)&amp;":$FK$"&amp;MATCH($E213,'0.0.2 Pokémon Learnset (Core)'!$A$1:$A951,0)),'Reverse Search'!$E$21)),IF($C$2=2,COUNTIF(INDIRECT("'0.1.1 Pokémon GO Moves'!$B$"&amp;MATCH($E213,'0.1.1 Pokémon GO Moves'!$A$1:$A951,0)&amp;":$R$"&amp;MATCH($E213,'0.1.1 Pokémon GO Moves'!$A$1:$A951,0)),'Reverse Search'!$E$21),COUNTIF(INDIRECT("'0.1.1 Pokémon GO Moves'!$B$"&amp;MATCH($E213,'0.1.1 Pokémon GO Moves'!$A$1:$A951,0)&amp;":$L$"&amp;MATCH($E213,'0.1.1 Pokémon GO Moves'!$A$1:$A951,0)),'Reverse Search'!$E$21)))))</f>
        <v>1</v>
      </c>
      <c r="AA213" s="0" t="n">
        <f aca="true">IF('Reverse Search'!$C$14="Disable",1,IF('Reverse Search'!$I$16="Disable",1,IF($D$2=3,IF($M213=0,0,COUNTIF(INDIRECT("'0.0.2 Pokémon Learnset (Core)'!$D$"&amp;MATCH($E213,'0.0.2 Pokémon Learnset (Core)'!$A$1:$A951,0)&amp;":$FK$"&amp;MATCH($E213,'0.0.2 Pokémon Learnset (Core)'!$A$1:$A951,0)),'Reverse Search'!$J$21)),IF($D$2=2,COUNTIF(INDIRECT("'0.1.1 Pokémon GO Moves'!$B$"&amp;MATCH($E213,'0.1.1 Pokémon GO Moves'!$A$1:$A951,0)&amp;":$R$"&amp;MATCH($E213,'0.1.1 Pokémon GO Moves'!$A$1:$A951,0)),'Reverse Search'!$J$21),COUNTIF(INDIRECT("'0.1.1 Pokémon GO Moves'!$B$"&amp;MATCH($E213,'0.1.1 Pokémon GO Moves'!$A$1:$A951,0)&amp;":$L$"&amp;MATCH($E213,'0.1.1 Pokémon GO Moves'!$A$1:$A951,0)),'Reverse Search'!$J$21)))))</f>
        <v>0</v>
      </c>
      <c r="AB213" s="490"/>
      <c r="AC213" s="260" t="n">
        <f aca="false">IF((Q213+R213+S213+V213+W213+X213+Y213+IF(Z213&gt;=1,1,0)+IF(AA213&gt;=1,1,0))=9,G213&amp;", ",)</f>
        <v>0</v>
      </c>
    </row>
    <row r="214" customFormat="false" ht="15.75" hidden="false" customHeight="false" outlineLevel="0" collapsed="false">
      <c r="A214" s="260"/>
      <c r="B214" s="358"/>
      <c r="C214" s="260"/>
      <c r="D214" s="358"/>
      <c r="E214" s="260" t="n">
        <v>213</v>
      </c>
      <c r="F214" s="260" t="n">
        <f aca="false" t="array" ref="F214:F214">INDEX('0.0.1 Pokémon Dex Data'!$H$3:$H951,MATCH(E214,'0.0.1 Pokémon Dex Data'!$B$3:$B951,0))</f>
        <v>0</v>
      </c>
      <c r="G214" s="0" t="str">
        <f aca="false" t="array" ref="G214:G214">INDEX('0.0.1 Pokémon Dex Data'!$E$3:$E951,MATCH(E214,'0.0.1 Pokémon Dex Data'!$B$3:$B951,0))</f>
        <v>Flaaffy</v>
      </c>
      <c r="H214" s="0" t="str">
        <f aca="false" t="array" ref="H214:H214">INDEX('0.0.1 Pokémon Dex Data'!$Q$3:$Q951,MATCH(E214,'0.0.1 Pokémon Dex Data'!$B$3:$B951,0))</f>
        <v>Electric</v>
      </c>
      <c r="I214" s="0" t="n">
        <f aca="false">INDEX('0.0.1 Pokémon Dex Data'!$R$3:$R951,MATCH(E214,'0.0.1 Pokémon Dex Data'!$B$3:$B951,0))</f>
        <v>0</v>
      </c>
      <c r="J214" s="260" t="n">
        <f aca="false" t="array" ref="J214:J214">ROUND(INDEX('0.0.1 Pokémon Dex Data'!$S$3:$S951,MATCH($E214,'0.0.1 Pokémon Dex Data'!$B$3:$B951,0))*INDEX('0.0.1 Pokémon Dex Data'!T$3:T951,MATCH($E214,'0.0.1 Pokémon Dex Data'!$B$3:$B951,0)),0)</f>
        <v>145</v>
      </c>
      <c r="K214" s="260" t="n">
        <f aca="false" t="array" ref="K214:K214">ROUND(INDEX('0.0.1 Pokémon Dex Data'!$S$3:$S951,MATCH($E214,'0.0.1 Pokémon Dex Data'!$B$3:$B951,0))*INDEX('0.0.1 Pokémon Dex Data'!U$3:U951,MATCH($E214,'0.0.1 Pokémon Dex Data'!$B$3:$B951,0)),0)</f>
        <v>109</v>
      </c>
      <c r="L214" s="260" t="n">
        <f aca="false" t="array" ref="L214:L214">ROUND(INDEX('0.0.1 Pokémon Dex Data'!$S$3:$S951,MATCH($E214,'0.0.1 Pokémon Dex Data'!$B$3:$B951,0))*INDEX('0.0.1 Pokémon Dex Data'!V$3:V951,MATCH($E214,'0.0.1 Pokémon Dex Data'!$B$3:$B951,0)),0)</f>
        <v>172</v>
      </c>
      <c r="M214" s="260" t="n">
        <f aca="false" t="array" ref="M214:M214">INDEX('0.0.1 Pokémon Dex Data'!$J$3:$J951,MATCH(E214,'0.0.1 Pokémon Dex Data'!$B$3:$B951,0))</f>
        <v>0</v>
      </c>
      <c r="O214" s="490"/>
      <c r="Q214" s="367" t="n">
        <f aca="false">IF('Reverse Search'!$F$4="All (including temporary formes)",1,IF('Reverse Search'!$F$4="Base Pokémon and permanent formes only",IF(F214&lt;=1,1,0),IF(F214=0,1,0)))</f>
        <v>1</v>
      </c>
      <c r="R214" s="0" t="n">
        <f aca="false">IF('Reverse Search'!$C$7="Disable",1,IF('Reverse Search'!$D$9="Disable",1,IF(OR('Reverse Search'!$F$9=H214,'Reverse Search'!$F$9=I214),1,0)))</f>
        <v>1</v>
      </c>
      <c r="S214" s="0" t="n">
        <f aca="false">IF('Reverse Search'!$C$7="Disable",1,IF('Reverse Search'!$D$10="Disable",1,IF(OR('Reverse Search'!$F$10=H214,'Reverse Search'!$F$10=I214),1,0)))</f>
        <v>1</v>
      </c>
      <c r="T214" s="0" t="n">
        <f aca="false">INDEX($B$4:$B$22,MATCH(H214,$A$4:$A$22,0))</f>
        <v>1</v>
      </c>
      <c r="U214" s="0" t="e">
        <f aca="false">IF(ISBLANK(I214),1,INDEX($B$4:$B$22,MATCH(I214,$A$4:$A$22,0)))</f>
        <v>#N/A</v>
      </c>
      <c r="V214" s="367" t="n">
        <f aca="false">IF('Reverse Search'!$C$7="Disable",1,IF('Reverse Search'!$D$11="Disable",1,IF('Reverse Search'!$E$11="Neutral to:",IF(ROUND(T214*U214,2)&lt;=1,1,0),IF(ROUND(T214*U214,2)&lt;1,1,0))))</f>
        <v>1</v>
      </c>
      <c r="W214" s="0" t="n">
        <f aca="false">IF('Reverse Search'!$N$7="Disable",1,IF('Reverse Search'!$I$9="Disable",1,IF('Reverse Search'!$K$9="≥",IF(J214&gt;='Reverse Search'!$L$9,1,0),IF('Reverse Search'!$K$9="≤",IF(J214&lt;='Reverse Search'!$L$9,1,0),IF(J214='Reverse Search'!$L$9,1,0)))))</f>
        <v>1</v>
      </c>
      <c r="X214" s="0" t="n">
        <f aca="false">IF('Reverse Search'!$N$7="Disable",1,IF('Reverse Search'!$I$10="Disable",1,IF('Reverse Search'!$K$10="≥",IF(K214&gt;='Reverse Search'!$L$10,1,0),IF('Reverse Search'!$K$10="≤",IF(K214&lt;='Reverse Search'!$L$10,1,0),IF(K214='Reverse Search'!$L$10,1,0)))))</f>
        <v>1</v>
      </c>
      <c r="Y214" s="367" t="n">
        <f aca="false">IF('Reverse Search'!$N$7="Disable",1,IF('Reverse Search'!$I$11="Disable",1,IF('Reverse Search'!$K$11="≥",IF(L214&gt;='Reverse Search'!$L$11,1,0),IF('Reverse Search'!$K$11="≤",IF(L214&lt;='Reverse Search'!$L$11,1,0),IF(L214='Reverse Search'!$L$11,1,0)))))</f>
        <v>1</v>
      </c>
      <c r="Z214" s="0" t="n">
        <f aca="true">IF('Reverse Search'!$C$14="Disable",1,IF('Reverse Search'!$D$16="Disable",1,IF($C$2=3,IF($M214=0,0,COUNTIF(INDIRECT("'0.0.2 Pokémon Learnset (Core)'!$D$"&amp;MATCH($E214,'0.0.2 Pokémon Learnset (Core)'!$A$1:$A951,0)&amp;":$FK$"&amp;MATCH($E214,'0.0.2 Pokémon Learnset (Core)'!$A$1:$A951,0)),'Reverse Search'!$E$21)),IF($C$2=2,COUNTIF(INDIRECT("'0.1.1 Pokémon GO Moves'!$B$"&amp;MATCH($E214,'0.1.1 Pokémon GO Moves'!$A$1:$A951,0)&amp;":$R$"&amp;MATCH($E214,'0.1.1 Pokémon GO Moves'!$A$1:$A951,0)),'Reverse Search'!$E$21),COUNTIF(INDIRECT("'0.1.1 Pokémon GO Moves'!$B$"&amp;MATCH($E214,'0.1.1 Pokémon GO Moves'!$A$1:$A951,0)&amp;":$L$"&amp;MATCH($E214,'0.1.1 Pokémon GO Moves'!$A$1:$A951,0)),'Reverse Search'!$E$21)))))</f>
        <v>1</v>
      </c>
      <c r="AA214" s="0" t="n">
        <f aca="true">IF('Reverse Search'!$C$14="Disable",1,IF('Reverse Search'!$I$16="Disable",1,IF($D$2=3,IF($M214=0,0,COUNTIF(INDIRECT("'0.0.2 Pokémon Learnset (Core)'!$D$"&amp;MATCH($E214,'0.0.2 Pokémon Learnset (Core)'!$A$1:$A951,0)&amp;":$FK$"&amp;MATCH($E214,'0.0.2 Pokémon Learnset (Core)'!$A$1:$A951,0)),'Reverse Search'!$J$21)),IF($D$2=2,COUNTIF(INDIRECT("'0.1.1 Pokémon GO Moves'!$B$"&amp;MATCH($E214,'0.1.1 Pokémon GO Moves'!$A$1:$A951,0)&amp;":$R$"&amp;MATCH($E214,'0.1.1 Pokémon GO Moves'!$A$1:$A951,0)),'Reverse Search'!$J$21),COUNTIF(INDIRECT("'0.1.1 Pokémon GO Moves'!$B$"&amp;MATCH($E214,'0.1.1 Pokémon GO Moves'!$A$1:$A951,0)&amp;":$L$"&amp;MATCH($E214,'0.1.1 Pokémon GO Moves'!$A$1:$A951,0)),'Reverse Search'!$J$21)))))</f>
        <v>0</v>
      </c>
      <c r="AB214" s="490"/>
      <c r="AC214" s="260" t="n">
        <f aca="false">IF((Q214+R214+S214+V214+W214+X214+Y214+IF(Z214&gt;=1,1,0)+IF(AA214&gt;=1,1,0))=9,G214&amp;", ",)</f>
        <v>0</v>
      </c>
    </row>
    <row r="215" customFormat="false" ht="15.75" hidden="false" customHeight="false" outlineLevel="0" collapsed="false">
      <c r="A215" s="260"/>
      <c r="B215" s="358"/>
      <c r="C215" s="260"/>
      <c r="D215" s="358"/>
      <c r="E215" s="260" t="n">
        <v>214</v>
      </c>
      <c r="F215" s="260" t="n">
        <f aca="false" t="array" ref="F215:F215">INDEX('0.0.1 Pokémon Dex Data'!$H$3:$H951,MATCH(E215,'0.0.1 Pokémon Dex Data'!$B$3:$B951,0))</f>
        <v>0</v>
      </c>
      <c r="G215" s="0" t="str">
        <f aca="false" t="array" ref="G215:G215">INDEX('0.0.1 Pokémon Dex Data'!$E$3:$E951,MATCH(E215,'0.0.1 Pokémon Dex Data'!$B$3:$B951,0))</f>
        <v>Ampharos</v>
      </c>
      <c r="H215" s="0" t="str">
        <f aca="false" t="array" ref="H215:H215">INDEX('0.0.1 Pokémon Dex Data'!$Q$3:$Q951,MATCH(E215,'0.0.1 Pokémon Dex Data'!$B$3:$B951,0))</f>
        <v>Electric</v>
      </c>
      <c r="I215" s="0" t="n">
        <f aca="false">INDEX('0.0.1 Pokémon Dex Data'!$R$3:$R951,MATCH(E215,'0.0.1 Pokémon Dex Data'!$B$3:$B951,0))</f>
        <v>0</v>
      </c>
      <c r="J215" s="260" t="n">
        <f aca="false" t="array" ref="J215:J215">ROUND(INDEX('0.0.1 Pokémon Dex Data'!$S$3:$S951,MATCH($E215,'0.0.1 Pokémon Dex Data'!$B$3:$B951,0))*INDEX('0.0.1 Pokémon Dex Data'!T$3:T951,MATCH($E215,'0.0.1 Pokémon Dex Data'!$B$3:$B951,0)),0)</f>
        <v>211</v>
      </c>
      <c r="K215" s="260" t="n">
        <f aca="false" t="array" ref="K215:K215">ROUND(INDEX('0.0.1 Pokémon Dex Data'!$S$3:$S951,MATCH($E215,'0.0.1 Pokémon Dex Data'!$B$3:$B951,0))*INDEX('0.0.1 Pokémon Dex Data'!U$3:U951,MATCH($E215,'0.0.1 Pokémon Dex Data'!$B$3:$B951,0)),0)</f>
        <v>169</v>
      </c>
      <c r="L215" s="260" t="n">
        <f aca="false" t="array" ref="L215:L215">ROUND(INDEX('0.0.1 Pokémon Dex Data'!$S$3:$S951,MATCH($E215,'0.0.1 Pokémon Dex Data'!$B$3:$B951,0))*INDEX('0.0.1 Pokémon Dex Data'!V$3:V951,MATCH($E215,'0.0.1 Pokémon Dex Data'!$B$3:$B951,0)),0)</f>
        <v>207</v>
      </c>
      <c r="M215" s="260" t="n">
        <f aca="false" t="array" ref="M215:M215">INDEX('0.0.1 Pokémon Dex Data'!$J$3:$J951,MATCH(E215,'0.0.1 Pokémon Dex Data'!$B$3:$B951,0))</f>
        <v>1</v>
      </c>
      <c r="O215" s="490"/>
      <c r="Q215" s="367" t="n">
        <f aca="false">IF('Reverse Search'!$F$4="All (including temporary formes)",1,IF('Reverse Search'!$F$4="Base Pokémon and permanent formes only",IF(F215&lt;=1,1,0),IF(F215=0,1,0)))</f>
        <v>1</v>
      </c>
      <c r="R215" s="0" t="n">
        <f aca="false">IF('Reverse Search'!$C$7="Disable",1,IF('Reverse Search'!$D$9="Disable",1,IF(OR('Reverse Search'!$F$9=H215,'Reverse Search'!$F$9=I215),1,0)))</f>
        <v>1</v>
      </c>
      <c r="S215" s="0" t="n">
        <f aca="false">IF('Reverse Search'!$C$7="Disable",1,IF('Reverse Search'!$D$10="Disable",1,IF(OR('Reverse Search'!$F$10=H215,'Reverse Search'!$F$10=I215),1,0)))</f>
        <v>1</v>
      </c>
      <c r="T215" s="0" t="n">
        <f aca="false">INDEX($B$4:$B$22,MATCH(H215,$A$4:$A$22,0))</f>
        <v>1</v>
      </c>
      <c r="U215" s="0" t="e">
        <f aca="false">IF(ISBLANK(I215),1,INDEX($B$4:$B$22,MATCH(I215,$A$4:$A$22,0)))</f>
        <v>#N/A</v>
      </c>
      <c r="V215" s="367" t="n">
        <f aca="false">IF('Reverse Search'!$C$7="Disable",1,IF('Reverse Search'!$D$11="Disable",1,IF('Reverse Search'!$E$11="Neutral to:",IF(ROUND(T215*U215,2)&lt;=1,1,0),IF(ROUND(T215*U215,2)&lt;1,1,0))))</f>
        <v>1</v>
      </c>
      <c r="W215" s="0" t="n">
        <f aca="false">IF('Reverse Search'!$N$7="Disable",1,IF('Reverse Search'!$I$9="Disable",1,IF('Reverse Search'!$K$9="≥",IF(J215&gt;='Reverse Search'!$L$9,1,0),IF('Reverse Search'!$K$9="≤",IF(J215&lt;='Reverse Search'!$L$9,1,0),IF(J215='Reverse Search'!$L$9,1,0)))))</f>
        <v>1</v>
      </c>
      <c r="X215" s="0" t="n">
        <f aca="false">IF('Reverse Search'!$N$7="Disable",1,IF('Reverse Search'!$I$10="Disable",1,IF('Reverse Search'!$K$10="≥",IF(K215&gt;='Reverse Search'!$L$10,1,0),IF('Reverse Search'!$K$10="≤",IF(K215&lt;='Reverse Search'!$L$10,1,0),IF(K215='Reverse Search'!$L$10,1,0)))))</f>
        <v>1</v>
      </c>
      <c r="Y215" s="367" t="n">
        <f aca="false">IF('Reverse Search'!$N$7="Disable",1,IF('Reverse Search'!$I$11="Disable",1,IF('Reverse Search'!$K$11="≥",IF(L215&gt;='Reverse Search'!$L$11,1,0),IF('Reverse Search'!$K$11="≤",IF(L215&lt;='Reverse Search'!$L$11,1,0),IF(L215='Reverse Search'!$L$11,1,0)))))</f>
        <v>1</v>
      </c>
      <c r="Z215" s="0" t="n">
        <f aca="true">IF('Reverse Search'!$C$14="Disable",1,IF('Reverse Search'!$D$16="Disable",1,IF($C$2=3,IF($M215=0,0,COUNTIF(INDIRECT("'0.0.2 Pokémon Learnset (Core)'!$D$"&amp;MATCH($E215,'0.0.2 Pokémon Learnset (Core)'!$A$1:$A951,0)&amp;":$FK$"&amp;MATCH($E215,'0.0.2 Pokémon Learnset (Core)'!$A$1:$A951,0)),'Reverse Search'!$E$21)),IF($C$2=2,COUNTIF(INDIRECT("'0.1.1 Pokémon GO Moves'!$B$"&amp;MATCH($E215,'0.1.1 Pokémon GO Moves'!$A$1:$A951,0)&amp;":$R$"&amp;MATCH($E215,'0.1.1 Pokémon GO Moves'!$A$1:$A951,0)),'Reverse Search'!$E$21),COUNTIF(INDIRECT("'0.1.1 Pokémon GO Moves'!$B$"&amp;MATCH($E215,'0.1.1 Pokémon GO Moves'!$A$1:$A951,0)&amp;":$L$"&amp;MATCH($E215,'0.1.1 Pokémon GO Moves'!$A$1:$A951,0)),'Reverse Search'!$E$21)))))</f>
        <v>1</v>
      </c>
      <c r="AA215" s="0" t="n">
        <f aca="true">IF('Reverse Search'!$C$14="Disable",1,IF('Reverse Search'!$I$16="Disable",1,IF($D$2=3,IF($M215=0,0,COUNTIF(INDIRECT("'0.0.2 Pokémon Learnset (Core)'!$D$"&amp;MATCH($E215,'0.0.2 Pokémon Learnset (Core)'!$A$1:$A951,0)&amp;":$FK$"&amp;MATCH($E215,'0.0.2 Pokémon Learnset (Core)'!$A$1:$A951,0)),'Reverse Search'!$J$21)),IF($D$2=2,COUNTIF(INDIRECT("'0.1.1 Pokémon GO Moves'!$B$"&amp;MATCH($E215,'0.1.1 Pokémon GO Moves'!$A$1:$A951,0)&amp;":$R$"&amp;MATCH($E215,'0.1.1 Pokémon GO Moves'!$A$1:$A951,0)),'Reverse Search'!$J$21),COUNTIF(INDIRECT("'0.1.1 Pokémon GO Moves'!$B$"&amp;MATCH($E215,'0.1.1 Pokémon GO Moves'!$A$1:$A951,0)&amp;":$L$"&amp;MATCH($E215,'0.1.1 Pokémon GO Moves'!$A$1:$A951,0)),'Reverse Search'!$J$21)))))</f>
        <v>0</v>
      </c>
      <c r="AB215" s="490"/>
      <c r="AC215" s="260" t="n">
        <f aca="false">IF((Q215+R215+S215+V215+W215+X215+Y215+IF(Z215&gt;=1,1,0)+IF(AA215&gt;=1,1,0))=9,G215&amp;", ",)</f>
        <v>0</v>
      </c>
    </row>
    <row r="216" customFormat="false" ht="15.75" hidden="false" customHeight="false" outlineLevel="0" collapsed="false">
      <c r="A216" s="260"/>
      <c r="B216" s="358"/>
      <c r="C216" s="260"/>
      <c r="D216" s="358"/>
      <c r="E216" s="260" t="n">
        <v>215</v>
      </c>
      <c r="F216" s="260" t="n">
        <f aca="false" t="array" ref="F216:F216">INDEX('0.0.1 Pokémon Dex Data'!$H$3:$H951,MATCH(E216,'0.0.1 Pokémon Dex Data'!$B$3:$B951,0))</f>
        <v>2</v>
      </c>
      <c r="G216" s="0" t="str">
        <f aca="false" t="array" ref="G216:G216">INDEX('0.0.1 Pokémon Dex Data'!$E$3:$E951,MATCH(E216,'0.0.1 Pokémon Dex Data'!$B$3:$B951,0))</f>
        <v>Ampharos-Mega</v>
      </c>
      <c r="H216" s="0" t="str">
        <f aca="false" t="array" ref="H216:H216">INDEX('0.0.1 Pokémon Dex Data'!$Q$3:$Q951,MATCH(E216,'0.0.1 Pokémon Dex Data'!$B$3:$B951,0))</f>
        <v>Electric</v>
      </c>
      <c r="I216" s="0" t="str">
        <f aca="false" t="array" ref="I216:I216">INDEX('0.0.1 Pokémon Dex Data'!$R$3:$R951,MATCH(E216,'0.0.1 Pokémon Dex Data'!$B$3:$B951,0))</f>
        <v>Dragon</v>
      </c>
      <c r="J216" s="260" t="n">
        <f aca="false" t="array" ref="J216:J216">ROUND(INDEX('0.0.1 Pokémon Dex Data'!$S$3:$S951,MATCH($E216,'0.0.1 Pokémon Dex Data'!$B$3:$B951,0))*INDEX('0.0.1 Pokémon Dex Data'!T$3:T951,MATCH($E216,'0.0.1 Pokémon Dex Data'!$B$3:$B951,0)),0)</f>
        <v>294</v>
      </c>
      <c r="K216" s="260" t="n">
        <f aca="false" t="array" ref="K216:K216">ROUND(INDEX('0.0.1 Pokémon Dex Data'!$S$3:$S951,MATCH($E216,'0.0.1 Pokémon Dex Data'!$B$3:$B951,0))*INDEX('0.0.1 Pokémon Dex Data'!U$3:U951,MATCH($E216,'0.0.1 Pokémon Dex Data'!$B$3:$B951,0)),0)</f>
        <v>203</v>
      </c>
      <c r="L216" s="260" t="n">
        <f aca="false" t="array" ref="L216:L216">ROUND(INDEX('0.0.1 Pokémon Dex Data'!$S$3:$S951,MATCH($E216,'0.0.1 Pokémon Dex Data'!$B$3:$B951,0))*INDEX('0.0.1 Pokémon Dex Data'!V$3:V951,MATCH($E216,'0.0.1 Pokémon Dex Data'!$B$3:$B951,0)),0)</f>
        <v>207</v>
      </c>
      <c r="M216" s="260" t="n">
        <f aca="false" t="array" ref="M216:M216">INDEX('0.0.1 Pokémon Dex Data'!$J$3:$J951,MATCH(E216,'0.0.1 Pokémon Dex Data'!$B$3:$B951,0))</f>
        <v>1</v>
      </c>
      <c r="O216" s="490"/>
      <c r="Q216" s="367" t="n">
        <f aca="false">IF('Reverse Search'!$F$4="All (including temporary formes)",1,IF('Reverse Search'!$F$4="Base Pokémon and permanent formes only",IF(F216&lt;=1,1,0),IF(F216=0,1,0)))</f>
        <v>0</v>
      </c>
      <c r="R216" s="0" t="n">
        <f aca="false">IF('Reverse Search'!$C$7="Disable",1,IF('Reverse Search'!$D$9="Disable",1,IF(OR('Reverse Search'!$F$9=H216,'Reverse Search'!$F$9=I216),1,0)))</f>
        <v>1</v>
      </c>
      <c r="S216" s="0" t="n">
        <f aca="false">IF('Reverse Search'!$C$7="Disable",1,IF('Reverse Search'!$D$10="Disable",1,IF(OR('Reverse Search'!$F$10=H216,'Reverse Search'!$F$10=I216),1,0)))</f>
        <v>1</v>
      </c>
      <c r="T216" s="0" t="n">
        <f aca="false">INDEX($B$4:$B$22,MATCH(H216,$A$4:$A$22,0))</f>
        <v>1</v>
      </c>
      <c r="U216" s="0" t="n">
        <f aca="false">IF(ISBLANK(I216),1,INDEX($B$4:$B$22,MATCH(I216,$A$4:$A$22,0)))</f>
        <v>1</v>
      </c>
      <c r="V216" s="367" t="n">
        <f aca="false">IF('Reverse Search'!$C$7="Disable",1,IF('Reverse Search'!$D$11="Disable",1,IF('Reverse Search'!$E$11="Neutral to:",IF(ROUND(T216*U216,2)&lt;=1,1,0),IF(ROUND(T216*U216,2)&lt;1,1,0))))</f>
        <v>1</v>
      </c>
      <c r="W216" s="0" t="n">
        <f aca="false">IF('Reverse Search'!$N$7="Disable",1,IF('Reverse Search'!$I$9="Disable",1,IF('Reverse Search'!$K$9="≥",IF(J216&gt;='Reverse Search'!$L$9,1,0),IF('Reverse Search'!$K$9="≤",IF(J216&lt;='Reverse Search'!$L$9,1,0),IF(J216='Reverse Search'!$L$9,1,0)))))</f>
        <v>1</v>
      </c>
      <c r="X216" s="0" t="n">
        <f aca="false">IF('Reverse Search'!$N$7="Disable",1,IF('Reverse Search'!$I$10="Disable",1,IF('Reverse Search'!$K$10="≥",IF(K216&gt;='Reverse Search'!$L$10,1,0),IF('Reverse Search'!$K$10="≤",IF(K216&lt;='Reverse Search'!$L$10,1,0),IF(K216='Reverse Search'!$L$10,1,0)))))</f>
        <v>1</v>
      </c>
      <c r="Y216" s="367" t="n">
        <f aca="false">IF('Reverse Search'!$N$7="Disable",1,IF('Reverse Search'!$I$11="Disable",1,IF('Reverse Search'!$K$11="≥",IF(L216&gt;='Reverse Search'!$L$11,1,0),IF('Reverse Search'!$K$11="≤",IF(L216&lt;='Reverse Search'!$L$11,1,0),IF(L216='Reverse Search'!$L$11,1,0)))))</f>
        <v>1</v>
      </c>
      <c r="Z216" s="0" t="n">
        <f aca="true">IF('Reverse Search'!$C$14="Disable",1,IF('Reverse Search'!$D$16="Disable",1,IF($C$2=3,IF($M216=0,0,COUNTIF(INDIRECT("'0.0.2 Pokémon Learnset (Core)'!$D$"&amp;MATCH($E216,'0.0.2 Pokémon Learnset (Core)'!$A$1:$A951,0)&amp;":$FK$"&amp;MATCH($E216,'0.0.2 Pokémon Learnset (Core)'!$A$1:$A951,0)),'Reverse Search'!$E$21)),IF($C$2=2,COUNTIF(INDIRECT("'0.1.1 Pokémon GO Moves'!$B$"&amp;MATCH($E216,'0.1.1 Pokémon GO Moves'!$A$1:$A951,0)&amp;":$R$"&amp;MATCH($E216,'0.1.1 Pokémon GO Moves'!$A$1:$A951,0)),'Reverse Search'!$E$21),COUNTIF(INDIRECT("'0.1.1 Pokémon GO Moves'!$B$"&amp;MATCH($E216,'0.1.1 Pokémon GO Moves'!$A$1:$A951,0)&amp;":$L$"&amp;MATCH($E216,'0.1.1 Pokémon GO Moves'!$A$1:$A951,0)),'Reverse Search'!$E$21)))))</f>
        <v>1</v>
      </c>
      <c r="AA216" s="0" t="e">
        <f aca="true">IF('Reverse Search'!$C$14="Disable",1,IF('Reverse Search'!$I$16="Disable",1,IF($D$2=3,IF($M216=0,0,COUNTIF(INDIRECT("'0.0.2 Pokémon Learnset (Core)'!$D$"&amp;MATCH($E216,'0.0.2 Pokémon Learnset (Core)'!$A$1:$A951,0)&amp;":$FK$"&amp;MATCH($E216,'0.0.2 Pokémon Learnset (Core)'!$A$1:$A951,0)),'Reverse Search'!$J$21)),IF($D$2=2,COUNTIF(INDIRECT("'0.1.1 Pokémon GO Moves'!$B$"&amp;MATCH($E216,'0.1.1 Pokémon GO Moves'!$A$1:$A951,0)&amp;":$R$"&amp;MATCH($E216,'0.1.1 Pokémon GO Moves'!$A$1:$A951,0)),'Reverse Search'!$J$21),COUNTIF(INDIRECT("'0.1.1 Pokémon GO Moves'!$B$"&amp;MATCH($E216,'0.1.1 Pokémon GO Moves'!$A$1:$A951,0)&amp;":$L$"&amp;MATCH($E216,'0.1.1 Pokémon GO Moves'!$A$1:$A951,0)),'Reverse Search'!$J$21)))))</f>
        <v>#N/A</v>
      </c>
      <c r="AB216" s="490"/>
      <c r="AC216" s="260" t="e">
        <f aca="false">IF((Q216+R216+S216+V216+W216+X216+Y216+IF(Z216&gt;=1,1,0)+IF(AA216&gt;=1,1,0))=9,G216&amp;", ",)</f>
        <v>#N/A</v>
      </c>
    </row>
    <row r="217" customFormat="false" ht="15.75" hidden="false" customHeight="false" outlineLevel="0" collapsed="false">
      <c r="A217" s="260"/>
      <c r="B217" s="358"/>
      <c r="C217" s="260"/>
      <c r="D217" s="358"/>
      <c r="E217" s="260" t="n">
        <v>216</v>
      </c>
      <c r="F217" s="260" t="n">
        <f aca="false" t="array" ref="F217:F217">INDEX('0.0.1 Pokémon Dex Data'!$H$3:$H951,MATCH(E217,'0.0.1 Pokémon Dex Data'!$B$3:$B951,0))</f>
        <v>0</v>
      </c>
      <c r="G217" s="0" t="str">
        <f aca="false" t="array" ref="G217:G217">INDEX('0.0.1 Pokémon Dex Data'!$E$3:$E951,MATCH(E217,'0.0.1 Pokémon Dex Data'!$B$3:$B951,0))</f>
        <v>Bellossom</v>
      </c>
      <c r="H217" s="0" t="str">
        <f aca="false" t="array" ref="H217:H217">INDEX('0.0.1 Pokémon Dex Data'!$Q$3:$Q951,MATCH(E217,'0.0.1 Pokémon Dex Data'!$B$3:$B951,0))</f>
        <v>Grass</v>
      </c>
      <c r="I217" s="0" t="n">
        <f aca="false">INDEX('0.0.1 Pokémon Dex Data'!$R$3:$R951,MATCH(E217,'0.0.1 Pokémon Dex Data'!$B$3:$B951,0))</f>
        <v>0</v>
      </c>
      <c r="J217" s="260" t="n">
        <f aca="false" t="array" ref="J217:J217">ROUND(INDEX('0.0.1 Pokémon Dex Data'!$S$3:$S951,MATCH($E217,'0.0.1 Pokémon Dex Data'!$B$3:$B951,0))*INDEX('0.0.1 Pokémon Dex Data'!T$3:T951,MATCH($E217,'0.0.1 Pokémon Dex Data'!$B$3:$B951,0)),0)</f>
        <v>169</v>
      </c>
      <c r="K217" s="260" t="n">
        <f aca="false" t="array" ref="K217:K217">ROUND(INDEX('0.0.1 Pokémon Dex Data'!$S$3:$S951,MATCH($E217,'0.0.1 Pokémon Dex Data'!$B$3:$B951,0))*INDEX('0.0.1 Pokémon Dex Data'!U$3:U951,MATCH($E217,'0.0.1 Pokémon Dex Data'!$B$3:$B951,0)),0)</f>
        <v>186</v>
      </c>
      <c r="L217" s="260" t="n">
        <f aca="false" t="array" ref="L217:L217">ROUND(INDEX('0.0.1 Pokémon Dex Data'!$S$3:$S951,MATCH($E217,'0.0.1 Pokémon Dex Data'!$B$3:$B951,0))*INDEX('0.0.1 Pokémon Dex Data'!V$3:V951,MATCH($E217,'0.0.1 Pokémon Dex Data'!$B$3:$B951,0)),0)</f>
        <v>181</v>
      </c>
      <c r="M217" s="260" t="n">
        <f aca="false" t="array" ref="M217:M217">INDEX('0.0.1 Pokémon Dex Data'!$J$3:$J951,MATCH(E217,'0.0.1 Pokémon Dex Data'!$B$3:$B951,0))</f>
        <v>1</v>
      </c>
      <c r="O217" s="490"/>
      <c r="Q217" s="367" t="n">
        <f aca="false">IF('Reverse Search'!$F$4="All (including temporary formes)",1,IF('Reverse Search'!$F$4="Base Pokémon and permanent formes only",IF(F217&lt;=1,1,0),IF(F217=0,1,0)))</f>
        <v>1</v>
      </c>
      <c r="R217" s="0" t="n">
        <f aca="false">IF('Reverse Search'!$C$7="Disable",1,IF('Reverse Search'!$D$9="Disable",1,IF(OR('Reverse Search'!$F$9=H217,'Reverse Search'!$F$9=I217),1,0)))</f>
        <v>1</v>
      </c>
      <c r="S217" s="0" t="n">
        <f aca="false">IF('Reverse Search'!$C$7="Disable",1,IF('Reverse Search'!$D$10="Disable",1,IF(OR('Reverse Search'!$F$10=H217,'Reverse Search'!$F$10=I217),1,0)))</f>
        <v>1</v>
      </c>
      <c r="T217" s="0" t="n">
        <f aca="false">INDEX($B$4:$B$22,MATCH(H217,$A$4:$A$22,0))</f>
        <v>1</v>
      </c>
      <c r="U217" s="0" t="e">
        <f aca="false">IF(ISBLANK(I217),1,INDEX($B$4:$B$22,MATCH(I217,$A$4:$A$22,0)))</f>
        <v>#N/A</v>
      </c>
      <c r="V217" s="367" t="n">
        <f aca="false">IF('Reverse Search'!$C$7="Disable",1,IF('Reverse Search'!$D$11="Disable",1,IF('Reverse Search'!$E$11="Neutral to:",IF(ROUND(T217*U217,2)&lt;=1,1,0),IF(ROUND(T217*U217,2)&lt;1,1,0))))</f>
        <v>1</v>
      </c>
      <c r="W217" s="0" t="n">
        <f aca="false">IF('Reverse Search'!$N$7="Disable",1,IF('Reverse Search'!$I$9="Disable",1,IF('Reverse Search'!$K$9="≥",IF(J217&gt;='Reverse Search'!$L$9,1,0),IF('Reverse Search'!$K$9="≤",IF(J217&lt;='Reverse Search'!$L$9,1,0),IF(J217='Reverse Search'!$L$9,1,0)))))</f>
        <v>1</v>
      </c>
      <c r="X217" s="0" t="n">
        <f aca="false">IF('Reverse Search'!$N$7="Disable",1,IF('Reverse Search'!$I$10="Disable",1,IF('Reverse Search'!$K$10="≥",IF(K217&gt;='Reverse Search'!$L$10,1,0),IF('Reverse Search'!$K$10="≤",IF(K217&lt;='Reverse Search'!$L$10,1,0),IF(K217='Reverse Search'!$L$10,1,0)))))</f>
        <v>1</v>
      </c>
      <c r="Y217" s="367" t="n">
        <f aca="false">IF('Reverse Search'!$N$7="Disable",1,IF('Reverse Search'!$I$11="Disable",1,IF('Reverse Search'!$K$11="≥",IF(L217&gt;='Reverse Search'!$L$11,1,0),IF('Reverse Search'!$K$11="≤",IF(L217&lt;='Reverse Search'!$L$11,1,0),IF(L217='Reverse Search'!$L$11,1,0)))))</f>
        <v>1</v>
      </c>
      <c r="Z217" s="0" t="n">
        <f aca="true">IF('Reverse Search'!$C$14="Disable",1,IF('Reverse Search'!$D$16="Disable",1,IF($C$2=3,IF($M217=0,0,COUNTIF(INDIRECT("'0.0.2 Pokémon Learnset (Core)'!$D$"&amp;MATCH($E217,'0.0.2 Pokémon Learnset (Core)'!$A$1:$A951,0)&amp;":$FK$"&amp;MATCH($E217,'0.0.2 Pokémon Learnset (Core)'!$A$1:$A951,0)),'Reverse Search'!$E$21)),IF($C$2=2,COUNTIF(INDIRECT("'0.1.1 Pokémon GO Moves'!$B$"&amp;MATCH($E217,'0.1.1 Pokémon GO Moves'!$A$1:$A951,0)&amp;":$R$"&amp;MATCH($E217,'0.1.1 Pokémon GO Moves'!$A$1:$A951,0)),'Reverse Search'!$E$21),COUNTIF(INDIRECT("'0.1.1 Pokémon GO Moves'!$B$"&amp;MATCH($E217,'0.1.1 Pokémon GO Moves'!$A$1:$A951,0)&amp;":$L$"&amp;MATCH($E217,'0.1.1 Pokémon GO Moves'!$A$1:$A951,0)),'Reverse Search'!$E$21)))))</f>
        <v>1</v>
      </c>
      <c r="AA217" s="0" t="n">
        <f aca="true">IF('Reverse Search'!$C$14="Disable",1,IF('Reverse Search'!$I$16="Disable",1,IF($D$2=3,IF($M217=0,0,COUNTIF(INDIRECT("'0.0.2 Pokémon Learnset (Core)'!$D$"&amp;MATCH($E217,'0.0.2 Pokémon Learnset (Core)'!$A$1:$A951,0)&amp;":$FK$"&amp;MATCH($E217,'0.0.2 Pokémon Learnset (Core)'!$A$1:$A951,0)),'Reverse Search'!$J$21)),IF($D$2=2,COUNTIF(INDIRECT("'0.1.1 Pokémon GO Moves'!$B$"&amp;MATCH($E217,'0.1.1 Pokémon GO Moves'!$A$1:$A951,0)&amp;":$R$"&amp;MATCH($E217,'0.1.1 Pokémon GO Moves'!$A$1:$A951,0)),'Reverse Search'!$J$21),COUNTIF(INDIRECT("'0.1.1 Pokémon GO Moves'!$B$"&amp;MATCH($E217,'0.1.1 Pokémon GO Moves'!$A$1:$A951,0)&amp;":$L$"&amp;MATCH($E217,'0.1.1 Pokémon GO Moves'!$A$1:$A951,0)),'Reverse Search'!$J$21)))))</f>
        <v>0</v>
      </c>
      <c r="AB217" s="490"/>
      <c r="AC217" s="260" t="n">
        <f aca="false">IF((Q217+R217+S217+V217+W217+X217+Y217+IF(Z217&gt;=1,1,0)+IF(AA217&gt;=1,1,0))=9,G217&amp;", ",)</f>
        <v>0</v>
      </c>
    </row>
    <row r="218" customFormat="false" ht="15.75" hidden="false" customHeight="false" outlineLevel="0" collapsed="false">
      <c r="A218" s="260"/>
      <c r="B218" s="358"/>
      <c r="C218" s="260"/>
      <c r="D218" s="358"/>
      <c r="E218" s="260" t="n">
        <v>217</v>
      </c>
      <c r="F218" s="260" t="n">
        <f aca="false" t="array" ref="F218:F218">INDEX('0.0.1 Pokémon Dex Data'!$H$3:$H951,MATCH(E218,'0.0.1 Pokémon Dex Data'!$B$3:$B951,0))</f>
        <v>0</v>
      </c>
      <c r="G218" s="0" t="str">
        <f aca="false" t="array" ref="G218:G218">INDEX('0.0.1 Pokémon Dex Data'!$E$3:$E951,MATCH(E218,'0.0.1 Pokémon Dex Data'!$B$3:$B951,0))</f>
        <v>Marill</v>
      </c>
      <c r="H218" s="0" t="str">
        <f aca="false" t="array" ref="H218:H218">INDEX('0.0.1 Pokémon Dex Data'!$Q$3:$Q951,MATCH(E218,'0.0.1 Pokémon Dex Data'!$B$3:$B951,0))</f>
        <v>Water</v>
      </c>
      <c r="I218" s="0" t="str">
        <f aca="false" t="array" ref="I218:I218">INDEX('0.0.1 Pokémon Dex Data'!$R$3:$R951,MATCH(E218,'0.0.1 Pokémon Dex Data'!$B$3:$B951,0))</f>
        <v>Fairy</v>
      </c>
      <c r="J218" s="260" t="n">
        <f aca="false" t="array" ref="J218:J218">ROUND(INDEX('0.0.1 Pokémon Dex Data'!$S$3:$S951,MATCH($E218,'0.0.1 Pokémon Dex Data'!$B$3:$B951,0))*INDEX('0.0.1 Pokémon Dex Data'!T$3:T951,MATCH($E218,'0.0.1 Pokémon Dex Data'!$B$3:$B951,0)),0)</f>
        <v>37</v>
      </c>
      <c r="K218" s="260" t="n">
        <f aca="false" t="array" ref="K218:K218">ROUND(INDEX('0.0.1 Pokémon Dex Data'!$S$3:$S951,MATCH($E218,'0.0.1 Pokémon Dex Data'!$B$3:$B951,0))*INDEX('0.0.1 Pokémon Dex Data'!U$3:U951,MATCH($E218,'0.0.1 Pokémon Dex Data'!$B$3:$B951,0)),0)</f>
        <v>93</v>
      </c>
      <c r="L218" s="260" t="n">
        <f aca="false" t="array" ref="L218:L218">ROUND(INDEX('0.0.1 Pokémon Dex Data'!$S$3:$S951,MATCH($E218,'0.0.1 Pokémon Dex Data'!$B$3:$B951,0))*INDEX('0.0.1 Pokémon Dex Data'!V$3:V951,MATCH($E218,'0.0.1 Pokémon Dex Data'!$B$3:$B951,0)),0)</f>
        <v>172</v>
      </c>
      <c r="M218" s="260" t="n">
        <f aca="false" t="array" ref="M218:M218">INDEX('0.0.1 Pokémon Dex Data'!$J$3:$J951,MATCH(E218,'0.0.1 Pokémon Dex Data'!$B$3:$B951,0))</f>
        <v>0</v>
      </c>
      <c r="O218" s="490"/>
      <c r="Q218" s="367" t="n">
        <f aca="false">IF('Reverse Search'!$F$4="All (including temporary formes)",1,IF('Reverse Search'!$F$4="Base Pokémon and permanent formes only",IF(F218&lt;=1,1,0),IF(F218=0,1,0)))</f>
        <v>1</v>
      </c>
      <c r="R218" s="0" t="n">
        <f aca="false">IF('Reverse Search'!$C$7="Disable",1,IF('Reverse Search'!$D$9="Disable",1,IF(OR('Reverse Search'!$F$9=H218,'Reverse Search'!$F$9=I218),1,0)))</f>
        <v>1</v>
      </c>
      <c r="S218" s="0" t="n">
        <f aca="false">IF('Reverse Search'!$C$7="Disable",1,IF('Reverse Search'!$D$10="Disable",1,IF(OR('Reverse Search'!$F$10=H218,'Reverse Search'!$F$10=I218),1,0)))</f>
        <v>1</v>
      </c>
      <c r="T218" s="0" t="n">
        <f aca="false">INDEX($B$4:$B$22,MATCH(H218,$A$4:$A$22,0))</f>
        <v>1</v>
      </c>
      <c r="U218" s="0" t="n">
        <f aca="false">IF(ISBLANK(I218),1,INDEX($B$4:$B$22,MATCH(I218,$A$4:$A$22,0)))</f>
        <v>1</v>
      </c>
      <c r="V218" s="367" t="n">
        <f aca="false">IF('Reverse Search'!$C$7="Disable",1,IF('Reverse Search'!$D$11="Disable",1,IF('Reverse Search'!$E$11="Neutral to:",IF(ROUND(T218*U218,2)&lt;=1,1,0),IF(ROUND(T218*U218,2)&lt;1,1,0))))</f>
        <v>1</v>
      </c>
      <c r="W218" s="0" t="n">
        <f aca="false">IF('Reverse Search'!$N$7="Disable",1,IF('Reverse Search'!$I$9="Disable",1,IF('Reverse Search'!$K$9="≥",IF(J218&gt;='Reverse Search'!$L$9,1,0),IF('Reverse Search'!$K$9="≤",IF(J218&lt;='Reverse Search'!$L$9,1,0),IF(J218='Reverse Search'!$L$9,1,0)))))</f>
        <v>1</v>
      </c>
      <c r="X218" s="0" t="n">
        <f aca="false">IF('Reverse Search'!$N$7="Disable",1,IF('Reverse Search'!$I$10="Disable",1,IF('Reverse Search'!$K$10="≥",IF(K218&gt;='Reverse Search'!$L$10,1,0),IF('Reverse Search'!$K$10="≤",IF(K218&lt;='Reverse Search'!$L$10,1,0),IF(K218='Reverse Search'!$L$10,1,0)))))</f>
        <v>1</v>
      </c>
      <c r="Y218" s="367" t="n">
        <f aca="false">IF('Reverse Search'!$N$7="Disable",1,IF('Reverse Search'!$I$11="Disable",1,IF('Reverse Search'!$K$11="≥",IF(L218&gt;='Reverse Search'!$L$11,1,0),IF('Reverse Search'!$K$11="≤",IF(L218&lt;='Reverse Search'!$L$11,1,0),IF(L218='Reverse Search'!$L$11,1,0)))))</f>
        <v>1</v>
      </c>
      <c r="Z218" s="0" t="n">
        <f aca="true">IF('Reverse Search'!$C$14="Disable",1,IF('Reverse Search'!$D$16="Disable",1,IF($C$2=3,IF($M218=0,0,COUNTIF(INDIRECT("'0.0.2 Pokémon Learnset (Core)'!$D$"&amp;MATCH($E218,'0.0.2 Pokémon Learnset (Core)'!$A$1:$A951,0)&amp;":$FK$"&amp;MATCH($E218,'0.0.2 Pokémon Learnset (Core)'!$A$1:$A951,0)),'Reverse Search'!$E$21)),IF($C$2=2,COUNTIF(INDIRECT("'0.1.1 Pokémon GO Moves'!$B$"&amp;MATCH($E218,'0.1.1 Pokémon GO Moves'!$A$1:$A951,0)&amp;":$R$"&amp;MATCH($E218,'0.1.1 Pokémon GO Moves'!$A$1:$A951,0)),'Reverse Search'!$E$21),COUNTIF(INDIRECT("'0.1.1 Pokémon GO Moves'!$B$"&amp;MATCH($E218,'0.1.1 Pokémon GO Moves'!$A$1:$A951,0)&amp;":$L$"&amp;MATCH($E218,'0.1.1 Pokémon GO Moves'!$A$1:$A951,0)),'Reverse Search'!$E$21)))))</f>
        <v>1</v>
      </c>
      <c r="AA218" s="0" t="n">
        <f aca="true">IF('Reverse Search'!$C$14="Disable",1,IF('Reverse Search'!$I$16="Disable",1,IF($D$2=3,IF($M218=0,0,COUNTIF(INDIRECT("'0.0.2 Pokémon Learnset (Core)'!$D$"&amp;MATCH($E218,'0.0.2 Pokémon Learnset (Core)'!$A$1:$A951,0)&amp;":$FK$"&amp;MATCH($E218,'0.0.2 Pokémon Learnset (Core)'!$A$1:$A951,0)),'Reverse Search'!$J$21)),IF($D$2=2,COUNTIF(INDIRECT("'0.1.1 Pokémon GO Moves'!$B$"&amp;MATCH($E218,'0.1.1 Pokémon GO Moves'!$A$1:$A951,0)&amp;":$R$"&amp;MATCH($E218,'0.1.1 Pokémon GO Moves'!$A$1:$A951,0)),'Reverse Search'!$J$21),COUNTIF(INDIRECT("'0.1.1 Pokémon GO Moves'!$B$"&amp;MATCH($E218,'0.1.1 Pokémon GO Moves'!$A$1:$A951,0)&amp;":$L$"&amp;MATCH($E218,'0.1.1 Pokémon GO Moves'!$A$1:$A951,0)),'Reverse Search'!$J$21)))))</f>
        <v>0</v>
      </c>
      <c r="AB218" s="490"/>
      <c r="AC218" s="260" t="n">
        <f aca="false">IF((Q218+R218+S218+V218+W218+X218+Y218+IF(Z218&gt;=1,1,0)+IF(AA218&gt;=1,1,0))=9,G218&amp;", ",)</f>
        <v>0</v>
      </c>
    </row>
    <row r="219" customFormat="false" ht="15.75" hidden="false" customHeight="false" outlineLevel="0" collapsed="false">
      <c r="A219" s="260"/>
      <c r="B219" s="358"/>
      <c r="C219" s="260"/>
      <c r="D219" s="358"/>
      <c r="E219" s="260" t="n">
        <v>218</v>
      </c>
      <c r="F219" s="260" t="n">
        <f aca="false" t="array" ref="F219:F219">INDEX('0.0.1 Pokémon Dex Data'!$H$3:$H951,MATCH(E219,'0.0.1 Pokémon Dex Data'!$B$3:$B951,0))</f>
        <v>0</v>
      </c>
      <c r="G219" s="0" t="str">
        <f aca="false" t="array" ref="G219:G219">INDEX('0.0.1 Pokémon Dex Data'!$E$3:$E951,MATCH(E219,'0.0.1 Pokémon Dex Data'!$B$3:$B951,0))</f>
        <v>Azumarill</v>
      </c>
      <c r="H219" s="0" t="str">
        <f aca="false" t="array" ref="H219:H219">INDEX('0.0.1 Pokémon Dex Data'!$Q$3:$Q951,MATCH(E219,'0.0.1 Pokémon Dex Data'!$B$3:$B951,0))</f>
        <v>Water</v>
      </c>
      <c r="I219" s="0" t="str">
        <f aca="false" t="array" ref="I219:I219">INDEX('0.0.1 Pokémon Dex Data'!$R$3:$R951,MATCH(E219,'0.0.1 Pokémon Dex Data'!$B$3:$B951,0))</f>
        <v>Fairy</v>
      </c>
      <c r="J219" s="260" t="n">
        <f aca="false" t="array" ref="J219:J219">ROUND(INDEX('0.0.1 Pokémon Dex Data'!$S$3:$S951,MATCH($E219,'0.0.1 Pokémon Dex Data'!$B$3:$B951,0))*INDEX('0.0.1 Pokémon Dex Data'!T$3:T951,MATCH($E219,'0.0.1 Pokémon Dex Data'!$B$3:$B951,0)),0)</f>
        <v>112</v>
      </c>
      <c r="K219" s="260" t="n">
        <f aca="false" t="array" ref="K219:K219">ROUND(INDEX('0.0.1 Pokémon Dex Data'!$S$3:$S951,MATCH($E219,'0.0.1 Pokémon Dex Data'!$B$3:$B951,0))*INDEX('0.0.1 Pokémon Dex Data'!U$3:U951,MATCH($E219,'0.0.1 Pokémon Dex Data'!$B$3:$B951,0)),0)</f>
        <v>152</v>
      </c>
      <c r="L219" s="260" t="n">
        <f aca="false" t="array" ref="L219:L219">ROUND(INDEX('0.0.1 Pokémon Dex Data'!$S$3:$S951,MATCH($E219,'0.0.1 Pokémon Dex Data'!$B$3:$B951,0))*INDEX('0.0.1 Pokémon Dex Data'!V$3:V951,MATCH($E219,'0.0.1 Pokémon Dex Data'!$B$3:$B951,0)),0)</f>
        <v>225</v>
      </c>
      <c r="M219" s="260" t="n">
        <f aca="false" t="array" ref="M219:M219">INDEX('0.0.1 Pokémon Dex Data'!$J$3:$J951,MATCH(E219,'0.0.1 Pokémon Dex Data'!$B$3:$B951,0))</f>
        <v>1</v>
      </c>
      <c r="O219" s="490"/>
      <c r="Q219" s="367" t="n">
        <f aca="false">IF('Reverse Search'!$F$4="All (including temporary formes)",1,IF('Reverse Search'!$F$4="Base Pokémon and permanent formes only",IF(F219&lt;=1,1,0),IF(F219=0,1,0)))</f>
        <v>1</v>
      </c>
      <c r="R219" s="0" t="n">
        <f aca="false">IF('Reverse Search'!$C$7="Disable",1,IF('Reverse Search'!$D$9="Disable",1,IF(OR('Reverse Search'!$F$9=H219,'Reverse Search'!$F$9=I219),1,0)))</f>
        <v>1</v>
      </c>
      <c r="S219" s="0" t="n">
        <f aca="false">IF('Reverse Search'!$C$7="Disable",1,IF('Reverse Search'!$D$10="Disable",1,IF(OR('Reverse Search'!$F$10=H219,'Reverse Search'!$F$10=I219),1,0)))</f>
        <v>1</v>
      </c>
      <c r="T219" s="0" t="n">
        <f aca="false">INDEX($B$4:$B$22,MATCH(H219,$A$4:$A$22,0))</f>
        <v>1</v>
      </c>
      <c r="U219" s="0" t="n">
        <f aca="false">IF(ISBLANK(I219),1,INDEX($B$4:$B$22,MATCH(I219,$A$4:$A$22,0)))</f>
        <v>1</v>
      </c>
      <c r="V219" s="367" t="n">
        <f aca="false">IF('Reverse Search'!$C$7="Disable",1,IF('Reverse Search'!$D$11="Disable",1,IF('Reverse Search'!$E$11="Neutral to:",IF(ROUND(T219*U219,2)&lt;=1,1,0),IF(ROUND(T219*U219,2)&lt;1,1,0))))</f>
        <v>1</v>
      </c>
      <c r="W219" s="0" t="n">
        <f aca="false">IF('Reverse Search'!$N$7="Disable",1,IF('Reverse Search'!$I$9="Disable",1,IF('Reverse Search'!$K$9="≥",IF(J219&gt;='Reverse Search'!$L$9,1,0),IF('Reverse Search'!$K$9="≤",IF(J219&lt;='Reverse Search'!$L$9,1,0),IF(J219='Reverse Search'!$L$9,1,0)))))</f>
        <v>1</v>
      </c>
      <c r="X219" s="0" t="n">
        <f aca="false">IF('Reverse Search'!$N$7="Disable",1,IF('Reverse Search'!$I$10="Disable",1,IF('Reverse Search'!$K$10="≥",IF(K219&gt;='Reverse Search'!$L$10,1,0),IF('Reverse Search'!$K$10="≤",IF(K219&lt;='Reverse Search'!$L$10,1,0),IF(K219='Reverse Search'!$L$10,1,0)))))</f>
        <v>1</v>
      </c>
      <c r="Y219" s="367" t="n">
        <f aca="false">IF('Reverse Search'!$N$7="Disable",1,IF('Reverse Search'!$I$11="Disable",1,IF('Reverse Search'!$K$11="≥",IF(L219&gt;='Reverse Search'!$L$11,1,0),IF('Reverse Search'!$K$11="≤",IF(L219&lt;='Reverse Search'!$L$11,1,0),IF(L219='Reverse Search'!$L$11,1,0)))))</f>
        <v>1</v>
      </c>
      <c r="Z219" s="0" t="n">
        <f aca="true">IF('Reverse Search'!$C$14="Disable",1,IF('Reverse Search'!$D$16="Disable",1,IF($C$2=3,IF($M219=0,0,COUNTIF(INDIRECT("'0.0.2 Pokémon Learnset (Core)'!$D$"&amp;MATCH($E219,'0.0.2 Pokémon Learnset (Core)'!$A$1:$A951,0)&amp;":$FK$"&amp;MATCH($E219,'0.0.2 Pokémon Learnset (Core)'!$A$1:$A951,0)),'Reverse Search'!$E$21)),IF($C$2=2,COUNTIF(INDIRECT("'0.1.1 Pokémon GO Moves'!$B$"&amp;MATCH($E219,'0.1.1 Pokémon GO Moves'!$A$1:$A951,0)&amp;":$R$"&amp;MATCH($E219,'0.1.1 Pokémon GO Moves'!$A$1:$A951,0)),'Reverse Search'!$E$21),COUNTIF(INDIRECT("'0.1.1 Pokémon GO Moves'!$B$"&amp;MATCH($E219,'0.1.1 Pokémon GO Moves'!$A$1:$A951,0)&amp;":$L$"&amp;MATCH($E219,'0.1.1 Pokémon GO Moves'!$A$1:$A951,0)),'Reverse Search'!$E$21)))))</f>
        <v>1</v>
      </c>
      <c r="AA219" s="0" t="n">
        <f aca="true">IF('Reverse Search'!$C$14="Disable",1,IF('Reverse Search'!$I$16="Disable",1,IF($D$2=3,IF($M219=0,0,COUNTIF(INDIRECT("'0.0.2 Pokémon Learnset (Core)'!$D$"&amp;MATCH($E219,'0.0.2 Pokémon Learnset (Core)'!$A$1:$A951,0)&amp;":$FK$"&amp;MATCH($E219,'0.0.2 Pokémon Learnset (Core)'!$A$1:$A951,0)),'Reverse Search'!$J$21)),IF($D$2=2,COUNTIF(INDIRECT("'0.1.1 Pokémon GO Moves'!$B$"&amp;MATCH($E219,'0.1.1 Pokémon GO Moves'!$A$1:$A951,0)&amp;":$R$"&amp;MATCH($E219,'0.1.1 Pokémon GO Moves'!$A$1:$A951,0)),'Reverse Search'!$J$21),COUNTIF(INDIRECT("'0.1.1 Pokémon GO Moves'!$B$"&amp;MATCH($E219,'0.1.1 Pokémon GO Moves'!$A$1:$A951,0)&amp;":$L$"&amp;MATCH($E219,'0.1.1 Pokémon GO Moves'!$A$1:$A951,0)),'Reverse Search'!$J$21)))))</f>
        <v>0</v>
      </c>
      <c r="AB219" s="490"/>
      <c r="AC219" s="260" t="n">
        <f aca="false">IF((Q219+R219+S219+V219+W219+X219+Y219+IF(Z219&gt;=1,1,0)+IF(AA219&gt;=1,1,0))=9,G219&amp;", ",)</f>
        <v>0</v>
      </c>
    </row>
    <row r="220" customFormat="false" ht="15.75" hidden="false" customHeight="false" outlineLevel="0" collapsed="false">
      <c r="A220" s="260"/>
      <c r="B220" s="358"/>
      <c r="C220" s="260"/>
      <c r="D220" s="358"/>
      <c r="E220" s="260" t="n">
        <v>219</v>
      </c>
      <c r="F220" s="260" t="n">
        <f aca="false" t="array" ref="F220:F220">INDEX('0.0.1 Pokémon Dex Data'!$H$3:$H951,MATCH(E220,'0.0.1 Pokémon Dex Data'!$B$3:$B951,0))</f>
        <v>0</v>
      </c>
      <c r="G220" s="0" t="str">
        <f aca="false" t="array" ref="G220:G220">INDEX('0.0.1 Pokémon Dex Data'!$E$3:$E951,MATCH(E220,'0.0.1 Pokémon Dex Data'!$B$3:$B951,0))</f>
        <v>Sudowoodo</v>
      </c>
      <c r="H220" s="0" t="str">
        <f aca="false" t="array" ref="H220:H220">INDEX('0.0.1 Pokémon Dex Data'!$Q$3:$Q951,MATCH(E220,'0.0.1 Pokémon Dex Data'!$B$3:$B951,0))</f>
        <v>Rock</v>
      </c>
      <c r="I220" s="0" t="n">
        <f aca="false">INDEX('0.0.1 Pokémon Dex Data'!$R$3:$R951,MATCH(E220,'0.0.1 Pokémon Dex Data'!$B$3:$B951,0))</f>
        <v>0</v>
      </c>
      <c r="J220" s="260" t="n">
        <f aca="false" t="array" ref="J220:J220">ROUND(INDEX('0.0.1 Pokémon Dex Data'!$S$3:$S951,MATCH($E220,'0.0.1 Pokémon Dex Data'!$B$3:$B951,0))*INDEX('0.0.1 Pokémon Dex Data'!T$3:T951,MATCH($E220,'0.0.1 Pokémon Dex Data'!$B$3:$B951,0)),0)</f>
        <v>167</v>
      </c>
      <c r="K220" s="260" t="n">
        <f aca="false" t="array" ref="K220:K220">ROUND(INDEX('0.0.1 Pokémon Dex Data'!$S$3:$S951,MATCH($E220,'0.0.1 Pokémon Dex Data'!$B$3:$B951,0))*INDEX('0.0.1 Pokémon Dex Data'!U$3:U951,MATCH($E220,'0.0.1 Pokémon Dex Data'!$B$3:$B951,0)),0)</f>
        <v>176</v>
      </c>
      <c r="L220" s="260" t="n">
        <f aca="false" t="array" ref="L220:L220">ROUND(INDEX('0.0.1 Pokémon Dex Data'!$S$3:$S951,MATCH($E220,'0.0.1 Pokémon Dex Data'!$B$3:$B951,0))*INDEX('0.0.1 Pokémon Dex Data'!V$3:V951,MATCH($E220,'0.0.1 Pokémon Dex Data'!$B$3:$B951,0)),0)</f>
        <v>172</v>
      </c>
      <c r="M220" s="260" t="n">
        <f aca="false" t="array" ref="M220:M220">INDEX('0.0.1 Pokémon Dex Data'!$J$3:$J951,MATCH(E220,'0.0.1 Pokémon Dex Data'!$B$3:$B951,0))</f>
        <v>1</v>
      </c>
      <c r="O220" s="490"/>
      <c r="Q220" s="367" t="n">
        <f aca="false">IF('Reverse Search'!$F$4="All (including temporary formes)",1,IF('Reverse Search'!$F$4="Base Pokémon and permanent formes only",IF(F220&lt;=1,1,0),IF(F220=0,1,0)))</f>
        <v>1</v>
      </c>
      <c r="R220" s="0" t="n">
        <f aca="false">IF('Reverse Search'!$C$7="Disable",1,IF('Reverse Search'!$D$9="Disable",1,IF(OR('Reverse Search'!$F$9=H220,'Reverse Search'!$F$9=I220),1,0)))</f>
        <v>1</v>
      </c>
      <c r="S220" s="0" t="n">
        <f aca="false">IF('Reverse Search'!$C$7="Disable",1,IF('Reverse Search'!$D$10="Disable",1,IF(OR('Reverse Search'!$F$10=H220,'Reverse Search'!$F$10=I220),1,0)))</f>
        <v>1</v>
      </c>
      <c r="T220" s="0" t="n">
        <f aca="false">INDEX($B$4:$B$22,MATCH(H220,$A$4:$A$22,0))</f>
        <v>0.714</v>
      </c>
      <c r="U220" s="0" t="e">
        <f aca="false">IF(ISBLANK(I220),1,INDEX($B$4:$B$22,MATCH(I220,$A$4:$A$22,0)))</f>
        <v>#N/A</v>
      </c>
      <c r="V220" s="367" t="n">
        <f aca="false">IF('Reverse Search'!$C$7="Disable",1,IF('Reverse Search'!$D$11="Disable",1,IF('Reverse Search'!$E$11="Neutral to:",IF(ROUND(T220*U220,2)&lt;=1,1,0),IF(ROUND(T220*U220,2)&lt;1,1,0))))</f>
        <v>1</v>
      </c>
      <c r="W220" s="0" t="n">
        <f aca="false">IF('Reverse Search'!$N$7="Disable",1,IF('Reverse Search'!$I$9="Disable",1,IF('Reverse Search'!$K$9="≥",IF(J220&gt;='Reverse Search'!$L$9,1,0),IF('Reverse Search'!$K$9="≤",IF(J220&lt;='Reverse Search'!$L$9,1,0),IF(J220='Reverse Search'!$L$9,1,0)))))</f>
        <v>1</v>
      </c>
      <c r="X220" s="0" t="n">
        <f aca="false">IF('Reverse Search'!$N$7="Disable",1,IF('Reverse Search'!$I$10="Disable",1,IF('Reverse Search'!$K$10="≥",IF(K220&gt;='Reverse Search'!$L$10,1,0),IF('Reverse Search'!$K$10="≤",IF(K220&lt;='Reverse Search'!$L$10,1,0),IF(K220='Reverse Search'!$L$10,1,0)))))</f>
        <v>1</v>
      </c>
      <c r="Y220" s="367" t="n">
        <f aca="false">IF('Reverse Search'!$N$7="Disable",1,IF('Reverse Search'!$I$11="Disable",1,IF('Reverse Search'!$K$11="≥",IF(L220&gt;='Reverse Search'!$L$11,1,0),IF('Reverse Search'!$K$11="≤",IF(L220&lt;='Reverse Search'!$L$11,1,0),IF(L220='Reverse Search'!$L$11,1,0)))))</f>
        <v>1</v>
      </c>
      <c r="Z220" s="0" t="n">
        <f aca="true">IF('Reverse Search'!$C$14="Disable",1,IF('Reverse Search'!$D$16="Disable",1,IF($C$2=3,IF($M220=0,0,COUNTIF(INDIRECT("'0.0.2 Pokémon Learnset (Core)'!$D$"&amp;MATCH($E220,'0.0.2 Pokémon Learnset (Core)'!$A$1:$A951,0)&amp;":$FK$"&amp;MATCH($E220,'0.0.2 Pokémon Learnset (Core)'!$A$1:$A951,0)),'Reverse Search'!$E$21)),IF($C$2=2,COUNTIF(INDIRECT("'0.1.1 Pokémon GO Moves'!$B$"&amp;MATCH($E220,'0.1.1 Pokémon GO Moves'!$A$1:$A951,0)&amp;":$R$"&amp;MATCH($E220,'0.1.1 Pokémon GO Moves'!$A$1:$A951,0)),'Reverse Search'!$E$21),COUNTIF(INDIRECT("'0.1.1 Pokémon GO Moves'!$B$"&amp;MATCH($E220,'0.1.1 Pokémon GO Moves'!$A$1:$A951,0)&amp;":$L$"&amp;MATCH($E220,'0.1.1 Pokémon GO Moves'!$A$1:$A951,0)),'Reverse Search'!$E$21)))))</f>
        <v>1</v>
      </c>
      <c r="AA220" s="0" t="n">
        <f aca="true">IF('Reverse Search'!$C$14="Disable",1,IF('Reverse Search'!$I$16="Disable",1,IF($D$2=3,IF($M220=0,0,COUNTIF(INDIRECT("'0.0.2 Pokémon Learnset (Core)'!$D$"&amp;MATCH($E220,'0.0.2 Pokémon Learnset (Core)'!$A$1:$A951,0)&amp;":$FK$"&amp;MATCH($E220,'0.0.2 Pokémon Learnset (Core)'!$A$1:$A951,0)),'Reverse Search'!$J$21)),IF($D$2=2,COUNTIF(INDIRECT("'0.1.1 Pokémon GO Moves'!$B$"&amp;MATCH($E220,'0.1.1 Pokémon GO Moves'!$A$1:$A951,0)&amp;":$R$"&amp;MATCH($E220,'0.1.1 Pokémon GO Moves'!$A$1:$A951,0)),'Reverse Search'!$J$21),COUNTIF(INDIRECT("'0.1.1 Pokémon GO Moves'!$B$"&amp;MATCH($E220,'0.1.1 Pokémon GO Moves'!$A$1:$A951,0)&amp;":$L$"&amp;MATCH($E220,'0.1.1 Pokémon GO Moves'!$A$1:$A951,0)),'Reverse Search'!$J$21)))))</f>
        <v>0</v>
      </c>
      <c r="AB220" s="490"/>
      <c r="AC220" s="260" t="n">
        <f aca="false">IF((Q220+R220+S220+V220+W220+X220+Y220+IF(Z220&gt;=1,1,0)+IF(AA220&gt;=1,1,0))=9,G220&amp;", ",)</f>
        <v>0</v>
      </c>
    </row>
    <row r="221" customFormat="false" ht="15.75" hidden="false" customHeight="false" outlineLevel="0" collapsed="false">
      <c r="A221" s="260"/>
      <c r="B221" s="358"/>
      <c r="C221" s="260"/>
      <c r="D221" s="358"/>
      <c r="E221" s="260" t="n">
        <v>220</v>
      </c>
      <c r="F221" s="260" t="n">
        <f aca="false" t="array" ref="F221:F221">INDEX('0.0.1 Pokémon Dex Data'!$H$3:$H951,MATCH(E221,'0.0.1 Pokémon Dex Data'!$B$3:$B951,0))</f>
        <v>0</v>
      </c>
      <c r="G221" s="0" t="str">
        <f aca="false" t="array" ref="G221:G221">INDEX('0.0.1 Pokémon Dex Data'!$E$3:$E951,MATCH(E221,'0.0.1 Pokémon Dex Data'!$B$3:$B951,0))</f>
        <v>Politoed</v>
      </c>
      <c r="H221" s="0" t="str">
        <f aca="false" t="array" ref="H221:H221">INDEX('0.0.1 Pokémon Dex Data'!$Q$3:$Q951,MATCH(E221,'0.0.1 Pokémon Dex Data'!$B$3:$B951,0))</f>
        <v>Water</v>
      </c>
      <c r="I221" s="0" t="n">
        <f aca="false">INDEX('0.0.1 Pokémon Dex Data'!$R$3:$R951,MATCH(E221,'0.0.1 Pokémon Dex Data'!$B$3:$B951,0))</f>
        <v>0</v>
      </c>
      <c r="J221" s="260" t="n">
        <f aca="false" t="array" ref="J221:J221">ROUND(INDEX('0.0.1 Pokémon Dex Data'!$S$3:$S951,MATCH($E221,'0.0.1 Pokémon Dex Data'!$B$3:$B951,0))*INDEX('0.0.1 Pokémon Dex Data'!T$3:T951,MATCH($E221,'0.0.1 Pokémon Dex Data'!$B$3:$B951,0)),0)</f>
        <v>174</v>
      </c>
      <c r="K221" s="260" t="n">
        <f aca="false" t="array" ref="K221:K221">ROUND(INDEX('0.0.1 Pokémon Dex Data'!$S$3:$S951,MATCH($E221,'0.0.1 Pokémon Dex Data'!$B$3:$B951,0))*INDEX('0.0.1 Pokémon Dex Data'!U$3:U951,MATCH($E221,'0.0.1 Pokémon Dex Data'!$B$3:$B951,0)),0)</f>
        <v>179</v>
      </c>
      <c r="L221" s="260" t="n">
        <f aca="false" t="array" ref="L221:L221">ROUND(INDEX('0.0.1 Pokémon Dex Data'!$S$3:$S951,MATCH($E221,'0.0.1 Pokémon Dex Data'!$B$3:$B951,0))*INDEX('0.0.1 Pokémon Dex Data'!V$3:V951,MATCH($E221,'0.0.1 Pokémon Dex Data'!$B$3:$B951,0)),0)</f>
        <v>207</v>
      </c>
      <c r="M221" s="260" t="n">
        <f aca="false" t="array" ref="M221:M221">INDEX('0.0.1 Pokémon Dex Data'!$J$3:$J951,MATCH(E221,'0.0.1 Pokémon Dex Data'!$B$3:$B951,0))</f>
        <v>1</v>
      </c>
      <c r="O221" s="490"/>
      <c r="Q221" s="367" t="n">
        <f aca="false">IF('Reverse Search'!$F$4="All (including temporary formes)",1,IF('Reverse Search'!$F$4="Base Pokémon and permanent formes only",IF(F221&lt;=1,1,0),IF(F221=0,1,0)))</f>
        <v>1</v>
      </c>
      <c r="R221" s="0" t="n">
        <f aca="false">IF('Reverse Search'!$C$7="Disable",1,IF('Reverse Search'!$D$9="Disable",1,IF(OR('Reverse Search'!$F$9=H221,'Reverse Search'!$F$9=I221),1,0)))</f>
        <v>1</v>
      </c>
      <c r="S221" s="0" t="n">
        <f aca="false">IF('Reverse Search'!$C$7="Disable",1,IF('Reverse Search'!$D$10="Disable",1,IF(OR('Reverse Search'!$F$10=H221,'Reverse Search'!$F$10=I221),1,0)))</f>
        <v>1</v>
      </c>
      <c r="T221" s="0" t="n">
        <f aca="false">INDEX($B$4:$B$22,MATCH(H221,$A$4:$A$22,0))</f>
        <v>1</v>
      </c>
      <c r="U221" s="0" t="e">
        <f aca="false">IF(ISBLANK(I221),1,INDEX($B$4:$B$22,MATCH(I221,$A$4:$A$22,0)))</f>
        <v>#N/A</v>
      </c>
      <c r="V221" s="367" t="n">
        <f aca="false">IF('Reverse Search'!$C$7="Disable",1,IF('Reverse Search'!$D$11="Disable",1,IF('Reverse Search'!$E$11="Neutral to:",IF(ROUND(T221*U221,2)&lt;=1,1,0),IF(ROUND(T221*U221,2)&lt;1,1,0))))</f>
        <v>1</v>
      </c>
      <c r="W221" s="0" t="n">
        <f aca="false">IF('Reverse Search'!$N$7="Disable",1,IF('Reverse Search'!$I$9="Disable",1,IF('Reverse Search'!$K$9="≥",IF(J221&gt;='Reverse Search'!$L$9,1,0),IF('Reverse Search'!$K$9="≤",IF(J221&lt;='Reverse Search'!$L$9,1,0),IF(J221='Reverse Search'!$L$9,1,0)))))</f>
        <v>1</v>
      </c>
      <c r="X221" s="0" t="n">
        <f aca="false">IF('Reverse Search'!$N$7="Disable",1,IF('Reverse Search'!$I$10="Disable",1,IF('Reverse Search'!$K$10="≥",IF(K221&gt;='Reverse Search'!$L$10,1,0),IF('Reverse Search'!$K$10="≤",IF(K221&lt;='Reverse Search'!$L$10,1,0),IF(K221='Reverse Search'!$L$10,1,0)))))</f>
        <v>1</v>
      </c>
      <c r="Y221" s="367" t="n">
        <f aca="false">IF('Reverse Search'!$N$7="Disable",1,IF('Reverse Search'!$I$11="Disable",1,IF('Reverse Search'!$K$11="≥",IF(L221&gt;='Reverse Search'!$L$11,1,0),IF('Reverse Search'!$K$11="≤",IF(L221&lt;='Reverse Search'!$L$11,1,0),IF(L221='Reverse Search'!$L$11,1,0)))))</f>
        <v>1</v>
      </c>
      <c r="Z221" s="0" t="n">
        <f aca="true">IF('Reverse Search'!$C$14="Disable",1,IF('Reverse Search'!$D$16="Disable",1,IF($C$2=3,IF($M221=0,0,COUNTIF(INDIRECT("'0.0.2 Pokémon Learnset (Core)'!$D$"&amp;MATCH($E221,'0.0.2 Pokémon Learnset (Core)'!$A$1:$A951,0)&amp;":$FK$"&amp;MATCH($E221,'0.0.2 Pokémon Learnset (Core)'!$A$1:$A951,0)),'Reverse Search'!$E$21)),IF($C$2=2,COUNTIF(INDIRECT("'0.1.1 Pokémon GO Moves'!$B$"&amp;MATCH($E221,'0.1.1 Pokémon GO Moves'!$A$1:$A951,0)&amp;":$R$"&amp;MATCH($E221,'0.1.1 Pokémon GO Moves'!$A$1:$A951,0)),'Reverse Search'!$E$21),COUNTIF(INDIRECT("'0.1.1 Pokémon GO Moves'!$B$"&amp;MATCH($E221,'0.1.1 Pokémon GO Moves'!$A$1:$A951,0)&amp;":$L$"&amp;MATCH($E221,'0.1.1 Pokémon GO Moves'!$A$1:$A951,0)),'Reverse Search'!$E$21)))))</f>
        <v>1</v>
      </c>
      <c r="AA221" s="0" t="n">
        <f aca="true">IF('Reverse Search'!$C$14="Disable",1,IF('Reverse Search'!$I$16="Disable",1,IF($D$2=3,IF($M221=0,0,COUNTIF(INDIRECT("'0.0.2 Pokémon Learnset (Core)'!$D$"&amp;MATCH($E221,'0.0.2 Pokémon Learnset (Core)'!$A$1:$A951,0)&amp;":$FK$"&amp;MATCH($E221,'0.0.2 Pokémon Learnset (Core)'!$A$1:$A951,0)),'Reverse Search'!$J$21)),IF($D$2=2,COUNTIF(INDIRECT("'0.1.1 Pokémon GO Moves'!$B$"&amp;MATCH($E221,'0.1.1 Pokémon GO Moves'!$A$1:$A951,0)&amp;":$R$"&amp;MATCH($E221,'0.1.1 Pokémon GO Moves'!$A$1:$A951,0)),'Reverse Search'!$J$21),COUNTIF(INDIRECT("'0.1.1 Pokémon GO Moves'!$B$"&amp;MATCH($E221,'0.1.1 Pokémon GO Moves'!$A$1:$A951,0)&amp;":$L$"&amp;MATCH($E221,'0.1.1 Pokémon GO Moves'!$A$1:$A951,0)),'Reverse Search'!$J$21)))))</f>
        <v>0</v>
      </c>
      <c r="AB221" s="490"/>
      <c r="AC221" s="260" t="n">
        <f aca="false">IF((Q221+R221+S221+V221+W221+X221+Y221+IF(Z221&gt;=1,1,0)+IF(AA221&gt;=1,1,0))=9,G221&amp;", ",)</f>
        <v>0</v>
      </c>
    </row>
    <row r="222" customFormat="false" ht="15.75" hidden="false" customHeight="false" outlineLevel="0" collapsed="false">
      <c r="A222" s="260"/>
      <c r="B222" s="358"/>
      <c r="C222" s="260"/>
      <c r="D222" s="358"/>
      <c r="E222" s="260" t="n">
        <v>221</v>
      </c>
      <c r="F222" s="260" t="n">
        <f aca="false" t="array" ref="F222:F222">INDEX('0.0.1 Pokémon Dex Data'!$H$3:$H951,MATCH(E222,'0.0.1 Pokémon Dex Data'!$B$3:$B951,0))</f>
        <v>0</v>
      </c>
      <c r="G222" s="0" t="str">
        <f aca="false" t="array" ref="G222:G222">INDEX('0.0.1 Pokémon Dex Data'!$E$3:$E951,MATCH(E222,'0.0.1 Pokémon Dex Data'!$B$3:$B951,0))</f>
        <v>Hoppip</v>
      </c>
      <c r="H222" s="0" t="str">
        <f aca="false" t="array" ref="H222:H222">INDEX('0.0.1 Pokémon Dex Data'!$Q$3:$Q951,MATCH(E222,'0.0.1 Pokémon Dex Data'!$B$3:$B951,0))</f>
        <v>Grass</v>
      </c>
      <c r="I222" s="0" t="str">
        <f aca="false" t="array" ref="I222:I222">INDEX('0.0.1 Pokémon Dex Data'!$R$3:$R951,MATCH(E222,'0.0.1 Pokémon Dex Data'!$B$3:$B951,0))</f>
        <v>Flying</v>
      </c>
      <c r="J222" s="260" t="n">
        <f aca="false" t="array" ref="J222:J222">ROUND(INDEX('0.0.1 Pokémon Dex Data'!$S$3:$S951,MATCH($E222,'0.0.1 Pokémon Dex Data'!$B$3:$B951,0))*INDEX('0.0.1 Pokémon Dex Data'!T$3:T951,MATCH($E222,'0.0.1 Pokémon Dex Data'!$B$3:$B951,0)),0)</f>
        <v>67</v>
      </c>
      <c r="K222" s="260" t="n">
        <f aca="false" t="array" ref="K222:K222">ROUND(INDEX('0.0.1 Pokémon Dex Data'!$S$3:$S951,MATCH($E222,'0.0.1 Pokémon Dex Data'!$B$3:$B951,0))*INDEX('0.0.1 Pokémon Dex Data'!U$3:U951,MATCH($E222,'0.0.1 Pokémon Dex Data'!$B$3:$B951,0)),0)</f>
        <v>94</v>
      </c>
      <c r="L222" s="260" t="n">
        <f aca="false" t="array" ref="L222:L222">ROUND(INDEX('0.0.1 Pokémon Dex Data'!$S$3:$S951,MATCH($E222,'0.0.1 Pokémon Dex Data'!$B$3:$B951,0))*INDEX('0.0.1 Pokémon Dex Data'!V$3:V951,MATCH($E222,'0.0.1 Pokémon Dex Data'!$B$3:$B951,0)),0)</f>
        <v>111</v>
      </c>
      <c r="M222" s="260" t="n">
        <f aca="false" t="array" ref="M222:M222">INDEX('0.0.1 Pokémon Dex Data'!$J$3:$J951,MATCH(E222,'0.0.1 Pokémon Dex Data'!$B$3:$B951,0))</f>
        <v>0</v>
      </c>
      <c r="O222" s="490"/>
      <c r="Q222" s="367" t="n">
        <f aca="false">IF('Reverse Search'!$F$4="All (including temporary formes)",1,IF('Reverse Search'!$F$4="Base Pokémon and permanent formes only",IF(F222&lt;=1,1,0),IF(F222=0,1,0)))</f>
        <v>1</v>
      </c>
      <c r="R222" s="0" t="n">
        <f aca="false">IF('Reverse Search'!$C$7="Disable",1,IF('Reverse Search'!$D$9="Disable",1,IF(OR('Reverse Search'!$F$9=H222,'Reverse Search'!$F$9=I222),1,0)))</f>
        <v>1</v>
      </c>
      <c r="S222" s="0" t="n">
        <f aca="false">IF('Reverse Search'!$C$7="Disable",1,IF('Reverse Search'!$D$10="Disable",1,IF(OR('Reverse Search'!$F$10=H222,'Reverse Search'!$F$10=I222),1,0)))</f>
        <v>1</v>
      </c>
      <c r="T222" s="0" t="n">
        <f aca="false">INDEX($B$4:$B$22,MATCH(H222,$A$4:$A$22,0))</f>
        <v>1</v>
      </c>
      <c r="U222" s="0" t="n">
        <f aca="false">IF(ISBLANK(I222),1,INDEX($B$4:$B$22,MATCH(I222,$A$4:$A$22,0)))</f>
        <v>1</v>
      </c>
      <c r="V222" s="367" t="n">
        <f aca="false">IF('Reverse Search'!$C$7="Disable",1,IF('Reverse Search'!$D$11="Disable",1,IF('Reverse Search'!$E$11="Neutral to:",IF(ROUND(T222*U222,2)&lt;=1,1,0),IF(ROUND(T222*U222,2)&lt;1,1,0))))</f>
        <v>1</v>
      </c>
      <c r="W222" s="0" t="n">
        <f aca="false">IF('Reverse Search'!$N$7="Disable",1,IF('Reverse Search'!$I$9="Disable",1,IF('Reverse Search'!$K$9="≥",IF(J222&gt;='Reverse Search'!$L$9,1,0),IF('Reverse Search'!$K$9="≤",IF(J222&lt;='Reverse Search'!$L$9,1,0),IF(J222='Reverse Search'!$L$9,1,0)))))</f>
        <v>1</v>
      </c>
      <c r="X222" s="0" t="n">
        <f aca="false">IF('Reverse Search'!$N$7="Disable",1,IF('Reverse Search'!$I$10="Disable",1,IF('Reverse Search'!$K$10="≥",IF(K222&gt;='Reverse Search'!$L$10,1,0),IF('Reverse Search'!$K$10="≤",IF(K222&lt;='Reverse Search'!$L$10,1,0),IF(K222='Reverse Search'!$L$10,1,0)))))</f>
        <v>1</v>
      </c>
      <c r="Y222" s="367" t="n">
        <f aca="false">IF('Reverse Search'!$N$7="Disable",1,IF('Reverse Search'!$I$11="Disable",1,IF('Reverse Search'!$K$11="≥",IF(L222&gt;='Reverse Search'!$L$11,1,0),IF('Reverse Search'!$K$11="≤",IF(L222&lt;='Reverse Search'!$L$11,1,0),IF(L222='Reverse Search'!$L$11,1,0)))))</f>
        <v>1</v>
      </c>
      <c r="Z222" s="0" t="n">
        <f aca="true">IF('Reverse Search'!$C$14="Disable",1,IF('Reverse Search'!$D$16="Disable",1,IF($C$2=3,IF($M222=0,0,COUNTIF(INDIRECT("'0.0.2 Pokémon Learnset (Core)'!$D$"&amp;MATCH($E222,'0.0.2 Pokémon Learnset (Core)'!$A$1:$A951,0)&amp;":$FK$"&amp;MATCH($E222,'0.0.2 Pokémon Learnset (Core)'!$A$1:$A951,0)),'Reverse Search'!$E$21)),IF($C$2=2,COUNTIF(INDIRECT("'0.1.1 Pokémon GO Moves'!$B$"&amp;MATCH($E222,'0.1.1 Pokémon GO Moves'!$A$1:$A951,0)&amp;":$R$"&amp;MATCH($E222,'0.1.1 Pokémon GO Moves'!$A$1:$A951,0)),'Reverse Search'!$E$21),COUNTIF(INDIRECT("'0.1.1 Pokémon GO Moves'!$B$"&amp;MATCH($E222,'0.1.1 Pokémon GO Moves'!$A$1:$A951,0)&amp;":$L$"&amp;MATCH($E222,'0.1.1 Pokémon GO Moves'!$A$1:$A951,0)),'Reverse Search'!$E$21)))))</f>
        <v>1</v>
      </c>
      <c r="AA222" s="0" t="n">
        <f aca="true">IF('Reverse Search'!$C$14="Disable",1,IF('Reverse Search'!$I$16="Disable",1,IF($D$2=3,IF($M222=0,0,COUNTIF(INDIRECT("'0.0.2 Pokémon Learnset (Core)'!$D$"&amp;MATCH($E222,'0.0.2 Pokémon Learnset (Core)'!$A$1:$A951,0)&amp;":$FK$"&amp;MATCH($E222,'0.0.2 Pokémon Learnset (Core)'!$A$1:$A951,0)),'Reverse Search'!$J$21)),IF($D$2=2,COUNTIF(INDIRECT("'0.1.1 Pokémon GO Moves'!$B$"&amp;MATCH($E222,'0.1.1 Pokémon GO Moves'!$A$1:$A951,0)&amp;":$R$"&amp;MATCH($E222,'0.1.1 Pokémon GO Moves'!$A$1:$A951,0)),'Reverse Search'!$J$21),COUNTIF(INDIRECT("'0.1.1 Pokémon GO Moves'!$B$"&amp;MATCH($E222,'0.1.1 Pokémon GO Moves'!$A$1:$A951,0)&amp;":$L$"&amp;MATCH($E222,'0.1.1 Pokémon GO Moves'!$A$1:$A951,0)),'Reverse Search'!$J$21)))))</f>
        <v>0</v>
      </c>
      <c r="AB222" s="490"/>
      <c r="AC222" s="260" t="n">
        <f aca="false">IF((Q222+R222+S222+V222+W222+X222+Y222+IF(Z222&gt;=1,1,0)+IF(AA222&gt;=1,1,0))=9,G222&amp;", ",)</f>
        <v>0</v>
      </c>
    </row>
    <row r="223" customFormat="false" ht="15.75" hidden="false" customHeight="false" outlineLevel="0" collapsed="false">
      <c r="A223" s="260"/>
      <c r="B223" s="358"/>
      <c r="C223" s="260"/>
      <c r="D223" s="358"/>
      <c r="E223" s="260" t="n">
        <v>222</v>
      </c>
      <c r="F223" s="260" t="n">
        <f aca="false" t="array" ref="F223:F223">INDEX('0.0.1 Pokémon Dex Data'!$H$3:$H951,MATCH(E223,'0.0.1 Pokémon Dex Data'!$B$3:$B951,0))</f>
        <v>0</v>
      </c>
      <c r="G223" s="0" t="str">
        <f aca="false" t="array" ref="G223:G223">INDEX('0.0.1 Pokémon Dex Data'!$E$3:$E951,MATCH(E223,'0.0.1 Pokémon Dex Data'!$B$3:$B951,0))</f>
        <v>Skiploom</v>
      </c>
      <c r="H223" s="0" t="str">
        <f aca="false" t="array" ref="H223:H223">INDEX('0.0.1 Pokémon Dex Data'!$Q$3:$Q951,MATCH(E223,'0.0.1 Pokémon Dex Data'!$B$3:$B951,0))</f>
        <v>Grass</v>
      </c>
      <c r="I223" s="0" t="str">
        <f aca="false" t="array" ref="I223:I223">INDEX('0.0.1 Pokémon Dex Data'!$R$3:$R951,MATCH(E223,'0.0.1 Pokémon Dex Data'!$B$3:$B951,0))</f>
        <v>Flying</v>
      </c>
      <c r="J223" s="260" t="n">
        <f aca="false" t="array" ref="J223:J223">ROUND(INDEX('0.0.1 Pokémon Dex Data'!$S$3:$S951,MATCH($E223,'0.0.1 Pokémon Dex Data'!$B$3:$B951,0))*INDEX('0.0.1 Pokémon Dex Data'!T$3:T951,MATCH($E223,'0.0.1 Pokémon Dex Data'!$B$3:$B951,0)),0)</f>
        <v>91</v>
      </c>
      <c r="K223" s="260" t="n">
        <f aca="false" t="array" ref="K223:K223">ROUND(INDEX('0.0.1 Pokémon Dex Data'!$S$3:$S951,MATCH($E223,'0.0.1 Pokémon Dex Data'!$B$3:$B951,0))*INDEX('0.0.1 Pokémon Dex Data'!U$3:U951,MATCH($E223,'0.0.1 Pokémon Dex Data'!$B$3:$B951,0)),0)</f>
        <v>120</v>
      </c>
      <c r="L223" s="260" t="n">
        <f aca="false" t="array" ref="L223:L223">ROUND(INDEX('0.0.1 Pokémon Dex Data'!$S$3:$S951,MATCH($E223,'0.0.1 Pokémon Dex Data'!$B$3:$B951,0))*INDEX('0.0.1 Pokémon Dex Data'!V$3:V951,MATCH($E223,'0.0.1 Pokémon Dex Data'!$B$3:$B951,0)),0)</f>
        <v>146</v>
      </c>
      <c r="M223" s="260" t="n">
        <f aca="false" t="array" ref="M223:M223">INDEX('0.0.1 Pokémon Dex Data'!$J$3:$J951,MATCH(E223,'0.0.1 Pokémon Dex Data'!$B$3:$B951,0))</f>
        <v>0</v>
      </c>
      <c r="O223" s="490"/>
      <c r="Q223" s="367" t="n">
        <f aca="false">IF('Reverse Search'!$F$4="All (including temporary formes)",1,IF('Reverse Search'!$F$4="Base Pokémon and permanent formes only",IF(F223&lt;=1,1,0),IF(F223=0,1,0)))</f>
        <v>1</v>
      </c>
      <c r="R223" s="0" t="n">
        <f aca="false">IF('Reverse Search'!$C$7="Disable",1,IF('Reverse Search'!$D$9="Disable",1,IF(OR('Reverse Search'!$F$9=H223,'Reverse Search'!$F$9=I223),1,0)))</f>
        <v>1</v>
      </c>
      <c r="S223" s="0" t="n">
        <f aca="false">IF('Reverse Search'!$C$7="Disable",1,IF('Reverse Search'!$D$10="Disable",1,IF(OR('Reverse Search'!$F$10=H223,'Reverse Search'!$F$10=I223),1,0)))</f>
        <v>1</v>
      </c>
      <c r="T223" s="0" t="n">
        <f aca="false">INDEX($B$4:$B$22,MATCH(H223,$A$4:$A$22,0))</f>
        <v>1</v>
      </c>
      <c r="U223" s="0" t="n">
        <f aca="false">IF(ISBLANK(I223),1,INDEX($B$4:$B$22,MATCH(I223,$A$4:$A$22,0)))</f>
        <v>1</v>
      </c>
      <c r="V223" s="367" t="n">
        <f aca="false">IF('Reverse Search'!$C$7="Disable",1,IF('Reverse Search'!$D$11="Disable",1,IF('Reverse Search'!$E$11="Neutral to:",IF(ROUND(T223*U223,2)&lt;=1,1,0),IF(ROUND(T223*U223,2)&lt;1,1,0))))</f>
        <v>1</v>
      </c>
      <c r="W223" s="0" t="n">
        <f aca="false">IF('Reverse Search'!$N$7="Disable",1,IF('Reverse Search'!$I$9="Disable",1,IF('Reverse Search'!$K$9="≥",IF(J223&gt;='Reverse Search'!$L$9,1,0),IF('Reverse Search'!$K$9="≤",IF(J223&lt;='Reverse Search'!$L$9,1,0),IF(J223='Reverse Search'!$L$9,1,0)))))</f>
        <v>1</v>
      </c>
      <c r="X223" s="0" t="n">
        <f aca="false">IF('Reverse Search'!$N$7="Disable",1,IF('Reverse Search'!$I$10="Disable",1,IF('Reverse Search'!$K$10="≥",IF(K223&gt;='Reverse Search'!$L$10,1,0),IF('Reverse Search'!$K$10="≤",IF(K223&lt;='Reverse Search'!$L$10,1,0),IF(K223='Reverse Search'!$L$10,1,0)))))</f>
        <v>1</v>
      </c>
      <c r="Y223" s="367" t="n">
        <f aca="false">IF('Reverse Search'!$N$7="Disable",1,IF('Reverse Search'!$I$11="Disable",1,IF('Reverse Search'!$K$11="≥",IF(L223&gt;='Reverse Search'!$L$11,1,0),IF('Reverse Search'!$K$11="≤",IF(L223&lt;='Reverse Search'!$L$11,1,0),IF(L223='Reverse Search'!$L$11,1,0)))))</f>
        <v>1</v>
      </c>
      <c r="Z223" s="0" t="n">
        <f aca="true">IF('Reverse Search'!$C$14="Disable",1,IF('Reverse Search'!$D$16="Disable",1,IF($C$2=3,IF($M223=0,0,COUNTIF(INDIRECT("'0.0.2 Pokémon Learnset (Core)'!$D$"&amp;MATCH($E223,'0.0.2 Pokémon Learnset (Core)'!$A$1:$A951,0)&amp;":$FK$"&amp;MATCH($E223,'0.0.2 Pokémon Learnset (Core)'!$A$1:$A951,0)),'Reverse Search'!$E$21)),IF($C$2=2,COUNTIF(INDIRECT("'0.1.1 Pokémon GO Moves'!$B$"&amp;MATCH($E223,'0.1.1 Pokémon GO Moves'!$A$1:$A951,0)&amp;":$R$"&amp;MATCH($E223,'0.1.1 Pokémon GO Moves'!$A$1:$A951,0)),'Reverse Search'!$E$21),COUNTIF(INDIRECT("'0.1.1 Pokémon GO Moves'!$B$"&amp;MATCH($E223,'0.1.1 Pokémon GO Moves'!$A$1:$A951,0)&amp;":$L$"&amp;MATCH($E223,'0.1.1 Pokémon GO Moves'!$A$1:$A951,0)),'Reverse Search'!$E$21)))))</f>
        <v>1</v>
      </c>
      <c r="AA223" s="0" t="n">
        <f aca="true">IF('Reverse Search'!$C$14="Disable",1,IF('Reverse Search'!$I$16="Disable",1,IF($D$2=3,IF($M223=0,0,COUNTIF(INDIRECT("'0.0.2 Pokémon Learnset (Core)'!$D$"&amp;MATCH($E223,'0.0.2 Pokémon Learnset (Core)'!$A$1:$A951,0)&amp;":$FK$"&amp;MATCH($E223,'0.0.2 Pokémon Learnset (Core)'!$A$1:$A951,0)),'Reverse Search'!$J$21)),IF($D$2=2,COUNTIF(INDIRECT("'0.1.1 Pokémon GO Moves'!$B$"&amp;MATCH($E223,'0.1.1 Pokémon GO Moves'!$A$1:$A951,0)&amp;":$R$"&amp;MATCH($E223,'0.1.1 Pokémon GO Moves'!$A$1:$A951,0)),'Reverse Search'!$J$21),COUNTIF(INDIRECT("'0.1.1 Pokémon GO Moves'!$B$"&amp;MATCH($E223,'0.1.1 Pokémon GO Moves'!$A$1:$A951,0)&amp;":$L$"&amp;MATCH($E223,'0.1.1 Pokémon GO Moves'!$A$1:$A951,0)),'Reverse Search'!$J$21)))))</f>
        <v>0</v>
      </c>
      <c r="AB223" s="490"/>
      <c r="AC223" s="260" t="n">
        <f aca="false">IF((Q223+R223+S223+V223+W223+X223+Y223+IF(Z223&gt;=1,1,0)+IF(AA223&gt;=1,1,0))=9,G223&amp;", ",)</f>
        <v>0</v>
      </c>
    </row>
    <row r="224" customFormat="false" ht="15.75" hidden="false" customHeight="false" outlineLevel="0" collapsed="false">
      <c r="A224" s="260"/>
      <c r="B224" s="358"/>
      <c r="C224" s="260"/>
      <c r="D224" s="358"/>
      <c r="E224" s="260" t="n">
        <v>223</v>
      </c>
      <c r="F224" s="260" t="n">
        <f aca="false" t="array" ref="F224:F224">INDEX('0.0.1 Pokémon Dex Data'!$H$3:$H951,MATCH(E224,'0.0.1 Pokémon Dex Data'!$B$3:$B951,0))</f>
        <v>0</v>
      </c>
      <c r="G224" s="0" t="str">
        <f aca="false" t="array" ref="G224:G224">INDEX('0.0.1 Pokémon Dex Data'!$E$3:$E951,MATCH(E224,'0.0.1 Pokémon Dex Data'!$B$3:$B951,0))</f>
        <v>Jumpluff</v>
      </c>
      <c r="H224" s="0" t="str">
        <f aca="false" t="array" ref="H224:H224">INDEX('0.0.1 Pokémon Dex Data'!$Q$3:$Q951,MATCH(E224,'0.0.1 Pokémon Dex Data'!$B$3:$B951,0))</f>
        <v>Grass</v>
      </c>
      <c r="I224" s="0" t="str">
        <f aca="false" t="array" ref="I224:I224">INDEX('0.0.1 Pokémon Dex Data'!$R$3:$R951,MATCH(E224,'0.0.1 Pokémon Dex Data'!$B$3:$B951,0))</f>
        <v>Flying</v>
      </c>
      <c r="J224" s="260" t="n">
        <f aca="false" t="array" ref="J224:J224">ROUND(INDEX('0.0.1 Pokémon Dex Data'!$S$3:$S951,MATCH($E224,'0.0.1 Pokémon Dex Data'!$B$3:$B951,0))*INDEX('0.0.1 Pokémon Dex Data'!T$3:T951,MATCH($E224,'0.0.1 Pokémon Dex Data'!$B$3:$B951,0)),0)</f>
        <v>118</v>
      </c>
      <c r="K224" s="260" t="n">
        <f aca="false" t="array" ref="K224:K224">ROUND(INDEX('0.0.1 Pokémon Dex Data'!$S$3:$S951,MATCH($E224,'0.0.1 Pokémon Dex Data'!$B$3:$B951,0))*INDEX('0.0.1 Pokémon Dex Data'!U$3:U951,MATCH($E224,'0.0.1 Pokémon Dex Data'!$B$3:$B951,0)),0)</f>
        <v>183</v>
      </c>
      <c r="L224" s="260" t="n">
        <f aca="false" t="array" ref="L224:L224">ROUND(INDEX('0.0.1 Pokémon Dex Data'!$S$3:$S951,MATCH($E224,'0.0.1 Pokémon Dex Data'!$B$3:$B951,0))*INDEX('0.0.1 Pokémon Dex Data'!V$3:V951,MATCH($E224,'0.0.1 Pokémon Dex Data'!$B$3:$B951,0)),0)</f>
        <v>181</v>
      </c>
      <c r="M224" s="260" t="n">
        <f aca="false" t="array" ref="M224:M224">INDEX('0.0.1 Pokémon Dex Data'!$J$3:$J951,MATCH(E224,'0.0.1 Pokémon Dex Data'!$B$3:$B951,0))</f>
        <v>1</v>
      </c>
      <c r="O224" s="490"/>
      <c r="Q224" s="367" t="n">
        <f aca="false">IF('Reverse Search'!$F$4="All (including temporary formes)",1,IF('Reverse Search'!$F$4="Base Pokémon and permanent formes only",IF(F224&lt;=1,1,0),IF(F224=0,1,0)))</f>
        <v>1</v>
      </c>
      <c r="R224" s="0" t="n">
        <f aca="false">IF('Reverse Search'!$C$7="Disable",1,IF('Reverse Search'!$D$9="Disable",1,IF(OR('Reverse Search'!$F$9=H224,'Reverse Search'!$F$9=I224),1,0)))</f>
        <v>1</v>
      </c>
      <c r="S224" s="0" t="n">
        <f aca="false">IF('Reverse Search'!$C$7="Disable",1,IF('Reverse Search'!$D$10="Disable",1,IF(OR('Reverse Search'!$F$10=H224,'Reverse Search'!$F$10=I224),1,0)))</f>
        <v>1</v>
      </c>
      <c r="T224" s="0" t="n">
        <f aca="false">INDEX($B$4:$B$22,MATCH(H224,$A$4:$A$22,0))</f>
        <v>1</v>
      </c>
      <c r="U224" s="0" t="n">
        <f aca="false">IF(ISBLANK(I224),1,INDEX($B$4:$B$22,MATCH(I224,$A$4:$A$22,0)))</f>
        <v>1</v>
      </c>
      <c r="V224" s="367" t="n">
        <f aca="false">IF('Reverse Search'!$C$7="Disable",1,IF('Reverse Search'!$D$11="Disable",1,IF('Reverse Search'!$E$11="Neutral to:",IF(ROUND(T224*U224,2)&lt;=1,1,0),IF(ROUND(T224*U224,2)&lt;1,1,0))))</f>
        <v>1</v>
      </c>
      <c r="W224" s="0" t="n">
        <f aca="false">IF('Reverse Search'!$N$7="Disable",1,IF('Reverse Search'!$I$9="Disable",1,IF('Reverse Search'!$K$9="≥",IF(J224&gt;='Reverse Search'!$L$9,1,0),IF('Reverse Search'!$K$9="≤",IF(J224&lt;='Reverse Search'!$L$9,1,0),IF(J224='Reverse Search'!$L$9,1,0)))))</f>
        <v>1</v>
      </c>
      <c r="X224" s="0" t="n">
        <f aca="false">IF('Reverse Search'!$N$7="Disable",1,IF('Reverse Search'!$I$10="Disable",1,IF('Reverse Search'!$K$10="≥",IF(K224&gt;='Reverse Search'!$L$10,1,0),IF('Reverse Search'!$K$10="≤",IF(K224&lt;='Reverse Search'!$L$10,1,0),IF(K224='Reverse Search'!$L$10,1,0)))))</f>
        <v>1</v>
      </c>
      <c r="Y224" s="367" t="n">
        <f aca="false">IF('Reverse Search'!$N$7="Disable",1,IF('Reverse Search'!$I$11="Disable",1,IF('Reverse Search'!$K$11="≥",IF(L224&gt;='Reverse Search'!$L$11,1,0),IF('Reverse Search'!$K$11="≤",IF(L224&lt;='Reverse Search'!$L$11,1,0),IF(L224='Reverse Search'!$L$11,1,0)))))</f>
        <v>1</v>
      </c>
      <c r="Z224" s="0" t="n">
        <f aca="true">IF('Reverse Search'!$C$14="Disable",1,IF('Reverse Search'!$D$16="Disable",1,IF($C$2=3,IF($M224=0,0,COUNTIF(INDIRECT("'0.0.2 Pokémon Learnset (Core)'!$D$"&amp;MATCH($E224,'0.0.2 Pokémon Learnset (Core)'!$A$1:$A951,0)&amp;":$FK$"&amp;MATCH($E224,'0.0.2 Pokémon Learnset (Core)'!$A$1:$A951,0)),'Reverse Search'!$E$21)),IF($C$2=2,COUNTIF(INDIRECT("'0.1.1 Pokémon GO Moves'!$B$"&amp;MATCH($E224,'0.1.1 Pokémon GO Moves'!$A$1:$A951,0)&amp;":$R$"&amp;MATCH($E224,'0.1.1 Pokémon GO Moves'!$A$1:$A951,0)),'Reverse Search'!$E$21),COUNTIF(INDIRECT("'0.1.1 Pokémon GO Moves'!$B$"&amp;MATCH($E224,'0.1.1 Pokémon GO Moves'!$A$1:$A951,0)&amp;":$L$"&amp;MATCH($E224,'0.1.1 Pokémon GO Moves'!$A$1:$A951,0)),'Reverse Search'!$E$21)))))</f>
        <v>1</v>
      </c>
      <c r="AA224" s="0" t="n">
        <f aca="true">IF('Reverse Search'!$C$14="Disable",1,IF('Reverse Search'!$I$16="Disable",1,IF($D$2=3,IF($M224=0,0,COUNTIF(INDIRECT("'0.0.2 Pokémon Learnset (Core)'!$D$"&amp;MATCH($E224,'0.0.2 Pokémon Learnset (Core)'!$A$1:$A951,0)&amp;":$FK$"&amp;MATCH($E224,'0.0.2 Pokémon Learnset (Core)'!$A$1:$A951,0)),'Reverse Search'!$J$21)),IF($D$2=2,COUNTIF(INDIRECT("'0.1.1 Pokémon GO Moves'!$B$"&amp;MATCH($E224,'0.1.1 Pokémon GO Moves'!$A$1:$A951,0)&amp;":$R$"&amp;MATCH($E224,'0.1.1 Pokémon GO Moves'!$A$1:$A951,0)),'Reverse Search'!$J$21),COUNTIF(INDIRECT("'0.1.1 Pokémon GO Moves'!$B$"&amp;MATCH($E224,'0.1.1 Pokémon GO Moves'!$A$1:$A951,0)&amp;":$L$"&amp;MATCH($E224,'0.1.1 Pokémon GO Moves'!$A$1:$A951,0)),'Reverse Search'!$J$21)))))</f>
        <v>0</v>
      </c>
      <c r="AB224" s="490"/>
      <c r="AC224" s="260" t="n">
        <f aca="false">IF((Q224+R224+S224+V224+W224+X224+Y224+IF(Z224&gt;=1,1,0)+IF(AA224&gt;=1,1,0))=9,G224&amp;", ",)</f>
        <v>0</v>
      </c>
    </row>
    <row r="225" customFormat="false" ht="15.75" hidden="false" customHeight="false" outlineLevel="0" collapsed="false">
      <c r="A225" s="260"/>
      <c r="B225" s="358"/>
      <c r="C225" s="260"/>
      <c r="D225" s="358"/>
      <c r="E225" s="260" t="n">
        <v>224</v>
      </c>
      <c r="F225" s="260" t="n">
        <f aca="false" t="array" ref="F225:F225">INDEX('0.0.1 Pokémon Dex Data'!$H$3:$H951,MATCH(E225,'0.0.1 Pokémon Dex Data'!$B$3:$B951,0))</f>
        <v>0</v>
      </c>
      <c r="G225" s="0" t="str">
        <f aca="false" t="array" ref="G225:G225">INDEX('0.0.1 Pokémon Dex Data'!$E$3:$E951,MATCH(E225,'0.0.1 Pokémon Dex Data'!$B$3:$B951,0))</f>
        <v>Aipom</v>
      </c>
      <c r="H225" s="0" t="str">
        <f aca="false" t="array" ref="H225:H225">INDEX('0.0.1 Pokémon Dex Data'!$Q$3:$Q951,MATCH(E225,'0.0.1 Pokémon Dex Data'!$B$3:$B951,0))</f>
        <v>Normal</v>
      </c>
      <c r="I225" s="0" t="n">
        <f aca="false">INDEX('0.0.1 Pokémon Dex Data'!$R$3:$R951,MATCH(E225,'0.0.1 Pokémon Dex Data'!$B$3:$B951,0))</f>
        <v>0</v>
      </c>
      <c r="J225" s="260" t="n">
        <f aca="false" t="array" ref="J225:J225">ROUND(INDEX('0.0.1 Pokémon Dex Data'!$S$3:$S951,MATCH($E225,'0.0.1 Pokémon Dex Data'!$B$3:$B951,0))*INDEX('0.0.1 Pokémon Dex Data'!T$3:T951,MATCH($E225,'0.0.1 Pokémon Dex Data'!$B$3:$B951,0)),0)</f>
        <v>136</v>
      </c>
      <c r="K225" s="260" t="n">
        <f aca="false" t="array" ref="K225:K225">ROUND(INDEX('0.0.1 Pokémon Dex Data'!$S$3:$S951,MATCH($E225,'0.0.1 Pokémon Dex Data'!$B$3:$B951,0))*INDEX('0.0.1 Pokémon Dex Data'!U$3:U951,MATCH($E225,'0.0.1 Pokémon Dex Data'!$B$3:$B951,0)),0)</f>
        <v>112</v>
      </c>
      <c r="L225" s="260" t="n">
        <f aca="false" t="array" ref="L225:L225">ROUND(INDEX('0.0.1 Pokémon Dex Data'!$S$3:$S951,MATCH($E225,'0.0.1 Pokémon Dex Data'!$B$3:$B951,0))*INDEX('0.0.1 Pokémon Dex Data'!V$3:V951,MATCH($E225,'0.0.1 Pokémon Dex Data'!$B$3:$B951,0)),0)</f>
        <v>146</v>
      </c>
      <c r="M225" s="260" t="n">
        <f aca="false" t="array" ref="M225:M225">INDEX('0.0.1 Pokémon Dex Data'!$J$3:$J951,MATCH(E225,'0.0.1 Pokémon Dex Data'!$B$3:$B951,0))</f>
        <v>1</v>
      </c>
      <c r="O225" s="490"/>
      <c r="Q225" s="367" t="n">
        <f aca="false">IF('Reverse Search'!$F$4="All (including temporary formes)",1,IF('Reverse Search'!$F$4="Base Pokémon and permanent formes only",IF(F225&lt;=1,1,0),IF(F225=0,1,0)))</f>
        <v>1</v>
      </c>
      <c r="R225" s="0" t="n">
        <f aca="false">IF('Reverse Search'!$C$7="Disable",1,IF('Reverse Search'!$D$9="Disable",1,IF(OR('Reverse Search'!$F$9=H225,'Reverse Search'!$F$9=I225),1,0)))</f>
        <v>1</v>
      </c>
      <c r="S225" s="0" t="n">
        <f aca="false">IF('Reverse Search'!$C$7="Disable",1,IF('Reverse Search'!$D$10="Disable",1,IF(OR('Reverse Search'!$F$10=H225,'Reverse Search'!$F$10=I225),1,0)))</f>
        <v>1</v>
      </c>
      <c r="T225" s="0" t="n">
        <f aca="false">INDEX($B$4:$B$22,MATCH(H225,$A$4:$A$22,0))</f>
        <v>1</v>
      </c>
      <c r="U225" s="0" t="e">
        <f aca="false">IF(ISBLANK(I225),1,INDEX($B$4:$B$22,MATCH(I225,$A$4:$A$22,0)))</f>
        <v>#N/A</v>
      </c>
      <c r="V225" s="367" t="n">
        <f aca="false">IF('Reverse Search'!$C$7="Disable",1,IF('Reverse Search'!$D$11="Disable",1,IF('Reverse Search'!$E$11="Neutral to:",IF(ROUND(T225*U225,2)&lt;=1,1,0),IF(ROUND(T225*U225,2)&lt;1,1,0))))</f>
        <v>1</v>
      </c>
      <c r="W225" s="0" t="n">
        <f aca="false">IF('Reverse Search'!$N$7="Disable",1,IF('Reverse Search'!$I$9="Disable",1,IF('Reverse Search'!$K$9="≥",IF(J225&gt;='Reverse Search'!$L$9,1,0),IF('Reverse Search'!$K$9="≤",IF(J225&lt;='Reverse Search'!$L$9,1,0),IF(J225='Reverse Search'!$L$9,1,0)))))</f>
        <v>1</v>
      </c>
      <c r="X225" s="0" t="n">
        <f aca="false">IF('Reverse Search'!$N$7="Disable",1,IF('Reverse Search'!$I$10="Disable",1,IF('Reverse Search'!$K$10="≥",IF(K225&gt;='Reverse Search'!$L$10,1,0),IF('Reverse Search'!$K$10="≤",IF(K225&lt;='Reverse Search'!$L$10,1,0),IF(K225='Reverse Search'!$L$10,1,0)))))</f>
        <v>1</v>
      </c>
      <c r="Y225" s="367" t="n">
        <f aca="false">IF('Reverse Search'!$N$7="Disable",1,IF('Reverse Search'!$I$11="Disable",1,IF('Reverse Search'!$K$11="≥",IF(L225&gt;='Reverse Search'!$L$11,1,0),IF('Reverse Search'!$K$11="≤",IF(L225&lt;='Reverse Search'!$L$11,1,0),IF(L225='Reverse Search'!$L$11,1,0)))))</f>
        <v>1</v>
      </c>
      <c r="Z225" s="0" t="n">
        <f aca="true">IF('Reverse Search'!$C$14="Disable",1,IF('Reverse Search'!$D$16="Disable",1,IF($C$2=3,IF($M225=0,0,COUNTIF(INDIRECT("'0.0.2 Pokémon Learnset (Core)'!$D$"&amp;MATCH($E225,'0.0.2 Pokémon Learnset (Core)'!$A$1:$A951,0)&amp;":$FK$"&amp;MATCH($E225,'0.0.2 Pokémon Learnset (Core)'!$A$1:$A951,0)),'Reverse Search'!$E$21)),IF($C$2=2,COUNTIF(INDIRECT("'0.1.1 Pokémon GO Moves'!$B$"&amp;MATCH($E225,'0.1.1 Pokémon GO Moves'!$A$1:$A951,0)&amp;":$R$"&amp;MATCH($E225,'0.1.1 Pokémon GO Moves'!$A$1:$A951,0)),'Reverse Search'!$E$21),COUNTIF(INDIRECT("'0.1.1 Pokémon GO Moves'!$B$"&amp;MATCH($E225,'0.1.1 Pokémon GO Moves'!$A$1:$A951,0)&amp;":$L$"&amp;MATCH($E225,'0.1.1 Pokémon GO Moves'!$A$1:$A951,0)),'Reverse Search'!$E$21)))))</f>
        <v>1</v>
      </c>
      <c r="AA225" s="0" t="n">
        <f aca="true">IF('Reverse Search'!$C$14="Disable",1,IF('Reverse Search'!$I$16="Disable",1,IF($D$2=3,IF($M225=0,0,COUNTIF(INDIRECT("'0.0.2 Pokémon Learnset (Core)'!$D$"&amp;MATCH($E225,'0.0.2 Pokémon Learnset (Core)'!$A$1:$A951,0)&amp;":$FK$"&amp;MATCH($E225,'0.0.2 Pokémon Learnset (Core)'!$A$1:$A951,0)),'Reverse Search'!$J$21)),IF($D$2=2,COUNTIF(INDIRECT("'0.1.1 Pokémon GO Moves'!$B$"&amp;MATCH($E225,'0.1.1 Pokémon GO Moves'!$A$1:$A951,0)&amp;":$R$"&amp;MATCH($E225,'0.1.1 Pokémon GO Moves'!$A$1:$A951,0)),'Reverse Search'!$J$21),COUNTIF(INDIRECT("'0.1.1 Pokémon GO Moves'!$B$"&amp;MATCH($E225,'0.1.1 Pokémon GO Moves'!$A$1:$A951,0)&amp;":$L$"&amp;MATCH($E225,'0.1.1 Pokémon GO Moves'!$A$1:$A951,0)),'Reverse Search'!$J$21)))))</f>
        <v>0</v>
      </c>
      <c r="AB225" s="490"/>
      <c r="AC225" s="260" t="n">
        <f aca="false">IF((Q225+R225+S225+V225+W225+X225+Y225+IF(Z225&gt;=1,1,0)+IF(AA225&gt;=1,1,0))=9,G225&amp;", ",)</f>
        <v>0</v>
      </c>
    </row>
    <row r="226" customFormat="false" ht="15.75" hidden="false" customHeight="false" outlineLevel="0" collapsed="false">
      <c r="A226" s="260"/>
      <c r="B226" s="358"/>
      <c r="C226" s="260"/>
      <c r="D226" s="358"/>
      <c r="E226" s="260" t="n">
        <v>225</v>
      </c>
      <c r="F226" s="260" t="n">
        <f aca="false" t="array" ref="F226:F226">INDEX('0.0.1 Pokémon Dex Data'!$H$3:$H951,MATCH(E226,'0.0.1 Pokémon Dex Data'!$B$3:$B951,0))</f>
        <v>0</v>
      </c>
      <c r="G226" s="0" t="str">
        <f aca="false" t="array" ref="G226:G226">INDEX('0.0.1 Pokémon Dex Data'!$E$3:$E951,MATCH(E226,'0.0.1 Pokémon Dex Data'!$B$3:$B951,0))</f>
        <v>Sunkern</v>
      </c>
      <c r="H226" s="0" t="str">
        <f aca="false" t="array" ref="H226:H226">INDEX('0.0.1 Pokémon Dex Data'!$Q$3:$Q951,MATCH(E226,'0.0.1 Pokémon Dex Data'!$B$3:$B951,0))</f>
        <v>Grass</v>
      </c>
      <c r="I226" s="0" t="n">
        <f aca="false">INDEX('0.0.1 Pokémon Dex Data'!$R$3:$R951,MATCH(E226,'0.0.1 Pokémon Dex Data'!$B$3:$B951,0))</f>
        <v>0</v>
      </c>
      <c r="J226" s="260" t="n">
        <f aca="false" t="array" ref="J226:J226">ROUND(INDEX('0.0.1 Pokémon Dex Data'!$S$3:$S951,MATCH($E226,'0.0.1 Pokémon Dex Data'!$B$3:$B951,0))*INDEX('0.0.1 Pokémon Dex Data'!T$3:T951,MATCH($E226,'0.0.1 Pokémon Dex Data'!$B$3:$B951,0)),0)</f>
        <v>55</v>
      </c>
      <c r="K226" s="260" t="n">
        <f aca="false" t="array" ref="K226:K226">ROUND(INDEX('0.0.1 Pokémon Dex Data'!$S$3:$S951,MATCH($E226,'0.0.1 Pokémon Dex Data'!$B$3:$B951,0))*INDEX('0.0.1 Pokémon Dex Data'!U$3:U951,MATCH($E226,'0.0.1 Pokémon Dex Data'!$B$3:$B951,0)),0)</f>
        <v>55</v>
      </c>
      <c r="L226" s="260" t="n">
        <f aca="false" t="array" ref="L226:L226">ROUND(INDEX('0.0.1 Pokémon Dex Data'!$S$3:$S951,MATCH($E226,'0.0.1 Pokémon Dex Data'!$B$3:$B951,0))*INDEX('0.0.1 Pokémon Dex Data'!V$3:V951,MATCH($E226,'0.0.1 Pokémon Dex Data'!$B$3:$B951,0)),0)</f>
        <v>102</v>
      </c>
      <c r="M226" s="260" t="n">
        <f aca="false" t="array" ref="M226:M226">INDEX('0.0.1 Pokémon Dex Data'!$J$3:$J951,MATCH(E226,'0.0.1 Pokémon Dex Data'!$B$3:$B951,0))</f>
        <v>0</v>
      </c>
      <c r="O226" s="490"/>
      <c r="Q226" s="367" t="n">
        <f aca="false">IF('Reverse Search'!$F$4="All (including temporary formes)",1,IF('Reverse Search'!$F$4="Base Pokémon and permanent formes only",IF(F226&lt;=1,1,0),IF(F226=0,1,0)))</f>
        <v>1</v>
      </c>
      <c r="R226" s="0" t="n">
        <f aca="false">IF('Reverse Search'!$C$7="Disable",1,IF('Reverse Search'!$D$9="Disable",1,IF(OR('Reverse Search'!$F$9=H226,'Reverse Search'!$F$9=I226),1,0)))</f>
        <v>1</v>
      </c>
      <c r="S226" s="0" t="n">
        <f aca="false">IF('Reverse Search'!$C$7="Disable",1,IF('Reverse Search'!$D$10="Disable",1,IF(OR('Reverse Search'!$F$10=H226,'Reverse Search'!$F$10=I226),1,0)))</f>
        <v>1</v>
      </c>
      <c r="T226" s="0" t="n">
        <f aca="false">INDEX($B$4:$B$22,MATCH(H226,$A$4:$A$22,0))</f>
        <v>1</v>
      </c>
      <c r="U226" s="0" t="e">
        <f aca="false">IF(ISBLANK(I226),1,INDEX($B$4:$B$22,MATCH(I226,$A$4:$A$22,0)))</f>
        <v>#N/A</v>
      </c>
      <c r="V226" s="367" t="n">
        <f aca="false">IF('Reverse Search'!$C$7="Disable",1,IF('Reverse Search'!$D$11="Disable",1,IF('Reverse Search'!$E$11="Neutral to:",IF(ROUND(T226*U226,2)&lt;=1,1,0),IF(ROUND(T226*U226,2)&lt;1,1,0))))</f>
        <v>1</v>
      </c>
      <c r="W226" s="0" t="n">
        <f aca="false">IF('Reverse Search'!$N$7="Disable",1,IF('Reverse Search'!$I$9="Disable",1,IF('Reverse Search'!$K$9="≥",IF(J226&gt;='Reverse Search'!$L$9,1,0),IF('Reverse Search'!$K$9="≤",IF(J226&lt;='Reverse Search'!$L$9,1,0),IF(J226='Reverse Search'!$L$9,1,0)))))</f>
        <v>1</v>
      </c>
      <c r="X226" s="0" t="n">
        <f aca="false">IF('Reverse Search'!$N$7="Disable",1,IF('Reverse Search'!$I$10="Disable",1,IF('Reverse Search'!$K$10="≥",IF(K226&gt;='Reverse Search'!$L$10,1,0),IF('Reverse Search'!$K$10="≤",IF(K226&lt;='Reverse Search'!$L$10,1,0),IF(K226='Reverse Search'!$L$10,1,0)))))</f>
        <v>1</v>
      </c>
      <c r="Y226" s="367" t="n">
        <f aca="false">IF('Reverse Search'!$N$7="Disable",1,IF('Reverse Search'!$I$11="Disable",1,IF('Reverse Search'!$K$11="≥",IF(L226&gt;='Reverse Search'!$L$11,1,0),IF('Reverse Search'!$K$11="≤",IF(L226&lt;='Reverse Search'!$L$11,1,0),IF(L226='Reverse Search'!$L$11,1,0)))))</f>
        <v>1</v>
      </c>
      <c r="Z226" s="0" t="n">
        <f aca="true">IF('Reverse Search'!$C$14="Disable",1,IF('Reverse Search'!$D$16="Disable",1,IF($C$2=3,IF($M226=0,0,COUNTIF(INDIRECT("'0.0.2 Pokémon Learnset (Core)'!$D$"&amp;MATCH($E226,'0.0.2 Pokémon Learnset (Core)'!$A$1:$A951,0)&amp;":$FK$"&amp;MATCH($E226,'0.0.2 Pokémon Learnset (Core)'!$A$1:$A951,0)),'Reverse Search'!$E$21)),IF($C$2=2,COUNTIF(INDIRECT("'0.1.1 Pokémon GO Moves'!$B$"&amp;MATCH($E226,'0.1.1 Pokémon GO Moves'!$A$1:$A951,0)&amp;":$R$"&amp;MATCH($E226,'0.1.1 Pokémon GO Moves'!$A$1:$A951,0)),'Reverse Search'!$E$21),COUNTIF(INDIRECT("'0.1.1 Pokémon GO Moves'!$B$"&amp;MATCH($E226,'0.1.1 Pokémon GO Moves'!$A$1:$A951,0)&amp;":$L$"&amp;MATCH($E226,'0.1.1 Pokémon GO Moves'!$A$1:$A951,0)),'Reverse Search'!$E$21)))))</f>
        <v>1</v>
      </c>
      <c r="AA226" s="0" t="n">
        <f aca="true">IF('Reverse Search'!$C$14="Disable",1,IF('Reverse Search'!$I$16="Disable",1,IF($D$2=3,IF($M226=0,0,COUNTIF(INDIRECT("'0.0.2 Pokémon Learnset (Core)'!$D$"&amp;MATCH($E226,'0.0.2 Pokémon Learnset (Core)'!$A$1:$A951,0)&amp;":$FK$"&amp;MATCH($E226,'0.0.2 Pokémon Learnset (Core)'!$A$1:$A951,0)),'Reverse Search'!$J$21)),IF($D$2=2,COUNTIF(INDIRECT("'0.1.1 Pokémon GO Moves'!$B$"&amp;MATCH($E226,'0.1.1 Pokémon GO Moves'!$A$1:$A951,0)&amp;":$R$"&amp;MATCH($E226,'0.1.1 Pokémon GO Moves'!$A$1:$A951,0)),'Reverse Search'!$J$21),COUNTIF(INDIRECT("'0.1.1 Pokémon GO Moves'!$B$"&amp;MATCH($E226,'0.1.1 Pokémon GO Moves'!$A$1:$A951,0)&amp;":$L$"&amp;MATCH($E226,'0.1.1 Pokémon GO Moves'!$A$1:$A951,0)),'Reverse Search'!$J$21)))))</f>
        <v>0</v>
      </c>
      <c r="AB226" s="490"/>
      <c r="AC226" s="260" t="n">
        <f aca="false">IF((Q226+R226+S226+V226+W226+X226+Y226+IF(Z226&gt;=1,1,0)+IF(AA226&gt;=1,1,0))=9,G226&amp;", ",)</f>
        <v>0</v>
      </c>
    </row>
    <row r="227" customFormat="false" ht="15.75" hidden="false" customHeight="false" outlineLevel="0" collapsed="false">
      <c r="A227" s="260"/>
      <c r="B227" s="358"/>
      <c r="C227" s="260"/>
      <c r="D227" s="358"/>
      <c r="E227" s="260" t="n">
        <v>226</v>
      </c>
      <c r="F227" s="260" t="n">
        <f aca="false" t="array" ref="F227:F227">INDEX('0.0.1 Pokémon Dex Data'!$H$3:$H951,MATCH(E227,'0.0.1 Pokémon Dex Data'!$B$3:$B951,0))</f>
        <v>0</v>
      </c>
      <c r="G227" s="0" t="str">
        <f aca="false" t="array" ref="G227:G227">INDEX('0.0.1 Pokémon Dex Data'!$E$3:$E951,MATCH(E227,'0.0.1 Pokémon Dex Data'!$B$3:$B951,0))</f>
        <v>Sunflora</v>
      </c>
      <c r="H227" s="0" t="str">
        <f aca="false" t="array" ref="H227:H227">INDEX('0.0.1 Pokémon Dex Data'!$Q$3:$Q951,MATCH(E227,'0.0.1 Pokémon Dex Data'!$B$3:$B951,0))</f>
        <v>Grass</v>
      </c>
      <c r="I227" s="0" t="n">
        <f aca="false">INDEX('0.0.1 Pokémon Dex Data'!$R$3:$R951,MATCH(E227,'0.0.1 Pokémon Dex Data'!$B$3:$B951,0))</f>
        <v>0</v>
      </c>
      <c r="J227" s="260" t="n">
        <f aca="false" t="array" ref="J227:J227">ROUND(INDEX('0.0.1 Pokémon Dex Data'!$S$3:$S951,MATCH($E227,'0.0.1 Pokémon Dex Data'!$B$3:$B951,0))*INDEX('0.0.1 Pokémon Dex Data'!T$3:T951,MATCH($E227,'0.0.1 Pokémon Dex Data'!$B$3:$B951,0)),0)</f>
        <v>185</v>
      </c>
      <c r="K227" s="260" t="n">
        <f aca="false" t="array" ref="K227:K227">ROUND(INDEX('0.0.1 Pokémon Dex Data'!$S$3:$S951,MATCH($E227,'0.0.1 Pokémon Dex Data'!$B$3:$B951,0))*INDEX('0.0.1 Pokémon Dex Data'!U$3:U951,MATCH($E227,'0.0.1 Pokémon Dex Data'!$B$3:$B951,0)),0)</f>
        <v>135</v>
      </c>
      <c r="L227" s="260" t="n">
        <f aca="false" t="array" ref="L227:L227">ROUND(INDEX('0.0.1 Pokémon Dex Data'!$S$3:$S951,MATCH($E227,'0.0.1 Pokémon Dex Data'!$B$3:$B951,0))*INDEX('0.0.1 Pokémon Dex Data'!V$3:V951,MATCH($E227,'0.0.1 Pokémon Dex Data'!$B$3:$B951,0)),0)</f>
        <v>181</v>
      </c>
      <c r="M227" s="260" t="n">
        <f aca="false" t="array" ref="M227:M227">INDEX('0.0.1 Pokémon Dex Data'!$J$3:$J951,MATCH(E227,'0.0.1 Pokémon Dex Data'!$B$3:$B951,0))</f>
        <v>1</v>
      </c>
      <c r="O227" s="490"/>
      <c r="Q227" s="367" t="n">
        <f aca="false">IF('Reverse Search'!$F$4="All (including temporary formes)",1,IF('Reverse Search'!$F$4="Base Pokémon and permanent formes only",IF(F227&lt;=1,1,0),IF(F227=0,1,0)))</f>
        <v>1</v>
      </c>
      <c r="R227" s="0" t="n">
        <f aca="false">IF('Reverse Search'!$C$7="Disable",1,IF('Reverse Search'!$D$9="Disable",1,IF(OR('Reverse Search'!$F$9=H227,'Reverse Search'!$F$9=I227),1,0)))</f>
        <v>1</v>
      </c>
      <c r="S227" s="0" t="n">
        <f aca="false">IF('Reverse Search'!$C$7="Disable",1,IF('Reverse Search'!$D$10="Disable",1,IF(OR('Reverse Search'!$F$10=H227,'Reverse Search'!$F$10=I227),1,0)))</f>
        <v>1</v>
      </c>
      <c r="T227" s="0" t="n">
        <f aca="false">INDEX($B$4:$B$22,MATCH(H227,$A$4:$A$22,0))</f>
        <v>1</v>
      </c>
      <c r="U227" s="0" t="e">
        <f aca="false">IF(ISBLANK(I227),1,INDEX($B$4:$B$22,MATCH(I227,$A$4:$A$22,0)))</f>
        <v>#N/A</v>
      </c>
      <c r="V227" s="367" t="n">
        <f aca="false">IF('Reverse Search'!$C$7="Disable",1,IF('Reverse Search'!$D$11="Disable",1,IF('Reverse Search'!$E$11="Neutral to:",IF(ROUND(T227*U227,2)&lt;=1,1,0),IF(ROUND(T227*U227,2)&lt;1,1,0))))</f>
        <v>1</v>
      </c>
      <c r="W227" s="0" t="n">
        <f aca="false">IF('Reverse Search'!$N$7="Disable",1,IF('Reverse Search'!$I$9="Disable",1,IF('Reverse Search'!$K$9="≥",IF(J227&gt;='Reverse Search'!$L$9,1,0),IF('Reverse Search'!$K$9="≤",IF(J227&lt;='Reverse Search'!$L$9,1,0),IF(J227='Reverse Search'!$L$9,1,0)))))</f>
        <v>1</v>
      </c>
      <c r="X227" s="0" t="n">
        <f aca="false">IF('Reverse Search'!$N$7="Disable",1,IF('Reverse Search'!$I$10="Disable",1,IF('Reverse Search'!$K$10="≥",IF(K227&gt;='Reverse Search'!$L$10,1,0),IF('Reverse Search'!$K$10="≤",IF(K227&lt;='Reverse Search'!$L$10,1,0),IF(K227='Reverse Search'!$L$10,1,0)))))</f>
        <v>1</v>
      </c>
      <c r="Y227" s="367" t="n">
        <f aca="false">IF('Reverse Search'!$N$7="Disable",1,IF('Reverse Search'!$I$11="Disable",1,IF('Reverse Search'!$K$11="≥",IF(L227&gt;='Reverse Search'!$L$11,1,0),IF('Reverse Search'!$K$11="≤",IF(L227&lt;='Reverse Search'!$L$11,1,0),IF(L227='Reverse Search'!$L$11,1,0)))))</f>
        <v>1</v>
      </c>
      <c r="Z227" s="0" t="n">
        <f aca="true">IF('Reverse Search'!$C$14="Disable",1,IF('Reverse Search'!$D$16="Disable",1,IF($C$2=3,IF($M227=0,0,COUNTIF(INDIRECT("'0.0.2 Pokémon Learnset (Core)'!$D$"&amp;MATCH($E227,'0.0.2 Pokémon Learnset (Core)'!$A$1:$A951,0)&amp;":$FK$"&amp;MATCH($E227,'0.0.2 Pokémon Learnset (Core)'!$A$1:$A951,0)),'Reverse Search'!$E$21)),IF($C$2=2,COUNTIF(INDIRECT("'0.1.1 Pokémon GO Moves'!$B$"&amp;MATCH($E227,'0.1.1 Pokémon GO Moves'!$A$1:$A951,0)&amp;":$R$"&amp;MATCH($E227,'0.1.1 Pokémon GO Moves'!$A$1:$A951,0)),'Reverse Search'!$E$21),COUNTIF(INDIRECT("'0.1.1 Pokémon GO Moves'!$B$"&amp;MATCH($E227,'0.1.1 Pokémon GO Moves'!$A$1:$A951,0)&amp;":$L$"&amp;MATCH($E227,'0.1.1 Pokémon GO Moves'!$A$1:$A951,0)),'Reverse Search'!$E$21)))))</f>
        <v>1</v>
      </c>
      <c r="AA227" s="0" t="n">
        <f aca="true">IF('Reverse Search'!$C$14="Disable",1,IF('Reverse Search'!$I$16="Disable",1,IF($D$2=3,IF($M227=0,0,COUNTIF(INDIRECT("'0.0.2 Pokémon Learnset (Core)'!$D$"&amp;MATCH($E227,'0.0.2 Pokémon Learnset (Core)'!$A$1:$A951,0)&amp;":$FK$"&amp;MATCH($E227,'0.0.2 Pokémon Learnset (Core)'!$A$1:$A951,0)),'Reverse Search'!$J$21)),IF($D$2=2,COUNTIF(INDIRECT("'0.1.1 Pokémon GO Moves'!$B$"&amp;MATCH($E227,'0.1.1 Pokémon GO Moves'!$A$1:$A951,0)&amp;":$R$"&amp;MATCH($E227,'0.1.1 Pokémon GO Moves'!$A$1:$A951,0)),'Reverse Search'!$J$21),COUNTIF(INDIRECT("'0.1.1 Pokémon GO Moves'!$B$"&amp;MATCH($E227,'0.1.1 Pokémon GO Moves'!$A$1:$A951,0)&amp;":$L$"&amp;MATCH($E227,'0.1.1 Pokémon GO Moves'!$A$1:$A951,0)),'Reverse Search'!$J$21)))))</f>
        <v>0</v>
      </c>
      <c r="AB227" s="490"/>
      <c r="AC227" s="260" t="n">
        <f aca="false">IF((Q227+R227+S227+V227+W227+X227+Y227+IF(Z227&gt;=1,1,0)+IF(AA227&gt;=1,1,0))=9,G227&amp;", ",)</f>
        <v>0</v>
      </c>
    </row>
    <row r="228" customFormat="false" ht="15.75" hidden="false" customHeight="false" outlineLevel="0" collapsed="false">
      <c r="A228" s="260"/>
      <c r="B228" s="358"/>
      <c r="C228" s="260"/>
      <c r="D228" s="358"/>
      <c r="E228" s="260" t="n">
        <v>227</v>
      </c>
      <c r="F228" s="260" t="n">
        <f aca="false" t="array" ref="F228:F228">INDEX('0.0.1 Pokémon Dex Data'!$H$3:$H951,MATCH(E228,'0.0.1 Pokémon Dex Data'!$B$3:$B951,0))</f>
        <v>0</v>
      </c>
      <c r="G228" s="0" t="str">
        <f aca="false" t="array" ref="G228:G228">INDEX('0.0.1 Pokémon Dex Data'!$E$3:$E951,MATCH(E228,'0.0.1 Pokémon Dex Data'!$B$3:$B951,0))</f>
        <v>Yanma</v>
      </c>
      <c r="H228" s="0" t="str">
        <f aca="false" t="array" ref="H228:H228">INDEX('0.0.1 Pokémon Dex Data'!$Q$3:$Q951,MATCH(E228,'0.0.1 Pokémon Dex Data'!$B$3:$B951,0))</f>
        <v>Bug</v>
      </c>
      <c r="I228" s="0" t="str">
        <f aca="false" t="array" ref="I228:I228">INDEX('0.0.1 Pokémon Dex Data'!$R$3:$R951,MATCH(E228,'0.0.1 Pokémon Dex Data'!$B$3:$B951,0))</f>
        <v>Flying</v>
      </c>
      <c r="J228" s="260" t="n">
        <f aca="false" t="array" ref="J228:J228">ROUND(INDEX('0.0.1 Pokémon Dex Data'!$S$3:$S951,MATCH($E228,'0.0.1 Pokémon Dex Data'!$B$3:$B951,0))*INDEX('0.0.1 Pokémon Dex Data'!T$3:T951,MATCH($E228,'0.0.1 Pokémon Dex Data'!$B$3:$B951,0)),0)</f>
        <v>154</v>
      </c>
      <c r="K228" s="260" t="n">
        <f aca="false" t="array" ref="K228:K228">ROUND(INDEX('0.0.1 Pokémon Dex Data'!$S$3:$S951,MATCH($E228,'0.0.1 Pokémon Dex Data'!$B$3:$B951,0))*INDEX('0.0.1 Pokémon Dex Data'!U$3:U951,MATCH($E228,'0.0.1 Pokémon Dex Data'!$B$3:$B951,0)),0)</f>
        <v>94</v>
      </c>
      <c r="L228" s="260" t="n">
        <f aca="false" t="array" ref="L228:L228">ROUND(INDEX('0.0.1 Pokémon Dex Data'!$S$3:$S951,MATCH($E228,'0.0.1 Pokémon Dex Data'!$B$3:$B951,0))*INDEX('0.0.1 Pokémon Dex Data'!V$3:V951,MATCH($E228,'0.0.1 Pokémon Dex Data'!$B$3:$B951,0)),0)</f>
        <v>163</v>
      </c>
      <c r="M228" s="260" t="n">
        <f aca="false" t="array" ref="M228:M228">INDEX('0.0.1 Pokémon Dex Data'!$J$3:$J951,MATCH(E228,'0.0.1 Pokémon Dex Data'!$B$3:$B951,0))</f>
        <v>1</v>
      </c>
      <c r="O228" s="490"/>
      <c r="Q228" s="367" t="n">
        <f aca="false">IF('Reverse Search'!$F$4="All (including temporary formes)",1,IF('Reverse Search'!$F$4="Base Pokémon and permanent formes only",IF(F228&lt;=1,1,0),IF(F228=0,1,0)))</f>
        <v>1</v>
      </c>
      <c r="R228" s="0" t="n">
        <f aca="false">IF('Reverse Search'!$C$7="Disable",1,IF('Reverse Search'!$D$9="Disable",1,IF(OR('Reverse Search'!$F$9=H228,'Reverse Search'!$F$9=I228),1,0)))</f>
        <v>1</v>
      </c>
      <c r="S228" s="0" t="n">
        <f aca="false">IF('Reverse Search'!$C$7="Disable",1,IF('Reverse Search'!$D$10="Disable",1,IF(OR('Reverse Search'!$F$10=H228,'Reverse Search'!$F$10=I228),1,0)))</f>
        <v>1</v>
      </c>
      <c r="T228" s="0" t="n">
        <f aca="false">INDEX($B$4:$B$22,MATCH(H228,$A$4:$A$22,0))</f>
        <v>1</v>
      </c>
      <c r="U228" s="0" t="n">
        <f aca="false">IF(ISBLANK(I228),1,INDEX($B$4:$B$22,MATCH(I228,$A$4:$A$22,0)))</f>
        <v>1</v>
      </c>
      <c r="V228" s="367" t="n">
        <f aca="false">IF('Reverse Search'!$C$7="Disable",1,IF('Reverse Search'!$D$11="Disable",1,IF('Reverse Search'!$E$11="Neutral to:",IF(ROUND(T228*U228,2)&lt;=1,1,0),IF(ROUND(T228*U228,2)&lt;1,1,0))))</f>
        <v>1</v>
      </c>
      <c r="W228" s="0" t="n">
        <f aca="false">IF('Reverse Search'!$N$7="Disable",1,IF('Reverse Search'!$I$9="Disable",1,IF('Reverse Search'!$K$9="≥",IF(J228&gt;='Reverse Search'!$L$9,1,0),IF('Reverse Search'!$K$9="≤",IF(J228&lt;='Reverse Search'!$L$9,1,0),IF(J228='Reverse Search'!$L$9,1,0)))))</f>
        <v>1</v>
      </c>
      <c r="X228" s="0" t="n">
        <f aca="false">IF('Reverse Search'!$N$7="Disable",1,IF('Reverse Search'!$I$10="Disable",1,IF('Reverse Search'!$K$10="≥",IF(K228&gt;='Reverse Search'!$L$10,1,0),IF('Reverse Search'!$K$10="≤",IF(K228&lt;='Reverse Search'!$L$10,1,0),IF(K228='Reverse Search'!$L$10,1,0)))))</f>
        <v>1</v>
      </c>
      <c r="Y228" s="367" t="n">
        <f aca="false">IF('Reverse Search'!$N$7="Disable",1,IF('Reverse Search'!$I$11="Disable",1,IF('Reverse Search'!$K$11="≥",IF(L228&gt;='Reverse Search'!$L$11,1,0),IF('Reverse Search'!$K$11="≤",IF(L228&lt;='Reverse Search'!$L$11,1,0),IF(L228='Reverse Search'!$L$11,1,0)))))</f>
        <v>1</v>
      </c>
      <c r="Z228" s="0" t="n">
        <f aca="true">IF('Reverse Search'!$C$14="Disable",1,IF('Reverse Search'!$D$16="Disable",1,IF($C$2=3,IF($M228=0,0,COUNTIF(INDIRECT("'0.0.2 Pokémon Learnset (Core)'!$D$"&amp;MATCH($E228,'0.0.2 Pokémon Learnset (Core)'!$A$1:$A951,0)&amp;":$FK$"&amp;MATCH($E228,'0.0.2 Pokémon Learnset (Core)'!$A$1:$A951,0)),'Reverse Search'!$E$21)),IF($C$2=2,COUNTIF(INDIRECT("'0.1.1 Pokémon GO Moves'!$B$"&amp;MATCH($E228,'0.1.1 Pokémon GO Moves'!$A$1:$A951,0)&amp;":$R$"&amp;MATCH($E228,'0.1.1 Pokémon GO Moves'!$A$1:$A951,0)),'Reverse Search'!$E$21),COUNTIF(INDIRECT("'0.1.1 Pokémon GO Moves'!$B$"&amp;MATCH($E228,'0.1.1 Pokémon GO Moves'!$A$1:$A951,0)&amp;":$L$"&amp;MATCH($E228,'0.1.1 Pokémon GO Moves'!$A$1:$A951,0)),'Reverse Search'!$E$21)))))</f>
        <v>1</v>
      </c>
      <c r="AA228" s="0" t="n">
        <f aca="true">IF('Reverse Search'!$C$14="Disable",1,IF('Reverse Search'!$I$16="Disable",1,IF($D$2=3,IF($M228=0,0,COUNTIF(INDIRECT("'0.0.2 Pokémon Learnset (Core)'!$D$"&amp;MATCH($E228,'0.0.2 Pokémon Learnset (Core)'!$A$1:$A951,0)&amp;":$FK$"&amp;MATCH($E228,'0.0.2 Pokémon Learnset (Core)'!$A$1:$A951,0)),'Reverse Search'!$J$21)),IF($D$2=2,COUNTIF(INDIRECT("'0.1.1 Pokémon GO Moves'!$B$"&amp;MATCH($E228,'0.1.1 Pokémon GO Moves'!$A$1:$A951,0)&amp;":$R$"&amp;MATCH($E228,'0.1.1 Pokémon GO Moves'!$A$1:$A951,0)),'Reverse Search'!$J$21),COUNTIF(INDIRECT("'0.1.1 Pokémon GO Moves'!$B$"&amp;MATCH($E228,'0.1.1 Pokémon GO Moves'!$A$1:$A951,0)&amp;":$L$"&amp;MATCH($E228,'0.1.1 Pokémon GO Moves'!$A$1:$A951,0)),'Reverse Search'!$J$21)))))</f>
        <v>0</v>
      </c>
      <c r="AB228" s="490"/>
      <c r="AC228" s="260" t="n">
        <f aca="false">IF((Q228+R228+S228+V228+W228+X228+Y228+IF(Z228&gt;=1,1,0)+IF(AA228&gt;=1,1,0))=9,G228&amp;", ",)</f>
        <v>0</v>
      </c>
    </row>
    <row r="229" customFormat="false" ht="15.75" hidden="false" customHeight="false" outlineLevel="0" collapsed="false">
      <c r="A229" s="260"/>
      <c r="B229" s="358"/>
      <c r="C229" s="260"/>
      <c r="D229" s="358"/>
      <c r="E229" s="260" t="n">
        <v>228</v>
      </c>
      <c r="F229" s="260" t="n">
        <f aca="false" t="array" ref="F229:F229">INDEX('0.0.1 Pokémon Dex Data'!$H$3:$H951,MATCH(E229,'0.0.1 Pokémon Dex Data'!$B$3:$B951,0))</f>
        <v>0</v>
      </c>
      <c r="G229" s="0" t="str">
        <f aca="false" t="array" ref="G229:G229">INDEX('0.0.1 Pokémon Dex Data'!$E$3:$E951,MATCH(E229,'0.0.1 Pokémon Dex Data'!$B$3:$B951,0))</f>
        <v>Wooper</v>
      </c>
      <c r="H229" s="0" t="str">
        <f aca="false" t="array" ref="H229:H229">INDEX('0.0.1 Pokémon Dex Data'!$Q$3:$Q951,MATCH(E229,'0.0.1 Pokémon Dex Data'!$B$3:$B951,0))</f>
        <v>Water</v>
      </c>
      <c r="I229" s="0" t="str">
        <f aca="false" t="array" ref="I229:I229">INDEX('0.0.1 Pokémon Dex Data'!$R$3:$R951,MATCH(E229,'0.0.1 Pokémon Dex Data'!$B$3:$B951,0))</f>
        <v>Ground</v>
      </c>
      <c r="J229" s="260" t="n">
        <f aca="false" t="array" ref="J229:J229">ROUND(INDEX('0.0.1 Pokémon Dex Data'!$S$3:$S951,MATCH($E229,'0.0.1 Pokémon Dex Data'!$B$3:$B951,0))*INDEX('0.0.1 Pokémon Dex Data'!T$3:T951,MATCH($E229,'0.0.1 Pokémon Dex Data'!$B$3:$B951,0)),0)</f>
        <v>75</v>
      </c>
      <c r="K229" s="260" t="n">
        <f aca="false" t="array" ref="K229:K229">ROUND(INDEX('0.0.1 Pokémon Dex Data'!$S$3:$S951,MATCH($E229,'0.0.1 Pokémon Dex Data'!$B$3:$B951,0))*INDEX('0.0.1 Pokémon Dex Data'!U$3:U951,MATCH($E229,'0.0.1 Pokémon Dex Data'!$B$3:$B951,0)),0)</f>
        <v>66</v>
      </c>
      <c r="L229" s="260" t="n">
        <f aca="false" t="array" ref="L229:L229">ROUND(INDEX('0.0.1 Pokémon Dex Data'!$S$3:$S951,MATCH($E229,'0.0.1 Pokémon Dex Data'!$B$3:$B951,0))*INDEX('0.0.1 Pokémon Dex Data'!V$3:V951,MATCH($E229,'0.0.1 Pokémon Dex Data'!$B$3:$B951,0)),0)</f>
        <v>146</v>
      </c>
      <c r="M229" s="260" t="n">
        <f aca="false" t="array" ref="M229:M229">INDEX('0.0.1 Pokémon Dex Data'!$J$3:$J951,MATCH(E229,'0.0.1 Pokémon Dex Data'!$B$3:$B951,0))</f>
        <v>0</v>
      </c>
      <c r="O229" s="490"/>
      <c r="Q229" s="367" t="n">
        <f aca="false">IF('Reverse Search'!$F$4="All (including temporary formes)",1,IF('Reverse Search'!$F$4="Base Pokémon and permanent formes only",IF(F229&lt;=1,1,0),IF(F229=0,1,0)))</f>
        <v>1</v>
      </c>
      <c r="R229" s="0" t="n">
        <f aca="false">IF('Reverse Search'!$C$7="Disable",1,IF('Reverse Search'!$D$9="Disable",1,IF(OR('Reverse Search'!$F$9=H229,'Reverse Search'!$F$9=I229),1,0)))</f>
        <v>1</v>
      </c>
      <c r="S229" s="0" t="n">
        <f aca="false">IF('Reverse Search'!$C$7="Disable",1,IF('Reverse Search'!$D$10="Disable",1,IF(OR('Reverse Search'!$F$10=H229,'Reverse Search'!$F$10=I229),1,0)))</f>
        <v>1</v>
      </c>
      <c r="T229" s="0" t="n">
        <f aca="false">INDEX($B$4:$B$22,MATCH(H229,$A$4:$A$22,0))</f>
        <v>1</v>
      </c>
      <c r="U229" s="0" t="n">
        <f aca="false">IF(ISBLANK(I229),1,INDEX($B$4:$B$22,MATCH(I229,$A$4:$A$22,0)))</f>
        <v>1</v>
      </c>
      <c r="V229" s="367" t="n">
        <f aca="false">IF('Reverse Search'!$C$7="Disable",1,IF('Reverse Search'!$D$11="Disable",1,IF('Reverse Search'!$E$11="Neutral to:",IF(ROUND(T229*U229,2)&lt;=1,1,0),IF(ROUND(T229*U229,2)&lt;1,1,0))))</f>
        <v>1</v>
      </c>
      <c r="W229" s="0" t="n">
        <f aca="false">IF('Reverse Search'!$N$7="Disable",1,IF('Reverse Search'!$I$9="Disable",1,IF('Reverse Search'!$K$9="≥",IF(J229&gt;='Reverse Search'!$L$9,1,0),IF('Reverse Search'!$K$9="≤",IF(J229&lt;='Reverse Search'!$L$9,1,0),IF(J229='Reverse Search'!$L$9,1,0)))))</f>
        <v>1</v>
      </c>
      <c r="X229" s="0" t="n">
        <f aca="false">IF('Reverse Search'!$N$7="Disable",1,IF('Reverse Search'!$I$10="Disable",1,IF('Reverse Search'!$K$10="≥",IF(K229&gt;='Reverse Search'!$L$10,1,0),IF('Reverse Search'!$K$10="≤",IF(K229&lt;='Reverse Search'!$L$10,1,0),IF(K229='Reverse Search'!$L$10,1,0)))))</f>
        <v>1</v>
      </c>
      <c r="Y229" s="367" t="n">
        <f aca="false">IF('Reverse Search'!$N$7="Disable",1,IF('Reverse Search'!$I$11="Disable",1,IF('Reverse Search'!$K$11="≥",IF(L229&gt;='Reverse Search'!$L$11,1,0),IF('Reverse Search'!$K$11="≤",IF(L229&lt;='Reverse Search'!$L$11,1,0),IF(L229='Reverse Search'!$L$11,1,0)))))</f>
        <v>1</v>
      </c>
      <c r="Z229" s="0" t="n">
        <f aca="true">IF('Reverse Search'!$C$14="Disable",1,IF('Reverse Search'!$D$16="Disable",1,IF($C$2=3,IF($M229=0,0,COUNTIF(INDIRECT("'0.0.2 Pokémon Learnset (Core)'!$D$"&amp;MATCH($E229,'0.0.2 Pokémon Learnset (Core)'!$A$1:$A951,0)&amp;":$FK$"&amp;MATCH($E229,'0.0.2 Pokémon Learnset (Core)'!$A$1:$A951,0)),'Reverse Search'!$E$21)),IF($C$2=2,COUNTIF(INDIRECT("'0.1.1 Pokémon GO Moves'!$B$"&amp;MATCH($E229,'0.1.1 Pokémon GO Moves'!$A$1:$A951,0)&amp;":$R$"&amp;MATCH($E229,'0.1.1 Pokémon GO Moves'!$A$1:$A951,0)),'Reverse Search'!$E$21),COUNTIF(INDIRECT("'0.1.1 Pokémon GO Moves'!$B$"&amp;MATCH($E229,'0.1.1 Pokémon GO Moves'!$A$1:$A951,0)&amp;":$L$"&amp;MATCH($E229,'0.1.1 Pokémon GO Moves'!$A$1:$A951,0)),'Reverse Search'!$E$21)))))</f>
        <v>1</v>
      </c>
      <c r="AA229" s="0" t="n">
        <f aca="true">IF('Reverse Search'!$C$14="Disable",1,IF('Reverse Search'!$I$16="Disable",1,IF($D$2=3,IF($M229=0,0,COUNTIF(INDIRECT("'0.0.2 Pokémon Learnset (Core)'!$D$"&amp;MATCH($E229,'0.0.2 Pokémon Learnset (Core)'!$A$1:$A951,0)&amp;":$FK$"&amp;MATCH($E229,'0.0.2 Pokémon Learnset (Core)'!$A$1:$A951,0)),'Reverse Search'!$J$21)),IF($D$2=2,COUNTIF(INDIRECT("'0.1.1 Pokémon GO Moves'!$B$"&amp;MATCH($E229,'0.1.1 Pokémon GO Moves'!$A$1:$A951,0)&amp;":$R$"&amp;MATCH($E229,'0.1.1 Pokémon GO Moves'!$A$1:$A951,0)),'Reverse Search'!$J$21),COUNTIF(INDIRECT("'0.1.1 Pokémon GO Moves'!$B$"&amp;MATCH($E229,'0.1.1 Pokémon GO Moves'!$A$1:$A951,0)&amp;":$L$"&amp;MATCH($E229,'0.1.1 Pokémon GO Moves'!$A$1:$A951,0)),'Reverse Search'!$J$21)))))</f>
        <v>0</v>
      </c>
      <c r="AB229" s="490"/>
      <c r="AC229" s="260" t="n">
        <f aca="false">IF((Q229+R229+S229+V229+W229+X229+Y229+IF(Z229&gt;=1,1,0)+IF(AA229&gt;=1,1,0))=9,G229&amp;", ",)</f>
        <v>0</v>
      </c>
    </row>
    <row r="230" customFormat="false" ht="15.75" hidden="false" customHeight="false" outlineLevel="0" collapsed="false">
      <c r="A230" s="260"/>
      <c r="B230" s="358"/>
      <c r="C230" s="260"/>
      <c r="D230" s="358"/>
      <c r="E230" s="260" t="n">
        <v>229</v>
      </c>
      <c r="F230" s="260" t="n">
        <f aca="false" t="array" ref="F230:F230">INDEX('0.0.1 Pokémon Dex Data'!$H$3:$H951,MATCH(E230,'0.0.1 Pokémon Dex Data'!$B$3:$B951,0))</f>
        <v>0</v>
      </c>
      <c r="G230" s="0" t="str">
        <f aca="false" t="array" ref="G230:G230">INDEX('0.0.1 Pokémon Dex Data'!$E$3:$E951,MATCH(E230,'0.0.1 Pokémon Dex Data'!$B$3:$B951,0))</f>
        <v>Quagsire</v>
      </c>
      <c r="H230" s="0" t="str">
        <f aca="false" t="array" ref="H230:H230">INDEX('0.0.1 Pokémon Dex Data'!$Q$3:$Q951,MATCH(E230,'0.0.1 Pokémon Dex Data'!$B$3:$B951,0))</f>
        <v>Water</v>
      </c>
      <c r="I230" s="0" t="str">
        <f aca="false" t="array" ref="I230:I230">INDEX('0.0.1 Pokémon Dex Data'!$R$3:$R951,MATCH(E230,'0.0.1 Pokémon Dex Data'!$B$3:$B951,0))</f>
        <v>Ground</v>
      </c>
      <c r="J230" s="260" t="n">
        <f aca="false" t="array" ref="J230:J230">ROUND(INDEX('0.0.1 Pokémon Dex Data'!$S$3:$S951,MATCH($E230,'0.0.1 Pokémon Dex Data'!$B$3:$B951,0))*INDEX('0.0.1 Pokémon Dex Data'!T$3:T951,MATCH($E230,'0.0.1 Pokémon Dex Data'!$B$3:$B951,0)),0)</f>
        <v>152</v>
      </c>
      <c r="K230" s="260" t="n">
        <f aca="false" t="array" ref="K230:K230">ROUND(INDEX('0.0.1 Pokémon Dex Data'!$S$3:$S951,MATCH($E230,'0.0.1 Pokémon Dex Data'!$B$3:$B951,0))*INDEX('0.0.1 Pokémon Dex Data'!U$3:U951,MATCH($E230,'0.0.1 Pokémon Dex Data'!$B$3:$B951,0)),0)</f>
        <v>143</v>
      </c>
      <c r="L230" s="260" t="n">
        <f aca="false" t="array" ref="L230:L230">ROUND(INDEX('0.0.1 Pokémon Dex Data'!$S$3:$S951,MATCH($E230,'0.0.1 Pokémon Dex Data'!$B$3:$B951,0))*INDEX('0.0.1 Pokémon Dex Data'!V$3:V951,MATCH($E230,'0.0.1 Pokémon Dex Data'!$B$3:$B951,0)),0)</f>
        <v>216</v>
      </c>
      <c r="M230" s="260" t="n">
        <f aca="false" t="array" ref="M230:M230">INDEX('0.0.1 Pokémon Dex Data'!$J$3:$J951,MATCH(E230,'0.0.1 Pokémon Dex Data'!$B$3:$B951,0))</f>
        <v>1</v>
      </c>
      <c r="O230" s="490"/>
      <c r="Q230" s="367" t="n">
        <f aca="false">IF('Reverse Search'!$F$4="All (including temporary formes)",1,IF('Reverse Search'!$F$4="Base Pokémon and permanent formes only",IF(F230&lt;=1,1,0),IF(F230=0,1,0)))</f>
        <v>1</v>
      </c>
      <c r="R230" s="0" t="n">
        <f aca="false">IF('Reverse Search'!$C$7="Disable",1,IF('Reverse Search'!$D$9="Disable",1,IF(OR('Reverse Search'!$F$9=H230,'Reverse Search'!$F$9=I230),1,0)))</f>
        <v>1</v>
      </c>
      <c r="S230" s="0" t="n">
        <f aca="false">IF('Reverse Search'!$C$7="Disable",1,IF('Reverse Search'!$D$10="Disable",1,IF(OR('Reverse Search'!$F$10=H230,'Reverse Search'!$F$10=I230),1,0)))</f>
        <v>1</v>
      </c>
      <c r="T230" s="0" t="n">
        <f aca="false">INDEX($B$4:$B$22,MATCH(H230,$A$4:$A$22,0))</f>
        <v>1</v>
      </c>
      <c r="U230" s="0" t="n">
        <f aca="false">IF(ISBLANK(I230),1,INDEX($B$4:$B$22,MATCH(I230,$A$4:$A$22,0)))</f>
        <v>1</v>
      </c>
      <c r="V230" s="367" t="n">
        <f aca="false">IF('Reverse Search'!$C$7="Disable",1,IF('Reverse Search'!$D$11="Disable",1,IF('Reverse Search'!$E$11="Neutral to:",IF(ROUND(T230*U230,2)&lt;=1,1,0),IF(ROUND(T230*U230,2)&lt;1,1,0))))</f>
        <v>1</v>
      </c>
      <c r="W230" s="0" t="n">
        <f aca="false">IF('Reverse Search'!$N$7="Disable",1,IF('Reverse Search'!$I$9="Disable",1,IF('Reverse Search'!$K$9="≥",IF(J230&gt;='Reverse Search'!$L$9,1,0),IF('Reverse Search'!$K$9="≤",IF(J230&lt;='Reverse Search'!$L$9,1,0),IF(J230='Reverse Search'!$L$9,1,0)))))</f>
        <v>1</v>
      </c>
      <c r="X230" s="0" t="n">
        <f aca="false">IF('Reverse Search'!$N$7="Disable",1,IF('Reverse Search'!$I$10="Disable",1,IF('Reverse Search'!$K$10="≥",IF(K230&gt;='Reverse Search'!$L$10,1,0),IF('Reverse Search'!$K$10="≤",IF(K230&lt;='Reverse Search'!$L$10,1,0),IF(K230='Reverse Search'!$L$10,1,0)))))</f>
        <v>1</v>
      </c>
      <c r="Y230" s="367" t="n">
        <f aca="false">IF('Reverse Search'!$N$7="Disable",1,IF('Reverse Search'!$I$11="Disable",1,IF('Reverse Search'!$K$11="≥",IF(L230&gt;='Reverse Search'!$L$11,1,0),IF('Reverse Search'!$K$11="≤",IF(L230&lt;='Reverse Search'!$L$11,1,0),IF(L230='Reverse Search'!$L$11,1,0)))))</f>
        <v>1</v>
      </c>
      <c r="Z230" s="0" t="n">
        <f aca="true">IF('Reverse Search'!$C$14="Disable",1,IF('Reverse Search'!$D$16="Disable",1,IF($C$2=3,IF($M230=0,0,COUNTIF(INDIRECT("'0.0.2 Pokémon Learnset (Core)'!$D$"&amp;MATCH($E230,'0.0.2 Pokémon Learnset (Core)'!$A$1:$A951,0)&amp;":$FK$"&amp;MATCH($E230,'0.0.2 Pokémon Learnset (Core)'!$A$1:$A951,0)),'Reverse Search'!$E$21)),IF($C$2=2,COUNTIF(INDIRECT("'0.1.1 Pokémon GO Moves'!$B$"&amp;MATCH($E230,'0.1.1 Pokémon GO Moves'!$A$1:$A951,0)&amp;":$R$"&amp;MATCH($E230,'0.1.1 Pokémon GO Moves'!$A$1:$A951,0)),'Reverse Search'!$E$21),COUNTIF(INDIRECT("'0.1.1 Pokémon GO Moves'!$B$"&amp;MATCH($E230,'0.1.1 Pokémon GO Moves'!$A$1:$A951,0)&amp;":$L$"&amp;MATCH($E230,'0.1.1 Pokémon GO Moves'!$A$1:$A951,0)),'Reverse Search'!$E$21)))))</f>
        <v>1</v>
      </c>
      <c r="AA230" s="0" t="n">
        <f aca="true">IF('Reverse Search'!$C$14="Disable",1,IF('Reverse Search'!$I$16="Disable",1,IF($D$2=3,IF($M230=0,0,COUNTIF(INDIRECT("'0.0.2 Pokémon Learnset (Core)'!$D$"&amp;MATCH($E230,'0.0.2 Pokémon Learnset (Core)'!$A$1:$A951,0)&amp;":$FK$"&amp;MATCH($E230,'0.0.2 Pokémon Learnset (Core)'!$A$1:$A951,0)),'Reverse Search'!$J$21)),IF($D$2=2,COUNTIF(INDIRECT("'0.1.1 Pokémon GO Moves'!$B$"&amp;MATCH($E230,'0.1.1 Pokémon GO Moves'!$A$1:$A951,0)&amp;":$R$"&amp;MATCH($E230,'0.1.1 Pokémon GO Moves'!$A$1:$A951,0)),'Reverse Search'!$J$21),COUNTIF(INDIRECT("'0.1.1 Pokémon GO Moves'!$B$"&amp;MATCH($E230,'0.1.1 Pokémon GO Moves'!$A$1:$A951,0)&amp;":$L$"&amp;MATCH($E230,'0.1.1 Pokémon GO Moves'!$A$1:$A951,0)),'Reverse Search'!$J$21)))))</f>
        <v>0</v>
      </c>
      <c r="AB230" s="490"/>
      <c r="AC230" s="260" t="n">
        <f aca="false">IF((Q230+R230+S230+V230+W230+X230+Y230+IF(Z230&gt;=1,1,0)+IF(AA230&gt;=1,1,0))=9,G230&amp;", ",)</f>
        <v>0</v>
      </c>
    </row>
    <row r="231" customFormat="false" ht="15.75" hidden="false" customHeight="false" outlineLevel="0" collapsed="false">
      <c r="A231" s="260"/>
      <c r="B231" s="358"/>
      <c r="C231" s="260"/>
      <c r="D231" s="358"/>
      <c r="E231" s="260" t="n">
        <v>230</v>
      </c>
      <c r="F231" s="260" t="n">
        <f aca="false" t="array" ref="F231:F231">INDEX('0.0.1 Pokémon Dex Data'!$H$3:$H951,MATCH(E231,'0.0.1 Pokémon Dex Data'!$B$3:$B951,0))</f>
        <v>0</v>
      </c>
      <c r="G231" s="0" t="str">
        <f aca="false" t="array" ref="G231:G231">INDEX('0.0.1 Pokémon Dex Data'!$E$3:$E951,MATCH(E231,'0.0.1 Pokémon Dex Data'!$B$3:$B951,0))</f>
        <v>Espeon</v>
      </c>
      <c r="H231" s="0" t="str">
        <f aca="false" t="array" ref="H231:H231">INDEX('0.0.1 Pokémon Dex Data'!$Q$3:$Q951,MATCH(E231,'0.0.1 Pokémon Dex Data'!$B$3:$B951,0))</f>
        <v>Psychic</v>
      </c>
      <c r="I231" s="0" t="n">
        <f aca="false">INDEX('0.0.1 Pokémon Dex Data'!$R$3:$R951,MATCH(E231,'0.0.1 Pokémon Dex Data'!$B$3:$B951,0))</f>
        <v>0</v>
      </c>
      <c r="J231" s="260" t="n">
        <f aca="false" t="array" ref="J231:J231">ROUND(INDEX('0.0.1 Pokémon Dex Data'!$S$3:$S951,MATCH($E231,'0.0.1 Pokémon Dex Data'!$B$3:$B951,0))*INDEX('0.0.1 Pokémon Dex Data'!T$3:T951,MATCH($E231,'0.0.1 Pokémon Dex Data'!$B$3:$B951,0)),0)</f>
        <v>261</v>
      </c>
      <c r="K231" s="260" t="n">
        <f aca="false" t="array" ref="K231:K231">ROUND(INDEX('0.0.1 Pokémon Dex Data'!$S$3:$S951,MATCH($E231,'0.0.1 Pokémon Dex Data'!$B$3:$B951,0))*INDEX('0.0.1 Pokémon Dex Data'!U$3:U951,MATCH($E231,'0.0.1 Pokémon Dex Data'!$B$3:$B951,0)),0)</f>
        <v>175</v>
      </c>
      <c r="L231" s="260" t="n">
        <f aca="false" t="array" ref="L231:L231">ROUND(INDEX('0.0.1 Pokémon Dex Data'!$S$3:$S951,MATCH($E231,'0.0.1 Pokémon Dex Data'!$B$3:$B951,0))*INDEX('0.0.1 Pokémon Dex Data'!V$3:V951,MATCH($E231,'0.0.1 Pokémon Dex Data'!$B$3:$B951,0)),0)</f>
        <v>163</v>
      </c>
      <c r="M231" s="260" t="n">
        <f aca="false" t="array" ref="M231:M231">INDEX('0.0.1 Pokémon Dex Data'!$J$3:$J951,MATCH(E231,'0.0.1 Pokémon Dex Data'!$B$3:$B951,0))</f>
        <v>1</v>
      </c>
      <c r="O231" s="490"/>
      <c r="Q231" s="367" t="n">
        <f aca="false">IF('Reverse Search'!$F$4="All (including temporary formes)",1,IF('Reverse Search'!$F$4="Base Pokémon and permanent formes only",IF(F231&lt;=1,1,0),IF(F231=0,1,0)))</f>
        <v>1</v>
      </c>
      <c r="R231" s="0" t="n">
        <f aca="false">IF('Reverse Search'!$C$7="Disable",1,IF('Reverse Search'!$D$9="Disable",1,IF(OR('Reverse Search'!$F$9=H231,'Reverse Search'!$F$9=I231),1,0)))</f>
        <v>1</v>
      </c>
      <c r="S231" s="0" t="n">
        <f aca="false">IF('Reverse Search'!$C$7="Disable",1,IF('Reverse Search'!$D$10="Disable",1,IF(OR('Reverse Search'!$F$10=H231,'Reverse Search'!$F$10=I231),1,0)))</f>
        <v>1</v>
      </c>
      <c r="T231" s="0" t="n">
        <f aca="false">INDEX($B$4:$B$22,MATCH(H231,$A$4:$A$22,0))</f>
        <v>1</v>
      </c>
      <c r="U231" s="0" t="e">
        <f aca="false">IF(ISBLANK(I231),1,INDEX($B$4:$B$22,MATCH(I231,$A$4:$A$22,0)))</f>
        <v>#N/A</v>
      </c>
      <c r="V231" s="367" t="n">
        <f aca="false">IF('Reverse Search'!$C$7="Disable",1,IF('Reverse Search'!$D$11="Disable",1,IF('Reverse Search'!$E$11="Neutral to:",IF(ROUND(T231*U231,2)&lt;=1,1,0),IF(ROUND(T231*U231,2)&lt;1,1,0))))</f>
        <v>1</v>
      </c>
      <c r="W231" s="0" t="n">
        <f aca="false">IF('Reverse Search'!$N$7="Disable",1,IF('Reverse Search'!$I$9="Disable",1,IF('Reverse Search'!$K$9="≥",IF(J231&gt;='Reverse Search'!$L$9,1,0),IF('Reverse Search'!$K$9="≤",IF(J231&lt;='Reverse Search'!$L$9,1,0),IF(J231='Reverse Search'!$L$9,1,0)))))</f>
        <v>1</v>
      </c>
      <c r="X231" s="0" t="n">
        <f aca="false">IF('Reverse Search'!$N$7="Disable",1,IF('Reverse Search'!$I$10="Disable",1,IF('Reverse Search'!$K$10="≥",IF(K231&gt;='Reverse Search'!$L$10,1,0),IF('Reverse Search'!$K$10="≤",IF(K231&lt;='Reverse Search'!$L$10,1,0),IF(K231='Reverse Search'!$L$10,1,0)))))</f>
        <v>1</v>
      </c>
      <c r="Y231" s="367" t="n">
        <f aca="false">IF('Reverse Search'!$N$7="Disable",1,IF('Reverse Search'!$I$11="Disable",1,IF('Reverse Search'!$K$11="≥",IF(L231&gt;='Reverse Search'!$L$11,1,0),IF('Reverse Search'!$K$11="≤",IF(L231&lt;='Reverse Search'!$L$11,1,0),IF(L231='Reverse Search'!$L$11,1,0)))))</f>
        <v>1</v>
      </c>
      <c r="Z231" s="0" t="n">
        <f aca="true">IF('Reverse Search'!$C$14="Disable",1,IF('Reverse Search'!$D$16="Disable",1,IF($C$2=3,IF($M231=0,0,COUNTIF(INDIRECT("'0.0.2 Pokémon Learnset (Core)'!$D$"&amp;MATCH($E231,'0.0.2 Pokémon Learnset (Core)'!$A$1:$A951,0)&amp;":$FK$"&amp;MATCH($E231,'0.0.2 Pokémon Learnset (Core)'!$A$1:$A951,0)),'Reverse Search'!$E$21)),IF($C$2=2,COUNTIF(INDIRECT("'0.1.1 Pokémon GO Moves'!$B$"&amp;MATCH($E231,'0.1.1 Pokémon GO Moves'!$A$1:$A951,0)&amp;":$R$"&amp;MATCH($E231,'0.1.1 Pokémon GO Moves'!$A$1:$A951,0)),'Reverse Search'!$E$21),COUNTIF(INDIRECT("'0.1.1 Pokémon GO Moves'!$B$"&amp;MATCH($E231,'0.1.1 Pokémon GO Moves'!$A$1:$A951,0)&amp;":$L$"&amp;MATCH($E231,'0.1.1 Pokémon GO Moves'!$A$1:$A951,0)),'Reverse Search'!$E$21)))))</f>
        <v>1</v>
      </c>
      <c r="AA231" s="0" t="n">
        <f aca="true">IF('Reverse Search'!$C$14="Disable",1,IF('Reverse Search'!$I$16="Disable",1,IF($D$2=3,IF($M231=0,0,COUNTIF(INDIRECT("'0.0.2 Pokémon Learnset (Core)'!$D$"&amp;MATCH($E231,'0.0.2 Pokémon Learnset (Core)'!$A$1:$A951,0)&amp;":$FK$"&amp;MATCH($E231,'0.0.2 Pokémon Learnset (Core)'!$A$1:$A951,0)),'Reverse Search'!$J$21)),IF($D$2=2,COUNTIF(INDIRECT("'0.1.1 Pokémon GO Moves'!$B$"&amp;MATCH($E231,'0.1.1 Pokémon GO Moves'!$A$1:$A951,0)&amp;":$R$"&amp;MATCH($E231,'0.1.1 Pokémon GO Moves'!$A$1:$A951,0)),'Reverse Search'!$J$21),COUNTIF(INDIRECT("'0.1.1 Pokémon GO Moves'!$B$"&amp;MATCH($E231,'0.1.1 Pokémon GO Moves'!$A$1:$A951,0)&amp;":$L$"&amp;MATCH($E231,'0.1.1 Pokémon GO Moves'!$A$1:$A951,0)),'Reverse Search'!$J$21)))))</f>
        <v>0</v>
      </c>
      <c r="AB231" s="490"/>
      <c r="AC231" s="260" t="n">
        <f aca="false">IF((Q231+R231+S231+V231+W231+X231+Y231+IF(Z231&gt;=1,1,0)+IF(AA231&gt;=1,1,0))=9,G231&amp;", ",)</f>
        <v>0</v>
      </c>
    </row>
    <row r="232" customFormat="false" ht="15.75" hidden="false" customHeight="false" outlineLevel="0" collapsed="false">
      <c r="A232" s="260"/>
      <c r="B232" s="358"/>
      <c r="C232" s="260"/>
      <c r="D232" s="358"/>
      <c r="E232" s="260" t="n">
        <v>231</v>
      </c>
      <c r="F232" s="260" t="n">
        <f aca="false" t="array" ref="F232:F232">INDEX('0.0.1 Pokémon Dex Data'!$H$3:$H951,MATCH(E232,'0.0.1 Pokémon Dex Data'!$B$3:$B951,0))</f>
        <v>0</v>
      </c>
      <c r="G232" s="0" t="str">
        <f aca="false" t="array" ref="G232:G232">INDEX('0.0.1 Pokémon Dex Data'!$E$3:$E951,MATCH(E232,'0.0.1 Pokémon Dex Data'!$B$3:$B951,0))</f>
        <v>Umbreon</v>
      </c>
      <c r="H232" s="0" t="str">
        <f aca="false" t="array" ref="H232:H232">INDEX('0.0.1 Pokémon Dex Data'!$Q$3:$Q951,MATCH(E232,'0.0.1 Pokémon Dex Data'!$B$3:$B951,0))</f>
        <v>Dark</v>
      </c>
      <c r="I232" s="0" t="n">
        <f aca="false">INDEX('0.0.1 Pokémon Dex Data'!$R$3:$R951,MATCH(E232,'0.0.1 Pokémon Dex Data'!$B$3:$B951,0))</f>
        <v>0</v>
      </c>
      <c r="J232" s="260" t="n">
        <f aca="false" t="array" ref="J232:J232">ROUND(INDEX('0.0.1 Pokémon Dex Data'!$S$3:$S951,MATCH($E232,'0.0.1 Pokémon Dex Data'!$B$3:$B951,0))*INDEX('0.0.1 Pokémon Dex Data'!T$3:T951,MATCH($E232,'0.0.1 Pokémon Dex Data'!$B$3:$B951,0)),0)</f>
        <v>126</v>
      </c>
      <c r="K232" s="260" t="n">
        <f aca="false" t="array" ref="K232:K232">ROUND(INDEX('0.0.1 Pokémon Dex Data'!$S$3:$S951,MATCH($E232,'0.0.1 Pokémon Dex Data'!$B$3:$B951,0))*INDEX('0.0.1 Pokémon Dex Data'!U$3:U951,MATCH($E232,'0.0.1 Pokémon Dex Data'!$B$3:$B951,0)),0)</f>
        <v>240</v>
      </c>
      <c r="L232" s="260" t="n">
        <f aca="false" t="array" ref="L232:L232">ROUND(INDEX('0.0.1 Pokémon Dex Data'!$S$3:$S951,MATCH($E232,'0.0.1 Pokémon Dex Data'!$B$3:$B951,0))*INDEX('0.0.1 Pokémon Dex Data'!V$3:V951,MATCH($E232,'0.0.1 Pokémon Dex Data'!$B$3:$B951,0)),0)</f>
        <v>216</v>
      </c>
      <c r="M232" s="260" t="n">
        <f aca="false" t="array" ref="M232:M232">INDEX('0.0.1 Pokémon Dex Data'!$J$3:$J951,MATCH(E232,'0.0.1 Pokémon Dex Data'!$B$3:$B951,0))</f>
        <v>1</v>
      </c>
      <c r="O232" s="490"/>
      <c r="Q232" s="367" t="n">
        <f aca="false">IF('Reverse Search'!$F$4="All (including temporary formes)",1,IF('Reverse Search'!$F$4="Base Pokémon and permanent formes only",IF(F232&lt;=1,1,0),IF(F232=0,1,0)))</f>
        <v>1</v>
      </c>
      <c r="R232" s="0" t="n">
        <f aca="false">IF('Reverse Search'!$C$7="Disable",1,IF('Reverse Search'!$D$9="Disable",1,IF(OR('Reverse Search'!$F$9=H232,'Reverse Search'!$F$9=I232),1,0)))</f>
        <v>1</v>
      </c>
      <c r="S232" s="0" t="n">
        <f aca="false">IF('Reverse Search'!$C$7="Disable",1,IF('Reverse Search'!$D$10="Disable",1,IF(OR('Reverse Search'!$F$10=H232,'Reverse Search'!$F$10=I232),1,0)))</f>
        <v>1</v>
      </c>
      <c r="T232" s="0" t="n">
        <f aca="false">INDEX($B$4:$B$22,MATCH(H232,$A$4:$A$22,0))</f>
        <v>1</v>
      </c>
      <c r="U232" s="0" t="e">
        <f aca="false">IF(ISBLANK(I232),1,INDEX($B$4:$B$22,MATCH(I232,$A$4:$A$22,0)))</f>
        <v>#N/A</v>
      </c>
      <c r="V232" s="367" t="n">
        <f aca="false">IF('Reverse Search'!$C$7="Disable",1,IF('Reverse Search'!$D$11="Disable",1,IF('Reverse Search'!$E$11="Neutral to:",IF(ROUND(T232*U232,2)&lt;=1,1,0),IF(ROUND(T232*U232,2)&lt;1,1,0))))</f>
        <v>1</v>
      </c>
      <c r="W232" s="0" t="n">
        <f aca="false">IF('Reverse Search'!$N$7="Disable",1,IF('Reverse Search'!$I$9="Disable",1,IF('Reverse Search'!$K$9="≥",IF(J232&gt;='Reverse Search'!$L$9,1,0),IF('Reverse Search'!$K$9="≤",IF(J232&lt;='Reverse Search'!$L$9,1,0),IF(J232='Reverse Search'!$L$9,1,0)))))</f>
        <v>1</v>
      </c>
      <c r="X232" s="0" t="n">
        <f aca="false">IF('Reverse Search'!$N$7="Disable",1,IF('Reverse Search'!$I$10="Disable",1,IF('Reverse Search'!$K$10="≥",IF(K232&gt;='Reverse Search'!$L$10,1,0),IF('Reverse Search'!$K$10="≤",IF(K232&lt;='Reverse Search'!$L$10,1,0),IF(K232='Reverse Search'!$L$10,1,0)))))</f>
        <v>1</v>
      </c>
      <c r="Y232" s="367" t="n">
        <f aca="false">IF('Reverse Search'!$N$7="Disable",1,IF('Reverse Search'!$I$11="Disable",1,IF('Reverse Search'!$K$11="≥",IF(L232&gt;='Reverse Search'!$L$11,1,0),IF('Reverse Search'!$K$11="≤",IF(L232&lt;='Reverse Search'!$L$11,1,0),IF(L232='Reverse Search'!$L$11,1,0)))))</f>
        <v>1</v>
      </c>
      <c r="Z232" s="0" t="n">
        <f aca="true">IF('Reverse Search'!$C$14="Disable",1,IF('Reverse Search'!$D$16="Disable",1,IF($C$2=3,IF($M232=0,0,COUNTIF(INDIRECT("'0.0.2 Pokémon Learnset (Core)'!$D$"&amp;MATCH($E232,'0.0.2 Pokémon Learnset (Core)'!$A$1:$A951,0)&amp;":$FK$"&amp;MATCH($E232,'0.0.2 Pokémon Learnset (Core)'!$A$1:$A951,0)),'Reverse Search'!$E$21)),IF($C$2=2,COUNTIF(INDIRECT("'0.1.1 Pokémon GO Moves'!$B$"&amp;MATCH($E232,'0.1.1 Pokémon GO Moves'!$A$1:$A951,0)&amp;":$R$"&amp;MATCH($E232,'0.1.1 Pokémon GO Moves'!$A$1:$A951,0)),'Reverse Search'!$E$21),COUNTIF(INDIRECT("'0.1.1 Pokémon GO Moves'!$B$"&amp;MATCH($E232,'0.1.1 Pokémon GO Moves'!$A$1:$A951,0)&amp;":$L$"&amp;MATCH($E232,'0.1.1 Pokémon GO Moves'!$A$1:$A951,0)),'Reverse Search'!$E$21)))))</f>
        <v>1</v>
      </c>
      <c r="AA232" s="0" t="n">
        <f aca="true">IF('Reverse Search'!$C$14="Disable",1,IF('Reverse Search'!$I$16="Disable",1,IF($D$2=3,IF($M232=0,0,COUNTIF(INDIRECT("'0.0.2 Pokémon Learnset (Core)'!$D$"&amp;MATCH($E232,'0.0.2 Pokémon Learnset (Core)'!$A$1:$A951,0)&amp;":$FK$"&amp;MATCH($E232,'0.0.2 Pokémon Learnset (Core)'!$A$1:$A951,0)),'Reverse Search'!$J$21)),IF($D$2=2,COUNTIF(INDIRECT("'0.1.1 Pokémon GO Moves'!$B$"&amp;MATCH($E232,'0.1.1 Pokémon GO Moves'!$A$1:$A951,0)&amp;":$R$"&amp;MATCH($E232,'0.1.1 Pokémon GO Moves'!$A$1:$A951,0)),'Reverse Search'!$J$21),COUNTIF(INDIRECT("'0.1.1 Pokémon GO Moves'!$B$"&amp;MATCH($E232,'0.1.1 Pokémon GO Moves'!$A$1:$A951,0)&amp;":$L$"&amp;MATCH($E232,'0.1.1 Pokémon GO Moves'!$A$1:$A951,0)),'Reverse Search'!$J$21)))))</f>
        <v>0</v>
      </c>
      <c r="AB232" s="490"/>
      <c r="AC232" s="260" t="n">
        <f aca="false">IF((Q232+R232+S232+V232+W232+X232+Y232+IF(Z232&gt;=1,1,0)+IF(AA232&gt;=1,1,0))=9,G232&amp;", ",)</f>
        <v>0</v>
      </c>
    </row>
    <row r="233" customFormat="false" ht="15.75" hidden="false" customHeight="false" outlineLevel="0" collapsed="false">
      <c r="A233" s="260"/>
      <c r="B233" s="358"/>
      <c r="C233" s="260"/>
      <c r="D233" s="358"/>
      <c r="E233" s="260" t="n">
        <v>232</v>
      </c>
      <c r="F233" s="260" t="n">
        <f aca="false" t="array" ref="F233:F233">INDEX('0.0.1 Pokémon Dex Data'!$H$3:$H951,MATCH(E233,'0.0.1 Pokémon Dex Data'!$B$3:$B951,0))</f>
        <v>0</v>
      </c>
      <c r="G233" s="0" t="str">
        <f aca="false" t="array" ref="G233:G233">INDEX('0.0.1 Pokémon Dex Data'!$E$3:$E951,MATCH(E233,'0.0.1 Pokémon Dex Data'!$B$3:$B951,0))</f>
        <v>Murkrow</v>
      </c>
      <c r="H233" s="0" t="str">
        <f aca="false" t="array" ref="H233:H233">INDEX('0.0.1 Pokémon Dex Data'!$Q$3:$Q951,MATCH(E233,'0.0.1 Pokémon Dex Data'!$B$3:$B951,0))</f>
        <v>Dark</v>
      </c>
      <c r="I233" s="0" t="str">
        <f aca="false" t="array" ref="I233:I233">INDEX('0.0.1 Pokémon Dex Data'!$R$3:$R951,MATCH(E233,'0.0.1 Pokémon Dex Data'!$B$3:$B951,0))</f>
        <v>Flying</v>
      </c>
      <c r="J233" s="260" t="n">
        <f aca="false" t="array" ref="J233:J233">ROUND(INDEX('0.0.1 Pokémon Dex Data'!$S$3:$S951,MATCH($E233,'0.0.1 Pokémon Dex Data'!$B$3:$B951,0))*INDEX('0.0.1 Pokémon Dex Data'!T$3:T951,MATCH($E233,'0.0.1 Pokémon Dex Data'!$B$3:$B951,0)),0)</f>
        <v>175</v>
      </c>
      <c r="K233" s="260" t="n">
        <f aca="false" t="array" ref="K233:K233">ROUND(INDEX('0.0.1 Pokémon Dex Data'!$S$3:$S951,MATCH($E233,'0.0.1 Pokémon Dex Data'!$B$3:$B951,0))*INDEX('0.0.1 Pokémon Dex Data'!U$3:U951,MATCH($E233,'0.0.1 Pokémon Dex Data'!$B$3:$B951,0)),0)</f>
        <v>87</v>
      </c>
      <c r="L233" s="260" t="n">
        <f aca="false" t="array" ref="L233:L233">ROUND(INDEX('0.0.1 Pokémon Dex Data'!$S$3:$S951,MATCH($E233,'0.0.1 Pokémon Dex Data'!$B$3:$B951,0))*INDEX('0.0.1 Pokémon Dex Data'!V$3:V951,MATCH($E233,'0.0.1 Pokémon Dex Data'!$B$3:$B951,0)),0)</f>
        <v>155</v>
      </c>
      <c r="M233" s="260" t="n">
        <f aca="false" t="array" ref="M233:M233">INDEX('0.0.1 Pokémon Dex Data'!$J$3:$J951,MATCH(E233,'0.0.1 Pokémon Dex Data'!$B$3:$B951,0))</f>
        <v>1</v>
      </c>
      <c r="O233" s="490"/>
      <c r="Q233" s="367" t="n">
        <f aca="false">IF('Reverse Search'!$F$4="All (including temporary formes)",1,IF('Reverse Search'!$F$4="Base Pokémon and permanent formes only",IF(F233&lt;=1,1,0),IF(F233=0,1,0)))</f>
        <v>1</v>
      </c>
      <c r="R233" s="0" t="n">
        <f aca="false">IF('Reverse Search'!$C$7="Disable",1,IF('Reverse Search'!$D$9="Disable",1,IF(OR('Reverse Search'!$F$9=H233,'Reverse Search'!$F$9=I233),1,0)))</f>
        <v>1</v>
      </c>
      <c r="S233" s="0" t="n">
        <f aca="false">IF('Reverse Search'!$C$7="Disable",1,IF('Reverse Search'!$D$10="Disable",1,IF(OR('Reverse Search'!$F$10=H233,'Reverse Search'!$F$10=I233),1,0)))</f>
        <v>1</v>
      </c>
      <c r="T233" s="0" t="n">
        <f aca="false">INDEX($B$4:$B$22,MATCH(H233,$A$4:$A$22,0))</f>
        <v>1</v>
      </c>
      <c r="U233" s="0" t="n">
        <f aca="false">IF(ISBLANK(I233),1,INDEX($B$4:$B$22,MATCH(I233,$A$4:$A$22,0)))</f>
        <v>1</v>
      </c>
      <c r="V233" s="367" t="n">
        <f aca="false">IF('Reverse Search'!$C$7="Disable",1,IF('Reverse Search'!$D$11="Disable",1,IF('Reverse Search'!$E$11="Neutral to:",IF(ROUND(T233*U233,2)&lt;=1,1,0),IF(ROUND(T233*U233,2)&lt;1,1,0))))</f>
        <v>1</v>
      </c>
      <c r="W233" s="0" t="n">
        <f aca="false">IF('Reverse Search'!$N$7="Disable",1,IF('Reverse Search'!$I$9="Disable",1,IF('Reverse Search'!$K$9="≥",IF(J233&gt;='Reverse Search'!$L$9,1,0),IF('Reverse Search'!$K$9="≤",IF(J233&lt;='Reverse Search'!$L$9,1,0),IF(J233='Reverse Search'!$L$9,1,0)))))</f>
        <v>1</v>
      </c>
      <c r="X233" s="0" t="n">
        <f aca="false">IF('Reverse Search'!$N$7="Disable",1,IF('Reverse Search'!$I$10="Disable",1,IF('Reverse Search'!$K$10="≥",IF(K233&gt;='Reverse Search'!$L$10,1,0),IF('Reverse Search'!$K$10="≤",IF(K233&lt;='Reverse Search'!$L$10,1,0),IF(K233='Reverse Search'!$L$10,1,0)))))</f>
        <v>1</v>
      </c>
      <c r="Y233" s="367" t="n">
        <f aca="false">IF('Reverse Search'!$N$7="Disable",1,IF('Reverse Search'!$I$11="Disable",1,IF('Reverse Search'!$K$11="≥",IF(L233&gt;='Reverse Search'!$L$11,1,0),IF('Reverse Search'!$K$11="≤",IF(L233&lt;='Reverse Search'!$L$11,1,0),IF(L233='Reverse Search'!$L$11,1,0)))))</f>
        <v>1</v>
      </c>
      <c r="Z233" s="0" t="n">
        <f aca="true">IF('Reverse Search'!$C$14="Disable",1,IF('Reverse Search'!$D$16="Disable",1,IF($C$2=3,IF($M233=0,0,COUNTIF(INDIRECT("'0.0.2 Pokémon Learnset (Core)'!$D$"&amp;MATCH($E233,'0.0.2 Pokémon Learnset (Core)'!$A$1:$A951,0)&amp;":$FK$"&amp;MATCH($E233,'0.0.2 Pokémon Learnset (Core)'!$A$1:$A951,0)),'Reverse Search'!$E$21)),IF($C$2=2,COUNTIF(INDIRECT("'0.1.1 Pokémon GO Moves'!$B$"&amp;MATCH($E233,'0.1.1 Pokémon GO Moves'!$A$1:$A951,0)&amp;":$R$"&amp;MATCH($E233,'0.1.1 Pokémon GO Moves'!$A$1:$A951,0)),'Reverse Search'!$E$21),COUNTIF(INDIRECT("'0.1.1 Pokémon GO Moves'!$B$"&amp;MATCH($E233,'0.1.1 Pokémon GO Moves'!$A$1:$A951,0)&amp;":$L$"&amp;MATCH($E233,'0.1.1 Pokémon GO Moves'!$A$1:$A951,0)),'Reverse Search'!$E$21)))))</f>
        <v>1</v>
      </c>
      <c r="AA233" s="0" t="n">
        <f aca="true">IF('Reverse Search'!$C$14="Disable",1,IF('Reverse Search'!$I$16="Disable",1,IF($D$2=3,IF($M233=0,0,COUNTIF(INDIRECT("'0.0.2 Pokémon Learnset (Core)'!$D$"&amp;MATCH($E233,'0.0.2 Pokémon Learnset (Core)'!$A$1:$A951,0)&amp;":$FK$"&amp;MATCH($E233,'0.0.2 Pokémon Learnset (Core)'!$A$1:$A951,0)),'Reverse Search'!$J$21)),IF($D$2=2,COUNTIF(INDIRECT("'0.1.1 Pokémon GO Moves'!$B$"&amp;MATCH($E233,'0.1.1 Pokémon GO Moves'!$A$1:$A951,0)&amp;":$R$"&amp;MATCH($E233,'0.1.1 Pokémon GO Moves'!$A$1:$A951,0)),'Reverse Search'!$J$21),COUNTIF(INDIRECT("'0.1.1 Pokémon GO Moves'!$B$"&amp;MATCH($E233,'0.1.1 Pokémon GO Moves'!$A$1:$A951,0)&amp;":$L$"&amp;MATCH($E233,'0.1.1 Pokémon GO Moves'!$A$1:$A951,0)),'Reverse Search'!$J$21)))))</f>
        <v>0</v>
      </c>
      <c r="AB233" s="490"/>
      <c r="AC233" s="260" t="n">
        <f aca="false">IF((Q233+R233+S233+V233+W233+X233+Y233+IF(Z233&gt;=1,1,0)+IF(AA233&gt;=1,1,0))=9,G233&amp;", ",)</f>
        <v>0</v>
      </c>
    </row>
    <row r="234" customFormat="false" ht="15.75" hidden="false" customHeight="false" outlineLevel="0" collapsed="false">
      <c r="A234" s="260"/>
      <c r="B234" s="358"/>
      <c r="C234" s="260"/>
      <c r="D234" s="358"/>
      <c r="E234" s="260" t="n">
        <v>233</v>
      </c>
      <c r="F234" s="260" t="n">
        <f aca="false" t="array" ref="F234:F234">INDEX('0.0.1 Pokémon Dex Data'!$H$3:$H951,MATCH(E234,'0.0.1 Pokémon Dex Data'!$B$3:$B951,0))</f>
        <v>0</v>
      </c>
      <c r="G234" s="0" t="str">
        <f aca="false" t="array" ref="G234:G234">INDEX('0.0.1 Pokémon Dex Data'!$E$3:$E951,MATCH(E234,'0.0.1 Pokémon Dex Data'!$B$3:$B951,0))</f>
        <v>Slowking</v>
      </c>
      <c r="H234" s="0" t="str">
        <f aca="false" t="array" ref="H234:H234">INDEX('0.0.1 Pokémon Dex Data'!$Q$3:$Q951,MATCH(E234,'0.0.1 Pokémon Dex Data'!$B$3:$B951,0))</f>
        <v>Water</v>
      </c>
      <c r="I234" s="0" t="str">
        <f aca="false" t="array" ref="I234:I234">INDEX('0.0.1 Pokémon Dex Data'!$R$3:$R951,MATCH(E234,'0.0.1 Pokémon Dex Data'!$B$3:$B951,0))</f>
        <v>Psychic</v>
      </c>
      <c r="J234" s="260" t="n">
        <f aca="false" t="array" ref="J234:J234">ROUND(INDEX('0.0.1 Pokémon Dex Data'!$S$3:$S951,MATCH($E234,'0.0.1 Pokémon Dex Data'!$B$3:$B951,0))*INDEX('0.0.1 Pokémon Dex Data'!T$3:T951,MATCH($E234,'0.0.1 Pokémon Dex Data'!$B$3:$B951,0)),0)</f>
        <v>177</v>
      </c>
      <c r="K234" s="260" t="n">
        <f aca="false" t="array" ref="K234:K234">ROUND(INDEX('0.0.1 Pokémon Dex Data'!$S$3:$S951,MATCH($E234,'0.0.1 Pokémon Dex Data'!$B$3:$B951,0))*INDEX('0.0.1 Pokémon Dex Data'!U$3:U951,MATCH($E234,'0.0.1 Pokémon Dex Data'!$B$3:$B951,0)),0)</f>
        <v>180</v>
      </c>
      <c r="L234" s="260" t="n">
        <f aca="false" t="array" ref="L234:L234">ROUND(INDEX('0.0.1 Pokémon Dex Data'!$S$3:$S951,MATCH($E234,'0.0.1 Pokémon Dex Data'!$B$3:$B951,0))*INDEX('0.0.1 Pokémon Dex Data'!V$3:V951,MATCH($E234,'0.0.1 Pokémon Dex Data'!$B$3:$B951,0)),0)</f>
        <v>216</v>
      </c>
      <c r="M234" s="260" t="n">
        <f aca="false" t="array" ref="M234:M234">INDEX('0.0.1 Pokémon Dex Data'!$J$3:$J951,MATCH(E234,'0.0.1 Pokémon Dex Data'!$B$3:$B951,0))</f>
        <v>1</v>
      </c>
      <c r="O234" s="490"/>
      <c r="Q234" s="367" t="n">
        <f aca="false">IF('Reverse Search'!$F$4="All (including temporary formes)",1,IF('Reverse Search'!$F$4="Base Pokémon and permanent formes only",IF(F234&lt;=1,1,0),IF(F234=0,1,0)))</f>
        <v>1</v>
      </c>
      <c r="R234" s="0" t="n">
        <f aca="false">IF('Reverse Search'!$C$7="Disable",1,IF('Reverse Search'!$D$9="Disable",1,IF(OR('Reverse Search'!$F$9=H234,'Reverse Search'!$F$9=I234),1,0)))</f>
        <v>1</v>
      </c>
      <c r="S234" s="0" t="n">
        <f aca="false">IF('Reverse Search'!$C$7="Disable",1,IF('Reverse Search'!$D$10="Disable",1,IF(OR('Reverse Search'!$F$10=H234,'Reverse Search'!$F$10=I234),1,0)))</f>
        <v>1</v>
      </c>
      <c r="T234" s="0" t="n">
        <f aca="false">INDEX($B$4:$B$22,MATCH(H234,$A$4:$A$22,0))</f>
        <v>1</v>
      </c>
      <c r="U234" s="0" t="n">
        <f aca="false">IF(ISBLANK(I234),1,INDEX($B$4:$B$22,MATCH(I234,$A$4:$A$22,0)))</f>
        <v>1</v>
      </c>
      <c r="V234" s="367" t="n">
        <f aca="false">IF('Reverse Search'!$C$7="Disable",1,IF('Reverse Search'!$D$11="Disable",1,IF('Reverse Search'!$E$11="Neutral to:",IF(ROUND(T234*U234,2)&lt;=1,1,0),IF(ROUND(T234*U234,2)&lt;1,1,0))))</f>
        <v>1</v>
      </c>
      <c r="W234" s="0" t="n">
        <f aca="false">IF('Reverse Search'!$N$7="Disable",1,IF('Reverse Search'!$I$9="Disable",1,IF('Reverse Search'!$K$9="≥",IF(J234&gt;='Reverse Search'!$L$9,1,0),IF('Reverse Search'!$K$9="≤",IF(J234&lt;='Reverse Search'!$L$9,1,0),IF(J234='Reverse Search'!$L$9,1,0)))))</f>
        <v>1</v>
      </c>
      <c r="X234" s="0" t="n">
        <f aca="false">IF('Reverse Search'!$N$7="Disable",1,IF('Reverse Search'!$I$10="Disable",1,IF('Reverse Search'!$K$10="≥",IF(K234&gt;='Reverse Search'!$L$10,1,0),IF('Reverse Search'!$K$10="≤",IF(K234&lt;='Reverse Search'!$L$10,1,0),IF(K234='Reverse Search'!$L$10,1,0)))))</f>
        <v>1</v>
      </c>
      <c r="Y234" s="367" t="n">
        <f aca="false">IF('Reverse Search'!$N$7="Disable",1,IF('Reverse Search'!$I$11="Disable",1,IF('Reverse Search'!$K$11="≥",IF(L234&gt;='Reverse Search'!$L$11,1,0),IF('Reverse Search'!$K$11="≤",IF(L234&lt;='Reverse Search'!$L$11,1,0),IF(L234='Reverse Search'!$L$11,1,0)))))</f>
        <v>1</v>
      </c>
      <c r="Z234" s="0" t="n">
        <f aca="true">IF('Reverse Search'!$C$14="Disable",1,IF('Reverse Search'!$D$16="Disable",1,IF($C$2=3,IF($M234=0,0,COUNTIF(INDIRECT("'0.0.2 Pokémon Learnset (Core)'!$D$"&amp;MATCH($E234,'0.0.2 Pokémon Learnset (Core)'!$A$1:$A951,0)&amp;":$FK$"&amp;MATCH($E234,'0.0.2 Pokémon Learnset (Core)'!$A$1:$A951,0)),'Reverse Search'!$E$21)),IF($C$2=2,COUNTIF(INDIRECT("'0.1.1 Pokémon GO Moves'!$B$"&amp;MATCH($E234,'0.1.1 Pokémon GO Moves'!$A$1:$A951,0)&amp;":$R$"&amp;MATCH($E234,'0.1.1 Pokémon GO Moves'!$A$1:$A951,0)),'Reverse Search'!$E$21),COUNTIF(INDIRECT("'0.1.1 Pokémon GO Moves'!$B$"&amp;MATCH($E234,'0.1.1 Pokémon GO Moves'!$A$1:$A951,0)&amp;":$L$"&amp;MATCH($E234,'0.1.1 Pokémon GO Moves'!$A$1:$A951,0)),'Reverse Search'!$E$21)))))</f>
        <v>1</v>
      </c>
      <c r="AA234" s="0" t="n">
        <f aca="true">IF('Reverse Search'!$C$14="Disable",1,IF('Reverse Search'!$I$16="Disable",1,IF($D$2=3,IF($M234=0,0,COUNTIF(INDIRECT("'0.0.2 Pokémon Learnset (Core)'!$D$"&amp;MATCH($E234,'0.0.2 Pokémon Learnset (Core)'!$A$1:$A951,0)&amp;":$FK$"&amp;MATCH($E234,'0.0.2 Pokémon Learnset (Core)'!$A$1:$A951,0)),'Reverse Search'!$J$21)),IF($D$2=2,COUNTIF(INDIRECT("'0.1.1 Pokémon GO Moves'!$B$"&amp;MATCH($E234,'0.1.1 Pokémon GO Moves'!$A$1:$A951,0)&amp;":$R$"&amp;MATCH($E234,'0.1.1 Pokémon GO Moves'!$A$1:$A951,0)),'Reverse Search'!$J$21),COUNTIF(INDIRECT("'0.1.1 Pokémon GO Moves'!$B$"&amp;MATCH($E234,'0.1.1 Pokémon GO Moves'!$A$1:$A951,0)&amp;":$L$"&amp;MATCH($E234,'0.1.1 Pokémon GO Moves'!$A$1:$A951,0)),'Reverse Search'!$J$21)))))</f>
        <v>0</v>
      </c>
      <c r="AB234" s="490"/>
      <c r="AC234" s="260" t="n">
        <f aca="false">IF((Q234+R234+S234+V234+W234+X234+Y234+IF(Z234&gt;=1,1,0)+IF(AA234&gt;=1,1,0))=9,G234&amp;", ",)</f>
        <v>0</v>
      </c>
    </row>
    <row r="235" customFormat="false" ht="15.75" hidden="false" customHeight="false" outlineLevel="0" collapsed="false">
      <c r="A235" s="260"/>
      <c r="B235" s="358"/>
      <c r="C235" s="260"/>
      <c r="D235" s="358"/>
      <c r="E235" s="260" t="n">
        <v>234</v>
      </c>
      <c r="F235" s="260" t="n">
        <f aca="false" t="array" ref="F235:F235">INDEX('0.0.1 Pokémon Dex Data'!$H$3:$H951,MATCH(E235,'0.0.1 Pokémon Dex Data'!$B$3:$B951,0))</f>
        <v>0</v>
      </c>
      <c r="G235" s="0" t="str">
        <f aca="false" t="array" ref="G235:G235">INDEX('0.0.1 Pokémon Dex Data'!$E$3:$E951,MATCH(E235,'0.0.1 Pokémon Dex Data'!$B$3:$B951,0))</f>
        <v>Misdreavus</v>
      </c>
      <c r="H235" s="0" t="str">
        <f aca="false" t="array" ref="H235:H235">INDEX('0.0.1 Pokémon Dex Data'!$Q$3:$Q951,MATCH(E235,'0.0.1 Pokémon Dex Data'!$B$3:$B951,0))</f>
        <v>Ghost</v>
      </c>
      <c r="I235" s="0" t="n">
        <f aca="false">INDEX('0.0.1 Pokémon Dex Data'!$R$3:$R951,MATCH(E235,'0.0.1 Pokémon Dex Data'!$B$3:$B951,0))</f>
        <v>0</v>
      </c>
      <c r="J235" s="260" t="n">
        <f aca="false" t="array" ref="J235:J235">ROUND(INDEX('0.0.1 Pokémon Dex Data'!$S$3:$S951,MATCH($E235,'0.0.1 Pokémon Dex Data'!$B$3:$B951,0))*INDEX('0.0.1 Pokémon Dex Data'!T$3:T951,MATCH($E235,'0.0.1 Pokémon Dex Data'!$B$3:$B951,0)),0)</f>
        <v>167</v>
      </c>
      <c r="K235" s="260" t="n">
        <f aca="false" t="array" ref="K235:K235">ROUND(INDEX('0.0.1 Pokémon Dex Data'!$S$3:$S951,MATCH($E235,'0.0.1 Pokémon Dex Data'!$B$3:$B951,0))*INDEX('0.0.1 Pokémon Dex Data'!U$3:U951,MATCH($E235,'0.0.1 Pokémon Dex Data'!$B$3:$B951,0)),0)</f>
        <v>154</v>
      </c>
      <c r="L235" s="260" t="n">
        <f aca="false" t="array" ref="L235:L235">ROUND(INDEX('0.0.1 Pokémon Dex Data'!$S$3:$S951,MATCH($E235,'0.0.1 Pokémon Dex Data'!$B$3:$B951,0))*INDEX('0.0.1 Pokémon Dex Data'!V$3:V951,MATCH($E235,'0.0.1 Pokémon Dex Data'!$B$3:$B951,0)),0)</f>
        <v>155</v>
      </c>
      <c r="M235" s="260" t="n">
        <f aca="false" t="array" ref="M235:M235">INDEX('0.0.1 Pokémon Dex Data'!$J$3:$J951,MATCH(E235,'0.0.1 Pokémon Dex Data'!$B$3:$B951,0))</f>
        <v>1</v>
      </c>
      <c r="O235" s="490"/>
      <c r="Q235" s="367" t="n">
        <f aca="false">IF('Reverse Search'!$F$4="All (including temporary formes)",1,IF('Reverse Search'!$F$4="Base Pokémon and permanent formes only",IF(F235&lt;=1,1,0),IF(F235=0,1,0)))</f>
        <v>1</v>
      </c>
      <c r="R235" s="0" t="n">
        <f aca="false">IF('Reverse Search'!$C$7="Disable",1,IF('Reverse Search'!$D$9="Disable",1,IF(OR('Reverse Search'!$F$9=H235,'Reverse Search'!$F$9=I235),1,0)))</f>
        <v>1</v>
      </c>
      <c r="S235" s="0" t="n">
        <f aca="false">IF('Reverse Search'!$C$7="Disable",1,IF('Reverse Search'!$D$10="Disable",1,IF(OR('Reverse Search'!$F$10=H235,'Reverse Search'!$F$10=I235),1,0)))</f>
        <v>1</v>
      </c>
      <c r="T235" s="0" t="n">
        <f aca="false">INDEX($B$4:$B$22,MATCH(H235,$A$4:$A$22,0))</f>
        <v>0.51</v>
      </c>
      <c r="U235" s="0" t="e">
        <f aca="false">IF(ISBLANK(I235),1,INDEX($B$4:$B$22,MATCH(I235,$A$4:$A$22,0)))</f>
        <v>#N/A</v>
      </c>
      <c r="V235" s="367" t="n">
        <f aca="false">IF('Reverse Search'!$C$7="Disable",1,IF('Reverse Search'!$D$11="Disable",1,IF('Reverse Search'!$E$11="Neutral to:",IF(ROUND(T235*U235,2)&lt;=1,1,0),IF(ROUND(T235*U235,2)&lt;1,1,0))))</f>
        <v>1</v>
      </c>
      <c r="W235" s="0" t="n">
        <f aca="false">IF('Reverse Search'!$N$7="Disable",1,IF('Reverse Search'!$I$9="Disable",1,IF('Reverse Search'!$K$9="≥",IF(J235&gt;='Reverse Search'!$L$9,1,0),IF('Reverse Search'!$K$9="≤",IF(J235&lt;='Reverse Search'!$L$9,1,0),IF(J235='Reverse Search'!$L$9,1,0)))))</f>
        <v>1</v>
      </c>
      <c r="X235" s="0" t="n">
        <f aca="false">IF('Reverse Search'!$N$7="Disable",1,IF('Reverse Search'!$I$10="Disable",1,IF('Reverse Search'!$K$10="≥",IF(K235&gt;='Reverse Search'!$L$10,1,0),IF('Reverse Search'!$K$10="≤",IF(K235&lt;='Reverse Search'!$L$10,1,0),IF(K235='Reverse Search'!$L$10,1,0)))))</f>
        <v>1</v>
      </c>
      <c r="Y235" s="367" t="n">
        <f aca="false">IF('Reverse Search'!$N$7="Disable",1,IF('Reverse Search'!$I$11="Disable",1,IF('Reverse Search'!$K$11="≥",IF(L235&gt;='Reverse Search'!$L$11,1,0),IF('Reverse Search'!$K$11="≤",IF(L235&lt;='Reverse Search'!$L$11,1,0),IF(L235='Reverse Search'!$L$11,1,0)))))</f>
        <v>1</v>
      </c>
      <c r="Z235" s="0" t="n">
        <f aca="true">IF('Reverse Search'!$C$14="Disable",1,IF('Reverse Search'!$D$16="Disable",1,IF($C$2=3,IF($M235=0,0,COUNTIF(INDIRECT("'0.0.2 Pokémon Learnset (Core)'!$D$"&amp;MATCH($E235,'0.0.2 Pokémon Learnset (Core)'!$A$1:$A951,0)&amp;":$FK$"&amp;MATCH($E235,'0.0.2 Pokémon Learnset (Core)'!$A$1:$A951,0)),'Reverse Search'!$E$21)),IF($C$2=2,COUNTIF(INDIRECT("'0.1.1 Pokémon GO Moves'!$B$"&amp;MATCH($E235,'0.1.1 Pokémon GO Moves'!$A$1:$A951,0)&amp;":$R$"&amp;MATCH($E235,'0.1.1 Pokémon GO Moves'!$A$1:$A951,0)),'Reverse Search'!$E$21),COUNTIF(INDIRECT("'0.1.1 Pokémon GO Moves'!$B$"&amp;MATCH($E235,'0.1.1 Pokémon GO Moves'!$A$1:$A951,0)&amp;":$L$"&amp;MATCH($E235,'0.1.1 Pokémon GO Moves'!$A$1:$A951,0)),'Reverse Search'!$E$21)))))</f>
        <v>1</v>
      </c>
      <c r="AA235" s="0" t="n">
        <f aca="true">IF('Reverse Search'!$C$14="Disable",1,IF('Reverse Search'!$I$16="Disable",1,IF($D$2=3,IF($M235=0,0,COUNTIF(INDIRECT("'0.0.2 Pokémon Learnset (Core)'!$D$"&amp;MATCH($E235,'0.0.2 Pokémon Learnset (Core)'!$A$1:$A951,0)&amp;":$FK$"&amp;MATCH($E235,'0.0.2 Pokémon Learnset (Core)'!$A$1:$A951,0)),'Reverse Search'!$J$21)),IF($D$2=2,COUNTIF(INDIRECT("'0.1.1 Pokémon GO Moves'!$B$"&amp;MATCH($E235,'0.1.1 Pokémon GO Moves'!$A$1:$A951,0)&amp;":$R$"&amp;MATCH($E235,'0.1.1 Pokémon GO Moves'!$A$1:$A951,0)),'Reverse Search'!$J$21),COUNTIF(INDIRECT("'0.1.1 Pokémon GO Moves'!$B$"&amp;MATCH($E235,'0.1.1 Pokémon GO Moves'!$A$1:$A951,0)&amp;":$L$"&amp;MATCH($E235,'0.1.1 Pokémon GO Moves'!$A$1:$A951,0)),'Reverse Search'!$J$21)))))</f>
        <v>0</v>
      </c>
      <c r="AB235" s="490"/>
      <c r="AC235" s="260" t="n">
        <f aca="false">IF((Q235+R235+S235+V235+W235+X235+Y235+IF(Z235&gt;=1,1,0)+IF(AA235&gt;=1,1,0))=9,G235&amp;", ",)</f>
        <v>0</v>
      </c>
    </row>
    <row r="236" customFormat="false" ht="15.75" hidden="false" customHeight="false" outlineLevel="0" collapsed="false">
      <c r="A236" s="260"/>
      <c r="B236" s="358"/>
      <c r="C236" s="260"/>
      <c r="D236" s="358"/>
      <c r="E236" s="260" t="n">
        <v>235</v>
      </c>
      <c r="F236" s="260" t="n">
        <f aca="false" t="array" ref="F236:F236">INDEX('0.0.1 Pokémon Dex Data'!$H$3:$H951,MATCH(E236,'0.0.1 Pokémon Dex Data'!$B$3:$B951,0))</f>
        <v>0</v>
      </c>
      <c r="G236" s="0" t="str">
        <f aca="false" t="array" ref="G236:G236">INDEX('0.0.1 Pokémon Dex Data'!$E$3:$E951,MATCH(E236,'0.0.1 Pokémon Dex Data'!$B$3:$B951,0))</f>
        <v>Unown</v>
      </c>
      <c r="H236" s="0" t="str">
        <f aca="false" t="array" ref="H236:H236">INDEX('0.0.1 Pokémon Dex Data'!$Q$3:$Q951,MATCH(E236,'0.0.1 Pokémon Dex Data'!$B$3:$B951,0))</f>
        <v>Psychic</v>
      </c>
      <c r="I236" s="0" t="n">
        <f aca="false">INDEX('0.0.1 Pokémon Dex Data'!$R$3:$R951,MATCH(E236,'0.0.1 Pokémon Dex Data'!$B$3:$B951,0))</f>
        <v>0</v>
      </c>
      <c r="J236" s="260" t="n">
        <f aca="false" t="array" ref="J236:J236">ROUND(INDEX('0.0.1 Pokémon Dex Data'!$S$3:$S951,MATCH($E236,'0.0.1 Pokémon Dex Data'!$B$3:$B951,0))*INDEX('0.0.1 Pokémon Dex Data'!T$3:T951,MATCH($E236,'0.0.1 Pokémon Dex Data'!$B$3:$B951,0)),0)</f>
        <v>136</v>
      </c>
      <c r="K236" s="260" t="n">
        <f aca="false" t="array" ref="K236:K236">ROUND(INDEX('0.0.1 Pokémon Dex Data'!$S$3:$S951,MATCH($E236,'0.0.1 Pokémon Dex Data'!$B$3:$B951,0))*INDEX('0.0.1 Pokémon Dex Data'!U$3:U951,MATCH($E236,'0.0.1 Pokémon Dex Data'!$B$3:$B951,0)),0)</f>
        <v>91</v>
      </c>
      <c r="L236" s="260" t="n">
        <f aca="false" t="array" ref="L236:L236">ROUND(INDEX('0.0.1 Pokémon Dex Data'!$S$3:$S951,MATCH($E236,'0.0.1 Pokémon Dex Data'!$B$3:$B951,0))*INDEX('0.0.1 Pokémon Dex Data'!V$3:V951,MATCH($E236,'0.0.1 Pokémon Dex Data'!$B$3:$B951,0)),0)</f>
        <v>134</v>
      </c>
      <c r="M236" s="260" t="n">
        <f aca="false" t="array" ref="M236:M236">INDEX('0.0.1 Pokémon Dex Data'!$J$3:$J951,MATCH(E236,'0.0.1 Pokémon Dex Data'!$B$3:$B951,0))</f>
        <v>1</v>
      </c>
      <c r="O236" s="490"/>
      <c r="Q236" s="367" t="n">
        <f aca="false">IF('Reverse Search'!$F$4="All (including temporary formes)",1,IF('Reverse Search'!$F$4="Base Pokémon and permanent formes only",IF(F236&lt;=1,1,0),IF(F236=0,1,0)))</f>
        <v>1</v>
      </c>
      <c r="R236" s="0" t="n">
        <f aca="false">IF('Reverse Search'!$C$7="Disable",1,IF('Reverse Search'!$D$9="Disable",1,IF(OR('Reverse Search'!$F$9=H236,'Reverse Search'!$F$9=I236),1,0)))</f>
        <v>1</v>
      </c>
      <c r="S236" s="0" t="n">
        <f aca="false">IF('Reverse Search'!$C$7="Disable",1,IF('Reverse Search'!$D$10="Disable",1,IF(OR('Reverse Search'!$F$10=H236,'Reverse Search'!$F$10=I236),1,0)))</f>
        <v>1</v>
      </c>
      <c r="T236" s="0" t="n">
        <f aca="false">INDEX($B$4:$B$22,MATCH(H236,$A$4:$A$22,0))</f>
        <v>1</v>
      </c>
      <c r="U236" s="0" t="e">
        <f aca="false">IF(ISBLANK(I236),1,INDEX($B$4:$B$22,MATCH(I236,$A$4:$A$22,0)))</f>
        <v>#N/A</v>
      </c>
      <c r="V236" s="367" t="n">
        <f aca="false">IF('Reverse Search'!$C$7="Disable",1,IF('Reverse Search'!$D$11="Disable",1,IF('Reverse Search'!$E$11="Neutral to:",IF(ROUND(T236*U236,2)&lt;=1,1,0),IF(ROUND(T236*U236,2)&lt;1,1,0))))</f>
        <v>1</v>
      </c>
      <c r="W236" s="0" t="n">
        <f aca="false">IF('Reverse Search'!$N$7="Disable",1,IF('Reverse Search'!$I$9="Disable",1,IF('Reverse Search'!$K$9="≥",IF(J236&gt;='Reverse Search'!$L$9,1,0),IF('Reverse Search'!$K$9="≤",IF(J236&lt;='Reverse Search'!$L$9,1,0),IF(J236='Reverse Search'!$L$9,1,0)))))</f>
        <v>1</v>
      </c>
      <c r="X236" s="0" t="n">
        <f aca="false">IF('Reverse Search'!$N$7="Disable",1,IF('Reverse Search'!$I$10="Disable",1,IF('Reverse Search'!$K$10="≥",IF(K236&gt;='Reverse Search'!$L$10,1,0),IF('Reverse Search'!$K$10="≤",IF(K236&lt;='Reverse Search'!$L$10,1,0),IF(K236='Reverse Search'!$L$10,1,0)))))</f>
        <v>1</v>
      </c>
      <c r="Y236" s="367" t="n">
        <f aca="false">IF('Reverse Search'!$N$7="Disable",1,IF('Reverse Search'!$I$11="Disable",1,IF('Reverse Search'!$K$11="≥",IF(L236&gt;='Reverse Search'!$L$11,1,0),IF('Reverse Search'!$K$11="≤",IF(L236&lt;='Reverse Search'!$L$11,1,0),IF(L236='Reverse Search'!$L$11,1,0)))))</f>
        <v>1</v>
      </c>
      <c r="Z236" s="0" t="n">
        <f aca="true">IF('Reverse Search'!$C$14="Disable",1,IF('Reverse Search'!$D$16="Disable",1,IF($C$2=3,IF($M236=0,0,COUNTIF(INDIRECT("'0.0.2 Pokémon Learnset (Core)'!$D$"&amp;MATCH($E236,'0.0.2 Pokémon Learnset (Core)'!$A$1:$A951,0)&amp;":$FK$"&amp;MATCH($E236,'0.0.2 Pokémon Learnset (Core)'!$A$1:$A951,0)),'Reverse Search'!$E$21)),IF($C$2=2,COUNTIF(INDIRECT("'0.1.1 Pokémon GO Moves'!$B$"&amp;MATCH($E236,'0.1.1 Pokémon GO Moves'!$A$1:$A951,0)&amp;":$R$"&amp;MATCH($E236,'0.1.1 Pokémon GO Moves'!$A$1:$A951,0)),'Reverse Search'!$E$21),COUNTIF(INDIRECT("'0.1.1 Pokémon GO Moves'!$B$"&amp;MATCH($E236,'0.1.1 Pokémon GO Moves'!$A$1:$A951,0)&amp;":$L$"&amp;MATCH($E236,'0.1.1 Pokémon GO Moves'!$A$1:$A951,0)),'Reverse Search'!$E$21)))))</f>
        <v>1</v>
      </c>
      <c r="AA236" s="0" t="n">
        <f aca="true">IF('Reverse Search'!$C$14="Disable",1,IF('Reverse Search'!$I$16="Disable",1,IF($D$2=3,IF($M236=0,0,COUNTIF(INDIRECT("'0.0.2 Pokémon Learnset (Core)'!$D$"&amp;MATCH($E236,'0.0.2 Pokémon Learnset (Core)'!$A$1:$A951,0)&amp;":$FK$"&amp;MATCH($E236,'0.0.2 Pokémon Learnset (Core)'!$A$1:$A951,0)),'Reverse Search'!$J$21)),IF($D$2=2,COUNTIF(INDIRECT("'0.1.1 Pokémon GO Moves'!$B$"&amp;MATCH($E236,'0.1.1 Pokémon GO Moves'!$A$1:$A951,0)&amp;":$R$"&amp;MATCH($E236,'0.1.1 Pokémon GO Moves'!$A$1:$A951,0)),'Reverse Search'!$J$21),COUNTIF(INDIRECT("'0.1.1 Pokémon GO Moves'!$B$"&amp;MATCH($E236,'0.1.1 Pokémon GO Moves'!$A$1:$A951,0)&amp;":$L$"&amp;MATCH($E236,'0.1.1 Pokémon GO Moves'!$A$1:$A951,0)),'Reverse Search'!$J$21)))))</f>
        <v>0</v>
      </c>
      <c r="AB236" s="490"/>
      <c r="AC236" s="260" t="n">
        <f aca="false">IF((Q236+R236+S236+V236+W236+X236+Y236+IF(Z236&gt;=1,1,0)+IF(AA236&gt;=1,1,0))=9,G236&amp;", ",)</f>
        <v>0</v>
      </c>
    </row>
    <row r="237" customFormat="false" ht="15.75" hidden="false" customHeight="false" outlineLevel="0" collapsed="false">
      <c r="A237" s="260"/>
      <c r="B237" s="358"/>
      <c r="C237" s="260"/>
      <c r="D237" s="358"/>
      <c r="E237" s="260" t="n">
        <v>236</v>
      </c>
      <c r="F237" s="260" t="n">
        <f aca="false" t="array" ref="F237:F237">INDEX('0.0.1 Pokémon Dex Data'!$H$3:$H951,MATCH(E237,'0.0.1 Pokémon Dex Data'!$B$3:$B951,0))</f>
        <v>0</v>
      </c>
      <c r="G237" s="0" t="str">
        <f aca="false" t="array" ref="G237:G237">INDEX('0.0.1 Pokémon Dex Data'!$E$3:$E951,MATCH(E237,'0.0.1 Pokémon Dex Data'!$B$3:$B951,0))</f>
        <v>Wobbuffet</v>
      </c>
      <c r="H237" s="0" t="str">
        <f aca="false" t="array" ref="H237:H237">INDEX('0.0.1 Pokémon Dex Data'!$Q$3:$Q951,MATCH(E237,'0.0.1 Pokémon Dex Data'!$B$3:$B951,0))</f>
        <v>Psychic</v>
      </c>
      <c r="I237" s="0" t="n">
        <f aca="false">INDEX('0.0.1 Pokémon Dex Data'!$R$3:$R951,MATCH(E237,'0.0.1 Pokémon Dex Data'!$B$3:$B951,0))</f>
        <v>0</v>
      </c>
      <c r="J237" s="260" t="n">
        <f aca="false" t="array" ref="J237:J237">ROUND(INDEX('0.0.1 Pokémon Dex Data'!$S$3:$S951,MATCH($E237,'0.0.1 Pokémon Dex Data'!$B$3:$B951,0))*INDEX('0.0.1 Pokémon Dex Data'!T$3:T951,MATCH($E237,'0.0.1 Pokémon Dex Data'!$B$3:$B951,0)),0)</f>
        <v>60</v>
      </c>
      <c r="K237" s="260" t="n">
        <f aca="false" t="array" ref="K237:K237">ROUND(INDEX('0.0.1 Pokémon Dex Data'!$S$3:$S951,MATCH($E237,'0.0.1 Pokémon Dex Data'!$B$3:$B951,0))*INDEX('0.0.1 Pokémon Dex Data'!U$3:U951,MATCH($E237,'0.0.1 Pokémon Dex Data'!$B$3:$B951,0)),0)</f>
        <v>106</v>
      </c>
      <c r="L237" s="260" t="n">
        <f aca="false" t="array" ref="L237:L237">ROUND(INDEX('0.0.1 Pokémon Dex Data'!$S$3:$S951,MATCH($E237,'0.0.1 Pokémon Dex Data'!$B$3:$B951,0))*INDEX('0.0.1 Pokémon Dex Data'!V$3:V951,MATCH($E237,'0.0.1 Pokémon Dex Data'!$B$3:$B951,0)),0)</f>
        <v>382</v>
      </c>
      <c r="M237" s="260" t="n">
        <f aca="false" t="array" ref="M237:M237">INDEX('0.0.1 Pokémon Dex Data'!$J$3:$J951,MATCH(E237,'0.0.1 Pokémon Dex Data'!$B$3:$B951,0))</f>
        <v>1</v>
      </c>
      <c r="O237" s="490"/>
      <c r="Q237" s="367" t="n">
        <f aca="false">IF('Reverse Search'!$F$4="All (including temporary formes)",1,IF('Reverse Search'!$F$4="Base Pokémon and permanent formes only",IF(F237&lt;=1,1,0),IF(F237=0,1,0)))</f>
        <v>1</v>
      </c>
      <c r="R237" s="0" t="n">
        <f aca="false">IF('Reverse Search'!$C$7="Disable",1,IF('Reverse Search'!$D$9="Disable",1,IF(OR('Reverse Search'!$F$9=H237,'Reverse Search'!$F$9=I237),1,0)))</f>
        <v>1</v>
      </c>
      <c r="S237" s="0" t="n">
        <f aca="false">IF('Reverse Search'!$C$7="Disable",1,IF('Reverse Search'!$D$10="Disable",1,IF(OR('Reverse Search'!$F$10=H237,'Reverse Search'!$F$10=I237),1,0)))</f>
        <v>1</v>
      </c>
      <c r="T237" s="0" t="n">
        <f aca="false">INDEX($B$4:$B$22,MATCH(H237,$A$4:$A$22,0))</f>
        <v>1</v>
      </c>
      <c r="U237" s="0" t="e">
        <f aca="false">IF(ISBLANK(I237),1,INDEX($B$4:$B$22,MATCH(I237,$A$4:$A$22,0)))</f>
        <v>#N/A</v>
      </c>
      <c r="V237" s="367" t="n">
        <f aca="false">IF('Reverse Search'!$C$7="Disable",1,IF('Reverse Search'!$D$11="Disable",1,IF('Reverse Search'!$E$11="Neutral to:",IF(ROUND(T237*U237,2)&lt;=1,1,0),IF(ROUND(T237*U237,2)&lt;1,1,0))))</f>
        <v>1</v>
      </c>
      <c r="W237" s="0" t="n">
        <f aca="false">IF('Reverse Search'!$N$7="Disable",1,IF('Reverse Search'!$I$9="Disable",1,IF('Reverse Search'!$K$9="≥",IF(J237&gt;='Reverse Search'!$L$9,1,0),IF('Reverse Search'!$K$9="≤",IF(J237&lt;='Reverse Search'!$L$9,1,0),IF(J237='Reverse Search'!$L$9,1,0)))))</f>
        <v>1</v>
      </c>
      <c r="X237" s="0" t="n">
        <f aca="false">IF('Reverse Search'!$N$7="Disable",1,IF('Reverse Search'!$I$10="Disable",1,IF('Reverse Search'!$K$10="≥",IF(K237&gt;='Reverse Search'!$L$10,1,0),IF('Reverse Search'!$K$10="≤",IF(K237&lt;='Reverse Search'!$L$10,1,0),IF(K237='Reverse Search'!$L$10,1,0)))))</f>
        <v>1</v>
      </c>
      <c r="Y237" s="367" t="n">
        <f aca="false">IF('Reverse Search'!$N$7="Disable",1,IF('Reverse Search'!$I$11="Disable",1,IF('Reverse Search'!$K$11="≥",IF(L237&gt;='Reverse Search'!$L$11,1,0),IF('Reverse Search'!$K$11="≤",IF(L237&lt;='Reverse Search'!$L$11,1,0),IF(L237='Reverse Search'!$L$11,1,0)))))</f>
        <v>1</v>
      </c>
      <c r="Z237" s="0" t="n">
        <f aca="true">IF('Reverse Search'!$C$14="Disable",1,IF('Reverse Search'!$D$16="Disable",1,IF($C$2=3,IF($M237=0,0,COUNTIF(INDIRECT("'0.0.2 Pokémon Learnset (Core)'!$D$"&amp;MATCH($E237,'0.0.2 Pokémon Learnset (Core)'!$A$1:$A951,0)&amp;":$FK$"&amp;MATCH($E237,'0.0.2 Pokémon Learnset (Core)'!$A$1:$A951,0)),'Reverse Search'!$E$21)),IF($C$2=2,COUNTIF(INDIRECT("'0.1.1 Pokémon GO Moves'!$B$"&amp;MATCH($E237,'0.1.1 Pokémon GO Moves'!$A$1:$A951,0)&amp;":$R$"&amp;MATCH($E237,'0.1.1 Pokémon GO Moves'!$A$1:$A951,0)),'Reverse Search'!$E$21),COUNTIF(INDIRECT("'0.1.1 Pokémon GO Moves'!$B$"&amp;MATCH($E237,'0.1.1 Pokémon GO Moves'!$A$1:$A951,0)&amp;":$L$"&amp;MATCH($E237,'0.1.1 Pokémon GO Moves'!$A$1:$A951,0)),'Reverse Search'!$E$21)))))</f>
        <v>1</v>
      </c>
      <c r="AA237" s="0" t="n">
        <f aca="true">IF('Reverse Search'!$C$14="Disable",1,IF('Reverse Search'!$I$16="Disable",1,IF($D$2=3,IF($M237=0,0,COUNTIF(INDIRECT("'0.0.2 Pokémon Learnset (Core)'!$D$"&amp;MATCH($E237,'0.0.2 Pokémon Learnset (Core)'!$A$1:$A951,0)&amp;":$FK$"&amp;MATCH($E237,'0.0.2 Pokémon Learnset (Core)'!$A$1:$A951,0)),'Reverse Search'!$J$21)),IF($D$2=2,COUNTIF(INDIRECT("'0.1.1 Pokémon GO Moves'!$B$"&amp;MATCH($E237,'0.1.1 Pokémon GO Moves'!$A$1:$A951,0)&amp;":$R$"&amp;MATCH($E237,'0.1.1 Pokémon GO Moves'!$A$1:$A951,0)),'Reverse Search'!$J$21),COUNTIF(INDIRECT("'0.1.1 Pokémon GO Moves'!$B$"&amp;MATCH($E237,'0.1.1 Pokémon GO Moves'!$A$1:$A951,0)&amp;":$L$"&amp;MATCH($E237,'0.1.1 Pokémon GO Moves'!$A$1:$A951,0)),'Reverse Search'!$J$21)))))</f>
        <v>0</v>
      </c>
      <c r="AB237" s="490"/>
      <c r="AC237" s="260" t="n">
        <f aca="false">IF((Q237+R237+S237+V237+W237+X237+Y237+IF(Z237&gt;=1,1,0)+IF(AA237&gt;=1,1,0))=9,G237&amp;", ",)</f>
        <v>0</v>
      </c>
    </row>
    <row r="238" customFormat="false" ht="15.75" hidden="false" customHeight="false" outlineLevel="0" collapsed="false">
      <c r="A238" s="260"/>
      <c r="B238" s="358"/>
      <c r="C238" s="260"/>
      <c r="D238" s="358"/>
      <c r="E238" s="260" t="n">
        <v>237</v>
      </c>
      <c r="F238" s="260" t="n">
        <f aca="false" t="array" ref="F238:F238">INDEX('0.0.1 Pokémon Dex Data'!$H$3:$H951,MATCH(E238,'0.0.1 Pokémon Dex Data'!$B$3:$B951,0))</f>
        <v>0</v>
      </c>
      <c r="G238" s="0" t="str">
        <f aca="false" t="array" ref="G238:G238">INDEX('0.0.1 Pokémon Dex Data'!$E$3:$E951,MATCH(E238,'0.0.1 Pokémon Dex Data'!$B$3:$B951,0))</f>
        <v>Girafarig</v>
      </c>
      <c r="H238" s="0" t="str">
        <f aca="false" t="array" ref="H238:H238">INDEX('0.0.1 Pokémon Dex Data'!$Q$3:$Q951,MATCH(E238,'0.0.1 Pokémon Dex Data'!$B$3:$B951,0))</f>
        <v>Normal</v>
      </c>
      <c r="I238" s="0" t="str">
        <f aca="false" t="array" ref="I238:I238">INDEX('0.0.1 Pokémon Dex Data'!$R$3:$R951,MATCH(E238,'0.0.1 Pokémon Dex Data'!$B$3:$B951,0))</f>
        <v>Psychic</v>
      </c>
      <c r="J238" s="260" t="n">
        <f aca="false" t="array" ref="J238:J238">ROUND(INDEX('0.0.1 Pokémon Dex Data'!$S$3:$S951,MATCH($E238,'0.0.1 Pokémon Dex Data'!$B$3:$B951,0))*INDEX('0.0.1 Pokémon Dex Data'!T$3:T951,MATCH($E238,'0.0.1 Pokémon Dex Data'!$B$3:$B951,0)),0)</f>
        <v>182</v>
      </c>
      <c r="K238" s="260" t="n">
        <f aca="false" t="array" ref="K238:K238">ROUND(INDEX('0.0.1 Pokémon Dex Data'!$S$3:$S951,MATCH($E238,'0.0.1 Pokémon Dex Data'!$B$3:$B951,0))*INDEX('0.0.1 Pokémon Dex Data'!U$3:U951,MATCH($E238,'0.0.1 Pokémon Dex Data'!$B$3:$B951,0)),0)</f>
        <v>133</v>
      </c>
      <c r="L238" s="260" t="n">
        <f aca="false" t="array" ref="L238:L238">ROUND(INDEX('0.0.1 Pokémon Dex Data'!$S$3:$S951,MATCH($E238,'0.0.1 Pokémon Dex Data'!$B$3:$B951,0))*INDEX('0.0.1 Pokémon Dex Data'!V$3:V951,MATCH($E238,'0.0.1 Pokémon Dex Data'!$B$3:$B951,0)),0)</f>
        <v>172</v>
      </c>
      <c r="M238" s="260" t="n">
        <f aca="false" t="array" ref="M238:M238">INDEX('0.0.1 Pokémon Dex Data'!$J$3:$J951,MATCH(E238,'0.0.1 Pokémon Dex Data'!$B$3:$B951,0))</f>
        <v>1</v>
      </c>
      <c r="O238" s="490"/>
      <c r="Q238" s="367" t="n">
        <f aca="false">IF('Reverse Search'!$F$4="All (including temporary formes)",1,IF('Reverse Search'!$F$4="Base Pokémon and permanent formes only",IF(F238&lt;=1,1,0),IF(F238=0,1,0)))</f>
        <v>1</v>
      </c>
      <c r="R238" s="0" t="n">
        <f aca="false">IF('Reverse Search'!$C$7="Disable",1,IF('Reverse Search'!$D$9="Disable",1,IF(OR('Reverse Search'!$F$9=H238,'Reverse Search'!$F$9=I238),1,0)))</f>
        <v>1</v>
      </c>
      <c r="S238" s="0" t="n">
        <f aca="false">IF('Reverse Search'!$C$7="Disable",1,IF('Reverse Search'!$D$10="Disable",1,IF(OR('Reverse Search'!$F$10=H238,'Reverse Search'!$F$10=I238),1,0)))</f>
        <v>1</v>
      </c>
      <c r="T238" s="0" t="n">
        <f aca="false">INDEX($B$4:$B$22,MATCH(H238,$A$4:$A$22,0))</f>
        <v>1</v>
      </c>
      <c r="U238" s="0" t="n">
        <f aca="false">IF(ISBLANK(I238),1,INDEX($B$4:$B$22,MATCH(I238,$A$4:$A$22,0)))</f>
        <v>1</v>
      </c>
      <c r="V238" s="367" t="n">
        <f aca="false">IF('Reverse Search'!$C$7="Disable",1,IF('Reverse Search'!$D$11="Disable",1,IF('Reverse Search'!$E$11="Neutral to:",IF(ROUND(T238*U238,2)&lt;=1,1,0),IF(ROUND(T238*U238,2)&lt;1,1,0))))</f>
        <v>1</v>
      </c>
      <c r="W238" s="0" t="n">
        <f aca="false">IF('Reverse Search'!$N$7="Disable",1,IF('Reverse Search'!$I$9="Disable",1,IF('Reverse Search'!$K$9="≥",IF(J238&gt;='Reverse Search'!$L$9,1,0),IF('Reverse Search'!$K$9="≤",IF(J238&lt;='Reverse Search'!$L$9,1,0),IF(J238='Reverse Search'!$L$9,1,0)))))</f>
        <v>1</v>
      </c>
      <c r="X238" s="0" t="n">
        <f aca="false">IF('Reverse Search'!$N$7="Disable",1,IF('Reverse Search'!$I$10="Disable",1,IF('Reverse Search'!$K$10="≥",IF(K238&gt;='Reverse Search'!$L$10,1,0),IF('Reverse Search'!$K$10="≤",IF(K238&lt;='Reverse Search'!$L$10,1,0),IF(K238='Reverse Search'!$L$10,1,0)))))</f>
        <v>1</v>
      </c>
      <c r="Y238" s="367" t="n">
        <f aca="false">IF('Reverse Search'!$N$7="Disable",1,IF('Reverse Search'!$I$11="Disable",1,IF('Reverse Search'!$K$11="≥",IF(L238&gt;='Reverse Search'!$L$11,1,0),IF('Reverse Search'!$K$11="≤",IF(L238&lt;='Reverse Search'!$L$11,1,0),IF(L238='Reverse Search'!$L$11,1,0)))))</f>
        <v>1</v>
      </c>
      <c r="Z238" s="0" t="n">
        <f aca="true">IF('Reverse Search'!$C$14="Disable",1,IF('Reverse Search'!$D$16="Disable",1,IF($C$2=3,IF($M238=0,0,COUNTIF(INDIRECT("'0.0.2 Pokémon Learnset (Core)'!$D$"&amp;MATCH($E238,'0.0.2 Pokémon Learnset (Core)'!$A$1:$A951,0)&amp;":$FK$"&amp;MATCH($E238,'0.0.2 Pokémon Learnset (Core)'!$A$1:$A951,0)),'Reverse Search'!$E$21)),IF($C$2=2,COUNTIF(INDIRECT("'0.1.1 Pokémon GO Moves'!$B$"&amp;MATCH($E238,'0.1.1 Pokémon GO Moves'!$A$1:$A951,0)&amp;":$R$"&amp;MATCH($E238,'0.1.1 Pokémon GO Moves'!$A$1:$A951,0)),'Reverse Search'!$E$21),COUNTIF(INDIRECT("'0.1.1 Pokémon GO Moves'!$B$"&amp;MATCH($E238,'0.1.1 Pokémon GO Moves'!$A$1:$A951,0)&amp;":$L$"&amp;MATCH($E238,'0.1.1 Pokémon GO Moves'!$A$1:$A951,0)),'Reverse Search'!$E$21)))))</f>
        <v>1</v>
      </c>
      <c r="AA238" s="0" t="n">
        <f aca="true">IF('Reverse Search'!$C$14="Disable",1,IF('Reverse Search'!$I$16="Disable",1,IF($D$2=3,IF($M238=0,0,COUNTIF(INDIRECT("'0.0.2 Pokémon Learnset (Core)'!$D$"&amp;MATCH($E238,'0.0.2 Pokémon Learnset (Core)'!$A$1:$A951,0)&amp;":$FK$"&amp;MATCH($E238,'0.0.2 Pokémon Learnset (Core)'!$A$1:$A951,0)),'Reverse Search'!$J$21)),IF($D$2=2,COUNTIF(INDIRECT("'0.1.1 Pokémon GO Moves'!$B$"&amp;MATCH($E238,'0.1.1 Pokémon GO Moves'!$A$1:$A951,0)&amp;":$R$"&amp;MATCH($E238,'0.1.1 Pokémon GO Moves'!$A$1:$A951,0)),'Reverse Search'!$J$21),COUNTIF(INDIRECT("'0.1.1 Pokémon GO Moves'!$B$"&amp;MATCH($E238,'0.1.1 Pokémon GO Moves'!$A$1:$A951,0)&amp;":$L$"&amp;MATCH($E238,'0.1.1 Pokémon GO Moves'!$A$1:$A951,0)),'Reverse Search'!$J$21)))))</f>
        <v>0</v>
      </c>
      <c r="AB238" s="490"/>
      <c r="AC238" s="260" t="n">
        <f aca="false">IF((Q238+R238+S238+V238+W238+X238+Y238+IF(Z238&gt;=1,1,0)+IF(AA238&gt;=1,1,0))=9,G238&amp;", ",)</f>
        <v>0</v>
      </c>
    </row>
    <row r="239" customFormat="false" ht="15.75" hidden="false" customHeight="false" outlineLevel="0" collapsed="false">
      <c r="A239" s="260"/>
      <c r="B239" s="358"/>
      <c r="C239" s="260"/>
      <c r="D239" s="358"/>
      <c r="E239" s="260" t="n">
        <v>238</v>
      </c>
      <c r="F239" s="260" t="n">
        <f aca="false" t="array" ref="F239:F239">INDEX('0.0.1 Pokémon Dex Data'!$H$3:$H951,MATCH(E239,'0.0.1 Pokémon Dex Data'!$B$3:$B951,0))</f>
        <v>0</v>
      </c>
      <c r="G239" s="0" t="str">
        <f aca="false" t="array" ref="G239:G239">INDEX('0.0.1 Pokémon Dex Data'!$E$3:$E951,MATCH(E239,'0.0.1 Pokémon Dex Data'!$B$3:$B951,0))</f>
        <v>Pineco</v>
      </c>
      <c r="H239" s="0" t="str">
        <f aca="false" t="array" ref="H239:H239">INDEX('0.0.1 Pokémon Dex Data'!$Q$3:$Q951,MATCH(E239,'0.0.1 Pokémon Dex Data'!$B$3:$B951,0))</f>
        <v>Bug</v>
      </c>
      <c r="I239" s="0" t="n">
        <f aca="false">INDEX('0.0.1 Pokémon Dex Data'!$R$3:$R951,MATCH(E239,'0.0.1 Pokémon Dex Data'!$B$3:$B951,0))</f>
        <v>0</v>
      </c>
      <c r="J239" s="260" t="n">
        <f aca="false" t="array" ref="J239:J239">ROUND(INDEX('0.0.1 Pokémon Dex Data'!$S$3:$S951,MATCH($E239,'0.0.1 Pokémon Dex Data'!$B$3:$B951,0))*INDEX('0.0.1 Pokémon Dex Data'!T$3:T951,MATCH($E239,'0.0.1 Pokémon Dex Data'!$B$3:$B951,0)),0)</f>
        <v>108</v>
      </c>
      <c r="K239" s="260" t="n">
        <f aca="false" t="array" ref="K239:K239">ROUND(INDEX('0.0.1 Pokémon Dex Data'!$S$3:$S951,MATCH($E239,'0.0.1 Pokémon Dex Data'!$B$3:$B951,0))*INDEX('0.0.1 Pokémon Dex Data'!U$3:U951,MATCH($E239,'0.0.1 Pokémon Dex Data'!$B$3:$B951,0)),0)</f>
        <v>122</v>
      </c>
      <c r="L239" s="260" t="n">
        <f aca="false" t="array" ref="L239:L239">ROUND(INDEX('0.0.1 Pokémon Dex Data'!$S$3:$S951,MATCH($E239,'0.0.1 Pokémon Dex Data'!$B$3:$B951,0))*INDEX('0.0.1 Pokémon Dex Data'!V$3:V951,MATCH($E239,'0.0.1 Pokémon Dex Data'!$B$3:$B951,0)),0)</f>
        <v>137</v>
      </c>
      <c r="M239" s="260" t="n">
        <f aca="false" t="array" ref="M239:M239">INDEX('0.0.1 Pokémon Dex Data'!$J$3:$J951,MATCH(E239,'0.0.1 Pokémon Dex Data'!$B$3:$B951,0))</f>
        <v>0</v>
      </c>
      <c r="O239" s="490"/>
      <c r="Q239" s="367" t="n">
        <f aca="false">IF('Reverse Search'!$F$4="All (including temporary formes)",1,IF('Reverse Search'!$F$4="Base Pokémon and permanent formes only",IF(F239&lt;=1,1,0),IF(F239=0,1,0)))</f>
        <v>1</v>
      </c>
      <c r="R239" s="0" t="n">
        <f aca="false">IF('Reverse Search'!$C$7="Disable",1,IF('Reverse Search'!$D$9="Disable",1,IF(OR('Reverse Search'!$F$9=H239,'Reverse Search'!$F$9=I239),1,0)))</f>
        <v>1</v>
      </c>
      <c r="S239" s="0" t="n">
        <f aca="false">IF('Reverse Search'!$C$7="Disable",1,IF('Reverse Search'!$D$10="Disable",1,IF(OR('Reverse Search'!$F$10=H239,'Reverse Search'!$F$10=I239),1,0)))</f>
        <v>1</v>
      </c>
      <c r="T239" s="0" t="n">
        <f aca="false">INDEX($B$4:$B$22,MATCH(H239,$A$4:$A$22,0))</f>
        <v>1</v>
      </c>
      <c r="U239" s="0" t="e">
        <f aca="false">IF(ISBLANK(I239),1,INDEX($B$4:$B$22,MATCH(I239,$A$4:$A$22,0)))</f>
        <v>#N/A</v>
      </c>
      <c r="V239" s="367" t="n">
        <f aca="false">IF('Reverse Search'!$C$7="Disable",1,IF('Reverse Search'!$D$11="Disable",1,IF('Reverse Search'!$E$11="Neutral to:",IF(ROUND(T239*U239,2)&lt;=1,1,0),IF(ROUND(T239*U239,2)&lt;1,1,0))))</f>
        <v>1</v>
      </c>
      <c r="W239" s="0" t="n">
        <f aca="false">IF('Reverse Search'!$N$7="Disable",1,IF('Reverse Search'!$I$9="Disable",1,IF('Reverse Search'!$K$9="≥",IF(J239&gt;='Reverse Search'!$L$9,1,0),IF('Reverse Search'!$K$9="≤",IF(J239&lt;='Reverse Search'!$L$9,1,0),IF(J239='Reverse Search'!$L$9,1,0)))))</f>
        <v>1</v>
      </c>
      <c r="X239" s="0" t="n">
        <f aca="false">IF('Reverse Search'!$N$7="Disable",1,IF('Reverse Search'!$I$10="Disable",1,IF('Reverse Search'!$K$10="≥",IF(K239&gt;='Reverse Search'!$L$10,1,0),IF('Reverse Search'!$K$10="≤",IF(K239&lt;='Reverse Search'!$L$10,1,0),IF(K239='Reverse Search'!$L$10,1,0)))))</f>
        <v>1</v>
      </c>
      <c r="Y239" s="367" t="n">
        <f aca="false">IF('Reverse Search'!$N$7="Disable",1,IF('Reverse Search'!$I$11="Disable",1,IF('Reverse Search'!$K$11="≥",IF(L239&gt;='Reverse Search'!$L$11,1,0),IF('Reverse Search'!$K$11="≤",IF(L239&lt;='Reverse Search'!$L$11,1,0),IF(L239='Reverse Search'!$L$11,1,0)))))</f>
        <v>1</v>
      </c>
      <c r="Z239" s="0" t="n">
        <f aca="true">IF('Reverse Search'!$C$14="Disable",1,IF('Reverse Search'!$D$16="Disable",1,IF($C$2=3,IF($M239=0,0,COUNTIF(INDIRECT("'0.0.2 Pokémon Learnset (Core)'!$D$"&amp;MATCH($E239,'0.0.2 Pokémon Learnset (Core)'!$A$1:$A951,0)&amp;":$FK$"&amp;MATCH($E239,'0.0.2 Pokémon Learnset (Core)'!$A$1:$A951,0)),'Reverse Search'!$E$21)),IF($C$2=2,COUNTIF(INDIRECT("'0.1.1 Pokémon GO Moves'!$B$"&amp;MATCH($E239,'0.1.1 Pokémon GO Moves'!$A$1:$A951,0)&amp;":$R$"&amp;MATCH($E239,'0.1.1 Pokémon GO Moves'!$A$1:$A951,0)),'Reverse Search'!$E$21),COUNTIF(INDIRECT("'0.1.1 Pokémon GO Moves'!$B$"&amp;MATCH($E239,'0.1.1 Pokémon GO Moves'!$A$1:$A951,0)&amp;":$L$"&amp;MATCH($E239,'0.1.1 Pokémon GO Moves'!$A$1:$A951,0)),'Reverse Search'!$E$21)))))</f>
        <v>1</v>
      </c>
      <c r="AA239" s="0" t="n">
        <f aca="true">IF('Reverse Search'!$C$14="Disable",1,IF('Reverse Search'!$I$16="Disable",1,IF($D$2=3,IF($M239=0,0,COUNTIF(INDIRECT("'0.0.2 Pokémon Learnset (Core)'!$D$"&amp;MATCH($E239,'0.0.2 Pokémon Learnset (Core)'!$A$1:$A951,0)&amp;":$FK$"&amp;MATCH($E239,'0.0.2 Pokémon Learnset (Core)'!$A$1:$A951,0)),'Reverse Search'!$J$21)),IF($D$2=2,COUNTIF(INDIRECT("'0.1.1 Pokémon GO Moves'!$B$"&amp;MATCH($E239,'0.1.1 Pokémon GO Moves'!$A$1:$A951,0)&amp;":$R$"&amp;MATCH($E239,'0.1.1 Pokémon GO Moves'!$A$1:$A951,0)),'Reverse Search'!$J$21),COUNTIF(INDIRECT("'0.1.1 Pokémon GO Moves'!$B$"&amp;MATCH($E239,'0.1.1 Pokémon GO Moves'!$A$1:$A951,0)&amp;":$L$"&amp;MATCH($E239,'0.1.1 Pokémon GO Moves'!$A$1:$A951,0)),'Reverse Search'!$J$21)))))</f>
        <v>0</v>
      </c>
      <c r="AB239" s="490"/>
      <c r="AC239" s="260" t="n">
        <f aca="false">IF((Q239+R239+S239+V239+W239+X239+Y239+IF(Z239&gt;=1,1,0)+IF(AA239&gt;=1,1,0))=9,G239&amp;", ",)</f>
        <v>0</v>
      </c>
    </row>
    <row r="240" customFormat="false" ht="15.75" hidden="false" customHeight="false" outlineLevel="0" collapsed="false">
      <c r="A240" s="260"/>
      <c r="B240" s="358"/>
      <c r="C240" s="260"/>
      <c r="D240" s="358"/>
      <c r="E240" s="260" t="n">
        <v>239</v>
      </c>
      <c r="F240" s="260" t="n">
        <f aca="false" t="array" ref="F240:F240">INDEX('0.0.1 Pokémon Dex Data'!$H$3:$H951,MATCH(E240,'0.0.1 Pokémon Dex Data'!$B$3:$B951,0))</f>
        <v>0</v>
      </c>
      <c r="G240" s="0" t="str">
        <f aca="false" t="array" ref="G240:G240">INDEX('0.0.1 Pokémon Dex Data'!$E$3:$E951,MATCH(E240,'0.0.1 Pokémon Dex Data'!$B$3:$B951,0))</f>
        <v>Forretress</v>
      </c>
      <c r="H240" s="0" t="str">
        <f aca="false" t="array" ref="H240:H240">INDEX('0.0.1 Pokémon Dex Data'!$Q$3:$Q951,MATCH(E240,'0.0.1 Pokémon Dex Data'!$B$3:$B951,0))</f>
        <v>Bug</v>
      </c>
      <c r="I240" s="0" t="str">
        <f aca="false" t="array" ref="I240:I240">INDEX('0.0.1 Pokémon Dex Data'!$R$3:$R951,MATCH(E240,'0.0.1 Pokémon Dex Data'!$B$3:$B951,0))</f>
        <v>Steel</v>
      </c>
      <c r="J240" s="260" t="n">
        <f aca="false" t="array" ref="J240:J240">ROUND(INDEX('0.0.1 Pokémon Dex Data'!$S$3:$S951,MATCH($E240,'0.0.1 Pokémon Dex Data'!$B$3:$B951,0))*INDEX('0.0.1 Pokémon Dex Data'!T$3:T951,MATCH($E240,'0.0.1 Pokémon Dex Data'!$B$3:$B951,0)),0)</f>
        <v>161</v>
      </c>
      <c r="K240" s="260" t="n">
        <f aca="false" t="array" ref="K240:K240">ROUND(INDEX('0.0.1 Pokémon Dex Data'!$S$3:$S951,MATCH($E240,'0.0.1 Pokémon Dex Data'!$B$3:$B951,0))*INDEX('0.0.1 Pokémon Dex Data'!U$3:U951,MATCH($E240,'0.0.1 Pokémon Dex Data'!$B$3:$B951,0)),0)</f>
        <v>205</v>
      </c>
      <c r="L240" s="260" t="n">
        <f aca="false" t="array" ref="L240:L240">ROUND(INDEX('0.0.1 Pokémon Dex Data'!$S$3:$S951,MATCH($E240,'0.0.1 Pokémon Dex Data'!$B$3:$B951,0))*INDEX('0.0.1 Pokémon Dex Data'!V$3:V951,MATCH($E240,'0.0.1 Pokémon Dex Data'!$B$3:$B951,0)),0)</f>
        <v>181</v>
      </c>
      <c r="M240" s="260" t="n">
        <f aca="false" t="array" ref="M240:M240">INDEX('0.0.1 Pokémon Dex Data'!$J$3:$J951,MATCH(E240,'0.0.1 Pokémon Dex Data'!$B$3:$B951,0))</f>
        <v>1</v>
      </c>
      <c r="O240" s="490"/>
      <c r="Q240" s="367" t="n">
        <f aca="false">IF('Reverse Search'!$F$4="All (including temporary formes)",1,IF('Reverse Search'!$F$4="Base Pokémon and permanent formes only",IF(F240&lt;=1,1,0),IF(F240=0,1,0)))</f>
        <v>1</v>
      </c>
      <c r="R240" s="0" t="n">
        <f aca="false">IF('Reverse Search'!$C$7="Disable",1,IF('Reverse Search'!$D$9="Disable",1,IF(OR('Reverse Search'!$F$9=H240,'Reverse Search'!$F$9=I240),1,0)))</f>
        <v>1</v>
      </c>
      <c r="S240" s="0" t="n">
        <f aca="false">IF('Reverse Search'!$C$7="Disable",1,IF('Reverse Search'!$D$10="Disable",1,IF(OR('Reverse Search'!$F$10=H240,'Reverse Search'!$F$10=I240),1,0)))</f>
        <v>1</v>
      </c>
      <c r="T240" s="0" t="n">
        <f aca="false">INDEX($B$4:$B$22,MATCH(H240,$A$4:$A$22,0))</f>
        <v>1</v>
      </c>
      <c r="U240" s="0" t="n">
        <f aca="false">IF(ISBLANK(I240),1,INDEX($B$4:$B$22,MATCH(I240,$A$4:$A$22,0)))</f>
        <v>0.714</v>
      </c>
      <c r="V240" s="367" t="n">
        <f aca="false">IF('Reverse Search'!$C$7="Disable",1,IF('Reverse Search'!$D$11="Disable",1,IF('Reverse Search'!$E$11="Neutral to:",IF(ROUND(T240*U240,2)&lt;=1,1,0),IF(ROUND(T240*U240,2)&lt;1,1,0))))</f>
        <v>1</v>
      </c>
      <c r="W240" s="0" t="n">
        <f aca="false">IF('Reverse Search'!$N$7="Disable",1,IF('Reverse Search'!$I$9="Disable",1,IF('Reverse Search'!$K$9="≥",IF(J240&gt;='Reverse Search'!$L$9,1,0),IF('Reverse Search'!$K$9="≤",IF(J240&lt;='Reverse Search'!$L$9,1,0),IF(J240='Reverse Search'!$L$9,1,0)))))</f>
        <v>1</v>
      </c>
      <c r="X240" s="0" t="n">
        <f aca="false">IF('Reverse Search'!$N$7="Disable",1,IF('Reverse Search'!$I$10="Disable",1,IF('Reverse Search'!$K$10="≥",IF(K240&gt;='Reverse Search'!$L$10,1,0),IF('Reverse Search'!$K$10="≤",IF(K240&lt;='Reverse Search'!$L$10,1,0),IF(K240='Reverse Search'!$L$10,1,0)))))</f>
        <v>1</v>
      </c>
      <c r="Y240" s="367" t="n">
        <f aca="false">IF('Reverse Search'!$N$7="Disable",1,IF('Reverse Search'!$I$11="Disable",1,IF('Reverse Search'!$K$11="≥",IF(L240&gt;='Reverse Search'!$L$11,1,0),IF('Reverse Search'!$K$11="≤",IF(L240&lt;='Reverse Search'!$L$11,1,0),IF(L240='Reverse Search'!$L$11,1,0)))))</f>
        <v>1</v>
      </c>
      <c r="Z240" s="0" t="n">
        <f aca="true">IF('Reverse Search'!$C$14="Disable",1,IF('Reverse Search'!$D$16="Disable",1,IF($C$2=3,IF($M240=0,0,COUNTIF(INDIRECT("'0.0.2 Pokémon Learnset (Core)'!$D$"&amp;MATCH($E240,'0.0.2 Pokémon Learnset (Core)'!$A$1:$A951,0)&amp;":$FK$"&amp;MATCH($E240,'0.0.2 Pokémon Learnset (Core)'!$A$1:$A951,0)),'Reverse Search'!$E$21)),IF($C$2=2,COUNTIF(INDIRECT("'0.1.1 Pokémon GO Moves'!$B$"&amp;MATCH($E240,'0.1.1 Pokémon GO Moves'!$A$1:$A951,0)&amp;":$R$"&amp;MATCH($E240,'0.1.1 Pokémon GO Moves'!$A$1:$A951,0)),'Reverse Search'!$E$21),COUNTIF(INDIRECT("'0.1.1 Pokémon GO Moves'!$B$"&amp;MATCH($E240,'0.1.1 Pokémon GO Moves'!$A$1:$A951,0)&amp;":$L$"&amp;MATCH($E240,'0.1.1 Pokémon GO Moves'!$A$1:$A951,0)),'Reverse Search'!$E$21)))))</f>
        <v>1</v>
      </c>
      <c r="AA240" s="0" t="n">
        <f aca="true">IF('Reverse Search'!$C$14="Disable",1,IF('Reverse Search'!$I$16="Disable",1,IF($D$2=3,IF($M240=0,0,COUNTIF(INDIRECT("'0.0.2 Pokémon Learnset (Core)'!$D$"&amp;MATCH($E240,'0.0.2 Pokémon Learnset (Core)'!$A$1:$A951,0)&amp;":$FK$"&amp;MATCH($E240,'0.0.2 Pokémon Learnset (Core)'!$A$1:$A951,0)),'Reverse Search'!$J$21)),IF($D$2=2,COUNTIF(INDIRECT("'0.1.1 Pokémon GO Moves'!$B$"&amp;MATCH($E240,'0.1.1 Pokémon GO Moves'!$A$1:$A951,0)&amp;":$R$"&amp;MATCH($E240,'0.1.1 Pokémon GO Moves'!$A$1:$A951,0)),'Reverse Search'!$J$21),COUNTIF(INDIRECT("'0.1.1 Pokémon GO Moves'!$B$"&amp;MATCH($E240,'0.1.1 Pokémon GO Moves'!$A$1:$A951,0)&amp;":$L$"&amp;MATCH($E240,'0.1.1 Pokémon GO Moves'!$A$1:$A951,0)),'Reverse Search'!$J$21)))))</f>
        <v>0</v>
      </c>
      <c r="AB240" s="490"/>
      <c r="AC240" s="260" t="n">
        <f aca="false">IF((Q240+R240+S240+V240+W240+X240+Y240+IF(Z240&gt;=1,1,0)+IF(AA240&gt;=1,1,0))=9,G240&amp;", ",)</f>
        <v>0</v>
      </c>
    </row>
    <row r="241" customFormat="false" ht="15.75" hidden="false" customHeight="false" outlineLevel="0" collapsed="false">
      <c r="A241" s="260"/>
      <c r="B241" s="358"/>
      <c r="C241" s="260"/>
      <c r="D241" s="358"/>
      <c r="E241" s="260" t="n">
        <v>240</v>
      </c>
      <c r="F241" s="260" t="n">
        <f aca="false" t="array" ref="F241:F241">INDEX('0.0.1 Pokémon Dex Data'!$H$3:$H951,MATCH(E241,'0.0.1 Pokémon Dex Data'!$B$3:$B951,0))</f>
        <v>0</v>
      </c>
      <c r="G241" s="0" t="str">
        <f aca="false" t="array" ref="G241:G241">INDEX('0.0.1 Pokémon Dex Data'!$E$3:$E951,MATCH(E241,'0.0.1 Pokémon Dex Data'!$B$3:$B951,0))</f>
        <v>Dunsparce</v>
      </c>
      <c r="H241" s="0" t="str">
        <f aca="false" t="array" ref="H241:H241">INDEX('0.0.1 Pokémon Dex Data'!$Q$3:$Q951,MATCH(E241,'0.0.1 Pokémon Dex Data'!$B$3:$B951,0))</f>
        <v>Normal</v>
      </c>
      <c r="I241" s="0" t="n">
        <f aca="false">INDEX('0.0.1 Pokémon Dex Data'!$R$3:$R951,MATCH(E241,'0.0.1 Pokémon Dex Data'!$B$3:$B951,0))</f>
        <v>0</v>
      </c>
      <c r="J241" s="260" t="n">
        <f aca="false" t="array" ref="J241:J241">ROUND(INDEX('0.0.1 Pokémon Dex Data'!$S$3:$S951,MATCH($E241,'0.0.1 Pokémon Dex Data'!$B$3:$B951,0))*INDEX('0.0.1 Pokémon Dex Data'!T$3:T951,MATCH($E241,'0.0.1 Pokémon Dex Data'!$B$3:$B951,0)),0)</f>
        <v>131</v>
      </c>
      <c r="K241" s="260" t="n">
        <f aca="false" t="array" ref="K241:K241">ROUND(INDEX('0.0.1 Pokémon Dex Data'!$S$3:$S951,MATCH($E241,'0.0.1 Pokémon Dex Data'!$B$3:$B951,0))*INDEX('0.0.1 Pokémon Dex Data'!U$3:U951,MATCH($E241,'0.0.1 Pokémon Dex Data'!$B$3:$B951,0)),0)</f>
        <v>128</v>
      </c>
      <c r="L241" s="260" t="n">
        <f aca="false" t="array" ref="L241:L241">ROUND(INDEX('0.0.1 Pokémon Dex Data'!$S$3:$S951,MATCH($E241,'0.0.1 Pokémon Dex Data'!$B$3:$B951,0))*INDEX('0.0.1 Pokémon Dex Data'!V$3:V951,MATCH($E241,'0.0.1 Pokémon Dex Data'!$B$3:$B951,0)),0)</f>
        <v>225</v>
      </c>
      <c r="M241" s="260" t="n">
        <f aca="false" t="array" ref="M241:M241">INDEX('0.0.1 Pokémon Dex Data'!$J$3:$J951,MATCH(E241,'0.0.1 Pokémon Dex Data'!$B$3:$B951,0))</f>
        <v>1</v>
      </c>
      <c r="O241" s="490"/>
      <c r="Q241" s="367" t="n">
        <f aca="false">IF('Reverse Search'!$F$4="All (including temporary formes)",1,IF('Reverse Search'!$F$4="Base Pokémon and permanent formes only",IF(F241&lt;=1,1,0),IF(F241=0,1,0)))</f>
        <v>1</v>
      </c>
      <c r="R241" s="0" t="n">
        <f aca="false">IF('Reverse Search'!$C$7="Disable",1,IF('Reverse Search'!$D$9="Disable",1,IF(OR('Reverse Search'!$F$9=H241,'Reverse Search'!$F$9=I241),1,0)))</f>
        <v>1</v>
      </c>
      <c r="S241" s="0" t="n">
        <f aca="false">IF('Reverse Search'!$C$7="Disable",1,IF('Reverse Search'!$D$10="Disable",1,IF(OR('Reverse Search'!$F$10=H241,'Reverse Search'!$F$10=I241),1,0)))</f>
        <v>1</v>
      </c>
      <c r="T241" s="0" t="n">
        <f aca="false">INDEX($B$4:$B$22,MATCH(H241,$A$4:$A$22,0))</f>
        <v>1</v>
      </c>
      <c r="U241" s="0" t="e">
        <f aca="false">IF(ISBLANK(I241),1,INDEX($B$4:$B$22,MATCH(I241,$A$4:$A$22,0)))</f>
        <v>#N/A</v>
      </c>
      <c r="V241" s="367" t="n">
        <f aca="false">IF('Reverse Search'!$C$7="Disable",1,IF('Reverse Search'!$D$11="Disable",1,IF('Reverse Search'!$E$11="Neutral to:",IF(ROUND(T241*U241,2)&lt;=1,1,0),IF(ROUND(T241*U241,2)&lt;1,1,0))))</f>
        <v>1</v>
      </c>
      <c r="W241" s="0" t="n">
        <f aca="false">IF('Reverse Search'!$N$7="Disable",1,IF('Reverse Search'!$I$9="Disable",1,IF('Reverse Search'!$K$9="≥",IF(J241&gt;='Reverse Search'!$L$9,1,0),IF('Reverse Search'!$K$9="≤",IF(J241&lt;='Reverse Search'!$L$9,1,0),IF(J241='Reverse Search'!$L$9,1,0)))))</f>
        <v>1</v>
      </c>
      <c r="X241" s="0" t="n">
        <f aca="false">IF('Reverse Search'!$N$7="Disable",1,IF('Reverse Search'!$I$10="Disable",1,IF('Reverse Search'!$K$10="≥",IF(K241&gt;='Reverse Search'!$L$10,1,0),IF('Reverse Search'!$K$10="≤",IF(K241&lt;='Reverse Search'!$L$10,1,0),IF(K241='Reverse Search'!$L$10,1,0)))))</f>
        <v>1</v>
      </c>
      <c r="Y241" s="367" t="n">
        <f aca="false">IF('Reverse Search'!$N$7="Disable",1,IF('Reverse Search'!$I$11="Disable",1,IF('Reverse Search'!$K$11="≥",IF(L241&gt;='Reverse Search'!$L$11,1,0),IF('Reverse Search'!$K$11="≤",IF(L241&lt;='Reverse Search'!$L$11,1,0),IF(L241='Reverse Search'!$L$11,1,0)))))</f>
        <v>1</v>
      </c>
      <c r="Z241" s="0" t="n">
        <f aca="true">IF('Reverse Search'!$C$14="Disable",1,IF('Reverse Search'!$D$16="Disable",1,IF($C$2=3,IF($M241=0,0,COUNTIF(INDIRECT("'0.0.2 Pokémon Learnset (Core)'!$D$"&amp;MATCH($E241,'0.0.2 Pokémon Learnset (Core)'!$A$1:$A951,0)&amp;":$FK$"&amp;MATCH($E241,'0.0.2 Pokémon Learnset (Core)'!$A$1:$A951,0)),'Reverse Search'!$E$21)),IF($C$2=2,COUNTIF(INDIRECT("'0.1.1 Pokémon GO Moves'!$B$"&amp;MATCH($E241,'0.1.1 Pokémon GO Moves'!$A$1:$A951,0)&amp;":$R$"&amp;MATCH($E241,'0.1.1 Pokémon GO Moves'!$A$1:$A951,0)),'Reverse Search'!$E$21),COUNTIF(INDIRECT("'0.1.1 Pokémon GO Moves'!$B$"&amp;MATCH($E241,'0.1.1 Pokémon GO Moves'!$A$1:$A951,0)&amp;":$L$"&amp;MATCH($E241,'0.1.1 Pokémon GO Moves'!$A$1:$A951,0)),'Reverse Search'!$E$21)))))</f>
        <v>1</v>
      </c>
      <c r="AA241" s="0" t="n">
        <f aca="true">IF('Reverse Search'!$C$14="Disable",1,IF('Reverse Search'!$I$16="Disable",1,IF($D$2=3,IF($M241=0,0,COUNTIF(INDIRECT("'0.0.2 Pokémon Learnset (Core)'!$D$"&amp;MATCH($E241,'0.0.2 Pokémon Learnset (Core)'!$A$1:$A951,0)&amp;":$FK$"&amp;MATCH($E241,'0.0.2 Pokémon Learnset (Core)'!$A$1:$A951,0)),'Reverse Search'!$J$21)),IF($D$2=2,COUNTIF(INDIRECT("'0.1.1 Pokémon GO Moves'!$B$"&amp;MATCH($E241,'0.1.1 Pokémon GO Moves'!$A$1:$A951,0)&amp;":$R$"&amp;MATCH($E241,'0.1.1 Pokémon GO Moves'!$A$1:$A951,0)),'Reverse Search'!$J$21),COUNTIF(INDIRECT("'0.1.1 Pokémon GO Moves'!$B$"&amp;MATCH($E241,'0.1.1 Pokémon GO Moves'!$A$1:$A951,0)&amp;":$L$"&amp;MATCH($E241,'0.1.1 Pokémon GO Moves'!$A$1:$A951,0)),'Reverse Search'!$J$21)))))</f>
        <v>1</v>
      </c>
      <c r="AB241" s="490"/>
      <c r="AC241" s="260" t="str">
        <f aca="false">IF((Q241+R241+S241+V241+W241+X241+Y241+IF(Z241&gt;=1,1,0)+IF(AA241&gt;=1,1,0))=9,G241&amp;", ",)</f>
        <v>Dunsparce, </v>
      </c>
    </row>
    <row r="242" customFormat="false" ht="15.75" hidden="false" customHeight="false" outlineLevel="0" collapsed="false">
      <c r="A242" s="260"/>
      <c r="B242" s="358"/>
      <c r="C242" s="260"/>
      <c r="D242" s="358"/>
      <c r="E242" s="260" t="n">
        <v>241</v>
      </c>
      <c r="F242" s="260" t="n">
        <f aca="false" t="array" ref="F242:F242">INDEX('0.0.1 Pokémon Dex Data'!$H$3:$H951,MATCH(E242,'0.0.1 Pokémon Dex Data'!$B$3:$B951,0))</f>
        <v>0</v>
      </c>
      <c r="G242" s="0" t="str">
        <f aca="false" t="array" ref="G242:G242">INDEX('0.0.1 Pokémon Dex Data'!$E$3:$E951,MATCH(E242,'0.0.1 Pokémon Dex Data'!$B$3:$B951,0))</f>
        <v>Gligar</v>
      </c>
      <c r="H242" s="0" t="str">
        <f aca="false" t="array" ref="H242:H242">INDEX('0.0.1 Pokémon Dex Data'!$Q$3:$Q951,MATCH(E242,'0.0.1 Pokémon Dex Data'!$B$3:$B951,0))</f>
        <v>Ground</v>
      </c>
      <c r="I242" s="0" t="str">
        <f aca="false" t="array" ref="I242:I242">INDEX('0.0.1 Pokémon Dex Data'!$R$3:$R951,MATCH(E242,'0.0.1 Pokémon Dex Data'!$B$3:$B951,0))</f>
        <v>Flying</v>
      </c>
      <c r="J242" s="260" t="n">
        <f aca="false" t="array" ref="J242:J242">ROUND(INDEX('0.0.1 Pokémon Dex Data'!$S$3:$S951,MATCH($E242,'0.0.1 Pokémon Dex Data'!$B$3:$B951,0))*INDEX('0.0.1 Pokémon Dex Data'!T$3:T951,MATCH($E242,'0.0.1 Pokémon Dex Data'!$B$3:$B951,0)),0)</f>
        <v>143</v>
      </c>
      <c r="K242" s="260" t="n">
        <f aca="false" t="array" ref="K242:K242">ROUND(INDEX('0.0.1 Pokémon Dex Data'!$S$3:$S951,MATCH($E242,'0.0.1 Pokémon Dex Data'!$B$3:$B951,0))*INDEX('0.0.1 Pokémon Dex Data'!U$3:U951,MATCH($E242,'0.0.1 Pokémon Dex Data'!$B$3:$B951,0)),0)</f>
        <v>184</v>
      </c>
      <c r="L242" s="260" t="n">
        <f aca="false" t="array" ref="L242:L242">ROUND(INDEX('0.0.1 Pokémon Dex Data'!$S$3:$S951,MATCH($E242,'0.0.1 Pokémon Dex Data'!$B$3:$B951,0))*INDEX('0.0.1 Pokémon Dex Data'!V$3:V951,MATCH($E242,'0.0.1 Pokémon Dex Data'!$B$3:$B951,0)),0)</f>
        <v>163</v>
      </c>
      <c r="M242" s="260" t="n">
        <f aca="false" t="array" ref="M242:M242">INDEX('0.0.1 Pokémon Dex Data'!$J$3:$J951,MATCH(E242,'0.0.1 Pokémon Dex Data'!$B$3:$B951,0))</f>
        <v>1</v>
      </c>
      <c r="O242" s="490"/>
      <c r="Q242" s="367" t="n">
        <f aca="false">IF('Reverse Search'!$F$4="All (including temporary formes)",1,IF('Reverse Search'!$F$4="Base Pokémon and permanent formes only",IF(F242&lt;=1,1,0),IF(F242=0,1,0)))</f>
        <v>1</v>
      </c>
      <c r="R242" s="0" t="n">
        <f aca="false">IF('Reverse Search'!$C$7="Disable",1,IF('Reverse Search'!$D$9="Disable",1,IF(OR('Reverse Search'!$F$9=H242,'Reverse Search'!$F$9=I242),1,0)))</f>
        <v>1</v>
      </c>
      <c r="S242" s="0" t="n">
        <f aca="false">IF('Reverse Search'!$C$7="Disable",1,IF('Reverse Search'!$D$10="Disable",1,IF(OR('Reverse Search'!$F$10=H242,'Reverse Search'!$F$10=I242),1,0)))</f>
        <v>1</v>
      </c>
      <c r="T242" s="0" t="n">
        <f aca="false">INDEX($B$4:$B$22,MATCH(H242,$A$4:$A$22,0))</f>
        <v>1</v>
      </c>
      <c r="U242" s="0" t="n">
        <f aca="false">IF(ISBLANK(I242),1,INDEX($B$4:$B$22,MATCH(I242,$A$4:$A$22,0)))</f>
        <v>1</v>
      </c>
      <c r="V242" s="367" t="n">
        <f aca="false">IF('Reverse Search'!$C$7="Disable",1,IF('Reverse Search'!$D$11="Disable",1,IF('Reverse Search'!$E$11="Neutral to:",IF(ROUND(T242*U242,2)&lt;=1,1,0),IF(ROUND(T242*U242,2)&lt;1,1,0))))</f>
        <v>1</v>
      </c>
      <c r="W242" s="0" t="n">
        <f aca="false">IF('Reverse Search'!$N$7="Disable",1,IF('Reverse Search'!$I$9="Disable",1,IF('Reverse Search'!$K$9="≥",IF(J242&gt;='Reverse Search'!$L$9,1,0),IF('Reverse Search'!$K$9="≤",IF(J242&lt;='Reverse Search'!$L$9,1,0),IF(J242='Reverse Search'!$L$9,1,0)))))</f>
        <v>1</v>
      </c>
      <c r="X242" s="0" t="n">
        <f aca="false">IF('Reverse Search'!$N$7="Disable",1,IF('Reverse Search'!$I$10="Disable",1,IF('Reverse Search'!$K$10="≥",IF(K242&gt;='Reverse Search'!$L$10,1,0),IF('Reverse Search'!$K$10="≤",IF(K242&lt;='Reverse Search'!$L$10,1,0),IF(K242='Reverse Search'!$L$10,1,0)))))</f>
        <v>1</v>
      </c>
      <c r="Y242" s="367" t="n">
        <f aca="false">IF('Reverse Search'!$N$7="Disable",1,IF('Reverse Search'!$I$11="Disable",1,IF('Reverse Search'!$K$11="≥",IF(L242&gt;='Reverse Search'!$L$11,1,0),IF('Reverse Search'!$K$11="≤",IF(L242&lt;='Reverse Search'!$L$11,1,0),IF(L242='Reverse Search'!$L$11,1,0)))))</f>
        <v>1</v>
      </c>
      <c r="Z242" s="0" t="n">
        <f aca="true">IF('Reverse Search'!$C$14="Disable",1,IF('Reverse Search'!$D$16="Disable",1,IF($C$2=3,IF($M242=0,0,COUNTIF(INDIRECT("'0.0.2 Pokémon Learnset (Core)'!$D$"&amp;MATCH($E242,'0.0.2 Pokémon Learnset (Core)'!$A$1:$A951,0)&amp;":$FK$"&amp;MATCH($E242,'0.0.2 Pokémon Learnset (Core)'!$A$1:$A951,0)),'Reverse Search'!$E$21)),IF($C$2=2,COUNTIF(INDIRECT("'0.1.1 Pokémon GO Moves'!$B$"&amp;MATCH($E242,'0.1.1 Pokémon GO Moves'!$A$1:$A951,0)&amp;":$R$"&amp;MATCH($E242,'0.1.1 Pokémon GO Moves'!$A$1:$A951,0)),'Reverse Search'!$E$21),COUNTIF(INDIRECT("'0.1.1 Pokémon GO Moves'!$B$"&amp;MATCH($E242,'0.1.1 Pokémon GO Moves'!$A$1:$A951,0)&amp;":$L$"&amp;MATCH($E242,'0.1.1 Pokémon GO Moves'!$A$1:$A951,0)),'Reverse Search'!$E$21)))))</f>
        <v>1</v>
      </c>
      <c r="AA242" s="0" t="n">
        <f aca="true">IF('Reverse Search'!$C$14="Disable",1,IF('Reverse Search'!$I$16="Disable",1,IF($D$2=3,IF($M242=0,0,COUNTIF(INDIRECT("'0.0.2 Pokémon Learnset (Core)'!$D$"&amp;MATCH($E242,'0.0.2 Pokémon Learnset (Core)'!$A$1:$A951,0)&amp;":$FK$"&amp;MATCH($E242,'0.0.2 Pokémon Learnset (Core)'!$A$1:$A951,0)),'Reverse Search'!$J$21)),IF($D$2=2,COUNTIF(INDIRECT("'0.1.1 Pokémon GO Moves'!$B$"&amp;MATCH($E242,'0.1.1 Pokémon GO Moves'!$A$1:$A951,0)&amp;":$R$"&amp;MATCH($E242,'0.1.1 Pokémon GO Moves'!$A$1:$A951,0)),'Reverse Search'!$J$21),COUNTIF(INDIRECT("'0.1.1 Pokémon GO Moves'!$B$"&amp;MATCH($E242,'0.1.1 Pokémon GO Moves'!$A$1:$A951,0)&amp;":$L$"&amp;MATCH($E242,'0.1.1 Pokémon GO Moves'!$A$1:$A951,0)),'Reverse Search'!$J$21)))))</f>
        <v>0</v>
      </c>
      <c r="AB242" s="490"/>
      <c r="AC242" s="260" t="n">
        <f aca="false">IF((Q242+R242+S242+V242+W242+X242+Y242+IF(Z242&gt;=1,1,0)+IF(AA242&gt;=1,1,0))=9,G242&amp;", ",)</f>
        <v>0</v>
      </c>
    </row>
    <row r="243" customFormat="false" ht="15.75" hidden="false" customHeight="false" outlineLevel="0" collapsed="false">
      <c r="A243" s="260"/>
      <c r="B243" s="358"/>
      <c r="C243" s="260"/>
      <c r="D243" s="358"/>
      <c r="E243" s="260" t="n">
        <v>242</v>
      </c>
      <c r="F243" s="260" t="n">
        <f aca="false" t="array" ref="F243:F243">INDEX('0.0.1 Pokémon Dex Data'!$H$3:$H951,MATCH(E243,'0.0.1 Pokémon Dex Data'!$B$3:$B951,0))</f>
        <v>0</v>
      </c>
      <c r="G243" s="0" t="str">
        <f aca="false" t="array" ref="G243:G243">INDEX('0.0.1 Pokémon Dex Data'!$E$3:$E951,MATCH(E243,'0.0.1 Pokémon Dex Data'!$B$3:$B951,0))</f>
        <v>Steelix</v>
      </c>
      <c r="H243" s="0" t="str">
        <f aca="false" t="array" ref="H243:H243">INDEX('0.0.1 Pokémon Dex Data'!$Q$3:$Q951,MATCH(E243,'0.0.1 Pokémon Dex Data'!$B$3:$B951,0))</f>
        <v>Steel</v>
      </c>
      <c r="I243" s="0" t="str">
        <f aca="false" t="array" ref="I243:I243">INDEX('0.0.1 Pokémon Dex Data'!$R$3:$R951,MATCH(E243,'0.0.1 Pokémon Dex Data'!$B$3:$B951,0))</f>
        <v>Ground</v>
      </c>
      <c r="J243" s="260" t="n">
        <f aca="false" t="array" ref="J243:J243">ROUND(INDEX('0.0.1 Pokémon Dex Data'!$S$3:$S951,MATCH($E243,'0.0.1 Pokémon Dex Data'!$B$3:$B951,0))*INDEX('0.0.1 Pokémon Dex Data'!T$3:T951,MATCH($E243,'0.0.1 Pokémon Dex Data'!$B$3:$B951,0)),0)</f>
        <v>148</v>
      </c>
      <c r="K243" s="260" t="n">
        <f aca="false" t="array" ref="K243:K243">ROUND(INDEX('0.0.1 Pokémon Dex Data'!$S$3:$S951,MATCH($E243,'0.0.1 Pokémon Dex Data'!$B$3:$B951,0))*INDEX('0.0.1 Pokémon Dex Data'!U$3:U951,MATCH($E243,'0.0.1 Pokémon Dex Data'!$B$3:$B951,0)),0)</f>
        <v>272</v>
      </c>
      <c r="L243" s="260" t="n">
        <f aca="false" t="array" ref="L243:L243">ROUND(INDEX('0.0.1 Pokémon Dex Data'!$S$3:$S951,MATCH($E243,'0.0.1 Pokémon Dex Data'!$B$3:$B951,0))*INDEX('0.0.1 Pokémon Dex Data'!V$3:V951,MATCH($E243,'0.0.1 Pokémon Dex Data'!$B$3:$B951,0)),0)</f>
        <v>181</v>
      </c>
      <c r="M243" s="260" t="n">
        <f aca="false" t="array" ref="M243:M243">INDEX('0.0.1 Pokémon Dex Data'!$J$3:$J951,MATCH(E243,'0.0.1 Pokémon Dex Data'!$B$3:$B951,0))</f>
        <v>1</v>
      </c>
      <c r="O243" s="490"/>
      <c r="Q243" s="367" t="n">
        <f aca="false">IF('Reverse Search'!$F$4="All (including temporary formes)",1,IF('Reverse Search'!$F$4="Base Pokémon and permanent formes only",IF(F243&lt;=1,1,0),IF(F243=0,1,0)))</f>
        <v>1</v>
      </c>
      <c r="R243" s="0" t="n">
        <f aca="false">IF('Reverse Search'!$C$7="Disable",1,IF('Reverse Search'!$D$9="Disable",1,IF(OR('Reverse Search'!$F$9=H243,'Reverse Search'!$F$9=I243),1,0)))</f>
        <v>1</v>
      </c>
      <c r="S243" s="0" t="n">
        <f aca="false">IF('Reverse Search'!$C$7="Disable",1,IF('Reverse Search'!$D$10="Disable",1,IF(OR('Reverse Search'!$F$10=H243,'Reverse Search'!$F$10=I243),1,0)))</f>
        <v>1</v>
      </c>
      <c r="T243" s="0" t="n">
        <f aca="false">INDEX($B$4:$B$22,MATCH(H243,$A$4:$A$22,0))</f>
        <v>0.714</v>
      </c>
      <c r="U243" s="0" t="n">
        <f aca="false">IF(ISBLANK(I243),1,INDEX($B$4:$B$22,MATCH(I243,$A$4:$A$22,0)))</f>
        <v>1</v>
      </c>
      <c r="V243" s="367" t="n">
        <f aca="false">IF('Reverse Search'!$C$7="Disable",1,IF('Reverse Search'!$D$11="Disable",1,IF('Reverse Search'!$E$11="Neutral to:",IF(ROUND(T243*U243,2)&lt;=1,1,0),IF(ROUND(T243*U243,2)&lt;1,1,0))))</f>
        <v>1</v>
      </c>
      <c r="W243" s="0" t="n">
        <f aca="false">IF('Reverse Search'!$N$7="Disable",1,IF('Reverse Search'!$I$9="Disable",1,IF('Reverse Search'!$K$9="≥",IF(J243&gt;='Reverse Search'!$L$9,1,0),IF('Reverse Search'!$K$9="≤",IF(J243&lt;='Reverse Search'!$L$9,1,0),IF(J243='Reverse Search'!$L$9,1,0)))))</f>
        <v>1</v>
      </c>
      <c r="X243" s="0" t="n">
        <f aca="false">IF('Reverse Search'!$N$7="Disable",1,IF('Reverse Search'!$I$10="Disable",1,IF('Reverse Search'!$K$10="≥",IF(K243&gt;='Reverse Search'!$L$10,1,0),IF('Reverse Search'!$K$10="≤",IF(K243&lt;='Reverse Search'!$L$10,1,0),IF(K243='Reverse Search'!$L$10,1,0)))))</f>
        <v>1</v>
      </c>
      <c r="Y243" s="367" t="n">
        <f aca="false">IF('Reverse Search'!$N$7="Disable",1,IF('Reverse Search'!$I$11="Disable",1,IF('Reverse Search'!$K$11="≥",IF(L243&gt;='Reverse Search'!$L$11,1,0),IF('Reverse Search'!$K$11="≤",IF(L243&lt;='Reverse Search'!$L$11,1,0),IF(L243='Reverse Search'!$L$11,1,0)))))</f>
        <v>1</v>
      </c>
      <c r="Z243" s="0" t="n">
        <f aca="true">IF('Reverse Search'!$C$14="Disable",1,IF('Reverse Search'!$D$16="Disable",1,IF($C$2=3,IF($M243=0,0,COUNTIF(INDIRECT("'0.0.2 Pokémon Learnset (Core)'!$D$"&amp;MATCH($E243,'0.0.2 Pokémon Learnset (Core)'!$A$1:$A951,0)&amp;":$FK$"&amp;MATCH($E243,'0.0.2 Pokémon Learnset (Core)'!$A$1:$A951,0)),'Reverse Search'!$E$21)),IF($C$2=2,COUNTIF(INDIRECT("'0.1.1 Pokémon GO Moves'!$B$"&amp;MATCH($E243,'0.1.1 Pokémon GO Moves'!$A$1:$A951,0)&amp;":$R$"&amp;MATCH($E243,'0.1.1 Pokémon GO Moves'!$A$1:$A951,0)),'Reverse Search'!$E$21),COUNTIF(INDIRECT("'0.1.1 Pokémon GO Moves'!$B$"&amp;MATCH($E243,'0.1.1 Pokémon GO Moves'!$A$1:$A951,0)&amp;":$L$"&amp;MATCH($E243,'0.1.1 Pokémon GO Moves'!$A$1:$A951,0)),'Reverse Search'!$E$21)))))</f>
        <v>1</v>
      </c>
      <c r="AA243" s="0" t="n">
        <f aca="true">IF('Reverse Search'!$C$14="Disable",1,IF('Reverse Search'!$I$16="Disable",1,IF($D$2=3,IF($M243=0,0,COUNTIF(INDIRECT("'0.0.2 Pokémon Learnset (Core)'!$D$"&amp;MATCH($E243,'0.0.2 Pokémon Learnset (Core)'!$A$1:$A951,0)&amp;":$FK$"&amp;MATCH($E243,'0.0.2 Pokémon Learnset (Core)'!$A$1:$A951,0)),'Reverse Search'!$J$21)),IF($D$2=2,COUNTIF(INDIRECT("'0.1.1 Pokémon GO Moves'!$B$"&amp;MATCH($E243,'0.1.1 Pokémon GO Moves'!$A$1:$A951,0)&amp;":$R$"&amp;MATCH($E243,'0.1.1 Pokémon GO Moves'!$A$1:$A951,0)),'Reverse Search'!$J$21),COUNTIF(INDIRECT("'0.1.1 Pokémon GO Moves'!$B$"&amp;MATCH($E243,'0.1.1 Pokémon GO Moves'!$A$1:$A951,0)&amp;":$L$"&amp;MATCH($E243,'0.1.1 Pokémon GO Moves'!$A$1:$A951,0)),'Reverse Search'!$J$21)))))</f>
        <v>0</v>
      </c>
      <c r="AB243" s="490"/>
      <c r="AC243" s="260" t="n">
        <f aca="false">IF((Q243+R243+S243+V243+W243+X243+Y243+IF(Z243&gt;=1,1,0)+IF(AA243&gt;=1,1,0))=9,G243&amp;", ",)</f>
        <v>0</v>
      </c>
    </row>
    <row r="244" customFormat="false" ht="15.75" hidden="false" customHeight="false" outlineLevel="0" collapsed="false">
      <c r="A244" s="260"/>
      <c r="B244" s="358"/>
      <c r="C244" s="260"/>
      <c r="D244" s="358"/>
      <c r="E244" s="260" t="n">
        <v>243</v>
      </c>
      <c r="F244" s="260" t="n">
        <f aca="false" t="array" ref="F244:F244">INDEX('0.0.1 Pokémon Dex Data'!$H$3:$H951,MATCH(E244,'0.0.1 Pokémon Dex Data'!$B$3:$B951,0))</f>
        <v>2</v>
      </c>
      <c r="G244" s="0" t="str">
        <f aca="false" t="array" ref="G244:G244">INDEX('0.0.1 Pokémon Dex Data'!$E$3:$E951,MATCH(E244,'0.0.1 Pokémon Dex Data'!$B$3:$B951,0))</f>
        <v>Steelix-Mega</v>
      </c>
      <c r="H244" s="0" t="str">
        <f aca="false" t="array" ref="H244:H244">INDEX('0.0.1 Pokémon Dex Data'!$Q$3:$Q951,MATCH(E244,'0.0.1 Pokémon Dex Data'!$B$3:$B951,0))</f>
        <v>Steel</v>
      </c>
      <c r="I244" s="0" t="str">
        <f aca="false" t="array" ref="I244:I244">INDEX('0.0.1 Pokémon Dex Data'!$R$3:$R951,MATCH(E244,'0.0.1 Pokémon Dex Data'!$B$3:$B951,0))</f>
        <v>Ground</v>
      </c>
      <c r="J244" s="260" t="n">
        <f aca="false" t="array" ref="J244:J244">ROUND(INDEX('0.0.1 Pokémon Dex Data'!$S$3:$S951,MATCH($E244,'0.0.1 Pokémon Dex Data'!$B$3:$B951,0))*INDEX('0.0.1 Pokémon Dex Data'!T$3:T951,MATCH($E244,'0.0.1 Pokémon Dex Data'!$B$3:$B951,0)),0)</f>
        <v>212</v>
      </c>
      <c r="K244" s="260" t="n">
        <f aca="false" t="array" ref="K244:K244">ROUND(INDEX('0.0.1 Pokémon Dex Data'!$S$3:$S951,MATCH($E244,'0.0.1 Pokémon Dex Data'!$B$3:$B951,0))*INDEX('0.0.1 Pokémon Dex Data'!U$3:U951,MATCH($E244,'0.0.1 Pokémon Dex Data'!$B$3:$B951,0)),0)</f>
        <v>327</v>
      </c>
      <c r="L244" s="260" t="n">
        <f aca="false" t="array" ref="L244:L244">ROUND(INDEX('0.0.1 Pokémon Dex Data'!$S$3:$S951,MATCH($E244,'0.0.1 Pokémon Dex Data'!$B$3:$B951,0))*INDEX('0.0.1 Pokémon Dex Data'!V$3:V951,MATCH($E244,'0.0.1 Pokémon Dex Data'!$B$3:$B951,0)),0)</f>
        <v>181</v>
      </c>
      <c r="M244" s="260" t="n">
        <f aca="false" t="array" ref="M244:M244">INDEX('0.0.1 Pokémon Dex Data'!$J$3:$J951,MATCH(E244,'0.0.1 Pokémon Dex Data'!$B$3:$B951,0))</f>
        <v>1</v>
      </c>
      <c r="O244" s="490"/>
      <c r="Q244" s="367" t="n">
        <f aca="false">IF('Reverse Search'!$F$4="All (including temporary formes)",1,IF('Reverse Search'!$F$4="Base Pokémon and permanent formes only",IF(F244&lt;=1,1,0),IF(F244=0,1,0)))</f>
        <v>0</v>
      </c>
      <c r="R244" s="0" t="n">
        <f aca="false">IF('Reverse Search'!$C$7="Disable",1,IF('Reverse Search'!$D$9="Disable",1,IF(OR('Reverse Search'!$F$9=H244,'Reverse Search'!$F$9=I244),1,0)))</f>
        <v>1</v>
      </c>
      <c r="S244" s="0" t="n">
        <f aca="false">IF('Reverse Search'!$C$7="Disable",1,IF('Reverse Search'!$D$10="Disable",1,IF(OR('Reverse Search'!$F$10=H244,'Reverse Search'!$F$10=I244),1,0)))</f>
        <v>1</v>
      </c>
      <c r="T244" s="0" t="n">
        <f aca="false">INDEX($B$4:$B$22,MATCH(H244,$A$4:$A$22,0))</f>
        <v>0.714</v>
      </c>
      <c r="U244" s="0" t="n">
        <f aca="false">IF(ISBLANK(I244),1,INDEX($B$4:$B$22,MATCH(I244,$A$4:$A$22,0)))</f>
        <v>1</v>
      </c>
      <c r="V244" s="367" t="n">
        <f aca="false">IF('Reverse Search'!$C$7="Disable",1,IF('Reverse Search'!$D$11="Disable",1,IF('Reverse Search'!$E$11="Neutral to:",IF(ROUND(T244*U244,2)&lt;=1,1,0),IF(ROUND(T244*U244,2)&lt;1,1,0))))</f>
        <v>1</v>
      </c>
      <c r="W244" s="0" t="n">
        <f aca="false">IF('Reverse Search'!$N$7="Disable",1,IF('Reverse Search'!$I$9="Disable",1,IF('Reverse Search'!$K$9="≥",IF(J244&gt;='Reverse Search'!$L$9,1,0),IF('Reverse Search'!$K$9="≤",IF(J244&lt;='Reverse Search'!$L$9,1,0),IF(J244='Reverse Search'!$L$9,1,0)))))</f>
        <v>1</v>
      </c>
      <c r="X244" s="0" t="n">
        <f aca="false">IF('Reverse Search'!$N$7="Disable",1,IF('Reverse Search'!$I$10="Disable",1,IF('Reverse Search'!$K$10="≥",IF(K244&gt;='Reverse Search'!$L$10,1,0),IF('Reverse Search'!$K$10="≤",IF(K244&lt;='Reverse Search'!$L$10,1,0),IF(K244='Reverse Search'!$L$10,1,0)))))</f>
        <v>1</v>
      </c>
      <c r="Y244" s="367" t="n">
        <f aca="false">IF('Reverse Search'!$N$7="Disable",1,IF('Reverse Search'!$I$11="Disable",1,IF('Reverse Search'!$K$11="≥",IF(L244&gt;='Reverse Search'!$L$11,1,0),IF('Reverse Search'!$K$11="≤",IF(L244&lt;='Reverse Search'!$L$11,1,0),IF(L244='Reverse Search'!$L$11,1,0)))))</f>
        <v>1</v>
      </c>
      <c r="Z244" s="0" t="n">
        <f aca="true">IF('Reverse Search'!$C$14="Disable",1,IF('Reverse Search'!$D$16="Disable",1,IF($C$2=3,IF($M244=0,0,COUNTIF(INDIRECT("'0.0.2 Pokémon Learnset (Core)'!$D$"&amp;MATCH($E244,'0.0.2 Pokémon Learnset (Core)'!$A$1:$A951,0)&amp;":$FK$"&amp;MATCH($E244,'0.0.2 Pokémon Learnset (Core)'!$A$1:$A951,0)),'Reverse Search'!$E$21)),IF($C$2=2,COUNTIF(INDIRECT("'0.1.1 Pokémon GO Moves'!$B$"&amp;MATCH($E244,'0.1.1 Pokémon GO Moves'!$A$1:$A951,0)&amp;":$R$"&amp;MATCH($E244,'0.1.1 Pokémon GO Moves'!$A$1:$A951,0)),'Reverse Search'!$E$21),COUNTIF(INDIRECT("'0.1.1 Pokémon GO Moves'!$B$"&amp;MATCH($E244,'0.1.1 Pokémon GO Moves'!$A$1:$A951,0)&amp;":$L$"&amp;MATCH($E244,'0.1.1 Pokémon GO Moves'!$A$1:$A951,0)),'Reverse Search'!$E$21)))))</f>
        <v>1</v>
      </c>
      <c r="AA244" s="0" t="e">
        <f aca="true">IF('Reverse Search'!$C$14="Disable",1,IF('Reverse Search'!$I$16="Disable",1,IF($D$2=3,IF($M244=0,0,COUNTIF(INDIRECT("'0.0.2 Pokémon Learnset (Core)'!$D$"&amp;MATCH($E244,'0.0.2 Pokémon Learnset (Core)'!$A$1:$A951,0)&amp;":$FK$"&amp;MATCH($E244,'0.0.2 Pokémon Learnset (Core)'!$A$1:$A951,0)),'Reverse Search'!$J$21)),IF($D$2=2,COUNTIF(INDIRECT("'0.1.1 Pokémon GO Moves'!$B$"&amp;MATCH($E244,'0.1.1 Pokémon GO Moves'!$A$1:$A951,0)&amp;":$R$"&amp;MATCH($E244,'0.1.1 Pokémon GO Moves'!$A$1:$A951,0)),'Reverse Search'!$J$21),COUNTIF(INDIRECT("'0.1.1 Pokémon GO Moves'!$B$"&amp;MATCH($E244,'0.1.1 Pokémon GO Moves'!$A$1:$A951,0)&amp;":$L$"&amp;MATCH($E244,'0.1.1 Pokémon GO Moves'!$A$1:$A951,0)),'Reverse Search'!$J$21)))))</f>
        <v>#N/A</v>
      </c>
      <c r="AB244" s="490"/>
      <c r="AC244" s="260" t="e">
        <f aca="false">IF((Q244+R244+S244+V244+W244+X244+Y244+IF(Z244&gt;=1,1,0)+IF(AA244&gt;=1,1,0))=9,G244&amp;", ",)</f>
        <v>#N/A</v>
      </c>
    </row>
    <row r="245" customFormat="false" ht="15.75" hidden="false" customHeight="false" outlineLevel="0" collapsed="false">
      <c r="A245" s="260"/>
      <c r="B245" s="358"/>
      <c r="C245" s="260"/>
      <c r="D245" s="358"/>
      <c r="E245" s="260" t="n">
        <v>244</v>
      </c>
      <c r="F245" s="260" t="n">
        <f aca="false" t="array" ref="F245:F245">INDEX('0.0.1 Pokémon Dex Data'!$H$3:$H951,MATCH(E245,'0.0.1 Pokémon Dex Data'!$B$3:$B951,0))</f>
        <v>0</v>
      </c>
      <c r="G245" s="0" t="str">
        <f aca="false" t="array" ref="G245:G245">INDEX('0.0.1 Pokémon Dex Data'!$E$3:$E951,MATCH(E245,'0.0.1 Pokémon Dex Data'!$B$3:$B951,0))</f>
        <v>Snubbull</v>
      </c>
      <c r="H245" s="0" t="str">
        <f aca="false" t="array" ref="H245:H245">INDEX('0.0.1 Pokémon Dex Data'!$Q$3:$Q951,MATCH(E245,'0.0.1 Pokémon Dex Data'!$B$3:$B951,0))</f>
        <v>Fairy</v>
      </c>
      <c r="I245" s="0" t="n">
        <f aca="false">INDEX('0.0.1 Pokémon Dex Data'!$R$3:$R951,MATCH(E245,'0.0.1 Pokémon Dex Data'!$B$3:$B951,0))</f>
        <v>0</v>
      </c>
      <c r="J245" s="260" t="n">
        <f aca="false" t="array" ref="J245:J245">ROUND(INDEX('0.0.1 Pokémon Dex Data'!$S$3:$S951,MATCH($E245,'0.0.1 Pokémon Dex Data'!$B$3:$B951,0))*INDEX('0.0.1 Pokémon Dex Data'!T$3:T951,MATCH($E245,'0.0.1 Pokémon Dex Data'!$B$3:$B951,0)),0)</f>
        <v>137</v>
      </c>
      <c r="K245" s="260" t="n">
        <f aca="false" t="array" ref="K245:K245">ROUND(INDEX('0.0.1 Pokémon Dex Data'!$S$3:$S951,MATCH($E245,'0.0.1 Pokémon Dex Data'!$B$3:$B951,0))*INDEX('0.0.1 Pokémon Dex Data'!U$3:U951,MATCH($E245,'0.0.1 Pokémon Dex Data'!$B$3:$B951,0)),0)</f>
        <v>85</v>
      </c>
      <c r="L245" s="260" t="n">
        <f aca="false" t="array" ref="L245:L245">ROUND(INDEX('0.0.1 Pokémon Dex Data'!$S$3:$S951,MATCH($E245,'0.0.1 Pokémon Dex Data'!$B$3:$B951,0))*INDEX('0.0.1 Pokémon Dex Data'!V$3:V951,MATCH($E245,'0.0.1 Pokémon Dex Data'!$B$3:$B951,0)),0)</f>
        <v>155</v>
      </c>
      <c r="M245" s="260" t="n">
        <f aca="false" t="array" ref="M245:M245">INDEX('0.0.1 Pokémon Dex Data'!$J$3:$J951,MATCH(E245,'0.0.1 Pokémon Dex Data'!$B$3:$B951,0))</f>
        <v>0</v>
      </c>
      <c r="O245" s="490"/>
      <c r="Q245" s="367" t="n">
        <f aca="false">IF('Reverse Search'!$F$4="All (including temporary formes)",1,IF('Reverse Search'!$F$4="Base Pokémon and permanent formes only",IF(F245&lt;=1,1,0),IF(F245=0,1,0)))</f>
        <v>1</v>
      </c>
      <c r="R245" s="0" t="n">
        <f aca="false">IF('Reverse Search'!$C$7="Disable",1,IF('Reverse Search'!$D$9="Disable",1,IF(OR('Reverse Search'!$F$9=H245,'Reverse Search'!$F$9=I245),1,0)))</f>
        <v>1</v>
      </c>
      <c r="S245" s="0" t="n">
        <f aca="false">IF('Reverse Search'!$C$7="Disable",1,IF('Reverse Search'!$D$10="Disable",1,IF(OR('Reverse Search'!$F$10=H245,'Reverse Search'!$F$10=I245),1,0)))</f>
        <v>1</v>
      </c>
      <c r="T245" s="0" t="n">
        <f aca="false">INDEX($B$4:$B$22,MATCH(H245,$A$4:$A$22,0))</f>
        <v>1</v>
      </c>
      <c r="U245" s="0" t="e">
        <f aca="false">IF(ISBLANK(I245),1,INDEX($B$4:$B$22,MATCH(I245,$A$4:$A$22,0)))</f>
        <v>#N/A</v>
      </c>
      <c r="V245" s="367" t="n">
        <f aca="false">IF('Reverse Search'!$C$7="Disable",1,IF('Reverse Search'!$D$11="Disable",1,IF('Reverse Search'!$E$11="Neutral to:",IF(ROUND(T245*U245,2)&lt;=1,1,0),IF(ROUND(T245*U245,2)&lt;1,1,0))))</f>
        <v>1</v>
      </c>
      <c r="W245" s="0" t="n">
        <f aca="false">IF('Reverse Search'!$N$7="Disable",1,IF('Reverse Search'!$I$9="Disable",1,IF('Reverse Search'!$K$9="≥",IF(J245&gt;='Reverse Search'!$L$9,1,0),IF('Reverse Search'!$K$9="≤",IF(J245&lt;='Reverse Search'!$L$9,1,0),IF(J245='Reverse Search'!$L$9,1,0)))))</f>
        <v>1</v>
      </c>
      <c r="X245" s="0" t="n">
        <f aca="false">IF('Reverse Search'!$N$7="Disable",1,IF('Reverse Search'!$I$10="Disable",1,IF('Reverse Search'!$K$10="≥",IF(K245&gt;='Reverse Search'!$L$10,1,0),IF('Reverse Search'!$K$10="≤",IF(K245&lt;='Reverse Search'!$L$10,1,0),IF(K245='Reverse Search'!$L$10,1,0)))))</f>
        <v>1</v>
      </c>
      <c r="Y245" s="367" t="n">
        <f aca="false">IF('Reverse Search'!$N$7="Disable",1,IF('Reverse Search'!$I$11="Disable",1,IF('Reverse Search'!$K$11="≥",IF(L245&gt;='Reverse Search'!$L$11,1,0),IF('Reverse Search'!$K$11="≤",IF(L245&lt;='Reverse Search'!$L$11,1,0),IF(L245='Reverse Search'!$L$11,1,0)))))</f>
        <v>1</v>
      </c>
      <c r="Z245" s="0" t="n">
        <f aca="true">IF('Reverse Search'!$C$14="Disable",1,IF('Reverse Search'!$D$16="Disable",1,IF($C$2=3,IF($M245=0,0,COUNTIF(INDIRECT("'0.0.2 Pokémon Learnset (Core)'!$D$"&amp;MATCH($E245,'0.0.2 Pokémon Learnset (Core)'!$A$1:$A951,0)&amp;":$FK$"&amp;MATCH($E245,'0.0.2 Pokémon Learnset (Core)'!$A$1:$A951,0)),'Reverse Search'!$E$21)),IF($C$2=2,COUNTIF(INDIRECT("'0.1.1 Pokémon GO Moves'!$B$"&amp;MATCH($E245,'0.1.1 Pokémon GO Moves'!$A$1:$A951,0)&amp;":$R$"&amp;MATCH($E245,'0.1.1 Pokémon GO Moves'!$A$1:$A951,0)),'Reverse Search'!$E$21),COUNTIF(INDIRECT("'0.1.1 Pokémon GO Moves'!$B$"&amp;MATCH($E245,'0.1.1 Pokémon GO Moves'!$A$1:$A951,0)&amp;":$L$"&amp;MATCH($E245,'0.1.1 Pokémon GO Moves'!$A$1:$A951,0)),'Reverse Search'!$E$21)))))</f>
        <v>1</v>
      </c>
      <c r="AA245" s="0" t="n">
        <f aca="true">IF('Reverse Search'!$C$14="Disable",1,IF('Reverse Search'!$I$16="Disable",1,IF($D$2=3,IF($M245=0,0,COUNTIF(INDIRECT("'0.0.2 Pokémon Learnset (Core)'!$D$"&amp;MATCH($E245,'0.0.2 Pokémon Learnset (Core)'!$A$1:$A951,0)&amp;":$FK$"&amp;MATCH($E245,'0.0.2 Pokémon Learnset (Core)'!$A$1:$A951,0)),'Reverse Search'!$J$21)),IF($D$2=2,COUNTIF(INDIRECT("'0.1.1 Pokémon GO Moves'!$B$"&amp;MATCH($E245,'0.1.1 Pokémon GO Moves'!$A$1:$A951,0)&amp;":$R$"&amp;MATCH($E245,'0.1.1 Pokémon GO Moves'!$A$1:$A951,0)),'Reverse Search'!$J$21),COUNTIF(INDIRECT("'0.1.1 Pokémon GO Moves'!$B$"&amp;MATCH($E245,'0.1.1 Pokémon GO Moves'!$A$1:$A951,0)&amp;":$L$"&amp;MATCH($E245,'0.1.1 Pokémon GO Moves'!$A$1:$A951,0)),'Reverse Search'!$J$21)))))</f>
        <v>0</v>
      </c>
      <c r="AB245" s="490"/>
      <c r="AC245" s="260" t="n">
        <f aca="false">IF((Q245+R245+S245+V245+W245+X245+Y245+IF(Z245&gt;=1,1,0)+IF(AA245&gt;=1,1,0))=9,G245&amp;", ",)</f>
        <v>0</v>
      </c>
    </row>
    <row r="246" customFormat="false" ht="15.75" hidden="false" customHeight="false" outlineLevel="0" collapsed="false">
      <c r="A246" s="260"/>
      <c r="B246" s="358"/>
      <c r="C246" s="260"/>
      <c r="D246" s="358"/>
      <c r="E246" s="260" t="n">
        <v>245</v>
      </c>
      <c r="F246" s="260" t="n">
        <f aca="false" t="array" ref="F246:F246">INDEX('0.0.1 Pokémon Dex Data'!$H$3:$H951,MATCH(E246,'0.0.1 Pokémon Dex Data'!$B$3:$B951,0))</f>
        <v>0</v>
      </c>
      <c r="G246" s="0" t="str">
        <f aca="false" t="array" ref="G246:G246">INDEX('0.0.1 Pokémon Dex Data'!$E$3:$E951,MATCH(E246,'0.0.1 Pokémon Dex Data'!$B$3:$B951,0))</f>
        <v>Granbull</v>
      </c>
      <c r="H246" s="0" t="str">
        <f aca="false" t="array" ref="H246:H246">INDEX('0.0.1 Pokémon Dex Data'!$Q$3:$Q951,MATCH(E246,'0.0.1 Pokémon Dex Data'!$B$3:$B951,0))</f>
        <v>Fairy</v>
      </c>
      <c r="I246" s="0" t="n">
        <f aca="false">INDEX('0.0.1 Pokémon Dex Data'!$R$3:$R951,MATCH(E246,'0.0.1 Pokémon Dex Data'!$B$3:$B951,0))</f>
        <v>0</v>
      </c>
      <c r="J246" s="260" t="n">
        <f aca="false" t="array" ref="J246:J246">ROUND(INDEX('0.0.1 Pokémon Dex Data'!$S$3:$S951,MATCH($E246,'0.0.1 Pokémon Dex Data'!$B$3:$B951,0))*INDEX('0.0.1 Pokémon Dex Data'!T$3:T951,MATCH($E246,'0.0.1 Pokémon Dex Data'!$B$3:$B951,0)),0)</f>
        <v>212</v>
      </c>
      <c r="K246" s="260" t="n">
        <f aca="false" t="array" ref="K246:K246">ROUND(INDEX('0.0.1 Pokémon Dex Data'!$S$3:$S951,MATCH($E246,'0.0.1 Pokémon Dex Data'!$B$3:$B951,0))*INDEX('0.0.1 Pokémon Dex Data'!U$3:U951,MATCH($E246,'0.0.1 Pokémon Dex Data'!$B$3:$B951,0)),0)</f>
        <v>131</v>
      </c>
      <c r="L246" s="260" t="n">
        <f aca="false" t="array" ref="L246:L246">ROUND(INDEX('0.0.1 Pokémon Dex Data'!$S$3:$S951,MATCH($E246,'0.0.1 Pokémon Dex Data'!$B$3:$B951,0))*INDEX('0.0.1 Pokémon Dex Data'!V$3:V951,MATCH($E246,'0.0.1 Pokémon Dex Data'!$B$3:$B951,0)),0)</f>
        <v>207</v>
      </c>
      <c r="M246" s="260" t="n">
        <f aca="false" t="array" ref="M246:M246">INDEX('0.0.1 Pokémon Dex Data'!$J$3:$J951,MATCH(E246,'0.0.1 Pokémon Dex Data'!$B$3:$B951,0))</f>
        <v>1</v>
      </c>
      <c r="O246" s="490"/>
      <c r="Q246" s="367" t="n">
        <f aca="false">IF('Reverse Search'!$F$4="All (including temporary formes)",1,IF('Reverse Search'!$F$4="Base Pokémon and permanent formes only",IF(F246&lt;=1,1,0),IF(F246=0,1,0)))</f>
        <v>1</v>
      </c>
      <c r="R246" s="0" t="n">
        <f aca="false">IF('Reverse Search'!$C$7="Disable",1,IF('Reverse Search'!$D$9="Disable",1,IF(OR('Reverse Search'!$F$9=H246,'Reverse Search'!$F$9=I246),1,0)))</f>
        <v>1</v>
      </c>
      <c r="S246" s="0" t="n">
        <f aca="false">IF('Reverse Search'!$C$7="Disable",1,IF('Reverse Search'!$D$10="Disable",1,IF(OR('Reverse Search'!$F$10=H246,'Reverse Search'!$F$10=I246),1,0)))</f>
        <v>1</v>
      </c>
      <c r="T246" s="0" t="n">
        <f aca="false">INDEX($B$4:$B$22,MATCH(H246,$A$4:$A$22,0))</f>
        <v>1</v>
      </c>
      <c r="U246" s="0" t="e">
        <f aca="false">IF(ISBLANK(I246),1,INDEX($B$4:$B$22,MATCH(I246,$A$4:$A$22,0)))</f>
        <v>#N/A</v>
      </c>
      <c r="V246" s="367" t="n">
        <f aca="false">IF('Reverse Search'!$C$7="Disable",1,IF('Reverse Search'!$D$11="Disable",1,IF('Reverse Search'!$E$11="Neutral to:",IF(ROUND(T246*U246,2)&lt;=1,1,0),IF(ROUND(T246*U246,2)&lt;1,1,0))))</f>
        <v>1</v>
      </c>
      <c r="W246" s="0" t="n">
        <f aca="false">IF('Reverse Search'!$N$7="Disable",1,IF('Reverse Search'!$I$9="Disable",1,IF('Reverse Search'!$K$9="≥",IF(J246&gt;='Reverse Search'!$L$9,1,0),IF('Reverse Search'!$K$9="≤",IF(J246&lt;='Reverse Search'!$L$9,1,0),IF(J246='Reverse Search'!$L$9,1,0)))))</f>
        <v>1</v>
      </c>
      <c r="X246" s="0" t="n">
        <f aca="false">IF('Reverse Search'!$N$7="Disable",1,IF('Reverse Search'!$I$10="Disable",1,IF('Reverse Search'!$K$10="≥",IF(K246&gt;='Reverse Search'!$L$10,1,0),IF('Reverse Search'!$K$10="≤",IF(K246&lt;='Reverse Search'!$L$10,1,0),IF(K246='Reverse Search'!$L$10,1,0)))))</f>
        <v>1</v>
      </c>
      <c r="Y246" s="367" t="n">
        <f aca="false">IF('Reverse Search'!$N$7="Disable",1,IF('Reverse Search'!$I$11="Disable",1,IF('Reverse Search'!$K$11="≥",IF(L246&gt;='Reverse Search'!$L$11,1,0),IF('Reverse Search'!$K$11="≤",IF(L246&lt;='Reverse Search'!$L$11,1,0),IF(L246='Reverse Search'!$L$11,1,0)))))</f>
        <v>1</v>
      </c>
      <c r="Z246" s="0" t="n">
        <f aca="true">IF('Reverse Search'!$C$14="Disable",1,IF('Reverse Search'!$D$16="Disable",1,IF($C$2=3,IF($M246=0,0,COUNTIF(INDIRECT("'0.0.2 Pokémon Learnset (Core)'!$D$"&amp;MATCH($E246,'0.0.2 Pokémon Learnset (Core)'!$A$1:$A951,0)&amp;":$FK$"&amp;MATCH($E246,'0.0.2 Pokémon Learnset (Core)'!$A$1:$A951,0)),'Reverse Search'!$E$21)),IF($C$2=2,COUNTIF(INDIRECT("'0.1.1 Pokémon GO Moves'!$B$"&amp;MATCH($E246,'0.1.1 Pokémon GO Moves'!$A$1:$A951,0)&amp;":$R$"&amp;MATCH($E246,'0.1.1 Pokémon GO Moves'!$A$1:$A951,0)),'Reverse Search'!$E$21),COUNTIF(INDIRECT("'0.1.1 Pokémon GO Moves'!$B$"&amp;MATCH($E246,'0.1.1 Pokémon GO Moves'!$A$1:$A951,0)&amp;":$L$"&amp;MATCH($E246,'0.1.1 Pokémon GO Moves'!$A$1:$A951,0)),'Reverse Search'!$E$21)))))</f>
        <v>1</v>
      </c>
      <c r="AA246" s="0" t="n">
        <f aca="true">IF('Reverse Search'!$C$14="Disable",1,IF('Reverse Search'!$I$16="Disable",1,IF($D$2=3,IF($M246=0,0,COUNTIF(INDIRECT("'0.0.2 Pokémon Learnset (Core)'!$D$"&amp;MATCH($E246,'0.0.2 Pokémon Learnset (Core)'!$A$1:$A951,0)&amp;":$FK$"&amp;MATCH($E246,'0.0.2 Pokémon Learnset (Core)'!$A$1:$A951,0)),'Reverse Search'!$J$21)),IF($D$2=2,COUNTIF(INDIRECT("'0.1.1 Pokémon GO Moves'!$B$"&amp;MATCH($E246,'0.1.1 Pokémon GO Moves'!$A$1:$A951,0)&amp;":$R$"&amp;MATCH($E246,'0.1.1 Pokémon GO Moves'!$A$1:$A951,0)),'Reverse Search'!$J$21),COUNTIF(INDIRECT("'0.1.1 Pokémon GO Moves'!$B$"&amp;MATCH($E246,'0.1.1 Pokémon GO Moves'!$A$1:$A951,0)&amp;":$L$"&amp;MATCH($E246,'0.1.1 Pokémon GO Moves'!$A$1:$A951,0)),'Reverse Search'!$J$21)))))</f>
        <v>0</v>
      </c>
      <c r="AB246" s="490"/>
      <c r="AC246" s="260" t="n">
        <f aca="false">IF((Q246+R246+S246+V246+W246+X246+Y246+IF(Z246&gt;=1,1,0)+IF(AA246&gt;=1,1,0))=9,G246&amp;", ",)</f>
        <v>0</v>
      </c>
    </row>
    <row r="247" customFormat="false" ht="15.75" hidden="false" customHeight="false" outlineLevel="0" collapsed="false">
      <c r="A247" s="260"/>
      <c r="B247" s="358"/>
      <c r="C247" s="260"/>
      <c r="D247" s="358"/>
      <c r="E247" s="260" t="n">
        <v>246</v>
      </c>
      <c r="F247" s="260" t="n">
        <f aca="false" t="array" ref="F247:F247">INDEX('0.0.1 Pokémon Dex Data'!$H$3:$H951,MATCH(E247,'0.0.1 Pokémon Dex Data'!$B$3:$B951,0))</f>
        <v>0</v>
      </c>
      <c r="G247" s="0" t="str">
        <f aca="false" t="array" ref="G247:G247">INDEX('0.0.1 Pokémon Dex Data'!$E$3:$E951,MATCH(E247,'0.0.1 Pokémon Dex Data'!$B$3:$B951,0))</f>
        <v>Qwilfish</v>
      </c>
      <c r="H247" s="0" t="str">
        <f aca="false" t="array" ref="H247:H247">INDEX('0.0.1 Pokémon Dex Data'!$Q$3:$Q951,MATCH(E247,'0.0.1 Pokémon Dex Data'!$B$3:$B951,0))</f>
        <v>Water</v>
      </c>
      <c r="I247" s="0" t="str">
        <f aca="false" t="array" ref="I247:I247">INDEX('0.0.1 Pokémon Dex Data'!$R$3:$R951,MATCH(E247,'0.0.1 Pokémon Dex Data'!$B$3:$B951,0))</f>
        <v>Poison</v>
      </c>
      <c r="J247" s="260" t="n">
        <f aca="false" t="array" ref="J247:J247">ROUND(INDEX('0.0.1 Pokémon Dex Data'!$S$3:$S951,MATCH($E247,'0.0.1 Pokémon Dex Data'!$B$3:$B951,0))*INDEX('0.0.1 Pokémon Dex Data'!T$3:T951,MATCH($E247,'0.0.1 Pokémon Dex Data'!$B$3:$B951,0)),0)</f>
        <v>184</v>
      </c>
      <c r="K247" s="260" t="n">
        <f aca="false" t="array" ref="K247:K247">ROUND(INDEX('0.0.1 Pokémon Dex Data'!$S$3:$S951,MATCH($E247,'0.0.1 Pokémon Dex Data'!$B$3:$B951,0))*INDEX('0.0.1 Pokémon Dex Data'!U$3:U951,MATCH($E247,'0.0.1 Pokémon Dex Data'!$B$3:$B951,0)),0)</f>
        <v>138</v>
      </c>
      <c r="L247" s="260" t="n">
        <f aca="false" t="array" ref="L247:L247">ROUND(INDEX('0.0.1 Pokémon Dex Data'!$S$3:$S951,MATCH($E247,'0.0.1 Pokémon Dex Data'!$B$3:$B951,0))*INDEX('0.0.1 Pokémon Dex Data'!V$3:V951,MATCH($E247,'0.0.1 Pokémon Dex Data'!$B$3:$B951,0)),0)</f>
        <v>163</v>
      </c>
      <c r="M247" s="260" t="n">
        <f aca="false" t="array" ref="M247:M247">INDEX('0.0.1 Pokémon Dex Data'!$J$3:$J951,MATCH(E247,'0.0.1 Pokémon Dex Data'!$B$3:$B951,0))</f>
        <v>1</v>
      </c>
      <c r="O247" s="490"/>
      <c r="Q247" s="367" t="n">
        <f aca="false">IF('Reverse Search'!$F$4="All (including temporary formes)",1,IF('Reverse Search'!$F$4="Base Pokémon and permanent formes only",IF(F247&lt;=1,1,0),IF(F247=0,1,0)))</f>
        <v>1</v>
      </c>
      <c r="R247" s="0" t="n">
        <f aca="false">IF('Reverse Search'!$C$7="Disable",1,IF('Reverse Search'!$D$9="Disable",1,IF(OR('Reverse Search'!$F$9=H247,'Reverse Search'!$F$9=I247),1,0)))</f>
        <v>1</v>
      </c>
      <c r="S247" s="0" t="n">
        <f aca="false">IF('Reverse Search'!$C$7="Disable",1,IF('Reverse Search'!$D$10="Disable",1,IF(OR('Reverse Search'!$F$10=H247,'Reverse Search'!$F$10=I247),1,0)))</f>
        <v>1</v>
      </c>
      <c r="T247" s="0" t="n">
        <f aca="false">INDEX($B$4:$B$22,MATCH(H247,$A$4:$A$22,0))</f>
        <v>1</v>
      </c>
      <c r="U247" s="0" t="n">
        <f aca="false">IF(ISBLANK(I247),1,INDEX($B$4:$B$22,MATCH(I247,$A$4:$A$22,0)))</f>
        <v>1</v>
      </c>
      <c r="V247" s="367" t="n">
        <f aca="false">IF('Reverse Search'!$C$7="Disable",1,IF('Reverse Search'!$D$11="Disable",1,IF('Reverse Search'!$E$11="Neutral to:",IF(ROUND(T247*U247,2)&lt;=1,1,0),IF(ROUND(T247*U247,2)&lt;1,1,0))))</f>
        <v>1</v>
      </c>
      <c r="W247" s="0" t="n">
        <f aca="false">IF('Reverse Search'!$N$7="Disable",1,IF('Reverse Search'!$I$9="Disable",1,IF('Reverse Search'!$K$9="≥",IF(J247&gt;='Reverse Search'!$L$9,1,0),IF('Reverse Search'!$K$9="≤",IF(J247&lt;='Reverse Search'!$L$9,1,0),IF(J247='Reverse Search'!$L$9,1,0)))))</f>
        <v>1</v>
      </c>
      <c r="X247" s="0" t="n">
        <f aca="false">IF('Reverse Search'!$N$7="Disable",1,IF('Reverse Search'!$I$10="Disable",1,IF('Reverse Search'!$K$10="≥",IF(K247&gt;='Reverse Search'!$L$10,1,0),IF('Reverse Search'!$K$10="≤",IF(K247&lt;='Reverse Search'!$L$10,1,0),IF(K247='Reverse Search'!$L$10,1,0)))))</f>
        <v>1</v>
      </c>
      <c r="Y247" s="367" t="n">
        <f aca="false">IF('Reverse Search'!$N$7="Disable",1,IF('Reverse Search'!$I$11="Disable",1,IF('Reverse Search'!$K$11="≥",IF(L247&gt;='Reverse Search'!$L$11,1,0),IF('Reverse Search'!$K$11="≤",IF(L247&lt;='Reverse Search'!$L$11,1,0),IF(L247='Reverse Search'!$L$11,1,0)))))</f>
        <v>1</v>
      </c>
      <c r="Z247" s="0" t="n">
        <f aca="true">IF('Reverse Search'!$C$14="Disable",1,IF('Reverse Search'!$D$16="Disable",1,IF($C$2=3,IF($M247=0,0,COUNTIF(INDIRECT("'0.0.2 Pokémon Learnset (Core)'!$D$"&amp;MATCH($E247,'0.0.2 Pokémon Learnset (Core)'!$A$1:$A951,0)&amp;":$FK$"&amp;MATCH($E247,'0.0.2 Pokémon Learnset (Core)'!$A$1:$A951,0)),'Reverse Search'!$E$21)),IF($C$2=2,COUNTIF(INDIRECT("'0.1.1 Pokémon GO Moves'!$B$"&amp;MATCH($E247,'0.1.1 Pokémon GO Moves'!$A$1:$A951,0)&amp;":$R$"&amp;MATCH($E247,'0.1.1 Pokémon GO Moves'!$A$1:$A951,0)),'Reverse Search'!$E$21),COUNTIF(INDIRECT("'0.1.1 Pokémon GO Moves'!$B$"&amp;MATCH($E247,'0.1.1 Pokémon GO Moves'!$A$1:$A951,0)&amp;":$L$"&amp;MATCH($E247,'0.1.1 Pokémon GO Moves'!$A$1:$A951,0)),'Reverse Search'!$E$21)))))</f>
        <v>1</v>
      </c>
      <c r="AA247" s="0" t="n">
        <f aca="true">IF('Reverse Search'!$C$14="Disable",1,IF('Reverse Search'!$I$16="Disable",1,IF($D$2=3,IF($M247=0,0,COUNTIF(INDIRECT("'0.0.2 Pokémon Learnset (Core)'!$D$"&amp;MATCH($E247,'0.0.2 Pokémon Learnset (Core)'!$A$1:$A951,0)&amp;":$FK$"&amp;MATCH($E247,'0.0.2 Pokémon Learnset (Core)'!$A$1:$A951,0)),'Reverse Search'!$J$21)),IF($D$2=2,COUNTIF(INDIRECT("'0.1.1 Pokémon GO Moves'!$B$"&amp;MATCH($E247,'0.1.1 Pokémon GO Moves'!$A$1:$A951,0)&amp;":$R$"&amp;MATCH($E247,'0.1.1 Pokémon GO Moves'!$A$1:$A951,0)),'Reverse Search'!$J$21),COUNTIF(INDIRECT("'0.1.1 Pokémon GO Moves'!$B$"&amp;MATCH($E247,'0.1.1 Pokémon GO Moves'!$A$1:$A951,0)&amp;":$L$"&amp;MATCH($E247,'0.1.1 Pokémon GO Moves'!$A$1:$A951,0)),'Reverse Search'!$J$21)))))</f>
        <v>0</v>
      </c>
      <c r="AB247" s="490"/>
      <c r="AC247" s="260" t="n">
        <f aca="false">IF((Q247+R247+S247+V247+W247+X247+Y247+IF(Z247&gt;=1,1,0)+IF(AA247&gt;=1,1,0))=9,G247&amp;", ",)</f>
        <v>0</v>
      </c>
    </row>
    <row r="248" customFormat="false" ht="15.75" hidden="false" customHeight="false" outlineLevel="0" collapsed="false">
      <c r="A248" s="260"/>
      <c r="B248" s="358"/>
      <c r="C248" s="260"/>
      <c r="D248" s="358"/>
      <c r="E248" s="260" t="n">
        <v>247</v>
      </c>
      <c r="F248" s="260" t="n">
        <f aca="false" t="array" ref="F248:F248">INDEX('0.0.1 Pokémon Dex Data'!$H$3:$H951,MATCH(E248,'0.0.1 Pokémon Dex Data'!$B$3:$B951,0))</f>
        <v>0</v>
      </c>
      <c r="G248" s="0" t="str">
        <f aca="false" t="array" ref="G248:G248">INDEX('0.0.1 Pokémon Dex Data'!$E$3:$E951,MATCH(E248,'0.0.1 Pokémon Dex Data'!$B$3:$B951,0))</f>
        <v>Scizor</v>
      </c>
      <c r="H248" s="0" t="str">
        <f aca="false" t="array" ref="H248:H248">INDEX('0.0.1 Pokémon Dex Data'!$Q$3:$Q951,MATCH(E248,'0.0.1 Pokémon Dex Data'!$B$3:$B951,0))</f>
        <v>Bug</v>
      </c>
      <c r="I248" s="0" t="str">
        <f aca="false" t="array" ref="I248:I248">INDEX('0.0.1 Pokémon Dex Data'!$R$3:$R951,MATCH(E248,'0.0.1 Pokémon Dex Data'!$B$3:$B951,0))</f>
        <v>Steel</v>
      </c>
      <c r="J248" s="260" t="n">
        <f aca="false" t="array" ref="J248:J248">ROUND(INDEX('0.0.1 Pokémon Dex Data'!$S$3:$S951,MATCH($E248,'0.0.1 Pokémon Dex Data'!$B$3:$B951,0))*INDEX('0.0.1 Pokémon Dex Data'!T$3:T951,MATCH($E248,'0.0.1 Pokémon Dex Data'!$B$3:$B951,0)),0)</f>
        <v>236</v>
      </c>
      <c r="K248" s="260" t="n">
        <f aca="false" t="array" ref="K248:K248">ROUND(INDEX('0.0.1 Pokémon Dex Data'!$S$3:$S951,MATCH($E248,'0.0.1 Pokémon Dex Data'!$B$3:$B951,0))*INDEX('0.0.1 Pokémon Dex Data'!U$3:U951,MATCH($E248,'0.0.1 Pokémon Dex Data'!$B$3:$B951,0)),0)</f>
        <v>181</v>
      </c>
      <c r="L248" s="260" t="n">
        <f aca="false" t="array" ref="L248:L248">ROUND(INDEX('0.0.1 Pokémon Dex Data'!$S$3:$S951,MATCH($E248,'0.0.1 Pokémon Dex Data'!$B$3:$B951,0))*INDEX('0.0.1 Pokémon Dex Data'!V$3:V951,MATCH($E248,'0.0.1 Pokémon Dex Data'!$B$3:$B951,0)),0)</f>
        <v>172</v>
      </c>
      <c r="M248" s="260" t="n">
        <f aca="false" t="array" ref="M248:M248">INDEX('0.0.1 Pokémon Dex Data'!$J$3:$J951,MATCH(E248,'0.0.1 Pokémon Dex Data'!$B$3:$B951,0))</f>
        <v>1</v>
      </c>
      <c r="O248" s="490"/>
      <c r="Q248" s="367" t="n">
        <f aca="false">IF('Reverse Search'!$F$4="All (including temporary formes)",1,IF('Reverse Search'!$F$4="Base Pokémon and permanent formes only",IF(F248&lt;=1,1,0),IF(F248=0,1,0)))</f>
        <v>1</v>
      </c>
      <c r="R248" s="0" t="n">
        <f aca="false">IF('Reverse Search'!$C$7="Disable",1,IF('Reverse Search'!$D$9="Disable",1,IF(OR('Reverse Search'!$F$9=H248,'Reverse Search'!$F$9=I248),1,0)))</f>
        <v>1</v>
      </c>
      <c r="S248" s="0" t="n">
        <f aca="false">IF('Reverse Search'!$C$7="Disable",1,IF('Reverse Search'!$D$10="Disable",1,IF(OR('Reverse Search'!$F$10=H248,'Reverse Search'!$F$10=I248),1,0)))</f>
        <v>1</v>
      </c>
      <c r="T248" s="0" t="n">
        <f aca="false">INDEX($B$4:$B$22,MATCH(H248,$A$4:$A$22,0))</f>
        <v>1</v>
      </c>
      <c r="U248" s="0" t="n">
        <f aca="false">IF(ISBLANK(I248),1,INDEX($B$4:$B$22,MATCH(I248,$A$4:$A$22,0)))</f>
        <v>0.714</v>
      </c>
      <c r="V248" s="367" t="n">
        <f aca="false">IF('Reverse Search'!$C$7="Disable",1,IF('Reverse Search'!$D$11="Disable",1,IF('Reverse Search'!$E$11="Neutral to:",IF(ROUND(T248*U248,2)&lt;=1,1,0),IF(ROUND(T248*U248,2)&lt;1,1,0))))</f>
        <v>1</v>
      </c>
      <c r="W248" s="0" t="n">
        <f aca="false">IF('Reverse Search'!$N$7="Disable",1,IF('Reverse Search'!$I$9="Disable",1,IF('Reverse Search'!$K$9="≥",IF(J248&gt;='Reverse Search'!$L$9,1,0),IF('Reverse Search'!$K$9="≤",IF(J248&lt;='Reverse Search'!$L$9,1,0),IF(J248='Reverse Search'!$L$9,1,0)))))</f>
        <v>1</v>
      </c>
      <c r="X248" s="0" t="n">
        <f aca="false">IF('Reverse Search'!$N$7="Disable",1,IF('Reverse Search'!$I$10="Disable",1,IF('Reverse Search'!$K$10="≥",IF(K248&gt;='Reverse Search'!$L$10,1,0),IF('Reverse Search'!$K$10="≤",IF(K248&lt;='Reverse Search'!$L$10,1,0),IF(K248='Reverse Search'!$L$10,1,0)))))</f>
        <v>1</v>
      </c>
      <c r="Y248" s="367" t="n">
        <f aca="false">IF('Reverse Search'!$N$7="Disable",1,IF('Reverse Search'!$I$11="Disable",1,IF('Reverse Search'!$K$11="≥",IF(L248&gt;='Reverse Search'!$L$11,1,0),IF('Reverse Search'!$K$11="≤",IF(L248&lt;='Reverse Search'!$L$11,1,0),IF(L248='Reverse Search'!$L$11,1,0)))))</f>
        <v>1</v>
      </c>
      <c r="Z248" s="0" t="n">
        <f aca="true">IF('Reverse Search'!$C$14="Disable",1,IF('Reverse Search'!$D$16="Disable",1,IF($C$2=3,IF($M248=0,0,COUNTIF(INDIRECT("'0.0.2 Pokémon Learnset (Core)'!$D$"&amp;MATCH($E248,'0.0.2 Pokémon Learnset (Core)'!$A$1:$A951,0)&amp;":$FK$"&amp;MATCH($E248,'0.0.2 Pokémon Learnset (Core)'!$A$1:$A951,0)),'Reverse Search'!$E$21)),IF($C$2=2,COUNTIF(INDIRECT("'0.1.1 Pokémon GO Moves'!$B$"&amp;MATCH($E248,'0.1.1 Pokémon GO Moves'!$A$1:$A951,0)&amp;":$R$"&amp;MATCH($E248,'0.1.1 Pokémon GO Moves'!$A$1:$A951,0)),'Reverse Search'!$E$21),COUNTIF(INDIRECT("'0.1.1 Pokémon GO Moves'!$B$"&amp;MATCH($E248,'0.1.1 Pokémon GO Moves'!$A$1:$A951,0)&amp;":$L$"&amp;MATCH($E248,'0.1.1 Pokémon GO Moves'!$A$1:$A951,0)),'Reverse Search'!$E$21)))))</f>
        <v>1</v>
      </c>
      <c r="AA248" s="0" t="n">
        <f aca="true">IF('Reverse Search'!$C$14="Disable",1,IF('Reverse Search'!$I$16="Disable",1,IF($D$2=3,IF($M248=0,0,COUNTIF(INDIRECT("'0.0.2 Pokémon Learnset (Core)'!$D$"&amp;MATCH($E248,'0.0.2 Pokémon Learnset (Core)'!$A$1:$A951,0)&amp;":$FK$"&amp;MATCH($E248,'0.0.2 Pokémon Learnset (Core)'!$A$1:$A951,0)),'Reverse Search'!$J$21)),IF($D$2=2,COUNTIF(INDIRECT("'0.1.1 Pokémon GO Moves'!$B$"&amp;MATCH($E248,'0.1.1 Pokémon GO Moves'!$A$1:$A951,0)&amp;":$R$"&amp;MATCH($E248,'0.1.1 Pokémon GO Moves'!$A$1:$A951,0)),'Reverse Search'!$J$21),COUNTIF(INDIRECT("'0.1.1 Pokémon GO Moves'!$B$"&amp;MATCH($E248,'0.1.1 Pokémon GO Moves'!$A$1:$A951,0)&amp;":$L$"&amp;MATCH($E248,'0.1.1 Pokémon GO Moves'!$A$1:$A951,0)),'Reverse Search'!$J$21)))))</f>
        <v>0</v>
      </c>
      <c r="AB248" s="490"/>
      <c r="AC248" s="260" t="n">
        <f aca="false">IF((Q248+R248+S248+V248+W248+X248+Y248+IF(Z248&gt;=1,1,0)+IF(AA248&gt;=1,1,0))=9,G248&amp;", ",)</f>
        <v>0</v>
      </c>
    </row>
    <row r="249" customFormat="false" ht="15.75" hidden="false" customHeight="false" outlineLevel="0" collapsed="false">
      <c r="A249" s="260"/>
      <c r="B249" s="358"/>
      <c r="C249" s="260"/>
      <c r="D249" s="358"/>
      <c r="E249" s="260" t="n">
        <v>248</v>
      </c>
      <c r="F249" s="260" t="n">
        <f aca="false" t="array" ref="F249:F249">INDEX('0.0.1 Pokémon Dex Data'!$H$3:$H951,MATCH(E249,'0.0.1 Pokémon Dex Data'!$B$3:$B951,0))</f>
        <v>2</v>
      </c>
      <c r="G249" s="0" t="str">
        <f aca="false" t="array" ref="G249:G249">INDEX('0.0.1 Pokémon Dex Data'!$E$3:$E951,MATCH(E249,'0.0.1 Pokémon Dex Data'!$B$3:$B951,0))</f>
        <v>Scizor-Mega</v>
      </c>
      <c r="H249" s="0" t="str">
        <f aca="false" t="array" ref="H249:H249">INDEX('0.0.1 Pokémon Dex Data'!$Q$3:$Q951,MATCH(E249,'0.0.1 Pokémon Dex Data'!$B$3:$B951,0))</f>
        <v>Bug</v>
      </c>
      <c r="I249" s="0" t="str">
        <f aca="false" t="array" ref="I249:I249">INDEX('0.0.1 Pokémon Dex Data'!$R$3:$R951,MATCH(E249,'0.0.1 Pokémon Dex Data'!$B$3:$B951,0))</f>
        <v>Steel</v>
      </c>
      <c r="J249" s="260" t="n">
        <f aca="false" t="array" ref="J249:J249">ROUND(INDEX('0.0.1 Pokémon Dex Data'!$S$3:$S951,MATCH($E249,'0.0.1 Pokémon Dex Data'!$B$3:$B951,0))*INDEX('0.0.1 Pokémon Dex Data'!T$3:T951,MATCH($E249,'0.0.1 Pokémon Dex Data'!$B$3:$B951,0)),0)</f>
        <v>279</v>
      </c>
      <c r="K249" s="260" t="n">
        <f aca="false" t="array" ref="K249:K249">ROUND(INDEX('0.0.1 Pokémon Dex Data'!$S$3:$S951,MATCH($E249,'0.0.1 Pokémon Dex Data'!$B$3:$B951,0))*INDEX('0.0.1 Pokémon Dex Data'!U$3:U951,MATCH($E249,'0.0.1 Pokémon Dex Data'!$B$3:$B951,0)),0)</f>
        <v>250</v>
      </c>
      <c r="L249" s="260" t="n">
        <f aca="false" t="array" ref="L249:L249">ROUND(INDEX('0.0.1 Pokémon Dex Data'!$S$3:$S951,MATCH($E249,'0.0.1 Pokémon Dex Data'!$B$3:$B951,0))*INDEX('0.0.1 Pokémon Dex Data'!V$3:V951,MATCH($E249,'0.0.1 Pokémon Dex Data'!$B$3:$B951,0)),0)</f>
        <v>172</v>
      </c>
      <c r="M249" s="260" t="n">
        <f aca="false" t="array" ref="M249:M249">INDEX('0.0.1 Pokémon Dex Data'!$J$3:$J951,MATCH(E249,'0.0.1 Pokémon Dex Data'!$B$3:$B951,0))</f>
        <v>1</v>
      </c>
      <c r="O249" s="490"/>
      <c r="Q249" s="367" t="n">
        <f aca="false">IF('Reverse Search'!$F$4="All (including temporary formes)",1,IF('Reverse Search'!$F$4="Base Pokémon and permanent formes only",IF(F249&lt;=1,1,0),IF(F249=0,1,0)))</f>
        <v>0</v>
      </c>
      <c r="R249" s="0" t="n">
        <f aca="false">IF('Reverse Search'!$C$7="Disable",1,IF('Reverse Search'!$D$9="Disable",1,IF(OR('Reverse Search'!$F$9=H249,'Reverse Search'!$F$9=I249),1,0)))</f>
        <v>1</v>
      </c>
      <c r="S249" s="0" t="n">
        <f aca="false">IF('Reverse Search'!$C$7="Disable",1,IF('Reverse Search'!$D$10="Disable",1,IF(OR('Reverse Search'!$F$10=H249,'Reverse Search'!$F$10=I249),1,0)))</f>
        <v>1</v>
      </c>
      <c r="T249" s="0" t="n">
        <f aca="false">INDEX($B$4:$B$22,MATCH(H249,$A$4:$A$22,0))</f>
        <v>1</v>
      </c>
      <c r="U249" s="0" t="n">
        <f aca="false">IF(ISBLANK(I249),1,INDEX($B$4:$B$22,MATCH(I249,$A$4:$A$22,0)))</f>
        <v>0.714</v>
      </c>
      <c r="V249" s="367" t="n">
        <f aca="false">IF('Reverse Search'!$C$7="Disable",1,IF('Reverse Search'!$D$11="Disable",1,IF('Reverse Search'!$E$11="Neutral to:",IF(ROUND(T249*U249,2)&lt;=1,1,0),IF(ROUND(T249*U249,2)&lt;1,1,0))))</f>
        <v>1</v>
      </c>
      <c r="W249" s="0" t="n">
        <f aca="false">IF('Reverse Search'!$N$7="Disable",1,IF('Reverse Search'!$I$9="Disable",1,IF('Reverse Search'!$K$9="≥",IF(J249&gt;='Reverse Search'!$L$9,1,0),IF('Reverse Search'!$K$9="≤",IF(J249&lt;='Reverse Search'!$L$9,1,0),IF(J249='Reverse Search'!$L$9,1,0)))))</f>
        <v>1</v>
      </c>
      <c r="X249" s="0" t="n">
        <f aca="false">IF('Reverse Search'!$N$7="Disable",1,IF('Reverse Search'!$I$10="Disable",1,IF('Reverse Search'!$K$10="≥",IF(K249&gt;='Reverse Search'!$L$10,1,0),IF('Reverse Search'!$K$10="≤",IF(K249&lt;='Reverse Search'!$L$10,1,0),IF(K249='Reverse Search'!$L$10,1,0)))))</f>
        <v>1</v>
      </c>
      <c r="Y249" s="367" t="n">
        <f aca="false">IF('Reverse Search'!$N$7="Disable",1,IF('Reverse Search'!$I$11="Disable",1,IF('Reverse Search'!$K$11="≥",IF(L249&gt;='Reverse Search'!$L$11,1,0),IF('Reverse Search'!$K$11="≤",IF(L249&lt;='Reverse Search'!$L$11,1,0),IF(L249='Reverse Search'!$L$11,1,0)))))</f>
        <v>1</v>
      </c>
      <c r="Z249" s="0" t="n">
        <f aca="true">IF('Reverse Search'!$C$14="Disable",1,IF('Reverse Search'!$D$16="Disable",1,IF($C$2=3,IF($M249=0,0,COUNTIF(INDIRECT("'0.0.2 Pokémon Learnset (Core)'!$D$"&amp;MATCH($E249,'0.0.2 Pokémon Learnset (Core)'!$A$1:$A951,0)&amp;":$FK$"&amp;MATCH($E249,'0.0.2 Pokémon Learnset (Core)'!$A$1:$A951,0)),'Reverse Search'!$E$21)),IF($C$2=2,COUNTIF(INDIRECT("'0.1.1 Pokémon GO Moves'!$B$"&amp;MATCH($E249,'0.1.1 Pokémon GO Moves'!$A$1:$A951,0)&amp;":$R$"&amp;MATCH($E249,'0.1.1 Pokémon GO Moves'!$A$1:$A951,0)),'Reverse Search'!$E$21),COUNTIF(INDIRECT("'0.1.1 Pokémon GO Moves'!$B$"&amp;MATCH($E249,'0.1.1 Pokémon GO Moves'!$A$1:$A951,0)&amp;":$L$"&amp;MATCH($E249,'0.1.1 Pokémon GO Moves'!$A$1:$A951,0)),'Reverse Search'!$E$21)))))</f>
        <v>1</v>
      </c>
      <c r="AA249" s="0" t="e">
        <f aca="true">IF('Reverse Search'!$C$14="Disable",1,IF('Reverse Search'!$I$16="Disable",1,IF($D$2=3,IF($M249=0,0,COUNTIF(INDIRECT("'0.0.2 Pokémon Learnset (Core)'!$D$"&amp;MATCH($E249,'0.0.2 Pokémon Learnset (Core)'!$A$1:$A951,0)&amp;":$FK$"&amp;MATCH($E249,'0.0.2 Pokémon Learnset (Core)'!$A$1:$A951,0)),'Reverse Search'!$J$21)),IF($D$2=2,COUNTIF(INDIRECT("'0.1.1 Pokémon GO Moves'!$B$"&amp;MATCH($E249,'0.1.1 Pokémon GO Moves'!$A$1:$A951,0)&amp;":$R$"&amp;MATCH($E249,'0.1.1 Pokémon GO Moves'!$A$1:$A951,0)),'Reverse Search'!$J$21),COUNTIF(INDIRECT("'0.1.1 Pokémon GO Moves'!$B$"&amp;MATCH($E249,'0.1.1 Pokémon GO Moves'!$A$1:$A951,0)&amp;":$L$"&amp;MATCH($E249,'0.1.1 Pokémon GO Moves'!$A$1:$A951,0)),'Reverse Search'!$J$21)))))</f>
        <v>#N/A</v>
      </c>
      <c r="AB249" s="490"/>
      <c r="AC249" s="260" t="e">
        <f aca="false">IF((Q249+R249+S249+V249+W249+X249+Y249+IF(Z249&gt;=1,1,0)+IF(AA249&gt;=1,1,0))=9,G249&amp;", ",)</f>
        <v>#N/A</v>
      </c>
    </row>
    <row r="250" customFormat="false" ht="15.75" hidden="false" customHeight="false" outlineLevel="0" collapsed="false">
      <c r="A250" s="260"/>
      <c r="B250" s="358"/>
      <c r="C250" s="260"/>
      <c r="D250" s="358"/>
      <c r="E250" s="260" t="n">
        <v>249</v>
      </c>
      <c r="F250" s="260" t="n">
        <f aca="false" t="array" ref="F250:F250">INDEX('0.0.1 Pokémon Dex Data'!$H$3:$H951,MATCH(E250,'0.0.1 Pokémon Dex Data'!$B$3:$B951,0))</f>
        <v>0</v>
      </c>
      <c r="G250" s="0" t="str">
        <f aca="false" t="array" ref="G250:G250">INDEX('0.0.1 Pokémon Dex Data'!$E$3:$E951,MATCH(E250,'0.0.1 Pokémon Dex Data'!$B$3:$B951,0))</f>
        <v>Shuckle</v>
      </c>
      <c r="H250" s="0" t="str">
        <f aca="false" t="array" ref="H250:H250">INDEX('0.0.1 Pokémon Dex Data'!$Q$3:$Q951,MATCH(E250,'0.0.1 Pokémon Dex Data'!$B$3:$B951,0))</f>
        <v>Bug</v>
      </c>
      <c r="I250" s="0" t="str">
        <f aca="false" t="array" ref="I250:I250">INDEX('0.0.1 Pokémon Dex Data'!$R$3:$R951,MATCH(E250,'0.0.1 Pokémon Dex Data'!$B$3:$B951,0))</f>
        <v>Rock</v>
      </c>
      <c r="J250" s="260" t="n">
        <f aca="false" t="array" ref="J250:J250">ROUND(INDEX('0.0.1 Pokémon Dex Data'!$S$3:$S951,MATCH($E250,'0.0.1 Pokémon Dex Data'!$B$3:$B951,0))*INDEX('0.0.1 Pokémon Dex Data'!T$3:T951,MATCH($E250,'0.0.1 Pokémon Dex Data'!$B$3:$B951,0)),0)</f>
        <v>17</v>
      </c>
      <c r="K250" s="260" t="n">
        <f aca="false" t="array" ref="K250:K250">ROUND(INDEX('0.0.1 Pokémon Dex Data'!$S$3:$S951,MATCH($E250,'0.0.1 Pokémon Dex Data'!$B$3:$B951,0))*INDEX('0.0.1 Pokémon Dex Data'!U$3:U951,MATCH($E250,'0.0.1 Pokémon Dex Data'!$B$3:$B951,0)),0)</f>
        <v>396</v>
      </c>
      <c r="L250" s="260" t="n">
        <f aca="false" t="array" ref="L250:L250">ROUND(INDEX('0.0.1 Pokémon Dex Data'!$S$3:$S951,MATCH($E250,'0.0.1 Pokémon Dex Data'!$B$3:$B951,0))*INDEX('0.0.1 Pokémon Dex Data'!V$3:V951,MATCH($E250,'0.0.1 Pokémon Dex Data'!$B$3:$B951,0)),0)</f>
        <v>85</v>
      </c>
      <c r="M250" s="260" t="n">
        <f aca="false" t="array" ref="M250:M250">INDEX('0.0.1 Pokémon Dex Data'!$J$3:$J951,MATCH(E250,'0.0.1 Pokémon Dex Data'!$B$3:$B951,0))</f>
        <v>1</v>
      </c>
      <c r="O250" s="490"/>
      <c r="Q250" s="367" t="n">
        <f aca="false">IF('Reverse Search'!$F$4="All (including temporary formes)",1,IF('Reverse Search'!$F$4="Base Pokémon and permanent formes only",IF(F250&lt;=1,1,0),IF(F250=0,1,0)))</f>
        <v>1</v>
      </c>
      <c r="R250" s="0" t="n">
        <f aca="false">IF('Reverse Search'!$C$7="Disable",1,IF('Reverse Search'!$D$9="Disable",1,IF(OR('Reverse Search'!$F$9=H250,'Reverse Search'!$F$9=I250),1,0)))</f>
        <v>1</v>
      </c>
      <c r="S250" s="0" t="n">
        <f aca="false">IF('Reverse Search'!$C$7="Disable",1,IF('Reverse Search'!$D$10="Disable",1,IF(OR('Reverse Search'!$F$10=H250,'Reverse Search'!$F$10=I250),1,0)))</f>
        <v>1</v>
      </c>
      <c r="T250" s="0" t="n">
        <f aca="false">INDEX($B$4:$B$22,MATCH(H250,$A$4:$A$22,0))</f>
        <v>1</v>
      </c>
      <c r="U250" s="0" t="n">
        <f aca="false">IF(ISBLANK(I250),1,INDEX($B$4:$B$22,MATCH(I250,$A$4:$A$22,0)))</f>
        <v>0.714</v>
      </c>
      <c r="V250" s="367" t="n">
        <f aca="false">IF('Reverse Search'!$C$7="Disable",1,IF('Reverse Search'!$D$11="Disable",1,IF('Reverse Search'!$E$11="Neutral to:",IF(ROUND(T250*U250,2)&lt;=1,1,0),IF(ROUND(T250*U250,2)&lt;1,1,0))))</f>
        <v>1</v>
      </c>
      <c r="W250" s="0" t="n">
        <f aca="false">IF('Reverse Search'!$N$7="Disable",1,IF('Reverse Search'!$I$9="Disable",1,IF('Reverse Search'!$K$9="≥",IF(J250&gt;='Reverse Search'!$L$9,1,0),IF('Reverse Search'!$K$9="≤",IF(J250&lt;='Reverse Search'!$L$9,1,0),IF(J250='Reverse Search'!$L$9,1,0)))))</f>
        <v>1</v>
      </c>
      <c r="X250" s="0" t="n">
        <f aca="false">IF('Reverse Search'!$N$7="Disable",1,IF('Reverse Search'!$I$10="Disable",1,IF('Reverse Search'!$K$10="≥",IF(K250&gt;='Reverse Search'!$L$10,1,0),IF('Reverse Search'!$K$10="≤",IF(K250&lt;='Reverse Search'!$L$10,1,0),IF(K250='Reverse Search'!$L$10,1,0)))))</f>
        <v>1</v>
      </c>
      <c r="Y250" s="367" t="n">
        <f aca="false">IF('Reverse Search'!$N$7="Disable",1,IF('Reverse Search'!$I$11="Disable",1,IF('Reverse Search'!$K$11="≥",IF(L250&gt;='Reverse Search'!$L$11,1,0),IF('Reverse Search'!$K$11="≤",IF(L250&lt;='Reverse Search'!$L$11,1,0),IF(L250='Reverse Search'!$L$11,1,0)))))</f>
        <v>1</v>
      </c>
      <c r="Z250" s="0" t="n">
        <f aca="true">IF('Reverse Search'!$C$14="Disable",1,IF('Reverse Search'!$D$16="Disable",1,IF($C$2=3,IF($M250=0,0,COUNTIF(INDIRECT("'0.0.2 Pokémon Learnset (Core)'!$D$"&amp;MATCH($E250,'0.0.2 Pokémon Learnset (Core)'!$A$1:$A951,0)&amp;":$FK$"&amp;MATCH($E250,'0.0.2 Pokémon Learnset (Core)'!$A$1:$A951,0)),'Reverse Search'!$E$21)),IF($C$2=2,COUNTIF(INDIRECT("'0.1.1 Pokémon GO Moves'!$B$"&amp;MATCH($E250,'0.1.1 Pokémon GO Moves'!$A$1:$A951,0)&amp;":$R$"&amp;MATCH($E250,'0.1.1 Pokémon GO Moves'!$A$1:$A951,0)),'Reverse Search'!$E$21),COUNTIF(INDIRECT("'0.1.1 Pokémon GO Moves'!$B$"&amp;MATCH($E250,'0.1.1 Pokémon GO Moves'!$A$1:$A951,0)&amp;":$L$"&amp;MATCH($E250,'0.1.1 Pokémon GO Moves'!$A$1:$A951,0)),'Reverse Search'!$E$21)))))</f>
        <v>1</v>
      </c>
      <c r="AA250" s="0" t="n">
        <f aca="true">IF('Reverse Search'!$C$14="Disable",1,IF('Reverse Search'!$I$16="Disable",1,IF($D$2=3,IF($M250=0,0,COUNTIF(INDIRECT("'0.0.2 Pokémon Learnset (Core)'!$D$"&amp;MATCH($E250,'0.0.2 Pokémon Learnset (Core)'!$A$1:$A951,0)&amp;":$FK$"&amp;MATCH($E250,'0.0.2 Pokémon Learnset (Core)'!$A$1:$A951,0)),'Reverse Search'!$J$21)),IF($D$2=2,COUNTIF(INDIRECT("'0.1.1 Pokémon GO Moves'!$B$"&amp;MATCH($E250,'0.1.1 Pokémon GO Moves'!$A$1:$A951,0)&amp;":$R$"&amp;MATCH($E250,'0.1.1 Pokémon GO Moves'!$A$1:$A951,0)),'Reverse Search'!$J$21),COUNTIF(INDIRECT("'0.1.1 Pokémon GO Moves'!$B$"&amp;MATCH($E250,'0.1.1 Pokémon GO Moves'!$A$1:$A951,0)&amp;":$L$"&amp;MATCH($E250,'0.1.1 Pokémon GO Moves'!$A$1:$A951,0)),'Reverse Search'!$J$21)))))</f>
        <v>0</v>
      </c>
      <c r="AB250" s="490"/>
      <c r="AC250" s="260" t="n">
        <f aca="false">IF((Q250+R250+S250+V250+W250+X250+Y250+IF(Z250&gt;=1,1,0)+IF(AA250&gt;=1,1,0))=9,G250&amp;", ",)</f>
        <v>0</v>
      </c>
    </row>
    <row r="251" customFormat="false" ht="15.75" hidden="false" customHeight="false" outlineLevel="0" collapsed="false">
      <c r="A251" s="260"/>
      <c r="B251" s="358"/>
      <c r="C251" s="260"/>
      <c r="D251" s="358"/>
      <c r="E251" s="260" t="n">
        <v>250</v>
      </c>
      <c r="F251" s="260" t="n">
        <f aca="false" t="array" ref="F251:F251">INDEX('0.0.1 Pokémon Dex Data'!$H$3:$H951,MATCH(E251,'0.0.1 Pokémon Dex Data'!$B$3:$B951,0))</f>
        <v>0</v>
      </c>
      <c r="G251" s="0" t="str">
        <f aca="false" t="array" ref="G251:G251">INDEX('0.0.1 Pokémon Dex Data'!$E$3:$E951,MATCH(E251,'0.0.1 Pokémon Dex Data'!$B$3:$B951,0))</f>
        <v>Heracross</v>
      </c>
      <c r="H251" s="0" t="str">
        <f aca="false" t="array" ref="H251:H251">INDEX('0.0.1 Pokémon Dex Data'!$Q$3:$Q951,MATCH(E251,'0.0.1 Pokémon Dex Data'!$B$3:$B951,0))</f>
        <v>Bug</v>
      </c>
      <c r="I251" s="0" t="str">
        <f aca="false" t="array" ref="I251:I251">INDEX('0.0.1 Pokémon Dex Data'!$R$3:$R951,MATCH(E251,'0.0.1 Pokémon Dex Data'!$B$3:$B951,0))</f>
        <v>Fighting</v>
      </c>
      <c r="J251" s="260" t="n">
        <f aca="false" t="array" ref="J251:J251">ROUND(INDEX('0.0.1 Pokémon Dex Data'!$S$3:$S951,MATCH($E251,'0.0.1 Pokémon Dex Data'!$B$3:$B951,0))*INDEX('0.0.1 Pokémon Dex Data'!T$3:T951,MATCH($E251,'0.0.1 Pokémon Dex Data'!$B$3:$B951,0)),0)</f>
        <v>234</v>
      </c>
      <c r="K251" s="260" t="n">
        <f aca="false" t="array" ref="K251:K251">ROUND(INDEX('0.0.1 Pokémon Dex Data'!$S$3:$S951,MATCH($E251,'0.0.1 Pokémon Dex Data'!$B$3:$B951,0))*INDEX('0.0.1 Pokémon Dex Data'!U$3:U951,MATCH($E251,'0.0.1 Pokémon Dex Data'!$B$3:$B951,0)),0)</f>
        <v>179</v>
      </c>
      <c r="L251" s="260" t="n">
        <f aca="false" t="array" ref="L251:L251">ROUND(INDEX('0.0.1 Pokémon Dex Data'!$S$3:$S951,MATCH($E251,'0.0.1 Pokémon Dex Data'!$B$3:$B951,0))*INDEX('0.0.1 Pokémon Dex Data'!V$3:V951,MATCH($E251,'0.0.1 Pokémon Dex Data'!$B$3:$B951,0)),0)</f>
        <v>190</v>
      </c>
      <c r="M251" s="260" t="n">
        <f aca="false" t="array" ref="M251:M251">INDEX('0.0.1 Pokémon Dex Data'!$J$3:$J951,MATCH(E251,'0.0.1 Pokémon Dex Data'!$B$3:$B951,0))</f>
        <v>1</v>
      </c>
      <c r="O251" s="490"/>
      <c r="Q251" s="367" t="n">
        <f aca="false">IF('Reverse Search'!$F$4="All (including temporary formes)",1,IF('Reverse Search'!$F$4="Base Pokémon and permanent formes only",IF(F251&lt;=1,1,0),IF(F251=0,1,0)))</f>
        <v>1</v>
      </c>
      <c r="R251" s="0" t="n">
        <f aca="false">IF('Reverse Search'!$C$7="Disable",1,IF('Reverse Search'!$D$9="Disable",1,IF(OR('Reverse Search'!$F$9=H251,'Reverse Search'!$F$9=I251),1,0)))</f>
        <v>1</v>
      </c>
      <c r="S251" s="0" t="n">
        <f aca="false">IF('Reverse Search'!$C$7="Disable",1,IF('Reverse Search'!$D$10="Disable",1,IF(OR('Reverse Search'!$F$10=H251,'Reverse Search'!$F$10=I251),1,0)))</f>
        <v>1</v>
      </c>
      <c r="T251" s="0" t="n">
        <f aca="false">INDEX($B$4:$B$22,MATCH(H251,$A$4:$A$22,0))</f>
        <v>1</v>
      </c>
      <c r="U251" s="0" t="n">
        <f aca="false">IF(ISBLANK(I251),1,INDEX($B$4:$B$22,MATCH(I251,$A$4:$A$22,0)))</f>
        <v>1</v>
      </c>
      <c r="V251" s="367" t="n">
        <f aca="false">IF('Reverse Search'!$C$7="Disable",1,IF('Reverse Search'!$D$11="Disable",1,IF('Reverse Search'!$E$11="Neutral to:",IF(ROUND(T251*U251,2)&lt;=1,1,0),IF(ROUND(T251*U251,2)&lt;1,1,0))))</f>
        <v>1</v>
      </c>
      <c r="W251" s="0" t="n">
        <f aca="false">IF('Reverse Search'!$N$7="Disable",1,IF('Reverse Search'!$I$9="Disable",1,IF('Reverse Search'!$K$9="≥",IF(J251&gt;='Reverse Search'!$L$9,1,0),IF('Reverse Search'!$K$9="≤",IF(J251&lt;='Reverse Search'!$L$9,1,0),IF(J251='Reverse Search'!$L$9,1,0)))))</f>
        <v>1</v>
      </c>
      <c r="X251" s="0" t="n">
        <f aca="false">IF('Reverse Search'!$N$7="Disable",1,IF('Reverse Search'!$I$10="Disable",1,IF('Reverse Search'!$K$10="≥",IF(K251&gt;='Reverse Search'!$L$10,1,0),IF('Reverse Search'!$K$10="≤",IF(K251&lt;='Reverse Search'!$L$10,1,0),IF(K251='Reverse Search'!$L$10,1,0)))))</f>
        <v>1</v>
      </c>
      <c r="Y251" s="367" t="n">
        <f aca="false">IF('Reverse Search'!$N$7="Disable",1,IF('Reverse Search'!$I$11="Disable",1,IF('Reverse Search'!$K$11="≥",IF(L251&gt;='Reverse Search'!$L$11,1,0),IF('Reverse Search'!$K$11="≤",IF(L251&lt;='Reverse Search'!$L$11,1,0),IF(L251='Reverse Search'!$L$11,1,0)))))</f>
        <v>1</v>
      </c>
      <c r="Z251" s="0" t="n">
        <f aca="true">IF('Reverse Search'!$C$14="Disable",1,IF('Reverse Search'!$D$16="Disable",1,IF($C$2=3,IF($M251=0,0,COUNTIF(INDIRECT("'0.0.2 Pokémon Learnset (Core)'!$D$"&amp;MATCH($E251,'0.0.2 Pokémon Learnset (Core)'!$A$1:$A951,0)&amp;":$FK$"&amp;MATCH($E251,'0.0.2 Pokémon Learnset (Core)'!$A$1:$A951,0)),'Reverse Search'!$E$21)),IF($C$2=2,COUNTIF(INDIRECT("'0.1.1 Pokémon GO Moves'!$B$"&amp;MATCH($E251,'0.1.1 Pokémon GO Moves'!$A$1:$A951,0)&amp;":$R$"&amp;MATCH($E251,'0.1.1 Pokémon GO Moves'!$A$1:$A951,0)),'Reverse Search'!$E$21),COUNTIF(INDIRECT("'0.1.1 Pokémon GO Moves'!$B$"&amp;MATCH($E251,'0.1.1 Pokémon GO Moves'!$A$1:$A951,0)&amp;":$L$"&amp;MATCH($E251,'0.1.1 Pokémon GO Moves'!$A$1:$A951,0)),'Reverse Search'!$E$21)))))</f>
        <v>1</v>
      </c>
      <c r="AA251" s="0" t="n">
        <f aca="true">IF('Reverse Search'!$C$14="Disable",1,IF('Reverse Search'!$I$16="Disable",1,IF($D$2=3,IF($M251=0,0,COUNTIF(INDIRECT("'0.0.2 Pokémon Learnset (Core)'!$D$"&amp;MATCH($E251,'0.0.2 Pokémon Learnset (Core)'!$A$1:$A951,0)&amp;":$FK$"&amp;MATCH($E251,'0.0.2 Pokémon Learnset (Core)'!$A$1:$A951,0)),'Reverse Search'!$J$21)),IF($D$2=2,COUNTIF(INDIRECT("'0.1.1 Pokémon GO Moves'!$B$"&amp;MATCH($E251,'0.1.1 Pokémon GO Moves'!$A$1:$A951,0)&amp;":$R$"&amp;MATCH($E251,'0.1.1 Pokémon GO Moves'!$A$1:$A951,0)),'Reverse Search'!$J$21),COUNTIF(INDIRECT("'0.1.1 Pokémon GO Moves'!$B$"&amp;MATCH($E251,'0.1.1 Pokémon GO Moves'!$A$1:$A951,0)&amp;":$L$"&amp;MATCH($E251,'0.1.1 Pokémon GO Moves'!$A$1:$A951,0)),'Reverse Search'!$J$21)))))</f>
        <v>0</v>
      </c>
      <c r="AB251" s="490"/>
      <c r="AC251" s="260" t="n">
        <f aca="false">IF((Q251+R251+S251+V251+W251+X251+Y251+IF(Z251&gt;=1,1,0)+IF(AA251&gt;=1,1,0))=9,G251&amp;", ",)</f>
        <v>0</v>
      </c>
    </row>
    <row r="252" customFormat="false" ht="15.75" hidden="false" customHeight="false" outlineLevel="0" collapsed="false">
      <c r="A252" s="260"/>
      <c r="B252" s="358"/>
      <c r="C252" s="260"/>
      <c r="D252" s="358"/>
      <c r="E252" s="260" t="n">
        <v>251</v>
      </c>
      <c r="F252" s="260" t="n">
        <f aca="false" t="array" ref="F252:F252">INDEX('0.0.1 Pokémon Dex Data'!$H$3:$H951,MATCH(E252,'0.0.1 Pokémon Dex Data'!$B$3:$B951,0))</f>
        <v>2</v>
      </c>
      <c r="G252" s="0" t="str">
        <f aca="false" t="array" ref="G252:G252">INDEX('0.0.1 Pokémon Dex Data'!$E$3:$E951,MATCH(E252,'0.0.1 Pokémon Dex Data'!$B$3:$B951,0))</f>
        <v>Heracross-Mega</v>
      </c>
      <c r="H252" s="0" t="str">
        <f aca="false" t="array" ref="H252:H252">INDEX('0.0.1 Pokémon Dex Data'!$Q$3:$Q951,MATCH(E252,'0.0.1 Pokémon Dex Data'!$B$3:$B951,0))</f>
        <v>Bug</v>
      </c>
      <c r="I252" s="0" t="str">
        <f aca="false" t="array" ref="I252:I252">INDEX('0.0.1 Pokémon Dex Data'!$R$3:$R951,MATCH(E252,'0.0.1 Pokémon Dex Data'!$B$3:$B951,0))</f>
        <v>Fighting</v>
      </c>
      <c r="J252" s="260" t="n">
        <f aca="false" t="array" ref="J252:J252">ROUND(INDEX('0.0.1 Pokémon Dex Data'!$S$3:$S951,MATCH($E252,'0.0.1 Pokémon Dex Data'!$B$3:$B951,0))*INDEX('0.0.1 Pokémon Dex Data'!T$3:T951,MATCH($E252,'0.0.1 Pokémon Dex Data'!$B$3:$B951,0)),0)</f>
        <v>334</v>
      </c>
      <c r="K252" s="260" t="n">
        <f aca="false" t="array" ref="K252:K252">ROUND(INDEX('0.0.1 Pokémon Dex Data'!$S$3:$S951,MATCH($E252,'0.0.1 Pokémon Dex Data'!$B$3:$B951,0))*INDEX('0.0.1 Pokémon Dex Data'!U$3:U951,MATCH($E252,'0.0.1 Pokémon Dex Data'!$B$3:$B951,0)),0)</f>
        <v>223</v>
      </c>
      <c r="L252" s="260" t="n">
        <f aca="false" t="array" ref="L252:L252">ROUND(INDEX('0.0.1 Pokémon Dex Data'!$S$3:$S951,MATCH($E252,'0.0.1 Pokémon Dex Data'!$B$3:$B951,0))*INDEX('0.0.1 Pokémon Dex Data'!V$3:V951,MATCH($E252,'0.0.1 Pokémon Dex Data'!$B$3:$B951,0)),0)</f>
        <v>190</v>
      </c>
      <c r="M252" s="260" t="n">
        <f aca="false" t="array" ref="M252:M252">INDEX('0.0.1 Pokémon Dex Data'!$J$3:$J951,MATCH(E252,'0.0.1 Pokémon Dex Data'!$B$3:$B951,0))</f>
        <v>1</v>
      </c>
      <c r="O252" s="490"/>
      <c r="Q252" s="367" t="n">
        <f aca="false">IF('Reverse Search'!$F$4="All (including temporary formes)",1,IF('Reverse Search'!$F$4="Base Pokémon and permanent formes only",IF(F252&lt;=1,1,0),IF(F252=0,1,0)))</f>
        <v>0</v>
      </c>
      <c r="R252" s="0" t="n">
        <f aca="false">IF('Reverse Search'!$C$7="Disable",1,IF('Reverse Search'!$D$9="Disable",1,IF(OR('Reverse Search'!$F$9=H252,'Reverse Search'!$F$9=I252),1,0)))</f>
        <v>1</v>
      </c>
      <c r="S252" s="0" t="n">
        <f aca="false">IF('Reverse Search'!$C$7="Disable",1,IF('Reverse Search'!$D$10="Disable",1,IF(OR('Reverse Search'!$F$10=H252,'Reverse Search'!$F$10=I252),1,0)))</f>
        <v>1</v>
      </c>
      <c r="T252" s="0" t="n">
        <f aca="false">INDEX($B$4:$B$22,MATCH(H252,$A$4:$A$22,0))</f>
        <v>1</v>
      </c>
      <c r="U252" s="0" t="n">
        <f aca="false">IF(ISBLANK(I252),1,INDEX($B$4:$B$22,MATCH(I252,$A$4:$A$22,0)))</f>
        <v>1</v>
      </c>
      <c r="V252" s="367" t="n">
        <f aca="false">IF('Reverse Search'!$C$7="Disable",1,IF('Reverse Search'!$D$11="Disable",1,IF('Reverse Search'!$E$11="Neutral to:",IF(ROUND(T252*U252,2)&lt;=1,1,0),IF(ROUND(T252*U252,2)&lt;1,1,0))))</f>
        <v>1</v>
      </c>
      <c r="W252" s="0" t="n">
        <f aca="false">IF('Reverse Search'!$N$7="Disable",1,IF('Reverse Search'!$I$9="Disable",1,IF('Reverse Search'!$K$9="≥",IF(J252&gt;='Reverse Search'!$L$9,1,0),IF('Reverse Search'!$K$9="≤",IF(J252&lt;='Reverse Search'!$L$9,1,0),IF(J252='Reverse Search'!$L$9,1,0)))))</f>
        <v>1</v>
      </c>
      <c r="X252" s="0" t="n">
        <f aca="false">IF('Reverse Search'!$N$7="Disable",1,IF('Reverse Search'!$I$10="Disable",1,IF('Reverse Search'!$K$10="≥",IF(K252&gt;='Reverse Search'!$L$10,1,0),IF('Reverse Search'!$K$10="≤",IF(K252&lt;='Reverse Search'!$L$10,1,0),IF(K252='Reverse Search'!$L$10,1,0)))))</f>
        <v>1</v>
      </c>
      <c r="Y252" s="367" t="n">
        <f aca="false">IF('Reverse Search'!$N$7="Disable",1,IF('Reverse Search'!$I$11="Disable",1,IF('Reverse Search'!$K$11="≥",IF(L252&gt;='Reverse Search'!$L$11,1,0),IF('Reverse Search'!$K$11="≤",IF(L252&lt;='Reverse Search'!$L$11,1,0),IF(L252='Reverse Search'!$L$11,1,0)))))</f>
        <v>1</v>
      </c>
      <c r="Z252" s="0" t="n">
        <f aca="true">IF('Reverse Search'!$C$14="Disable",1,IF('Reverse Search'!$D$16="Disable",1,IF($C$2=3,IF($M252=0,0,COUNTIF(INDIRECT("'0.0.2 Pokémon Learnset (Core)'!$D$"&amp;MATCH($E252,'0.0.2 Pokémon Learnset (Core)'!$A$1:$A951,0)&amp;":$FK$"&amp;MATCH($E252,'0.0.2 Pokémon Learnset (Core)'!$A$1:$A951,0)),'Reverse Search'!$E$21)),IF($C$2=2,COUNTIF(INDIRECT("'0.1.1 Pokémon GO Moves'!$B$"&amp;MATCH($E252,'0.1.1 Pokémon GO Moves'!$A$1:$A951,0)&amp;":$R$"&amp;MATCH($E252,'0.1.1 Pokémon GO Moves'!$A$1:$A951,0)),'Reverse Search'!$E$21),COUNTIF(INDIRECT("'0.1.1 Pokémon GO Moves'!$B$"&amp;MATCH($E252,'0.1.1 Pokémon GO Moves'!$A$1:$A951,0)&amp;":$L$"&amp;MATCH($E252,'0.1.1 Pokémon GO Moves'!$A$1:$A951,0)),'Reverse Search'!$E$21)))))</f>
        <v>1</v>
      </c>
      <c r="AA252" s="0" t="e">
        <f aca="true">IF('Reverse Search'!$C$14="Disable",1,IF('Reverse Search'!$I$16="Disable",1,IF($D$2=3,IF($M252=0,0,COUNTIF(INDIRECT("'0.0.2 Pokémon Learnset (Core)'!$D$"&amp;MATCH($E252,'0.0.2 Pokémon Learnset (Core)'!$A$1:$A951,0)&amp;":$FK$"&amp;MATCH($E252,'0.0.2 Pokémon Learnset (Core)'!$A$1:$A951,0)),'Reverse Search'!$J$21)),IF($D$2=2,COUNTIF(INDIRECT("'0.1.1 Pokémon GO Moves'!$B$"&amp;MATCH($E252,'0.1.1 Pokémon GO Moves'!$A$1:$A951,0)&amp;":$R$"&amp;MATCH($E252,'0.1.1 Pokémon GO Moves'!$A$1:$A951,0)),'Reverse Search'!$J$21),COUNTIF(INDIRECT("'0.1.1 Pokémon GO Moves'!$B$"&amp;MATCH($E252,'0.1.1 Pokémon GO Moves'!$A$1:$A951,0)&amp;":$L$"&amp;MATCH($E252,'0.1.1 Pokémon GO Moves'!$A$1:$A951,0)),'Reverse Search'!$J$21)))))</f>
        <v>#N/A</v>
      </c>
      <c r="AB252" s="490"/>
      <c r="AC252" s="260" t="e">
        <f aca="false">IF((Q252+R252+S252+V252+W252+X252+Y252+IF(Z252&gt;=1,1,0)+IF(AA252&gt;=1,1,0))=9,G252&amp;", ",)</f>
        <v>#N/A</v>
      </c>
    </row>
    <row r="253" customFormat="false" ht="15.75" hidden="false" customHeight="false" outlineLevel="0" collapsed="false">
      <c r="A253" s="260"/>
      <c r="B253" s="358"/>
      <c r="C253" s="260"/>
      <c r="D253" s="358"/>
      <c r="E253" s="260" t="n">
        <v>252</v>
      </c>
      <c r="F253" s="260" t="n">
        <f aca="false" t="array" ref="F253:F253">INDEX('0.0.1 Pokémon Dex Data'!$H$3:$H951,MATCH(E253,'0.0.1 Pokémon Dex Data'!$B$3:$B951,0))</f>
        <v>0</v>
      </c>
      <c r="G253" s="0" t="str">
        <f aca="false" t="array" ref="G253:G253">INDEX('0.0.1 Pokémon Dex Data'!$E$3:$E951,MATCH(E253,'0.0.1 Pokémon Dex Data'!$B$3:$B951,0))</f>
        <v>Sneasel</v>
      </c>
      <c r="H253" s="0" t="str">
        <f aca="false" t="array" ref="H253:H253">INDEX('0.0.1 Pokémon Dex Data'!$Q$3:$Q951,MATCH(E253,'0.0.1 Pokémon Dex Data'!$B$3:$B951,0))</f>
        <v>Dark</v>
      </c>
      <c r="I253" s="0" t="str">
        <f aca="false" t="array" ref="I253:I253">INDEX('0.0.1 Pokémon Dex Data'!$R$3:$R951,MATCH(E253,'0.0.1 Pokémon Dex Data'!$B$3:$B951,0))</f>
        <v>Ice</v>
      </c>
      <c r="J253" s="260" t="n">
        <f aca="false" t="array" ref="J253:J253">ROUND(INDEX('0.0.1 Pokémon Dex Data'!$S$3:$S951,MATCH($E253,'0.0.1 Pokémon Dex Data'!$B$3:$B951,0))*INDEX('0.0.1 Pokémon Dex Data'!T$3:T951,MATCH($E253,'0.0.1 Pokémon Dex Data'!$B$3:$B951,0)),0)</f>
        <v>189</v>
      </c>
      <c r="K253" s="260" t="n">
        <f aca="false" t="array" ref="K253:K253">ROUND(INDEX('0.0.1 Pokémon Dex Data'!$S$3:$S951,MATCH($E253,'0.0.1 Pokémon Dex Data'!$B$3:$B951,0))*INDEX('0.0.1 Pokémon Dex Data'!U$3:U951,MATCH($E253,'0.0.1 Pokémon Dex Data'!$B$3:$B951,0)),0)</f>
        <v>146</v>
      </c>
      <c r="L253" s="260" t="n">
        <f aca="false" t="array" ref="L253:L253">ROUND(INDEX('0.0.1 Pokémon Dex Data'!$S$3:$S951,MATCH($E253,'0.0.1 Pokémon Dex Data'!$B$3:$B951,0))*INDEX('0.0.1 Pokémon Dex Data'!V$3:V951,MATCH($E253,'0.0.1 Pokémon Dex Data'!$B$3:$B951,0)),0)</f>
        <v>146</v>
      </c>
      <c r="M253" s="260" t="n">
        <f aca="false" t="array" ref="M253:M253">INDEX('0.0.1 Pokémon Dex Data'!$J$3:$J951,MATCH(E253,'0.0.1 Pokémon Dex Data'!$B$3:$B951,0))</f>
        <v>1</v>
      </c>
      <c r="O253" s="490"/>
      <c r="Q253" s="367" t="n">
        <f aca="false">IF('Reverse Search'!$F$4="All (including temporary formes)",1,IF('Reverse Search'!$F$4="Base Pokémon and permanent formes only",IF(F253&lt;=1,1,0),IF(F253=0,1,0)))</f>
        <v>1</v>
      </c>
      <c r="R253" s="0" t="n">
        <f aca="false">IF('Reverse Search'!$C$7="Disable",1,IF('Reverse Search'!$D$9="Disable",1,IF(OR('Reverse Search'!$F$9=H253,'Reverse Search'!$F$9=I253),1,0)))</f>
        <v>1</v>
      </c>
      <c r="S253" s="0" t="n">
        <f aca="false">IF('Reverse Search'!$C$7="Disable",1,IF('Reverse Search'!$D$10="Disable",1,IF(OR('Reverse Search'!$F$10=H253,'Reverse Search'!$F$10=I253),1,0)))</f>
        <v>1</v>
      </c>
      <c r="T253" s="0" t="n">
        <f aca="false">INDEX($B$4:$B$22,MATCH(H253,$A$4:$A$22,0))</f>
        <v>1</v>
      </c>
      <c r="U253" s="0" t="n">
        <f aca="false">IF(ISBLANK(I253),1,INDEX($B$4:$B$22,MATCH(I253,$A$4:$A$22,0)))</f>
        <v>1</v>
      </c>
      <c r="V253" s="367" t="n">
        <f aca="false">IF('Reverse Search'!$C$7="Disable",1,IF('Reverse Search'!$D$11="Disable",1,IF('Reverse Search'!$E$11="Neutral to:",IF(ROUND(T253*U253,2)&lt;=1,1,0),IF(ROUND(T253*U253,2)&lt;1,1,0))))</f>
        <v>1</v>
      </c>
      <c r="W253" s="0" t="n">
        <f aca="false">IF('Reverse Search'!$N$7="Disable",1,IF('Reverse Search'!$I$9="Disable",1,IF('Reverse Search'!$K$9="≥",IF(J253&gt;='Reverse Search'!$L$9,1,0),IF('Reverse Search'!$K$9="≤",IF(J253&lt;='Reverse Search'!$L$9,1,0),IF(J253='Reverse Search'!$L$9,1,0)))))</f>
        <v>1</v>
      </c>
      <c r="X253" s="0" t="n">
        <f aca="false">IF('Reverse Search'!$N$7="Disable",1,IF('Reverse Search'!$I$10="Disable",1,IF('Reverse Search'!$K$10="≥",IF(K253&gt;='Reverse Search'!$L$10,1,0),IF('Reverse Search'!$K$10="≤",IF(K253&lt;='Reverse Search'!$L$10,1,0),IF(K253='Reverse Search'!$L$10,1,0)))))</f>
        <v>1</v>
      </c>
      <c r="Y253" s="367" t="n">
        <f aca="false">IF('Reverse Search'!$N$7="Disable",1,IF('Reverse Search'!$I$11="Disable",1,IF('Reverse Search'!$K$11="≥",IF(L253&gt;='Reverse Search'!$L$11,1,0),IF('Reverse Search'!$K$11="≤",IF(L253&lt;='Reverse Search'!$L$11,1,0),IF(L253='Reverse Search'!$L$11,1,0)))))</f>
        <v>1</v>
      </c>
      <c r="Z253" s="0" t="n">
        <f aca="true">IF('Reverse Search'!$C$14="Disable",1,IF('Reverse Search'!$D$16="Disable",1,IF($C$2=3,IF($M253=0,0,COUNTIF(INDIRECT("'0.0.2 Pokémon Learnset (Core)'!$D$"&amp;MATCH($E253,'0.0.2 Pokémon Learnset (Core)'!$A$1:$A951,0)&amp;":$FK$"&amp;MATCH($E253,'0.0.2 Pokémon Learnset (Core)'!$A$1:$A951,0)),'Reverse Search'!$E$21)),IF($C$2=2,COUNTIF(INDIRECT("'0.1.1 Pokémon GO Moves'!$B$"&amp;MATCH($E253,'0.1.1 Pokémon GO Moves'!$A$1:$A951,0)&amp;":$R$"&amp;MATCH($E253,'0.1.1 Pokémon GO Moves'!$A$1:$A951,0)),'Reverse Search'!$E$21),COUNTIF(INDIRECT("'0.1.1 Pokémon GO Moves'!$B$"&amp;MATCH($E253,'0.1.1 Pokémon GO Moves'!$A$1:$A951,0)&amp;":$L$"&amp;MATCH($E253,'0.1.1 Pokémon GO Moves'!$A$1:$A951,0)),'Reverse Search'!$E$21)))))</f>
        <v>1</v>
      </c>
      <c r="AA253" s="0" t="n">
        <f aca="true">IF('Reverse Search'!$C$14="Disable",1,IF('Reverse Search'!$I$16="Disable",1,IF($D$2=3,IF($M253=0,0,COUNTIF(INDIRECT("'0.0.2 Pokémon Learnset (Core)'!$D$"&amp;MATCH($E253,'0.0.2 Pokémon Learnset (Core)'!$A$1:$A951,0)&amp;":$FK$"&amp;MATCH($E253,'0.0.2 Pokémon Learnset (Core)'!$A$1:$A951,0)),'Reverse Search'!$J$21)),IF($D$2=2,COUNTIF(INDIRECT("'0.1.1 Pokémon GO Moves'!$B$"&amp;MATCH($E253,'0.1.1 Pokémon GO Moves'!$A$1:$A951,0)&amp;":$R$"&amp;MATCH($E253,'0.1.1 Pokémon GO Moves'!$A$1:$A951,0)),'Reverse Search'!$J$21),COUNTIF(INDIRECT("'0.1.1 Pokémon GO Moves'!$B$"&amp;MATCH($E253,'0.1.1 Pokémon GO Moves'!$A$1:$A951,0)&amp;":$L$"&amp;MATCH($E253,'0.1.1 Pokémon GO Moves'!$A$1:$A951,0)),'Reverse Search'!$J$21)))))</f>
        <v>0</v>
      </c>
      <c r="AB253" s="490"/>
      <c r="AC253" s="260" t="n">
        <f aca="false">IF((Q253+R253+S253+V253+W253+X253+Y253+IF(Z253&gt;=1,1,0)+IF(AA253&gt;=1,1,0))=9,G253&amp;", ",)</f>
        <v>0</v>
      </c>
    </row>
    <row r="254" customFormat="false" ht="15.75" hidden="false" customHeight="false" outlineLevel="0" collapsed="false">
      <c r="A254" s="260"/>
      <c r="B254" s="358"/>
      <c r="C254" s="260"/>
      <c r="D254" s="358"/>
      <c r="E254" s="260" t="n">
        <v>253</v>
      </c>
      <c r="F254" s="260" t="n">
        <f aca="false" t="array" ref="F254:F254">INDEX('0.0.1 Pokémon Dex Data'!$H$3:$H951,MATCH(E254,'0.0.1 Pokémon Dex Data'!$B$3:$B951,0))</f>
        <v>0</v>
      </c>
      <c r="G254" s="0" t="str">
        <f aca="false" t="array" ref="G254:G254">INDEX('0.0.1 Pokémon Dex Data'!$E$3:$E951,MATCH(E254,'0.0.1 Pokémon Dex Data'!$B$3:$B951,0))</f>
        <v>Teddiursa</v>
      </c>
      <c r="H254" s="0" t="str">
        <f aca="false" t="array" ref="H254:H254">INDEX('0.0.1 Pokémon Dex Data'!$Q$3:$Q951,MATCH(E254,'0.0.1 Pokémon Dex Data'!$B$3:$B951,0))</f>
        <v>Normal</v>
      </c>
      <c r="I254" s="0" t="n">
        <f aca="false">INDEX('0.0.1 Pokémon Dex Data'!$R$3:$R951,MATCH(E254,'0.0.1 Pokémon Dex Data'!$B$3:$B951,0))</f>
        <v>0</v>
      </c>
      <c r="J254" s="260" t="n">
        <f aca="false" t="array" ref="J254:J254">ROUND(INDEX('0.0.1 Pokémon Dex Data'!$S$3:$S951,MATCH($E254,'0.0.1 Pokémon Dex Data'!$B$3:$B951,0))*INDEX('0.0.1 Pokémon Dex Data'!T$3:T951,MATCH($E254,'0.0.1 Pokémon Dex Data'!$B$3:$B951,0)),0)</f>
        <v>142</v>
      </c>
      <c r="K254" s="260" t="n">
        <f aca="false" t="array" ref="K254:K254">ROUND(INDEX('0.0.1 Pokémon Dex Data'!$S$3:$S951,MATCH($E254,'0.0.1 Pokémon Dex Data'!$B$3:$B951,0))*INDEX('0.0.1 Pokémon Dex Data'!U$3:U951,MATCH($E254,'0.0.1 Pokémon Dex Data'!$B$3:$B951,0)),0)</f>
        <v>93</v>
      </c>
      <c r="L254" s="260" t="n">
        <f aca="false" t="array" ref="L254:L254">ROUND(INDEX('0.0.1 Pokémon Dex Data'!$S$3:$S951,MATCH($E254,'0.0.1 Pokémon Dex Data'!$B$3:$B951,0))*INDEX('0.0.1 Pokémon Dex Data'!V$3:V951,MATCH($E254,'0.0.1 Pokémon Dex Data'!$B$3:$B951,0)),0)</f>
        <v>155</v>
      </c>
      <c r="M254" s="260" t="n">
        <f aca="false" t="array" ref="M254:M254">INDEX('0.0.1 Pokémon Dex Data'!$J$3:$J951,MATCH(E254,'0.0.1 Pokémon Dex Data'!$B$3:$B951,0))</f>
        <v>0</v>
      </c>
      <c r="O254" s="490"/>
      <c r="Q254" s="367" t="n">
        <f aca="false">IF('Reverse Search'!$F$4="All (including temporary formes)",1,IF('Reverse Search'!$F$4="Base Pokémon and permanent formes only",IF(F254&lt;=1,1,0),IF(F254=0,1,0)))</f>
        <v>1</v>
      </c>
      <c r="R254" s="0" t="n">
        <f aca="false">IF('Reverse Search'!$C$7="Disable",1,IF('Reverse Search'!$D$9="Disable",1,IF(OR('Reverse Search'!$F$9=H254,'Reverse Search'!$F$9=I254),1,0)))</f>
        <v>1</v>
      </c>
      <c r="S254" s="0" t="n">
        <f aca="false">IF('Reverse Search'!$C$7="Disable",1,IF('Reverse Search'!$D$10="Disable",1,IF(OR('Reverse Search'!$F$10=H254,'Reverse Search'!$F$10=I254),1,0)))</f>
        <v>1</v>
      </c>
      <c r="T254" s="0" t="n">
        <f aca="false">INDEX($B$4:$B$22,MATCH(H254,$A$4:$A$22,0))</f>
        <v>1</v>
      </c>
      <c r="U254" s="0" t="e">
        <f aca="false">IF(ISBLANK(I254),1,INDEX($B$4:$B$22,MATCH(I254,$A$4:$A$22,0)))</f>
        <v>#N/A</v>
      </c>
      <c r="V254" s="367" t="n">
        <f aca="false">IF('Reverse Search'!$C$7="Disable",1,IF('Reverse Search'!$D$11="Disable",1,IF('Reverse Search'!$E$11="Neutral to:",IF(ROUND(T254*U254,2)&lt;=1,1,0),IF(ROUND(T254*U254,2)&lt;1,1,0))))</f>
        <v>1</v>
      </c>
      <c r="W254" s="0" t="n">
        <f aca="false">IF('Reverse Search'!$N$7="Disable",1,IF('Reverse Search'!$I$9="Disable",1,IF('Reverse Search'!$K$9="≥",IF(J254&gt;='Reverse Search'!$L$9,1,0),IF('Reverse Search'!$K$9="≤",IF(J254&lt;='Reverse Search'!$L$9,1,0),IF(J254='Reverse Search'!$L$9,1,0)))))</f>
        <v>1</v>
      </c>
      <c r="X254" s="0" t="n">
        <f aca="false">IF('Reverse Search'!$N$7="Disable",1,IF('Reverse Search'!$I$10="Disable",1,IF('Reverse Search'!$K$10="≥",IF(K254&gt;='Reverse Search'!$L$10,1,0),IF('Reverse Search'!$K$10="≤",IF(K254&lt;='Reverse Search'!$L$10,1,0),IF(K254='Reverse Search'!$L$10,1,0)))))</f>
        <v>1</v>
      </c>
      <c r="Y254" s="367" t="n">
        <f aca="false">IF('Reverse Search'!$N$7="Disable",1,IF('Reverse Search'!$I$11="Disable",1,IF('Reverse Search'!$K$11="≥",IF(L254&gt;='Reverse Search'!$L$11,1,0),IF('Reverse Search'!$K$11="≤",IF(L254&lt;='Reverse Search'!$L$11,1,0),IF(L254='Reverse Search'!$L$11,1,0)))))</f>
        <v>1</v>
      </c>
      <c r="Z254" s="0" t="n">
        <f aca="true">IF('Reverse Search'!$C$14="Disable",1,IF('Reverse Search'!$D$16="Disable",1,IF($C$2=3,IF($M254=0,0,COUNTIF(INDIRECT("'0.0.2 Pokémon Learnset (Core)'!$D$"&amp;MATCH($E254,'0.0.2 Pokémon Learnset (Core)'!$A$1:$A951,0)&amp;":$FK$"&amp;MATCH($E254,'0.0.2 Pokémon Learnset (Core)'!$A$1:$A951,0)),'Reverse Search'!$E$21)),IF($C$2=2,COUNTIF(INDIRECT("'0.1.1 Pokémon GO Moves'!$B$"&amp;MATCH($E254,'0.1.1 Pokémon GO Moves'!$A$1:$A951,0)&amp;":$R$"&amp;MATCH($E254,'0.1.1 Pokémon GO Moves'!$A$1:$A951,0)),'Reverse Search'!$E$21),COUNTIF(INDIRECT("'0.1.1 Pokémon GO Moves'!$B$"&amp;MATCH($E254,'0.1.1 Pokémon GO Moves'!$A$1:$A951,0)&amp;":$L$"&amp;MATCH($E254,'0.1.1 Pokémon GO Moves'!$A$1:$A951,0)),'Reverse Search'!$E$21)))))</f>
        <v>1</v>
      </c>
      <c r="AA254" s="0" t="n">
        <f aca="true">IF('Reverse Search'!$C$14="Disable",1,IF('Reverse Search'!$I$16="Disable",1,IF($D$2=3,IF($M254=0,0,COUNTIF(INDIRECT("'0.0.2 Pokémon Learnset (Core)'!$D$"&amp;MATCH($E254,'0.0.2 Pokémon Learnset (Core)'!$A$1:$A951,0)&amp;":$FK$"&amp;MATCH($E254,'0.0.2 Pokémon Learnset (Core)'!$A$1:$A951,0)),'Reverse Search'!$J$21)),IF($D$2=2,COUNTIF(INDIRECT("'0.1.1 Pokémon GO Moves'!$B$"&amp;MATCH($E254,'0.1.1 Pokémon GO Moves'!$A$1:$A951,0)&amp;":$R$"&amp;MATCH($E254,'0.1.1 Pokémon GO Moves'!$A$1:$A951,0)),'Reverse Search'!$J$21),COUNTIF(INDIRECT("'0.1.1 Pokémon GO Moves'!$B$"&amp;MATCH($E254,'0.1.1 Pokémon GO Moves'!$A$1:$A951,0)&amp;":$L$"&amp;MATCH($E254,'0.1.1 Pokémon GO Moves'!$A$1:$A951,0)),'Reverse Search'!$J$21)))))</f>
        <v>0</v>
      </c>
      <c r="AB254" s="490"/>
      <c r="AC254" s="260" t="n">
        <f aca="false">IF((Q254+R254+S254+V254+W254+X254+Y254+IF(Z254&gt;=1,1,0)+IF(AA254&gt;=1,1,0))=9,G254&amp;", ",)</f>
        <v>0</v>
      </c>
    </row>
    <row r="255" customFormat="false" ht="15.75" hidden="false" customHeight="false" outlineLevel="0" collapsed="false">
      <c r="A255" s="260"/>
      <c r="B255" s="358"/>
      <c r="C255" s="260"/>
      <c r="D255" s="358"/>
      <c r="E255" s="260" t="n">
        <v>254</v>
      </c>
      <c r="F255" s="260" t="n">
        <f aca="false" t="array" ref="F255:F255">INDEX('0.0.1 Pokémon Dex Data'!$H$3:$H951,MATCH(E255,'0.0.1 Pokémon Dex Data'!$B$3:$B951,0))</f>
        <v>0</v>
      </c>
      <c r="G255" s="0" t="str">
        <f aca="false" t="array" ref="G255:G255">INDEX('0.0.1 Pokémon Dex Data'!$E$3:$E951,MATCH(E255,'0.0.1 Pokémon Dex Data'!$B$3:$B951,0))</f>
        <v>Ursaring</v>
      </c>
      <c r="H255" s="0" t="str">
        <f aca="false" t="array" ref="H255:H255">INDEX('0.0.1 Pokémon Dex Data'!$Q$3:$Q951,MATCH(E255,'0.0.1 Pokémon Dex Data'!$B$3:$B951,0))</f>
        <v>Normal</v>
      </c>
      <c r="I255" s="0" t="n">
        <f aca="false">INDEX('0.0.1 Pokémon Dex Data'!$R$3:$R951,MATCH(E255,'0.0.1 Pokémon Dex Data'!$B$3:$B951,0))</f>
        <v>0</v>
      </c>
      <c r="J255" s="260" t="n">
        <f aca="false" t="array" ref="J255:J255">ROUND(INDEX('0.0.1 Pokémon Dex Data'!$S$3:$S951,MATCH($E255,'0.0.1 Pokémon Dex Data'!$B$3:$B951,0))*INDEX('0.0.1 Pokémon Dex Data'!T$3:T951,MATCH($E255,'0.0.1 Pokémon Dex Data'!$B$3:$B951,0)),0)</f>
        <v>236</v>
      </c>
      <c r="K255" s="260" t="n">
        <f aca="false" t="array" ref="K255:K255">ROUND(INDEX('0.0.1 Pokémon Dex Data'!$S$3:$S951,MATCH($E255,'0.0.1 Pokémon Dex Data'!$B$3:$B951,0))*INDEX('0.0.1 Pokémon Dex Data'!U$3:U951,MATCH($E255,'0.0.1 Pokémon Dex Data'!$B$3:$B951,0)),0)</f>
        <v>144</v>
      </c>
      <c r="L255" s="260" t="n">
        <f aca="false" t="array" ref="L255:L255">ROUND(INDEX('0.0.1 Pokémon Dex Data'!$S$3:$S951,MATCH($E255,'0.0.1 Pokémon Dex Data'!$B$3:$B951,0))*INDEX('0.0.1 Pokémon Dex Data'!V$3:V951,MATCH($E255,'0.0.1 Pokémon Dex Data'!$B$3:$B951,0)),0)</f>
        <v>207</v>
      </c>
      <c r="M255" s="260" t="n">
        <f aca="false" t="array" ref="M255:M255">INDEX('0.0.1 Pokémon Dex Data'!$J$3:$J951,MATCH(E255,'0.0.1 Pokémon Dex Data'!$B$3:$B951,0))</f>
        <v>1</v>
      </c>
      <c r="O255" s="490"/>
      <c r="Q255" s="367" t="n">
        <f aca="false">IF('Reverse Search'!$F$4="All (including temporary formes)",1,IF('Reverse Search'!$F$4="Base Pokémon and permanent formes only",IF(F255&lt;=1,1,0),IF(F255=0,1,0)))</f>
        <v>1</v>
      </c>
      <c r="R255" s="0" t="n">
        <f aca="false">IF('Reverse Search'!$C$7="Disable",1,IF('Reverse Search'!$D$9="Disable",1,IF(OR('Reverse Search'!$F$9=H255,'Reverse Search'!$F$9=I255),1,0)))</f>
        <v>1</v>
      </c>
      <c r="S255" s="0" t="n">
        <f aca="false">IF('Reverse Search'!$C$7="Disable",1,IF('Reverse Search'!$D$10="Disable",1,IF(OR('Reverse Search'!$F$10=H255,'Reverse Search'!$F$10=I255),1,0)))</f>
        <v>1</v>
      </c>
      <c r="T255" s="0" t="n">
        <f aca="false">INDEX($B$4:$B$22,MATCH(H255,$A$4:$A$22,0))</f>
        <v>1</v>
      </c>
      <c r="U255" s="0" t="e">
        <f aca="false">IF(ISBLANK(I255),1,INDEX($B$4:$B$22,MATCH(I255,$A$4:$A$22,0)))</f>
        <v>#N/A</v>
      </c>
      <c r="V255" s="367" t="n">
        <f aca="false">IF('Reverse Search'!$C$7="Disable",1,IF('Reverse Search'!$D$11="Disable",1,IF('Reverse Search'!$E$11="Neutral to:",IF(ROUND(T255*U255,2)&lt;=1,1,0),IF(ROUND(T255*U255,2)&lt;1,1,0))))</f>
        <v>1</v>
      </c>
      <c r="W255" s="0" t="n">
        <f aca="false">IF('Reverse Search'!$N$7="Disable",1,IF('Reverse Search'!$I$9="Disable",1,IF('Reverse Search'!$K$9="≥",IF(J255&gt;='Reverse Search'!$L$9,1,0),IF('Reverse Search'!$K$9="≤",IF(J255&lt;='Reverse Search'!$L$9,1,0),IF(J255='Reverse Search'!$L$9,1,0)))))</f>
        <v>1</v>
      </c>
      <c r="X255" s="0" t="n">
        <f aca="false">IF('Reverse Search'!$N$7="Disable",1,IF('Reverse Search'!$I$10="Disable",1,IF('Reverse Search'!$K$10="≥",IF(K255&gt;='Reverse Search'!$L$10,1,0),IF('Reverse Search'!$K$10="≤",IF(K255&lt;='Reverse Search'!$L$10,1,0),IF(K255='Reverse Search'!$L$10,1,0)))))</f>
        <v>1</v>
      </c>
      <c r="Y255" s="367" t="n">
        <f aca="false">IF('Reverse Search'!$N$7="Disable",1,IF('Reverse Search'!$I$11="Disable",1,IF('Reverse Search'!$K$11="≥",IF(L255&gt;='Reverse Search'!$L$11,1,0),IF('Reverse Search'!$K$11="≤",IF(L255&lt;='Reverse Search'!$L$11,1,0),IF(L255='Reverse Search'!$L$11,1,0)))))</f>
        <v>1</v>
      </c>
      <c r="Z255" s="0" t="n">
        <f aca="true">IF('Reverse Search'!$C$14="Disable",1,IF('Reverse Search'!$D$16="Disable",1,IF($C$2=3,IF($M255=0,0,COUNTIF(INDIRECT("'0.0.2 Pokémon Learnset (Core)'!$D$"&amp;MATCH($E255,'0.0.2 Pokémon Learnset (Core)'!$A$1:$A951,0)&amp;":$FK$"&amp;MATCH($E255,'0.0.2 Pokémon Learnset (Core)'!$A$1:$A951,0)),'Reverse Search'!$E$21)),IF($C$2=2,COUNTIF(INDIRECT("'0.1.1 Pokémon GO Moves'!$B$"&amp;MATCH($E255,'0.1.1 Pokémon GO Moves'!$A$1:$A951,0)&amp;":$R$"&amp;MATCH($E255,'0.1.1 Pokémon GO Moves'!$A$1:$A951,0)),'Reverse Search'!$E$21),COUNTIF(INDIRECT("'0.1.1 Pokémon GO Moves'!$B$"&amp;MATCH($E255,'0.1.1 Pokémon GO Moves'!$A$1:$A951,0)&amp;":$L$"&amp;MATCH($E255,'0.1.1 Pokémon GO Moves'!$A$1:$A951,0)),'Reverse Search'!$E$21)))))</f>
        <v>1</v>
      </c>
      <c r="AA255" s="0" t="n">
        <f aca="true">IF('Reverse Search'!$C$14="Disable",1,IF('Reverse Search'!$I$16="Disable",1,IF($D$2=3,IF($M255=0,0,COUNTIF(INDIRECT("'0.0.2 Pokémon Learnset (Core)'!$D$"&amp;MATCH($E255,'0.0.2 Pokémon Learnset (Core)'!$A$1:$A951,0)&amp;":$FK$"&amp;MATCH($E255,'0.0.2 Pokémon Learnset (Core)'!$A$1:$A951,0)),'Reverse Search'!$J$21)),IF($D$2=2,COUNTIF(INDIRECT("'0.1.1 Pokémon GO Moves'!$B$"&amp;MATCH($E255,'0.1.1 Pokémon GO Moves'!$A$1:$A951,0)&amp;":$R$"&amp;MATCH($E255,'0.1.1 Pokémon GO Moves'!$A$1:$A951,0)),'Reverse Search'!$J$21),COUNTIF(INDIRECT("'0.1.1 Pokémon GO Moves'!$B$"&amp;MATCH($E255,'0.1.1 Pokémon GO Moves'!$A$1:$A951,0)&amp;":$L$"&amp;MATCH($E255,'0.1.1 Pokémon GO Moves'!$A$1:$A951,0)),'Reverse Search'!$J$21)))))</f>
        <v>0</v>
      </c>
      <c r="AB255" s="490"/>
      <c r="AC255" s="260" t="n">
        <f aca="false">IF((Q255+R255+S255+V255+W255+X255+Y255+IF(Z255&gt;=1,1,0)+IF(AA255&gt;=1,1,0))=9,G255&amp;", ",)</f>
        <v>0</v>
      </c>
    </row>
    <row r="256" customFormat="false" ht="15.75" hidden="false" customHeight="false" outlineLevel="0" collapsed="false">
      <c r="A256" s="260"/>
      <c r="B256" s="358"/>
      <c r="C256" s="260"/>
      <c r="D256" s="358"/>
      <c r="E256" s="260" t="n">
        <v>255</v>
      </c>
      <c r="F256" s="260" t="n">
        <f aca="false" t="array" ref="F256:F256">INDEX('0.0.1 Pokémon Dex Data'!$H$3:$H951,MATCH(E256,'0.0.1 Pokémon Dex Data'!$B$3:$B951,0))</f>
        <v>0</v>
      </c>
      <c r="G256" s="0" t="str">
        <f aca="false" t="array" ref="G256:G256">INDEX('0.0.1 Pokémon Dex Data'!$E$3:$E951,MATCH(E256,'0.0.1 Pokémon Dex Data'!$B$3:$B951,0))</f>
        <v>Slugma</v>
      </c>
      <c r="H256" s="0" t="str">
        <f aca="false" t="array" ref="H256:H256">INDEX('0.0.1 Pokémon Dex Data'!$Q$3:$Q951,MATCH(E256,'0.0.1 Pokémon Dex Data'!$B$3:$B951,0))</f>
        <v>Fire</v>
      </c>
      <c r="I256" s="0" t="n">
        <f aca="false">INDEX('0.0.1 Pokémon Dex Data'!$R$3:$R951,MATCH(E256,'0.0.1 Pokémon Dex Data'!$B$3:$B951,0))</f>
        <v>0</v>
      </c>
      <c r="J256" s="260" t="n">
        <f aca="false" t="array" ref="J256:J256">ROUND(INDEX('0.0.1 Pokémon Dex Data'!$S$3:$S951,MATCH($E256,'0.0.1 Pokémon Dex Data'!$B$3:$B951,0))*INDEX('0.0.1 Pokémon Dex Data'!T$3:T951,MATCH($E256,'0.0.1 Pokémon Dex Data'!$B$3:$B951,0)),0)</f>
        <v>118</v>
      </c>
      <c r="K256" s="260" t="n">
        <f aca="false" t="array" ref="K256:K256">ROUND(INDEX('0.0.1 Pokémon Dex Data'!$S$3:$S951,MATCH($E256,'0.0.1 Pokémon Dex Data'!$B$3:$B951,0))*INDEX('0.0.1 Pokémon Dex Data'!U$3:U951,MATCH($E256,'0.0.1 Pokémon Dex Data'!$B$3:$B951,0)),0)</f>
        <v>71</v>
      </c>
      <c r="L256" s="260" t="n">
        <f aca="false" t="array" ref="L256:L256">ROUND(INDEX('0.0.1 Pokémon Dex Data'!$S$3:$S951,MATCH($E256,'0.0.1 Pokémon Dex Data'!$B$3:$B951,0))*INDEX('0.0.1 Pokémon Dex Data'!V$3:V951,MATCH($E256,'0.0.1 Pokémon Dex Data'!$B$3:$B951,0)),0)</f>
        <v>120</v>
      </c>
      <c r="M256" s="260" t="n">
        <f aca="false" t="array" ref="M256:M256">INDEX('0.0.1 Pokémon Dex Data'!$J$3:$J951,MATCH(E256,'0.0.1 Pokémon Dex Data'!$B$3:$B951,0))</f>
        <v>0</v>
      </c>
      <c r="O256" s="490"/>
      <c r="Q256" s="367" t="n">
        <f aca="false">IF('Reverse Search'!$F$4="All (including temporary formes)",1,IF('Reverse Search'!$F$4="Base Pokémon and permanent formes only",IF(F256&lt;=1,1,0),IF(F256=0,1,0)))</f>
        <v>1</v>
      </c>
      <c r="R256" s="0" t="n">
        <f aca="false">IF('Reverse Search'!$C$7="Disable",1,IF('Reverse Search'!$D$9="Disable",1,IF(OR('Reverse Search'!$F$9=H256,'Reverse Search'!$F$9=I256),1,0)))</f>
        <v>1</v>
      </c>
      <c r="S256" s="0" t="n">
        <f aca="false">IF('Reverse Search'!$C$7="Disable",1,IF('Reverse Search'!$D$10="Disable",1,IF(OR('Reverse Search'!$F$10=H256,'Reverse Search'!$F$10=I256),1,0)))</f>
        <v>1</v>
      </c>
      <c r="T256" s="0" t="n">
        <f aca="false">INDEX($B$4:$B$22,MATCH(H256,$A$4:$A$22,0))</f>
        <v>1</v>
      </c>
      <c r="U256" s="0" t="e">
        <f aca="false">IF(ISBLANK(I256),1,INDEX($B$4:$B$22,MATCH(I256,$A$4:$A$22,0)))</f>
        <v>#N/A</v>
      </c>
      <c r="V256" s="367" t="n">
        <f aca="false">IF('Reverse Search'!$C$7="Disable",1,IF('Reverse Search'!$D$11="Disable",1,IF('Reverse Search'!$E$11="Neutral to:",IF(ROUND(T256*U256,2)&lt;=1,1,0),IF(ROUND(T256*U256,2)&lt;1,1,0))))</f>
        <v>1</v>
      </c>
      <c r="W256" s="0" t="n">
        <f aca="false">IF('Reverse Search'!$N$7="Disable",1,IF('Reverse Search'!$I$9="Disable",1,IF('Reverse Search'!$K$9="≥",IF(J256&gt;='Reverse Search'!$L$9,1,0),IF('Reverse Search'!$K$9="≤",IF(J256&lt;='Reverse Search'!$L$9,1,0),IF(J256='Reverse Search'!$L$9,1,0)))))</f>
        <v>1</v>
      </c>
      <c r="X256" s="0" t="n">
        <f aca="false">IF('Reverse Search'!$N$7="Disable",1,IF('Reverse Search'!$I$10="Disable",1,IF('Reverse Search'!$K$10="≥",IF(K256&gt;='Reverse Search'!$L$10,1,0),IF('Reverse Search'!$K$10="≤",IF(K256&lt;='Reverse Search'!$L$10,1,0),IF(K256='Reverse Search'!$L$10,1,0)))))</f>
        <v>1</v>
      </c>
      <c r="Y256" s="367" t="n">
        <f aca="false">IF('Reverse Search'!$N$7="Disable",1,IF('Reverse Search'!$I$11="Disable",1,IF('Reverse Search'!$K$11="≥",IF(L256&gt;='Reverse Search'!$L$11,1,0),IF('Reverse Search'!$K$11="≤",IF(L256&lt;='Reverse Search'!$L$11,1,0),IF(L256='Reverse Search'!$L$11,1,0)))))</f>
        <v>1</v>
      </c>
      <c r="Z256" s="0" t="n">
        <f aca="true">IF('Reverse Search'!$C$14="Disable",1,IF('Reverse Search'!$D$16="Disable",1,IF($C$2=3,IF($M256=0,0,COUNTIF(INDIRECT("'0.0.2 Pokémon Learnset (Core)'!$D$"&amp;MATCH($E256,'0.0.2 Pokémon Learnset (Core)'!$A$1:$A951,0)&amp;":$FK$"&amp;MATCH($E256,'0.0.2 Pokémon Learnset (Core)'!$A$1:$A951,0)),'Reverse Search'!$E$21)),IF($C$2=2,COUNTIF(INDIRECT("'0.1.1 Pokémon GO Moves'!$B$"&amp;MATCH($E256,'0.1.1 Pokémon GO Moves'!$A$1:$A951,0)&amp;":$R$"&amp;MATCH($E256,'0.1.1 Pokémon GO Moves'!$A$1:$A951,0)),'Reverse Search'!$E$21),COUNTIF(INDIRECT("'0.1.1 Pokémon GO Moves'!$B$"&amp;MATCH($E256,'0.1.1 Pokémon GO Moves'!$A$1:$A951,0)&amp;":$L$"&amp;MATCH($E256,'0.1.1 Pokémon GO Moves'!$A$1:$A951,0)),'Reverse Search'!$E$21)))))</f>
        <v>1</v>
      </c>
      <c r="AA256" s="0" t="n">
        <f aca="true">IF('Reverse Search'!$C$14="Disable",1,IF('Reverse Search'!$I$16="Disable",1,IF($D$2=3,IF($M256=0,0,COUNTIF(INDIRECT("'0.0.2 Pokémon Learnset (Core)'!$D$"&amp;MATCH($E256,'0.0.2 Pokémon Learnset (Core)'!$A$1:$A951,0)&amp;":$FK$"&amp;MATCH($E256,'0.0.2 Pokémon Learnset (Core)'!$A$1:$A951,0)),'Reverse Search'!$J$21)),IF($D$2=2,COUNTIF(INDIRECT("'0.1.1 Pokémon GO Moves'!$B$"&amp;MATCH($E256,'0.1.1 Pokémon GO Moves'!$A$1:$A951,0)&amp;":$R$"&amp;MATCH($E256,'0.1.1 Pokémon GO Moves'!$A$1:$A951,0)),'Reverse Search'!$J$21),COUNTIF(INDIRECT("'0.1.1 Pokémon GO Moves'!$B$"&amp;MATCH($E256,'0.1.1 Pokémon GO Moves'!$A$1:$A951,0)&amp;":$L$"&amp;MATCH($E256,'0.1.1 Pokémon GO Moves'!$A$1:$A951,0)),'Reverse Search'!$J$21)))))</f>
        <v>0</v>
      </c>
      <c r="AB256" s="490"/>
      <c r="AC256" s="260" t="n">
        <f aca="false">IF((Q256+R256+S256+V256+W256+X256+Y256+IF(Z256&gt;=1,1,0)+IF(AA256&gt;=1,1,0))=9,G256&amp;", ",)</f>
        <v>0</v>
      </c>
    </row>
    <row r="257" customFormat="false" ht="15.75" hidden="false" customHeight="false" outlineLevel="0" collapsed="false">
      <c r="A257" s="260"/>
      <c r="B257" s="358"/>
      <c r="C257" s="260"/>
      <c r="D257" s="358"/>
      <c r="E257" s="260" t="n">
        <v>256</v>
      </c>
      <c r="F257" s="260" t="n">
        <f aca="false" t="array" ref="F257:F257">INDEX('0.0.1 Pokémon Dex Data'!$H$3:$H951,MATCH(E257,'0.0.1 Pokémon Dex Data'!$B$3:$B951,0))</f>
        <v>0</v>
      </c>
      <c r="G257" s="0" t="str">
        <f aca="false" t="array" ref="G257:G257">INDEX('0.0.1 Pokémon Dex Data'!$E$3:$E951,MATCH(E257,'0.0.1 Pokémon Dex Data'!$B$3:$B951,0))</f>
        <v>Magcargo</v>
      </c>
      <c r="H257" s="0" t="str">
        <f aca="false" t="array" ref="H257:H257">INDEX('0.0.1 Pokémon Dex Data'!$Q$3:$Q951,MATCH(E257,'0.0.1 Pokémon Dex Data'!$B$3:$B951,0))</f>
        <v>Fire</v>
      </c>
      <c r="I257" s="0" t="str">
        <f aca="false" t="array" ref="I257:I257">INDEX('0.0.1 Pokémon Dex Data'!$R$3:$R951,MATCH(E257,'0.0.1 Pokémon Dex Data'!$B$3:$B951,0))</f>
        <v>Rock</v>
      </c>
      <c r="J257" s="260" t="n">
        <f aca="false" t="array" ref="J257:J257">ROUND(INDEX('0.0.1 Pokémon Dex Data'!$S$3:$S951,MATCH($E257,'0.0.1 Pokémon Dex Data'!$B$3:$B951,0))*INDEX('0.0.1 Pokémon Dex Data'!T$3:T951,MATCH($E257,'0.0.1 Pokémon Dex Data'!$B$3:$B951,0)),0)</f>
        <v>139</v>
      </c>
      <c r="K257" s="260" t="n">
        <f aca="false" t="array" ref="K257:K257">ROUND(INDEX('0.0.1 Pokémon Dex Data'!$S$3:$S951,MATCH($E257,'0.0.1 Pokémon Dex Data'!$B$3:$B951,0))*INDEX('0.0.1 Pokémon Dex Data'!U$3:U951,MATCH($E257,'0.0.1 Pokémon Dex Data'!$B$3:$B951,0)),0)</f>
        <v>191</v>
      </c>
      <c r="L257" s="260" t="n">
        <f aca="false" t="array" ref="L257:L257">ROUND(INDEX('0.0.1 Pokémon Dex Data'!$S$3:$S951,MATCH($E257,'0.0.1 Pokémon Dex Data'!$B$3:$B951,0))*INDEX('0.0.1 Pokémon Dex Data'!V$3:V951,MATCH($E257,'0.0.1 Pokémon Dex Data'!$B$3:$B951,0)),0)</f>
        <v>137</v>
      </c>
      <c r="M257" s="260" t="n">
        <f aca="false" t="array" ref="M257:M257">INDEX('0.0.1 Pokémon Dex Data'!$J$3:$J951,MATCH(E257,'0.0.1 Pokémon Dex Data'!$B$3:$B951,0))</f>
        <v>1</v>
      </c>
      <c r="O257" s="490"/>
      <c r="Q257" s="367" t="n">
        <f aca="false">IF('Reverse Search'!$F$4="All (including temporary formes)",1,IF('Reverse Search'!$F$4="Base Pokémon and permanent formes only",IF(F257&lt;=1,1,0),IF(F257=0,1,0)))</f>
        <v>1</v>
      </c>
      <c r="R257" s="0" t="n">
        <f aca="false">IF('Reverse Search'!$C$7="Disable",1,IF('Reverse Search'!$D$9="Disable",1,IF(OR('Reverse Search'!$F$9=H257,'Reverse Search'!$F$9=I257),1,0)))</f>
        <v>1</v>
      </c>
      <c r="S257" s="0" t="n">
        <f aca="false">IF('Reverse Search'!$C$7="Disable",1,IF('Reverse Search'!$D$10="Disable",1,IF(OR('Reverse Search'!$F$10=H257,'Reverse Search'!$F$10=I257),1,0)))</f>
        <v>1</v>
      </c>
      <c r="T257" s="0" t="n">
        <f aca="false">INDEX($B$4:$B$22,MATCH(H257,$A$4:$A$22,0))</f>
        <v>1</v>
      </c>
      <c r="U257" s="0" t="n">
        <f aca="false">IF(ISBLANK(I257),1,INDEX($B$4:$B$22,MATCH(I257,$A$4:$A$22,0)))</f>
        <v>0.714</v>
      </c>
      <c r="V257" s="367" t="n">
        <f aca="false">IF('Reverse Search'!$C$7="Disable",1,IF('Reverse Search'!$D$11="Disable",1,IF('Reverse Search'!$E$11="Neutral to:",IF(ROUND(T257*U257,2)&lt;=1,1,0),IF(ROUND(T257*U257,2)&lt;1,1,0))))</f>
        <v>1</v>
      </c>
      <c r="W257" s="0" t="n">
        <f aca="false">IF('Reverse Search'!$N$7="Disable",1,IF('Reverse Search'!$I$9="Disable",1,IF('Reverse Search'!$K$9="≥",IF(J257&gt;='Reverse Search'!$L$9,1,0),IF('Reverse Search'!$K$9="≤",IF(J257&lt;='Reverse Search'!$L$9,1,0),IF(J257='Reverse Search'!$L$9,1,0)))))</f>
        <v>1</v>
      </c>
      <c r="X257" s="0" t="n">
        <f aca="false">IF('Reverse Search'!$N$7="Disable",1,IF('Reverse Search'!$I$10="Disable",1,IF('Reverse Search'!$K$10="≥",IF(K257&gt;='Reverse Search'!$L$10,1,0),IF('Reverse Search'!$K$10="≤",IF(K257&lt;='Reverse Search'!$L$10,1,0),IF(K257='Reverse Search'!$L$10,1,0)))))</f>
        <v>1</v>
      </c>
      <c r="Y257" s="367" t="n">
        <f aca="false">IF('Reverse Search'!$N$7="Disable",1,IF('Reverse Search'!$I$11="Disable",1,IF('Reverse Search'!$K$11="≥",IF(L257&gt;='Reverse Search'!$L$11,1,0),IF('Reverse Search'!$K$11="≤",IF(L257&lt;='Reverse Search'!$L$11,1,0),IF(L257='Reverse Search'!$L$11,1,0)))))</f>
        <v>1</v>
      </c>
      <c r="Z257" s="0" t="n">
        <f aca="true">IF('Reverse Search'!$C$14="Disable",1,IF('Reverse Search'!$D$16="Disable",1,IF($C$2=3,IF($M257=0,0,COUNTIF(INDIRECT("'0.0.2 Pokémon Learnset (Core)'!$D$"&amp;MATCH($E257,'0.0.2 Pokémon Learnset (Core)'!$A$1:$A951,0)&amp;":$FK$"&amp;MATCH($E257,'0.0.2 Pokémon Learnset (Core)'!$A$1:$A951,0)),'Reverse Search'!$E$21)),IF($C$2=2,COUNTIF(INDIRECT("'0.1.1 Pokémon GO Moves'!$B$"&amp;MATCH($E257,'0.1.1 Pokémon GO Moves'!$A$1:$A951,0)&amp;":$R$"&amp;MATCH($E257,'0.1.1 Pokémon GO Moves'!$A$1:$A951,0)),'Reverse Search'!$E$21),COUNTIF(INDIRECT("'0.1.1 Pokémon GO Moves'!$B$"&amp;MATCH($E257,'0.1.1 Pokémon GO Moves'!$A$1:$A951,0)&amp;":$L$"&amp;MATCH($E257,'0.1.1 Pokémon GO Moves'!$A$1:$A951,0)),'Reverse Search'!$E$21)))))</f>
        <v>1</v>
      </c>
      <c r="AA257" s="0" t="n">
        <f aca="true">IF('Reverse Search'!$C$14="Disable",1,IF('Reverse Search'!$I$16="Disable",1,IF($D$2=3,IF($M257=0,0,COUNTIF(INDIRECT("'0.0.2 Pokémon Learnset (Core)'!$D$"&amp;MATCH($E257,'0.0.2 Pokémon Learnset (Core)'!$A$1:$A951,0)&amp;":$FK$"&amp;MATCH($E257,'0.0.2 Pokémon Learnset (Core)'!$A$1:$A951,0)),'Reverse Search'!$J$21)),IF($D$2=2,COUNTIF(INDIRECT("'0.1.1 Pokémon GO Moves'!$B$"&amp;MATCH($E257,'0.1.1 Pokémon GO Moves'!$A$1:$A951,0)&amp;":$R$"&amp;MATCH($E257,'0.1.1 Pokémon GO Moves'!$A$1:$A951,0)),'Reverse Search'!$J$21),COUNTIF(INDIRECT("'0.1.1 Pokémon GO Moves'!$B$"&amp;MATCH($E257,'0.1.1 Pokémon GO Moves'!$A$1:$A951,0)&amp;":$L$"&amp;MATCH($E257,'0.1.1 Pokémon GO Moves'!$A$1:$A951,0)),'Reverse Search'!$J$21)))))</f>
        <v>0</v>
      </c>
      <c r="AB257" s="490"/>
      <c r="AC257" s="260" t="n">
        <f aca="false">IF((Q257+R257+S257+V257+W257+X257+Y257+IF(Z257&gt;=1,1,0)+IF(AA257&gt;=1,1,0))=9,G257&amp;", ",)</f>
        <v>0</v>
      </c>
    </row>
    <row r="258" customFormat="false" ht="15.75" hidden="false" customHeight="false" outlineLevel="0" collapsed="false">
      <c r="A258" s="260"/>
      <c r="B258" s="358"/>
      <c r="C258" s="260"/>
      <c r="D258" s="358"/>
      <c r="E258" s="260" t="n">
        <v>257</v>
      </c>
      <c r="F258" s="260" t="n">
        <f aca="false" t="array" ref="F258:F258">INDEX('0.0.1 Pokémon Dex Data'!$H$3:$H951,MATCH(E258,'0.0.1 Pokémon Dex Data'!$B$3:$B951,0))</f>
        <v>0</v>
      </c>
      <c r="G258" s="0" t="str">
        <f aca="false" t="array" ref="G258:G258">INDEX('0.0.1 Pokémon Dex Data'!$E$3:$E951,MATCH(E258,'0.0.1 Pokémon Dex Data'!$B$3:$B951,0))</f>
        <v>Swinub</v>
      </c>
      <c r="H258" s="0" t="str">
        <f aca="false" t="array" ref="H258:H258">INDEX('0.0.1 Pokémon Dex Data'!$Q$3:$Q951,MATCH(E258,'0.0.1 Pokémon Dex Data'!$B$3:$B951,0))</f>
        <v>Ice</v>
      </c>
      <c r="I258" s="0" t="str">
        <f aca="false" t="array" ref="I258:I258">INDEX('0.0.1 Pokémon Dex Data'!$R$3:$R951,MATCH(E258,'0.0.1 Pokémon Dex Data'!$B$3:$B951,0))</f>
        <v>Ground</v>
      </c>
      <c r="J258" s="260" t="n">
        <f aca="false" t="array" ref="J258:J258">ROUND(INDEX('0.0.1 Pokémon Dex Data'!$S$3:$S951,MATCH($E258,'0.0.1 Pokémon Dex Data'!$B$3:$B951,0))*INDEX('0.0.1 Pokémon Dex Data'!T$3:T951,MATCH($E258,'0.0.1 Pokémon Dex Data'!$B$3:$B951,0)),0)</f>
        <v>90</v>
      </c>
      <c r="K258" s="260" t="n">
        <f aca="false" t="array" ref="K258:K258">ROUND(INDEX('0.0.1 Pokémon Dex Data'!$S$3:$S951,MATCH($E258,'0.0.1 Pokémon Dex Data'!$B$3:$B951,0))*INDEX('0.0.1 Pokémon Dex Data'!U$3:U951,MATCH($E258,'0.0.1 Pokémon Dex Data'!$B$3:$B951,0)),0)</f>
        <v>69</v>
      </c>
      <c r="L258" s="260" t="n">
        <f aca="false" t="array" ref="L258:L258">ROUND(INDEX('0.0.1 Pokémon Dex Data'!$S$3:$S951,MATCH($E258,'0.0.1 Pokémon Dex Data'!$B$3:$B951,0))*INDEX('0.0.1 Pokémon Dex Data'!V$3:V951,MATCH($E258,'0.0.1 Pokémon Dex Data'!$B$3:$B951,0)),0)</f>
        <v>137</v>
      </c>
      <c r="M258" s="260" t="n">
        <f aca="false" t="array" ref="M258:M258">INDEX('0.0.1 Pokémon Dex Data'!$J$3:$J951,MATCH(E258,'0.0.1 Pokémon Dex Data'!$B$3:$B951,0))</f>
        <v>0</v>
      </c>
      <c r="O258" s="490"/>
      <c r="Q258" s="367" t="n">
        <f aca="false">IF('Reverse Search'!$F$4="All (including temporary formes)",1,IF('Reverse Search'!$F$4="Base Pokémon and permanent formes only",IF(F258&lt;=1,1,0),IF(F258=0,1,0)))</f>
        <v>1</v>
      </c>
      <c r="R258" s="0" t="n">
        <f aca="false">IF('Reverse Search'!$C$7="Disable",1,IF('Reverse Search'!$D$9="Disable",1,IF(OR('Reverse Search'!$F$9=H258,'Reverse Search'!$F$9=I258),1,0)))</f>
        <v>1</v>
      </c>
      <c r="S258" s="0" t="n">
        <f aca="false">IF('Reverse Search'!$C$7="Disable",1,IF('Reverse Search'!$D$10="Disable",1,IF(OR('Reverse Search'!$F$10=H258,'Reverse Search'!$F$10=I258),1,0)))</f>
        <v>1</v>
      </c>
      <c r="T258" s="0" t="n">
        <f aca="false">INDEX($B$4:$B$22,MATCH(H258,$A$4:$A$22,0))</f>
        <v>1</v>
      </c>
      <c r="U258" s="0" t="n">
        <f aca="false">IF(ISBLANK(I258),1,INDEX($B$4:$B$22,MATCH(I258,$A$4:$A$22,0)))</f>
        <v>1</v>
      </c>
      <c r="V258" s="367" t="n">
        <f aca="false">IF('Reverse Search'!$C$7="Disable",1,IF('Reverse Search'!$D$11="Disable",1,IF('Reverse Search'!$E$11="Neutral to:",IF(ROUND(T258*U258,2)&lt;=1,1,0),IF(ROUND(T258*U258,2)&lt;1,1,0))))</f>
        <v>1</v>
      </c>
      <c r="W258" s="0" t="n">
        <f aca="false">IF('Reverse Search'!$N$7="Disable",1,IF('Reverse Search'!$I$9="Disable",1,IF('Reverse Search'!$K$9="≥",IF(J258&gt;='Reverse Search'!$L$9,1,0),IF('Reverse Search'!$K$9="≤",IF(J258&lt;='Reverse Search'!$L$9,1,0),IF(J258='Reverse Search'!$L$9,1,0)))))</f>
        <v>1</v>
      </c>
      <c r="X258" s="0" t="n">
        <f aca="false">IF('Reverse Search'!$N$7="Disable",1,IF('Reverse Search'!$I$10="Disable",1,IF('Reverse Search'!$K$10="≥",IF(K258&gt;='Reverse Search'!$L$10,1,0),IF('Reverse Search'!$K$10="≤",IF(K258&lt;='Reverse Search'!$L$10,1,0),IF(K258='Reverse Search'!$L$10,1,0)))))</f>
        <v>1</v>
      </c>
      <c r="Y258" s="367" t="n">
        <f aca="false">IF('Reverse Search'!$N$7="Disable",1,IF('Reverse Search'!$I$11="Disable",1,IF('Reverse Search'!$K$11="≥",IF(L258&gt;='Reverse Search'!$L$11,1,0),IF('Reverse Search'!$K$11="≤",IF(L258&lt;='Reverse Search'!$L$11,1,0),IF(L258='Reverse Search'!$L$11,1,0)))))</f>
        <v>1</v>
      </c>
      <c r="Z258" s="0" t="n">
        <f aca="true">IF('Reverse Search'!$C$14="Disable",1,IF('Reverse Search'!$D$16="Disable",1,IF($C$2=3,IF($M258=0,0,COUNTIF(INDIRECT("'0.0.2 Pokémon Learnset (Core)'!$D$"&amp;MATCH($E258,'0.0.2 Pokémon Learnset (Core)'!$A$1:$A951,0)&amp;":$FK$"&amp;MATCH($E258,'0.0.2 Pokémon Learnset (Core)'!$A$1:$A951,0)),'Reverse Search'!$E$21)),IF($C$2=2,COUNTIF(INDIRECT("'0.1.1 Pokémon GO Moves'!$B$"&amp;MATCH($E258,'0.1.1 Pokémon GO Moves'!$A$1:$A951,0)&amp;":$R$"&amp;MATCH($E258,'0.1.1 Pokémon GO Moves'!$A$1:$A951,0)),'Reverse Search'!$E$21),COUNTIF(INDIRECT("'0.1.1 Pokémon GO Moves'!$B$"&amp;MATCH($E258,'0.1.1 Pokémon GO Moves'!$A$1:$A951,0)&amp;":$L$"&amp;MATCH($E258,'0.1.1 Pokémon GO Moves'!$A$1:$A951,0)),'Reverse Search'!$E$21)))))</f>
        <v>1</v>
      </c>
      <c r="AA258" s="0" t="n">
        <f aca="true">IF('Reverse Search'!$C$14="Disable",1,IF('Reverse Search'!$I$16="Disable",1,IF($D$2=3,IF($M258=0,0,COUNTIF(INDIRECT("'0.0.2 Pokémon Learnset (Core)'!$D$"&amp;MATCH($E258,'0.0.2 Pokémon Learnset (Core)'!$A$1:$A951,0)&amp;":$FK$"&amp;MATCH($E258,'0.0.2 Pokémon Learnset (Core)'!$A$1:$A951,0)),'Reverse Search'!$J$21)),IF($D$2=2,COUNTIF(INDIRECT("'0.1.1 Pokémon GO Moves'!$B$"&amp;MATCH($E258,'0.1.1 Pokémon GO Moves'!$A$1:$A951,0)&amp;":$R$"&amp;MATCH($E258,'0.1.1 Pokémon GO Moves'!$A$1:$A951,0)),'Reverse Search'!$J$21),COUNTIF(INDIRECT("'0.1.1 Pokémon GO Moves'!$B$"&amp;MATCH($E258,'0.1.1 Pokémon GO Moves'!$A$1:$A951,0)&amp;":$L$"&amp;MATCH($E258,'0.1.1 Pokémon GO Moves'!$A$1:$A951,0)),'Reverse Search'!$J$21)))))</f>
        <v>0</v>
      </c>
      <c r="AB258" s="490"/>
      <c r="AC258" s="260" t="n">
        <f aca="false">IF((Q258+R258+S258+V258+W258+X258+Y258+IF(Z258&gt;=1,1,0)+IF(AA258&gt;=1,1,0))=9,G258&amp;", ",)</f>
        <v>0</v>
      </c>
    </row>
    <row r="259" customFormat="false" ht="15.75" hidden="false" customHeight="false" outlineLevel="0" collapsed="false">
      <c r="A259" s="260"/>
      <c r="B259" s="358"/>
      <c r="C259" s="260"/>
      <c r="D259" s="358"/>
      <c r="E259" s="260" t="n">
        <v>258</v>
      </c>
      <c r="F259" s="260" t="n">
        <f aca="false" t="array" ref="F259:F259">INDEX('0.0.1 Pokémon Dex Data'!$H$3:$H951,MATCH(E259,'0.0.1 Pokémon Dex Data'!$B$3:$B951,0))</f>
        <v>0</v>
      </c>
      <c r="G259" s="0" t="str">
        <f aca="false" t="array" ref="G259:G259">INDEX('0.0.1 Pokémon Dex Data'!$E$3:$E951,MATCH(E259,'0.0.1 Pokémon Dex Data'!$B$3:$B951,0))</f>
        <v>Piloswine</v>
      </c>
      <c r="H259" s="0" t="str">
        <f aca="false" t="array" ref="H259:H259">INDEX('0.0.1 Pokémon Dex Data'!$Q$3:$Q951,MATCH(E259,'0.0.1 Pokémon Dex Data'!$B$3:$B951,0))</f>
        <v>Ice</v>
      </c>
      <c r="I259" s="0" t="str">
        <f aca="false" t="array" ref="I259:I259">INDEX('0.0.1 Pokémon Dex Data'!$R$3:$R951,MATCH(E259,'0.0.1 Pokémon Dex Data'!$B$3:$B951,0))</f>
        <v>Ground</v>
      </c>
      <c r="J259" s="260" t="n">
        <f aca="false" t="array" ref="J259:J259">ROUND(INDEX('0.0.1 Pokémon Dex Data'!$S$3:$S951,MATCH($E259,'0.0.1 Pokémon Dex Data'!$B$3:$B951,0))*INDEX('0.0.1 Pokémon Dex Data'!T$3:T951,MATCH($E259,'0.0.1 Pokémon Dex Data'!$B$3:$B951,0)),0)</f>
        <v>181</v>
      </c>
      <c r="K259" s="260" t="n">
        <f aca="false" t="array" ref="K259:K259">ROUND(INDEX('0.0.1 Pokémon Dex Data'!$S$3:$S951,MATCH($E259,'0.0.1 Pokémon Dex Data'!$B$3:$B951,0))*INDEX('0.0.1 Pokémon Dex Data'!U$3:U951,MATCH($E259,'0.0.1 Pokémon Dex Data'!$B$3:$B951,0)),0)</f>
        <v>138</v>
      </c>
      <c r="L259" s="260" t="n">
        <f aca="false" t="array" ref="L259:L259">ROUND(INDEX('0.0.1 Pokémon Dex Data'!$S$3:$S951,MATCH($E259,'0.0.1 Pokémon Dex Data'!$B$3:$B951,0))*INDEX('0.0.1 Pokémon Dex Data'!V$3:V951,MATCH($E259,'0.0.1 Pokémon Dex Data'!$B$3:$B951,0)),0)</f>
        <v>225</v>
      </c>
      <c r="M259" s="260" t="n">
        <f aca="false" t="array" ref="M259:M259">INDEX('0.0.1 Pokémon Dex Data'!$J$3:$J951,MATCH(E259,'0.0.1 Pokémon Dex Data'!$B$3:$B951,0))</f>
        <v>1</v>
      </c>
      <c r="O259" s="490"/>
      <c r="Q259" s="367" t="n">
        <f aca="false">IF('Reverse Search'!$F$4="All (including temporary formes)",1,IF('Reverse Search'!$F$4="Base Pokémon and permanent formes only",IF(F259&lt;=1,1,0),IF(F259=0,1,0)))</f>
        <v>1</v>
      </c>
      <c r="R259" s="0" t="n">
        <f aca="false">IF('Reverse Search'!$C$7="Disable",1,IF('Reverse Search'!$D$9="Disable",1,IF(OR('Reverse Search'!$F$9=H259,'Reverse Search'!$F$9=I259),1,0)))</f>
        <v>1</v>
      </c>
      <c r="S259" s="0" t="n">
        <f aca="false">IF('Reverse Search'!$C$7="Disable",1,IF('Reverse Search'!$D$10="Disable",1,IF(OR('Reverse Search'!$F$10=H259,'Reverse Search'!$F$10=I259),1,0)))</f>
        <v>1</v>
      </c>
      <c r="T259" s="0" t="n">
        <f aca="false">INDEX($B$4:$B$22,MATCH(H259,$A$4:$A$22,0))</f>
        <v>1</v>
      </c>
      <c r="U259" s="0" t="n">
        <f aca="false">IF(ISBLANK(I259),1,INDEX($B$4:$B$22,MATCH(I259,$A$4:$A$22,0)))</f>
        <v>1</v>
      </c>
      <c r="V259" s="367" t="n">
        <f aca="false">IF('Reverse Search'!$C$7="Disable",1,IF('Reverse Search'!$D$11="Disable",1,IF('Reverse Search'!$E$11="Neutral to:",IF(ROUND(T259*U259,2)&lt;=1,1,0),IF(ROUND(T259*U259,2)&lt;1,1,0))))</f>
        <v>1</v>
      </c>
      <c r="W259" s="0" t="n">
        <f aca="false">IF('Reverse Search'!$N$7="Disable",1,IF('Reverse Search'!$I$9="Disable",1,IF('Reverse Search'!$K$9="≥",IF(J259&gt;='Reverse Search'!$L$9,1,0),IF('Reverse Search'!$K$9="≤",IF(J259&lt;='Reverse Search'!$L$9,1,0),IF(J259='Reverse Search'!$L$9,1,0)))))</f>
        <v>1</v>
      </c>
      <c r="X259" s="0" t="n">
        <f aca="false">IF('Reverse Search'!$N$7="Disable",1,IF('Reverse Search'!$I$10="Disable",1,IF('Reverse Search'!$K$10="≥",IF(K259&gt;='Reverse Search'!$L$10,1,0),IF('Reverse Search'!$K$10="≤",IF(K259&lt;='Reverse Search'!$L$10,1,0),IF(K259='Reverse Search'!$L$10,1,0)))))</f>
        <v>1</v>
      </c>
      <c r="Y259" s="367" t="n">
        <f aca="false">IF('Reverse Search'!$N$7="Disable",1,IF('Reverse Search'!$I$11="Disable",1,IF('Reverse Search'!$K$11="≥",IF(L259&gt;='Reverse Search'!$L$11,1,0),IF('Reverse Search'!$K$11="≤",IF(L259&lt;='Reverse Search'!$L$11,1,0),IF(L259='Reverse Search'!$L$11,1,0)))))</f>
        <v>1</v>
      </c>
      <c r="Z259" s="0" t="n">
        <f aca="true">IF('Reverse Search'!$C$14="Disable",1,IF('Reverse Search'!$D$16="Disable",1,IF($C$2=3,IF($M259=0,0,COUNTIF(INDIRECT("'0.0.2 Pokémon Learnset (Core)'!$D$"&amp;MATCH($E259,'0.0.2 Pokémon Learnset (Core)'!$A$1:$A951,0)&amp;":$FK$"&amp;MATCH($E259,'0.0.2 Pokémon Learnset (Core)'!$A$1:$A951,0)),'Reverse Search'!$E$21)),IF($C$2=2,COUNTIF(INDIRECT("'0.1.1 Pokémon GO Moves'!$B$"&amp;MATCH($E259,'0.1.1 Pokémon GO Moves'!$A$1:$A951,0)&amp;":$R$"&amp;MATCH($E259,'0.1.1 Pokémon GO Moves'!$A$1:$A951,0)),'Reverse Search'!$E$21),COUNTIF(INDIRECT("'0.1.1 Pokémon GO Moves'!$B$"&amp;MATCH($E259,'0.1.1 Pokémon GO Moves'!$A$1:$A951,0)&amp;":$L$"&amp;MATCH($E259,'0.1.1 Pokémon GO Moves'!$A$1:$A951,0)),'Reverse Search'!$E$21)))))</f>
        <v>1</v>
      </c>
      <c r="AA259" s="0" t="n">
        <f aca="true">IF('Reverse Search'!$C$14="Disable",1,IF('Reverse Search'!$I$16="Disable",1,IF($D$2=3,IF($M259=0,0,COUNTIF(INDIRECT("'0.0.2 Pokémon Learnset (Core)'!$D$"&amp;MATCH($E259,'0.0.2 Pokémon Learnset (Core)'!$A$1:$A951,0)&amp;":$FK$"&amp;MATCH($E259,'0.0.2 Pokémon Learnset (Core)'!$A$1:$A951,0)),'Reverse Search'!$J$21)),IF($D$2=2,COUNTIF(INDIRECT("'0.1.1 Pokémon GO Moves'!$B$"&amp;MATCH($E259,'0.1.1 Pokémon GO Moves'!$A$1:$A951,0)&amp;":$R$"&amp;MATCH($E259,'0.1.1 Pokémon GO Moves'!$A$1:$A951,0)),'Reverse Search'!$J$21),COUNTIF(INDIRECT("'0.1.1 Pokémon GO Moves'!$B$"&amp;MATCH($E259,'0.1.1 Pokémon GO Moves'!$A$1:$A951,0)&amp;":$L$"&amp;MATCH($E259,'0.1.1 Pokémon GO Moves'!$A$1:$A951,0)),'Reverse Search'!$J$21)))))</f>
        <v>0</v>
      </c>
      <c r="AB259" s="490"/>
      <c r="AC259" s="260" t="n">
        <f aca="false">IF((Q259+R259+S259+V259+W259+X259+Y259+IF(Z259&gt;=1,1,0)+IF(AA259&gt;=1,1,0))=9,G259&amp;", ",)</f>
        <v>0</v>
      </c>
    </row>
    <row r="260" customFormat="false" ht="15.75" hidden="false" customHeight="false" outlineLevel="0" collapsed="false">
      <c r="A260" s="260"/>
      <c r="B260" s="358"/>
      <c r="C260" s="260"/>
      <c r="D260" s="358"/>
      <c r="E260" s="260" t="n">
        <v>259</v>
      </c>
      <c r="F260" s="260" t="n">
        <f aca="false" t="array" ref="F260:F260">INDEX('0.0.1 Pokémon Dex Data'!$H$3:$H951,MATCH(E260,'0.0.1 Pokémon Dex Data'!$B$3:$B951,0))</f>
        <v>0</v>
      </c>
      <c r="G260" s="0" t="str">
        <f aca="false" t="array" ref="G260:G260">INDEX('0.0.1 Pokémon Dex Data'!$E$3:$E951,MATCH(E260,'0.0.1 Pokémon Dex Data'!$B$3:$B951,0))</f>
        <v>Corsola</v>
      </c>
      <c r="H260" s="0" t="str">
        <f aca="false" t="array" ref="H260:H260">INDEX('0.0.1 Pokémon Dex Data'!$Q$3:$Q951,MATCH(E260,'0.0.1 Pokémon Dex Data'!$B$3:$B951,0))</f>
        <v>Water</v>
      </c>
      <c r="I260" s="0" t="str">
        <f aca="false" t="array" ref="I260:I260">INDEX('0.0.1 Pokémon Dex Data'!$R$3:$R951,MATCH(E260,'0.0.1 Pokémon Dex Data'!$B$3:$B951,0))</f>
        <v>Rock</v>
      </c>
      <c r="J260" s="260" t="n">
        <f aca="false" t="array" ref="J260:J260">ROUND(INDEX('0.0.1 Pokémon Dex Data'!$S$3:$S951,MATCH($E260,'0.0.1 Pokémon Dex Data'!$B$3:$B951,0))*INDEX('0.0.1 Pokémon Dex Data'!T$3:T951,MATCH($E260,'0.0.1 Pokémon Dex Data'!$B$3:$B951,0)),0)</f>
        <v>118</v>
      </c>
      <c r="K260" s="260" t="n">
        <f aca="false" t="array" ref="K260:K260">ROUND(INDEX('0.0.1 Pokémon Dex Data'!$S$3:$S951,MATCH($E260,'0.0.1 Pokémon Dex Data'!$B$3:$B951,0))*INDEX('0.0.1 Pokémon Dex Data'!U$3:U951,MATCH($E260,'0.0.1 Pokémon Dex Data'!$B$3:$B951,0)),0)</f>
        <v>156</v>
      </c>
      <c r="L260" s="260" t="n">
        <f aca="false" t="array" ref="L260:L260">ROUND(INDEX('0.0.1 Pokémon Dex Data'!$S$3:$S951,MATCH($E260,'0.0.1 Pokémon Dex Data'!$B$3:$B951,0))*INDEX('0.0.1 Pokémon Dex Data'!V$3:V951,MATCH($E260,'0.0.1 Pokémon Dex Data'!$B$3:$B951,0)),0)</f>
        <v>146</v>
      </c>
      <c r="M260" s="260" t="n">
        <f aca="false" t="array" ref="M260:M260">INDEX('0.0.1 Pokémon Dex Data'!$J$3:$J951,MATCH(E260,'0.0.1 Pokémon Dex Data'!$B$3:$B951,0))</f>
        <v>1</v>
      </c>
      <c r="O260" s="490"/>
      <c r="Q260" s="367" t="n">
        <f aca="false">IF('Reverse Search'!$F$4="All (including temporary formes)",1,IF('Reverse Search'!$F$4="Base Pokémon and permanent formes only",IF(F260&lt;=1,1,0),IF(F260=0,1,0)))</f>
        <v>1</v>
      </c>
      <c r="R260" s="0" t="n">
        <f aca="false">IF('Reverse Search'!$C$7="Disable",1,IF('Reverse Search'!$D$9="Disable",1,IF(OR('Reverse Search'!$F$9=H260,'Reverse Search'!$F$9=I260),1,0)))</f>
        <v>1</v>
      </c>
      <c r="S260" s="0" t="n">
        <f aca="false">IF('Reverse Search'!$C$7="Disable",1,IF('Reverse Search'!$D$10="Disable",1,IF(OR('Reverse Search'!$F$10=H260,'Reverse Search'!$F$10=I260),1,0)))</f>
        <v>1</v>
      </c>
      <c r="T260" s="0" t="n">
        <f aca="false">INDEX($B$4:$B$22,MATCH(H260,$A$4:$A$22,0))</f>
        <v>1</v>
      </c>
      <c r="U260" s="0" t="n">
        <f aca="false">IF(ISBLANK(I260),1,INDEX($B$4:$B$22,MATCH(I260,$A$4:$A$22,0)))</f>
        <v>0.714</v>
      </c>
      <c r="V260" s="367" t="n">
        <f aca="false">IF('Reverse Search'!$C$7="Disable",1,IF('Reverse Search'!$D$11="Disable",1,IF('Reverse Search'!$E$11="Neutral to:",IF(ROUND(T260*U260,2)&lt;=1,1,0),IF(ROUND(T260*U260,2)&lt;1,1,0))))</f>
        <v>1</v>
      </c>
      <c r="W260" s="0" t="n">
        <f aca="false">IF('Reverse Search'!$N$7="Disable",1,IF('Reverse Search'!$I$9="Disable",1,IF('Reverse Search'!$K$9="≥",IF(J260&gt;='Reverse Search'!$L$9,1,0),IF('Reverse Search'!$K$9="≤",IF(J260&lt;='Reverse Search'!$L$9,1,0),IF(J260='Reverse Search'!$L$9,1,0)))))</f>
        <v>1</v>
      </c>
      <c r="X260" s="0" t="n">
        <f aca="false">IF('Reverse Search'!$N$7="Disable",1,IF('Reverse Search'!$I$10="Disable",1,IF('Reverse Search'!$K$10="≥",IF(K260&gt;='Reverse Search'!$L$10,1,0),IF('Reverse Search'!$K$10="≤",IF(K260&lt;='Reverse Search'!$L$10,1,0),IF(K260='Reverse Search'!$L$10,1,0)))))</f>
        <v>1</v>
      </c>
      <c r="Y260" s="367" t="n">
        <f aca="false">IF('Reverse Search'!$N$7="Disable",1,IF('Reverse Search'!$I$11="Disable",1,IF('Reverse Search'!$K$11="≥",IF(L260&gt;='Reverse Search'!$L$11,1,0),IF('Reverse Search'!$K$11="≤",IF(L260&lt;='Reverse Search'!$L$11,1,0),IF(L260='Reverse Search'!$L$11,1,0)))))</f>
        <v>1</v>
      </c>
      <c r="Z260" s="0" t="n">
        <f aca="true">IF('Reverse Search'!$C$14="Disable",1,IF('Reverse Search'!$D$16="Disable",1,IF($C$2=3,IF($M260=0,0,COUNTIF(INDIRECT("'0.0.2 Pokémon Learnset (Core)'!$D$"&amp;MATCH($E260,'0.0.2 Pokémon Learnset (Core)'!$A$1:$A951,0)&amp;":$FK$"&amp;MATCH($E260,'0.0.2 Pokémon Learnset (Core)'!$A$1:$A951,0)),'Reverse Search'!$E$21)),IF($C$2=2,COUNTIF(INDIRECT("'0.1.1 Pokémon GO Moves'!$B$"&amp;MATCH($E260,'0.1.1 Pokémon GO Moves'!$A$1:$A951,0)&amp;":$R$"&amp;MATCH($E260,'0.1.1 Pokémon GO Moves'!$A$1:$A951,0)),'Reverse Search'!$E$21),COUNTIF(INDIRECT("'0.1.1 Pokémon GO Moves'!$B$"&amp;MATCH($E260,'0.1.1 Pokémon GO Moves'!$A$1:$A951,0)&amp;":$L$"&amp;MATCH($E260,'0.1.1 Pokémon GO Moves'!$A$1:$A951,0)),'Reverse Search'!$E$21)))))</f>
        <v>1</v>
      </c>
      <c r="AA260" s="0" t="n">
        <f aca="true">IF('Reverse Search'!$C$14="Disable",1,IF('Reverse Search'!$I$16="Disable",1,IF($D$2=3,IF($M260=0,0,COUNTIF(INDIRECT("'0.0.2 Pokémon Learnset (Core)'!$D$"&amp;MATCH($E260,'0.0.2 Pokémon Learnset (Core)'!$A$1:$A951,0)&amp;":$FK$"&amp;MATCH($E260,'0.0.2 Pokémon Learnset (Core)'!$A$1:$A951,0)),'Reverse Search'!$J$21)),IF($D$2=2,COUNTIF(INDIRECT("'0.1.1 Pokémon GO Moves'!$B$"&amp;MATCH($E260,'0.1.1 Pokémon GO Moves'!$A$1:$A951,0)&amp;":$R$"&amp;MATCH($E260,'0.1.1 Pokémon GO Moves'!$A$1:$A951,0)),'Reverse Search'!$J$21),COUNTIF(INDIRECT("'0.1.1 Pokémon GO Moves'!$B$"&amp;MATCH($E260,'0.1.1 Pokémon GO Moves'!$A$1:$A951,0)&amp;":$L$"&amp;MATCH($E260,'0.1.1 Pokémon GO Moves'!$A$1:$A951,0)),'Reverse Search'!$J$21)))))</f>
        <v>0</v>
      </c>
      <c r="AB260" s="490"/>
      <c r="AC260" s="260" t="n">
        <f aca="false">IF((Q260+R260+S260+V260+W260+X260+Y260+IF(Z260&gt;=1,1,0)+IF(AA260&gt;=1,1,0))=9,G260&amp;", ",)</f>
        <v>0</v>
      </c>
    </row>
    <row r="261" customFormat="false" ht="15.75" hidden="false" customHeight="false" outlineLevel="0" collapsed="false">
      <c r="A261" s="260"/>
      <c r="B261" s="358"/>
      <c r="C261" s="260"/>
      <c r="D261" s="358"/>
      <c r="E261" s="260" t="n">
        <v>260</v>
      </c>
      <c r="F261" s="260" t="n">
        <f aca="false" t="array" ref="F261:F261">INDEX('0.0.1 Pokémon Dex Data'!$H$3:$H951,MATCH(E261,'0.0.1 Pokémon Dex Data'!$B$3:$B951,0))</f>
        <v>0</v>
      </c>
      <c r="G261" s="0" t="str">
        <f aca="false" t="array" ref="G261:G261">INDEX('0.0.1 Pokémon Dex Data'!$E$3:$E951,MATCH(E261,'0.0.1 Pokémon Dex Data'!$B$3:$B951,0))</f>
        <v>Remoraid</v>
      </c>
      <c r="H261" s="0" t="str">
        <f aca="false" t="array" ref="H261:H261">INDEX('0.0.1 Pokémon Dex Data'!$Q$3:$Q951,MATCH(E261,'0.0.1 Pokémon Dex Data'!$B$3:$B951,0))</f>
        <v>Water</v>
      </c>
      <c r="I261" s="0" t="n">
        <f aca="false">INDEX('0.0.1 Pokémon Dex Data'!$R$3:$R951,MATCH(E261,'0.0.1 Pokémon Dex Data'!$B$3:$B951,0))</f>
        <v>0</v>
      </c>
      <c r="J261" s="260" t="n">
        <f aca="false" t="array" ref="J261:J261">ROUND(INDEX('0.0.1 Pokémon Dex Data'!$S$3:$S951,MATCH($E261,'0.0.1 Pokémon Dex Data'!$B$3:$B951,0))*INDEX('0.0.1 Pokémon Dex Data'!T$3:T951,MATCH($E261,'0.0.1 Pokémon Dex Data'!$B$3:$B951,0)),0)</f>
        <v>127</v>
      </c>
      <c r="K261" s="260" t="n">
        <f aca="false" t="array" ref="K261:K261">ROUND(INDEX('0.0.1 Pokémon Dex Data'!$S$3:$S951,MATCH($E261,'0.0.1 Pokémon Dex Data'!$B$3:$B951,0))*INDEX('0.0.1 Pokémon Dex Data'!U$3:U951,MATCH($E261,'0.0.1 Pokémon Dex Data'!$B$3:$B951,0)),0)</f>
        <v>69</v>
      </c>
      <c r="L261" s="260" t="n">
        <f aca="false" t="array" ref="L261:L261">ROUND(INDEX('0.0.1 Pokémon Dex Data'!$S$3:$S951,MATCH($E261,'0.0.1 Pokémon Dex Data'!$B$3:$B951,0))*INDEX('0.0.1 Pokémon Dex Data'!V$3:V951,MATCH($E261,'0.0.1 Pokémon Dex Data'!$B$3:$B951,0)),0)</f>
        <v>111</v>
      </c>
      <c r="M261" s="260" t="n">
        <f aca="false" t="array" ref="M261:M261">INDEX('0.0.1 Pokémon Dex Data'!$J$3:$J951,MATCH(E261,'0.0.1 Pokémon Dex Data'!$B$3:$B951,0))</f>
        <v>0</v>
      </c>
      <c r="O261" s="490"/>
      <c r="Q261" s="367" t="n">
        <f aca="false">IF('Reverse Search'!$F$4="All (including temporary formes)",1,IF('Reverse Search'!$F$4="Base Pokémon and permanent formes only",IF(F261&lt;=1,1,0),IF(F261=0,1,0)))</f>
        <v>1</v>
      </c>
      <c r="R261" s="0" t="n">
        <f aca="false">IF('Reverse Search'!$C$7="Disable",1,IF('Reverse Search'!$D$9="Disable",1,IF(OR('Reverse Search'!$F$9=H261,'Reverse Search'!$F$9=I261),1,0)))</f>
        <v>1</v>
      </c>
      <c r="S261" s="0" t="n">
        <f aca="false">IF('Reverse Search'!$C$7="Disable",1,IF('Reverse Search'!$D$10="Disable",1,IF(OR('Reverse Search'!$F$10=H261,'Reverse Search'!$F$10=I261),1,0)))</f>
        <v>1</v>
      </c>
      <c r="T261" s="0" t="n">
        <f aca="false">INDEX($B$4:$B$22,MATCH(H261,$A$4:$A$22,0))</f>
        <v>1</v>
      </c>
      <c r="U261" s="0" t="e">
        <f aca="false">IF(ISBLANK(I261),1,INDEX($B$4:$B$22,MATCH(I261,$A$4:$A$22,0)))</f>
        <v>#N/A</v>
      </c>
      <c r="V261" s="367" t="n">
        <f aca="false">IF('Reverse Search'!$C$7="Disable",1,IF('Reverse Search'!$D$11="Disable",1,IF('Reverse Search'!$E$11="Neutral to:",IF(ROUND(T261*U261,2)&lt;=1,1,0),IF(ROUND(T261*U261,2)&lt;1,1,0))))</f>
        <v>1</v>
      </c>
      <c r="W261" s="0" t="n">
        <f aca="false">IF('Reverse Search'!$N$7="Disable",1,IF('Reverse Search'!$I$9="Disable",1,IF('Reverse Search'!$K$9="≥",IF(J261&gt;='Reverse Search'!$L$9,1,0),IF('Reverse Search'!$K$9="≤",IF(J261&lt;='Reverse Search'!$L$9,1,0),IF(J261='Reverse Search'!$L$9,1,0)))))</f>
        <v>1</v>
      </c>
      <c r="X261" s="0" t="n">
        <f aca="false">IF('Reverse Search'!$N$7="Disable",1,IF('Reverse Search'!$I$10="Disable",1,IF('Reverse Search'!$K$10="≥",IF(K261&gt;='Reverse Search'!$L$10,1,0),IF('Reverse Search'!$K$10="≤",IF(K261&lt;='Reverse Search'!$L$10,1,0),IF(K261='Reverse Search'!$L$10,1,0)))))</f>
        <v>1</v>
      </c>
      <c r="Y261" s="367" t="n">
        <f aca="false">IF('Reverse Search'!$N$7="Disable",1,IF('Reverse Search'!$I$11="Disable",1,IF('Reverse Search'!$K$11="≥",IF(L261&gt;='Reverse Search'!$L$11,1,0),IF('Reverse Search'!$K$11="≤",IF(L261&lt;='Reverse Search'!$L$11,1,0),IF(L261='Reverse Search'!$L$11,1,0)))))</f>
        <v>1</v>
      </c>
      <c r="Z261" s="0" t="n">
        <f aca="true">IF('Reverse Search'!$C$14="Disable",1,IF('Reverse Search'!$D$16="Disable",1,IF($C$2=3,IF($M261=0,0,COUNTIF(INDIRECT("'0.0.2 Pokémon Learnset (Core)'!$D$"&amp;MATCH($E261,'0.0.2 Pokémon Learnset (Core)'!$A$1:$A951,0)&amp;":$FK$"&amp;MATCH($E261,'0.0.2 Pokémon Learnset (Core)'!$A$1:$A951,0)),'Reverse Search'!$E$21)),IF($C$2=2,COUNTIF(INDIRECT("'0.1.1 Pokémon GO Moves'!$B$"&amp;MATCH($E261,'0.1.1 Pokémon GO Moves'!$A$1:$A951,0)&amp;":$R$"&amp;MATCH($E261,'0.1.1 Pokémon GO Moves'!$A$1:$A951,0)),'Reverse Search'!$E$21),COUNTIF(INDIRECT("'0.1.1 Pokémon GO Moves'!$B$"&amp;MATCH($E261,'0.1.1 Pokémon GO Moves'!$A$1:$A951,0)&amp;":$L$"&amp;MATCH($E261,'0.1.1 Pokémon GO Moves'!$A$1:$A951,0)),'Reverse Search'!$E$21)))))</f>
        <v>1</v>
      </c>
      <c r="AA261" s="0" t="n">
        <f aca="true">IF('Reverse Search'!$C$14="Disable",1,IF('Reverse Search'!$I$16="Disable",1,IF($D$2=3,IF($M261=0,0,COUNTIF(INDIRECT("'0.0.2 Pokémon Learnset (Core)'!$D$"&amp;MATCH($E261,'0.0.2 Pokémon Learnset (Core)'!$A$1:$A951,0)&amp;":$FK$"&amp;MATCH($E261,'0.0.2 Pokémon Learnset (Core)'!$A$1:$A951,0)),'Reverse Search'!$J$21)),IF($D$2=2,COUNTIF(INDIRECT("'0.1.1 Pokémon GO Moves'!$B$"&amp;MATCH($E261,'0.1.1 Pokémon GO Moves'!$A$1:$A951,0)&amp;":$R$"&amp;MATCH($E261,'0.1.1 Pokémon GO Moves'!$A$1:$A951,0)),'Reverse Search'!$J$21),COUNTIF(INDIRECT("'0.1.1 Pokémon GO Moves'!$B$"&amp;MATCH($E261,'0.1.1 Pokémon GO Moves'!$A$1:$A951,0)&amp;":$L$"&amp;MATCH($E261,'0.1.1 Pokémon GO Moves'!$A$1:$A951,0)),'Reverse Search'!$J$21)))))</f>
        <v>0</v>
      </c>
      <c r="AB261" s="490"/>
      <c r="AC261" s="260" t="n">
        <f aca="false">IF((Q261+R261+S261+V261+W261+X261+Y261+IF(Z261&gt;=1,1,0)+IF(AA261&gt;=1,1,0))=9,G261&amp;", ",)</f>
        <v>0</v>
      </c>
    </row>
    <row r="262" customFormat="false" ht="15.75" hidden="false" customHeight="false" outlineLevel="0" collapsed="false">
      <c r="A262" s="260"/>
      <c r="B262" s="358"/>
      <c r="C262" s="260"/>
      <c r="D262" s="358"/>
      <c r="E262" s="260" t="n">
        <v>261</v>
      </c>
      <c r="F262" s="260" t="n">
        <f aca="false" t="array" ref="F262:F262">INDEX('0.0.1 Pokémon Dex Data'!$H$3:$H951,MATCH(E262,'0.0.1 Pokémon Dex Data'!$B$3:$B951,0))</f>
        <v>0</v>
      </c>
      <c r="G262" s="0" t="str">
        <f aca="false" t="array" ref="G262:G262">INDEX('0.0.1 Pokémon Dex Data'!$E$3:$E951,MATCH(E262,'0.0.1 Pokémon Dex Data'!$B$3:$B951,0))</f>
        <v>Octillery</v>
      </c>
      <c r="H262" s="0" t="str">
        <f aca="false" t="array" ref="H262:H262">INDEX('0.0.1 Pokémon Dex Data'!$Q$3:$Q951,MATCH(E262,'0.0.1 Pokémon Dex Data'!$B$3:$B951,0))</f>
        <v>Water</v>
      </c>
      <c r="I262" s="0" t="n">
        <f aca="false">INDEX('0.0.1 Pokémon Dex Data'!$R$3:$R951,MATCH(E262,'0.0.1 Pokémon Dex Data'!$B$3:$B951,0))</f>
        <v>0</v>
      </c>
      <c r="J262" s="260" t="n">
        <f aca="false" t="array" ref="J262:J262">ROUND(INDEX('0.0.1 Pokémon Dex Data'!$S$3:$S951,MATCH($E262,'0.0.1 Pokémon Dex Data'!$B$3:$B951,0))*INDEX('0.0.1 Pokémon Dex Data'!T$3:T951,MATCH($E262,'0.0.1 Pokémon Dex Data'!$B$3:$B951,0)),0)</f>
        <v>197</v>
      </c>
      <c r="K262" s="260" t="n">
        <f aca="false" t="array" ref="K262:K262">ROUND(INDEX('0.0.1 Pokémon Dex Data'!$S$3:$S951,MATCH($E262,'0.0.1 Pokémon Dex Data'!$B$3:$B951,0))*INDEX('0.0.1 Pokémon Dex Data'!U$3:U951,MATCH($E262,'0.0.1 Pokémon Dex Data'!$B$3:$B951,0)),0)</f>
        <v>141</v>
      </c>
      <c r="L262" s="260" t="n">
        <f aca="false" t="array" ref="L262:L262">ROUND(INDEX('0.0.1 Pokémon Dex Data'!$S$3:$S951,MATCH($E262,'0.0.1 Pokémon Dex Data'!$B$3:$B951,0))*INDEX('0.0.1 Pokémon Dex Data'!V$3:V951,MATCH($E262,'0.0.1 Pokémon Dex Data'!$B$3:$B951,0)),0)</f>
        <v>181</v>
      </c>
      <c r="M262" s="260" t="n">
        <f aca="false" t="array" ref="M262:M262">INDEX('0.0.1 Pokémon Dex Data'!$J$3:$J951,MATCH(E262,'0.0.1 Pokémon Dex Data'!$B$3:$B951,0))</f>
        <v>1</v>
      </c>
      <c r="O262" s="490"/>
      <c r="Q262" s="367" t="n">
        <f aca="false">IF('Reverse Search'!$F$4="All (including temporary formes)",1,IF('Reverse Search'!$F$4="Base Pokémon and permanent formes only",IF(F262&lt;=1,1,0),IF(F262=0,1,0)))</f>
        <v>1</v>
      </c>
      <c r="R262" s="0" t="n">
        <f aca="false">IF('Reverse Search'!$C$7="Disable",1,IF('Reverse Search'!$D$9="Disable",1,IF(OR('Reverse Search'!$F$9=H262,'Reverse Search'!$F$9=I262),1,0)))</f>
        <v>1</v>
      </c>
      <c r="S262" s="0" t="n">
        <f aca="false">IF('Reverse Search'!$C$7="Disable",1,IF('Reverse Search'!$D$10="Disable",1,IF(OR('Reverse Search'!$F$10=H262,'Reverse Search'!$F$10=I262),1,0)))</f>
        <v>1</v>
      </c>
      <c r="T262" s="0" t="n">
        <f aca="false">INDEX($B$4:$B$22,MATCH(H262,$A$4:$A$22,0))</f>
        <v>1</v>
      </c>
      <c r="U262" s="0" t="e">
        <f aca="false">IF(ISBLANK(I262),1,INDEX($B$4:$B$22,MATCH(I262,$A$4:$A$22,0)))</f>
        <v>#N/A</v>
      </c>
      <c r="V262" s="367" t="n">
        <f aca="false">IF('Reverse Search'!$C$7="Disable",1,IF('Reverse Search'!$D$11="Disable",1,IF('Reverse Search'!$E$11="Neutral to:",IF(ROUND(T262*U262,2)&lt;=1,1,0),IF(ROUND(T262*U262,2)&lt;1,1,0))))</f>
        <v>1</v>
      </c>
      <c r="W262" s="0" t="n">
        <f aca="false">IF('Reverse Search'!$N$7="Disable",1,IF('Reverse Search'!$I$9="Disable",1,IF('Reverse Search'!$K$9="≥",IF(J262&gt;='Reverse Search'!$L$9,1,0),IF('Reverse Search'!$K$9="≤",IF(J262&lt;='Reverse Search'!$L$9,1,0),IF(J262='Reverse Search'!$L$9,1,0)))))</f>
        <v>1</v>
      </c>
      <c r="X262" s="0" t="n">
        <f aca="false">IF('Reverse Search'!$N$7="Disable",1,IF('Reverse Search'!$I$10="Disable",1,IF('Reverse Search'!$K$10="≥",IF(K262&gt;='Reverse Search'!$L$10,1,0),IF('Reverse Search'!$K$10="≤",IF(K262&lt;='Reverse Search'!$L$10,1,0),IF(K262='Reverse Search'!$L$10,1,0)))))</f>
        <v>1</v>
      </c>
      <c r="Y262" s="367" t="n">
        <f aca="false">IF('Reverse Search'!$N$7="Disable",1,IF('Reverse Search'!$I$11="Disable",1,IF('Reverse Search'!$K$11="≥",IF(L262&gt;='Reverse Search'!$L$11,1,0),IF('Reverse Search'!$K$11="≤",IF(L262&lt;='Reverse Search'!$L$11,1,0),IF(L262='Reverse Search'!$L$11,1,0)))))</f>
        <v>1</v>
      </c>
      <c r="Z262" s="0" t="n">
        <f aca="true">IF('Reverse Search'!$C$14="Disable",1,IF('Reverse Search'!$D$16="Disable",1,IF($C$2=3,IF($M262=0,0,COUNTIF(INDIRECT("'0.0.2 Pokémon Learnset (Core)'!$D$"&amp;MATCH($E262,'0.0.2 Pokémon Learnset (Core)'!$A$1:$A951,0)&amp;":$FK$"&amp;MATCH($E262,'0.0.2 Pokémon Learnset (Core)'!$A$1:$A951,0)),'Reverse Search'!$E$21)),IF($C$2=2,COUNTIF(INDIRECT("'0.1.1 Pokémon GO Moves'!$B$"&amp;MATCH($E262,'0.1.1 Pokémon GO Moves'!$A$1:$A951,0)&amp;":$R$"&amp;MATCH($E262,'0.1.1 Pokémon GO Moves'!$A$1:$A951,0)),'Reverse Search'!$E$21),COUNTIF(INDIRECT("'0.1.1 Pokémon GO Moves'!$B$"&amp;MATCH($E262,'0.1.1 Pokémon GO Moves'!$A$1:$A951,0)&amp;":$L$"&amp;MATCH($E262,'0.1.1 Pokémon GO Moves'!$A$1:$A951,0)),'Reverse Search'!$E$21)))))</f>
        <v>1</v>
      </c>
      <c r="AA262" s="0" t="n">
        <f aca="true">IF('Reverse Search'!$C$14="Disable",1,IF('Reverse Search'!$I$16="Disable",1,IF($D$2=3,IF($M262=0,0,COUNTIF(INDIRECT("'0.0.2 Pokémon Learnset (Core)'!$D$"&amp;MATCH($E262,'0.0.2 Pokémon Learnset (Core)'!$A$1:$A951,0)&amp;":$FK$"&amp;MATCH($E262,'0.0.2 Pokémon Learnset (Core)'!$A$1:$A951,0)),'Reverse Search'!$J$21)),IF($D$2=2,COUNTIF(INDIRECT("'0.1.1 Pokémon GO Moves'!$B$"&amp;MATCH($E262,'0.1.1 Pokémon GO Moves'!$A$1:$A951,0)&amp;":$R$"&amp;MATCH($E262,'0.1.1 Pokémon GO Moves'!$A$1:$A951,0)),'Reverse Search'!$J$21),COUNTIF(INDIRECT("'0.1.1 Pokémon GO Moves'!$B$"&amp;MATCH($E262,'0.1.1 Pokémon GO Moves'!$A$1:$A951,0)&amp;":$L$"&amp;MATCH($E262,'0.1.1 Pokémon GO Moves'!$A$1:$A951,0)),'Reverse Search'!$J$21)))))</f>
        <v>0</v>
      </c>
      <c r="AB262" s="490"/>
      <c r="AC262" s="260" t="n">
        <f aca="false">IF((Q262+R262+S262+V262+W262+X262+Y262+IF(Z262&gt;=1,1,0)+IF(AA262&gt;=1,1,0))=9,G262&amp;", ",)</f>
        <v>0</v>
      </c>
    </row>
    <row r="263" customFormat="false" ht="15.75" hidden="false" customHeight="false" outlineLevel="0" collapsed="false">
      <c r="A263" s="260"/>
      <c r="B263" s="358"/>
      <c r="C263" s="260"/>
      <c r="D263" s="358"/>
      <c r="E263" s="260" t="n">
        <v>262</v>
      </c>
      <c r="F263" s="260" t="n">
        <f aca="false" t="array" ref="F263:F263">INDEX('0.0.1 Pokémon Dex Data'!$H$3:$H951,MATCH(E263,'0.0.1 Pokémon Dex Data'!$B$3:$B951,0))</f>
        <v>0</v>
      </c>
      <c r="G263" s="0" t="str">
        <f aca="false" t="array" ref="G263:G263">INDEX('0.0.1 Pokémon Dex Data'!$E$3:$E951,MATCH(E263,'0.0.1 Pokémon Dex Data'!$B$3:$B951,0))</f>
        <v>Delibird</v>
      </c>
      <c r="H263" s="0" t="str">
        <f aca="false" t="array" ref="H263:H263">INDEX('0.0.1 Pokémon Dex Data'!$Q$3:$Q951,MATCH(E263,'0.0.1 Pokémon Dex Data'!$B$3:$B951,0))</f>
        <v>Ice</v>
      </c>
      <c r="I263" s="0" t="str">
        <f aca="false" t="array" ref="I263:I263">INDEX('0.0.1 Pokémon Dex Data'!$R$3:$R951,MATCH(E263,'0.0.1 Pokémon Dex Data'!$B$3:$B951,0))</f>
        <v>Flying</v>
      </c>
      <c r="J263" s="260" t="n">
        <f aca="false" t="array" ref="J263:J263">ROUND(INDEX('0.0.1 Pokémon Dex Data'!$S$3:$S951,MATCH($E263,'0.0.1 Pokémon Dex Data'!$B$3:$B951,0))*INDEX('0.0.1 Pokémon Dex Data'!T$3:T951,MATCH($E263,'0.0.1 Pokémon Dex Data'!$B$3:$B951,0)),0)</f>
        <v>128</v>
      </c>
      <c r="K263" s="260" t="n">
        <f aca="false" t="array" ref="K263:K263">ROUND(INDEX('0.0.1 Pokémon Dex Data'!$S$3:$S951,MATCH($E263,'0.0.1 Pokémon Dex Data'!$B$3:$B951,0))*INDEX('0.0.1 Pokémon Dex Data'!U$3:U951,MATCH($E263,'0.0.1 Pokémon Dex Data'!$B$3:$B951,0)),0)</f>
        <v>90</v>
      </c>
      <c r="L263" s="260" t="n">
        <f aca="false" t="array" ref="L263:L263">ROUND(INDEX('0.0.1 Pokémon Dex Data'!$S$3:$S951,MATCH($E263,'0.0.1 Pokémon Dex Data'!$B$3:$B951,0))*INDEX('0.0.1 Pokémon Dex Data'!V$3:V951,MATCH($E263,'0.0.1 Pokémon Dex Data'!$B$3:$B951,0)),0)</f>
        <v>128</v>
      </c>
      <c r="M263" s="260" t="n">
        <f aca="false" t="array" ref="M263:M263">INDEX('0.0.1 Pokémon Dex Data'!$J$3:$J951,MATCH(E263,'0.0.1 Pokémon Dex Data'!$B$3:$B951,0))</f>
        <v>1</v>
      </c>
      <c r="O263" s="490"/>
      <c r="Q263" s="367" t="n">
        <f aca="false">IF('Reverse Search'!$F$4="All (including temporary formes)",1,IF('Reverse Search'!$F$4="Base Pokémon and permanent formes only",IF(F263&lt;=1,1,0),IF(F263=0,1,0)))</f>
        <v>1</v>
      </c>
      <c r="R263" s="0" t="n">
        <f aca="false">IF('Reverse Search'!$C$7="Disable",1,IF('Reverse Search'!$D$9="Disable",1,IF(OR('Reverse Search'!$F$9=H263,'Reverse Search'!$F$9=I263),1,0)))</f>
        <v>1</v>
      </c>
      <c r="S263" s="0" t="n">
        <f aca="false">IF('Reverse Search'!$C$7="Disable",1,IF('Reverse Search'!$D$10="Disable",1,IF(OR('Reverse Search'!$F$10=H263,'Reverse Search'!$F$10=I263),1,0)))</f>
        <v>1</v>
      </c>
      <c r="T263" s="0" t="n">
        <f aca="false">INDEX($B$4:$B$22,MATCH(H263,$A$4:$A$22,0))</f>
        <v>1</v>
      </c>
      <c r="U263" s="0" t="n">
        <f aca="false">IF(ISBLANK(I263),1,INDEX($B$4:$B$22,MATCH(I263,$A$4:$A$22,0)))</f>
        <v>1</v>
      </c>
      <c r="V263" s="367" t="n">
        <f aca="false">IF('Reverse Search'!$C$7="Disable",1,IF('Reverse Search'!$D$11="Disable",1,IF('Reverse Search'!$E$11="Neutral to:",IF(ROUND(T263*U263,2)&lt;=1,1,0),IF(ROUND(T263*U263,2)&lt;1,1,0))))</f>
        <v>1</v>
      </c>
      <c r="W263" s="0" t="n">
        <f aca="false">IF('Reverse Search'!$N$7="Disable",1,IF('Reverse Search'!$I$9="Disable",1,IF('Reverse Search'!$K$9="≥",IF(J263&gt;='Reverse Search'!$L$9,1,0),IF('Reverse Search'!$K$9="≤",IF(J263&lt;='Reverse Search'!$L$9,1,0),IF(J263='Reverse Search'!$L$9,1,0)))))</f>
        <v>1</v>
      </c>
      <c r="X263" s="0" t="n">
        <f aca="false">IF('Reverse Search'!$N$7="Disable",1,IF('Reverse Search'!$I$10="Disable",1,IF('Reverse Search'!$K$10="≥",IF(K263&gt;='Reverse Search'!$L$10,1,0),IF('Reverse Search'!$K$10="≤",IF(K263&lt;='Reverse Search'!$L$10,1,0),IF(K263='Reverse Search'!$L$10,1,0)))))</f>
        <v>1</v>
      </c>
      <c r="Y263" s="367" t="n">
        <f aca="false">IF('Reverse Search'!$N$7="Disable",1,IF('Reverse Search'!$I$11="Disable",1,IF('Reverse Search'!$K$11="≥",IF(L263&gt;='Reverse Search'!$L$11,1,0),IF('Reverse Search'!$K$11="≤",IF(L263&lt;='Reverse Search'!$L$11,1,0),IF(L263='Reverse Search'!$L$11,1,0)))))</f>
        <v>1</v>
      </c>
      <c r="Z263" s="0" t="n">
        <f aca="true">IF('Reverse Search'!$C$14="Disable",1,IF('Reverse Search'!$D$16="Disable",1,IF($C$2=3,IF($M263=0,0,COUNTIF(INDIRECT("'0.0.2 Pokémon Learnset (Core)'!$D$"&amp;MATCH($E263,'0.0.2 Pokémon Learnset (Core)'!$A$1:$A951,0)&amp;":$FK$"&amp;MATCH($E263,'0.0.2 Pokémon Learnset (Core)'!$A$1:$A951,0)),'Reverse Search'!$E$21)),IF($C$2=2,COUNTIF(INDIRECT("'0.1.1 Pokémon GO Moves'!$B$"&amp;MATCH($E263,'0.1.1 Pokémon GO Moves'!$A$1:$A951,0)&amp;":$R$"&amp;MATCH($E263,'0.1.1 Pokémon GO Moves'!$A$1:$A951,0)),'Reverse Search'!$E$21),COUNTIF(INDIRECT("'0.1.1 Pokémon GO Moves'!$B$"&amp;MATCH($E263,'0.1.1 Pokémon GO Moves'!$A$1:$A951,0)&amp;":$L$"&amp;MATCH($E263,'0.1.1 Pokémon GO Moves'!$A$1:$A951,0)),'Reverse Search'!$E$21)))))</f>
        <v>1</v>
      </c>
      <c r="AA263" s="0" t="n">
        <f aca="true">IF('Reverse Search'!$C$14="Disable",1,IF('Reverse Search'!$I$16="Disable",1,IF($D$2=3,IF($M263=0,0,COUNTIF(INDIRECT("'0.0.2 Pokémon Learnset (Core)'!$D$"&amp;MATCH($E263,'0.0.2 Pokémon Learnset (Core)'!$A$1:$A951,0)&amp;":$FK$"&amp;MATCH($E263,'0.0.2 Pokémon Learnset (Core)'!$A$1:$A951,0)),'Reverse Search'!$J$21)),IF($D$2=2,COUNTIF(INDIRECT("'0.1.1 Pokémon GO Moves'!$B$"&amp;MATCH($E263,'0.1.1 Pokémon GO Moves'!$A$1:$A951,0)&amp;":$R$"&amp;MATCH($E263,'0.1.1 Pokémon GO Moves'!$A$1:$A951,0)),'Reverse Search'!$J$21),COUNTIF(INDIRECT("'0.1.1 Pokémon GO Moves'!$B$"&amp;MATCH($E263,'0.1.1 Pokémon GO Moves'!$A$1:$A951,0)&amp;":$L$"&amp;MATCH($E263,'0.1.1 Pokémon GO Moves'!$A$1:$A951,0)),'Reverse Search'!$J$21)))))</f>
        <v>0</v>
      </c>
      <c r="AB263" s="490"/>
      <c r="AC263" s="260" t="n">
        <f aca="false">IF((Q263+R263+S263+V263+W263+X263+Y263+IF(Z263&gt;=1,1,0)+IF(AA263&gt;=1,1,0))=9,G263&amp;", ",)</f>
        <v>0</v>
      </c>
    </row>
    <row r="264" customFormat="false" ht="15.75" hidden="false" customHeight="false" outlineLevel="0" collapsed="false">
      <c r="A264" s="260"/>
      <c r="B264" s="358"/>
      <c r="C264" s="260"/>
      <c r="D264" s="358"/>
      <c r="E264" s="260" t="n">
        <v>263</v>
      </c>
      <c r="F264" s="260" t="n">
        <f aca="false" t="array" ref="F264:F264">INDEX('0.0.1 Pokémon Dex Data'!$H$3:$H951,MATCH(E264,'0.0.1 Pokémon Dex Data'!$B$3:$B951,0))</f>
        <v>0</v>
      </c>
      <c r="G264" s="0" t="str">
        <f aca="false" t="array" ref="G264:G264">INDEX('0.0.1 Pokémon Dex Data'!$E$3:$E951,MATCH(E264,'0.0.1 Pokémon Dex Data'!$B$3:$B951,0))</f>
        <v>Mantine</v>
      </c>
      <c r="H264" s="0" t="str">
        <f aca="false" t="array" ref="H264:H264">INDEX('0.0.1 Pokémon Dex Data'!$Q$3:$Q951,MATCH(E264,'0.0.1 Pokémon Dex Data'!$B$3:$B951,0))</f>
        <v>Water</v>
      </c>
      <c r="I264" s="0" t="str">
        <f aca="false" t="array" ref="I264:I264">INDEX('0.0.1 Pokémon Dex Data'!$R$3:$R951,MATCH(E264,'0.0.1 Pokémon Dex Data'!$B$3:$B951,0))</f>
        <v>Flying</v>
      </c>
      <c r="J264" s="260" t="n">
        <f aca="false" t="array" ref="J264:J264">ROUND(INDEX('0.0.1 Pokémon Dex Data'!$S$3:$S951,MATCH($E264,'0.0.1 Pokémon Dex Data'!$B$3:$B951,0))*INDEX('0.0.1 Pokémon Dex Data'!T$3:T951,MATCH($E264,'0.0.1 Pokémon Dex Data'!$B$3:$B951,0)),0)</f>
        <v>149</v>
      </c>
      <c r="K264" s="260" t="n">
        <f aca="false" t="array" ref="K264:K264">ROUND(INDEX('0.0.1 Pokémon Dex Data'!$S$3:$S951,MATCH($E264,'0.0.1 Pokémon Dex Data'!$B$3:$B951,0))*INDEX('0.0.1 Pokémon Dex Data'!U$3:U951,MATCH($E264,'0.0.1 Pokémon Dex Data'!$B$3:$B951,0)),0)</f>
        <v>226</v>
      </c>
      <c r="L264" s="260" t="n">
        <f aca="false" t="array" ref="L264:L264">ROUND(INDEX('0.0.1 Pokémon Dex Data'!$S$3:$S951,MATCH($E264,'0.0.1 Pokémon Dex Data'!$B$3:$B951,0))*INDEX('0.0.1 Pokémon Dex Data'!V$3:V951,MATCH($E264,'0.0.1 Pokémon Dex Data'!$B$3:$B951,0)),0)</f>
        <v>163</v>
      </c>
      <c r="M264" s="260" t="n">
        <f aca="false" t="array" ref="M264:M264">INDEX('0.0.1 Pokémon Dex Data'!$J$3:$J951,MATCH(E264,'0.0.1 Pokémon Dex Data'!$B$3:$B951,0))</f>
        <v>1</v>
      </c>
      <c r="O264" s="490"/>
      <c r="Q264" s="367" t="n">
        <f aca="false">IF('Reverse Search'!$F$4="All (including temporary formes)",1,IF('Reverse Search'!$F$4="Base Pokémon and permanent formes only",IF(F264&lt;=1,1,0),IF(F264=0,1,0)))</f>
        <v>1</v>
      </c>
      <c r="R264" s="0" t="n">
        <f aca="false">IF('Reverse Search'!$C$7="Disable",1,IF('Reverse Search'!$D$9="Disable",1,IF(OR('Reverse Search'!$F$9=H264,'Reverse Search'!$F$9=I264),1,0)))</f>
        <v>1</v>
      </c>
      <c r="S264" s="0" t="n">
        <f aca="false">IF('Reverse Search'!$C$7="Disable",1,IF('Reverse Search'!$D$10="Disable",1,IF(OR('Reverse Search'!$F$10=H264,'Reverse Search'!$F$10=I264),1,0)))</f>
        <v>1</v>
      </c>
      <c r="T264" s="0" t="n">
        <f aca="false">INDEX($B$4:$B$22,MATCH(H264,$A$4:$A$22,0))</f>
        <v>1</v>
      </c>
      <c r="U264" s="0" t="n">
        <f aca="false">IF(ISBLANK(I264),1,INDEX($B$4:$B$22,MATCH(I264,$A$4:$A$22,0)))</f>
        <v>1</v>
      </c>
      <c r="V264" s="367" t="n">
        <f aca="false">IF('Reverse Search'!$C$7="Disable",1,IF('Reverse Search'!$D$11="Disable",1,IF('Reverse Search'!$E$11="Neutral to:",IF(ROUND(T264*U264,2)&lt;=1,1,0),IF(ROUND(T264*U264,2)&lt;1,1,0))))</f>
        <v>1</v>
      </c>
      <c r="W264" s="0" t="n">
        <f aca="false">IF('Reverse Search'!$N$7="Disable",1,IF('Reverse Search'!$I$9="Disable",1,IF('Reverse Search'!$K$9="≥",IF(J264&gt;='Reverse Search'!$L$9,1,0),IF('Reverse Search'!$K$9="≤",IF(J264&lt;='Reverse Search'!$L$9,1,0),IF(J264='Reverse Search'!$L$9,1,0)))))</f>
        <v>1</v>
      </c>
      <c r="X264" s="0" t="n">
        <f aca="false">IF('Reverse Search'!$N$7="Disable",1,IF('Reverse Search'!$I$10="Disable",1,IF('Reverse Search'!$K$10="≥",IF(K264&gt;='Reverse Search'!$L$10,1,0),IF('Reverse Search'!$K$10="≤",IF(K264&lt;='Reverse Search'!$L$10,1,0),IF(K264='Reverse Search'!$L$10,1,0)))))</f>
        <v>1</v>
      </c>
      <c r="Y264" s="367" t="n">
        <f aca="false">IF('Reverse Search'!$N$7="Disable",1,IF('Reverse Search'!$I$11="Disable",1,IF('Reverse Search'!$K$11="≥",IF(L264&gt;='Reverse Search'!$L$11,1,0),IF('Reverse Search'!$K$11="≤",IF(L264&lt;='Reverse Search'!$L$11,1,0),IF(L264='Reverse Search'!$L$11,1,0)))))</f>
        <v>1</v>
      </c>
      <c r="Z264" s="0" t="n">
        <f aca="true">IF('Reverse Search'!$C$14="Disable",1,IF('Reverse Search'!$D$16="Disable",1,IF($C$2=3,IF($M264=0,0,COUNTIF(INDIRECT("'0.0.2 Pokémon Learnset (Core)'!$D$"&amp;MATCH($E264,'0.0.2 Pokémon Learnset (Core)'!$A$1:$A951,0)&amp;":$FK$"&amp;MATCH($E264,'0.0.2 Pokémon Learnset (Core)'!$A$1:$A951,0)),'Reverse Search'!$E$21)),IF($C$2=2,COUNTIF(INDIRECT("'0.1.1 Pokémon GO Moves'!$B$"&amp;MATCH($E264,'0.1.1 Pokémon GO Moves'!$A$1:$A951,0)&amp;":$R$"&amp;MATCH($E264,'0.1.1 Pokémon GO Moves'!$A$1:$A951,0)),'Reverse Search'!$E$21),COUNTIF(INDIRECT("'0.1.1 Pokémon GO Moves'!$B$"&amp;MATCH($E264,'0.1.1 Pokémon GO Moves'!$A$1:$A951,0)&amp;":$L$"&amp;MATCH($E264,'0.1.1 Pokémon GO Moves'!$A$1:$A951,0)),'Reverse Search'!$E$21)))))</f>
        <v>1</v>
      </c>
      <c r="AA264" s="0" t="n">
        <f aca="true">IF('Reverse Search'!$C$14="Disable",1,IF('Reverse Search'!$I$16="Disable",1,IF($D$2=3,IF($M264=0,0,COUNTIF(INDIRECT("'0.0.2 Pokémon Learnset (Core)'!$D$"&amp;MATCH($E264,'0.0.2 Pokémon Learnset (Core)'!$A$1:$A951,0)&amp;":$FK$"&amp;MATCH($E264,'0.0.2 Pokémon Learnset (Core)'!$A$1:$A951,0)),'Reverse Search'!$J$21)),IF($D$2=2,COUNTIF(INDIRECT("'0.1.1 Pokémon GO Moves'!$B$"&amp;MATCH($E264,'0.1.1 Pokémon GO Moves'!$A$1:$A951,0)&amp;":$R$"&amp;MATCH($E264,'0.1.1 Pokémon GO Moves'!$A$1:$A951,0)),'Reverse Search'!$J$21),COUNTIF(INDIRECT("'0.1.1 Pokémon GO Moves'!$B$"&amp;MATCH($E264,'0.1.1 Pokémon GO Moves'!$A$1:$A951,0)&amp;":$L$"&amp;MATCH($E264,'0.1.1 Pokémon GO Moves'!$A$1:$A951,0)),'Reverse Search'!$J$21)))))</f>
        <v>0</v>
      </c>
      <c r="AB264" s="490"/>
      <c r="AC264" s="260" t="n">
        <f aca="false">IF((Q264+R264+S264+V264+W264+X264+Y264+IF(Z264&gt;=1,1,0)+IF(AA264&gt;=1,1,0))=9,G264&amp;", ",)</f>
        <v>0</v>
      </c>
    </row>
    <row r="265" customFormat="false" ht="15.75" hidden="false" customHeight="false" outlineLevel="0" collapsed="false">
      <c r="A265" s="260"/>
      <c r="B265" s="358"/>
      <c r="C265" s="260"/>
      <c r="D265" s="358"/>
      <c r="E265" s="260" t="n">
        <v>264</v>
      </c>
      <c r="F265" s="260" t="n">
        <f aca="false" t="array" ref="F265:F265">INDEX('0.0.1 Pokémon Dex Data'!$H$3:$H951,MATCH(E265,'0.0.1 Pokémon Dex Data'!$B$3:$B951,0))</f>
        <v>0</v>
      </c>
      <c r="G265" s="0" t="str">
        <f aca="false" t="array" ref="G265:G265">INDEX('0.0.1 Pokémon Dex Data'!$E$3:$E951,MATCH(E265,'0.0.1 Pokémon Dex Data'!$B$3:$B951,0))</f>
        <v>Skarmory</v>
      </c>
      <c r="H265" s="0" t="str">
        <f aca="false" t="array" ref="H265:H265">INDEX('0.0.1 Pokémon Dex Data'!$Q$3:$Q951,MATCH(E265,'0.0.1 Pokémon Dex Data'!$B$3:$B951,0))</f>
        <v>Steel</v>
      </c>
      <c r="I265" s="0" t="str">
        <f aca="false" t="array" ref="I265:I265">INDEX('0.0.1 Pokémon Dex Data'!$R$3:$R951,MATCH(E265,'0.0.1 Pokémon Dex Data'!$B$3:$B951,0))</f>
        <v>Flying</v>
      </c>
      <c r="J265" s="260" t="n">
        <f aca="false" t="array" ref="J265:J265">ROUND(INDEX('0.0.1 Pokémon Dex Data'!$S$3:$S951,MATCH($E265,'0.0.1 Pokémon Dex Data'!$B$3:$B951,0))*INDEX('0.0.1 Pokémon Dex Data'!T$3:T951,MATCH($E265,'0.0.1 Pokémon Dex Data'!$B$3:$B951,0)),0)</f>
        <v>149</v>
      </c>
      <c r="K265" s="260" t="n">
        <f aca="false" t="array" ref="K265:K265">ROUND(INDEX('0.0.1 Pokémon Dex Data'!$S$3:$S951,MATCH($E265,'0.0.1 Pokémon Dex Data'!$B$3:$B951,0))*INDEX('0.0.1 Pokémon Dex Data'!U$3:U951,MATCH($E265,'0.0.1 Pokémon Dex Data'!$B$3:$B951,0)),0)</f>
        <v>226</v>
      </c>
      <c r="L265" s="260" t="n">
        <f aca="false" t="array" ref="L265:L265">ROUND(INDEX('0.0.1 Pokémon Dex Data'!$S$3:$S951,MATCH($E265,'0.0.1 Pokémon Dex Data'!$B$3:$B951,0))*INDEX('0.0.1 Pokémon Dex Data'!V$3:V951,MATCH($E265,'0.0.1 Pokémon Dex Data'!$B$3:$B951,0)),0)</f>
        <v>163</v>
      </c>
      <c r="M265" s="260" t="n">
        <f aca="false" t="array" ref="M265:M265">INDEX('0.0.1 Pokémon Dex Data'!$J$3:$J951,MATCH(E265,'0.0.1 Pokémon Dex Data'!$B$3:$B951,0))</f>
        <v>1</v>
      </c>
      <c r="O265" s="490"/>
      <c r="Q265" s="367" t="n">
        <f aca="false">IF('Reverse Search'!$F$4="All (including temporary formes)",1,IF('Reverse Search'!$F$4="Base Pokémon and permanent formes only",IF(F265&lt;=1,1,0),IF(F265=0,1,0)))</f>
        <v>1</v>
      </c>
      <c r="R265" s="0" t="n">
        <f aca="false">IF('Reverse Search'!$C$7="Disable",1,IF('Reverse Search'!$D$9="Disable",1,IF(OR('Reverse Search'!$F$9=H265,'Reverse Search'!$F$9=I265),1,0)))</f>
        <v>1</v>
      </c>
      <c r="S265" s="0" t="n">
        <f aca="false">IF('Reverse Search'!$C$7="Disable",1,IF('Reverse Search'!$D$10="Disable",1,IF(OR('Reverse Search'!$F$10=H265,'Reverse Search'!$F$10=I265),1,0)))</f>
        <v>1</v>
      </c>
      <c r="T265" s="0" t="n">
        <f aca="false">INDEX($B$4:$B$22,MATCH(H265,$A$4:$A$22,0))</f>
        <v>0.714</v>
      </c>
      <c r="U265" s="0" t="n">
        <f aca="false">IF(ISBLANK(I265),1,INDEX($B$4:$B$22,MATCH(I265,$A$4:$A$22,0)))</f>
        <v>1</v>
      </c>
      <c r="V265" s="367" t="n">
        <f aca="false">IF('Reverse Search'!$C$7="Disable",1,IF('Reverse Search'!$D$11="Disable",1,IF('Reverse Search'!$E$11="Neutral to:",IF(ROUND(T265*U265,2)&lt;=1,1,0),IF(ROUND(T265*U265,2)&lt;1,1,0))))</f>
        <v>1</v>
      </c>
      <c r="W265" s="0" t="n">
        <f aca="false">IF('Reverse Search'!$N$7="Disable",1,IF('Reverse Search'!$I$9="Disable",1,IF('Reverse Search'!$K$9="≥",IF(J265&gt;='Reverse Search'!$L$9,1,0),IF('Reverse Search'!$K$9="≤",IF(J265&lt;='Reverse Search'!$L$9,1,0),IF(J265='Reverse Search'!$L$9,1,0)))))</f>
        <v>1</v>
      </c>
      <c r="X265" s="0" t="n">
        <f aca="false">IF('Reverse Search'!$N$7="Disable",1,IF('Reverse Search'!$I$10="Disable",1,IF('Reverse Search'!$K$10="≥",IF(K265&gt;='Reverse Search'!$L$10,1,0),IF('Reverse Search'!$K$10="≤",IF(K265&lt;='Reverse Search'!$L$10,1,0),IF(K265='Reverse Search'!$L$10,1,0)))))</f>
        <v>1</v>
      </c>
      <c r="Y265" s="367" t="n">
        <f aca="false">IF('Reverse Search'!$N$7="Disable",1,IF('Reverse Search'!$I$11="Disable",1,IF('Reverse Search'!$K$11="≥",IF(L265&gt;='Reverse Search'!$L$11,1,0),IF('Reverse Search'!$K$11="≤",IF(L265&lt;='Reverse Search'!$L$11,1,0),IF(L265='Reverse Search'!$L$11,1,0)))))</f>
        <v>1</v>
      </c>
      <c r="Z265" s="0" t="n">
        <f aca="true">IF('Reverse Search'!$C$14="Disable",1,IF('Reverse Search'!$D$16="Disable",1,IF($C$2=3,IF($M265=0,0,COUNTIF(INDIRECT("'0.0.2 Pokémon Learnset (Core)'!$D$"&amp;MATCH($E265,'0.0.2 Pokémon Learnset (Core)'!$A$1:$A951,0)&amp;":$FK$"&amp;MATCH($E265,'0.0.2 Pokémon Learnset (Core)'!$A$1:$A951,0)),'Reverse Search'!$E$21)),IF($C$2=2,COUNTIF(INDIRECT("'0.1.1 Pokémon GO Moves'!$B$"&amp;MATCH($E265,'0.1.1 Pokémon GO Moves'!$A$1:$A951,0)&amp;":$R$"&amp;MATCH($E265,'0.1.1 Pokémon GO Moves'!$A$1:$A951,0)),'Reverse Search'!$E$21),COUNTIF(INDIRECT("'0.1.1 Pokémon GO Moves'!$B$"&amp;MATCH($E265,'0.1.1 Pokémon GO Moves'!$A$1:$A951,0)&amp;":$L$"&amp;MATCH($E265,'0.1.1 Pokémon GO Moves'!$A$1:$A951,0)),'Reverse Search'!$E$21)))))</f>
        <v>1</v>
      </c>
      <c r="AA265" s="0" t="n">
        <f aca="true">IF('Reverse Search'!$C$14="Disable",1,IF('Reverse Search'!$I$16="Disable",1,IF($D$2=3,IF($M265=0,0,COUNTIF(INDIRECT("'0.0.2 Pokémon Learnset (Core)'!$D$"&amp;MATCH($E265,'0.0.2 Pokémon Learnset (Core)'!$A$1:$A951,0)&amp;":$FK$"&amp;MATCH($E265,'0.0.2 Pokémon Learnset (Core)'!$A$1:$A951,0)),'Reverse Search'!$J$21)),IF($D$2=2,COUNTIF(INDIRECT("'0.1.1 Pokémon GO Moves'!$B$"&amp;MATCH($E265,'0.1.1 Pokémon GO Moves'!$A$1:$A951,0)&amp;":$R$"&amp;MATCH($E265,'0.1.1 Pokémon GO Moves'!$A$1:$A951,0)),'Reverse Search'!$J$21),COUNTIF(INDIRECT("'0.1.1 Pokémon GO Moves'!$B$"&amp;MATCH($E265,'0.1.1 Pokémon GO Moves'!$A$1:$A951,0)&amp;":$L$"&amp;MATCH($E265,'0.1.1 Pokémon GO Moves'!$A$1:$A951,0)),'Reverse Search'!$J$21)))))</f>
        <v>0</v>
      </c>
      <c r="AB265" s="490"/>
      <c r="AC265" s="260" t="n">
        <f aca="false">IF((Q265+R265+S265+V265+W265+X265+Y265+IF(Z265&gt;=1,1,0)+IF(AA265&gt;=1,1,0))=9,G265&amp;", ",)</f>
        <v>0</v>
      </c>
    </row>
    <row r="266" customFormat="false" ht="15.75" hidden="false" customHeight="false" outlineLevel="0" collapsed="false">
      <c r="A266" s="260"/>
      <c r="B266" s="358"/>
      <c r="C266" s="260"/>
      <c r="D266" s="358"/>
      <c r="E266" s="260" t="n">
        <v>265</v>
      </c>
      <c r="F266" s="260" t="n">
        <f aca="false" t="array" ref="F266:F266">INDEX('0.0.1 Pokémon Dex Data'!$H$3:$H951,MATCH(E266,'0.0.1 Pokémon Dex Data'!$B$3:$B951,0))</f>
        <v>0</v>
      </c>
      <c r="G266" s="0" t="str">
        <f aca="false" t="array" ref="G266:G266">INDEX('0.0.1 Pokémon Dex Data'!$E$3:$E951,MATCH(E266,'0.0.1 Pokémon Dex Data'!$B$3:$B951,0))</f>
        <v>Houndour</v>
      </c>
      <c r="H266" s="0" t="str">
        <f aca="false" t="array" ref="H266:H266">INDEX('0.0.1 Pokémon Dex Data'!$Q$3:$Q951,MATCH(E266,'0.0.1 Pokémon Dex Data'!$B$3:$B951,0))</f>
        <v>Dark</v>
      </c>
      <c r="I266" s="0" t="str">
        <f aca="false" t="array" ref="I266:I266">INDEX('0.0.1 Pokémon Dex Data'!$R$3:$R951,MATCH(E266,'0.0.1 Pokémon Dex Data'!$B$3:$B951,0))</f>
        <v>Fire</v>
      </c>
      <c r="J266" s="260" t="n">
        <f aca="false" t="array" ref="J266:J266">ROUND(INDEX('0.0.1 Pokémon Dex Data'!$S$3:$S951,MATCH($E266,'0.0.1 Pokémon Dex Data'!$B$3:$B951,0))*INDEX('0.0.1 Pokémon Dex Data'!T$3:T951,MATCH($E266,'0.0.1 Pokémon Dex Data'!$B$3:$B951,0)),0)</f>
        <v>152</v>
      </c>
      <c r="K266" s="260" t="n">
        <f aca="false" t="array" ref="K266:K266">ROUND(INDEX('0.0.1 Pokémon Dex Data'!$S$3:$S951,MATCH($E266,'0.0.1 Pokémon Dex Data'!$B$3:$B951,0))*INDEX('0.0.1 Pokémon Dex Data'!U$3:U951,MATCH($E266,'0.0.1 Pokémon Dex Data'!$B$3:$B951,0)),0)</f>
        <v>83</v>
      </c>
      <c r="L266" s="260" t="n">
        <f aca="false" t="array" ref="L266:L266">ROUND(INDEX('0.0.1 Pokémon Dex Data'!$S$3:$S951,MATCH($E266,'0.0.1 Pokémon Dex Data'!$B$3:$B951,0))*INDEX('0.0.1 Pokémon Dex Data'!V$3:V951,MATCH($E266,'0.0.1 Pokémon Dex Data'!$B$3:$B951,0)),0)</f>
        <v>128</v>
      </c>
      <c r="M266" s="260" t="n">
        <f aca="false" t="array" ref="M266:M266">INDEX('0.0.1 Pokémon Dex Data'!$J$3:$J951,MATCH(E266,'0.0.1 Pokémon Dex Data'!$B$3:$B951,0))</f>
        <v>0</v>
      </c>
      <c r="O266" s="490"/>
      <c r="Q266" s="367" t="n">
        <f aca="false">IF('Reverse Search'!$F$4="All (including temporary formes)",1,IF('Reverse Search'!$F$4="Base Pokémon and permanent formes only",IF(F266&lt;=1,1,0),IF(F266=0,1,0)))</f>
        <v>1</v>
      </c>
      <c r="R266" s="0" t="n">
        <f aca="false">IF('Reverse Search'!$C$7="Disable",1,IF('Reverse Search'!$D$9="Disable",1,IF(OR('Reverse Search'!$F$9=H266,'Reverse Search'!$F$9=I266),1,0)))</f>
        <v>1</v>
      </c>
      <c r="S266" s="0" t="n">
        <f aca="false">IF('Reverse Search'!$C$7="Disable",1,IF('Reverse Search'!$D$10="Disable",1,IF(OR('Reverse Search'!$F$10=H266,'Reverse Search'!$F$10=I266),1,0)))</f>
        <v>1</v>
      </c>
      <c r="T266" s="0" t="n">
        <f aca="false">INDEX($B$4:$B$22,MATCH(H266,$A$4:$A$22,0))</f>
        <v>1</v>
      </c>
      <c r="U266" s="0" t="n">
        <f aca="false">IF(ISBLANK(I266),1,INDEX($B$4:$B$22,MATCH(I266,$A$4:$A$22,0)))</f>
        <v>1</v>
      </c>
      <c r="V266" s="367" t="n">
        <f aca="false">IF('Reverse Search'!$C$7="Disable",1,IF('Reverse Search'!$D$11="Disable",1,IF('Reverse Search'!$E$11="Neutral to:",IF(ROUND(T266*U266,2)&lt;=1,1,0),IF(ROUND(T266*U266,2)&lt;1,1,0))))</f>
        <v>1</v>
      </c>
      <c r="W266" s="0" t="n">
        <f aca="false">IF('Reverse Search'!$N$7="Disable",1,IF('Reverse Search'!$I$9="Disable",1,IF('Reverse Search'!$K$9="≥",IF(J266&gt;='Reverse Search'!$L$9,1,0),IF('Reverse Search'!$K$9="≤",IF(J266&lt;='Reverse Search'!$L$9,1,0),IF(J266='Reverse Search'!$L$9,1,0)))))</f>
        <v>1</v>
      </c>
      <c r="X266" s="0" t="n">
        <f aca="false">IF('Reverse Search'!$N$7="Disable",1,IF('Reverse Search'!$I$10="Disable",1,IF('Reverse Search'!$K$10="≥",IF(K266&gt;='Reverse Search'!$L$10,1,0),IF('Reverse Search'!$K$10="≤",IF(K266&lt;='Reverse Search'!$L$10,1,0),IF(K266='Reverse Search'!$L$10,1,0)))))</f>
        <v>1</v>
      </c>
      <c r="Y266" s="367" t="n">
        <f aca="false">IF('Reverse Search'!$N$7="Disable",1,IF('Reverse Search'!$I$11="Disable",1,IF('Reverse Search'!$K$11="≥",IF(L266&gt;='Reverse Search'!$L$11,1,0),IF('Reverse Search'!$K$11="≤",IF(L266&lt;='Reverse Search'!$L$11,1,0),IF(L266='Reverse Search'!$L$11,1,0)))))</f>
        <v>1</v>
      </c>
      <c r="Z266" s="0" t="n">
        <f aca="true">IF('Reverse Search'!$C$14="Disable",1,IF('Reverse Search'!$D$16="Disable",1,IF($C$2=3,IF($M266=0,0,COUNTIF(INDIRECT("'0.0.2 Pokémon Learnset (Core)'!$D$"&amp;MATCH($E266,'0.0.2 Pokémon Learnset (Core)'!$A$1:$A951,0)&amp;":$FK$"&amp;MATCH($E266,'0.0.2 Pokémon Learnset (Core)'!$A$1:$A951,0)),'Reverse Search'!$E$21)),IF($C$2=2,COUNTIF(INDIRECT("'0.1.1 Pokémon GO Moves'!$B$"&amp;MATCH($E266,'0.1.1 Pokémon GO Moves'!$A$1:$A951,0)&amp;":$R$"&amp;MATCH($E266,'0.1.1 Pokémon GO Moves'!$A$1:$A951,0)),'Reverse Search'!$E$21),COUNTIF(INDIRECT("'0.1.1 Pokémon GO Moves'!$B$"&amp;MATCH($E266,'0.1.1 Pokémon GO Moves'!$A$1:$A951,0)&amp;":$L$"&amp;MATCH($E266,'0.1.1 Pokémon GO Moves'!$A$1:$A951,0)),'Reverse Search'!$E$21)))))</f>
        <v>1</v>
      </c>
      <c r="AA266" s="0" t="n">
        <f aca="true">IF('Reverse Search'!$C$14="Disable",1,IF('Reverse Search'!$I$16="Disable",1,IF($D$2=3,IF($M266=0,0,COUNTIF(INDIRECT("'0.0.2 Pokémon Learnset (Core)'!$D$"&amp;MATCH($E266,'0.0.2 Pokémon Learnset (Core)'!$A$1:$A951,0)&amp;":$FK$"&amp;MATCH($E266,'0.0.2 Pokémon Learnset (Core)'!$A$1:$A951,0)),'Reverse Search'!$J$21)),IF($D$2=2,COUNTIF(INDIRECT("'0.1.1 Pokémon GO Moves'!$B$"&amp;MATCH($E266,'0.1.1 Pokémon GO Moves'!$A$1:$A951,0)&amp;":$R$"&amp;MATCH($E266,'0.1.1 Pokémon GO Moves'!$A$1:$A951,0)),'Reverse Search'!$J$21),COUNTIF(INDIRECT("'0.1.1 Pokémon GO Moves'!$B$"&amp;MATCH($E266,'0.1.1 Pokémon GO Moves'!$A$1:$A951,0)&amp;":$L$"&amp;MATCH($E266,'0.1.1 Pokémon GO Moves'!$A$1:$A951,0)),'Reverse Search'!$J$21)))))</f>
        <v>0</v>
      </c>
      <c r="AB266" s="490"/>
      <c r="AC266" s="260" t="n">
        <f aca="false">IF((Q266+R266+S266+V266+W266+X266+Y266+IF(Z266&gt;=1,1,0)+IF(AA266&gt;=1,1,0))=9,G266&amp;", ",)</f>
        <v>0</v>
      </c>
    </row>
    <row r="267" customFormat="false" ht="15.75" hidden="false" customHeight="false" outlineLevel="0" collapsed="false">
      <c r="A267" s="260"/>
      <c r="B267" s="358"/>
      <c r="C267" s="260"/>
      <c r="D267" s="358"/>
      <c r="E267" s="260" t="n">
        <v>266</v>
      </c>
      <c r="F267" s="260" t="n">
        <f aca="false" t="array" ref="F267:F267">INDEX('0.0.1 Pokémon Dex Data'!$H$3:$H951,MATCH(E267,'0.0.1 Pokémon Dex Data'!$B$3:$B951,0))</f>
        <v>0</v>
      </c>
      <c r="G267" s="0" t="str">
        <f aca="false" t="array" ref="G267:G267">INDEX('0.0.1 Pokémon Dex Data'!$E$3:$E951,MATCH(E267,'0.0.1 Pokémon Dex Data'!$B$3:$B951,0))</f>
        <v>Houndoom</v>
      </c>
      <c r="H267" s="0" t="str">
        <f aca="false" t="array" ref="H267:H267">INDEX('0.0.1 Pokémon Dex Data'!$Q$3:$Q951,MATCH(E267,'0.0.1 Pokémon Dex Data'!$B$3:$B951,0))</f>
        <v>Dark</v>
      </c>
      <c r="I267" s="0" t="str">
        <f aca="false" t="array" ref="I267:I267">INDEX('0.0.1 Pokémon Dex Data'!$R$3:$R951,MATCH(E267,'0.0.1 Pokémon Dex Data'!$B$3:$B951,0))</f>
        <v>Fire</v>
      </c>
      <c r="J267" s="260" t="n">
        <f aca="false" t="array" ref="J267:J267">ROUND(INDEX('0.0.1 Pokémon Dex Data'!$S$3:$S951,MATCH($E267,'0.0.1 Pokémon Dex Data'!$B$3:$B951,0))*INDEX('0.0.1 Pokémon Dex Data'!T$3:T951,MATCH($E267,'0.0.1 Pokémon Dex Data'!$B$3:$B951,0)),0)</f>
        <v>224</v>
      </c>
      <c r="K267" s="260" t="n">
        <f aca="false" t="array" ref="K267:K267">ROUND(INDEX('0.0.1 Pokémon Dex Data'!$S$3:$S951,MATCH($E267,'0.0.1 Pokémon Dex Data'!$B$3:$B951,0))*INDEX('0.0.1 Pokémon Dex Data'!U$3:U951,MATCH($E267,'0.0.1 Pokémon Dex Data'!$B$3:$B951,0)),0)</f>
        <v>144</v>
      </c>
      <c r="L267" s="260" t="n">
        <f aca="false" t="array" ref="L267:L267">ROUND(INDEX('0.0.1 Pokémon Dex Data'!$S$3:$S951,MATCH($E267,'0.0.1 Pokémon Dex Data'!$B$3:$B951,0))*INDEX('0.0.1 Pokémon Dex Data'!V$3:V951,MATCH($E267,'0.0.1 Pokémon Dex Data'!$B$3:$B951,0)),0)</f>
        <v>181</v>
      </c>
      <c r="M267" s="260" t="n">
        <f aca="false" t="array" ref="M267:M267">INDEX('0.0.1 Pokémon Dex Data'!$J$3:$J951,MATCH(E267,'0.0.1 Pokémon Dex Data'!$B$3:$B951,0))</f>
        <v>1</v>
      </c>
      <c r="O267" s="490"/>
      <c r="Q267" s="367" t="n">
        <f aca="false">IF('Reverse Search'!$F$4="All (including temporary formes)",1,IF('Reverse Search'!$F$4="Base Pokémon and permanent formes only",IF(F267&lt;=1,1,0),IF(F267=0,1,0)))</f>
        <v>1</v>
      </c>
      <c r="R267" s="0" t="n">
        <f aca="false">IF('Reverse Search'!$C$7="Disable",1,IF('Reverse Search'!$D$9="Disable",1,IF(OR('Reverse Search'!$F$9=H267,'Reverse Search'!$F$9=I267),1,0)))</f>
        <v>1</v>
      </c>
      <c r="S267" s="0" t="n">
        <f aca="false">IF('Reverse Search'!$C$7="Disable",1,IF('Reverse Search'!$D$10="Disable",1,IF(OR('Reverse Search'!$F$10=H267,'Reverse Search'!$F$10=I267),1,0)))</f>
        <v>1</v>
      </c>
      <c r="T267" s="0" t="n">
        <f aca="false">INDEX($B$4:$B$22,MATCH(H267,$A$4:$A$22,0))</f>
        <v>1</v>
      </c>
      <c r="U267" s="0" t="n">
        <f aca="false">IF(ISBLANK(I267),1,INDEX($B$4:$B$22,MATCH(I267,$A$4:$A$22,0)))</f>
        <v>1</v>
      </c>
      <c r="V267" s="367" t="n">
        <f aca="false">IF('Reverse Search'!$C$7="Disable",1,IF('Reverse Search'!$D$11="Disable",1,IF('Reverse Search'!$E$11="Neutral to:",IF(ROUND(T267*U267,2)&lt;=1,1,0),IF(ROUND(T267*U267,2)&lt;1,1,0))))</f>
        <v>1</v>
      </c>
      <c r="W267" s="0" t="n">
        <f aca="false">IF('Reverse Search'!$N$7="Disable",1,IF('Reverse Search'!$I$9="Disable",1,IF('Reverse Search'!$K$9="≥",IF(J267&gt;='Reverse Search'!$L$9,1,0),IF('Reverse Search'!$K$9="≤",IF(J267&lt;='Reverse Search'!$L$9,1,0),IF(J267='Reverse Search'!$L$9,1,0)))))</f>
        <v>1</v>
      </c>
      <c r="X267" s="0" t="n">
        <f aca="false">IF('Reverse Search'!$N$7="Disable",1,IF('Reverse Search'!$I$10="Disable",1,IF('Reverse Search'!$K$10="≥",IF(K267&gt;='Reverse Search'!$L$10,1,0),IF('Reverse Search'!$K$10="≤",IF(K267&lt;='Reverse Search'!$L$10,1,0),IF(K267='Reverse Search'!$L$10,1,0)))))</f>
        <v>1</v>
      </c>
      <c r="Y267" s="367" t="n">
        <f aca="false">IF('Reverse Search'!$N$7="Disable",1,IF('Reverse Search'!$I$11="Disable",1,IF('Reverse Search'!$K$11="≥",IF(L267&gt;='Reverse Search'!$L$11,1,0),IF('Reverse Search'!$K$11="≤",IF(L267&lt;='Reverse Search'!$L$11,1,0),IF(L267='Reverse Search'!$L$11,1,0)))))</f>
        <v>1</v>
      </c>
      <c r="Z267" s="0" t="n">
        <f aca="true">IF('Reverse Search'!$C$14="Disable",1,IF('Reverse Search'!$D$16="Disable",1,IF($C$2=3,IF($M267=0,0,COUNTIF(INDIRECT("'0.0.2 Pokémon Learnset (Core)'!$D$"&amp;MATCH($E267,'0.0.2 Pokémon Learnset (Core)'!$A$1:$A951,0)&amp;":$FK$"&amp;MATCH($E267,'0.0.2 Pokémon Learnset (Core)'!$A$1:$A951,0)),'Reverse Search'!$E$21)),IF($C$2=2,COUNTIF(INDIRECT("'0.1.1 Pokémon GO Moves'!$B$"&amp;MATCH($E267,'0.1.1 Pokémon GO Moves'!$A$1:$A951,0)&amp;":$R$"&amp;MATCH($E267,'0.1.1 Pokémon GO Moves'!$A$1:$A951,0)),'Reverse Search'!$E$21),COUNTIF(INDIRECT("'0.1.1 Pokémon GO Moves'!$B$"&amp;MATCH($E267,'0.1.1 Pokémon GO Moves'!$A$1:$A951,0)&amp;":$L$"&amp;MATCH($E267,'0.1.1 Pokémon GO Moves'!$A$1:$A951,0)),'Reverse Search'!$E$21)))))</f>
        <v>1</v>
      </c>
      <c r="AA267" s="0" t="n">
        <f aca="true">IF('Reverse Search'!$C$14="Disable",1,IF('Reverse Search'!$I$16="Disable",1,IF($D$2=3,IF($M267=0,0,COUNTIF(INDIRECT("'0.0.2 Pokémon Learnset (Core)'!$D$"&amp;MATCH($E267,'0.0.2 Pokémon Learnset (Core)'!$A$1:$A951,0)&amp;":$FK$"&amp;MATCH($E267,'0.0.2 Pokémon Learnset (Core)'!$A$1:$A951,0)),'Reverse Search'!$J$21)),IF($D$2=2,COUNTIF(INDIRECT("'0.1.1 Pokémon GO Moves'!$B$"&amp;MATCH($E267,'0.1.1 Pokémon GO Moves'!$A$1:$A951,0)&amp;":$R$"&amp;MATCH($E267,'0.1.1 Pokémon GO Moves'!$A$1:$A951,0)),'Reverse Search'!$J$21),COUNTIF(INDIRECT("'0.1.1 Pokémon GO Moves'!$B$"&amp;MATCH($E267,'0.1.1 Pokémon GO Moves'!$A$1:$A951,0)&amp;":$L$"&amp;MATCH($E267,'0.1.1 Pokémon GO Moves'!$A$1:$A951,0)),'Reverse Search'!$J$21)))))</f>
        <v>0</v>
      </c>
      <c r="AB267" s="490"/>
      <c r="AC267" s="260" t="n">
        <f aca="false">IF((Q267+R267+S267+V267+W267+X267+Y267+IF(Z267&gt;=1,1,0)+IF(AA267&gt;=1,1,0))=9,G267&amp;", ",)</f>
        <v>0</v>
      </c>
    </row>
    <row r="268" customFormat="false" ht="15.75" hidden="false" customHeight="false" outlineLevel="0" collapsed="false">
      <c r="A268" s="260"/>
      <c r="B268" s="358"/>
      <c r="C268" s="260"/>
      <c r="D268" s="358"/>
      <c r="E268" s="260" t="n">
        <v>267</v>
      </c>
      <c r="F268" s="260" t="n">
        <f aca="false" t="array" ref="F268:F268">INDEX('0.0.1 Pokémon Dex Data'!$H$3:$H951,MATCH(E268,'0.0.1 Pokémon Dex Data'!$B$3:$B951,0))</f>
        <v>2</v>
      </c>
      <c r="G268" s="0" t="str">
        <f aca="false" t="array" ref="G268:G268">INDEX('0.0.1 Pokémon Dex Data'!$E$3:$E951,MATCH(E268,'0.0.1 Pokémon Dex Data'!$B$3:$B951,0))</f>
        <v>Houndoom-Mega</v>
      </c>
      <c r="H268" s="0" t="str">
        <f aca="false" t="array" ref="H268:H268">INDEX('0.0.1 Pokémon Dex Data'!$Q$3:$Q951,MATCH(E268,'0.0.1 Pokémon Dex Data'!$B$3:$B951,0))</f>
        <v>Dark</v>
      </c>
      <c r="I268" s="0" t="str">
        <f aca="false" t="array" ref="I268:I268">INDEX('0.0.1 Pokémon Dex Data'!$R$3:$R951,MATCH(E268,'0.0.1 Pokémon Dex Data'!$B$3:$B951,0))</f>
        <v>Fire</v>
      </c>
      <c r="J268" s="260" t="n">
        <f aca="false" t="array" ref="J268:J268">ROUND(INDEX('0.0.1 Pokémon Dex Data'!$S$3:$S951,MATCH($E268,'0.0.1 Pokémon Dex Data'!$B$3:$B951,0))*INDEX('0.0.1 Pokémon Dex Data'!T$3:T951,MATCH($E268,'0.0.1 Pokémon Dex Data'!$B$3:$B951,0)),0)</f>
        <v>289</v>
      </c>
      <c r="K268" s="260" t="n">
        <f aca="false" t="array" ref="K268:K268">ROUND(INDEX('0.0.1 Pokémon Dex Data'!$S$3:$S951,MATCH($E268,'0.0.1 Pokémon Dex Data'!$B$3:$B951,0))*INDEX('0.0.1 Pokémon Dex Data'!U$3:U951,MATCH($E268,'0.0.1 Pokémon Dex Data'!$B$3:$B951,0)),0)</f>
        <v>194</v>
      </c>
      <c r="L268" s="260" t="n">
        <f aca="false" t="array" ref="L268:L268">ROUND(INDEX('0.0.1 Pokémon Dex Data'!$S$3:$S951,MATCH($E268,'0.0.1 Pokémon Dex Data'!$B$3:$B951,0))*INDEX('0.0.1 Pokémon Dex Data'!V$3:V951,MATCH($E268,'0.0.1 Pokémon Dex Data'!$B$3:$B951,0)),0)</f>
        <v>181</v>
      </c>
      <c r="M268" s="260" t="n">
        <f aca="false" t="array" ref="M268:M268">INDEX('0.0.1 Pokémon Dex Data'!$J$3:$J951,MATCH(E268,'0.0.1 Pokémon Dex Data'!$B$3:$B951,0))</f>
        <v>1</v>
      </c>
      <c r="O268" s="490"/>
      <c r="Q268" s="367" t="n">
        <f aca="false">IF('Reverse Search'!$F$4="All (including temporary formes)",1,IF('Reverse Search'!$F$4="Base Pokémon and permanent formes only",IF(F268&lt;=1,1,0),IF(F268=0,1,0)))</f>
        <v>0</v>
      </c>
      <c r="R268" s="0" t="n">
        <f aca="false">IF('Reverse Search'!$C$7="Disable",1,IF('Reverse Search'!$D$9="Disable",1,IF(OR('Reverse Search'!$F$9=H268,'Reverse Search'!$F$9=I268),1,0)))</f>
        <v>1</v>
      </c>
      <c r="S268" s="0" t="n">
        <f aca="false">IF('Reverse Search'!$C$7="Disable",1,IF('Reverse Search'!$D$10="Disable",1,IF(OR('Reverse Search'!$F$10=H268,'Reverse Search'!$F$10=I268),1,0)))</f>
        <v>1</v>
      </c>
      <c r="T268" s="0" t="n">
        <f aca="false">INDEX($B$4:$B$22,MATCH(H268,$A$4:$A$22,0))</f>
        <v>1</v>
      </c>
      <c r="U268" s="0" t="n">
        <f aca="false">IF(ISBLANK(I268),1,INDEX($B$4:$B$22,MATCH(I268,$A$4:$A$22,0)))</f>
        <v>1</v>
      </c>
      <c r="V268" s="367" t="n">
        <f aca="false">IF('Reverse Search'!$C$7="Disable",1,IF('Reverse Search'!$D$11="Disable",1,IF('Reverse Search'!$E$11="Neutral to:",IF(ROUND(T268*U268,2)&lt;=1,1,0),IF(ROUND(T268*U268,2)&lt;1,1,0))))</f>
        <v>1</v>
      </c>
      <c r="W268" s="0" t="n">
        <f aca="false">IF('Reverse Search'!$N$7="Disable",1,IF('Reverse Search'!$I$9="Disable",1,IF('Reverse Search'!$K$9="≥",IF(J268&gt;='Reverse Search'!$L$9,1,0),IF('Reverse Search'!$K$9="≤",IF(J268&lt;='Reverse Search'!$L$9,1,0),IF(J268='Reverse Search'!$L$9,1,0)))))</f>
        <v>1</v>
      </c>
      <c r="X268" s="0" t="n">
        <f aca="false">IF('Reverse Search'!$N$7="Disable",1,IF('Reverse Search'!$I$10="Disable",1,IF('Reverse Search'!$K$10="≥",IF(K268&gt;='Reverse Search'!$L$10,1,0),IF('Reverse Search'!$K$10="≤",IF(K268&lt;='Reverse Search'!$L$10,1,0),IF(K268='Reverse Search'!$L$10,1,0)))))</f>
        <v>1</v>
      </c>
      <c r="Y268" s="367" t="n">
        <f aca="false">IF('Reverse Search'!$N$7="Disable",1,IF('Reverse Search'!$I$11="Disable",1,IF('Reverse Search'!$K$11="≥",IF(L268&gt;='Reverse Search'!$L$11,1,0),IF('Reverse Search'!$K$11="≤",IF(L268&lt;='Reverse Search'!$L$11,1,0),IF(L268='Reverse Search'!$L$11,1,0)))))</f>
        <v>1</v>
      </c>
      <c r="Z268" s="0" t="n">
        <f aca="true">IF('Reverse Search'!$C$14="Disable",1,IF('Reverse Search'!$D$16="Disable",1,IF($C$2=3,IF($M268=0,0,COUNTIF(INDIRECT("'0.0.2 Pokémon Learnset (Core)'!$D$"&amp;MATCH($E268,'0.0.2 Pokémon Learnset (Core)'!$A$1:$A951,0)&amp;":$FK$"&amp;MATCH($E268,'0.0.2 Pokémon Learnset (Core)'!$A$1:$A951,0)),'Reverse Search'!$E$21)),IF($C$2=2,COUNTIF(INDIRECT("'0.1.1 Pokémon GO Moves'!$B$"&amp;MATCH($E268,'0.1.1 Pokémon GO Moves'!$A$1:$A951,0)&amp;":$R$"&amp;MATCH($E268,'0.1.1 Pokémon GO Moves'!$A$1:$A951,0)),'Reverse Search'!$E$21),COUNTIF(INDIRECT("'0.1.1 Pokémon GO Moves'!$B$"&amp;MATCH($E268,'0.1.1 Pokémon GO Moves'!$A$1:$A951,0)&amp;":$L$"&amp;MATCH($E268,'0.1.1 Pokémon GO Moves'!$A$1:$A951,0)),'Reverse Search'!$E$21)))))</f>
        <v>1</v>
      </c>
      <c r="AA268" s="0" t="e">
        <f aca="true">IF('Reverse Search'!$C$14="Disable",1,IF('Reverse Search'!$I$16="Disable",1,IF($D$2=3,IF($M268=0,0,COUNTIF(INDIRECT("'0.0.2 Pokémon Learnset (Core)'!$D$"&amp;MATCH($E268,'0.0.2 Pokémon Learnset (Core)'!$A$1:$A951,0)&amp;":$FK$"&amp;MATCH($E268,'0.0.2 Pokémon Learnset (Core)'!$A$1:$A951,0)),'Reverse Search'!$J$21)),IF($D$2=2,COUNTIF(INDIRECT("'0.1.1 Pokémon GO Moves'!$B$"&amp;MATCH($E268,'0.1.1 Pokémon GO Moves'!$A$1:$A951,0)&amp;":$R$"&amp;MATCH($E268,'0.1.1 Pokémon GO Moves'!$A$1:$A951,0)),'Reverse Search'!$J$21),COUNTIF(INDIRECT("'0.1.1 Pokémon GO Moves'!$B$"&amp;MATCH($E268,'0.1.1 Pokémon GO Moves'!$A$1:$A951,0)&amp;":$L$"&amp;MATCH($E268,'0.1.1 Pokémon GO Moves'!$A$1:$A951,0)),'Reverse Search'!$J$21)))))</f>
        <v>#N/A</v>
      </c>
      <c r="AB268" s="490"/>
      <c r="AC268" s="260" t="e">
        <f aca="false">IF((Q268+R268+S268+V268+W268+X268+Y268+IF(Z268&gt;=1,1,0)+IF(AA268&gt;=1,1,0))=9,G268&amp;", ",)</f>
        <v>#N/A</v>
      </c>
    </row>
    <row r="269" customFormat="false" ht="15.75" hidden="false" customHeight="false" outlineLevel="0" collapsed="false">
      <c r="A269" s="260"/>
      <c r="B269" s="358"/>
      <c r="C269" s="260"/>
      <c r="D269" s="358"/>
      <c r="E269" s="260" t="n">
        <v>268</v>
      </c>
      <c r="F269" s="260" t="n">
        <f aca="false" t="array" ref="F269:F269">INDEX('0.0.1 Pokémon Dex Data'!$H$3:$H951,MATCH(E269,'0.0.1 Pokémon Dex Data'!$B$3:$B951,0))</f>
        <v>0</v>
      </c>
      <c r="G269" s="0" t="str">
        <f aca="false" t="array" ref="G269:G269">INDEX('0.0.1 Pokémon Dex Data'!$E$3:$E951,MATCH(E269,'0.0.1 Pokémon Dex Data'!$B$3:$B951,0))</f>
        <v>Kingdra</v>
      </c>
      <c r="H269" s="0" t="str">
        <f aca="false" t="array" ref="H269:H269">INDEX('0.0.1 Pokémon Dex Data'!$Q$3:$Q951,MATCH(E269,'0.0.1 Pokémon Dex Data'!$B$3:$B951,0))</f>
        <v>Water</v>
      </c>
      <c r="I269" s="0" t="str">
        <f aca="false" t="array" ref="I269:I269">INDEX('0.0.1 Pokémon Dex Data'!$R$3:$R951,MATCH(E269,'0.0.1 Pokémon Dex Data'!$B$3:$B951,0))</f>
        <v>Dragon</v>
      </c>
      <c r="J269" s="260" t="n">
        <f aca="false" t="array" ref="J269:J269">ROUND(INDEX('0.0.1 Pokémon Dex Data'!$S$3:$S951,MATCH($E269,'0.0.1 Pokémon Dex Data'!$B$3:$B951,0))*INDEX('0.0.1 Pokémon Dex Data'!T$3:T951,MATCH($E269,'0.0.1 Pokémon Dex Data'!$B$3:$B951,0)),0)</f>
        <v>194</v>
      </c>
      <c r="K269" s="260" t="n">
        <f aca="false" t="array" ref="K269:K269">ROUND(INDEX('0.0.1 Pokémon Dex Data'!$S$3:$S951,MATCH($E269,'0.0.1 Pokémon Dex Data'!$B$3:$B951,0))*INDEX('0.0.1 Pokémon Dex Data'!U$3:U951,MATCH($E269,'0.0.1 Pokémon Dex Data'!$B$3:$B951,0)),0)</f>
        <v>194</v>
      </c>
      <c r="L269" s="260" t="n">
        <f aca="false" t="array" ref="L269:L269">ROUND(INDEX('0.0.1 Pokémon Dex Data'!$S$3:$S951,MATCH($E269,'0.0.1 Pokémon Dex Data'!$B$3:$B951,0))*INDEX('0.0.1 Pokémon Dex Data'!V$3:V951,MATCH($E269,'0.0.1 Pokémon Dex Data'!$B$3:$B951,0)),0)</f>
        <v>181</v>
      </c>
      <c r="M269" s="260" t="n">
        <f aca="false" t="array" ref="M269:M269">INDEX('0.0.1 Pokémon Dex Data'!$J$3:$J951,MATCH(E269,'0.0.1 Pokémon Dex Data'!$B$3:$B951,0))</f>
        <v>1</v>
      </c>
      <c r="O269" s="490"/>
      <c r="Q269" s="367" t="n">
        <f aca="false">IF('Reverse Search'!$F$4="All (including temporary formes)",1,IF('Reverse Search'!$F$4="Base Pokémon and permanent formes only",IF(F269&lt;=1,1,0),IF(F269=0,1,0)))</f>
        <v>1</v>
      </c>
      <c r="R269" s="0" t="n">
        <f aca="false">IF('Reverse Search'!$C$7="Disable",1,IF('Reverse Search'!$D$9="Disable",1,IF(OR('Reverse Search'!$F$9=H269,'Reverse Search'!$F$9=I269),1,0)))</f>
        <v>1</v>
      </c>
      <c r="S269" s="0" t="n">
        <f aca="false">IF('Reverse Search'!$C$7="Disable",1,IF('Reverse Search'!$D$10="Disable",1,IF(OR('Reverse Search'!$F$10=H269,'Reverse Search'!$F$10=I269),1,0)))</f>
        <v>1</v>
      </c>
      <c r="T269" s="0" t="n">
        <f aca="false">INDEX($B$4:$B$22,MATCH(H269,$A$4:$A$22,0))</f>
        <v>1</v>
      </c>
      <c r="U269" s="0" t="n">
        <f aca="false">IF(ISBLANK(I269),1,INDEX($B$4:$B$22,MATCH(I269,$A$4:$A$22,0)))</f>
        <v>1</v>
      </c>
      <c r="V269" s="367" t="n">
        <f aca="false">IF('Reverse Search'!$C$7="Disable",1,IF('Reverse Search'!$D$11="Disable",1,IF('Reverse Search'!$E$11="Neutral to:",IF(ROUND(T269*U269,2)&lt;=1,1,0),IF(ROUND(T269*U269,2)&lt;1,1,0))))</f>
        <v>1</v>
      </c>
      <c r="W269" s="0" t="n">
        <f aca="false">IF('Reverse Search'!$N$7="Disable",1,IF('Reverse Search'!$I$9="Disable",1,IF('Reverse Search'!$K$9="≥",IF(J269&gt;='Reverse Search'!$L$9,1,0),IF('Reverse Search'!$K$9="≤",IF(J269&lt;='Reverse Search'!$L$9,1,0),IF(J269='Reverse Search'!$L$9,1,0)))))</f>
        <v>1</v>
      </c>
      <c r="X269" s="0" t="n">
        <f aca="false">IF('Reverse Search'!$N$7="Disable",1,IF('Reverse Search'!$I$10="Disable",1,IF('Reverse Search'!$K$10="≥",IF(K269&gt;='Reverse Search'!$L$10,1,0),IF('Reverse Search'!$K$10="≤",IF(K269&lt;='Reverse Search'!$L$10,1,0),IF(K269='Reverse Search'!$L$10,1,0)))))</f>
        <v>1</v>
      </c>
      <c r="Y269" s="367" t="n">
        <f aca="false">IF('Reverse Search'!$N$7="Disable",1,IF('Reverse Search'!$I$11="Disable",1,IF('Reverse Search'!$K$11="≥",IF(L269&gt;='Reverse Search'!$L$11,1,0),IF('Reverse Search'!$K$11="≤",IF(L269&lt;='Reverse Search'!$L$11,1,0),IF(L269='Reverse Search'!$L$11,1,0)))))</f>
        <v>1</v>
      </c>
      <c r="Z269" s="0" t="n">
        <f aca="true">IF('Reverse Search'!$C$14="Disable",1,IF('Reverse Search'!$D$16="Disable",1,IF($C$2=3,IF($M269=0,0,COUNTIF(INDIRECT("'0.0.2 Pokémon Learnset (Core)'!$D$"&amp;MATCH($E269,'0.0.2 Pokémon Learnset (Core)'!$A$1:$A951,0)&amp;":$FK$"&amp;MATCH($E269,'0.0.2 Pokémon Learnset (Core)'!$A$1:$A951,0)),'Reverse Search'!$E$21)),IF($C$2=2,COUNTIF(INDIRECT("'0.1.1 Pokémon GO Moves'!$B$"&amp;MATCH($E269,'0.1.1 Pokémon GO Moves'!$A$1:$A951,0)&amp;":$R$"&amp;MATCH($E269,'0.1.1 Pokémon GO Moves'!$A$1:$A951,0)),'Reverse Search'!$E$21),COUNTIF(INDIRECT("'0.1.1 Pokémon GO Moves'!$B$"&amp;MATCH($E269,'0.1.1 Pokémon GO Moves'!$A$1:$A951,0)&amp;":$L$"&amp;MATCH($E269,'0.1.1 Pokémon GO Moves'!$A$1:$A951,0)),'Reverse Search'!$E$21)))))</f>
        <v>1</v>
      </c>
      <c r="AA269" s="0" t="n">
        <f aca="true">IF('Reverse Search'!$C$14="Disable",1,IF('Reverse Search'!$I$16="Disable",1,IF($D$2=3,IF($M269=0,0,COUNTIF(INDIRECT("'0.0.2 Pokémon Learnset (Core)'!$D$"&amp;MATCH($E269,'0.0.2 Pokémon Learnset (Core)'!$A$1:$A951,0)&amp;":$FK$"&amp;MATCH($E269,'0.0.2 Pokémon Learnset (Core)'!$A$1:$A951,0)),'Reverse Search'!$J$21)),IF($D$2=2,COUNTIF(INDIRECT("'0.1.1 Pokémon GO Moves'!$B$"&amp;MATCH($E269,'0.1.1 Pokémon GO Moves'!$A$1:$A951,0)&amp;":$R$"&amp;MATCH($E269,'0.1.1 Pokémon GO Moves'!$A$1:$A951,0)),'Reverse Search'!$J$21),COUNTIF(INDIRECT("'0.1.1 Pokémon GO Moves'!$B$"&amp;MATCH($E269,'0.1.1 Pokémon GO Moves'!$A$1:$A951,0)&amp;":$L$"&amp;MATCH($E269,'0.1.1 Pokémon GO Moves'!$A$1:$A951,0)),'Reverse Search'!$J$21)))))</f>
        <v>0</v>
      </c>
      <c r="AB269" s="490"/>
      <c r="AC269" s="260" t="n">
        <f aca="false">IF((Q269+R269+S269+V269+W269+X269+Y269+IF(Z269&gt;=1,1,0)+IF(AA269&gt;=1,1,0))=9,G269&amp;", ",)</f>
        <v>0</v>
      </c>
    </row>
    <row r="270" customFormat="false" ht="15.75" hidden="false" customHeight="false" outlineLevel="0" collapsed="false">
      <c r="A270" s="260"/>
      <c r="B270" s="358"/>
      <c r="C270" s="260"/>
      <c r="D270" s="358"/>
      <c r="E270" s="260" t="n">
        <v>269</v>
      </c>
      <c r="F270" s="260" t="n">
        <f aca="false" t="array" ref="F270:F270">INDEX('0.0.1 Pokémon Dex Data'!$H$3:$H951,MATCH(E270,'0.0.1 Pokémon Dex Data'!$B$3:$B951,0))</f>
        <v>0</v>
      </c>
      <c r="G270" s="0" t="str">
        <f aca="false" t="array" ref="G270:G270">INDEX('0.0.1 Pokémon Dex Data'!$E$3:$E951,MATCH(E270,'0.0.1 Pokémon Dex Data'!$B$3:$B951,0))</f>
        <v>Phanpy</v>
      </c>
      <c r="H270" s="0" t="str">
        <f aca="false" t="array" ref="H270:H270">INDEX('0.0.1 Pokémon Dex Data'!$Q$3:$Q951,MATCH(E270,'0.0.1 Pokémon Dex Data'!$B$3:$B951,0))</f>
        <v>Ground</v>
      </c>
      <c r="I270" s="0" t="n">
        <f aca="false">INDEX('0.0.1 Pokémon Dex Data'!$R$3:$R951,MATCH(E270,'0.0.1 Pokémon Dex Data'!$B$3:$B951,0))</f>
        <v>0</v>
      </c>
      <c r="J270" s="260" t="n">
        <f aca="false" t="array" ref="J270:J270">ROUND(INDEX('0.0.1 Pokémon Dex Data'!$S$3:$S951,MATCH($E270,'0.0.1 Pokémon Dex Data'!$B$3:$B951,0))*INDEX('0.0.1 Pokémon Dex Data'!T$3:T951,MATCH($E270,'0.0.1 Pokémon Dex Data'!$B$3:$B951,0)),0)</f>
        <v>107</v>
      </c>
      <c r="K270" s="260" t="n">
        <f aca="false" t="array" ref="K270:K270">ROUND(INDEX('0.0.1 Pokémon Dex Data'!$S$3:$S951,MATCH($E270,'0.0.1 Pokémon Dex Data'!$B$3:$B951,0))*INDEX('0.0.1 Pokémon Dex Data'!U$3:U951,MATCH($E270,'0.0.1 Pokémon Dex Data'!$B$3:$B951,0)),0)</f>
        <v>98</v>
      </c>
      <c r="L270" s="260" t="n">
        <f aca="false" t="array" ref="L270:L270">ROUND(INDEX('0.0.1 Pokémon Dex Data'!$S$3:$S951,MATCH($E270,'0.0.1 Pokémon Dex Data'!$B$3:$B951,0))*INDEX('0.0.1 Pokémon Dex Data'!V$3:V951,MATCH($E270,'0.0.1 Pokémon Dex Data'!$B$3:$B951,0)),0)</f>
        <v>207</v>
      </c>
      <c r="M270" s="260" t="n">
        <f aca="false" t="array" ref="M270:M270">INDEX('0.0.1 Pokémon Dex Data'!$J$3:$J951,MATCH(E270,'0.0.1 Pokémon Dex Data'!$B$3:$B951,0))</f>
        <v>0</v>
      </c>
      <c r="O270" s="490"/>
      <c r="Q270" s="367" t="n">
        <f aca="false">IF('Reverse Search'!$F$4="All (including temporary formes)",1,IF('Reverse Search'!$F$4="Base Pokémon and permanent formes only",IF(F270&lt;=1,1,0),IF(F270=0,1,0)))</f>
        <v>1</v>
      </c>
      <c r="R270" s="0" t="n">
        <f aca="false">IF('Reverse Search'!$C$7="Disable",1,IF('Reverse Search'!$D$9="Disable",1,IF(OR('Reverse Search'!$F$9=H270,'Reverse Search'!$F$9=I270),1,0)))</f>
        <v>1</v>
      </c>
      <c r="S270" s="0" t="n">
        <f aca="false">IF('Reverse Search'!$C$7="Disable",1,IF('Reverse Search'!$D$10="Disable",1,IF(OR('Reverse Search'!$F$10=H270,'Reverse Search'!$F$10=I270),1,0)))</f>
        <v>1</v>
      </c>
      <c r="T270" s="0" t="n">
        <f aca="false">INDEX($B$4:$B$22,MATCH(H270,$A$4:$A$22,0))</f>
        <v>1</v>
      </c>
      <c r="U270" s="0" t="e">
        <f aca="false">IF(ISBLANK(I270),1,INDEX($B$4:$B$22,MATCH(I270,$A$4:$A$22,0)))</f>
        <v>#N/A</v>
      </c>
      <c r="V270" s="367" t="n">
        <f aca="false">IF('Reverse Search'!$C$7="Disable",1,IF('Reverse Search'!$D$11="Disable",1,IF('Reverse Search'!$E$11="Neutral to:",IF(ROUND(T270*U270,2)&lt;=1,1,0),IF(ROUND(T270*U270,2)&lt;1,1,0))))</f>
        <v>1</v>
      </c>
      <c r="W270" s="0" t="n">
        <f aca="false">IF('Reverse Search'!$N$7="Disable",1,IF('Reverse Search'!$I$9="Disable",1,IF('Reverse Search'!$K$9="≥",IF(J270&gt;='Reverse Search'!$L$9,1,0),IF('Reverse Search'!$K$9="≤",IF(J270&lt;='Reverse Search'!$L$9,1,0),IF(J270='Reverse Search'!$L$9,1,0)))))</f>
        <v>1</v>
      </c>
      <c r="X270" s="0" t="n">
        <f aca="false">IF('Reverse Search'!$N$7="Disable",1,IF('Reverse Search'!$I$10="Disable",1,IF('Reverse Search'!$K$10="≥",IF(K270&gt;='Reverse Search'!$L$10,1,0),IF('Reverse Search'!$K$10="≤",IF(K270&lt;='Reverse Search'!$L$10,1,0),IF(K270='Reverse Search'!$L$10,1,0)))))</f>
        <v>1</v>
      </c>
      <c r="Y270" s="367" t="n">
        <f aca="false">IF('Reverse Search'!$N$7="Disable",1,IF('Reverse Search'!$I$11="Disable",1,IF('Reverse Search'!$K$11="≥",IF(L270&gt;='Reverse Search'!$L$11,1,0),IF('Reverse Search'!$K$11="≤",IF(L270&lt;='Reverse Search'!$L$11,1,0),IF(L270='Reverse Search'!$L$11,1,0)))))</f>
        <v>1</v>
      </c>
      <c r="Z270" s="0" t="n">
        <f aca="true">IF('Reverse Search'!$C$14="Disable",1,IF('Reverse Search'!$D$16="Disable",1,IF($C$2=3,IF($M270=0,0,COUNTIF(INDIRECT("'0.0.2 Pokémon Learnset (Core)'!$D$"&amp;MATCH($E270,'0.0.2 Pokémon Learnset (Core)'!$A$1:$A951,0)&amp;":$FK$"&amp;MATCH($E270,'0.0.2 Pokémon Learnset (Core)'!$A$1:$A951,0)),'Reverse Search'!$E$21)),IF($C$2=2,COUNTIF(INDIRECT("'0.1.1 Pokémon GO Moves'!$B$"&amp;MATCH($E270,'0.1.1 Pokémon GO Moves'!$A$1:$A951,0)&amp;":$R$"&amp;MATCH($E270,'0.1.1 Pokémon GO Moves'!$A$1:$A951,0)),'Reverse Search'!$E$21),COUNTIF(INDIRECT("'0.1.1 Pokémon GO Moves'!$B$"&amp;MATCH($E270,'0.1.1 Pokémon GO Moves'!$A$1:$A951,0)&amp;":$L$"&amp;MATCH($E270,'0.1.1 Pokémon GO Moves'!$A$1:$A951,0)),'Reverse Search'!$E$21)))))</f>
        <v>1</v>
      </c>
      <c r="AA270" s="0" t="n">
        <f aca="true">IF('Reverse Search'!$C$14="Disable",1,IF('Reverse Search'!$I$16="Disable",1,IF($D$2=3,IF($M270=0,0,COUNTIF(INDIRECT("'0.0.2 Pokémon Learnset (Core)'!$D$"&amp;MATCH($E270,'0.0.2 Pokémon Learnset (Core)'!$A$1:$A951,0)&amp;":$FK$"&amp;MATCH($E270,'0.0.2 Pokémon Learnset (Core)'!$A$1:$A951,0)),'Reverse Search'!$J$21)),IF($D$2=2,COUNTIF(INDIRECT("'0.1.1 Pokémon GO Moves'!$B$"&amp;MATCH($E270,'0.1.1 Pokémon GO Moves'!$A$1:$A951,0)&amp;":$R$"&amp;MATCH($E270,'0.1.1 Pokémon GO Moves'!$A$1:$A951,0)),'Reverse Search'!$J$21),COUNTIF(INDIRECT("'0.1.1 Pokémon GO Moves'!$B$"&amp;MATCH($E270,'0.1.1 Pokémon GO Moves'!$A$1:$A951,0)&amp;":$L$"&amp;MATCH($E270,'0.1.1 Pokémon GO Moves'!$A$1:$A951,0)),'Reverse Search'!$J$21)))))</f>
        <v>0</v>
      </c>
      <c r="AB270" s="490"/>
      <c r="AC270" s="260" t="n">
        <f aca="false">IF((Q270+R270+S270+V270+W270+X270+Y270+IF(Z270&gt;=1,1,0)+IF(AA270&gt;=1,1,0))=9,G270&amp;", ",)</f>
        <v>0</v>
      </c>
    </row>
    <row r="271" customFormat="false" ht="15.75" hidden="false" customHeight="false" outlineLevel="0" collapsed="false">
      <c r="A271" s="260"/>
      <c r="B271" s="358"/>
      <c r="C271" s="260"/>
      <c r="D271" s="358"/>
      <c r="E271" s="260" t="n">
        <v>270</v>
      </c>
      <c r="F271" s="260" t="n">
        <f aca="false" t="array" ref="F271:F271">INDEX('0.0.1 Pokémon Dex Data'!$H$3:$H951,MATCH(E271,'0.0.1 Pokémon Dex Data'!$B$3:$B951,0))</f>
        <v>0</v>
      </c>
      <c r="G271" s="0" t="str">
        <f aca="false" t="array" ref="G271:G271">INDEX('0.0.1 Pokémon Dex Data'!$E$3:$E951,MATCH(E271,'0.0.1 Pokémon Dex Data'!$B$3:$B951,0))</f>
        <v>Donphan</v>
      </c>
      <c r="H271" s="0" t="str">
        <f aca="false" t="array" ref="H271:H271">INDEX('0.0.1 Pokémon Dex Data'!$Q$3:$Q951,MATCH(E271,'0.0.1 Pokémon Dex Data'!$B$3:$B951,0))</f>
        <v>Ground</v>
      </c>
      <c r="I271" s="0" t="n">
        <f aca="false">INDEX('0.0.1 Pokémon Dex Data'!$R$3:$R951,MATCH(E271,'0.0.1 Pokémon Dex Data'!$B$3:$B951,0))</f>
        <v>0</v>
      </c>
      <c r="J271" s="260" t="n">
        <f aca="false" t="array" ref="J271:J271">ROUND(INDEX('0.0.1 Pokémon Dex Data'!$S$3:$S951,MATCH($E271,'0.0.1 Pokémon Dex Data'!$B$3:$B951,0))*INDEX('0.0.1 Pokémon Dex Data'!T$3:T951,MATCH($E271,'0.0.1 Pokémon Dex Data'!$B$3:$B951,0)),0)</f>
        <v>214</v>
      </c>
      <c r="K271" s="260" t="n">
        <f aca="false" t="array" ref="K271:K271">ROUND(INDEX('0.0.1 Pokémon Dex Data'!$S$3:$S951,MATCH($E271,'0.0.1 Pokémon Dex Data'!$B$3:$B951,0))*INDEX('0.0.1 Pokémon Dex Data'!U$3:U951,MATCH($E271,'0.0.1 Pokémon Dex Data'!$B$3:$B951,0)),0)</f>
        <v>185</v>
      </c>
      <c r="L271" s="260" t="n">
        <f aca="false" t="array" ref="L271:L271">ROUND(INDEX('0.0.1 Pokémon Dex Data'!$S$3:$S951,MATCH($E271,'0.0.1 Pokémon Dex Data'!$B$3:$B951,0))*INDEX('0.0.1 Pokémon Dex Data'!V$3:V951,MATCH($E271,'0.0.1 Pokémon Dex Data'!$B$3:$B951,0)),0)</f>
        <v>207</v>
      </c>
      <c r="M271" s="260" t="n">
        <f aca="false" t="array" ref="M271:M271">INDEX('0.0.1 Pokémon Dex Data'!$J$3:$J951,MATCH(E271,'0.0.1 Pokémon Dex Data'!$B$3:$B951,0))</f>
        <v>1</v>
      </c>
      <c r="O271" s="490"/>
      <c r="Q271" s="367" t="n">
        <f aca="false">IF('Reverse Search'!$F$4="All (including temporary formes)",1,IF('Reverse Search'!$F$4="Base Pokémon and permanent formes only",IF(F271&lt;=1,1,0),IF(F271=0,1,0)))</f>
        <v>1</v>
      </c>
      <c r="R271" s="0" t="n">
        <f aca="false">IF('Reverse Search'!$C$7="Disable",1,IF('Reverse Search'!$D$9="Disable",1,IF(OR('Reverse Search'!$F$9=H271,'Reverse Search'!$F$9=I271),1,0)))</f>
        <v>1</v>
      </c>
      <c r="S271" s="0" t="n">
        <f aca="false">IF('Reverse Search'!$C$7="Disable",1,IF('Reverse Search'!$D$10="Disable",1,IF(OR('Reverse Search'!$F$10=H271,'Reverse Search'!$F$10=I271),1,0)))</f>
        <v>1</v>
      </c>
      <c r="T271" s="0" t="n">
        <f aca="false">INDEX($B$4:$B$22,MATCH(H271,$A$4:$A$22,0))</f>
        <v>1</v>
      </c>
      <c r="U271" s="0" t="e">
        <f aca="false">IF(ISBLANK(I271),1,INDEX($B$4:$B$22,MATCH(I271,$A$4:$A$22,0)))</f>
        <v>#N/A</v>
      </c>
      <c r="V271" s="367" t="n">
        <f aca="false">IF('Reverse Search'!$C$7="Disable",1,IF('Reverse Search'!$D$11="Disable",1,IF('Reverse Search'!$E$11="Neutral to:",IF(ROUND(T271*U271,2)&lt;=1,1,0),IF(ROUND(T271*U271,2)&lt;1,1,0))))</f>
        <v>1</v>
      </c>
      <c r="W271" s="0" t="n">
        <f aca="false">IF('Reverse Search'!$N$7="Disable",1,IF('Reverse Search'!$I$9="Disable",1,IF('Reverse Search'!$K$9="≥",IF(J271&gt;='Reverse Search'!$L$9,1,0),IF('Reverse Search'!$K$9="≤",IF(J271&lt;='Reverse Search'!$L$9,1,0),IF(J271='Reverse Search'!$L$9,1,0)))))</f>
        <v>1</v>
      </c>
      <c r="X271" s="0" t="n">
        <f aca="false">IF('Reverse Search'!$N$7="Disable",1,IF('Reverse Search'!$I$10="Disable",1,IF('Reverse Search'!$K$10="≥",IF(K271&gt;='Reverse Search'!$L$10,1,0),IF('Reverse Search'!$K$10="≤",IF(K271&lt;='Reverse Search'!$L$10,1,0),IF(K271='Reverse Search'!$L$10,1,0)))))</f>
        <v>1</v>
      </c>
      <c r="Y271" s="367" t="n">
        <f aca="false">IF('Reverse Search'!$N$7="Disable",1,IF('Reverse Search'!$I$11="Disable",1,IF('Reverse Search'!$K$11="≥",IF(L271&gt;='Reverse Search'!$L$11,1,0),IF('Reverse Search'!$K$11="≤",IF(L271&lt;='Reverse Search'!$L$11,1,0),IF(L271='Reverse Search'!$L$11,1,0)))))</f>
        <v>1</v>
      </c>
      <c r="Z271" s="0" t="n">
        <f aca="true">IF('Reverse Search'!$C$14="Disable",1,IF('Reverse Search'!$D$16="Disable",1,IF($C$2=3,IF($M271=0,0,COUNTIF(INDIRECT("'0.0.2 Pokémon Learnset (Core)'!$D$"&amp;MATCH($E271,'0.0.2 Pokémon Learnset (Core)'!$A$1:$A951,0)&amp;":$FK$"&amp;MATCH($E271,'0.0.2 Pokémon Learnset (Core)'!$A$1:$A951,0)),'Reverse Search'!$E$21)),IF($C$2=2,COUNTIF(INDIRECT("'0.1.1 Pokémon GO Moves'!$B$"&amp;MATCH($E271,'0.1.1 Pokémon GO Moves'!$A$1:$A951,0)&amp;":$R$"&amp;MATCH($E271,'0.1.1 Pokémon GO Moves'!$A$1:$A951,0)),'Reverse Search'!$E$21),COUNTIF(INDIRECT("'0.1.1 Pokémon GO Moves'!$B$"&amp;MATCH($E271,'0.1.1 Pokémon GO Moves'!$A$1:$A951,0)&amp;":$L$"&amp;MATCH($E271,'0.1.1 Pokémon GO Moves'!$A$1:$A951,0)),'Reverse Search'!$E$21)))))</f>
        <v>1</v>
      </c>
      <c r="AA271" s="0" t="n">
        <f aca="true">IF('Reverse Search'!$C$14="Disable",1,IF('Reverse Search'!$I$16="Disable",1,IF($D$2=3,IF($M271=0,0,COUNTIF(INDIRECT("'0.0.2 Pokémon Learnset (Core)'!$D$"&amp;MATCH($E271,'0.0.2 Pokémon Learnset (Core)'!$A$1:$A951,0)&amp;":$FK$"&amp;MATCH($E271,'0.0.2 Pokémon Learnset (Core)'!$A$1:$A951,0)),'Reverse Search'!$J$21)),IF($D$2=2,COUNTIF(INDIRECT("'0.1.1 Pokémon GO Moves'!$B$"&amp;MATCH($E271,'0.1.1 Pokémon GO Moves'!$A$1:$A951,0)&amp;":$R$"&amp;MATCH($E271,'0.1.1 Pokémon GO Moves'!$A$1:$A951,0)),'Reverse Search'!$J$21),COUNTIF(INDIRECT("'0.1.1 Pokémon GO Moves'!$B$"&amp;MATCH($E271,'0.1.1 Pokémon GO Moves'!$A$1:$A951,0)&amp;":$L$"&amp;MATCH($E271,'0.1.1 Pokémon GO Moves'!$A$1:$A951,0)),'Reverse Search'!$J$21)))))</f>
        <v>0</v>
      </c>
      <c r="AB271" s="490"/>
      <c r="AC271" s="260" t="n">
        <f aca="false">IF((Q271+R271+S271+V271+W271+X271+Y271+IF(Z271&gt;=1,1,0)+IF(AA271&gt;=1,1,0))=9,G271&amp;", ",)</f>
        <v>0</v>
      </c>
    </row>
    <row r="272" customFormat="false" ht="15.75" hidden="false" customHeight="false" outlineLevel="0" collapsed="false">
      <c r="A272" s="260"/>
      <c r="B272" s="358"/>
      <c r="C272" s="260"/>
      <c r="D272" s="358"/>
      <c r="E272" s="260" t="n">
        <v>271</v>
      </c>
      <c r="F272" s="260" t="n">
        <f aca="false" t="array" ref="F272:F272">INDEX('0.0.1 Pokémon Dex Data'!$H$3:$H951,MATCH(E272,'0.0.1 Pokémon Dex Data'!$B$3:$B951,0))</f>
        <v>0</v>
      </c>
      <c r="G272" s="0" t="str">
        <f aca="false" t="array" ref="G272:G272">INDEX('0.0.1 Pokémon Dex Data'!$E$3:$E951,MATCH(E272,'0.0.1 Pokémon Dex Data'!$B$3:$B951,0))</f>
        <v>Porygon2</v>
      </c>
      <c r="H272" s="0" t="str">
        <f aca="false" t="array" ref="H272:H272">INDEX('0.0.1 Pokémon Dex Data'!$Q$3:$Q951,MATCH(E272,'0.0.1 Pokémon Dex Data'!$B$3:$B951,0))</f>
        <v>Normal</v>
      </c>
      <c r="I272" s="0" t="n">
        <f aca="false">INDEX('0.0.1 Pokémon Dex Data'!$R$3:$R951,MATCH(E272,'0.0.1 Pokémon Dex Data'!$B$3:$B951,0))</f>
        <v>0</v>
      </c>
      <c r="J272" s="260" t="n">
        <f aca="false" t="array" ref="J272:J272">ROUND(INDEX('0.0.1 Pokémon Dex Data'!$S$3:$S951,MATCH($E272,'0.0.1 Pokémon Dex Data'!$B$3:$B951,0))*INDEX('0.0.1 Pokémon Dex Data'!T$3:T951,MATCH($E272,'0.0.1 Pokémon Dex Data'!$B$3:$B951,0)),0)</f>
        <v>198</v>
      </c>
      <c r="K272" s="260" t="n">
        <f aca="false" t="array" ref="K272:K272">ROUND(INDEX('0.0.1 Pokémon Dex Data'!$S$3:$S951,MATCH($E272,'0.0.1 Pokémon Dex Data'!$B$3:$B951,0))*INDEX('0.0.1 Pokémon Dex Data'!U$3:U951,MATCH($E272,'0.0.1 Pokémon Dex Data'!$B$3:$B951,0)),0)</f>
        <v>180</v>
      </c>
      <c r="L272" s="260" t="n">
        <f aca="false" t="array" ref="L272:L272">ROUND(INDEX('0.0.1 Pokémon Dex Data'!$S$3:$S951,MATCH($E272,'0.0.1 Pokémon Dex Data'!$B$3:$B951,0))*INDEX('0.0.1 Pokémon Dex Data'!V$3:V951,MATCH($E272,'0.0.1 Pokémon Dex Data'!$B$3:$B951,0)),0)</f>
        <v>198</v>
      </c>
      <c r="M272" s="260" t="n">
        <f aca="false" t="array" ref="M272:M272">INDEX('0.0.1 Pokémon Dex Data'!$J$3:$J951,MATCH(E272,'0.0.1 Pokémon Dex Data'!$B$3:$B951,0))</f>
        <v>1</v>
      </c>
      <c r="O272" s="490"/>
      <c r="Q272" s="367" t="n">
        <f aca="false">IF('Reverse Search'!$F$4="All (including temporary formes)",1,IF('Reverse Search'!$F$4="Base Pokémon and permanent formes only",IF(F272&lt;=1,1,0),IF(F272=0,1,0)))</f>
        <v>1</v>
      </c>
      <c r="R272" s="0" t="n">
        <f aca="false">IF('Reverse Search'!$C$7="Disable",1,IF('Reverse Search'!$D$9="Disable",1,IF(OR('Reverse Search'!$F$9=H272,'Reverse Search'!$F$9=I272),1,0)))</f>
        <v>1</v>
      </c>
      <c r="S272" s="0" t="n">
        <f aca="false">IF('Reverse Search'!$C$7="Disable",1,IF('Reverse Search'!$D$10="Disable",1,IF(OR('Reverse Search'!$F$10=H272,'Reverse Search'!$F$10=I272),1,0)))</f>
        <v>1</v>
      </c>
      <c r="T272" s="0" t="n">
        <f aca="false">INDEX($B$4:$B$22,MATCH(H272,$A$4:$A$22,0))</f>
        <v>1</v>
      </c>
      <c r="U272" s="0" t="e">
        <f aca="false">IF(ISBLANK(I272),1,INDEX($B$4:$B$22,MATCH(I272,$A$4:$A$22,0)))</f>
        <v>#N/A</v>
      </c>
      <c r="V272" s="367" t="n">
        <f aca="false">IF('Reverse Search'!$C$7="Disable",1,IF('Reverse Search'!$D$11="Disable",1,IF('Reverse Search'!$E$11="Neutral to:",IF(ROUND(T272*U272,2)&lt;=1,1,0),IF(ROUND(T272*U272,2)&lt;1,1,0))))</f>
        <v>1</v>
      </c>
      <c r="W272" s="0" t="n">
        <f aca="false">IF('Reverse Search'!$N$7="Disable",1,IF('Reverse Search'!$I$9="Disable",1,IF('Reverse Search'!$K$9="≥",IF(J272&gt;='Reverse Search'!$L$9,1,0),IF('Reverse Search'!$K$9="≤",IF(J272&lt;='Reverse Search'!$L$9,1,0),IF(J272='Reverse Search'!$L$9,1,0)))))</f>
        <v>1</v>
      </c>
      <c r="X272" s="0" t="n">
        <f aca="false">IF('Reverse Search'!$N$7="Disable",1,IF('Reverse Search'!$I$10="Disable",1,IF('Reverse Search'!$K$10="≥",IF(K272&gt;='Reverse Search'!$L$10,1,0),IF('Reverse Search'!$K$10="≤",IF(K272&lt;='Reverse Search'!$L$10,1,0),IF(K272='Reverse Search'!$L$10,1,0)))))</f>
        <v>1</v>
      </c>
      <c r="Y272" s="367" t="n">
        <f aca="false">IF('Reverse Search'!$N$7="Disable",1,IF('Reverse Search'!$I$11="Disable",1,IF('Reverse Search'!$K$11="≥",IF(L272&gt;='Reverse Search'!$L$11,1,0),IF('Reverse Search'!$K$11="≤",IF(L272&lt;='Reverse Search'!$L$11,1,0),IF(L272='Reverse Search'!$L$11,1,0)))))</f>
        <v>1</v>
      </c>
      <c r="Z272" s="0" t="n">
        <f aca="true">IF('Reverse Search'!$C$14="Disable",1,IF('Reverse Search'!$D$16="Disable",1,IF($C$2=3,IF($M272=0,0,COUNTIF(INDIRECT("'0.0.2 Pokémon Learnset (Core)'!$D$"&amp;MATCH($E272,'0.0.2 Pokémon Learnset (Core)'!$A$1:$A951,0)&amp;":$FK$"&amp;MATCH($E272,'0.0.2 Pokémon Learnset (Core)'!$A$1:$A951,0)),'Reverse Search'!$E$21)),IF($C$2=2,COUNTIF(INDIRECT("'0.1.1 Pokémon GO Moves'!$B$"&amp;MATCH($E272,'0.1.1 Pokémon GO Moves'!$A$1:$A951,0)&amp;":$R$"&amp;MATCH($E272,'0.1.1 Pokémon GO Moves'!$A$1:$A951,0)),'Reverse Search'!$E$21),COUNTIF(INDIRECT("'0.1.1 Pokémon GO Moves'!$B$"&amp;MATCH($E272,'0.1.1 Pokémon GO Moves'!$A$1:$A951,0)&amp;":$L$"&amp;MATCH($E272,'0.1.1 Pokémon GO Moves'!$A$1:$A951,0)),'Reverse Search'!$E$21)))))</f>
        <v>1</v>
      </c>
      <c r="AA272" s="0" t="n">
        <f aca="true">IF('Reverse Search'!$C$14="Disable",1,IF('Reverse Search'!$I$16="Disable",1,IF($D$2=3,IF($M272=0,0,COUNTIF(INDIRECT("'0.0.2 Pokémon Learnset (Core)'!$D$"&amp;MATCH($E272,'0.0.2 Pokémon Learnset (Core)'!$A$1:$A951,0)&amp;":$FK$"&amp;MATCH($E272,'0.0.2 Pokémon Learnset (Core)'!$A$1:$A951,0)),'Reverse Search'!$J$21)),IF($D$2=2,COUNTIF(INDIRECT("'0.1.1 Pokémon GO Moves'!$B$"&amp;MATCH($E272,'0.1.1 Pokémon GO Moves'!$A$1:$A951,0)&amp;":$R$"&amp;MATCH($E272,'0.1.1 Pokémon GO Moves'!$A$1:$A951,0)),'Reverse Search'!$J$21),COUNTIF(INDIRECT("'0.1.1 Pokémon GO Moves'!$B$"&amp;MATCH($E272,'0.1.1 Pokémon GO Moves'!$A$1:$A951,0)&amp;":$L$"&amp;MATCH($E272,'0.1.1 Pokémon GO Moves'!$A$1:$A951,0)),'Reverse Search'!$J$21)))))</f>
        <v>0</v>
      </c>
      <c r="AB272" s="490"/>
      <c r="AC272" s="260" t="n">
        <f aca="false">IF((Q272+R272+S272+V272+W272+X272+Y272+IF(Z272&gt;=1,1,0)+IF(AA272&gt;=1,1,0))=9,G272&amp;", ",)</f>
        <v>0</v>
      </c>
    </row>
    <row r="273" customFormat="false" ht="15.75" hidden="false" customHeight="false" outlineLevel="0" collapsed="false">
      <c r="A273" s="260"/>
      <c r="B273" s="358"/>
      <c r="C273" s="260"/>
      <c r="D273" s="358"/>
      <c r="E273" s="260" t="n">
        <v>272</v>
      </c>
      <c r="F273" s="260" t="n">
        <f aca="false" t="array" ref="F273:F273">INDEX('0.0.1 Pokémon Dex Data'!$H$3:$H951,MATCH(E273,'0.0.1 Pokémon Dex Data'!$B$3:$B951,0))</f>
        <v>0</v>
      </c>
      <c r="G273" s="0" t="str">
        <f aca="false" t="array" ref="G273:G273">INDEX('0.0.1 Pokémon Dex Data'!$E$3:$E951,MATCH(E273,'0.0.1 Pokémon Dex Data'!$B$3:$B951,0))</f>
        <v>Stantler</v>
      </c>
      <c r="H273" s="0" t="str">
        <f aca="false" t="array" ref="H273:H273">INDEX('0.0.1 Pokémon Dex Data'!$Q$3:$Q951,MATCH(E273,'0.0.1 Pokémon Dex Data'!$B$3:$B951,0))</f>
        <v>Normal</v>
      </c>
      <c r="I273" s="0" t="n">
        <f aca="false">INDEX('0.0.1 Pokémon Dex Data'!$R$3:$R951,MATCH(E273,'0.0.1 Pokémon Dex Data'!$B$3:$B951,0))</f>
        <v>0</v>
      </c>
      <c r="J273" s="260" t="n">
        <f aca="false" t="array" ref="J273:J273">ROUND(INDEX('0.0.1 Pokémon Dex Data'!$S$3:$S951,MATCH($E273,'0.0.1 Pokémon Dex Data'!$B$3:$B951,0))*INDEX('0.0.1 Pokémon Dex Data'!T$3:T951,MATCH($E273,'0.0.1 Pokémon Dex Data'!$B$3:$B951,0)),0)</f>
        <v>192</v>
      </c>
      <c r="K273" s="260" t="n">
        <f aca="false" t="array" ref="K273:K273">ROUND(INDEX('0.0.1 Pokémon Dex Data'!$S$3:$S951,MATCH($E273,'0.0.1 Pokémon Dex Data'!$B$3:$B951,0))*INDEX('0.0.1 Pokémon Dex Data'!U$3:U951,MATCH($E273,'0.0.1 Pokémon Dex Data'!$B$3:$B951,0)),0)</f>
        <v>131</v>
      </c>
      <c r="L273" s="260" t="n">
        <f aca="false" t="array" ref="L273:L273">ROUND(INDEX('0.0.1 Pokémon Dex Data'!$S$3:$S951,MATCH($E273,'0.0.1 Pokémon Dex Data'!$B$3:$B951,0))*INDEX('0.0.1 Pokémon Dex Data'!V$3:V951,MATCH($E273,'0.0.1 Pokémon Dex Data'!$B$3:$B951,0)),0)</f>
        <v>177</v>
      </c>
      <c r="M273" s="260" t="n">
        <f aca="false" t="array" ref="M273:M273">INDEX('0.0.1 Pokémon Dex Data'!$J$3:$J951,MATCH(E273,'0.0.1 Pokémon Dex Data'!$B$3:$B951,0))</f>
        <v>1</v>
      </c>
      <c r="O273" s="490"/>
      <c r="Q273" s="367" t="n">
        <f aca="false">IF('Reverse Search'!$F$4="All (including temporary formes)",1,IF('Reverse Search'!$F$4="Base Pokémon and permanent formes only",IF(F273&lt;=1,1,0),IF(F273=0,1,0)))</f>
        <v>1</v>
      </c>
      <c r="R273" s="0" t="n">
        <f aca="false">IF('Reverse Search'!$C$7="Disable",1,IF('Reverse Search'!$D$9="Disable",1,IF(OR('Reverse Search'!$F$9=H273,'Reverse Search'!$F$9=I273),1,0)))</f>
        <v>1</v>
      </c>
      <c r="S273" s="0" t="n">
        <f aca="false">IF('Reverse Search'!$C$7="Disable",1,IF('Reverse Search'!$D$10="Disable",1,IF(OR('Reverse Search'!$F$10=H273,'Reverse Search'!$F$10=I273),1,0)))</f>
        <v>1</v>
      </c>
      <c r="T273" s="0" t="n">
        <f aca="false">INDEX($B$4:$B$22,MATCH(H273,$A$4:$A$22,0))</f>
        <v>1</v>
      </c>
      <c r="U273" s="0" t="e">
        <f aca="false">IF(ISBLANK(I273),1,INDEX($B$4:$B$22,MATCH(I273,$A$4:$A$22,0)))</f>
        <v>#N/A</v>
      </c>
      <c r="V273" s="367" t="n">
        <f aca="false">IF('Reverse Search'!$C$7="Disable",1,IF('Reverse Search'!$D$11="Disable",1,IF('Reverse Search'!$E$11="Neutral to:",IF(ROUND(T273*U273,2)&lt;=1,1,0),IF(ROUND(T273*U273,2)&lt;1,1,0))))</f>
        <v>1</v>
      </c>
      <c r="W273" s="0" t="n">
        <f aca="false">IF('Reverse Search'!$N$7="Disable",1,IF('Reverse Search'!$I$9="Disable",1,IF('Reverse Search'!$K$9="≥",IF(J273&gt;='Reverse Search'!$L$9,1,0),IF('Reverse Search'!$K$9="≤",IF(J273&lt;='Reverse Search'!$L$9,1,0),IF(J273='Reverse Search'!$L$9,1,0)))))</f>
        <v>1</v>
      </c>
      <c r="X273" s="0" t="n">
        <f aca="false">IF('Reverse Search'!$N$7="Disable",1,IF('Reverse Search'!$I$10="Disable",1,IF('Reverse Search'!$K$10="≥",IF(K273&gt;='Reverse Search'!$L$10,1,0),IF('Reverse Search'!$K$10="≤",IF(K273&lt;='Reverse Search'!$L$10,1,0),IF(K273='Reverse Search'!$L$10,1,0)))))</f>
        <v>1</v>
      </c>
      <c r="Y273" s="367" t="n">
        <f aca="false">IF('Reverse Search'!$N$7="Disable",1,IF('Reverse Search'!$I$11="Disable",1,IF('Reverse Search'!$K$11="≥",IF(L273&gt;='Reverse Search'!$L$11,1,0),IF('Reverse Search'!$K$11="≤",IF(L273&lt;='Reverse Search'!$L$11,1,0),IF(L273='Reverse Search'!$L$11,1,0)))))</f>
        <v>1</v>
      </c>
      <c r="Z273" s="0" t="n">
        <f aca="true">IF('Reverse Search'!$C$14="Disable",1,IF('Reverse Search'!$D$16="Disable",1,IF($C$2=3,IF($M273=0,0,COUNTIF(INDIRECT("'0.0.2 Pokémon Learnset (Core)'!$D$"&amp;MATCH($E273,'0.0.2 Pokémon Learnset (Core)'!$A$1:$A951,0)&amp;":$FK$"&amp;MATCH($E273,'0.0.2 Pokémon Learnset (Core)'!$A$1:$A951,0)),'Reverse Search'!$E$21)),IF($C$2=2,COUNTIF(INDIRECT("'0.1.1 Pokémon GO Moves'!$B$"&amp;MATCH($E273,'0.1.1 Pokémon GO Moves'!$A$1:$A951,0)&amp;":$R$"&amp;MATCH($E273,'0.1.1 Pokémon GO Moves'!$A$1:$A951,0)),'Reverse Search'!$E$21),COUNTIF(INDIRECT("'0.1.1 Pokémon GO Moves'!$B$"&amp;MATCH($E273,'0.1.1 Pokémon GO Moves'!$A$1:$A951,0)&amp;":$L$"&amp;MATCH($E273,'0.1.1 Pokémon GO Moves'!$A$1:$A951,0)),'Reverse Search'!$E$21)))))</f>
        <v>1</v>
      </c>
      <c r="AA273" s="0" t="n">
        <f aca="true">IF('Reverse Search'!$C$14="Disable",1,IF('Reverse Search'!$I$16="Disable",1,IF($D$2=3,IF($M273=0,0,COUNTIF(INDIRECT("'0.0.2 Pokémon Learnset (Core)'!$D$"&amp;MATCH($E273,'0.0.2 Pokémon Learnset (Core)'!$A$1:$A951,0)&amp;":$FK$"&amp;MATCH($E273,'0.0.2 Pokémon Learnset (Core)'!$A$1:$A951,0)),'Reverse Search'!$J$21)),IF($D$2=2,COUNTIF(INDIRECT("'0.1.1 Pokémon GO Moves'!$B$"&amp;MATCH($E273,'0.1.1 Pokémon GO Moves'!$A$1:$A951,0)&amp;":$R$"&amp;MATCH($E273,'0.1.1 Pokémon GO Moves'!$A$1:$A951,0)),'Reverse Search'!$J$21),COUNTIF(INDIRECT("'0.1.1 Pokémon GO Moves'!$B$"&amp;MATCH($E273,'0.1.1 Pokémon GO Moves'!$A$1:$A951,0)&amp;":$L$"&amp;MATCH($E273,'0.1.1 Pokémon GO Moves'!$A$1:$A951,0)),'Reverse Search'!$J$21)))))</f>
        <v>0</v>
      </c>
      <c r="AB273" s="490"/>
      <c r="AC273" s="260" t="n">
        <f aca="false">IF((Q273+R273+S273+V273+W273+X273+Y273+IF(Z273&gt;=1,1,0)+IF(AA273&gt;=1,1,0))=9,G273&amp;", ",)</f>
        <v>0</v>
      </c>
    </row>
    <row r="274" customFormat="false" ht="15.75" hidden="false" customHeight="false" outlineLevel="0" collapsed="false">
      <c r="A274" s="260"/>
      <c r="B274" s="358"/>
      <c r="C274" s="260"/>
      <c r="D274" s="358"/>
      <c r="E274" s="260" t="n">
        <v>273</v>
      </c>
      <c r="F274" s="260" t="n">
        <f aca="false" t="array" ref="F274:F274">INDEX('0.0.1 Pokémon Dex Data'!$H$3:$H951,MATCH(E274,'0.0.1 Pokémon Dex Data'!$B$3:$B951,0))</f>
        <v>0</v>
      </c>
      <c r="G274" s="0" t="str">
        <f aca="false" t="array" ref="G274:G274">INDEX('0.0.1 Pokémon Dex Data'!$E$3:$E951,MATCH(E274,'0.0.1 Pokémon Dex Data'!$B$3:$B951,0))</f>
        <v>Smeargle</v>
      </c>
      <c r="H274" s="0" t="str">
        <f aca="false" t="array" ref="H274:H274">INDEX('0.0.1 Pokémon Dex Data'!$Q$3:$Q951,MATCH(E274,'0.0.1 Pokémon Dex Data'!$B$3:$B951,0))</f>
        <v>Normal</v>
      </c>
      <c r="I274" s="0" t="n">
        <f aca="false">INDEX('0.0.1 Pokémon Dex Data'!$R$3:$R951,MATCH(E274,'0.0.1 Pokémon Dex Data'!$B$3:$B951,0))</f>
        <v>0</v>
      </c>
      <c r="J274" s="260" t="n">
        <f aca="false" t="array" ref="J274:J274">ROUND(INDEX('0.0.1 Pokémon Dex Data'!$S$3:$S951,MATCH($E274,'0.0.1 Pokémon Dex Data'!$B$3:$B951,0))*INDEX('0.0.1 Pokémon Dex Data'!T$3:T951,MATCH($E274,'0.0.1 Pokémon Dex Data'!$B$3:$B951,0)),0)</f>
        <v>40</v>
      </c>
      <c r="K274" s="260" t="n">
        <f aca="false" t="array" ref="K274:K274">ROUND(INDEX('0.0.1 Pokémon Dex Data'!$S$3:$S951,MATCH($E274,'0.0.1 Pokémon Dex Data'!$B$3:$B951,0))*INDEX('0.0.1 Pokémon Dex Data'!U$3:U951,MATCH($E274,'0.0.1 Pokémon Dex Data'!$B$3:$B951,0)),0)</f>
        <v>83</v>
      </c>
      <c r="L274" s="260" t="n">
        <f aca="false" t="array" ref="L274:L274">ROUND(INDEX('0.0.1 Pokémon Dex Data'!$S$3:$S951,MATCH($E274,'0.0.1 Pokémon Dex Data'!$B$3:$B951,0))*INDEX('0.0.1 Pokémon Dex Data'!V$3:V951,MATCH($E274,'0.0.1 Pokémon Dex Data'!$B$3:$B951,0)),0)</f>
        <v>146</v>
      </c>
      <c r="M274" s="260" t="n">
        <f aca="false" t="array" ref="M274:M274">INDEX('0.0.1 Pokémon Dex Data'!$J$3:$J951,MATCH(E274,'0.0.1 Pokémon Dex Data'!$B$3:$B951,0))</f>
        <v>0</v>
      </c>
      <c r="O274" s="490"/>
      <c r="Q274" s="367" t="n">
        <f aca="false">IF('Reverse Search'!$F$4="All (including temporary formes)",1,IF('Reverse Search'!$F$4="Base Pokémon and permanent formes only",IF(F274&lt;=1,1,0),IF(F274=0,1,0)))</f>
        <v>1</v>
      </c>
      <c r="R274" s="0" t="n">
        <f aca="false">IF('Reverse Search'!$C$7="Disable",1,IF('Reverse Search'!$D$9="Disable",1,IF(OR('Reverse Search'!$F$9=H274,'Reverse Search'!$F$9=I274),1,0)))</f>
        <v>1</v>
      </c>
      <c r="S274" s="0" t="n">
        <f aca="false">IF('Reverse Search'!$C$7="Disable",1,IF('Reverse Search'!$D$10="Disable",1,IF(OR('Reverse Search'!$F$10=H274,'Reverse Search'!$F$10=I274),1,0)))</f>
        <v>1</v>
      </c>
      <c r="T274" s="0" t="n">
        <f aca="false">INDEX($B$4:$B$22,MATCH(H274,$A$4:$A$22,0))</f>
        <v>1</v>
      </c>
      <c r="U274" s="0" t="e">
        <f aca="false">IF(ISBLANK(I274),1,INDEX($B$4:$B$22,MATCH(I274,$A$4:$A$22,0)))</f>
        <v>#N/A</v>
      </c>
      <c r="V274" s="367" t="n">
        <f aca="false">IF('Reverse Search'!$C$7="Disable",1,IF('Reverse Search'!$D$11="Disable",1,IF('Reverse Search'!$E$11="Neutral to:",IF(ROUND(T274*U274,2)&lt;=1,1,0),IF(ROUND(T274*U274,2)&lt;1,1,0))))</f>
        <v>1</v>
      </c>
      <c r="W274" s="0" t="n">
        <f aca="false">IF('Reverse Search'!$N$7="Disable",1,IF('Reverse Search'!$I$9="Disable",1,IF('Reverse Search'!$K$9="≥",IF(J274&gt;='Reverse Search'!$L$9,1,0),IF('Reverse Search'!$K$9="≤",IF(J274&lt;='Reverse Search'!$L$9,1,0),IF(J274='Reverse Search'!$L$9,1,0)))))</f>
        <v>1</v>
      </c>
      <c r="X274" s="0" t="n">
        <f aca="false">IF('Reverse Search'!$N$7="Disable",1,IF('Reverse Search'!$I$10="Disable",1,IF('Reverse Search'!$K$10="≥",IF(K274&gt;='Reverse Search'!$L$10,1,0),IF('Reverse Search'!$K$10="≤",IF(K274&lt;='Reverse Search'!$L$10,1,0),IF(K274='Reverse Search'!$L$10,1,0)))))</f>
        <v>1</v>
      </c>
      <c r="Y274" s="367" t="n">
        <f aca="false">IF('Reverse Search'!$N$7="Disable",1,IF('Reverse Search'!$I$11="Disable",1,IF('Reverse Search'!$K$11="≥",IF(L274&gt;='Reverse Search'!$L$11,1,0),IF('Reverse Search'!$K$11="≤",IF(L274&lt;='Reverse Search'!$L$11,1,0),IF(L274='Reverse Search'!$L$11,1,0)))))</f>
        <v>1</v>
      </c>
      <c r="Z274" s="0" t="n">
        <f aca="true">IF('Reverse Search'!$C$14="Disable",1,IF('Reverse Search'!$D$16="Disable",1,IF($C$2=3,IF($M274=0,0,COUNTIF(INDIRECT("'0.0.2 Pokémon Learnset (Core)'!$D$"&amp;MATCH($E274,'0.0.2 Pokémon Learnset (Core)'!$A$1:$A951,0)&amp;":$FK$"&amp;MATCH($E274,'0.0.2 Pokémon Learnset (Core)'!$A$1:$A951,0)),'Reverse Search'!$E$21)),IF($C$2=2,COUNTIF(INDIRECT("'0.1.1 Pokémon GO Moves'!$B$"&amp;MATCH($E274,'0.1.1 Pokémon GO Moves'!$A$1:$A951,0)&amp;":$R$"&amp;MATCH($E274,'0.1.1 Pokémon GO Moves'!$A$1:$A951,0)),'Reverse Search'!$E$21),COUNTIF(INDIRECT("'0.1.1 Pokémon GO Moves'!$B$"&amp;MATCH($E274,'0.1.1 Pokémon GO Moves'!$A$1:$A951,0)&amp;":$L$"&amp;MATCH($E274,'0.1.1 Pokémon GO Moves'!$A$1:$A951,0)),'Reverse Search'!$E$21)))))</f>
        <v>1</v>
      </c>
      <c r="AA274" s="0" t="n">
        <f aca="true">IF('Reverse Search'!$C$14="Disable",1,IF('Reverse Search'!$I$16="Disable",1,IF($D$2=3,IF($M274=0,0,COUNTIF(INDIRECT("'0.0.2 Pokémon Learnset (Core)'!$D$"&amp;MATCH($E274,'0.0.2 Pokémon Learnset (Core)'!$A$1:$A951,0)&amp;":$FK$"&amp;MATCH($E274,'0.0.2 Pokémon Learnset (Core)'!$A$1:$A951,0)),'Reverse Search'!$J$21)),IF($D$2=2,COUNTIF(INDIRECT("'0.1.1 Pokémon GO Moves'!$B$"&amp;MATCH($E274,'0.1.1 Pokémon GO Moves'!$A$1:$A951,0)&amp;":$R$"&amp;MATCH($E274,'0.1.1 Pokémon GO Moves'!$A$1:$A951,0)),'Reverse Search'!$J$21),COUNTIF(INDIRECT("'0.1.1 Pokémon GO Moves'!$B$"&amp;MATCH($E274,'0.1.1 Pokémon GO Moves'!$A$1:$A951,0)&amp;":$L$"&amp;MATCH($E274,'0.1.1 Pokémon GO Moves'!$A$1:$A951,0)),'Reverse Search'!$J$21)))))</f>
        <v>0</v>
      </c>
      <c r="AB274" s="490"/>
      <c r="AC274" s="260" t="n">
        <f aca="false">IF((Q274+R274+S274+V274+W274+X274+Y274+IF(Z274&gt;=1,1,0)+IF(AA274&gt;=1,1,0))=9,G274&amp;", ",)</f>
        <v>0</v>
      </c>
    </row>
    <row r="275" customFormat="false" ht="15.75" hidden="false" customHeight="false" outlineLevel="0" collapsed="false">
      <c r="A275" s="260"/>
      <c r="B275" s="358"/>
      <c r="C275" s="260"/>
      <c r="D275" s="358"/>
      <c r="E275" s="260" t="n">
        <v>274</v>
      </c>
      <c r="F275" s="260" t="n">
        <f aca="false" t="array" ref="F275:F275">INDEX('0.0.1 Pokémon Dex Data'!$H$3:$H951,MATCH(E275,'0.0.1 Pokémon Dex Data'!$B$3:$B951,0))</f>
        <v>0</v>
      </c>
      <c r="G275" s="0" t="str">
        <f aca="false" t="array" ref="G275:G275">INDEX('0.0.1 Pokémon Dex Data'!$E$3:$E951,MATCH(E275,'0.0.1 Pokémon Dex Data'!$B$3:$B951,0))</f>
        <v>Tyrogue</v>
      </c>
      <c r="H275" s="0" t="str">
        <f aca="false" t="array" ref="H275:H275">INDEX('0.0.1 Pokémon Dex Data'!$Q$3:$Q951,MATCH(E275,'0.0.1 Pokémon Dex Data'!$B$3:$B951,0))</f>
        <v>Fighting</v>
      </c>
      <c r="I275" s="0" t="n">
        <f aca="false">INDEX('0.0.1 Pokémon Dex Data'!$R$3:$R951,MATCH(E275,'0.0.1 Pokémon Dex Data'!$B$3:$B951,0))</f>
        <v>0</v>
      </c>
      <c r="J275" s="260" t="n">
        <f aca="false" t="array" ref="J275:J275">ROUND(INDEX('0.0.1 Pokémon Dex Data'!$S$3:$S951,MATCH($E275,'0.0.1 Pokémon Dex Data'!$B$3:$B951,0))*INDEX('0.0.1 Pokémon Dex Data'!T$3:T951,MATCH($E275,'0.0.1 Pokémon Dex Data'!$B$3:$B951,0)),0)</f>
        <v>64</v>
      </c>
      <c r="K275" s="260" t="n">
        <f aca="false" t="array" ref="K275:K275">ROUND(INDEX('0.0.1 Pokémon Dex Data'!$S$3:$S951,MATCH($E275,'0.0.1 Pokémon Dex Data'!$B$3:$B951,0))*INDEX('0.0.1 Pokémon Dex Data'!U$3:U951,MATCH($E275,'0.0.1 Pokémon Dex Data'!$B$3:$B951,0)),0)</f>
        <v>64</v>
      </c>
      <c r="L275" s="260" t="n">
        <f aca="false" t="array" ref="L275:L275">ROUND(INDEX('0.0.1 Pokémon Dex Data'!$S$3:$S951,MATCH($E275,'0.0.1 Pokémon Dex Data'!$B$3:$B951,0))*INDEX('0.0.1 Pokémon Dex Data'!V$3:V951,MATCH($E275,'0.0.1 Pokémon Dex Data'!$B$3:$B951,0)),0)</f>
        <v>111</v>
      </c>
      <c r="M275" s="260" t="n">
        <f aca="false" t="array" ref="M275:M275">INDEX('0.0.1 Pokémon Dex Data'!$J$3:$J951,MATCH(E275,'0.0.1 Pokémon Dex Data'!$B$3:$B951,0))</f>
        <v>0</v>
      </c>
      <c r="O275" s="490"/>
      <c r="Q275" s="367" t="n">
        <f aca="false">IF('Reverse Search'!$F$4="All (including temporary formes)",1,IF('Reverse Search'!$F$4="Base Pokémon and permanent formes only",IF(F275&lt;=1,1,0),IF(F275=0,1,0)))</f>
        <v>1</v>
      </c>
      <c r="R275" s="0" t="n">
        <f aca="false">IF('Reverse Search'!$C$7="Disable",1,IF('Reverse Search'!$D$9="Disable",1,IF(OR('Reverse Search'!$F$9=H275,'Reverse Search'!$F$9=I275),1,0)))</f>
        <v>1</v>
      </c>
      <c r="S275" s="0" t="n">
        <f aca="false">IF('Reverse Search'!$C$7="Disable",1,IF('Reverse Search'!$D$10="Disable",1,IF(OR('Reverse Search'!$F$10=H275,'Reverse Search'!$F$10=I275),1,0)))</f>
        <v>1</v>
      </c>
      <c r="T275" s="0" t="n">
        <f aca="false">INDEX($B$4:$B$22,MATCH(H275,$A$4:$A$22,0))</f>
        <v>1</v>
      </c>
      <c r="U275" s="0" t="e">
        <f aca="false">IF(ISBLANK(I275),1,INDEX($B$4:$B$22,MATCH(I275,$A$4:$A$22,0)))</f>
        <v>#N/A</v>
      </c>
      <c r="V275" s="367" t="n">
        <f aca="false">IF('Reverse Search'!$C$7="Disable",1,IF('Reverse Search'!$D$11="Disable",1,IF('Reverse Search'!$E$11="Neutral to:",IF(ROUND(T275*U275,2)&lt;=1,1,0),IF(ROUND(T275*U275,2)&lt;1,1,0))))</f>
        <v>1</v>
      </c>
      <c r="W275" s="0" t="n">
        <f aca="false">IF('Reverse Search'!$N$7="Disable",1,IF('Reverse Search'!$I$9="Disable",1,IF('Reverse Search'!$K$9="≥",IF(J275&gt;='Reverse Search'!$L$9,1,0),IF('Reverse Search'!$K$9="≤",IF(J275&lt;='Reverse Search'!$L$9,1,0),IF(J275='Reverse Search'!$L$9,1,0)))))</f>
        <v>1</v>
      </c>
      <c r="X275" s="0" t="n">
        <f aca="false">IF('Reverse Search'!$N$7="Disable",1,IF('Reverse Search'!$I$10="Disable",1,IF('Reverse Search'!$K$10="≥",IF(K275&gt;='Reverse Search'!$L$10,1,0),IF('Reverse Search'!$K$10="≤",IF(K275&lt;='Reverse Search'!$L$10,1,0),IF(K275='Reverse Search'!$L$10,1,0)))))</f>
        <v>1</v>
      </c>
      <c r="Y275" s="367" t="n">
        <f aca="false">IF('Reverse Search'!$N$7="Disable",1,IF('Reverse Search'!$I$11="Disable",1,IF('Reverse Search'!$K$11="≥",IF(L275&gt;='Reverse Search'!$L$11,1,0),IF('Reverse Search'!$K$11="≤",IF(L275&lt;='Reverse Search'!$L$11,1,0),IF(L275='Reverse Search'!$L$11,1,0)))))</f>
        <v>1</v>
      </c>
      <c r="Z275" s="0" t="n">
        <f aca="true">IF('Reverse Search'!$C$14="Disable",1,IF('Reverse Search'!$D$16="Disable",1,IF($C$2=3,IF($M275=0,0,COUNTIF(INDIRECT("'0.0.2 Pokémon Learnset (Core)'!$D$"&amp;MATCH($E275,'0.0.2 Pokémon Learnset (Core)'!$A$1:$A951,0)&amp;":$FK$"&amp;MATCH($E275,'0.0.2 Pokémon Learnset (Core)'!$A$1:$A951,0)),'Reverse Search'!$E$21)),IF($C$2=2,COUNTIF(INDIRECT("'0.1.1 Pokémon GO Moves'!$B$"&amp;MATCH($E275,'0.1.1 Pokémon GO Moves'!$A$1:$A951,0)&amp;":$R$"&amp;MATCH($E275,'0.1.1 Pokémon GO Moves'!$A$1:$A951,0)),'Reverse Search'!$E$21),COUNTIF(INDIRECT("'0.1.1 Pokémon GO Moves'!$B$"&amp;MATCH($E275,'0.1.1 Pokémon GO Moves'!$A$1:$A951,0)&amp;":$L$"&amp;MATCH($E275,'0.1.1 Pokémon GO Moves'!$A$1:$A951,0)),'Reverse Search'!$E$21)))))</f>
        <v>1</v>
      </c>
      <c r="AA275" s="0" t="n">
        <f aca="true">IF('Reverse Search'!$C$14="Disable",1,IF('Reverse Search'!$I$16="Disable",1,IF($D$2=3,IF($M275=0,0,COUNTIF(INDIRECT("'0.0.2 Pokémon Learnset (Core)'!$D$"&amp;MATCH($E275,'0.0.2 Pokémon Learnset (Core)'!$A$1:$A951,0)&amp;":$FK$"&amp;MATCH($E275,'0.0.2 Pokémon Learnset (Core)'!$A$1:$A951,0)),'Reverse Search'!$J$21)),IF($D$2=2,COUNTIF(INDIRECT("'0.1.1 Pokémon GO Moves'!$B$"&amp;MATCH($E275,'0.1.1 Pokémon GO Moves'!$A$1:$A951,0)&amp;":$R$"&amp;MATCH($E275,'0.1.1 Pokémon GO Moves'!$A$1:$A951,0)),'Reverse Search'!$J$21),COUNTIF(INDIRECT("'0.1.1 Pokémon GO Moves'!$B$"&amp;MATCH($E275,'0.1.1 Pokémon GO Moves'!$A$1:$A951,0)&amp;":$L$"&amp;MATCH($E275,'0.1.1 Pokémon GO Moves'!$A$1:$A951,0)),'Reverse Search'!$J$21)))))</f>
        <v>0</v>
      </c>
      <c r="AB275" s="490"/>
      <c r="AC275" s="260" t="n">
        <f aca="false">IF((Q275+R275+S275+V275+W275+X275+Y275+IF(Z275&gt;=1,1,0)+IF(AA275&gt;=1,1,0))=9,G275&amp;", ",)</f>
        <v>0</v>
      </c>
    </row>
    <row r="276" customFormat="false" ht="15.75" hidden="false" customHeight="false" outlineLevel="0" collapsed="false">
      <c r="A276" s="260"/>
      <c r="B276" s="358"/>
      <c r="C276" s="260"/>
      <c r="D276" s="358"/>
      <c r="E276" s="260" t="n">
        <v>275</v>
      </c>
      <c r="F276" s="260" t="n">
        <f aca="false" t="array" ref="F276:F276">INDEX('0.0.1 Pokémon Dex Data'!$H$3:$H951,MATCH(E276,'0.0.1 Pokémon Dex Data'!$B$3:$B951,0))</f>
        <v>0</v>
      </c>
      <c r="G276" s="0" t="str">
        <f aca="false" t="array" ref="G276:G276">INDEX('0.0.1 Pokémon Dex Data'!$E$3:$E951,MATCH(E276,'0.0.1 Pokémon Dex Data'!$B$3:$B951,0))</f>
        <v>Hitmontop</v>
      </c>
      <c r="H276" s="0" t="str">
        <f aca="false" t="array" ref="H276:H276">INDEX('0.0.1 Pokémon Dex Data'!$Q$3:$Q951,MATCH(E276,'0.0.1 Pokémon Dex Data'!$B$3:$B951,0))</f>
        <v>Fighting</v>
      </c>
      <c r="I276" s="0" t="n">
        <f aca="false">INDEX('0.0.1 Pokémon Dex Data'!$R$3:$R951,MATCH(E276,'0.0.1 Pokémon Dex Data'!$B$3:$B951,0))</f>
        <v>0</v>
      </c>
      <c r="J276" s="260" t="n">
        <f aca="false" t="array" ref="J276:J276">ROUND(INDEX('0.0.1 Pokémon Dex Data'!$S$3:$S951,MATCH($E276,'0.0.1 Pokémon Dex Data'!$B$3:$B951,0))*INDEX('0.0.1 Pokémon Dex Data'!T$3:T951,MATCH($E276,'0.0.1 Pokémon Dex Data'!$B$3:$B951,0)),0)</f>
        <v>173</v>
      </c>
      <c r="K276" s="260" t="n">
        <f aca="false" t="array" ref="K276:K276">ROUND(INDEX('0.0.1 Pokémon Dex Data'!$S$3:$S951,MATCH($E276,'0.0.1 Pokémon Dex Data'!$B$3:$B951,0))*INDEX('0.0.1 Pokémon Dex Data'!U$3:U951,MATCH($E276,'0.0.1 Pokémon Dex Data'!$B$3:$B951,0)),0)</f>
        <v>207</v>
      </c>
      <c r="L276" s="260" t="n">
        <f aca="false" t="array" ref="L276:L276">ROUND(INDEX('0.0.1 Pokémon Dex Data'!$S$3:$S951,MATCH($E276,'0.0.1 Pokémon Dex Data'!$B$3:$B951,0))*INDEX('0.0.1 Pokémon Dex Data'!V$3:V951,MATCH($E276,'0.0.1 Pokémon Dex Data'!$B$3:$B951,0)),0)</f>
        <v>137</v>
      </c>
      <c r="M276" s="260" t="n">
        <f aca="false" t="array" ref="M276:M276">INDEX('0.0.1 Pokémon Dex Data'!$J$3:$J951,MATCH(E276,'0.0.1 Pokémon Dex Data'!$B$3:$B951,0))</f>
        <v>1</v>
      </c>
      <c r="O276" s="490"/>
      <c r="Q276" s="367" t="n">
        <f aca="false">IF('Reverse Search'!$F$4="All (including temporary formes)",1,IF('Reverse Search'!$F$4="Base Pokémon and permanent formes only",IF(F276&lt;=1,1,0),IF(F276=0,1,0)))</f>
        <v>1</v>
      </c>
      <c r="R276" s="0" t="n">
        <f aca="false">IF('Reverse Search'!$C$7="Disable",1,IF('Reverse Search'!$D$9="Disable",1,IF(OR('Reverse Search'!$F$9=H276,'Reverse Search'!$F$9=I276),1,0)))</f>
        <v>1</v>
      </c>
      <c r="S276" s="0" t="n">
        <f aca="false">IF('Reverse Search'!$C$7="Disable",1,IF('Reverse Search'!$D$10="Disable",1,IF(OR('Reverse Search'!$F$10=H276,'Reverse Search'!$F$10=I276),1,0)))</f>
        <v>1</v>
      </c>
      <c r="T276" s="0" t="n">
        <f aca="false">INDEX($B$4:$B$22,MATCH(H276,$A$4:$A$22,0))</f>
        <v>1</v>
      </c>
      <c r="U276" s="0" t="e">
        <f aca="false">IF(ISBLANK(I276),1,INDEX($B$4:$B$22,MATCH(I276,$A$4:$A$22,0)))</f>
        <v>#N/A</v>
      </c>
      <c r="V276" s="367" t="n">
        <f aca="false">IF('Reverse Search'!$C$7="Disable",1,IF('Reverse Search'!$D$11="Disable",1,IF('Reverse Search'!$E$11="Neutral to:",IF(ROUND(T276*U276,2)&lt;=1,1,0),IF(ROUND(T276*U276,2)&lt;1,1,0))))</f>
        <v>1</v>
      </c>
      <c r="W276" s="0" t="n">
        <f aca="false">IF('Reverse Search'!$N$7="Disable",1,IF('Reverse Search'!$I$9="Disable",1,IF('Reverse Search'!$K$9="≥",IF(J276&gt;='Reverse Search'!$L$9,1,0),IF('Reverse Search'!$K$9="≤",IF(J276&lt;='Reverse Search'!$L$9,1,0),IF(J276='Reverse Search'!$L$9,1,0)))))</f>
        <v>1</v>
      </c>
      <c r="X276" s="0" t="n">
        <f aca="false">IF('Reverse Search'!$N$7="Disable",1,IF('Reverse Search'!$I$10="Disable",1,IF('Reverse Search'!$K$10="≥",IF(K276&gt;='Reverse Search'!$L$10,1,0),IF('Reverse Search'!$K$10="≤",IF(K276&lt;='Reverse Search'!$L$10,1,0),IF(K276='Reverse Search'!$L$10,1,0)))))</f>
        <v>1</v>
      </c>
      <c r="Y276" s="367" t="n">
        <f aca="false">IF('Reverse Search'!$N$7="Disable",1,IF('Reverse Search'!$I$11="Disable",1,IF('Reverse Search'!$K$11="≥",IF(L276&gt;='Reverse Search'!$L$11,1,0),IF('Reverse Search'!$K$11="≤",IF(L276&lt;='Reverse Search'!$L$11,1,0),IF(L276='Reverse Search'!$L$11,1,0)))))</f>
        <v>1</v>
      </c>
      <c r="Z276" s="0" t="n">
        <f aca="true">IF('Reverse Search'!$C$14="Disable",1,IF('Reverse Search'!$D$16="Disable",1,IF($C$2=3,IF($M276=0,0,COUNTIF(INDIRECT("'0.0.2 Pokémon Learnset (Core)'!$D$"&amp;MATCH($E276,'0.0.2 Pokémon Learnset (Core)'!$A$1:$A951,0)&amp;":$FK$"&amp;MATCH($E276,'0.0.2 Pokémon Learnset (Core)'!$A$1:$A951,0)),'Reverse Search'!$E$21)),IF($C$2=2,COUNTIF(INDIRECT("'0.1.1 Pokémon GO Moves'!$B$"&amp;MATCH($E276,'0.1.1 Pokémon GO Moves'!$A$1:$A951,0)&amp;":$R$"&amp;MATCH($E276,'0.1.1 Pokémon GO Moves'!$A$1:$A951,0)),'Reverse Search'!$E$21),COUNTIF(INDIRECT("'0.1.1 Pokémon GO Moves'!$B$"&amp;MATCH($E276,'0.1.1 Pokémon GO Moves'!$A$1:$A951,0)&amp;":$L$"&amp;MATCH($E276,'0.1.1 Pokémon GO Moves'!$A$1:$A951,0)),'Reverse Search'!$E$21)))))</f>
        <v>1</v>
      </c>
      <c r="AA276" s="0" t="n">
        <f aca="true">IF('Reverse Search'!$C$14="Disable",1,IF('Reverse Search'!$I$16="Disable",1,IF($D$2=3,IF($M276=0,0,COUNTIF(INDIRECT("'0.0.2 Pokémon Learnset (Core)'!$D$"&amp;MATCH($E276,'0.0.2 Pokémon Learnset (Core)'!$A$1:$A951,0)&amp;":$FK$"&amp;MATCH($E276,'0.0.2 Pokémon Learnset (Core)'!$A$1:$A951,0)),'Reverse Search'!$J$21)),IF($D$2=2,COUNTIF(INDIRECT("'0.1.1 Pokémon GO Moves'!$B$"&amp;MATCH($E276,'0.1.1 Pokémon GO Moves'!$A$1:$A951,0)&amp;":$R$"&amp;MATCH($E276,'0.1.1 Pokémon GO Moves'!$A$1:$A951,0)),'Reverse Search'!$J$21),COUNTIF(INDIRECT("'0.1.1 Pokémon GO Moves'!$B$"&amp;MATCH($E276,'0.1.1 Pokémon GO Moves'!$A$1:$A951,0)&amp;":$L$"&amp;MATCH($E276,'0.1.1 Pokémon GO Moves'!$A$1:$A951,0)),'Reverse Search'!$J$21)))))</f>
        <v>0</v>
      </c>
      <c r="AB276" s="490"/>
      <c r="AC276" s="260" t="n">
        <f aca="false">IF((Q276+R276+S276+V276+W276+X276+Y276+IF(Z276&gt;=1,1,0)+IF(AA276&gt;=1,1,0))=9,G276&amp;", ",)</f>
        <v>0</v>
      </c>
    </row>
    <row r="277" customFormat="false" ht="15.75" hidden="false" customHeight="false" outlineLevel="0" collapsed="false">
      <c r="A277" s="260"/>
      <c r="B277" s="358"/>
      <c r="C277" s="260"/>
      <c r="D277" s="358"/>
      <c r="E277" s="260" t="n">
        <v>276</v>
      </c>
      <c r="F277" s="260" t="n">
        <f aca="false" t="array" ref="F277:F277">INDEX('0.0.1 Pokémon Dex Data'!$H$3:$H951,MATCH(E277,'0.0.1 Pokémon Dex Data'!$B$3:$B951,0))</f>
        <v>0</v>
      </c>
      <c r="G277" s="0" t="str">
        <f aca="false" t="array" ref="G277:G277">INDEX('0.0.1 Pokémon Dex Data'!$E$3:$E951,MATCH(E277,'0.0.1 Pokémon Dex Data'!$B$3:$B951,0))</f>
        <v>Smoochum</v>
      </c>
      <c r="H277" s="0" t="str">
        <f aca="false" t="array" ref="H277:H277">INDEX('0.0.1 Pokémon Dex Data'!$Q$3:$Q951,MATCH(E277,'0.0.1 Pokémon Dex Data'!$B$3:$B951,0))</f>
        <v>Ice</v>
      </c>
      <c r="I277" s="0" t="str">
        <f aca="false" t="array" ref="I277:I277">INDEX('0.0.1 Pokémon Dex Data'!$R$3:$R951,MATCH(E277,'0.0.1 Pokémon Dex Data'!$B$3:$B951,0))</f>
        <v>Psychic</v>
      </c>
      <c r="J277" s="260" t="n">
        <f aca="false" t="array" ref="J277:J277">ROUND(INDEX('0.0.1 Pokémon Dex Data'!$S$3:$S951,MATCH($E277,'0.0.1 Pokémon Dex Data'!$B$3:$B951,0))*INDEX('0.0.1 Pokémon Dex Data'!T$3:T951,MATCH($E277,'0.0.1 Pokémon Dex Data'!$B$3:$B951,0)),0)</f>
        <v>153</v>
      </c>
      <c r="K277" s="260" t="n">
        <f aca="false" t="array" ref="K277:K277">ROUND(INDEX('0.0.1 Pokémon Dex Data'!$S$3:$S951,MATCH($E277,'0.0.1 Pokémon Dex Data'!$B$3:$B951,0))*INDEX('0.0.1 Pokémon Dex Data'!U$3:U951,MATCH($E277,'0.0.1 Pokémon Dex Data'!$B$3:$B951,0)),0)</f>
        <v>91</v>
      </c>
      <c r="L277" s="260" t="n">
        <f aca="false" t="array" ref="L277:L277">ROUND(INDEX('0.0.1 Pokémon Dex Data'!$S$3:$S951,MATCH($E277,'0.0.1 Pokémon Dex Data'!$B$3:$B951,0))*INDEX('0.0.1 Pokémon Dex Data'!V$3:V951,MATCH($E277,'0.0.1 Pokémon Dex Data'!$B$3:$B951,0)),0)</f>
        <v>128</v>
      </c>
      <c r="M277" s="260" t="n">
        <f aca="false" t="array" ref="M277:M277">INDEX('0.0.1 Pokémon Dex Data'!$J$3:$J951,MATCH(E277,'0.0.1 Pokémon Dex Data'!$B$3:$B951,0))</f>
        <v>0</v>
      </c>
      <c r="O277" s="490"/>
      <c r="Q277" s="367" t="n">
        <f aca="false">IF('Reverse Search'!$F$4="All (including temporary formes)",1,IF('Reverse Search'!$F$4="Base Pokémon and permanent formes only",IF(F277&lt;=1,1,0),IF(F277=0,1,0)))</f>
        <v>1</v>
      </c>
      <c r="R277" s="0" t="n">
        <f aca="false">IF('Reverse Search'!$C$7="Disable",1,IF('Reverse Search'!$D$9="Disable",1,IF(OR('Reverse Search'!$F$9=H277,'Reverse Search'!$F$9=I277),1,0)))</f>
        <v>1</v>
      </c>
      <c r="S277" s="0" t="n">
        <f aca="false">IF('Reverse Search'!$C$7="Disable",1,IF('Reverse Search'!$D$10="Disable",1,IF(OR('Reverse Search'!$F$10=H277,'Reverse Search'!$F$10=I277),1,0)))</f>
        <v>1</v>
      </c>
      <c r="T277" s="0" t="n">
        <f aca="false">INDEX($B$4:$B$22,MATCH(H277,$A$4:$A$22,0))</f>
        <v>1</v>
      </c>
      <c r="U277" s="0" t="n">
        <f aca="false">IF(ISBLANK(I277),1,INDEX($B$4:$B$22,MATCH(I277,$A$4:$A$22,0)))</f>
        <v>1</v>
      </c>
      <c r="V277" s="367" t="n">
        <f aca="false">IF('Reverse Search'!$C$7="Disable",1,IF('Reverse Search'!$D$11="Disable",1,IF('Reverse Search'!$E$11="Neutral to:",IF(ROUND(T277*U277,2)&lt;=1,1,0),IF(ROUND(T277*U277,2)&lt;1,1,0))))</f>
        <v>1</v>
      </c>
      <c r="W277" s="0" t="n">
        <f aca="false">IF('Reverse Search'!$N$7="Disable",1,IF('Reverse Search'!$I$9="Disable",1,IF('Reverse Search'!$K$9="≥",IF(J277&gt;='Reverse Search'!$L$9,1,0),IF('Reverse Search'!$K$9="≤",IF(J277&lt;='Reverse Search'!$L$9,1,0),IF(J277='Reverse Search'!$L$9,1,0)))))</f>
        <v>1</v>
      </c>
      <c r="X277" s="0" t="n">
        <f aca="false">IF('Reverse Search'!$N$7="Disable",1,IF('Reverse Search'!$I$10="Disable",1,IF('Reverse Search'!$K$10="≥",IF(K277&gt;='Reverse Search'!$L$10,1,0),IF('Reverse Search'!$K$10="≤",IF(K277&lt;='Reverse Search'!$L$10,1,0),IF(K277='Reverse Search'!$L$10,1,0)))))</f>
        <v>1</v>
      </c>
      <c r="Y277" s="367" t="n">
        <f aca="false">IF('Reverse Search'!$N$7="Disable",1,IF('Reverse Search'!$I$11="Disable",1,IF('Reverse Search'!$K$11="≥",IF(L277&gt;='Reverse Search'!$L$11,1,0),IF('Reverse Search'!$K$11="≤",IF(L277&lt;='Reverse Search'!$L$11,1,0),IF(L277='Reverse Search'!$L$11,1,0)))))</f>
        <v>1</v>
      </c>
      <c r="Z277" s="0" t="n">
        <f aca="true">IF('Reverse Search'!$C$14="Disable",1,IF('Reverse Search'!$D$16="Disable",1,IF($C$2=3,IF($M277=0,0,COUNTIF(INDIRECT("'0.0.2 Pokémon Learnset (Core)'!$D$"&amp;MATCH($E277,'0.0.2 Pokémon Learnset (Core)'!$A$1:$A951,0)&amp;":$FK$"&amp;MATCH($E277,'0.0.2 Pokémon Learnset (Core)'!$A$1:$A951,0)),'Reverse Search'!$E$21)),IF($C$2=2,COUNTIF(INDIRECT("'0.1.1 Pokémon GO Moves'!$B$"&amp;MATCH($E277,'0.1.1 Pokémon GO Moves'!$A$1:$A951,0)&amp;":$R$"&amp;MATCH($E277,'0.1.1 Pokémon GO Moves'!$A$1:$A951,0)),'Reverse Search'!$E$21),COUNTIF(INDIRECT("'0.1.1 Pokémon GO Moves'!$B$"&amp;MATCH($E277,'0.1.1 Pokémon GO Moves'!$A$1:$A951,0)&amp;":$L$"&amp;MATCH($E277,'0.1.1 Pokémon GO Moves'!$A$1:$A951,0)),'Reverse Search'!$E$21)))))</f>
        <v>1</v>
      </c>
      <c r="AA277" s="0" t="n">
        <f aca="true">IF('Reverse Search'!$C$14="Disable",1,IF('Reverse Search'!$I$16="Disable",1,IF($D$2=3,IF($M277=0,0,COUNTIF(INDIRECT("'0.0.2 Pokémon Learnset (Core)'!$D$"&amp;MATCH($E277,'0.0.2 Pokémon Learnset (Core)'!$A$1:$A951,0)&amp;":$FK$"&amp;MATCH($E277,'0.0.2 Pokémon Learnset (Core)'!$A$1:$A951,0)),'Reverse Search'!$J$21)),IF($D$2=2,COUNTIF(INDIRECT("'0.1.1 Pokémon GO Moves'!$B$"&amp;MATCH($E277,'0.1.1 Pokémon GO Moves'!$A$1:$A951,0)&amp;":$R$"&amp;MATCH($E277,'0.1.1 Pokémon GO Moves'!$A$1:$A951,0)),'Reverse Search'!$J$21),COUNTIF(INDIRECT("'0.1.1 Pokémon GO Moves'!$B$"&amp;MATCH($E277,'0.1.1 Pokémon GO Moves'!$A$1:$A951,0)&amp;":$L$"&amp;MATCH($E277,'0.1.1 Pokémon GO Moves'!$A$1:$A951,0)),'Reverse Search'!$J$21)))))</f>
        <v>0</v>
      </c>
      <c r="AB277" s="490"/>
      <c r="AC277" s="260" t="n">
        <f aca="false">IF((Q277+R277+S277+V277+W277+X277+Y277+IF(Z277&gt;=1,1,0)+IF(AA277&gt;=1,1,0))=9,G277&amp;", ",)</f>
        <v>0</v>
      </c>
    </row>
    <row r="278" customFormat="false" ht="15.75" hidden="false" customHeight="false" outlineLevel="0" collapsed="false">
      <c r="A278" s="260"/>
      <c r="B278" s="358"/>
      <c r="C278" s="260"/>
      <c r="D278" s="358"/>
      <c r="E278" s="260" t="n">
        <v>277</v>
      </c>
      <c r="F278" s="260" t="n">
        <f aca="false" t="array" ref="F278:F278">INDEX('0.0.1 Pokémon Dex Data'!$H$3:$H951,MATCH(E278,'0.0.1 Pokémon Dex Data'!$B$3:$B951,0))</f>
        <v>0</v>
      </c>
      <c r="G278" s="0" t="str">
        <f aca="false" t="array" ref="G278:G278">INDEX('0.0.1 Pokémon Dex Data'!$E$3:$E951,MATCH(E278,'0.0.1 Pokémon Dex Data'!$B$3:$B951,0))</f>
        <v>Elekid</v>
      </c>
      <c r="H278" s="0" t="str">
        <f aca="false" t="array" ref="H278:H278">INDEX('0.0.1 Pokémon Dex Data'!$Q$3:$Q951,MATCH(E278,'0.0.1 Pokémon Dex Data'!$B$3:$B951,0))</f>
        <v>Electric</v>
      </c>
      <c r="I278" s="0" t="n">
        <f aca="false">INDEX('0.0.1 Pokémon Dex Data'!$R$3:$R951,MATCH(E278,'0.0.1 Pokémon Dex Data'!$B$3:$B951,0))</f>
        <v>0</v>
      </c>
      <c r="J278" s="260" t="n">
        <f aca="false" t="array" ref="J278:J278">ROUND(INDEX('0.0.1 Pokémon Dex Data'!$S$3:$S951,MATCH($E278,'0.0.1 Pokémon Dex Data'!$B$3:$B951,0))*INDEX('0.0.1 Pokémon Dex Data'!T$3:T951,MATCH($E278,'0.0.1 Pokémon Dex Data'!$B$3:$B951,0)),0)</f>
        <v>135</v>
      </c>
      <c r="K278" s="260" t="n">
        <f aca="false" t="array" ref="K278:K278">ROUND(INDEX('0.0.1 Pokémon Dex Data'!$S$3:$S951,MATCH($E278,'0.0.1 Pokémon Dex Data'!$B$3:$B951,0))*INDEX('0.0.1 Pokémon Dex Data'!U$3:U951,MATCH($E278,'0.0.1 Pokémon Dex Data'!$B$3:$B951,0)),0)</f>
        <v>101</v>
      </c>
      <c r="L278" s="260" t="n">
        <f aca="false" t="array" ref="L278:L278">ROUND(INDEX('0.0.1 Pokémon Dex Data'!$S$3:$S951,MATCH($E278,'0.0.1 Pokémon Dex Data'!$B$3:$B951,0))*INDEX('0.0.1 Pokémon Dex Data'!V$3:V951,MATCH($E278,'0.0.1 Pokémon Dex Data'!$B$3:$B951,0)),0)</f>
        <v>128</v>
      </c>
      <c r="M278" s="260" t="n">
        <f aca="false" t="array" ref="M278:M278">INDEX('0.0.1 Pokémon Dex Data'!$J$3:$J951,MATCH(E278,'0.0.1 Pokémon Dex Data'!$B$3:$B951,0))</f>
        <v>0</v>
      </c>
      <c r="O278" s="490"/>
      <c r="Q278" s="367" t="n">
        <f aca="false">IF('Reverse Search'!$F$4="All (including temporary formes)",1,IF('Reverse Search'!$F$4="Base Pokémon and permanent formes only",IF(F278&lt;=1,1,0),IF(F278=0,1,0)))</f>
        <v>1</v>
      </c>
      <c r="R278" s="0" t="n">
        <f aca="false">IF('Reverse Search'!$C$7="Disable",1,IF('Reverse Search'!$D$9="Disable",1,IF(OR('Reverse Search'!$F$9=H278,'Reverse Search'!$F$9=I278),1,0)))</f>
        <v>1</v>
      </c>
      <c r="S278" s="0" t="n">
        <f aca="false">IF('Reverse Search'!$C$7="Disable",1,IF('Reverse Search'!$D$10="Disable",1,IF(OR('Reverse Search'!$F$10=H278,'Reverse Search'!$F$10=I278),1,0)))</f>
        <v>1</v>
      </c>
      <c r="T278" s="0" t="n">
        <f aca="false">INDEX($B$4:$B$22,MATCH(H278,$A$4:$A$22,0))</f>
        <v>1</v>
      </c>
      <c r="U278" s="0" t="e">
        <f aca="false">IF(ISBLANK(I278),1,INDEX($B$4:$B$22,MATCH(I278,$A$4:$A$22,0)))</f>
        <v>#N/A</v>
      </c>
      <c r="V278" s="367" t="n">
        <f aca="false">IF('Reverse Search'!$C$7="Disable",1,IF('Reverse Search'!$D$11="Disable",1,IF('Reverse Search'!$E$11="Neutral to:",IF(ROUND(T278*U278,2)&lt;=1,1,0),IF(ROUND(T278*U278,2)&lt;1,1,0))))</f>
        <v>1</v>
      </c>
      <c r="W278" s="0" t="n">
        <f aca="false">IF('Reverse Search'!$N$7="Disable",1,IF('Reverse Search'!$I$9="Disable",1,IF('Reverse Search'!$K$9="≥",IF(J278&gt;='Reverse Search'!$L$9,1,0),IF('Reverse Search'!$K$9="≤",IF(J278&lt;='Reverse Search'!$L$9,1,0),IF(J278='Reverse Search'!$L$9,1,0)))))</f>
        <v>1</v>
      </c>
      <c r="X278" s="0" t="n">
        <f aca="false">IF('Reverse Search'!$N$7="Disable",1,IF('Reverse Search'!$I$10="Disable",1,IF('Reverse Search'!$K$10="≥",IF(K278&gt;='Reverse Search'!$L$10,1,0),IF('Reverse Search'!$K$10="≤",IF(K278&lt;='Reverse Search'!$L$10,1,0),IF(K278='Reverse Search'!$L$10,1,0)))))</f>
        <v>1</v>
      </c>
      <c r="Y278" s="367" t="n">
        <f aca="false">IF('Reverse Search'!$N$7="Disable",1,IF('Reverse Search'!$I$11="Disable",1,IF('Reverse Search'!$K$11="≥",IF(L278&gt;='Reverse Search'!$L$11,1,0),IF('Reverse Search'!$K$11="≤",IF(L278&lt;='Reverse Search'!$L$11,1,0),IF(L278='Reverse Search'!$L$11,1,0)))))</f>
        <v>1</v>
      </c>
      <c r="Z278" s="0" t="n">
        <f aca="true">IF('Reverse Search'!$C$14="Disable",1,IF('Reverse Search'!$D$16="Disable",1,IF($C$2=3,IF($M278=0,0,COUNTIF(INDIRECT("'0.0.2 Pokémon Learnset (Core)'!$D$"&amp;MATCH($E278,'0.0.2 Pokémon Learnset (Core)'!$A$1:$A951,0)&amp;":$FK$"&amp;MATCH($E278,'0.0.2 Pokémon Learnset (Core)'!$A$1:$A951,0)),'Reverse Search'!$E$21)),IF($C$2=2,COUNTIF(INDIRECT("'0.1.1 Pokémon GO Moves'!$B$"&amp;MATCH($E278,'0.1.1 Pokémon GO Moves'!$A$1:$A951,0)&amp;":$R$"&amp;MATCH($E278,'0.1.1 Pokémon GO Moves'!$A$1:$A951,0)),'Reverse Search'!$E$21),COUNTIF(INDIRECT("'0.1.1 Pokémon GO Moves'!$B$"&amp;MATCH($E278,'0.1.1 Pokémon GO Moves'!$A$1:$A951,0)&amp;":$L$"&amp;MATCH($E278,'0.1.1 Pokémon GO Moves'!$A$1:$A951,0)),'Reverse Search'!$E$21)))))</f>
        <v>1</v>
      </c>
      <c r="AA278" s="0" t="n">
        <f aca="true">IF('Reverse Search'!$C$14="Disable",1,IF('Reverse Search'!$I$16="Disable",1,IF($D$2=3,IF($M278=0,0,COUNTIF(INDIRECT("'0.0.2 Pokémon Learnset (Core)'!$D$"&amp;MATCH($E278,'0.0.2 Pokémon Learnset (Core)'!$A$1:$A951,0)&amp;":$FK$"&amp;MATCH($E278,'0.0.2 Pokémon Learnset (Core)'!$A$1:$A951,0)),'Reverse Search'!$J$21)),IF($D$2=2,COUNTIF(INDIRECT("'0.1.1 Pokémon GO Moves'!$B$"&amp;MATCH($E278,'0.1.1 Pokémon GO Moves'!$A$1:$A951,0)&amp;":$R$"&amp;MATCH($E278,'0.1.1 Pokémon GO Moves'!$A$1:$A951,0)),'Reverse Search'!$J$21),COUNTIF(INDIRECT("'0.1.1 Pokémon GO Moves'!$B$"&amp;MATCH($E278,'0.1.1 Pokémon GO Moves'!$A$1:$A951,0)&amp;":$L$"&amp;MATCH($E278,'0.1.1 Pokémon GO Moves'!$A$1:$A951,0)),'Reverse Search'!$J$21)))))</f>
        <v>0</v>
      </c>
      <c r="AB278" s="490"/>
      <c r="AC278" s="260" t="n">
        <f aca="false">IF((Q278+R278+S278+V278+W278+X278+Y278+IF(Z278&gt;=1,1,0)+IF(AA278&gt;=1,1,0))=9,G278&amp;", ",)</f>
        <v>0</v>
      </c>
    </row>
    <row r="279" customFormat="false" ht="15.75" hidden="false" customHeight="false" outlineLevel="0" collapsed="false">
      <c r="A279" s="260"/>
      <c r="B279" s="358"/>
      <c r="C279" s="260"/>
      <c r="D279" s="358"/>
      <c r="E279" s="260" t="n">
        <v>278</v>
      </c>
      <c r="F279" s="260" t="n">
        <f aca="false" t="array" ref="F279:F279">INDEX('0.0.1 Pokémon Dex Data'!$H$3:$H951,MATCH(E279,'0.0.1 Pokémon Dex Data'!$B$3:$B951,0))</f>
        <v>0</v>
      </c>
      <c r="G279" s="0" t="str">
        <f aca="false" t="array" ref="G279:G279">INDEX('0.0.1 Pokémon Dex Data'!$E$3:$E951,MATCH(E279,'0.0.1 Pokémon Dex Data'!$B$3:$B951,0))</f>
        <v>Magby</v>
      </c>
      <c r="H279" s="0" t="str">
        <f aca="false" t="array" ref="H279:H279">INDEX('0.0.1 Pokémon Dex Data'!$Q$3:$Q951,MATCH(E279,'0.0.1 Pokémon Dex Data'!$B$3:$B951,0))</f>
        <v>Fire</v>
      </c>
      <c r="I279" s="0" t="n">
        <f aca="false">INDEX('0.0.1 Pokémon Dex Data'!$R$3:$R951,MATCH(E279,'0.0.1 Pokémon Dex Data'!$B$3:$B951,0))</f>
        <v>0</v>
      </c>
      <c r="J279" s="260" t="n">
        <f aca="false" t="array" ref="J279:J279">ROUND(INDEX('0.0.1 Pokémon Dex Data'!$S$3:$S951,MATCH($E279,'0.0.1 Pokémon Dex Data'!$B$3:$B951,0))*INDEX('0.0.1 Pokémon Dex Data'!T$3:T951,MATCH($E279,'0.0.1 Pokémon Dex Data'!$B$3:$B951,0)),0)</f>
        <v>151</v>
      </c>
      <c r="K279" s="260" t="n">
        <f aca="false" t="array" ref="K279:K279">ROUND(INDEX('0.0.1 Pokémon Dex Data'!$S$3:$S951,MATCH($E279,'0.0.1 Pokémon Dex Data'!$B$3:$B951,0))*INDEX('0.0.1 Pokémon Dex Data'!U$3:U951,MATCH($E279,'0.0.1 Pokémon Dex Data'!$B$3:$B951,0)),0)</f>
        <v>99</v>
      </c>
      <c r="L279" s="260" t="n">
        <f aca="false" t="array" ref="L279:L279">ROUND(INDEX('0.0.1 Pokémon Dex Data'!$S$3:$S951,MATCH($E279,'0.0.1 Pokémon Dex Data'!$B$3:$B951,0))*INDEX('0.0.1 Pokémon Dex Data'!V$3:V951,MATCH($E279,'0.0.1 Pokémon Dex Data'!$B$3:$B951,0)),0)</f>
        <v>128</v>
      </c>
      <c r="M279" s="260" t="n">
        <f aca="false" t="array" ref="M279:M279">INDEX('0.0.1 Pokémon Dex Data'!$J$3:$J951,MATCH(E279,'0.0.1 Pokémon Dex Data'!$B$3:$B951,0))</f>
        <v>0</v>
      </c>
      <c r="O279" s="490"/>
      <c r="Q279" s="367" t="n">
        <f aca="false">IF('Reverse Search'!$F$4="All (including temporary formes)",1,IF('Reverse Search'!$F$4="Base Pokémon and permanent formes only",IF(F279&lt;=1,1,0),IF(F279=0,1,0)))</f>
        <v>1</v>
      </c>
      <c r="R279" s="0" t="n">
        <f aca="false">IF('Reverse Search'!$C$7="Disable",1,IF('Reverse Search'!$D$9="Disable",1,IF(OR('Reverse Search'!$F$9=H279,'Reverse Search'!$F$9=I279),1,0)))</f>
        <v>1</v>
      </c>
      <c r="S279" s="0" t="n">
        <f aca="false">IF('Reverse Search'!$C$7="Disable",1,IF('Reverse Search'!$D$10="Disable",1,IF(OR('Reverse Search'!$F$10=H279,'Reverse Search'!$F$10=I279),1,0)))</f>
        <v>1</v>
      </c>
      <c r="T279" s="0" t="n">
        <f aca="false">INDEX($B$4:$B$22,MATCH(H279,$A$4:$A$22,0))</f>
        <v>1</v>
      </c>
      <c r="U279" s="0" t="e">
        <f aca="false">IF(ISBLANK(I279),1,INDEX($B$4:$B$22,MATCH(I279,$A$4:$A$22,0)))</f>
        <v>#N/A</v>
      </c>
      <c r="V279" s="367" t="n">
        <f aca="false">IF('Reverse Search'!$C$7="Disable",1,IF('Reverse Search'!$D$11="Disable",1,IF('Reverse Search'!$E$11="Neutral to:",IF(ROUND(T279*U279,2)&lt;=1,1,0),IF(ROUND(T279*U279,2)&lt;1,1,0))))</f>
        <v>1</v>
      </c>
      <c r="W279" s="0" t="n">
        <f aca="false">IF('Reverse Search'!$N$7="Disable",1,IF('Reverse Search'!$I$9="Disable",1,IF('Reverse Search'!$K$9="≥",IF(J279&gt;='Reverse Search'!$L$9,1,0),IF('Reverse Search'!$K$9="≤",IF(J279&lt;='Reverse Search'!$L$9,1,0),IF(J279='Reverse Search'!$L$9,1,0)))))</f>
        <v>1</v>
      </c>
      <c r="X279" s="0" t="n">
        <f aca="false">IF('Reverse Search'!$N$7="Disable",1,IF('Reverse Search'!$I$10="Disable",1,IF('Reverse Search'!$K$10="≥",IF(K279&gt;='Reverse Search'!$L$10,1,0),IF('Reverse Search'!$K$10="≤",IF(K279&lt;='Reverse Search'!$L$10,1,0),IF(K279='Reverse Search'!$L$10,1,0)))))</f>
        <v>1</v>
      </c>
      <c r="Y279" s="367" t="n">
        <f aca="false">IF('Reverse Search'!$N$7="Disable",1,IF('Reverse Search'!$I$11="Disable",1,IF('Reverse Search'!$K$11="≥",IF(L279&gt;='Reverse Search'!$L$11,1,0),IF('Reverse Search'!$K$11="≤",IF(L279&lt;='Reverse Search'!$L$11,1,0),IF(L279='Reverse Search'!$L$11,1,0)))))</f>
        <v>1</v>
      </c>
      <c r="Z279" s="0" t="n">
        <f aca="true">IF('Reverse Search'!$C$14="Disable",1,IF('Reverse Search'!$D$16="Disable",1,IF($C$2=3,IF($M279=0,0,COUNTIF(INDIRECT("'0.0.2 Pokémon Learnset (Core)'!$D$"&amp;MATCH($E279,'0.0.2 Pokémon Learnset (Core)'!$A$1:$A951,0)&amp;":$FK$"&amp;MATCH($E279,'0.0.2 Pokémon Learnset (Core)'!$A$1:$A951,0)),'Reverse Search'!$E$21)),IF($C$2=2,COUNTIF(INDIRECT("'0.1.1 Pokémon GO Moves'!$B$"&amp;MATCH($E279,'0.1.1 Pokémon GO Moves'!$A$1:$A951,0)&amp;":$R$"&amp;MATCH($E279,'0.1.1 Pokémon GO Moves'!$A$1:$A951,0)),'Reverse Search'!$E$21),COUNTIF(INDIRECT("'0.1.1 Pokémon GO Moves'!$B$"&amp;MATCH($E279,'0.1.1 Pokémon GO Moves'!$A$1:$A951,0)&amp;":$L$"&amp;MATCH($E279,'0.1.1 Pokémon GO Moves'!$A$1:$A951,0)),'Reverse Search'!$E$21)))))</f>
        <v>1</v>
      </c>
      <c r="AA279" s="0" t="n">
        <f aca="true">IF('Reverse Search'!$C$14="Disable",1,IF('Reverse Search'!$I$16="Disable",1,IF($D$2=3,IF($M279=0,0,COUNTIF(INDIRECT("'0.0.2 Pokémon Learnset (Core)'!$D$"&amp;MATCH($E279,'0.0.2 Pokémon Learnset (Core)'!$A$1:$A951,0)&amp;":$FK$"&amp;MATCH($E279,'0.0.2 Pokémon Learnset (Core)'!$A$1:$A951,0)),'Reverse Search'!$J$21)),IF($D$2=2,COUNTIF(INDIRECT("'0.1.1 Pokémon GO Moves'!$B$"&amp;MATCH($E279,'0.1.1 Pokémon GO Moves'!$A$1:$A951,0)&amp;":$R$"&amp;MATCH($E279,'0.1.1 Pokémon GO Moves'!$A$1:$A951,0)),'Reverse Search'!$J$21),COUNTIF(INDIRECT("'0.1.1 Pokémon GO Moves'!$B$"&amp;MATCH($E279,'0.1.1 Pokémon GO Moves'!$A$1:$A951,0)&amp;":$L$"&amp;MATCH($E279,'0.1.1 Pokémon GO Moves'!$A$1:$A951,0)),'Reverse Search'!$J$21)))))</f>
        <v>0</v>
      </c>
      <c r="AB279" s="490"/>
      <c r="AC279" s="260" t="n">
        <f aca="false">IF((Q279+R279+S279+V279+W279+X279+Y279+IF(Z279&gt;=1,1,0)+IF(AA279&gt;=1,1,0))=9,G279&amp;", ",)</f>
        <v>0</v>
      </c>
    </row>
    <row r="280" customFormat="false" ht="15.75" hidden="false" customHeight="false" outlineLevel="0" collapsed="false">
      <c r="A280" s="260"/>
      <c r="B280" s="358"/>
      <c r="C280" s="260"/>
      <c r="D280" s="358"/>
      <c r="E280" s="260" t="n">
        <v>279</v>
      </c>
      <c r="F280" s="260" t="n">
        <f aca="false" t="array" ref="F280:F280">INDEX('0.0.1 Pokémon Dex Data'!$H$3:$H951,MATCH(E280,'0.0.1 Pokémon Dex Data'!$B$3:$B951,0))</f>
        <v>0</v>
      </c>
      <c r="G280" s="0" t="str">
        <f aca="false" t="array" ref="G280:G280">INDEX('0.0.1 Pokémon Dex Data'!$E$3:$E951,MATCH(E280,'0.0.1 Pokémon Dex Data'!$B$3:$B951,0))</f>
        <v>Miltank</v>
      </c>
      <c r="H280" s="0" t="str">
        <f aca="false" t="array" ref="H280:H280">INDEX('0.0.1 Pokémon Dex Data'!$Q$3:$Q951,MATCH(E280,'0.0.1 Pokémon Dex Data'!$B$3:$B951,0))</f>
        <v>Normal</v>
      </c>
      <c r="I280" s="0" t="n">
        <f aca="false">INDEX('0.0.1 Pokémon Dex Data'!$R$3:$R951,MATCH(E280,'0.0.1 Pokémon Dex Data'!$B$3:$B951,0))</f>
        <v>0</v>
      </c>
      <c r="J280" s="260" t="n">
        <f aca="false" t="array" ref="J280:J280">ROUND(INDEX('0.0.1 Pokémon Dex Data'!$S$3:$S951,MATCH($E280,'0.0.1 Pokémon Dex Data'!$B$3:$B951,0))*INDEX('0.0.1 Pokémon Dex Data'!T$3:T951,MATCH($E280,'0.0.1 Pokémon Dex Data'!$B$3:$B951,0)),0)</f>
        <v>158</v>
      </c>
      <c r="K280" s="260" t="n">
        <f aca="false" t="array" ref="K280:K280">ROUND(INDEX('0.0.1 Pokémon Dex Data'!$S$3:$S951,MATCH($E280,'0.0.1 Pokémon Dex Data'!$B$3:$B951,0))*INDEX('0.0.1 Pokémon Dex Data'!U$3:U951,MATCH($E280,'0.0.1 Pokémon Dex Data'!$B$3:$B951,0)),0)</f>
        <v>193</v>
      </c>
      <c r="L280" s="260" t="n">
        <f aca="false" t="array" ref="L280:L280">ROUND(INDEX('0.0.1 Pokémon Dex Data'!$S$3:$S951,MATCH($E280,'0.0.1 Pokémon Dex Data'!$B$3:$B951,0))*INDEX('0.0.1 Pokémon Dex Data'!V$3:V951,MATCH($E280,'0.0.1 Pokémon Dex Data'!$B$3:$B951,0)),0)</f>
        <v>216</v>
      </c>
      <c r="M280" s="260" t="n">
        <f aca="false" t="array" ref="M280:M280">INDEX('0.0.1 Pokémon Dex Data'!$J$3:$J951,MATCH(E280,'0.0.1 Pokémon Dex Data'!$B$3:$B951,0))</f>
        <v>1</v>
      </c>
      <c r="O280" s="490"/>
      <c r="Q280" s="367" t="n">
        <f aca="false">IF('Reverse Search'!$F$4="All (including temporary formes)",1,IF('Reverse Search'!$F$4="Base Pokémon and permanent formes only",IF(F280&lt;=1,1,0),IF(F280=0,1,0)))</f>
        <v>1</v>
      </c>
      <c r="R280" s="0" t="n">
        <f aca="false">IF('Reverse Search'!$C$7="Disable",1,IF('Reverse Search'!$D$9="Disable",1,IF(OR('Reverse Search'!$F$9=H280,'Reverse Search'!$F$9=I280),1,0)))</f>
        <v>1</v>
      </c>
      <c r="S280" s="0" t="n">
        <f aca="false">IF('Reverse Search'!$C$7="Disable",1,IF('Reverse Search'!$D$10="Disable",1,IF(OR('Reverse Search'!$F$10=H280,'Reverse Search'!$F$10=I280),1,0)))</f>
        <v>1</v>
      </c>
      <c r="T280" s="0" t="n">
        <f aca="false">INDEX($B$4:$B$22,MATCH(H280,$A$4:$A$22,0))</f>
        <v>1</v>
      </c>
      <c r="U280" s="0" t="e">
        <f aca="false">IF(ISBLANK(I280),1,INDEX($B$4:$B$22,MATCH(I280,$A$4:$A$22,0)))</f>
        <v>#N/A</v>
      </c>
      <c r="V280" s="367" t="n">
        <f aca="false">IF('Reverse Search'!$C$7="Disable",1,IF('Reverse Search'!$D$11="Disable",1,IF('Reverse Search'!$E$11="Neutral to:",IF(ROUND(T280*U280,2)&lt;=1,1,0),IF(ROUND(T280*U280,2)&lt;1,1,0))))</f>
        <v>1</v>
      </c>
      <c r="W280" s="0" t="n">
        <f aca="false">IF('Reverse Search'!$N$7="Disable",1,IF('Reverse Search'!$I$9="Disable",1,IF('Reverse Search'!$K$9="≥",IF(J280&gt;='Reverse Search'!$L$9,1,0),IF('Reverse Search'!$K$9="≤",IF(J280&lt;='Reverse Search'!$L$9,1,0),IF(J280='Reverse Search'!$L$9,1,0)))))</f>
        <v>1</v>
      </c>
      <c r="X280" s="0" t="n">
        <f aca="false">IF('Reverse Search'!$N$7="Disable",1,IF('Reverse Search'!$I$10="Disable",1,IF('Reverse Search'!$K$10="≥",IF(K280&gt;='Reverse Search'!$L$10,1,0),IF('Reverse Search'!$K$10="≤",IF(K280&lt;='Reverse Search'!$L$10,1,0),IF(K280='Reverse Search'!$L$10,1,0)))))</f>
        <v>1</v>
      </c>
      <c r="Y280" s="367" t="n">
        <f aca="false">IF('Reverse Search'!$N$7="Disable",1,IF('Reverse Search'!$I$11="Disable",1,IF('Reverse Search'!$K$11="≥",IF(L280&gt;='Reverse Search'!$L$11,1,0),IF('Reverse Search'!$K$11="≤",IF(L280&lt;='Reverse Search'!$L$11,1,0),IF(L280='Reverse Search'!$L$11,1,0)))))</f>
        <v>1</v>
      </c>
      <c r="Z280" s="0" t="n">
        <f aca="true">IF('Reverse Search'!$C$14="Disable",1,IF('Reverse Search'!$D$16="Disable",1,IF($C$2=3,IF($M280=0,0,COUNTIF(INDIRECT("'0.0.2 Pokémon Learnset (Core)'!$D$"&amp;MATCH($E280,'0.0.2 Pokémon Learnset (Core)'!$A$1:$A951,0)&amp;":$FK$"&amp;MATCH($E280,'0.0.2 Pokémon Learnset (Core)'!$A$1:$A951,0)),'Reverse Search'!$E$21)),IF($C$2=2,COUNTIF(INDIRECT("'0.1.1 Pokémon GO Moves'!$B$"&amp;MATCH($E280,'0.1.1 Pokémon GO Moves'!$A$1:$A951,0)&amp;":$R$"&amp;MATCH($E280,'0.1.1 Pokémon GO Moves'!$A$1:$A951,0)),'Reverse Search'!$E$21),COUNTIF(INDIRECT("'0.1.1 Pokémon GO Moves'!$B$"&amp;MATCH($E280,'0.1.1 Pokémon GO Moves'!$A$1:$A951,0)&amp;":$L$"&amp;MATCH($E280,'0.1.1 Pokémon GO Moves'!$A$1:$A951,0)),'Reverse Search'!$E$21)))))</f>
        <v>1</v>
      </c>
      <c r="AA280" s="0" t="n">
        <f aca="true">IF('Reverse Search'!$C$14="Disable",1,IF('Reverse Search'!$I$16="Disable",1,IF($D$2=3,IF($M280=0,0,COUNTIF(INDIRECT("'0.0.2 Pokémon Learnset (Core)'!$D$"&amp;MATCH($E280,'0.0.2 Pokémon Learnset (Core)'!$A$1:$A951,0)&amp;":$FK$"&amp;MATCH($E280,'0.0.2 Pokémon Learnset (Core)'!$A$1:$A951,0)),'Reverse Search'!$J$21)),IF($D$2=2,COUNTIF(INDIRECT("'0.1.1 Pokémon GO Moves'!$B$"&amp;MATCH($E280,'0.1.1 Pokémon GO Moves'!$A$1:$A951,0)&amp;":$R$"&amp;MATCH($E280,'0.1.1 Pokémon GO Moves'!$A$1:$A951,0)),'Reverse Search'!$J$21),COUNTIF(INDIRECT("'0.1.1 Pokémon GO Moves'!$B$"&amp;MATCH($E280,'0.1.1 Pokémon GO Moves'!$A$1:$A951,0)&amp;":$L$"&amp;MATCH($E280,'0.1.1 Pokémon GO Moves'!$A$1:$A951,0)),'Reverse Search'!$J$21)))))</f>
        <v>0</v>
      </c>
      <c r="AB280" s="490"/>
      <c r="AC280" s="260" t="n">
        <f aca="false">IF((Q280+R280+S280+V280+W280+X280+Y280+IF(Z280&gt;=1,1,0)+IF(AA280&gt;=1,1,0))=9,G280&amp;", ",)</f>
        <v>0</v>
      </c>
    </row>
    <row r="281" customFormat="false" ht="15.75" hidden="false" customHeight="false" outlineLevel="0" collapsed="false">
      <c r="A281" s="260"/>
      <c r="B281" s="358"/>
      <c r="C281" s="260"/>
      <c r="D281" s="358"/>
      <c r="E281" s="260" t="n">
        <v>280</v>
      </c>
      <c r="F281" s="260" t="n">
        <f aca="false" t="array" ref="F281:F281">INDEX('0.0.1 Pokémon Dex Data'!$H$3:$H951,MATCH(E281,'0.0.1 Pokémon Dex Data'!$B$3:$B951,0))</f>
        <v>0</v>
      </c>
      <c r="G281" s="0" t="str">
        <f aca="false" t="array" ref="G281:G281">INDEX('0.0.1 Pokémon Dex Data'!$E$3:$E951,MATCH(E281,'0.0.1 Pokémon Dex Data'!$B$3:$B951,0))</f>
        <v>Blissey</v>
      </c>
      <c r="H281" s="0" t="str">
        <f aca="false" t="array" ref="H281:H281">INDEX('0.0.1 Pokémon Dex Data'!$Q$3:$Q951,MATCH(E281,'0.0.1 Pokémon Dex Data'!$B$3:$B951,0))</f>
        <v>Normal</v>
      </c>
      <c r="I281" s="0" t="n">
        <f aca="false">INDEX('0.0.1 Pokémon Dex Data'!$R$3:$R951,MATCH(E281,'0.0.1 Pokémon Dex Data'!$B$3:$B951,0))</f>
        <v>0</v>
      </c>
      <c r="J281" s="260" t="n">
        <f aca="false" t="array" ref="J281:J281">ROUND(INDEX('0.0.1 Pokémon Dex Data'!$S$3:$S951,MATCH($E281,'0.0.1 Pokémon Dex Data'!$B$3:$B951,0))*INDEX('0.0.1 Pokémon Dex Data'!T$3:T951,MATCH($E281,'0.0.1 Pokémon Dex Data'!$B$3:$B951,0)),0)</f>
        <v>129</v>
      </c>
      <c r="K281" s="260" t="n">
        <f aca="false" t="array" ref="K281:K281">ROUND(INDEX('0.0.1 Pokémon Dex Data'!$S$3:$S951,MATCH($E281,'0.0.1 Pokémon Dex Data'!$B$3:$B951,0))*INDEX('0.0.1 Pokémon Dex Data'!U$3:U951,MATCH($E281,'0.0.1 Pokémon Dex Data'!$B$3:$B951,0)),0)</f>
        <v>169</v>
      </c>
      <c r="L281" s="260" t="n">
        <f aca="false" t="array" ref="L281:L281">ROUND(INDEX('0.0.1 Pokémon Dex Data'!$S$3:$S951,MATCH($E281,'0.0.1 Pokémon Dex Data'!$B$3:$B951,0))*INDEX('0.0.1 Pokémon Dex Data'!V$3:V951,MATCH($E281,'0.0.1 Pokémon Dex Data'!$B$3:$B951,0)),0)</f>
        <v>496</v>
      </c>
      <c r="M281" s="260" t="n">
        <f aca="false" t="array" ref="M281:M281">INDEX('0.0.1 Pokémon Dex Data'!$J$3:$J951,MATCH(E281,'0.0.1 Pokémon Dex Data'!$B$3:$B951,0))</f>
        <v>1</v>
      </c>
      <c r="O281" s="490"/>
      <c r="Q281" s="367" t="n">
        <f aca="false">IF('Reverse Search'!$F$4="All (including temporary formes)",1,IF('Reverse Search'!$F$4="Base Pokémon and permanent formes only",IF(F281&lt;=1,1,0),IF(F281=0,1,0)))</f>
        <v>1</v>
      </c>
      <c r="R281" s="0" t="n">
        <f aca="false">IF('Reverse Search'!$C$7="Disable",1,IF('Reverse Search'!$D$9="Disable",1,IF(OR('Reverse Search'!$F$9=H281,'Reverse Search'!$F$9=I281),1,0)))</f>
        <v>1</v>
      </c>
      <c r="S281" s="0" t="n">
        <f aca="false">IF('Reverse Search'!$C$7="Disable",1,IF('Reverse Search'!$D$10="Disable",1,IF(OR('Reverse Search'!$F$10=H281,'Reverse Search'!$F$10=I281),1,0)))</f>
        <v>1</v>
      </c>
      <c r="T281" s="0" t="n">
        <f aca="false">INDEX($B$4:$B$22,MATCH(H281,$A$4:$A$22,0))</f>
        <v>1</v>
      </c>
      <c r="U281" s="0" t="e">
        <f aca="false">IF(ISBLANK(I281),1,INDEX($B$4:$B$22,MATCH(I281,$A$4:$A$22,0)))</f>
        <v>#N/A</v>
      </c>
      <c r="V281" s="367" t="n">
        <f aca="false">IF('Reverse Search'!$C$7="Disable",1,IF('Reverse Search'!$D$11="Disable",1,IF('Reverse Search'!$E$11="Neutral to:",IF(ROUND(T281*U281,2)&lt;=1,1,0),IF(ROUND(T281*U281,2)&lt;1,1,0))))</f>
        <v>1</v>
      </c>
      <c r="W281" s="0" t="n">
        <f aca="false">IF('Reverse Search'!$N$7="Disable",1,IF('Reverse Search'!$I$9="Disable",1,IF('Reverse Search'!$K$9="≥",IF(J281&gt;='Reverse Search'!$L$9,1,0),IF('Reverse Search'!$K$9="≤",IF(J281&lt;='Reverse Search'!$L$9,1,0),IF(J281='Reverse Search'!$L$9,1,0)))))</f>
        <v>1</v>
      </c>
      <c r="X281" s="0" t="n">
        <f aca="false">IF('Reverse Search'!$N$7="Disable",1,IF('Reverse Search'!$I$10="Disable",1,IF('Reverse Search'!$K$10="≥",IF(K281&gt;='Reverse Search'!$L$10,1,0),IF('Reverse Search'!$K$10="≤",IF(K281&lt;='Reverse Search'!$L$10,1,0),IF(K281='Reverse Search'!$L$10,1,0)))))</f>
        <v>1</v>
      </c>
      <c r="Y281" s="367" t="n">
        <f aca="false">IF('Reverse Search'!$N$7="Disable",1,IF('Reverse Search'!$I$11="Disable",1,IF('Reverse Search'!$K$11="≥",IF(L281&gt;='Reverse Search'!$L$11,1,0),IF('Reverse Search'!$K$11="≤",IF(L281&lt;='Reverse Search'!$L$11,1,0),IF(L281='Reverse Search'!$L$11,1,0)))))</f>
        <v>1</v>
      </c>
      <c r="Z281" s="0" t="n">
        <f aca="true">IF('Reverse Search'!$C$14="Disable",1,IF('Reverse Search'!$D$16="Disable",1,IF($C$2=3,IF($M281=0,0,COUNTIF(INDIRECT("'0.0.2 Pokémon Learnset (Core)'!$D$"&amp;MATCH($E281,'0.0.2 Pokémon Learnset (Core)'!$A$1:$A951,0)&amp;":$FK$"&amp;MATCH($E281,'0.0.2 Pokémon Learnset (Core)'!$A$1:$A951,0)),'Reverse Search'!$E$21)),IF($C$2=2,COUNTIF(INDIRECT("'0.1.1 Pokémon GO Moves'!$B$"&amp;MATCH($E281,'0.1.1 Pokémon GO Moves'!$A$1:$A951,0)&amp;":$R$"&amp;MATCH($E281,'0.1.1 Pokémon GO Moves'!$A$1:$A951,0)),'Reverse Search'!$E$21),COUNTIF(INDIRECT("'0.1.1 Pokémon GO Moves'!$B$"&amp;MATCH($E281,'0.1.1 Pokémon GO Moves'!$A$1:$A951,0)&amp;":$L$"&amp;MATCH($E281,'0.1.1 Pokémon GO Moves'!$A$1:$A951,0)),'Reverse Search'!$E$21)))))</f>
        <v>1</v>
      </c>
      <c r="AA281" s="0" t="n">
        <f aca="true">IF('Reverse Search'!$C$14="Disable",1,IF('Reverse Search'!$I$16="Disable",1,IF($D$2=3,IF($M281=0,0,COUNTIF(INDIRECT("'0.0.2 Pokémon Learnset (Core)'!$D$"&amp;MATCH($E281,'0.0.2 Pokémon Learnset (Core)'!$A$1:$A951,0)&amp;":$FK$"&amp;MATCH($E281,'0.0.2 Pokémon Learnset (Core)'!$A$1:$A951,0)),'Reverse Search'!$J$21)),IF($D$2=2,COUNTIF(INDIRECT("'0.1.1 Pokémon GO Moves'!$B$"&amp;MATCH($E281,'0.1.1 Pokémon GO Moves'!$A$1:$A951,0)&amp;":$R$"&amp;MATCH($E281,'0.1.1 Pokémon GO Moves'!$A$1:$A951,0)),'Reverse Search'!$J$21),COUNTIF(INDIRECT("'0.1.1 Pokémon GO Moves'!$B$"&amp;MATCH($E281,'0.1.1 Pokémon GO Moves'!$A$1:$A951,0)&amp;":$L$"&amp;MATCH($E281,'0.1.1 Pokémon GO Moves'!$A$1:$A951,0)),'Reverse Search'!$J$21)))))</f>
        <v>0</v>
      </c>
      <c r="AB281" s="490"/>
      <c r="AC281" s="260" t="n">
        <f aca="false">IF((Q281+R281+S281+V281+W281+X281+Y281+IF(Z281&gt;=1,1,0)+IF(AA281&gt;=1,1,0))=9,G281&amp;", ",)</f>
        <v>0</v>
      </c>
    </row>
    <row r="282" customFormat="false" ht="15.75" hidden="false" customHeight="false" outlineLevel="0" collapsed="false">
      <c r="A282" s="260"/>
      <c r="B282" s="358"/>
      <c r="C282" s="260"/>
      <c r="D282" s="358"/>
      <c r="E282" s="260" t="n">
        <v>281</v>
      </c>
      <c r="F282" s="260" t="n">
        <f aca="false" t="array" ref="F282:F282">INDEX('0.0.1 Pokémon Dex Data'!$H$3:$H951,MATCH(E282,'0.0.1 Pokémon Dex Data'!$B$3:$B951,0))</f>
        <v>0</v>
      </c>
      <c r="G282" s="0" t="str">
        <f aca="false" t="array" ref="G282:G282">INDEX('0.0.1 Pokémon Dex Data'!$E$3:$E951,MATCH(E282,'0.0.1 Pokémon Dex Data'!$B$3:$B951,0))</f>
        <v>Raikou</v>
      </c>
      <c r="H282" s="0" t="str">
        <f aca="false" t="array" ref="H282:H282">INDEX('0.0.1 Pokémon Dex Data'!$Q$3:$Q951,MATCH(E282,'0.0.1 Pokémon Dex Data'!$B$3:$B951,0))</f>
        <v>Electric</v>
      </c>
      <c r="I282" s="0" t="n">
        <f aca="false">INDEX('0.0.1 Pokémon Dex Data'!$R$3:$R951,MATCH(E282,'0.0.1 Pokémon Dex Data'!$B$3:$B951,0))</f>
        <v>0</v>
      </c>
      <c r="J282" s="260" t="n">
        <f aca="false" t="array" ref="J282:J282">ROUND(INDEX('0.0.1 Pokémon Dex Data'!$S$3:$S951,MATCH($E282,'0.0.1 Pokémon Dex Data'!$B$3:$B951,0))*INDEX('0.0.1 Pokémon Dex Data'!T$3:T951,MATCH($E282,'0.0.1 Pokémon Dex Data'!$B$3:$B951,0)),0)</f>
        <v>241</v>
      </c>
      <c r="K282" s="260" t="n">
        <f aca="false" t="array" ref="K282:K282">ROUND(INDEX('0.0.1 Pokémon Dex Data'!$S$3:$S951,MATCH($E282,'0.0.1 Pokémon Dex Data'!$B$3:$B951,0))*INDEX('0.0.1 Pokémon Dex Data'!U$3:U951,MATCH($E282,'0.0.1 Pokémon Dex Data'!$B$3:$B951,0)),0)</f>
        <v>195</v>
      </c>
      <c r="L282" s="260" t="n">
        <f aca="false" t="array" ref="L282:L282">ROUND(INDEX('0.0.1 Pokémon Dex Data'!$S$3:$S951,MATCH($E282,'0.0.1 Pokémon Dex Data'!$B$3:$B951,0))*INDEX('0.0.1 Pokémon Dex Data'!V$3:V951,MATCH($E282,'0.0.1 Pokémon Dex Data'!$B$3:$B951,0)),0)</f>
        <v>207</v>
      </c>
      <c r="M282" s="260" t="n">
        <f aca="false" t="array" ref="M282:M282">INDEX('0.0.1 Pokémon Dex Data'!$J$3:$J951,MATCH(E282,'0.0.1 Pokémon Dex Data'!$B$3:$B951,0))</f>
        <v>1</v>
      </c>
      <c r="O282" s="490"/>
      <c r="Q282" s="367" t="n">
        <f aca="false">IF('Reverse Search'!$F$4="All (including temporary formes)",1,IF('Reverse Search'!$F$4="Base Pokémon and permanent formes only",IF(F282&lt;=1,1,0),IF(F282=0,1,0)))</f>
        <v>1</v>
      </c>
      <c r="R282" s="0" t="n">
        <f aca="false">IF('Reverse Search'!$C$7="Disable",1,IF('Reverse Search'!$D$9="Disable",1,IF(OR('Reverse Search'!$F$9=H282,'Reverse Search'!$F$9=I282),1,0)))</f>
        <v>1</v>
      </c>
      <c r="S282" s="0" t="n">
        <f aca="false">IF('Reverse Search'!$C$7="Disable",1,IF('Reverse Search'!$D$10="Disable",1,IF(OR('Reverse Search'!$F$10=H282,'Reverse Search'!$F$10=I282),1,0)))</f>
        <v>1</v>
      </c>
      <c r="T282" s="0" t="n">
        <f aca="false">INDEX($B$4:$B$22,MATCH(H282,$A$4:$A$22,0))</f>
        <v>1</v>
      </c>
      <c r="U282" s="0" t="e">
        <f aca="false">IF(ISBLANK(I282),1,INDEX($B$4:$B$22,MATCH(I282,$A$4:$A$22,0)))</f>
        <v>#N/A</v>
      </c>
      <c r="V282" s="367" t="n">
        <f aca="false">IF('Reverse Search'!$C$7="Disable",1,IF('Reverse Search'!$D$11="Disable",1,IF('Reverse Search'!$E$11="Neutral to:",IF(ROUND(T282*U282,2)&lt;=1,1,0),IF(ROUND(T282*U282,2)&lt;1,1,0))))</f>
        <v>1</v>
      </c>
      <c r="W282" s="0" t="n">
        <f aca="false">IF('Reverse Search'!$N$7="Disable",1,IF('Reverse Search'!$I$9="Disable",1,IF('Reverse Search'!$K$9="≥",IF(J282&gt;='Reverse Search'!$L$9,1,0),IF('Reverse Search'!$K$9="≤",IF(J282&lt;='Reverse Search'!$L$9,1,0),IF(J282='Reverse Search'!$L$9,1,0)))))</f>
        <v>1</v>
      </c>
      <c r="X282" s="0" t="n">
        <f aca="false">IF('Reverse Search'!$N$7="Disable",1,IF('Reverse Search'!$I$10="Disable",1,IF('Reverse Search'!$K$10="≥",IF(K282&gt;='Reverse Search'!$L$10,1,0),IF('Reverse Search'!$K$10="≤",IF(K282&lt;='Reverse Search'!$L$10,1,0),IF(K282='Reverse Search'!$L$10,1,0)))))</f>
        <v>1</v>
      </c>
      <c r="Y282" s="367" t="n">
        <f aca="false">IF('Reverse Search'!$N$7="Disable",1,IF('Reverse Search'!$I$11="Disable",1,IF('Reverse Search'!$K$11="≥",IF(L282&gt;='Reverse Search'!$L$11,1,0),IF('Reverse Search'!$K$11="≤",IF(L282&lt;='Reverse Search'!$L$11,1,0),IF(L282='Reverse Search'!$L$11,1,0)))))</f>
        <v>1</v>
      </c>
      <c r="Z282" s="0" t="n">
        <f aca="true">IF('Reverse Search'!$C$14="Disable",1,IF('Reverse Search'!$D$16="Disable",1,IF($C$2=3,IF($M282=0,0,COUNTIF(INDIRECT("'0.0.2 Pokémon Learnset (Core)'!$D$"&amp;MATCH($E282,'0.0.2 Pokémon Learnset (Core)'!$A$1:$A951,0)&amp;":$FK$"&amp;MATCH($E282,'0.0.2 Pokémon Learnset (Core)'!$A$1:$A951,0)),'Reverse Search'!$E$21)),IF($C$2=2,COUNTIF(INDIRECT("'0.1.1 Pokémon GO Moves'!$B$"&amp;MATCH($E282,'0.1.1 Pokémon GO Moves'!$A$1:$A951,0)&amp;":$R$"&amp;MATCH($E282,'0.1.1 Pokémon GO Moves'!$A$1:$A951,0)),'Reverse Search'!$E$21),COUNTIF(INDIRECT("'0.1.1 Pokémon GO Moves'!$B$"&amp;MATCH($E282,'0.1.1 Pokémon GO Moves'!$A$1:$A951,0)&amp;":$L$"&amp;MATCH($E282,'0.1.1 Pokémon GO Moves'!$A$1:$A951,0)),'Reverse Search'!$E$21)))))</f>
        <v>1</v>
      </c>
      <c r="AA282" s="0" t="n">
        <f aca="true">IF('Reverse Search'!$C$14="Disable",1,IF('Reverse Search'!$I$16="Disable",1,IF($D$2=3,IF($M282=0,0,COUNTIF(INDIRECT("'0.0.2 Pokémon Learnset (Core)'!$D$"&amp;MATCH($E282,'0.0.2 Pokémon Learnset (Core)'!$A$1:$A951,0)&amp;":$FK$"&amp;MATCH($E282,'0.0.2 Pokémon Learnset (Core)'!$A$1:$A951,0)),'Reverse Search'!$J$21)),IF($D$2=2,COUNTIF(INDIRECT("'0.1.1 Pokémon GO Moves'!$B$"&amp;MATCH($E282,'0.1.1 Pokémon GO Moves'!$A$1:$A951,0)&amp;":$R$"&amp;MATCH($E282,'0.1.1 Pokémon GO Moves'!$A$1:$A951,0)),'Reverse Search'!$J$21),COUNTIF(INDIRECT("'0.1.1 Pokémon GO Moves'!$B$"&amp;MATCH($E282,'0.1.1 Pokémon GO Moves'!$A$1:$A951,0)&amp;":$L$"&amp;MATCH($E282,'0.1.1 Pokémon GO Moves'!$A$1:$A951,0)),'Reverse Search'!$J$21)))))</f>
        <v>0</v>
      </c>
      <c r="AB282" s="490"/>
      <c r="AC282" s="260" t="n">
        <f aca="false">IF((Q282+R282+S282+V282+W282+X282+Y282+IF(Z282&gt;=1,1,0)+IF(AA282&gt;=1,1,0))=9,G282&amp;", ",)</f>
        <v>0</v>
      </c>
    </row>
    <row r="283" customFormat="false" ht="15.75" hidden="false" customHeight="false" outlineLevel="0" collapsed="false">
      <c r="A283" s="260"/>
      <c r="B283" s="358"/>
      <c r="C283" s="260"/>
      <c r="D283" s="358"/>
      <c r="E283" s="260" t="n">
        <v>282</v>
      </c>
      <c r="F283" s="260" t="n">
        <f aca="false" t="array" ref="F283:F283">INDEX('0.0.1 Pokémon Dex Data'!$H$3:$H951,MATCH(E283,'0.0.1 Pokémon Dex Data'!$B$3:$B951,0))</f>
        <v>0</v>
      </c>
      <c r="G283" s="0" t="str">
        <f aca="false" t="array" ref="G283:G283">INDEX('0.0.1 Pokémon Dex Data'!$E$3:$E951,MATCH(E283,'0.0.1 Pokémon Dex Data'!$B$3:$B951,0))</f>
        <v>Entei</v>
      </c>
      <c r="H283" s="0" t="str">
        <f aca="false" t="array" ref="H283:H283">INDEX('0.0.1 Pokémon Dex Data'!$Q$3:$Q951,MATCH(E283,'0.0.1 Pokémon Dex Data'!$B$3:$B951,0))</f>
        <v>Fire</v>
      </c>
      <c r="I283" s="0" t="n">
        <f aca="false">INDEX('0.0.1 Pokémon Dex Data'!$R$3:$R951,MATCH(E283,'0.0.1 Pokémon Dex Data'!$B$3:$B951,0))</f>
        <v>0</v>
      </c>
      <c r="J283" s="260" t="n">
        <f aca="false" t="array" ref="J283:J283">ROUND(INDEX('0.0.1 Pokémon Dex Data'!$S$3:$S951,MATCH($E283,'0.0.1 Pokémon Dex Data'!$B$3:$B951,0))*INDEX('0.0.1 Pokémon Dex Data'!T$3:T951,MATCH($E283,'0.0.1 Pokémon Dex Data'!$B$3:$B951,0)),0)</f>
        <v>235</v>
      </c>
      <c r="K283" s="260" t="n">
        <f aca="false" t="array" ref="K283:K283">ROUND(INDEX('0.0.1 Pokémon Dex Data'!$S$3:$S951,MATCH($E283,'0.0.1 Pokémon Dex Data'!$B$3:$B951,0))*INDEX('0.0.1 Pokémon Dex Data'!U$3:U951,MATCH($E283,'0.0.1 Pokémon Dex Data'!$B$3:$B951,0)),0)</f>
        <v>171</v>
      </c>
      <c r="L283" s="260" t="n">
        <f aca="false" t="array" ref="L283:L283">ROUND(INDEX('0.0.1 Pokémon Dex Data'!$S$3:$S951,MATCH($E283,'0.0.1 Pokémon Dex Data'!$B$3:$B951,0))*INDEX('0.0.1 Pokémon Dex Data'!V$3:V951,MATCH($E283,'0.0.1 Pokémon Dex Data'!$B$3:$B951,0)),0)</f>
        <v>251</v>
      </c>
      <c r="M283" s="260" t="n">
        <f aca="false" t="array" ref="M283:M283">INDEX('0.0.1 Pokémon Dex Data'!$J$3:$J951,MATCH(E283,'0.0.1 Pokémon Dex Data'!$B$3:$B951,0))</f>
        <v>1</v>
      </c>
      <c r="O283" s="490"/>
      <c r="Q283" s="367" t="n">
        <f aca="false">IF('Reverse Search'!$F$4="All (including temporary formes)",1,IF('Reverse Search'!$F$4="Base Pokémon and permanent formes only",IF(F283&lt;=1,1,0),IF(F283=0,1,0)))</f>
        <v>1</v>
      </c>
      <c r="R283" s="0" t="n">
        <f aca="false">IF('Reverse Search'!$C$7="Disable",1,IF('Reverse Search'!$D$9="Disable",1,IF(OR('Reverse Search'!$F$9=H283,'Reverse Search'!$F$9=I283),1,0)))</f>
        <v>1</v>
      </c>
      <c r="S283" s="0" t="n">
        <f aca="false">IF('Reverse Search'!$C$7="Disable",1,IF('Reverse Search'!$D$10="Disable",1,IF(OR('Reverse Search'!$F$10=H283,'Reverse Search'!$F$10=I283),1,0)))</f>
        <v>1</v>
      </c>
      <c r="T283" s="0" t="n">
        <f aca="false">INDEX($B$4:$B$22,MATCH(H283,$A$4:$A$22,0))</f>
        <v>1</v>
      </c>
      <c r="U283" s="0" t="e">
        <f aca="false">IF(ISBLANK(I283),1,INDEX($B$4:$B$22,MATCH(I283,$A$4:$A$22,0)))</f>
        <v>#N/A</v>
      </c>
      <c r="V283" s="367" t="n">
        <f aca="false">IF('Reverse Search'!$C$7="Disable",1,IF('Reverse Search'!$D$11="Disable",1,IF('Reverse Search'!$E$11="Neutral to:",IF(ROUND(T283*U283,2)&lt;=1,1,0),IF(ROUND(T283*U283,2)&lt;1,1,0))))</f>
        <v>1</v>
      </c>
      <c r="W283" s="0" t="n">
        <f aca="false">IF('Reverse Search'!$N$7="Disable",1,IF('Reverse Search'!$I$9="Disable",1,IF('Reverse Search'!$K$9="≥",IF(J283&gt;='Reverse Search'!$L$9,1,0),IF('Reverse Search'!$K$9="≤",IF(J283&lt;='Reverse Search'!$L$9,1,0),IF(J283='Reverse Search'!$L$9,1,0)))))</f>
        <v>1</v>
      </c>
      <c r="X283" s="0" t="n">
        <f aca="false">IF('Reverse Search'!$N$7="Disable",1,IF('Reverse Search'!$I$10="Disable",1,IF('Reverse Search'!$K$10="≥",IF(K283&gt;='Reverse Search'!$L$10,1,0),IF('Reverse Search'!$K$10="≤",IF(K283&lt;='Reverse Search'!$L$10,1,0),IF(K283='Reverse Search'!$L$10,1,0)))))</f>
        <v>1</v>
      </c>
      <c r="Y283" s="367" t="n">
        <f aca="false">IF('Reverse Search'!$N$7="Disable",1,IF('Reverse Search'!$I$11="Disable",1,IF('Reverse Search'!$K$11="≥",IF(L283&gt;='Reverse Search'!$L$11,1,0),IF('Reverse Search'!$K$11="≤",IF(L283&lt;='Reverse Search'!$L$11,1,0),IF(L283='Reverse Search'!$L$11,1,0)))))</f>
        <v>1</v>
      </c>
      <c r="Z283" s="0" t="n">
        <f aca="true">IF('Reverse Search'!$C$14="Disable",1,IF('Reverse Search'!$D$16="Disable",1,IF($C$2=3,IF($M283=0,0,COUNTIF(INDIRECT("'0.0.2 Pokémon Learnset (Core)'!$D$"&amp;MATCH($E283,'0.0.2 Pokémon Learnset (Core)'!$A$1:$A951,0)&amp;":$FK$"&amp;MATCH($E283,'0.0.2 Pokémon Learnset (Core)'!$A$1:$A951,0)),'Reverse Search'!$E$21)),IF($C$2=2,COUNTIF(INDIRECT("'0.1.1 Pokémon GO Moves'!$B$"&amp;MATCH($E283,'0.1.1 Pokémon GO Moves'!$A$1:$A951,0)&amp;":$R$"&amp;MATCH($E283,'0.1.1 Pokémon GO Moves'!$A$1:$A951,0)),'Reverse Search'!$E$21),COUNTIF(INDIRECT("'0.1.1 Pokémon GO Moves'!$B$"&amp;MATCH($E283,'0.1.1 Pokémon GO Moves'!$A$1:$A951,0)&amp;":$L$"&amp;MATCH($E283,'0.1.1 Pokémon GO Moves'!$A$1:$A951,0)),'Reverse Search'!$E$21)))))</f>
        <v>1</v>
      </c>
      <c r="AA283" s="0" t="n">
        <f aca="true">IF('Reverse Search'!$C$14="Disable",1,IF('Reverse Search'!$I$16="Disable",1,IF($D$2=3,IF($M283=0,0,COUNTIF(INDIRECT("'0.0.2 Pokémon Learnset (Core)'!$D$"&amp;MATCH($E283,'0.0.2 Pokémon Learnset (Core)'!$A$1:$A951,0)&amp;":$FK$"&amp;MATCH($E283,'0.0.2 Pokémon Learnset (Core)'!$A$1:$A951,0)),'Reverse Search'!$J$21)),IF($D$2=2,COUNTIF(INDIRECT("'0.1.1 Pokémon GO Moves'!$B$"&amp;MATCH($E283,'0.1.1 Pokémon GO Moves'!$A$1:$A951,0)&amp;":$R$"&amp;MATCH($E283,'0.1.1 Pokémon GO Moves'!$A$1:$A951,0)),'Reverse Search'!$J$21),COUNTIF(INDIRECT("'0.1.1 Pokémon GO Moves'!$B$"&amp;MATCH($E283,'0.1.1 Pokémon GO Moves'!$A$1:$A951,0)&amp;":$L$"&amp;MATCH($E283,'0.1.1 Pokémon GO Moves'!$A$1:$A951,0)),'Reverse Search'!$J$21)))))</f>
        <v>0</v>
      </c>
      <c r="AB283" s="490"/>
      <c r="AC283" s="260" t="n">
        <f aca="false">IF((Q283+R283+S283+V283+W283+X283+Y283+IF(Z283&gt;=1,1,0)+IF(AA283&gt;=1,1,0))=9,G283&amp;", ",)</f>
        <v>0</v>
      </c>
    </row>
    <row r="284" customFormat="false" ht="15.75" hidden="false" customHeight="false" outlineLevel="0" collapsed="false">
      <c r="A284" s="260"/>
      <c r="B284" s="358"/>
      <c r="C284" s="260"/>
      <c r="D284" s="358"/>
      <c r="E284" s="260" t="n">
        <v>283</v>
      </c>
      <c r="F284" s="260" t="n">
        <f aca="false" t="array" ref="F284:F284">INDEX('0.0.1 Pokémon Dex Data'!$H$3:$H951,MATCH(E284,'0.0.1 Pokémon Dex Data'!$B$3:$B951,0))</f>
        <v>0</v>
      </c>
      <c r="G284" s="0" t="str">
        <f aca="false" t="array" ref="G284:G284">INDEX('0.0.1 Pokémon Dex Data'!$E$3:$E951,MATCH(E284,'0.0.1 Pokémon Dex Data'!$B$3:$B951,0))</f>
        <v>Suicune</v>
      </c>
      <c r="H284" s="0" t="str">
        <f aca="false" t="array" ref="H284:H284">INDEX('0.0.1 Pokémon Dex Data'!$Q$3:$Q951,MATCH(E284,'0.0.1 Pokémon Dex Data'!$B$3:$B951,0))</f>
        <v>Water</v>
      </c>
      <c r="I284" s="0" t="n">
        <f aca="false">INDEX('0.0.1 Pokémon Dex Data'!$R$3:$R951,MATCH(E284,'0.0.1 Pokémon Dex Data'!$B$3:$B951,0))</f>
        <v>0</v>
      </c>
      <c r="J284" s="260" t="n">
        <f aca="false" t="array" ref="J284:J284">ROUND(INDEX('0.0.1 Pokémon Dex Data'!$S$3:$S951,MATCH($E284,'0.0.1 Pokémon Dex Data'!$B$3:$B951,0))*INDEX('0.0.1 Pokémon Dex Data'!T$3:T951,MATCH($E284,'0.0.1 Pokémon Dex Data'!$B$3:$B951,0)),0)</f>
        <v>180</v>
      </c>
      <c r="K284" s="260" t="n">
        <f aca="false" t="array" ref="K284:K284">ROUND(INDEX('0.0.1 Pokémon Dex Data'!$S$3:$S951,MATCH($E284,'0.0.1 Pokémon Dex Data'!$B$3:$B951,0))*INDEX('0.0.1 Pokémon Dex Data'!U$3:U951,MATCH($E284,'0.0.1 Pokémon Dex Data'!$B$3:$B951,0)),0)</f>
        <v>235</v>
      </c>
      <c r="L284" s="260" t="n">
        <f aca="false" t="array" ref="L284:L284">ROUND(INDEX('0.0.1 Pokémon Dex Data'!$S$3:$S951,MATCH($E284,'0.0.1 Pokémon Dex Data'!$B$3:$B951,0))*INDEX('0.0.1 Pokémon Dex Data'!V$3:V951,MATCH($E284,'0.0.1 Pokémon Dex Data'!$B$3:$B951,0)),0)</f>
        <v>225</v>
      </c>
      <c r="M284" s="260" t="n">
        <f aca="false" t="array" ref="M284:M284">INDEX('0.0.1 Pokémon Dex Data'!$J$3:$J951,MATCH(E284,'0.0.1 Pokémon Dex Data'!$B$3:$B951,0))</f>
        <v>1</v>
      </c>
      <c r="O284" s="490"/>
      <c r="Q284" s="367" t="n">
        <f aca="false">IF('Reverse Search'!$F$4="All (including temporary formes)",1,IF('Reverse Search'!$F$4="Base Pokémon and permanent formes only",IF(F284&lt;=1,1,0),IF(F284=0,1,0)))</f>
        <v>1</v>
      </c>
      <c r="R284" s="0" t="n">
        <f aca="false">IF('Reverse Search'!$C$7="Disable",1,IF('Reverse Search'!$D$9="Disable",1,IF(OR('Reverse Search'!$F$9=H284,'Reverse Search'!$F$9=I284),1,0)))</f>
        <v>1</v>
      </c>
      <c r="S284" s="0" t="n">
        <f aca="false">IF('Reverse Search'!$C$7="Disable",1,IF('Reverse Search'!$D$10="Disable",1,IF(OR('Reverse Search'!$F$10=H284,'Reverse Search'!$F$10=I284),1,0)))</f>
        <v>1</v>
      </c>
      <c r="T284" s="0" t="n">
        <f aca="false">INDEX($B$4:$B$22,MATCH(H284,$A$4:$A$22,0))</f>
        <v>1</v>
      </c>
      <c r="U284" s="0" t="e">
        <f aca="false">IF(ISBLANK(I284),1,INDEX($B$4:$B$22,MATCH(I284,$A$4:$A$22,0)))</f>
        <v>#N/A</v>
      </c>
      <c r="V284" s="367" t="n">
        <f aca="false">IF('Reverse Search'!$C$7="Disable",1,IF('Reverse Search'!$D$11="Disable",1,IF('Reverse Search'!$E$11="Neutral to:",IF(ROUND(T284*U284,2)&lt;=1,1,0),IF(ROUND(T284*U284,2)&lt;1,1,0))))</f>
        <v>1</v>
      </c>
      <c r="W284" s="0" t="n">
        <f aca="false">IF('Reverse Search'!$N$7="Disable",1,IF('Reverse Search'!$I$9="Disable",1,IF('Reverse Search'!$K$9="≥",IF(J284&gt;='Reverse Search'!$L$9,1,0),IF('Reverse Search'!$K$9="≤",IF(J284&lt;='Reverse Search'!$L$9,1,0),IF(J284='Reverse Search'!$L$9,1,0)))))</f>
        <v>1</v>
      </c>
      <c r="X284" s="0" t="n">
        <f aca="false">IF('Reverse Search'!$N$7="Disable",1,IF('Reverse Search'!$I$10="Disable",1,IF('Reverse Search'!$K$10="≥",IF(K284&gt;='Reverse Search'!$L$10,1,0),IF('Reverse Search'!$K$10="≤",IF(K284&lt;='Reverse Search'!$L$10,1,0),IF(K284='Reverse Search'!$L$10,1,0)))))</f>
        <v>1</v>
      </c>
      <c r="Y284" s="367" t="n">
        <f aca="false">IF('Reverse Search'!$N$7="Disable",1,IF('Reverse Search'!$I$11="Disable",1,IF('Reverse Search'!$K$11="≥",IF(L284&gt;='Reverse Search'!$L$11,1,0),IF('Reverse Search'!$K$11="≤",IF(L284&lt;='Reverse Search'!$L$11,1,0),IF(L284='Reverse Search'!$L$11,1,0)))))</f>
        <v>1</v>
      </c>
      <c r="Z284" s="0" t="n">
        <f aca="true">IF('Reverse Search'!$C$14="Disable",1,IF('Reverse Search'!$D$16="Disable",1,IF($C$2=3,IF($M284=0,0,COUNTIF(INDIRECT("'0.0.2 Pokémon Learnset (Core)'!$D$"&amp;MATCH($E284,'0.0.2 Pokémon Learnset (Core)'!$A$1:$A951,0)&amp;":$FK$"&amp;MATCH($E284,'0.0.2 Pokémon Learnset (Core)'!$A$1:$A951,0)),'Reverse Search'!$E$21)),IF($C$2=2,COUNTIF(INDIRECT("'0.1.1 Pokémon GO Moves'!$B$"&amp;MATCH($E284,'0.1.1 Pokémon GO Moves'!$A$1:$A951,0)&amp;":$R$"&amp;MATCH($E284,'0.1.1 Pokémon GO Moves'!$A$1:$A951,0)),'Reverse Search'!$E$21),COUNTIF(INDIRECT("'0.1.1 Pokémon GO Moves'!$B$"&amp;MATCH($E284,'0.1.1 Pokémon GO Moves'!$A$1:$A951,0)&amp;":$L$"&amp;MATCH($E284,'0.1.1 Pokémon GO Moves'!$A$1:$A951,0)),'Reverse Search'!$E$21)))))</f>
        <v>1</v>
      </c>
      <c r="AA284" s="0" t="n">
        <f aca="true">IF('Reverse Search'!$C$14="Disable",1,IF('Reverse Search'!$I$16="Disable",1,IF($D$2=3,IF($M284=0,0,COUNTIF(INDIRECT("'0.0.2 Pokémon Learnset (Core)'!$D$"&amp;MATCH($E284,'0.0.2 Pokémon Learnset (Core)'!$A$1:$A951,0)&amp;":$FK$"&amp;MATCH($E284,'0.0.2 Pokémon Learnset (Core)'!$A$1:$A951,0)),'Reverse Search'!$J$21)),IF($D$2=2,COUNTIF(INDIRECT("'0.1.1 Pokémon GO Moves'!$B$"&amp;MATCH($E284,'0.1.1 Pokémon GO Moves'!$A$1:$A951,0)&amp;":$R$"&amp;MATCH($E284,'0.1.1 Pokémon GO Moves'!$A$1:$A951,0)),'Reverse Search'!$J$21),COUNTIF(INDIRECT("'0.1.1 Pokémon GO Moves'!$B$"&amp;MATCH($E284,'0.1.1 Pokémon GO Moves'!$A$1:$A951,0)&amp;":$L$"&amp;MATCH($E284,'0.1.1 Pokémon GO Moves'!$A$1:$A951,0)),'Reverse Search'!$J$21)))))</f>
        <v>0</v>
      </c>
      <c r="AB284" s="490"/>
      <c r="AC284" s="260" t="n">
        <f aca="false">IF((Q284+R284+S284+V284+W284+X284+Y284+IF(Z284&gt;=1,1,0)+IF(AA284&gt;=1,1,0))=9,G284&amp;", ",)</f>
        <v>0</v>
      </c>
    </row>
    <row r="285" customFormat="false" ht="15.75" hidden="false" customHeight="false" outlineLevel="0" collapsed="false">
      <c r="A285" s="260"/>
      <c r="B285" s="358"/>
      <c r="C285" s="260"/>
      <c r="D285" s="358"/>
      <c r="E285" s="260" t="n">
        <v>284</v>
      </c>
      <c r="F285" s="260" t="n">
        <f aca="false" t="array" ref="F285:F285">INDEX('0.0.1 Pokémon Dex Data'!$H$3:$H951,MATCH(E285,'0.0.1 Pokémon Dex Data'!$B$3:$B951,0))</f>
        <v>0</v>
      </c>
      <c r="G285" s="0" t="str">
        <f aca="false" t="array" ref="G285:G285">INDEX('0.0.1 Pokémon Dex Data'!$E$3:$E951,MATCH(E285,'0.0.1 Pokémon Dex Data'!$B$3:$B951,0))</f>
        <v>Larvitar</v>
      </c>
      <c r="H285" s="0" t="str">
        <f aca="false" t="array" ref="H285:H285">INDEX('0.0.1 Pokémon Dex Data'!$Q$3:$Q951,MATCH(E285,'0.0.1 Pokémon Dex Data'!$B$3:$B951,0))</f>
        <v>Rock</v>
      </c>
      <c r="I285" s="0" t="str">
        <f aca="false" t="array" ref="I285:I285">INDEX('0.0.1 Pokémon Dex Data'!$R$3:$R951,MATCH(E285,'0.0.1 Pokémon Dex Data'!$B$3:$B951,0))</f>
        <v>Ground</v>
      </c>
      <c r="J285" s="260" t="n">
        <f aca="false" t="array" ref="J285:J285">ROUND(INDEX('0.0.1 Pokémon Dex Data'!$S$3:$S951,MATCH($E285,'0.0.1 Pokémon Dex Data'!$B$3:$B951,0))*INDEX('0.0.1 Pokémon Dex Data'!T$3:T951,MATCH($E285,'0.0.1 Pokémon Dex Data'!$B$3:$B951,0)),0)</f>
        <v>115</v>
      </c>
      <c r="K285" s="260" t="n">
        <f aca="false" t="array" ref="K285:K285">ROUND(INDEX('0.0.1 Pokémon Dex Data'!$S$3:$S951,MATCH($E285,'0.0.1 Pokémon Dex Data'!$B$3:$B951,0))*INDEX('0.0.1 Pokémon Dex Data'!U$3:U951,MATCH($E285,'0.0.1 Pokémon Dex Data'!$B$3:$B951,0)),0)</f>
        <v>93</v>
      </c>
      <c r="L285" s="260" t="n">
        <f aca="false" t="array" ref="L285:L285">ROUND(INDEX('0.0.1 Pokémon Dex Data'!$S$3:$S951,MATCH($E285,'0.0.1 Pokémon Dex Data'!$B$3:$B951,0))*INDEX('0.0.1 Pokémon Dex Data'!V$3:V951,MATCH($E285,'0.0.1 Pokémon Dex Data'!$B$3:$B951,0)),0)</f>
        <v>137</v>
      </c>
      <c r="M285" s="260" t="n">
        <f aca="false" t="array" ref="M285:M285">INDEX('0.0.1 Pokémon Dex Data'!$J$3:$J951,MATCH(E285,'0.0.1 Pokémon Dex Data'!$B$3:$B951,0))</f>
        <v>0</v>
      </c>
      <c r="O285" s="490"/>
      <c r="Q285" s="367" t="n">
        <f aca="false">IF('Reverse Search'!$F$4="All (including temporary formes)",1,IF('Reverse Search'!$F$4="Base Pokémon and permanent formes only",IF(F285&lt;=1,1,0),IF(F285=0,1,0)))</f>
        <v>1</v>
      </c>
      <c r="R285" s="0" t="n">
        <f aca="false">IF('Reverse Search'!$C$7="Disable",1,IF('Reverse Search'!$D$9="Disable",1,IF(OR('Reverse Search'!$F$9=H285,'Reverse Search'!$F$9=I285),1,0)))</f>
        <v>1</v>
      </c>
      <c r="S285" s="0" t="n">
        <f aca="false">IF('Reverse Search'!$C$7="Disable",1,IF('Reverse Search'!$D$10="Disable",1,IF(OR('Reverse Search'!$F$10=H285,'Reverse Search'!$F$10=I285),1,0)))</f>
        <v>1</v>
      </c>
      <c r="T285" s="0" t="n">
        <f aca="false">INDEX($B$4:$B$22,MATCH(H285,$A$4:$A$22,0))</f>
        <v>0.714</v>
      </c>
      <c r="U285" s="0" t="n">
        <f aca="false">IF(ISBLANK(I285),1,INDEX($B$4:$B$22,MATCH(I285,$A$4:$A$22,0)))</f>
        <v>1</v>
      </c>
      <c r="V285" s="367" t="n">
        <f aca="false">IF('Reverse Search'!$C$7="Disable",1,IF('Reverse Search'!$D$11="Disable",1,IF('Reverse Search'!$E$11="Neutral to:",IF(ROUND(T285*U285,2)&lt;=1,1,0),IF(ROUND(T285*U285,2)&lt;1,1,0))))</f>
        <v>1</v>
      </c>
      <c r="W285" s="0" t="n">
        <f aca="false">IF('Reverse Search'!$N$7="Disable",1,IF('Reverse Search'!$I$9="Disable",1,IF('Reverse Search'!$K$9="≥",IF(J285&gt;='Reverse Search'!$L$9,1,0),IF('Reverse Search'!$K$9="≤",IF(J285&lt;='Reverse Search'!$L$9,1,0),IF(J285='Reverse Search'!$L$9,1,0)))))</f>
        <v>1</v>
      </c>
      <c r="X285" s="0" t="n">
        <f aca="false">IF('Reverse Search'!$N$7="Disable",1,IF('Reverse Search'!$I$10="Disable",1,IF('Reverse Search'!$K$10="≥",IF(K285&gt;='Reverse Search'!$L$10,1,0),IF('Reverse Search'!$K$10="≤",IF(K285&lt;='Reverse Search'!$L$10,1,0),IF(K285='Reverse Search'!$L$10,1,0)))))</f>
        <v>1</v>
      </c>
      <c r="Y285" s="367" t="n">
        <f aca="false">IF('Reverse Search'!$N$7="Disable",1,IF('Reverse Search'!$I$11="Disable",1,IF('Reverse Search'!$K$11="≥",IF(L285&gt;='Reverse Search'!$L$11,1,0),IF('Reverse Search'!$K$11="≤",IF(L285&lt;='Reverse Search'!$L$11,1,0),IF(L285='Reverse Search'!$L$11,1,0)))))</f>
        <v>1</v>
      </c>
      <c r="Z285" s="0" t="n">
        <f aca="true">IF('Reverse Search'!$C$14="Disable",1,IF('Reverse Search'!$D$16="Disable",1,IF($C$2=3,IF($M285=0,0,COUNTIF(INDIRECT("'0.0.2 Pokémon Learnset (Core)'!$D$"&amp;MATCH($E285,'0.0.2 Pokémon Learnset (Core)'!$A$1:$A951,0)&amp;":$FK$"&amp;MATCH($E285,'0.0.2 Pokémon Learnset (Core)'!$A$1:$A951,0)),'Reverse Search'!$E$21)),IF($C$2=2,COUNTIF(INDIRECT("'0.1.1 Pokémon GO Moves'!$B$"&amp;MATCH($E285,'0.1.1 Pokémon GO Moves'!$A$1:$A951,0)&amp;":$R$"&amp;MATCH($E285,'0.1.1 Pokémon GO Moves'!$A$1:$A951,0)),'Reverse Search'!$E$21),COUNTIF(INDIRECT("'0.1.1 Pokémon GO Moves'!$B$"&amp;MATCH($E285,'0.1.1 Pokémon GO Moves'!$A$1:$A951,0)&amp;":$L$"&amp;MATCH($E285,'0.1.1 Pokémon GO Moves'!$A$1:$A951,0)),'Reverse Search'!$E$21)))))</f>
        <v>1</v>
      </c>
      <c r="AA285" s="0" t="n">
        <f aca="true">IF('Reverse Search'!$C$14="Disable",1,IF('Reverse Search'!$I$16="Disable",1,IF($D$2=3,IF($M285=0,0,COUNTIF(INDIRECT("'0.0.2 Pokémon Learnset (Core)'!$D$"&amp;MATCH($E285,'0.0.2 Pokémon Learnset (Core)'!$A$1:$A951,0)&amp;":$FK$"&amp;MATCH($E285,'0.0.2 Pokémon Learnset (Core)'!$A$1:$A951,0)),'Reverse Search'!$J$21)),IF($D$2=2,COUNTIF(INDIRECT("'0.1.1 Pokémon GO Moves'!$B$"&amp;MATCH($E285,'0.1.1 Pokémon GO Moves'!$A$1:$A951,0)&amp;":$R$"&amp;MATCH($E285,'0.1.1 Pokémon GO Moves'!$A$1:$A951,0)),'Reverse Search'!$J$21),COUNTIF(INDIRECT("'0.1.1 Pokémon GO Moves'!$B$"&amp;MATCH($E285,'0.1.1 Pokémon GO Moves'!$A$1:$A951,0)&amp;":$L$"&amp;MATCH($E285,'0.1.1 Pokémon GO Moves'!$A$1:$A951,0)),'Reverse Search'!$J$21)))))</f>
        <v>0</v>
      </c>
      <c r="AB285" s="490"/>
      <c r="AC285" s="260" t="n">
        <f aca="false">IF((Q285+R285+S285+V285+W285+X285+Y285+IF(Z285&gt;=1,1,0)+IF(AA285&gt;=1,1,0))=9,G285&amp;", ",)</f>
        <v>0</v>
      </c>
    </row>
    <row r="286" customFormat="false" ht="15.75" hidden="false" customHeight="false" outlineLevel="0" collapsed="false">
      <c r="A286" s="260"/>
      <c r="B286" s="358"/>
      <c r="C286" s="260"/>
      <c r="D286" s="358"/>
      <c r="E286" s="260" t="n">
        <v>285</v>
      </c>
      <c r="F286" s="260" t="n">
        <f aca="false" t="array" ref="F286:F286">INDEX('0.0.1 Pokémon Dex Data'!$H$3:$H951,MATCH(E286,'0.0.1 Pokémon Dex Data'!$B$3:$B951,0))</f>
        <v>0</v>
      </c>
      <c r="G286" s="0" t="str">
        <f aca="false" t="array" ref="G286:G286">INDEX('0.0.1 Pokémon Dex Data'!$E$3:$E951,MATCH(E286,'0.0.1 Pokémon Dex Data'!$B$3:$B951,0))</f>
        <v>Pupitar</v>
      </c>
      <c r="H286" s="0" t="str">
        <f aca="false" t="array" ref="H286:H286">INDEX('0.0.1 Pokémon Dex Data'!$Q$3:$Q951,MATCH(E286,'0.0.1 Pokémon Dex Data'!$B$3:$B951,0))</f>
        <v>Rock</v>
      </c>
      <c r="I286" s="0" t="str">
        <f aca="false" t="array" ref="I286:I286">INDEX('0.0.1 Pokémon Dex Data'!$R$3:$R951,MATCH(E286,'0.0.1 Pokémon Dex Data'!$B$3:$B951,0))</f>
        <v>Ground</v>
      </c>
      <c r="J286" s="260" t="n">
        <f aca="false" t="array" ref="J286:J286">ROUND(INDEX('0.0.1 Pokémon Dex Data'!$S$3:$S951,MATCH($E286,'0.0.1 Pokémon Dex Data'!$B$3:$B951,0))*INDEX('0.0.1 Pokémon Dex Data'!T$3:T951,MATCH($E286,'0.0.1 Pokémon Dex Data'!$B$3:$B951,0)),0)</f>
        <v>155</v>
      </c>
      <c r="K286" s="260" t="n">
        <f aca="false" t="array" ref="K286:K286">ROUND(INDEX('0.0.1 Pokémon Dex Data'!$S$3:$S951,MATCH($E286,'0.0.1 Pokémon Dex Data'!$B$3:$B951,0))*INDEX('0.0.1 Pokémon Dex Data'!U$3:U951,MATCH($E286,'0.0.1 Pokémon Dex Data'!$B$3:$B951,0)),0)</f>
        <v>133</v>
      </c>
      <c r="L286" s="260" t="n">
        <f aca="false" t="array" ref="L286:L286">ROUND(INDEX('0.0.1 Pokémon Dex Data'!$S$3:$S951,MATCH($E286,'0.0.1 Pokémon Dex Data'!$B$3:$B951,0))*INDEX('0.0.1 Pokémon Dex Data'!V$3:V951,MATCH($E286,'0.0.1 Pokémon Dex Data'!$B$3:$B951,0)),0)</f>
        <v>172</v>
      </c>
      <c r="M286" s="260" t="n">
        <f aca="false" t="array" ref="M286:M286">INDEX('0.0.1 Pokémon Dex Data'!$J$3:$J951,MATCH(E286,'0.0.1 Pokémon Dex Data'!$B$3:$B951,0))</f>
        <v>0</v>
      </c>
      <c r="O286" s="490"/>
      <c r="Q286" s="367" t="n">
        <f aca="false">IF('Reverse Search'!$F$4="All (including temporary formes)",1,IF('Reverse Search'!$F$4="Base Pokémon and permanent formes only",IF(F286&lt;=1,1,0),IF(F286=0,1,0)))</f>
        <v>1</v>
      </c>
      <c r="R286" s="0" t="n">
        <f aca="false">IF('Reverse Search'!$C$7="Disable",1,IF('Reverse Search'!$D$9="Disable",1,IF(OR('Reverse Search'!$F$9=H286,'Reverse Search'!$F$9=I286),1,0)))</f>
        <v>1</v>
      </c>
      <c r="S286" s="0" t="n">
        <f aca="false">IF('Reverse Search'!$C$7="Disable",1,IF('Reverse Search'!$D$10="Disable",1,IF(OR('Reverse Search'!$F$10=H286,'Reverse Search'!$F$10=I286),1,0)))</f>
        <v>1</v>
      </c>
      <c r="T286" s="0" t="n">
        <f aca="false">INDEX($B$4:$B$22,MATCH(H286,$A$4:$A$22,0))</f>
        <v>0.714</v>
      </c>
      <c r="U286" s="0" t="n">
        <f aca="false">IF(ISBLANK(I286),1,INDEX($B$4:$B$22,MATCH(I286,$A$4:$A$22,0)))</f>
        <v>1</v>
      </c>
      <c r="V286" s="367" t="n">
        <f aca="false">IF('Reverse Search'!$C$7="Disable",1,IF('Reverse Search'!$D$11="Disable",1,IF('Reverse Search'!$E$11="Neutral to:",IF(ROUND(T286*U286,2)&lt;=1,1,0),IF(ROUND(T286*U286,2)&lt;1,1,0))))</f>
        <v>1</v>
      </c>
      <c r="W286" s="0" t="n">
        <f aca="false">IF('Reverse Search'!$N$7="Disable",1,IF('Reverse Search'!$I$9="Disable",1,IF('Reverse Search'!$K$9="≥",IF(J286&gt;='Reverse Search'!$L$9,1,0),IF('Reverse Search'!$K$9="≤",IF(J286&lt;='Reverse Search'!$L$9,1,0),IF(J286='Reverse Search'!$L$9,1,0)))))</f>
        <v>1</v>
      </c>
      <c r="X286" s="0" t="n">
        <f aca="false">IF('Reverse Search'!$N$7="Disable",1,IF('Reverse Search'!$I$10="Disable",1,IF('Reverse Search'!$K$10="≥",IF(K286&gt;='Reverse Search'!$L$10,1,0),IF('Reverse Search'!$K$10="≤",IF(K286&lt;='Reverse Search'!$L$10,1,0),IF(K286='Reverse Search'!$L$10,1,0)))))</f>
        <v>1</v>
      </c>
      <c r="Y286" s="367" t="n">
        <f aca="false">IF('Reverse Search'!$N$7="Disable",1,IF('Reverse Search'!$I$11="Disable",1,IF('Reverse Search'!$K$11="≥",IF(L286&gt;='Reverse Search'!$L$11,1,0),IF('Reverse Search'!$K$11="≤",IF(L286&lt;='Reverse Search'!$L$11,1,0),IF(L286='Reverse Search'!$L$11,1,0)))))</f>
        <v>1</v>
      </c>
      <c r="Z286" s="0" t="n">
        <f aca="true">IF('Reverse Search'!$C$14="Disable",1,IF('Reverse Search'!$D$16="Disable",1,IF($C$2=3,IF($M286=0,0,COUNTIF(INDIRECT("'0.0.2 Pokémon Learnset (Core)'!$D$"&amp;MATCH($E286,'0.0.2 Pokémon Learnset (Core)'!$A$1:$A951,0)&amp;":$FK$"&amp;MATCH($E286,'0.0.2 Pokémon Learnset (Core)'!$A$1:$A951,0)),'Reverse Search'!$E$21)),IF($C$2=2,COUNTIF(INDIRECT("'0.1.1 Pokémon GO Moves'!$B$"&amp;MATCH($E286,'0.1.1 Pokémon GO Moves'!$A$1:$A951,0)&amp;":$R$"&amp;MATCH($E286,'0.1.1 Pokémon GO Moves'!$A$1:$A951,0)),'Reverse Search'!$E$21),COUNTIF(INDIRECT("'0.1.1 Pokémon GO Moves'!$B$"&amp;MATCH($E286,'0.1.1 Pokémon GO Moves'!$A$1:$A951,0)&amp;":$L$"&amp;MATCH($E286,'0.1.1 Pokémon GO Moves'!$A$1:$A951,0)),'Reverse Search'!$E$21)))))</f>
        <v>1</v>
      </c>
      <c r="AA286" s="0" t="n">
        <f aca="true">IF('Reverse Search'!$C$14="Disable",1,IF('Reverse Search'!$I$16="Disable",1,IF($D$2=3,IF($M286=0,0,COUNTIF(INDIRECT("'0.0.2 Pokémon Learnset (Core)'!$D$"&amp;MATCH($E286,'0.0.2 Pokémon Learnset (Core)'!$A$1:$A951,0)&amp;":$FK$"&amp;MATCH($E286,'0.0.2 Pokémon Learnset (Core)'!$A$1:$A951,0)),'Reverse Search'!$J$21)),IF($D$2=2,COUNTIF(INDIRECT("'0.1.1 Pokémon GO Moves'!$B$"&amp;MATCH($E286,'0.1.1 Pokémon GO Moves'!$A$1:$A951,0)&amp;":$R$"&amp;MATCH($E286,'0.1.1 Pokémon GO Moves'!$A$1:$A951,0)),'Reverse Search'!$J$21),COUNTIF(INDIRECT("'0.1.1 Pokémon GO Moves'!$B$"&amp;MATCH($E286,'0.1.1 Pokémon GO Moves'!$A$1:$A951,0)&amp;":$L$"&amp;MATCH($E286,'0.1.1 Pokémon GO Moves'!$A$1:$A951,0)),'Reverse Search'!$J$21)))))</f>
        <v>0</v>
      </c>
      <c r="AB286" s="490"/>
      <c r="AC286" s="260" t="n">
        <f aca="false">IF((Q286+R286+S286+V286+W286+X286+Y286+IF(Z286&gt;=1,1,0)+IF(AA286&gt;=1,1,0))=9,G286&amp;", ",)</f>
        <v>0</v>
      </c>
    </row>
    <row r="287" customFormat="false" ht="15.75" hidden="false" customHeight="false" outlineLevel="0" collapsed="false">
      <c r="A287" s="260"/>
      <c r="B287" s="358"/>
      <c r="C287" s="260"/>
      <c r="D287" s="358"/>
      <c r="E287" s="260" t="n">
        <v>286</v>
      </c>
      <c r="F287" s="260" t="n">
        <f aca="false" t="array" ref="F287:F287">INDEX('0.0.1 Pokémon Dex Data'!$H$3:$H951,MATCH(E287,'0.0.1 Pokémon Dex Data'!$B$3:$B951,0))</f>
        <v>0</v>
      </c>
      <c r="G287" s="0" t="str">
        <f aca="false" t="array" ref="G287:G287">INDEX('0.0.1 Pokémon Dex Data'!$E$3:$E951,MATCH(E287,'0.0.1 Pokémon Dex Data'!$B$3:$B951,0))</f>
        <v>Tyranitar</v>
      </c>
      <c r="H287" s="0" t="str">
        <f aca="false" t="array" ref="H287:H287">INDEX('0.0.1 Pokémon Dex Data'!$Q$3:$Q951,MATCH(E287,'0.0.1 Pokémon Dex Data'!$B$3:$B951,0))</f>
        <v>Rock</v>
      </c>
      <c r="I287" s="0" t="str">
        <f aca="false" t="array" ref="I287:I287">INDEX('0.0.1 Pokémon Dex Data'!$R$3:$R951,MATCH(E287,'0.0.1 Pokémon Dex Data'!$B$3:$B951,0))</f>
        <v>Dark</v>
      </c>
      <c r="J287" s="260" t="n">
        <f aca="false" t="array" ref="J287:J287">ROUND(INDEX('0.0.1 Pokémon Dex Data'!$S$3:$S951,MATCH($E287,'0.0.1 Pokémon Dex Data'!$B$3:$B951,0))*INDEX('0.0.1 Pokémon Dex Data'!T$3:T951,MATCH($E287,'0.0.1 Pokémon Dex Data'!$B$3:$B951,0)),0)</f>
        <v>251</v>
      </c>
      <c r="K287" s="260" t="n">
        <f aca="false" t="array" ref="K287:K287">ROUND(INDEX('0.0.1 Pokémon Dex Data'!$S$3:$S951,MATCH($E287,'0.0.1 Pokémon Dex Data'!$B$3:$B951,0))*INDEX('0.0.1 Pokémon Dex Data'!U$3:U951,MATCH($E287,'0.0.1 Pokémon Dex Data'!$B$3:$B951,0)),0)</f>
        <v>207</v>
      </c>
      <c r="L287" s="260" t="n">
        <f aca="false" t="array" ref="L287:L287">ROUND(INDEX('0.0.1 Pokémon Dex Data'!$S$3:$S951,MATCH($E287,'0.0.1 Pokémon Dex Data'!$B$3:$B951,0))*INDEX('0.0.1 Pokémon Dex Data'!V$3:V951,MATCH($E287,'0.0.1 Pokémon Dex Data'!$B$3:$B951,0)),0)</f>
        <v>225</v>
      </c>
      <c r="M287" s="260" t="n">
        <f aca="false" t="array" ref="M287:M287">INDEX('0.0.1 Pokémon Dex Data'!$J$3:$J951,MATCH(E287,'0.0.1 Pokémon Dex Data'!$B$3:$B951,0))</f>
        <v>1</v>
      </c>
      <c r="O287" s="490"/>
      <c r="Q287" s="367" t="n">
        <f aca="false">IF('Reverse Search'!$F$4="All (including temporary formes)",1,IF('Reverse Search'!$F$4="Base Pokémon and permanent formes only",IF(F287&lt;=1,1,0),IF(F287=0,1,0)))</f>
        <v>1</v>
      </c>
      <c r="R287" s="0" t="n">
        <f aca="false">IF('Reverse Search'!$C$7="Disable",1,IF('Reverse Search'!$D$9="Disable",1,IF(OR('Reverse Search'!$F$9=H287,'Reverse Search'!$F$9=I287),1,0)))</f>
        <v>1</v>
      </c>
      <c r="S287" s="0" t="n">
        <f aca="false">IF('Reverse Search'!$C$7="Disable",1,IF('Reverse Search'!$D$10="Disable",1,IF(OR('Reverse Search'!$F$10=H287,'Reverse Search'!$F$10=I287),1,0)))</f>
        <v>1</v>
      </c>
      <c r="T287" s="0" t="n">
        <f aca="false">INDEX($B$4:$B$22,MATCH(H287,$A$4:$A$22,0))</f>
        <v>0.714</v>
      </c>
      <c r="U287" s="0" t="n">
        <f aca="false">IF(ISBLANK(I287),1,INDEX($B$4:$B$22,MATCH(I287,$A$4:$A$22,0)))</f>
        <v>1</v>
      </c>
      <c r="V287" s="367" t="n">
        <f aca="false">IF('Reverse Search'!$C$7="Disable",1,IF('Reverse Search'!$D$11="Disable",1,IF('Reverse Search'!$E$11="Neutral to:",IF(ROUND(T287*U287,2)&lt;=1,1,0),IF(ROUND(T287*U287,2)&lt;1,1,0))))</f>
        <v>1</v>
      </c>
      <c r="W287" s="0" t="n">
        <f aca="false">IF('Reverse Search'!$N$7="Disable",1,IF('Reverse Search'!$I$9="Disable",1,IF('Reverse Search'!$K$9="≥",IF(J287&gt;='Reverse Search'!$L$9,1,0),IF('Reverse Search'!$K$9="≤",IF(J287&lt;='Reverse Search'!$L$9,1,0),IF(J287='Reverse Search'!$L$9,1,0)))))</f>
        <v>1</v>
      </c>
      <c r="X287" s="0" t="n">
        <f aca="false">IF('Reverse Search'!$N$7="Disable",1,IF('Reverse Search'!$I$10="Disable",1,IF('Reverse Search'!$K$10="≥",IF(K287&gt;='Reverse Search'!$L$10,1,0),IF('Reverse Search'!$K$10="≤",IF(K287&lt;='Reverse Search'!$L$10,1,0),IF(K287='Reverse Search'!$L$10,1,0)))))</f>
        <v>1</v>
      </c>
      <c r="Y287" s="367" t="n">
        <f aca="false">IF('Reverse Search'!$N$7="Disable",1,IF('Reverse Search'!$I$11="Disable",1,IF('Reverse Search'!$K$11="≥",IF(L287&gt;='Reverse Search'!$L$11,1,0),IF('Reverse Search'!$K$11="≤",IF(L287&lt;='Reverse Search'!$L$11,1,0),IF(L287='Reverse Search'!$L$11,1,0)))))</f>
        <v>1</v>
      </c>
      <c r="Z287" s="0" t="n">
        <f aca="true">IF('Reverse Search'!$C$14="Disable",1,IF('Reverse Search'!$D$16="Disable",1,IF($C$2=3,IF($M287=0,0,COUNTIF(INDIRECT("'0.0.2 Pokémon Learnset (Core)'!$D$"&amp;MATCH($E287,'0.0.2 Pokémon Learnset (Core)'!$A$1:$A951,0)&amp;":$FK$"&amp;MATCH($E287,'0.0.2 Pokémon Learnset (Core)'!$A$1:$A951,0)),'Reverse Search'!$E$21)),IF($C$2=2,COUNTIF(INDIRECT("'0.1.1 Pokémon GO Moves'!$B$"&amp;MATCH($E287,'0.1.1 Pokémon GO Moves'!$A$1:$A951,0)&amp;":$R$"&amp;MATCH($E287,'0.1.1 Pokémon GO Moves'!$A$1:$A951,0)),'Reverse Search'!$E$21),COUNTIF(INDIRECT("'0.1.1 Pokémon GO Moves'!$B$"&amp;MATCH($E287,'0.1.1 Pokémon GO Moves'!$A$1:$A951,0)&amp;":$L$"&amp;MATCH($E287,'0.1.1 Pokémon GO Moves'!$A$1:$A951,0)),'Reverse Search'!$E$21)))))</f>
        <v>1</v>
      </c>
      <c r="AA287" s="0" t="n">
        <f aca="true">IF('Reverse Search'!$C$14="Disable",1,IF('Reverse Search'!$I$16="Disable",1,IF($D$2=3,IF($M287=0,0,COUNTIF(INDIRECT("'0.0.2 Pokémon Learnset (Core)'!$D$"&amp;MATCH($E287,'0.0.2 Pokémon Learnset (Core)'!$A$1:$A951,0)&amp;":$FK$"&amp;MATCH($E287,'0.0.2 Pokémon Learnset (Core)'!$A$1:$A951,0)),'Reverse Search'!$J$21)),IF($D$2=2,COUNTIF(INDIRECT("'0.1.1 Pokémon GO Moves'!$B$"&amp;MATCH($E287,'0.1.1 Pokémon GO Moves'!$A$1:$A951,0)&amp;":$R$"&amp;MATCH($E287,'0.1.1 Pokémon GO Moves'!$A$1:$A951,0)),'Reverse Search'!$J$21),COUNTIF(INDIRECT("'0.1.1 Pokémon GO Moves'!$B$"&amp;MATCH($E287,'0.1.1 Pokémon GO Moves'!$A$1:$A951,0)&amp;":$L$"&amp;MATCH($E287,'0.1.1 Pokémon GO Moves'!$A$1:$A951,0)),'Reverse Search'!$J$21)))))</f>
        <v>0</v>
      </c>
      <c r="AB287" s="490"/>
      <c r="AC287" s="260" t="n">
        <f aca="false">IF((Q287+R287+S287+V287+W287+X287+Y287+IF(Z287&gt;=1,1,0)+IF(AA287&gt;=1,1,0))=9,G287&amp;", ",)</f>
        <v>0</v>
      </c>
    </row>
    <row r="288" customFormat="false" ht="15.75" hidden="false" customHeight="false" outlineLevel="0" collapsed="false">
      <c r="A288" s="260"/>
      <c r="B288" s="358"/>
      <c r="C288" s="260"/>
      <c r="D288" s="358"/>
      <c r="E288" s="260" t="n">
        <v>287</v>
      </c>
      <c r="F288" s="260" t="n">
        <f aca="false" t="array" ref="F288:F288">INDEX('0.0.1 Pokémon Dex Data'!$H$3:$H951,MATCH(E288,'0.0.1 Pokémon Dex Data'!$B$3:$B951,0))</f>
        <v>2</v>
      </c>
      <c r="G288" s="0" t="str">
        <f aca="false" t="array" ref="G288:G288">INDEX('0.0.1 Pokémon Dex Data'!$E$3:$E951,MATCH(E288,'0.0.1 Pokémon Dex Data'!$B$3:$B951,0))</f>
        <v>Tyranitar-Mega</v>
      </c>
      <c r="H288" s="0" t="str">
        <f aca="false" t="array" ref="H288:H288">INDEX('0.0.1 Pokémon Dex Data'!$Q$3:$Q951,MATCH(E288,'0.0.1 Pokémon Dex Data'!$B$3:$B951,0))</f>
        <v>Rock</v>
      </c>
      <c r="I288" s="0" t="str">
        <f aca="false" t="array" ref="I288:I288">INDEX('0.0.1 Pokémon Dex Data'!$R$3:$R951,MATCH(E288,'0.0.1 Pokémon Dex Data'!$B$3:$B951,0))</f>
        <v>Dark</v>
      </c>
      <c r="J288" s="260" t="n">
        <f aca="false" t="array" ref="J288:J288">ROUND(INDEX('0.0.1 Pokémon Dex Data'!$S$3:$S951,MATCH($E288,'0.0.1 Pokémon Dex Data'!$B$3:$B951,0))*INDEX('0.0.1 Pokémon Dex Data'!T$3:T951,MATCH($E288,'0.0.1 Pokémon Dex Data'!$B$3:$B951,0)),0)</f>
        <v>309</v>
      </c>
      <c r="K288" s="260" t="n">
        <f aca="false" t="array" ref="K288:K288">ROUND(INDEX('0.0.1 Pokémon Dex Data'!$S$3:$S951,MATCH($E288,'0.0.1 Pokémon Dex Data'!$B$3:$B951,0))*INDEX('0.0.1 Pokémon Dex Data'!U$3:U951,MATCH($E288,'0.0.1 Pokémon Dex Data'!$B$3:$B951,0)),0)</f>
        <v>276</v>
      </c>
      <c r="L288" s="260" t="n">
        <f aca="false" t="array" ref="L288:L288">ROUND(INDEX('0.0.1 Pokémon Dex Data'!$S$3:$S951,MATCH($E288,'0.0.1 Pokémon Dex Data'!$B$3:$B951,0))*INDEX('0.0.1 Pokémon Dex Data'!V$3:V951,MATCH($E288,'0.0.1 Pokémon Dex Data'!$B$3:$B951,0)),0)</f>
        <v>225</v>
      </c>
      <c r="M288" s="260" t="n">
        <f aca="false" t="array" ref="M288:M288">INDEX('0.0.1 Pokémon Dex Data'!$J$3:$J951,MATCH(E288,'0.0.1 Pokémon Dex Data'!$B$3:$B951,0))</f>
        <v>1</v>
      </c>
      <c r="O288" s="490"/>
      <c r="Q288" s="367" t="n">
        <f aca="false">IF('Reverse Search'!$F$4="All (including temporary formes)",1,IF('Reverse Search'!$F$4="Base Pokémon and permanent formes only",IF(F288&lt;=1,1,0),IF(F288=0,1,0)))</f>
        <v>0</v>
      </c>
      <c r="R288" s="0" t="n">
        <f aca="false">IF('Reverse Search'!$C$7="Disable",1,IF('Reverse Search'!$D$9="Disable",1,IF(OR('Reverse Search'!$F$9=H288,'Reverse Search'!$F$9=I288),1,0)))</f>
        <v>1</v>
      </c>
      <c r="S288" s="0" t="n">
        <f aca="false">IF('Reverse Search'!$C$7="Disable",1,IF('Reverse Search'!$D$10="Disable",1,IF(OR('Reverse Search'!$F$10=H288,'Reverse Search'!$F$10=I288),1,0)))</f>
        <v>1</v>
      </c>
      <c r="T288" s="0" t="n">
        <f aca="false">INDEX($B$4:$B$22,MATCH(H288,$A$4:$A$22,0))</f>
        <v>0.714</v>
      </c>
      <c r="U288" s="0" t="n">
        <f aca="false">IF(ISBLANK(I288),1,INDEX($B$4:$B$22,MATCH(I288,$A$4:$A$22,0)))</f>
        <v>1</v>
      </c>
      <c r="V288" s="367" t="n">
        <f aca="false">IF('Reverse Search'!$C$7="Disable",1,IF('Reverse Search'!$D$11="Disable",1,IF('Reverse Search'!$E$11="Neutral to:",IF(ROUND(T288*U288,2)&lt;=1,1,0),IF(ROUND(T288*U288,2)&lt;1,1,0))))</f>
        <v>1</v>
      </c>
      <c r="W288" s="0" t="n">
        <f aca="false">IF('Reverse Search'!$N$7="Disable",1,IF('Reverse Search'!$I$9="Disable",1,IF('Reverse Search'!$K$9="≥",IF(J288&gt;='Reverse Search'!$L$9,1,0),IF('Reverse Search'!$K$9="≤",IF(J288&lt;='Reverse Search'!$L$9,1,0),IF(J288='Reverse Search'!$L$9,1,0)))))</f>
        <v>1</v>
      </c>
      <c r="X288" s="0" t="n">
        <f aca="false">IF('Reverse Search'!$N$7="Disable",1,IF('Reverse Search'!$I$10="Disable",1,IF('Reverse Search'!$K$10="≥",IF(K288&gt;='Reverse Search'!$L$10,1,0),IF('Reverse Search'!$K$10="≤",IF(K288&lt;='Reverse Search'!$L$10,1,0),IF(K288='Reverse Search'!$L$10,1,0)))))</f>
        <v>1</v>
      </c>
      <c r="Y288" s="367" t="n">
        <f aca="false">IF('Reverse Search'!$N$7="Disable",1,IF('Reverse Search'!$I$11="Disable",1,IF('Reverse Search'!$K$11="≥",IF(L288&gt;='Reverse Search'!$L$11,1,0),IF('Reverse Search'!$K$11="≤",IF(L288&lt;='Reverse Search'!$L$11,1,0),IF(L288='Reverse Search'!$L$11,1,0)))))</f>
        <v>1</v>
      </c>
      <c r="Z288" s="0" t="n">
        <f aca="true">IF('Reverse Search'!$C$14="Disable",1,IF('Reverse Search'!$D$16="Disable",1,IF($C$2=3,IF($M288=0,0,COUNTIF(INDIRECT("'0.0.2 Pokémon Learnset (Core)'!$D$"&amp;MATCH($E288,'0.0.2 Pokémon Learnset (Core)'!$A$1:$A951,0)&amp;":$FK$"&amp;MATCH($E288,'0.0.2 Pokémon Learnset (Core)'!$A$1:$A951,0)),'Reverse Search'!$E$21)),IF($C$2=2,COUNTIF(INDIRECT("'0.1.1 Pokémon GO Moves'!$B$"&amp;MATCH($E288,'0.1.1 Pokémon GO Moves'!$A$1:$A951,0)&amp;":$R$"&amp;MATCH($E288,'0.1.1 Pokémon GO Moves'!$A$1:$A951,0)),'Reverse Search'!$E$21),COUNTIF(INDIRECT("'0.1.1 Pokémon GO Moves'!$B$"&amp;MATCH($E288,'0.1.1 Pokémon GO Moves'!$A$1:$A951,0)&amp;":$L$"&amp;MATCH($E288,'0.1.1 Pokémon GO Moves'!$A$1:$A951,0)),'Reverse Search'!$E$21)))))</f>
        <v>1</v>
      </c>
      <c r="AA288" s="0" t="e">
        <f aca="true">IF('Reverse Search'!$C$14="Disable",1,IF('Reverse Search'!$I$16="Disable",1,IF($D$2=3,IF($M288=0,0,COUNTIF(INDIRECT("'0.0.2 Pokémon Learnset (Core)'!$D$"&amp;MATCH($E288,'0.0.2 Pokémon Learnset (Core)'!$A$1:$A951,0)&amp;":$FK$"&amp;MATCH($E288,'0.0.2 Pokémon Learnset (Core)'!$A$1:$A951,0)),'Reverse Search'!$J$21)),IF($D$2=2,COUNTIF(INDIRECT("'0.1.1 Pokémon GO Moves'!$B$"&amp;MATCH($E288,'0.1.1 Pokémon GO Moves'!$A$1:$A951,0)&amp;":$R$"&amp;MATCH($E288,'0.1.1 Pokémon GO Moves'!$A$1:$A951,0)),'Reverse Search'!$J$21),COUNTIF(INDIRECT("'0.1.1 Pokémon GO Moves'!$B$"&amp;MATCH($E288,'0.1.1 Pokémon GO Moves'!$A$1:$A951,0)&amp;":$L$"&amp;MATCH($E288,'0.1.1 Pokémon GO Moves'!$A$1:$A951,0)),'Reverse Search'!$J$21)))))</f>
        <v>#N/A</v>
      </c>
      <c r="AB288" s="490"/>
      <c r="AC288" s="260" t="e">
        <f aca="false">IF((Q288+R288+S288+V288+W288+X288+Y288+IF(Z288&gt;=1,1,0)+IF(AA288&gt;=1,1,0))=9,G288&amp;", ",)</f>
        <v>#N/A</v>
      </c>
    </row>
    <row r="289" customFormat="false" ht="15.75" hidden="false" customHeight="false" outlineLevel="0" collapsed="false">
      <c r="A289" s="260"/>
      <c r="B289" s="358"/>
      <c r="C289" s="260"/>
      <c r="D289" s="358"/>
      <c r="E289" s="260" t="n">
        <v>288</v>
      </c>
      <c r="F289" s="260" t="n">
        <f aca="false" t="array" ref="F289:F289">INDEX('0.0.1 Pokémon Dex Data'!$H$3:$H951,MATCH(E289,'0.0.1 Pokémon Dex Data'!$B$3:$B951,0))</f>
        <v>0</v>
      </c>
      <c r="G289" s="0" t="str">
        <f aca="false" t="array" ref="G289:G289">INDEX('0.0.1 Pokémon Dex Data'!$E$3:$E951,MATCH(E289,'0.0.1 Pokémon Dex Data'!$B$3:$B951,0))</f>
        <v>Lugia</v>
      </c>
      <c r="H289" s="0" t="str">
        <f aca="false" t="array" ref="H289:H289">INDEX('0.0.1 Pokémon Dex Data'!$Q$3:$Q951,MATCH(E289,'0.0.1 Pokémon Dex Data'!$B$3:$B951,0))</f>
        <v>Psychic</v>
      </c>
      <c r="I289" s="0" t="str">
        <f aca="false" t="array" ref="I289:I289">INDEX('0.0.1 Pokémon Dex Data'!$R$3:$R951,MATCH(E289,'0.0.1 Pokémon Dex Data'!$B$3:$B951,0))</f>
        <v>Flying</v>
      </c>
      <c r="J289" s="260" t="n">
        <f aca="false" t="array" ref="J289:J289">ROUND(INDEX('0.0.1 Pokémon Dex Data'!$S$3:$S951,MATCH($E289,'0.0.1 Pokémon Dex Data'!$B$3:$B951,0))*INDEX('0.0.1 Pokémon Dex Data'!T$3:T951,MATCH($E289,'0.0.1 Pokémon Dex Data'!$B$3:$B951,0)),0)</f>
        <v>193</v>
      </c>
      <c r="K289" s="260" t="n">
        <f aca="false" t="array" ref="K289:K289">ROUND(INDEX('0.0.1 Pokémon Dex Data'!$S$3:$S951,MATCH($E289,'0.0.1 Pokémon Dex Data'!$B$3:$B951,0))*INDEX('0.0.1 Pokémon Dex Data'!U$3:U951,MATCH($E289,'0.0.1 Pokémon Dex Data'!$B$3:$B951,0)),0)</f>
        <v>310</v>
      </c>
      <c r="L289" s="260" t="n">
        <f aca="false" t="array" ref="L289:L289">ROUND(INDEX('0.0.1 Pokémon Dex Data'!$S$3:$S951,MATCH($E289,'0.0.1 Pokémon Dex Data'!$B$3:$B951,0))*INDEX('0.0.1 Pokémon Dex Data'!V$3:V951,MATCH($E289,'0.0.1 Pokémon Dex Data'!$B$3:$B951,0)),0)</f>
        <v>235</v>
      </c>
      <c r="M289" s="260" t="n">
        <f aca="false" t="array" ref="M289:M289">INDEX('0.0.1 Pokémon Dex Data'!$J$3:$J951,MATCH(E289,'0.0.1 Pokémon Dex Data'!$B$3:$B951,0))</f>
        <v>1</v>
      </c>
      <c r="O289" s="490"/>
      <c r="Q289" s="367" t="n">
        <f aca="false">IF('Reverse Search'!$F$4="All (including temporary formes)",1,IF('Reverse Search'!$F$4="Base Pokémon and permanent formes only",IF(F289&lt;=1,1,0),IF(F289=0,1,0)))</f>
        <v>1</v>
      </c>
      <c r="R289" s="0" t="n">
        <f aca="false">IF('Reverse Search'!$C$7="Disable",1,IF('Reverse Search'!$D$9="Disable",1,IF(OR('Reverse Search'!$F$9=H289,'Reverse Search'!$F$9=I289),1,0)))</f>
        <v>1</v>
      </c>
      <c r="S289" s="0" t="n">
        <f aca="false">IF('Reverse Search'!$C$7="Disable",1,IF('Reverse Search'!$D$10="Disable",1,IF(OR('Reverse Search'!$F$10=H289,'Reverse Search'!$F$10=I289),1,0)))</f>
        <v>1</v>
      </c>
      <c r="T289" s="0" t="n">
        <f aca="false">INDEX($B$4:$B$22,MATCH(H289,$A$4:$A$22,0))</f>
        <v>1</v>
      </c>
      <c r="U289" s="0" t="n">
        <f aca="false">IF(ISBLANK(I289),1,INDEX($B$4:$B$22,MATCH(I289,$A$4:$A$22,0)))</f>
        <v>1</v>
      </c>
      <c r="V289" s="367" t="n">
        <f aca="false">IF('Reverse Search'!$C$7="Disable",1,IF('Reverse Search'!$D$11="Disable",1,IF('Reverse Search'!$E$11="Neutral to:",IF(ROUND(T289*U289,2)&lt;=1,1,0),IF(ROUND(T289*U289,2)&lt;1,1,0))))</f>
        <v>1</v>
      </c>
      <c r="W289" s="0" t="n">
        <f aca="false">IF('Reverse Search'!$N$7="Disable",1,IF('Reverse Search'!$I$9="Disable",1,IF('Reverse Search'!$K$9="≥",IF(J289&gt;='Reverse Search'!$L$9,1,0),IF('Reverse Search'!$K$9="≤",IF(J289&lt;='Reverse Search'!$L$9,1,0),IF(J289='Reverse Search'!$L$9,1,0)))))</f>
        <v>1</v>
      </c>
      <c r="X289" s="0" t="n">
        <f aca="false">IF('Reverse Search'!$N$7="Disable",1,IF('Reverse Search'!$I$10="Disable",1,IF('Reverse Search'!$K$10="≥",IF(K289&gt;='Reverse Search'!$L$10,1,0),IF('Reverse Search'!$K$10="≤",IF(K289&lt;='Reverse Search'!$L$10,1,0),IF(K289='Reverse Search'!$L$10,1,0)))))</f>
        <v>1</v>
      </c>
      <c r="Y289" s="367" t="n">
        <f aca="false">IF('Reverse Search'!$N$7="Disable",1,IF('Reverse Search'!$I$11="Disable",1,IF('Reverse Search'!$K$11="≥",IF(L289&gt;='Reverse Search'!$L$11,1,0),IF('Reverse Search'!$K$11="≤",IF(L289&lt;='Reverse Search'!$L$11,1,0),IF(L289='Reverse Search'!$L$11,1,0)))))</f>
        <v>1</v>
      </c>
      <c r="Z289" s="0" t="n">
        <f aca="true">IF('Reverse Search'!$C$14="Disable",1,IF('Reverse Search'!$D$16="Disable",1,IF($C$2=3,IF($M289=0,0,COUNTIF(INDIRECT("'0.0.2 Pokémon Learnset (Core)'!$D$"&amp;MATCH($E289,'0.0.2 Pokémon Learnset (Core)'!$A$1:$A951,0)&amp;":$FK$"&amp;MATCH($E289,'0.0.2 Pokémon Learnset (Core)'!$A$1:$A951,0)),'Reverse Search'!$E$21)),IF($C$2=2,COUNTIF(INDIRECT("'0.1.1 Pokémon GO Moves'!$B$"&amp;MATCH($E289,'0.1.1 Pokémon GO Moves'!$A$1:$A951,0)&amp;":$R$"&amp;MATCH($E289,'0.1.1 Pokémon GO Moves'!$A$1:$A951,0)),'Reverse Search'!$E$21),COUNTIF(INDIRECT("'0.1.1 Pokémon GO Moves'!$B$"&amp;MATCH($E289,'0.1.1 Pokémon GO Moves'!$A$1:$A951,0)&amp;":$L$"&amp;MATCH($E289,'0.1.1 Pokémon GO Moves'!$A$1:$A951,0)),'Reverse Search'!$E$21)))))</f>
        <v>1</v>
      </c>
      <c r="AA289" s="0" t="n">
        <f aca="true">IF('Reverse Search'!$C$14="Disable",1,IF('Reverse Search'!$I$16="Disable",1,IF($D$2=3,IF($M289=0,0,COUNTIF(INDIRECT("'0.0.2 Pokémon Learnset (Core)'!$D$"&amp;MATCH($E289,'0.0.2 Pokémon Learnset (Core)'!$A$1:$A951,0)&amp;":$FK$"&amp;MATCH($E289,'0.0.2 Pokémon Learnset (Core)'!$A$1:$A951,0)),'Reverse Search'!$J$21)),IF($D$2=2,COUNTIF(INDIRECT("'0.1.1 Pokémon GO Moves'!$B$"&amp;MATCH($E289,'0.1.1 Pokémon GO Moves'!$A$1:$A951,0)&amp;":$R$"&amp;MATCH($E289,'0.1.1 Pokémon GO Moves'!$A$1:$A951,0)),'Reverse Search'!$J$21),COUNTIF(INDIRECT("'0.1.1 Pokémon GO Moves'!$B$"&amp;MATCH($E289,'0.1.1 Pokémon GO Moves'!$A$1:$A951,0)&amp;":$L$"&amp;MATCH($E289,'0.1.1 Pokémon GO Moves'!$A$1:$A951,0)),'Reverse Search'!$J$21)))))</f>
        <v>0</v>
      </c>
      <c r="AB289" s="490"/>
      <c r="AC289" s="260" t="n">
        <f aca="false">IF((Q289+R289+S289+V289+W289+X289+Y289+IF(Z289&gt;=1,1,0)+IF(AA289&gt;=1,1,0))=9,G289&amp;", ",)</f>
        <v>0</v>
      </c>
    </row>
    <row r="290" customFormat="false" ht="15.75" hidden="false" customHeight="false" outlineLevel="0" collapsed="false">
      <c r="A290" s="260"/>
      <c r="B290" s="358"/>
      <c r="C290" s="260"/>
      <c r="D290" s="358"/>
      <c r="E290" s="260" t="n">
        <v>289</v>
      </c>
      <c r="F290" s="260" t="n">
        <f aca="false" t="array" ref="F290:F290">INDEX('0.0.1 Pokémon Dex Data'!$H$3:$H951,MATCH(E290,'0.0.1 Pokémon Dex Data'!$B$3:$B951,0))</f>
        <v>0</v>
      </c>
      <c r="G290" s="0" t="str">
        <f aca="false" t="array" ref="G290:G290">INDEX('0.0.1 Pokémon Dex Data'!$E$3:$E951,MATCH(E290,'0.0.1 Pokémon Dex Data'!$B$3:$B951,0))</f>
        <v>Ho-Oh</v>
      </c>
      <c r="H290" s="0" t="str">
        <f aca="false" t="array" ref="H290:H290">INDEX('0.0.1 Pokémon Dex Data'!$Q$3:$Q951,MATCH(E290,'0.0.1 Pokémon Dex Data'!$B$3:$B951,0))</f>
        <v>Fire</v>
      </c>
      <c r="I290" s="0" t="str">
        <f aca="false" t="array" ref="I290:I290">INDEX('0.0.1 Pokémon Dex Data'!$R$3:$R951,MATCH(E290,'0.0.1 Pokémon Dex Data'!$B$3:$B951,0))</f>
        <v>Flying</v>
      </c>
      <c r="J290" s="260" t="n">
        <f aca="false" t="array" ref="J290:J290">ROUND(INDEX('0.0.1 Pokémon Dex Data'!$S$3:$S951,MATCH($E290,'0.0.1 Pokémon Dex Data'!$B$3:$B951,0))*INDEX('0.0.1 Pokémon Dex Data'!T$3:T951,MATCH($E290,'0.0.1 Pokémon Dex Data'!$B$3:$B951,0)),0)</f>
        <v>239</v>
      </c>
      <c r="K290" s="260" t="n">
        <f aca="false" t="array" ref="K290:K290">ROUND(INDEX('0.0.1 Pokémon Dex Data'!$S$3:$S951,MATCH($E290,'0.0.1 Pokémon Dex Data'!$B$3:$B951,0))*INDEX('0.0.1 Pokémon Dex Data'!U$3:U951,MATCH($E290,'0.0.1 Pokémon Dex Data'!$B$3:$B951,0)),0)</f>
        <v>244</v>
      </c>
      <c r="L290" s="260" t="n">
        <f aca="false" t="array" ref="L290:L290">ROUND(INDEX('0.0.1 Pokémon Dex Data'!$S$3:$S951,MATCH($E290,'0.0.1 Pokémon Dex Data'!$B$3:$B951,0))*INDEX('0.0.1 Pokémon Dex Data'!V$3:V951,MATCH($E290,'0.0.1 Pokémon Dex Data'!$B$3:$B951,0)),0)</f>
        <v>214</v>
      </c>
      <c r="M290" s="260" t="n">
        <f aca="false" t="array" ref="M290:M290">INDEX('0.0.1 Pokémon Dex Data'!$J$3:$J951,MATCH(E290,'0.0.1 Pokémon Dex Data'!$B$3:$B951,0))</f>
        <v>1</v>
      </c>
      <c r="O290" s="490"/>
      <c r="Q290" s="367" t="n">
        <f aca="false">IF('Reverse Search'!$F$4="All (including temporary formes)",1,IF('Reverse Search'!$F$4="Base Pokémon and permanent formes only",IF(F290&lt;=1,1,0),IF(F290=0,1,0)))</f>
        <v>1</v>
      </c>
      <c r="R290" s="0" t="n">
        <f aca="false">IF('Reverse Search'!$C$7="Disable",1,IF('Reverse Search'!$D$9="Disable",1,IF(OR('Reverse Search'!$F$9=H290,'Reverse Search'!$F$9=I290),1,0)))</f>
        <v>1</v>
      </c>
      <c r="S290" s="0" t="n">
        <f aca="false">IF('Reverse Search'!$C$7="Disable",1,IF('Reverse Search'!$D$10="Disable",1,IF(OR('Reverse Search'!$F$10=H290,'Reverse Search'!$F$10=I290),1,0)))</f>
        <v>1</v>
      </c>
      <c r="T290" s="0" t="n">
        <f aca="false">INDEX($B$4:$B$22,MATCH(H290,$A$4:$A$22,0))</f>
        <v>1</v>
      </c>
      <c r="U290" s="0" t="n">
        <f aca="false">IF(ISBLANK(I290),1,INDEX($B$4:$B$22,MATCH(I290,$A$4:$A$22,0)))</f>
        <v>1</v>
      </c>
      <c r="V290" s="367" t="n">
        <f aca="false">IF('Reverse Search'!$C$7="Disable",1,IF('Reverse Search'!$D$11="Disable",1,IF('Reverse Search'!$E$11="Neutral to:",IF(ROUND(T290*U290,2)&lt;=1,1,0),IF(ROUND(T290*U290,2)&lt;1,1,0))))</f>
        <v>1</v>
      </c>
      <c r="W290" s="0" t="n">
        <f aca="false">IF('Reverse Search'!$N$7="Disable",1,IF('Reverse Search'!$I$9="Disable",1,IF('Reverse Search'!$K$9="≥",IF(J290&gt;='Reverse Search'!$L$9,1,0),IF('Reverse Search'!$K$9="≤",IF(J290&lt;='Reverse Search'!$L$9,1,0),IF(J290='Reverse Search'!$L$9,1,0)))))</f>
        <v>1</v>
      </c>
      <c r="X290" s="0" t="n">
        <f aca="false">IF('Reverse Search'!$N$7="Disable",1,IF('Reverse Search'!$I$10="Disable",1,IF('Reverse Search'!$K$10="≥",IF(K290&gt;='Reverse Search'!$L$10,1,0),IF('Reverse Search'!$K$10="≤",IF(K290&lt;='Reverse Search'!$L$10,1,0),IF(K290='Reverse Search'!$L$10,1,0)))))</f>
        <v>1</v>
      </c>
      <c r="Y290" s="367" t="n">
        <f aca="false">IF('Reverse Search'!$N$7="Disable",1,IF('Reverse Search'!$I$11="Disable",1,IF('Reverse Search'!$K$11="≥",IF(L290&gt;='Reverse Search'!$L$11,1,0),IF('Reverse Search'!$K$11="≤",IF(L290&lt;='Reverse Search'!$L$11,1,0),IF(L290='Reverse Search'!$L$11,1,0)))))</f>
        <v>1</v>
      </c>
      <c r="Z290" s="0" t="n">
        <f aca="true">IF('Reverse Search'!$C$14="Disable",1,IF('Reverse Search'!$D$16="Disable",1,IF($C$2=3,IF($M290=0,0,COUNTIF(INDIRECT("'0.0.2 Pokémon Learnset (Core)'!$D$"&amp;MATCH($E290,'0.0.2 Pokémon Learnset (Core)'!$A$1:$A951,0)&amp;":$FK$"&amp;MATCH($E290,'0.0.2 Pokémon Learnset (Core)'!$A$1:$A951,0)),'Reverse Search'!$E$21)),IF($C$2=2,COUNTIF(INDIRECT("'0.1.1 Pokémon GO Moves'!$B$"&amp;MATCH($E290,'0.1.1 Pokémon GO Moves'!$A$1:$A951,0)&amp;":$R$"&amp;MATCH($E290,'0.1.1 Pokémon GO Moves'!$A$1:$A951,0)),'Reverse Search'!$E$21),COUNTIF(INDIRECT("'0.1.1 Pokémon GO Moves'!$B$"&amp;MATCH($E290,'0.1.1 Pokémon GO Moves'!$A$1:$A951,0)&amp;":$L$"&amp;MATCH($E290,'0.1.1 Pokémon GO Moves'!$A$1:$A951,0)),'Reverse Search'!$E$21)))))</f>
        <v>1</v>
      </c>
      <c r="AA290" s="0" t="n">
        <f aca="true">IF('Reverse Search'!$C$14="Disable",1,IF('Reverse Search'!$I$16="Disable",1,IF($D$2=3,IF($M290=0,0,COUNTIF(INDIRECT("'0.0.2 Pokémon Learnset (Core)'!$D$"&amp;MATCH($E290,'0.0.2 Pokémon Learnset (Core)'!$A$1:$A951,0)&amp;":$FK$"&amp;MATCH($E290,'0.0.2 Pokémon Learnset (Core)'!$A$1:$A951,0)),'Reverse Search'!$J$21)),IF($D$2=2,COUNTIF(INDIRECT("'0.1.1 Pokémon GO Moves'!$B$"&amp;MATCH($E290,'0.1.1 Pokémon GO Moves'!$A$1:$A951,0)&amp;":$R$"&amp;MATCH($E290,'0.1.1 Pokémon GO Moves'!$A$1:$A951,0)),'Reverse Search'!$J$21),COUNTIF(INDIRECT("'0.1.1 Pokémon GO Moves'!$B$"&amp;MATCH($E290,'0.1.1 Pokémon GO Moves'!$A$1:$A951,0)&amp;":$L$"&amp;MATCH($E290,'0.1.1 Pokémon GO Moves'!$A$1:$A951,0)),'Reverse Search'!$J$21)))))</f>
        <v>0</v>
      </c>
      <c r="AB290" s="490"/>
      <c r="AC290" s="260" t="n">
        <f aca="false">IF((Q290+R290+S290+V290+W290+X290+Y290+IF(Z290&gt;=1,1,0)+IF(AA290&gt;=1,1,0))=9,G290&amp;", ",)</f>
        <v>0</v>
      </c>
    </row>
    <row r="291" customFormat="false" ht="15.75" hidden="false" customHeight="false" outlineLevel="0" collapsed="false">
      <c r="A291" s="260"/>
      <c r="B291" s="358"/>
      <c r="C291" s="260"/>
      <c r="D291" s="358"/>
      <c r="E291" s="260" t="n">
        <v>290</v>
      </c>
      <c r="F291" s="260" t="n">
        <f aca="false" t="array" ref="F291:F291">INDEX('0.0.1 Pokémon Dex Data'!$H$3:$H951,MATCH(E291,'0.0.1 Pokémon Dex Data'!$B$3:$B951,0))</f>
        <v>0</v>
      </c>
      <c r="G291" s="0" t="str">
        <f aca="false" t="array" ref="G291:G291">INDEX('0.0.1 Pokémon Dex Data'!$E$3:$E951,MATCH(E291,'0.0.1 Pokémon Dex Data'!$B$3:$B951,0))</f>
        <v>Celebi</v>
      </c>
      <c r="H291" s="0" t="str">
        <f aca="false" t="array" ref="H291:H291">INDEX('0.0.1 Pokémon Dex Data'!$Q$3:$Q951,MATCH(E291,'0.0.1 Pokémon Dex Data'!$B$3:$B951,0))</f>
        <v>Grass</v>
      </c>
      <c r="I291" s="0" t="str">
        <f aca="false" t="array" ref="I291:I291">INDEX('0.0.1 Pokémon Dex Data'!$R$3:$R951,MATCH(E291,'0.0.1 Pokémon Dex Data'!$B$3:$B951,0))</f>
        <v>Psychic</v>
      </c>
      <c r="J291" s="260" t="n">
        <f aca="false" t="array" ref="J291:J291">ROUND(INDEX('0.0.1 Pokémon Dex Data'!$S$3:$S951,MATCH($E291,'0.0.1 Pokémon Dex Data'!$B$3:$B951,0))*INDEX('0.0.1 Pokémon Dex Data'!T$3:T951,MATCH($E291,'0.0.1 Pokémon Dex Data'!$B$3:$B951,0)),0)</f>
        <v>210</v>
      </c>
      <c r="K291" s="260" t="n">
        <f aca="false" t="array" ref="K291:K291">ROUND(INDEX('0.0.1 Pokémon Dex Data'!$S$3:$S951,MATCH($E291,'0.0.1 Pokémon Dex Data'!$B$3:$B951,0))*INDEX('0.0.1 Pokémon Dex Data'!U$3:U951,MATCH($E291,'0.0.1 Pokémon Dex Data'!$B$3:$B951,0)),0)</f>
        <v>210</v>
      </c>
      <c r="L291" s="260" t="n">
        <f aca="false" t="array" ref="L291:L291">ROUND(INDEX('0.0.1 Pokémon Dex Data'!$S$3:$S951,MATCH($E291,'0.0.1 Pokémon Dex Data'!$B$3:$B951,0))*INDEX('0.0.1 Pokémon Dex Data'!V$3:V951,MATCH($E291,'0.0.1 Pokémon Dex Data'!$B$3:$B951,0)),0)</f>
        <v>225</v>
      </c>
      <c r="M291" s="260" t="n">
        <f aca="false" t="array" ref="M291:M291">INDEX('0.0.1 Pokémon Dex Data'!$J$3:$J951,MATCH(E291,'0.0.1 Pokémon Dex Data'!$B$3:$B951,0))</f>
        <v>1</v>
      </c>
      <c r="O291" s="490"/>
      <c r="Q291" s="367" t="n">
        <f aca="false">IF('Reverse Search'!$F$4="All (including temporary formes)",1,IF('Reverse Search'!$F$4="Base Pokémon and permanent formes only",IF(F291&lt;=1,1,0),IF(F291=0,1,0)))</f>
        <v>1</v>
      </c>
      <c r="R291" s="0" t="n">
        <f aca="false">IF('Reverse Search'!$C$7="Disable",1,IF('Reverse Search'!$D$9="Disable",1,IF(OR('Reverse Search'!$F$9=H291,'Reverse Search'!$F$9=I291),1,0)))</f>
        <v>1</v>
      </c>
      <c r="S291" s="0" t="n">
        <f aca="false">IF('Reverse Search'!$C$7="Disable",1,IF('Reverse Search'!$D$10="Disable",1,IF(OR('Reverse Search'!$F$10=H291,'Reverse Search'!$F$10=I291),1,0)))</f>
        <v>1</v>
      </c>
      <c r="T291" s="0" t="n">
        <f aca="false">INDEX($B$4:$B$22,MATCH(H291,$A$4:$A$22,0))</f>
        <v>1</v>
      </c>
      <c r="U291" s="0" t="n">
        <f aca="false">IF(ISBLANK(I291),1,INDEX($B$4:$B$22,MATCH(I291,$A$4:$A$22,0)))</f>
        <v>1</v>
      </c>
      <c r="V291" s="367" t="n">
        <f aca="false">IF('Reverse Search'!$C$7="Disable",1,IF('Reverse Search'!$D$11="Disable",1,IF('Reverse Search'!$E$11="Neutral to:",IF(ROUND(T291*U291,2)&lt;=1,1,0),IF(ROUND(T291*U291,2)&lt;1,1,0))))</f>
        <v>1</v>
      </c>
      <c r="W291" s="0" t="n">
        <f aca="false">IF('Reverse Search'!$N$7="Disable",1,IF('Reverse Search'!$I$9="Disable",1,IF('Reverse Search'!$K$9="≥",IF(J291&gt;='Reverse Search'!$L$9,1,0),IF('Reverse Search'!$K$9="≤",IF(J291&lt;='Reverse Search'!$L$9,1,0),IF(J291='Reverse Search'!$L$9,1,0)))))</f>
        <v>1</v>
      </c>
      <c r="X291" s="0" t="n">
        <f aca="false">IF('Reverse Search'!$N$7="Disable",1,IF('Reverse Search'!$I$10="Disable",1,IF('Reverse Search'!$K$10="≥",IF(K291&gt;='Reverse Search'!$L$10,1,0),IF('Reverse Search'!$K$10="≤",IF(K291&lt;='Reverse Search'!$L$10,1,0),IF(K291='Reverse Search'!$L$10,1,0)))))</f>
        <v>1</v>
      </c>
      <c r="Y291" s="367" t="n">
        <f aca="false">IF('Reverse Search'!$N$7="Disable",1,IF('Reverse Search'!$I$11="Disable",1,IF('Reverse Search'!$K$11="≥",IF(L291&gt;='Reverse Search'!$L$11,1,0),IF('Reverse Search'!$K$11="≤",IF(L291&lt;='Reverse Search'!$L$11,1,0),IF(L291='Reverse Search'!$L$11,1,0)))))</f>
        <v>1</v>
      </c>
      <c r="Z291" s="0" t="n">
        <f aca="true">IF('Reverse Search'!$C$14="Disable",1,IF('Reverse Search'!$D$16="Disable",1,IF($C$2=3,IF($M291=0,0,COUNTIF(INDIRECT("'0.0.2 Pokémon Learnset (Core)'!$D$"&amp;MATCH($E291,'0.0.2 Pokémon Learnset (Core)'!$A$1:$A951,0)&amp;":$FK$"&amp;MATCH($E291,'0.0.2 Pokémon Learnset (Core)'!$A$1:$A951,0)),'Reverse Search'!$E$21)),IF($C$2=2,COUNTIF(INDIRECT("'0.1.1 Pokémon GO Moves'!$B$"&amp;MATCH($E291,'0.1.1 Pokémon GO Moves'!$A$1:$A951,0)&amp;":$R$"&amp;MATCH($E291,'0.1.1 Pokémon GO Moves'!$A$1:$A951,0)),'Reverse Search'!$E$21),COUNTIF(INDIRECT("'0.1.1 Pokémon GO Moves'!$B$"&amp;MATCH($E291,'0.1.1 Pokémon GO Moves'!$A$1:$A951,0)&amp;":$L$"&amp;MATCH($E291,'0.1.1 Pokémon GO Moves'!$A$1:$A951,0)),'Reverse Search'!$E$21)))))</f>
        <v>1</v>
      </c>
      <c r="AA291" s="0" t="n">
        <f aca="true">IF('Reverse Search'!$C$14="Disable",1,IF('Reverse Search'!$I$16="Disable",1,IF($D$2=3,IF($M291=0,0,COUNTIF(INDIRECT("'0.0.2 Pokémon Learnset (Core)'!$D$"&amp;MATCH($E291,'0.0.2 Pokémon Learnset (Core)'!$A$1:$A951,0)&amp;":$FK$"&amp;MATCH($E291,'0.0.2 Pokémon Learnset (Core)'!$A$1:$A951,0)),'Reverse Search'!$J$21)),IF($D$2=2,COUNTIF(INDIRECT("'0.1.1 Pokémon GO Moves'!$B$"&amp;MATCH($E291,'0.1.1 Pokémon GO Moves'!$A$1:$A951,0)&amp;":$R$"&amp;MATCH($E291,'0.1.1 Pokémon GO Moves'!$A$1:$A951,0)),'Reverse Search'!$J$21),COUNTIF(INDIRECT("'0.1.1 Pokémon GO Moves'!$B$"&amp;MATCH($E291,'0.1.1 Pokémon GO Moves'!$A$1:$A951,0)&amp;":$L$"&amp;MATCH($E291,'0.1.1 Pokémon GO Moves'!$A$1:$A951,0)),'Reverse Search'!$J$21)))))</f>
        <v>0</v>
      </c>
      <c r="AB291" s="490"/>
      <c r="AC291" s="260" t="n">
        <f aca="false">IF((Q291+R291+S291+V291+W291+X291+Y291+IF(Z291&gt;=1,1,0)+IF(AA291&gt;=1,1,0))=9,G291&amp;", ",)</f>
        <v>0</v>
      </c>
    </row>
    <row r="292" customFormat="false" ht="15.75" hidden="false" customHeight="false" outlineLevel="0" collapsed="false">
      <c r="A292" s="260"/>
      <c r="B292" s="358"/>
      <c r="C292" s="260"/>
      <c r="D292" s="358"/>
      <c r="E292" s="260" t="n">
        <v>291</v>
      </c>
      <c r="F292" s="260" t="n">
        <f aca="false" t="array" ref="F292:F292">INDEX('0.0.1 Pokémon Dex Data'!$H$3:$H951,MATCH(E292,'0.0.1 Pokémon Dex Data'!$B$3:$B951,0))</f>
        <v>0</v>
      </c>
      <c r="G292" s="0" t="str">
        <f aca="false" t="array" ref="G292:G292">INDEX('0.0.1 Pokémon Dex Data'!$E$3:$E951,MATCH(E292,'0.0.1 Pokémon Dex Data'!$B$3:$B951,0))</f>
        <v>Treecko</v>
      </c>
      <c r="H292" s="0" t="str">
        <f aca="false" t="array" ref="H292:H292">INDEX('0.0.1 Pokémon Dex Data'!$Q$3:$Q951,MATCH(E292,'0.0.1 Pokémon Dex Data'!$B$3:$B951,0))</f>
        <v>Grass</v>
      </c>
      <c r="I292" s="0" t="n">
        <f aca="false">INDEX('0.0.1 Pokémon Dex Data'!$R$3:$R951,MATCH(E292,'0.0.1 Pokémon Dex Data'!$B$3:$B951,0))</f>
        <v>0</v>
      </c>
      <c r="J292" s="260" t="n">
        <f aca="false" t="array" ref="J292:J292">ROUND(INDEX('0.0.1 Pokémon Dex Data'!$S$3:$S951,MATCH($E292,'0.0.1 Pokémon Dex Data'!$B$3:$B951,0))*INDEX('0.0.1 Pokémon Dex Data'!T$3:T951,MATCH($E292,'0.0.1 Pokémon Dex Data'!$B$3:$B951,0)),0)</f>
        <v>124</v>
      </c>
      <c r="K292" s="260" t="n">
        <f aca="false" t="array" ref="K292:K292">ROUND(INDEX('0.0.1 Pokémon Dex Data'!$S$3:$S951,MATCH($E292,'0.0.1 Pokémon Dex Data'!$B$3:$B951,0))*INDEX('0.0.1 Pokémon Dex Data'!U$3:U951,MATCH($E292,'0.0.1 Pokémon Dex Data'!$B$3:$B951,0)),0)</f>
        <v>94</v>
      </c>
      <c r="L292" s="260" t="n">
        <f aca="false" t="array" ref="L292:L292">ROUND(INDEX('0.0.1 Pokémon Dex Data'!$S$3:$S951,MATCH($E292,'0.0.1 Pokémon Dex Data'!$B$3:$B951,0))*INDEX('0.0.1 Pokémon Dex Data'!V$3:V951,MATCH($E292,'0.0.1 Pokémon Dex Data'!$B$3:$B951,0)),0)</f>
        <v>120</v>
      </c>
      <c r="M292" s="260" t="n">
        <f aca="false" t="array" ref="M292:M292">INDEX('0.0.1 Pokémon Dex Data'!$J$3:$J951,MATCH(E292,'0.0.1 Pokémon Dex Data'!$B$3:$B951,0))</f>
        <v>0</v>
      </c>
      <c r="O292" s="490"/>
      <c r="Q292" s="367" t="n">
        <f aca="false">IF('Reverse Search'!$F$4="All (including temporary formes)",1,IF('Reverse Search'!$F$4="Base Pokémon and permanent formes only",IF(F292&lt;=1,1,0),IF(F292=0,1,0)))</f>
        <v>1</v>
      </c>
      <c r="R292" s="0" t="n">
        <f aca="false">IF('Reverse Search'!$C$7="Disable",1,IF('Reverse Search'!$D$9="Disable",1,IF(OR('Reverse Search'!$F$9=H292,'Reverse Search'!$F$9=I292),1,0)))</f>
        <v>1</v>
      </c>
      <c r="S292" s="0" t="n">
        <f aca="false">IF('Reverse Search'!$C$7="Disable",1,IF('Reverse Search'!$D$10="Disable",1,IF(OR('Reverse Search'!$F$10=H292,'Reverse Search'!$F$10=I292),1,0)))</f>
        <v>1</v>
      </c>
      <c r="T292" s="0" t="n">
        <f aca="false">INDEX($B$4:$B$22,MATCH(H292,$A$4:$A$22,0))</f>
        <v>1</v>
      </c>
      <c r="U292" s="0" t="e">
        <f aca="false">IF(ISBLANK(I292),1,INDEX($B$4:$B$22,MATCH(I292,$A$4:$A$22,0)))</f>
        <v>#N/A</v>
      </c>
      <c r="V292" s="367" t="n">
        <f aca="false">IF('Reverse Search'!$C$7="Disable",1,IF('Reverse Search'!$D$11="Disable",1,IF('Reverse Search'!$E$11="Neutral to:",IF(ROUND(T292*U292,2)&lt;=1,1,0),IF(ROUND(T292*U292,2)&lt;1,1,0))))</f>
        <v>1</v>
      </c>
      <c r="W292" s="0" t="n">
        <f aca="false">IF('Reverse Search'!$N$7="Disable",1,IF('Reverse Search'!$I$9="Disable",1,IF('Reverse Search'!$K$9="≥",IF(J292&gt;='Reverse Search'!$L$9,1,0),IF('Reverse Search'!$K$9="≤",IF(J292&lt;='Reverse Search'!$L$9,1,0),IF(J292='Reverse Search'!$L$9,1,0)))))</f>
        <v>1</v>
      </c>
      <c r="X292" s="0" t="n">
        <f aca="false">IF('Reverse Search'!$N$7="Disable",1,IF('Reverse Search'!$I$10="Disable",1,IF('Reverse Search'!$K$10="≥",IF(K292&gt;='Reverse Search'!$L$10,1,0),IF('Reverse Search'!$K$10="≤",IF(K292&lt;='Reverse Search'!$L$10,1,0),IF(K292='Reverse Search'!$L$10,1,0)))))</f>
        <v>1</v>
      </c>
      <c r="Y292" s="367" t="n">
        <f aca="false">IF('Reverse Search'!$N$7="Disable",1,IF('Reverse Search'!$I$11="Disable",1,IF('Reverse Search'!$K$11="≥",IF(L292&gt;='Reverse Search'!$L$11,1,0),IF('Reverse Search'!$K$11="≤",IF(L292&lt;='Reverse Search'!$L$11,1,0),IF(L292='Reverse Search'!$L$11,1,0)))))</f>
        <v>1</v>
      </c>
      <c r="Z292" s="0" t="n">
        <f aca="true">IF('Reverse Search'!$C$14="Disable",1,IF('Reverse Search'!$D$16="Disable",1,IF($C$2=3,IF($M292=0,0,COUNTIF(INDIRECT("'0.0.2 Pokémon Learnset (Core)'!$D$"&amp;MATCH($E292,'0.0.2 Pokémon Learnset (Core)'!$A$1:$A951,0)&amp;":$FK$"&amp;MATCH($E292,'0.0.2 Pokémon Learnset (Core)'!$A$1:$A951,0)),'Reverse Search'!$E$21)),IF($C$2=2,COUNTIF(INDIRECT("'0.1.1 Pokémon GO Moves'!$B$"&amp;MATCH($E292,'0.1.1 Pokémon GO Moves'!$A$1:$A951,0)&amp;":$R$"&amp;MATCH($E292,'0.1.1 Pokémon GO Moves'!$A$1:$A951,0)),'Reverse Search'!$E$21),COUNTIF(INDIRECT("'0.1.1 Pokémon GO Moves'!$B$"&amp;MATCH($E292,'0.1.1 Pokémon GO Moves'!$A$1:$A951,0)&amp;":$L$"&amp;MATCH($E292,'0.1.1 Pokémon GO Moves'!$A$1:$A951,0)),'Reverse Search'!$E$21)))))</f>
        <v>1</v>
      </c>
      <c r="AA292" s="0" t="n">
        <f aca="true">IF('Reverse Search'!$C$14="Disable",1,IF('Reverse Search'!$I$16="Disable",1,IF($D$2=3,IF($M292=0,0,COUNTIF(INDIRECT("'0.0.2 Pokémon Learnset (Core)'!$D$"&amp;MATCH($E292,'0.0.2 Pokémon Learnset (Core)'!$A$1:$A951,0)&amp;":$FK$"&amp;MATCH($E292,'0.0.2 Pokémon Learnset (Core)'!$A$1:$A951,0)),'Reverse Search'!$J$21)),IF($D$2=2,COUNTIF(INDIRECT("'0.1.1 Pokémon GO Moves'!$B$"&amp;MATCH($E292,'0.1.1 Pokémon GO Moves'!$A$1:$A951,0)&amp;":$R$"&amp;MATCH($E292,'0.1.1 Pokémon GO Moves'!$A$1:$A951,0)),'Reverse Search'!$J$21),COUNTIF(INDIRECT("'0.1.1 Pokémon GO Moves'!$B$"&amp;MATCH($E292,'0.1.1 Pokémon GO Moves'!$A$1:$A951,0)&amp;":$L$"&amp;MATCH($E292,'0.1.1 Pokémon GO Moves'!$A$1:$A951,0)),'Reverse Search'!$J$21)))))</f>
        <v>0</v>
      </c>
      <c r="AB292" s="490"/>
      <c r="AC292" s="260" t="n">
        <f aca="false">IF((Q292+R292+S292+V292+W292+X292+Y292+IF(Z292&gt;=1,1,0)+IF(AA292&gt;=1,1,0))=9,G292&amp;", ",)</f>
        <v>0</v>
      </c>
    </row>
    <row r="293" customFormat="false" ht="15.75" hidden="false" customHeight="false" outlineLevel="0" collapsed="false">
      <c r="A293" s="260"/>
      <c r="B293" s="358"/>
      <c r="C293" s="260"/>
      <c r="D293" s="358"/>
      <c r="E293" s="260" t="n">
        <v>292</v>
      </c>
      <c r="F293" s="260" t="n">
        <f aca="false" t="array" ref="F293:F293">INDEX('0.0.1 Pokémon Dex Data'!$H$3:$H951,MATCH(E293,'0.0.1 Pokémon Dex Data'!$B$3:$B951,0))</f>
        <v>0</v>
      </c>
      <c r="G293" s="0" t="str">
        <f aca="false" t="array" ref="G293:G293">INDEX('0.0.1 Pokémon Dex Data'!$E$3:$E951,MATCH(E293,'0.0.1 Pokémon Dex Data'!$B$3:$B951,0))</f>
        <v>Grovyle</v>
      </c>
      <c r="H293" s="0" t="str">
        <f aca="false" t="array" ref="H293:H293">INDEX('0.0.1 Pokémon Dex Data'!$Q$3:$Q951,MATCH(E293,'0.0.1 Pokémon Dex Data'!$B$3:$B951,0))</f>
        <v>Grass</v>
      </c>
      <c r="I293" s="0" t="n">
        <f aca="false">INDEX('0.0.1 Pokémon Dex Data'!$R$3:$R951,MATCH(E293,'0.0.1 Pokémon Dex Data'!$B$3:$B951,0))</f>
        <v>0</v>
      </c>
      <c r="J293" s="260" t="n">
        <f aca="false" t="array" ref="J293:J293">ROUND(INDEX('0.0.1 Pokémon Dex Data'!$S$3:$S951,MATCH($E293,'0.0.1 Pokémon Dex Data'!$B$3:$B951,0))*INDEX('0.0.1 Pokémon Dex Data'!T$3:T951,MATCH($E293,'0.0.1 Pokémon Dex Data'!$B$3:$B951,0)),0)</f>
        <v>172</v>
      </c>
      <c r="K293" s="260" t="n">
        <f aca="false" t="array" ref="K293:K293">ROUND(INDEX('0.0.1 Pokémon Dex Data'!$S$3:$S951,MATCH($E293,'0.0.1 Pokémon Dex Data'!$B$3:$B951,0))*INDEX('0.0.1 Pokémon Dex Data'!U$3:U951,MATCH($E293,'0.0.1 Pokémon Dex Data'!$B$3:$B951,0)),0)</f>
        <v>120</v>
      </c>
      <c r="L293" s="260" t="n">
        <f aca="false" t="array" ref="L293:L293">ROUND(INDEX('0.0.1 Pokémon Dex Data'!$S$3:$S951,MATCH($E293,'0.0.1 Pokémon Dex Data'!$B$3:$B951,0))*INDEX('0.0.1 Pokémon Dex Data'!V$3:V951,MATCH($E293,'0.0.1 Pokémon Dex Data'!$B$3:$B951,0)),0)</f>
        <v>137</v>
      </c>
      <c r="M293" s="260" t="n">
        <f aca="false" t="array" ref="M293:M293">INDEX('0.0.1 Pokémon Dex Data'!$J$3:$J951,MATCH(E293,'0.0.1 Pokémon Dex Data'!$B$3:$B951,0))</f>
        <v>0</v>
      </c>
      <c r="O293" s="490"/>
      <c r="Q293" s="367" t="n">
        <f aca="false">IF('Reverse Search'!$F$4="All (including temporary formes)",1,IF('Reverse Search'!$F$4="Base Pokémon and permanent formes only",IF(F293&lt;=1,1,0),IF(F293=0,1,0)))</f>
        <v>1</v>
      </c>
      <c r="R293" s="0" t="n">
        <f aca="false">IF('Reverse Search'!$C$7="Disable",1,IF('Reverse Search'!$D$9="Disable",1,IF(OR('Reverse Search'!$F$9=H293,'Reverse Search'!$F$9=I293),1,0)))</f>
        <v>1</v>
      </c>
      <c r="S293" s="0" t="n">
        <f aca="false">IF('Reverse Search'!$C$7="Disable",1,IF('Reverse Search'!$D$10="Disable",1,IF(OR('Reverse Search'!$F$10=H293,'Reverse Search'!$F$10=I293),1,0)))</f>
        <v>1</v>
      </c>
      <c r="T293" s="0" t="n">
        <f aca="false">INDEX($B$4:$B$22,MATCH(H293,$A$4:$A$22,0))</f>
        <v>1</v>
      </c>
      <c r="U293" s="0" t="e">
        <f aca="false">IF(ISBLANK(I293),1,INDEX($B$4:$B$22,MATCH(I293,$A$4:$A$22,0)))</f>
        <v>#N/A</v>
      </c>
      <c r="V293" s="367" t="n">
        <f aca="false">IF('Reverse Search'!$C$7="Disable",1,IF('Reverse Search'!$D$11="Disable",1,IF('Reverse Search'!$E$11="Neutral to:",IF(ROUND(T293*U293,2)&lt;=1,1,0),IF(ROUND(T293*U293,2)&lt;1,1,0))))</f>
        <v>1</v>
      </c>
      <c r="W293" s="0" t="n">
        <f aca="false">IF('Reverse Search'!$N$7="Disable",1,IF('Reverse Search'!$I$9="Disable",1,IF('Reverse Search'!$K$9="≥",IF(J293&gt;='Reverse Search'!$L$9,1,0),IF('Reverse Search'!$K$9="≤",IF(J293&lt;='Reverse Search'!$L$9,1,0),IF(J293='Reverse Search'!$L$9,1,0)))))</f>
        <v>1</v>
      </c>
      <c r="X293" s="0" t="n">
        <f aca="false">IF('Reverse Search'!$N$7="Disable",1,IF('Reverse Search'!$I$10="Disable",1,IF('Reverse Search'!$K$10="≥",IF(K293&gt;='Reverse Search'!$L$10,1,0),IF('Reverse Search'!$K$10="≤",IF(K293&lt;='Reverse Search'!$L$10,1,0),IF(K293='Reverse Search'!$L$10,1,0)))))</f>
        <v>1</v>
      </c>
      <c r="Y293" s="367" t="n">
        <f aca="false">IF('Reverse Search'!$N$7="Disable",1,IF('Reverse Search'!$I$11="Disable",1,IF('Reverse Search'!$K$11="≥",IF(L293&gt;='Reverse Search'!$L$11,1,0),IF('Reverse Search'!$K$11="≤",IF(L293&lt;='Reverse Search'!$L$11,1,0),IF(L293='Reverse Search'!$L$11,1,0)))))</f>
        <v>1</v>
      </c>
      <c r="Z293" s="0" t="n">
        <f aca="true">IF('Reverse Search'!$C$14="Disable",1,IF('Reverse Search'!$D$16="Disable",1,IF($C$2=3,IF($M293=0,0,COUNTIF(INDIRECT("'0.0.2 Pokémon Learnset (Core)'!$D$"&amp;MATCH($E293,'0.0.2 Pokémon Learnset (Core)'!$A$1:$A951,0)&amp;":$FK$"&amp;MATCH($E293,'0.0.2 Pokémon Learnset (Core)'!$A$1:$A951,0)),'Reverse Search'!$E$21)),IF($C$2=2,COUNTIF(INDIRECT("'0.1.1 Pokémon GO Moves'!$B$"&amp;MATCH($E293,'0.1.1 Pokémon GO Moves'!$A$1:$A951,0)&amp;":$R$"&amp;MATCH($E293,'0.1.1 Pokémon GO Moves'!$A$1:$A951,0)),'Reverse Search'!$E$21),COUNTIF(INDIRECT("'0.1.1 Pokémon GO Moves'!$B$"&amp;MATCH($E293,'0.1.1 Pokémon GO Moves'!$A$1:$A951,0)&amp;":$L$"&amp;MATCH($E293,'0.1.1 Pokémon GO Moves'!$A$1:$A951,0)),'Reverse Search'!$E$21)))))</f>
        <v>1</v>
      </c>
      <c r="AA293" s="0" t="n">
        <f aca="true">IF('Reverse Search'!$C$14="Disable",1,IF('Reverse Search'!$I$16="Disable",1,IF($D$2=3,IF($M293=0,0,COUNTIF(INDIRECT("'0.0.2 Pokémon Learnset (Core)'!$D$"&amp;MATCH($E293,'0.0.2 Pokémon Learnset (Core)'!$A$1:$A951,0)&amp;":$FK$"&amp;MATCH($E293,'0.0.2 Pokémon Learnset (Core)'!$A$1:$A951,0)),'Reverse Search'!$J$21)),IF($D$2=2,COUNTIF(INDIRECT("'0.1.1 Pokémon GO Moves'!$B$"&amp;MATCH($E293,'0.1.1 Pokémon GO Moves'!$A$1:$A951,0)&amp;":$R$"&amp;MATCH($E293,'0.1.1 Pokémon GO Moves'!$A$1:$A951,0)),'Reverse Search'!$J$21),COUNTIF(INDIRECT("'0.1.1 Pokémon GO Moves'!$B$"&amp;MATCH($E293,'0.1.1 Pokémon GO Moves'!$A$1:$A951,0)&amp;":$L$"&amp;MATCH($E293,'0.1.1 Pokémon GO Moves'!$A$1:$A951,0)),'Reverse Search'!$J$21)))))</f>
        <v>0</v>
      </c>
      <c r="AB293" s="490"/>
      <c r="AC293" s="260" t="n">
        <f aca="false">IF((Q293+R293+S293+V293+W293+X293+Y293+IF(Z293&gt;=1,1,0)+IF(AA293&gt;=1,1,0))=9,G293&amp;", ",)</f>
        <v>0</v>
      </c>
    </row>
    <row r="294" customFormat="false" ht="15.75" hidden="false" customHeight="false" outlineLevel="0" collapsed="false">
      <c r="A294" s="260"/>
      <c r="B294" s="358"/>
      <c r="C294" s="260"/>
      <c r="D294" s="358"/>
      <c r="E294" s="260" t="n">
        <v>293</v>
      </c>
      <c r="F294" s="260" t="n">
        <f aca="false" t="array" ref="F294:F294">INDEX('0.0.1 Pokémon Dex Data'!$H$3:$H951,MATCH(E294,'0.0.1 Pokémon Dex Data'!$B$3:$B951,0))</f>
        <v>0</v>
      </c>
      <c r="G294" s="0" t="str">
        <f aca="false" t="array" ref="G294:G294">INDEX('0.0.1 Pokémon Dex Data'!$E$3:$E951,MATCH(E294,'0.0.1 Pokémon Dex Data'!$B$3:$B951,0))</f>
        <v>Sceptile</v>
      </c>
      <c r="H294" s="0" t="str">
        <f aca="false" t="array" ref="H294:H294">INDEX('0.0.1 Pokémon Dex Data'!$Q$3:$Q951,MATCH(E294,'0.0.1 Pokémon Dex Data'!$B$3:$B951,0))</f>
        <v>Grass</v>
      </c>
      <c r="I294" s="0" t="n">
        <f aca="false">INDEX('0.0.1 Pokémon Dex Data'!$R$3:$R951,MATCH(E294,'0.0.1 Pokémon Dex Data'!$B$3:$B951,0))</f>
        <v>0</v>
      </c>
      <c r="J294" s="260" t="n">
        <f aca="false" t="array" ref="J294:J294">ROUND(INDEX('0.0.1 Pokémon Dex Data'!$S$3:$S951,MATCH($E294,'0.0.1 Pokémon Dex Data'!$B$3:$B951,0))*INDEX('0.0.1 Pokémon Dex Data'!T$3:T951,MATCH($E294,'0.0.1 Pokémon Dex Data'!$B$3:$B951,0)),0)</f>
        <v>223</v>
      </c>
      <c r="K294" s="260" t="n">
        <f aca="false" t="array" ref="K294:K294">ROUND(INDEX('0.0.1 Pokémon Dex Data'!$S$3:$S951,MATCH($E294,'0.0.1 Pokémon Dex Data'!$B$3:$B951,0))*INDEX('0.0.1 Pokémon Dex Data'!U$3:U951,MATCH($E294,'0.0.1 Pokémon Dex Data'!$B$3:$B951,0)),0)</f>
        <v>169</v>
      </c>
      <c r="L294" s="260" t="n">
        <f aca="false" t="array" ref="L294:L294">ROUND(INDEX('0.0.1 Pokémon Dex Data'!$S$3:$S951,MATCH($E294,'0.0.1 Pokémon Dex Data'!$B$3:$B951,0))*INDEX('0.0.1 Pokémon Dex Data'!V$3:V951,MATCH($E294,'0.0.1 Pokémon Dex Data'!$B$3:$B951,0)),0)</f>
        <v>172</v>
      </c>
      <c r="M294" s="260" t="n">
        <f aca="false" t="array" ref="M294:M294">INDEX('0.0.1 Pokémon Dex Data'!$J$3:$J951,MATCH(E294,'0.0.1 Pokémon Dex Data'!$B$3:$B951,0))</f>
        <v>1</v>
      </c>
      <c r="O294" s="490"/>
      <c r="Q294" s="367" t="n">
        <f aca="false">IF('Reverse Search'!$F$4="All (including temporary formes)",1,IF('Reverse Search'!$F$4="Base Pokémon and permanent formes only",IF(F294&lt;=1,1,0),IF(F294=0,1,0)))</f>
        <v>1</v>
      </c>
      <c r="R294" s="0" t="n">
        <f aca="false">IF('Reverse Search'!$C$7="Disable",1,IF('Reverse Search'!$D$9="Disable",1,IF(OR('Reverse Search'!$F$9=H294,'Reverse Search'!$F$9=I294),1,0)))</f>
        <v>1</v>
      </c>
      <c r="S294" s="0" t="n">
        <f aca="false">IF('Reverse Search'!$C$7="Disable",1,IF('Reverse Search'!$D$10="Disable",1,IF(OR('Reverse Search'!$F$10=H294,'Reverse Search'!$F$10=I294),1,0)))</f>
        <v>1</v>
      </c>
      <c r="T294" s="0" t="n">
        <f aca="false">INDEX($B$4:$B$22,MATCH(H294,$A$4:$A$22,0))</f>
        <v>1</v>
      </c>
      <c r="U294" s="0" t="e">
        <f aca="false">IF(ISBLANK(I294),1,INDEX($B$4:$B$22,MATCH(I294,$A$4:$A$22,0)))</f>
        <v>#N/A</v>
      </c>
      <c r="V294" s="367" t="n">
        <f aca="false">IF('Reverse Search'!$C$7="Disable",1,IF('Reverse Search'!$D$11="Disable",1,IF('Reverse Search'!$E$11="Neutral to:",IF(ROUND(T294*U294,2)&lt;=1,1,0),IF(ROUND(T294*U294,2)&lt;1,1,0))))</f>
        <v>1</v>
      </c>
      <c r="W294" s="0" t="n">
        <f aca="false">IF('Reverse Search'!$N$7="Disable",1,IF('Reverse Search'!$I$9="Disable",1,IF('Reverse Search'!$K$9="≥",IF(J294&gt;='Reverse Search'!$L$9,1,0),IF('Reverse Search'!$K$9="≤",IF(J294&lt;='Reverse Search'!$L$9,1,0),IF(J294='Reverse Search'!$L$9,1,0)))))</f>
        <v>1</v>
      </c>
      <c r="X294" s="0" t="n">
        <f aca="false">IF('Reverse Search'!$N$7="Disable",1,IF('Reverse Search'!$I$10="Disable",1,IF('Reverse Search'!$K$10="≥",IF(K294&gt;='Reverse Search'!$L$10,1,0),IF('Reverse Search'!$K$10="≤",IF(K294&lt;='Reverse Search'!$L$10,1,0),IF(K294='Reverse Search'!$L$10,1,0)))))</f>
        <v>1</v>
      </c>
      <c r="Y294" s="367" t="n">
        <f aca="false">IF('Reverse Search'!$N$7="Disable",1,IF('Reverse Search'!$I$11="Disable",1,IF('Reverse Search'!$K$11="≥",IF(L294&gt;='Reverse Search'!$L$11,1,0),IF('Reverse Search'!$K$11="≤",IF(L294&lt;='Reverse Search'!$L$11,1,0),IF(L294='Reverse Search'!$L$11,1,0)))))</f>
        <v>1</v>
      </c>
      <c r="Z294" s="0" t="n">
        <f aca="true">IF('Reverse Search'!$C$14="Disable",1,IF('Reverse Search'!$D$16="Disable",1,IF($C$2=3,IF($M294=0,0,COUNTIF(INDIRECT("'0.0.2 Pokémon Learnset (Core)'!$D$"&amp;MATCH($E294,'0.0.2 Pokémon Learnset (Core)'!$A$1:$A951,0)&amp;":$FK$"&amp;MATCH($E294,'0.0.2 Pokémon Learnset (Core)'!$A$1:$A951,0)),'Reverse Search'!$E$21)),IF($C$2=2,COUNTIF(INDIRECT("'0.1.1 Pokémon GO Moves'!$B$"&amp;MATCH($E294,'0.1.1 Pokémon GO Moves'!$A$1:$A951,0)&amp;":$R$"&amp;MATCH($E294,'0.1.1 Pokémon GO Moves'!$A$1:$A951,0)),'Reverse Search'!$E$21),COUNTIF(INDIRECT("'0.1.1 Pokémon GO Moves'!$B$"&amp;MATCH($E294,'0.1.1 Pokémon GO Moves'!$A$1:$A951,0)&amp;":$L$"&amp;MATCH($E294,'0.1.1 Pokémon GO Moves'!$A$1:$A951,0)),'Reverse Search'!$E$21)))))</f>
        <v>1</v>
      </c>
      <c r="AA294" s="0" t="n">
        <f aca="true">IF('Reverse Search'!$C$14="Disable",1,IF('Reverse Search'!$I$16="Disable",1,IF($D$2=3,IF($M294=0,0,COUNTIF(INDIRECT("'0.0.2 Pokémon Learnset (Core)'!$D$"&amp;MATCH($E294,'0.0.2 Pokémon Learnset (Core)'!$A$1:$A951,0)&amp;":$FK$"&amp;MATCH($E294,'0.0.2 Pokémon Learnset (Core)'!$A$1:$A951,0)),'Reverse Search'!$J$21)),IF($D$2=2,COUNTIF(INDIRECT("'0.1.1 Pokémon GO Moves'!$B$"&amp;MATCH($E294,'0.1.1 Pokémon GO Moves'!$A$1:$A951,0)&amp;":$R$"&amp;MATCH($E294,'0.1.1 Pokémon GO Moves'!$A$1:$A951,0)),'Reverse Search'!$J$21),COUNTIF(INDIRECT("'0.1.1 Pokémon GO Moves'!$B$"&amp;MATCH($E294,'0.1.1 Pokémon GO Moves'!$A$1:$A951,0)&amp;":$L$"&amp;MATCH($E294,'0.1.1 Pokémon GO Moves'!$A$1:$A951,0)),'Reverse Search'!$J$21)))))</f>
        <v>0</v>
      </c>
      <c r="AB294" s="490"/>
      <c r="AC294" s="260" t="n">
        <f aca="false">IF((Q294+R294+S294+V294+W294+X294+Y294+IF(Z294&gt;=1,1,0)+IF(AA294&gt;=1,1,0))=9,G294&amp;", ",)</f>
        <v>0</v>
      </c>
    </row>
    <row r="295" customFormat="false" ht="15.75" hidden="false" customHeight="false" outlineLevel="0" collapsed="false">
      <c r="A295" s="260"/>
      <c r="B295" s="358"/>
      <c r="C295" s="260"/>
      <c r="D295" s="358"/>
      <c r="E295" s="260" t="n">
        <v>294</v>
      </c>
      <c r="F295" s="260" t="n">
        <f aca="false" t="array" ref="F295:F295">INDEX('0.0.1 Pokémon Dex Data'!$H$3:$H951,MATCH(E295,'0.0.1 Pokémon Dex Data'!$B$3:$B951,0))</f>
        <v>2</v>
      </c>
      <c r="G295" s="0" t="str">
        <f aca="false" t="array" ref="G295:G295">INDEX('0.0.1 Pokémon Dex Data'!$E$3:$E951,MATCH(E295,'0.0.1 Pokémon Dex Data'!$B$3:$B951,0))</f>
        <v>Sceptile-Mega</v>
      </c>
      <c r="H295" s="0" t="str">
        <f aca="false" t="array" ref="H295:H295">INDEX('0.0.1 Pokémon Dex Data'!$Q$3:$Q951,MATCH(E295,'0.0.1 Pokémon Dex Data'!$B$3:$B951,0))</f>
        <v>Grass</v>
      </c>
      <c r="I295" s="0" t="str">
        <f aca="false" t="array" ref="I295:I295">INDEX('0.0.1 Pokémon Dex Data'!$R$3:$R951,MATCH(E295,'0.0.1 Pokémon Dex Data'!$B$3:$B951,0))</f>
        <v>Dragon</v>
      </c>
      <c r="J295" s="260" t="n">
        <f aca="false" t="array" ref="J295:J295">ROUND(INDEX('0.0.1 Pokémon Dex Data'!$S$3:$S951,MATCH($E295,'0.0.1 Pokémon Dex Data'!$B$3:$B951,0))*INDEX('0.0.1 Pokémon Dex Data'!T$3:T951,MATCH($E295,'0.0.1 Pokémon Dex Data'!$B$3:$B951,0)),0)</f>
        <v>320</v>
      </c>
      <c r="K295" s="260" t="n">
        <f aca="false" t="array" ref="K295:K295">ROUND(INDEX('0.0.1 Pokémon Dex Data'!$S$3:$S951,MATCH($E295,'0.0.1 Pokémon Dex Data'!$B$3:$B951,0))*INDEX('0.0.1 Pokémon Dex Data'!U$3:U951,MATCH($E295,'0.0.1 Pokémon Dex Data'!$B$3:$B951,0)),0)</f>
        <v>186</v>
      </c>
      <c r="L295" s="260" t="n">
        <f aca="false" t="array" ref="L295:L295">ROUND(INDEX('0.0.1 Pokémon Dex Data'!$S$3:$S951,MATCH($E295,'0.0.1 Pokémon Dex Data'!$B$3:$B951,0))*INDEX('0.0.1 Pokémon Dex Data'!V$3:V951,MATCH($E295,'0.0.1 Pokémon Dex Data'!$B$3:$B951,0)),0)</f>
        <v>172</v>
      </c>
      <c r="M295" s="260" t="n">
        <f aca="false" t="array" ref="M295:M295">INDEX('0.0.1 Pokémon Dex Data'!$J$3:$J951,MATCH(E295,'0.0.1 Pokémon Dex Data'!$B$3:$B951,0))</f>
        <v>1</v>
      </c>
      <c r="O295" s="490"/>
      <c r="Q295" s="367" t="n">
        <f aca="false">IF('Reverse Search'!$F$4="All (including temporary formes)",1,IF('Reverse Search'!$F$4="Base Pokémon and permanent formes only",IF(F295&lt;=1,1,0),IF(F295=0,1,0)))</f>
        <v>0</v>
      </c>
      <c r="R295" s="0" t="n">
        <f aca="false">IF('Reverse Search'!$C$7="Disable",1,IF('Reverse Search'!$D$9="Disable",1,IF(OR('Reverse Search'!$F$9=H295,'Reverse Search'!$F$9=I295),1,0)))</f>
        <v>1</v>
      </c>
      <c r="S295" s="0" t="n">
        <f aca="false">IF('Reverse Search'!$C$7="Disable",1,IF('Reverse Search'!$D$10="Disable",1,IF(OR('Reverse Search'!$F$10=H295,'Reverse Search'!$F$10=I295),1,0)))</f>
        <v>1</v>
      </c>
      <c r="T295" s="0" t="n">
        <f aca="false">INDEX($B$4:$B$22,MATCH(H295,$A$4:$A$22,0))</f>
        <v>1</v>
      </c>
      <c r="U295" s="0" t="n">
        <f aca="false">IF(ISBLANK(I295),1,INDEX($B$4:$B$22,MATCH(I295,$A$4:$A$22,0)))</f>
        <v>1</v>
      </c>
      <c r="V295" s="367" t="n">
        <f aca="false">IF('Reverse Search'!$C$7="Disable",1,IF('Reverse Search'!$D$11="Disable",1,IF('Reverse Search'!$E$11="Neutral to:",IF(ROUND(T295*U295,2)&lt;=1,1,0),IF(ROUND(T295*U295,2)&lt;1,1,0))))</f>
        <v>1</v>
      </c>
      <c r="W295" s="0" t="n">
        <f aca="false">IF('Reverse Search'!$N$7="Disable",1,IF('Reverse Search'!$I$9="Disable",1,IF('Reverse Search'!$K$9="≥",IF(J295&gt;='Reverse Search'!$L$9,1,0),IF('Reverse Search'!$K$9="≤",IF(J295&lt;='Reverse Search'!$L$9,1,0),IF(J295='Reverse Search'!$L$9,1,0)))))</f>
        <v>1</v>
      </c>
      <c r="X295" s="0" t="n">
        <f aca="false">IF('Reverse Search'!$N$7="Disable",1,IF('Reverse Search'!$I$10="Disable",1,IF('Reverse Search'!$K$10="≥",IF(K295&gt;='Reverse Search'!$L$10,1,0),IF('Reverse Search'!$K$10="≤",IF(K295&lt;='Reverse Search'!$L$10,1,0),IF(K295='Reverse Search'!$L$10,1,0)))))</f>
        <v>1</v>
      </c>
      <c r="Y295" s="367" t="n">
        <f aca="false">IF('Reverse Search'!$N$7="Disable",1,IF('Reverse Search'!$I$11="Disable",1,IF('Reverse Search'!$K$11="≥",IF(L295&gt;='Reverse Search'!$L$11,1,0),IF('Reverse Search'!$K$11="≤",IF(L295&lt;='Reverse Search'!$L$11,1,0),IF(L295='Reverse Search'!$L$11,1,0)))))</f>
        <v>1</v>
      </c>
      <c r="Z295" s="0" t="n">
        <f aca="true">IF('Reverse Search'!$C$14="Disable",1,IF('Reverse Search'!$D$16="Disable",1,IF($C$2=3,IF($M295=0,0,COUNTIF(INDIRECT("'0.0.2 Pokémon Learnset (Core)'!$D$"&amp;MATCH($E295,'0.0.2 Pokémon Learnset (Core)'!$A$1:$A951,0)&amp;":$FK$"&amp;MATCH($E295,'0.0.2 Pokémon Learnset (Core)'!$A$1:$A951,0)),'Reverse Search'!$E$21)),IF($C$2=2,COUNTIF(INDIRECT("'0.1.1 Pokémon GO Moves'!$B$"&amp;MATCH($E295,'0.1.1 Pokémon GO Moves'!$A$1:$A951,0)&amp;":$R$"&amp;MATCH($E295,'0.1.1 Pokémon GO Moves'!$A$1:$A951,0)),'Reverse Search'!$E$21),COUNTIF(INDIRECT("'0.1.1 Pokémon GO Moves'!$B$"&amp;MATCH($E295,'0.1.1 Pokémon GO Moves'!$A$1:$A951,0)&amp;":$L$"&amp;MATCH($E295,'0.1.1 Pokémon GO Moves'!$A$1:$A951,0)),'Reverse Search'!$E$21)))))</f>
        <v>1</v>
      </c>
      <c r="AA295" s="0" t="e">
        <f aca="true">IF('Reverse Search'!$C$14="Disable",1,IF('Reverse Search'!$I$16="Disable",1,IF($D$2=3,IF($M295=0,0,COUNTIF(INDIRECT("'0.0.2 Pokémon Learnset (Core)'!$D$"&amp;MATCH($E295,'0.0.2 Pokémon Learnset (Core)'!$A$1:$A951,0)&amp;":$FK$"&amp;MATCH($E295,'0.0.2 Pokémon Learnset (Core)'!$A$1:$A951,0)),'Reverse Search'!$J$21)),IF($D$2=2,COUNTIF(INDIRECT("'0.1.1 Pokémon GO Moves'!$B$"&amp;MATCH($E295,'0.1.1 Pokémon GO Moves'!$A$1:$A951,0)&amp;":$R$"&amp;MATCH($E295,'0.1.1 Pokémon GO Moves'!$A$1:$A951,0)),'Reverse Search'!$J$21),COUNTIF(INDIRECT("'0.1.1 Pokémon GO Moves'!$B$"&amp;MATCH($E295,'0.1.1 Pokémon GO Moves'!$A$1:$A951,0)&amp;":$L$"&amp;MATCH($E295,'0.1.1 Pokémon GO Moves'!$A$1:$A951,0)),'Reverse Search'!$J$21)))))</f>
        <v>#N/A</v>
      </c>
      <c r="AB295" s="490"/>
      <c r="AC295" s="260" t="e">
        <f aca="false">IF((Q295+R295+S295+V295+W295+X295+Y295+IF(Z295&gt;=1,1,0)+IF(AA295&gt;=1,1,0))=9,G295&amp;", ",)</f>
        <v>#N/A</v>
      </c>
    </row>
    <row r="296" customFormat="false" ht="15.75" hidden="false" customHeight="false" outlineLevel="0" collapsed="false">
      <c r="A296" s="260"/>
      <c r="B296" s="358"/>
      <c r="C296" s="260"/>
      <c r="D296" s="358"/>
      <c r="E296" s="260" t="n">
        <v>295</v>
      </c>
      <c r="F296" s="260" t="n">
        <f aca="false" t="array" ref="F296:F296">INDEX('0.0.1 Pokémon Dex Data'!$H$3:$H951,MATCH(E296,'0.0.1 Pokémon Dex Data'!$B$3:$B951,0))</f>
        <v>0</v>
      </c>
      <c r="G296" s="0" t="str">
        <f aca="false" t="array" ref="G296:G296">INDEX('0.0.1 Pokémon Dex Data'!$E$3:$E951,MATCH(E296,'0.0.1 Pokémon Dex Data'!$B$3:$B951,0))</f>
        <v>Torchic</v>
      </c>
      <c r="H296" s="0" t="str">
        <f aca="false" t="array" ref="H296:H296">INDEX('0.0.1 Pokémon Dex Data'!$Q$3:$Q951,MATCH(E296,'0.0.1 Pokémon Dex Data'!$B$3:$B951,0))</f>
        <v>Fire</v>
      </c>
      <c r="I296" s="0" t="n">
        <f aca="false">INDEX('0.0.1 Pokémon Dex Data'!$R$3:$R951,MATCH(E296,'0.0.1 Pokémon Dex Data'!$B$3:$B951,0))</f>
        <v>0</v>
      </c>
      <c r="J296" s="260" t="n">
        <f aca="false" t="array" ref="J296:J296">ROUND(INDEX('0.0.1 Pokémon Dex Data'!$S$3:$S951,MATCH($E296,'0.0.1 Pokémon Dex Data'!$B$3:$B951,0))*INDEX('0.0.1 Pokémon Dex Data'!T$3:T951,MATCH($E296,'0.0.1 Pokémon Dex Data'!$B$3:$B951,0)),0)</f>
        <v>130</v>
      </c>
      <c r="K296" s="260" t="n">
        <f aca="false" t="array" ref="K296:K296">ROUND(INDEX('0.0.1 Pokémon Dex Data'!$S$3:$S951,MATCH($E296,'0.0.1 Pokémon Dex Data'!$B$3:$B951,0))*INDEX('0.0.1 Pokémon Dex Data'!U$3:U951,MATCH($E296,'0.0.1 Pokémon Dex Data'!$B$3:$B951,0)),0)</f>
        <v>87</v>
      </c>
      <c r="L296" s="260" t="n">
        <f aca="false" t="array" ref="L296:L296">ROUND(INDEX('0.0.1 Pokémon Dex Data'!$S$3:$S951,MATCH($E296,'0.0.1 Pokémon Dex Data'!$B$3:$B951,0))*INDEX('0.0.1 Pokémon Dex Data'!V$3:V951,MATCH($E296,'0.0.1 Pokémon Dex Data'!$B$3:$B951,0)),0)</f>
        <v>128</v>
      </c>
      <c r="M296" s="260" t="n">
        <f aca="false" t="array" ref="M296:M296">INDEX('0.0.1 Pokémon Dex Data'!$J$3:$J951,MATCH(E296,'0.0.1 Pokémon Dex Data'!$B$3:$B951,0))</f>
        <v>0</v>
      </c>
      <c r="O296" s="490"/>
      <c r="Q296" s="367" t="n">
        <f aca="false">IF('Reverse Search'!$F$4="All (including temporary formes)",1,IF('Reverse Search'!$F$4="Base Pokémon and permanent formes only",IF(F296&lt;=1,1,0),IF(F296=0,1,0)))</f>
        <v>1</v>
      </c>
      <c r="R296" s="0" t="n">
        <f aca="false">IF('Reverse Search'!$C$7="Disable",1,IF('Reverse Search'!$D$9="Disable",1,IF(OR('Reverse Search'!$F$9=H296,'Reverse Search'!$F$9=I296),1,0)))</f>
        <v>1</v>
      </c>
      <c r="S296" s="0" t="n">
        <f aca="false">IF('Reverse Search'!$C$7="Disable",1,IF('Reverse Search'!$D$10="Disable",1,IF(OR('Reverse Search'!$F$10=H296,'Reverse Search'!$F$10=I296),1,0)))</f>
        <v>1</v>
      </c>
      <c r="T296" s="0" t="n">
        <f aca="false">INDEX($B$4:$B$22,MATCH(H296,$A$4:$A$22,0))</f>
        <v>1</v>
      </c>
      <c r="U296" s="0" t="e">
        <f aca="false">IF(ISBLANK(I296),1,INDEX($B$4:$B$22,MATCH(I296,$A$4:$A$22,0)))</f>
        <v>#N/A</v>
      </c>
      <c r="V296" s="367" t="n">
        <f aca="false">IF('Reverse Search'!$C$7="Disable",1,IF('Reverse Search'!$D$11="Disable",1,IF('Reverse Search'!$E$11="Neutral to:",IF(ROUND(T296*U296,2)&lt;=1,1,0),IF(ROUND(T296*U296,2)&lt;1,1,0))))</f>
        <v>1</v>
      </c>
      <c r="W296" s="0" t="n">
        <f aca="false">IF('Reverse Search'!$N$7="Disable",1,IF('Reverse Search'!$I$9="Disable",1,IF('Reverse Search'!$K$9="≥",IF(J296&gt;='Reverse Search'!$L$9,1,0),IF('Reverse Search'!$K$9="≤",IF(J296&lt;='Reverse Search'!$L$9,1,0),IF(J296='Reverse Search'!$L$9,1,0)))))</f>
        <v>1</v>
      </c>
      <c r="X296" s="0" t="n">
        <f aca="false">IF('Reverse Search'!$N$7="Disable",1,IF('Reverse Search'!$I$10="Disable",1,IF('Reverse Search'!$K$10="≥",IF(K296&gt;='Reverse Search'!$L$10,1,0),IF('Reverse Search'!$K$10="≤",IF(K296&lt;='Reverse Search'!$L$10,1,0),IF(K296='Reverse Search'!$L$10,1,0)))))</f>
        <v>1</v>
      </c>
      <c r="Y296" s="367" t="n">
        <f aca="false">IF('Reverse Search'!$N$7="Disable",1,IF('Reverse Search'!$I$11="Disable",1,IF('Reverse Search'!$K$11="≥",IF(L296&gt;='Reverse Search'!$L$11,1,0),IF('Reverse Search'!$K$11="≤",IF(L296&lt;='Reverse Search'!$L$11,1,0),IF(L296='Reverse Search'!$L$11,1,0)))))</f>
        <v>1</v>
      </c>
      <c r="Z296" s="0" t="n">
        <f aca="true">IF('Reverse Search'!$C$14="Disable",1,IF('Reverse Search'!$D$16="Disable",1,IF($C$2=3,IF($M296=0,0,COUNTIF(INDIRECT("'0.0.2 Pokémon Learnset (Core)'!$D$"&amp;MATCH($E296,'0.0.2 Pokémon Learnset (Core)'!$A$1:$A951,0)&amp;":$FK$"&amp;MATCH($E296,'0.0.2 Pokémon Learnset (Core)'!$A$1:$A951,0)),'Reverse Search'!$E$21)),IF($C$2=2,COUNTIF(INDIRECT("'0.1.1 Pokémon GO Moves'!$B$"&amp;MATCH($E296,'0.1.1 Pokémon GO Moves'!$A$1:$A951,0)&amp;":$R$"&amp;MATCH($E296,'0.1.1 Pokémon GO Moves'!$A$1:$A951,0)),'Reverse Search'!$E$21),COUNTIF(INDIRECT("'0.1.1 Pokémon GO Moves'!$B$"&amp;MATCH($E296,'0.1.1 Pokémon GO Moves'!$A$1:$A951,0)&amp;":$L$"&amp;MATCH($E296,'0.1.1 Pokémon GO Moves'!$A$1:$A951,0)),'Reverse Search'!$E$21)))))</f>
        <v>1</v>
      </c>
      <c r="AA296" s="0" t="n">
        <f aca="true">IF('Reverse Search'!$C$14="Disable",1,IF('Reverse Search'!$I$16="Disable",1,IF($D$2=3,IF($M296=0,0,COUNTIF(INDIRECT("'0.0.2 Pokémon Learnset (Core)'!$D$"&amp;MATCH($E296,'0.0.2 Pokémon Learnset (Core)'!$A$1:$A951,0)&amp;":$FK$"&amp;MATCH($E296,'0.0.2 Pokémon Learnset (Core)'!$A$1:$A951,0)),'Reverse Search'!$J$21)),IF($D$2=2,COUNTIF(INDIRECT("'0.1.1 Pokémon GO Moves'!$B$"&amp;MATCH($E296,'0.1.1 Pokémon GO Moves'!$A$1:$A951,0)&amp;":$R$"&amp;MATCH($E296,'0.1.1 Pokémon GO Moves'!$A$1:$A951,0)),'Reverse Search'!$J$21),COUNTIF(INDIRECT("'0.1.1 Pokémon GO Moves'!$B$"&amp;MATCH($E296,'0.1.1 Pokémon GO Moves'!$A$1:$A951,0)&amp;":$L$"&amp;MATCH($E296,'0.1.1 Pokémon GO Moves'!$A$1:$A951,0)),'Reverse Search'!$J$21)))))</f>
        <v>0</v>
      </c>
      <c r="AB296" s="490"/>
      <c r="AC296" s="260" t="n">
        <f aca="false">IF((Q296+R296+S296+V296+W296+X296+Y296+IF(Z296&gt;=1,1,0)+IF(AA296&gt;=1,1,0))=9,G296&amp;", ",)</f>
        <v>0</v>
      </c>
    </row>
    <row r="297" customFormat="false" ht="15.75" hidden="false" customHeight="false" outlineLevel="0" collapsed="false">
      <c r="A297" s="260"/>
      <c r="B297" s="358"/>
      <c r="C297" s="260"/>
      <c r="D297" s="358"/>
      <c r="E297" s="260" t="n">
        <v>296</v>
      </c>
      <c r="F297" s="260" t="n">
        <f aca="false" t="array" ref="F297:F297">INDEX('0.0.1 Pokémon Dex Data'!$H$3:$H951,MATCH(E297,'0.0.1 Pokémon Dex Data'!$B$3:$B951,0))</f>
        <v>0</v>
      </c>
      <c r="G297" s="0" t="str">
        <f aca="false" t="array" ref="G297:G297">INDEX('0.0.1 Pokémon Dex Data'!$E$3:$E951,MATCH(E297,'0.0.1 Pokémon Dex Data'!$B$3:$B951,0))</f>
        <v>Combusken</v>
      </c>
      <c r="H297" s="0" t="str">
        <f aca="false" t="array" ref="H297:H297">INDEX('0.0.1 Pokémon Dex Data'!$Q$3:$Q951,MATCH(E297,'0.0.1 Pokémon Dex Data'!$B$3:$B951,0))</f>
        <v>Fire</v>
      </c>
      <c r="I297" s="0" t="str">
        <f aca="false" t="array" ref="I297:I297">INDEX('0.0.1 Pokémon Dex Data'!$R$3:$R951,MATCH(E297,'0.0.1 Pokémon Dex Data'!$B$3:$B951,0))</f>
        <v>Fighting</v>
      </c>
      <c r="J297" s="260" t="n">
        <f aca="false" t="array" ref="J297:J297">ROUND(INDEX('0.0.1 Pokémon Dex Data'!$S$3:$S951,MATCH($E297,'0.0.1 Pokémon Dex Data'!$B$3:$B951,0))*INDEX('0.0.1 Pokémon Dex Data'!T$3:T951,MATCH($E297,'0.0.1 Pokémon Dex Data'!$B$3:$B951,0)),0)</f>
        <v>163</v>
      </c>
      <c r="K297" s="260" t="n">
        <f aca="false" t="array" ref="K297:K297">ROUND(INDEX('0.0.1 Pokémon Dex Data'!$S$3:$S951,MATCH($E297,'0.0.1 Pokémon Dex Data'!$B$3:$B951,0))*INDEX('0.0.1 Pokémon Dex Data'!U$3:U951,MATCH($E297,'0.0.1 Pokémon Dex Data'!$B$3:$B951,0)),0)</f>
        <v>115</v>
      </c>
      <c r="L297" s="260" t="n">
        <f aca="false" t="array" ref="L297:L297">ROUND(INDEX('0.0.1 Pokémon Dex Data'!$S$3:$S951,MATCH($E297,'0.0.1 Pokémon Dex Data'!$B$3:$B951,0))*INDEX('0.0.1 Pokémon Dex Data'!V$3:V951,MATCH($E297,'0.0.1 Pokémon Dex Data'!$B$3:$B951,0)),0)</f>
        <v>155</v>
      </c>
      <c r="M297" s="260" t="n">
        <f aca="false" t="array" ref="M297:M297">INDEX('0.0.1 Pokémon Dex Data'!$J$3:$J951,MATCH(E297,'0.0.1 Pokémon Dex Data'!$B$3:$B951,0))</f>
        <v>0</v>
      </c>
      <c r="O297" s="490"/>
      <c r="Q297" s="367" t="n">
        <f aca="false">IF('Reverse Search'!$F$4="All (including temporary formes)",1,IF('Reverse Search'!$F$4="Base Pokémon and permanent formes only",IF(F297&lt;=1,1,0),IF(F297=0,1,0)))</f>
        <v>1</v>
      </c>
      <c r="R297" s="0" t="n">
        <f aca="false">IF('Reverse Search'!$C$7="Disable",1,IF('Reverse Search'!$D$9="Disable",1,IF(OR('Reverse Search'!$F$9=H297,'Reverse Search'!$F$9=I297),1,0)))</f>
        <v>1</v>
      </c>
      <c r="S297" s="0" t="n">
        <f aca="false">IF('Reverse Search'!$C$7="Disable",1,IF('Reverse Search'!$D$10="Disable",1,IF(OR('Reverse Search'!$F$10=H297,'Reverse Search'!$F$10=I297),1,0)))</f>
        <v>1</v>
      </c>
      <c r="T297" s="0" t="n">
        <f aca="false">INDEX($B$4:$B$22,MATCH(H297,$A$4:$A$22,0))</f>
        <v>1</v>
      </c>
      <c r="U297" s="0" t="n">
        <f aca="false">IF(ISBLANK(I297),1,INDEX($B$4:$B$22,MATCH(I297,$A$4:$A$22,0)))</f>
        <v>1</v>
      </c>
      <c r="V297" s="367" t="n">
        <f aca="false">IF('Reverse Search'!$C$7="Disable",1,IF('Reverse Search'!$D$11="Disable",1,IF('Reverse Search'!$E$11="Neutral to:",IF(ROUND(T297*U297,2)&lt;=1,1,0),IF(ROUND(T297*U297,2)&lt;1,1,0))))</f>
        <v>1</v>
      </c>
      <c r="W297" s="0" t="n">
        <f aca="false">IF('Reverse Search'!$N$7="Disable",1,IF('Reverse Search'!$I$9="Disable",1,IF('Reverse Search'!$K$9="≥",IF(J297&gt;='Reverse Search'!$L$9,1,0),IF('Reverse Search'!$K$9="≤",IF(J297&lt;='Reverse Search'!$L$9,1,0),IF(J297='Reverse Search'!$L$9,1,0)))))</f>
        <v>1</v>
      </c>
      <c r="X297" s="0" t="n">
        <f aca="false">IF('Reverse Search'!$N$7="Disable",1,IF('Reverse Search'!$I$10="Disable",1,IF('Reverse Search'!$K$10="≥",IF(K297&gt;='Reverse Search'!$L$10,1,0),IF('Reverse Search'!$K$10="≤",IF(K297&lt;='Reverse Search'!$L$10,1,0),IF(K297='Reverse Search'!$L$10,1,0)))))</f>
        <v>1</v>
      </c>
      <c r="Y297" s="367" t="n">
        <f aca="false">IF('Reverse Search'!$N$7="Disable",1,IF('Reverse Search'!$I$11="Disable",1,IF('Reverse Search'!$K$11="≥",IF(L297&gt;='Reverse Search'!$L$11,1,0),IF('Reverse Search'!$K$11="≤",IF(L297&lt;='Reverse Search'!$L$11,1,0),IF(L297='Reverse Search'!$L$11,1,0)))))</f>
        <v>1</v>
      </c>
      <c r="Z297" s="0" t="n">
        <f aca="true">IF('Reverse Search'!$C$14="Disable",1,IF('Reverse Search'!$D$16="Disable",1,IF($C$2=3,IF($M297=0,0,COUNTIF(INDIRECT("'0.0.2 Pokémon Learnset (Core)'!$D$"&amp;MATCH($E297,'0.0.2 Pokémon Learnset (Core)'!$A$1:$A951,0)&amp;":$FK$"&amp;MATCH($E297,'0.0.2 Pokémon Learnset (Core)'!$A$1:$A951,0)),'Reverse Search'!$E$21)),IF($C$2=2,COUNTIF(INDIRECT("'0.1.1 Pokémon GO Moves'!$B$"&amp;MATCH($E297,'0.1.1 Pokémon GO Moves'!$A$1:$A951,0)&amp;":$R$"&amp;MATCH($E297,'0.1.1 Pokémon GO Moves'!$A$1:$A951,0)),'Reverse Search'!$E$21),COUNTIF(INDIRECT("'0.1.1 Pokémon GO Moves'!$B$"&amp;MATCH($E297,'0.1.1 Pokémon GO Moves'!$A$1:$A951,0)&amp;":$L$"&amp;MATCH($E297,'0.1.1 Pokémon GO Moves'!$A$1:$A951,0)),'Reverse Search'!$E$21)))))</f>
        <v>1</v>
      </c>
      <c r="AA297" s="0" t="n">
        <f aca="true">IF('Reverse Search'!$C$14="Disable",1,IF('Reverse Search'!$I$16="Disable",1,IF($D$2=3,IF($M297=0,0,COUNTIF(INDIRECT("'0.0.2 Pokémon Learnset (Core)'!$D$"&amp;MATCH($E297,'0.0.2 Pokémon Learnset (Core)'!$A$1:$A951,0)&amp;":$FK$"&amp;MATCH($E297,'0.0.2 Pokémon Learnset (Core)'!$A$1:$A951,0)),'Reverse Search'!$J$21)),IF($D$2=2,COUNTIF(INDIRECT("'0.1.1 Pokémon GO Moves'!$B$"&amp;MATCH($E297,'0.1.1 Pokémon GO Moves'!$A$1:$A951,0)&amp;":$R$"&amp;MATCH($E297,'0.1.1 Pokémon GO Moves'!$A$1:$A951,0)),'Reverse Search'!$J$21),COUNTIF(INDIRECT("'0.1.1 Pokémon GO Moves'!$B$"&amp;MATCH($E297,'0.1.1 Pokémon GO Moves'!$A$1:$A951,0)&amp;":$L$"&amp;MATCH($E297,'0.1.1 Pokémon GO Moves'!$A$1:$A951,0)),'Reverse Search'!$J$21)))))</f>
        <v>0</v>
      </c>
      <c r="AB297" s="490"/>
      <c r="AC297" s="260" t="n">
        <f aca="false">IF((Q297+R297+S297+V297+W297+X297+Y297+IF(Z297&gt;=1,1,0)+IF(AA297&gt;=1,1,0))=9,G297&amp;", ",)</f>
        <v>0</v>
      </c>
    </row>
    <row r="298" customFormat="false" ht="15.75" hidden="false" customHeight="false" outlineLevel="0" collapsed="false">
      <c r="A298" s="260"/>
      <c r="B298" s="358"/>
      <c r="C298" s="260"/>
      <c r="D298" s="358"/>
      <c r="E298" s="260" t="n">
        <v>297</v>
      </c>
      <c r="F298" s="260" t="n">
        <f aca="false" t="array" ref="F298:F298">INDEX('0.0.1 Pokémon Dex Data'!$H$3:$H951,MATCH(E298,'0.0.1 Pokémon Dex Data'!$B$3:$B951,0))</f>
        <v>0</v>
      </c>
      <c r="G298" s="0" t="str">
        <f aca="false" t="array" ref="G298:G298">INDEX('0.0.1 Pokémon Dex Data'!$E$3:$E951,MATCH(E298,'0.0.1 Pokémon Dex Data'!$B$3:$B951,0))</f>
        <v>Blaziken</v>
      </c>
      <c r="H298" s="0" t="str">
        <f aca="false" t="array" ref="H298:H298">INDEX('0.0.1 Pokémon Dex Data'!$Q$3:$Q951,MATCH(E298,'0.0.1 Pokémon Dex Data'!$B$3:$B951,0))</f>
        <v>Fire</v>
      </c>
      <c r="I298" s="0" t="str">
        <f aca="false" t="array" ref="I298:I298">INDEX('0.0.1 Pokémon Dex Data'!$R$3:$R951,MATCH(E298,'0.0.1 Pokémon Dex Data'!$B$3:$B951,0))</f>
        <v>Fighting</v>
      </c>
      <c r="J298" s="260" t="n">
        <f aca="false" t="array" ref="J298:J298">ROUND(INDEX('0.0.1 Pokémon Dex Data'!$S$3:$S951,MATCH($E298,'0.0.1 Pokémon Dex Data'!$B$3:$B951,0))*INDEX('0.0.1 Pokémon Dex Data'!T$3:T951,MATCH($E298,'0.0.1 Pokémon Dex Data'!$B$3:$B951,0)),0)</f>
        <v>240</v>
      </c>
      <c r="K298" s="260" t="n">
        <f aca="false" t="array" ref="K298:K298">ROUND(INDEX('0.0.1 Pokémon Dex Data'!$S$3:$S951,MATCH($E298,'0.0.1 Pokémon Dex Data'!$B$3:$B951,0))*INDEX('0.0.1 Pokémon Dex Data'!U$3:U951,MATCH($E298,'0.0.1 Pokémon Dex Data'!$B$3:$B951,0)),0)</f>
        <v>141</v>
      </c>
      <c r="L298" s="260" t="n">
        <f aca="false" t="array" ref="L298:L298">ROUND(INDEX('0.0.1 Pokémon Dex Data'!$S$3:$S951,MATCH($E298,'0.0.1 Pokémon Dex Data'!$B$3:$B951,0))*INDEX('0.0.1 Pokémon Dex Data'!V$3:V951,MATCH($E298,'0.0.1 Pokémon Dex Data'!$B$3:$B951,0)),0)</f>
        <v>190</v>
      </c>
      <c r="M298" s="260" t="n">
        <f aca="false" t="array" ref="M298:M298">INDEX('0.0.1 Pokémon Dex Data'!$J$3:$J951,MATCH(E298,'0.0.1 Pokémon Dex Data'!$B$3:$B951,0))</f>
        <v>1</v>
      </c>
      <c r="O298" s="490"/>
      <c r="Q298" s="367" t="n">
        <f aca="false">IF('Reverse Search'!$F$4="All (including temporary formes)",1,IF('Reverse Search'!$F$4="Base Pokémon and permanent formes only",IF(F298&lt;=1,1,0),IF(F298=0,1,0)))</f>
        <v>1</v>
      </c>
      <c r="R298" s="0" t="n">
        <f aca="false">IF('Reverse Search'!$C$7="Disable",1,IF('Reverse Search'!$D$9="Disable",1,IF(OR('Reverse Search'!$F$9=H298,'Reverse Search'!$F$9=I298),1,0)))</f>
        <v>1</v>
      </c>
      <c r="S298" s="0" t="n">
        <f aca="false">IF('Reverse Search'!$C$7="Disable",1,IF('Reverse Search'!$D$10="Disable",1,IF(OR('Reverse Search'!$F$10=H298,'Reverse Search'!$F$10=I298),1,0)))</f>
        <v>1</v>
      </c>
      <c r="T298" s="0" t="n">
        <f aca="false">INDEX($B$4:$B$22,MATCH(H298,$A$4:$A$22,0))</f>
        <v>1</v>
      </c>
      <c r="U298" s="0" t="n">
        <f aca="false">IF(ISBLANK(I298),1,INDEX($B$4:$B$22,MATCH(I298,$A$4:$A$22,0)))</f>
        <v>1</v>
      </c>
      <c r="V298" s="367" t="n">
        <f aca="false">IF('Reverse Search'!$C$7="Disable",1,IF('Reverse Search'!$D$11="Disable",1,IF('Reverse Search'!$E$11="Neutral to:",IF(ROUND(T298*U298,2)&lt;=1,1,0),IF(ROUND(T298*U298,2)&lt;1,1,0))))</f>
        <v>1</v>
      </c>
      <c r="W298" s="0" t="n">
        <f aca="false">IF('Reverse Search'!$N$7="Disable",1,IF('Reverse Search'!$I$9="Disable",1,IF('Reverse Search'!$K$9="≥",IF(J298&gt;='Reverse Search'!$L$9,1,0),IF('Reverse Search'!$K$9="≤",IF(J298&lt;='Reverse Search'!$L$9,1,0),IF(J298='Reverse Search'!$L$9,1,0)))))</f>
        <v>1</v>
      </c>
      <c r="X298" s="0" t="n">
        <f aca="false">IF('Reverse Search'!$N$7="Disable",1,IF('Reverse Search'!$I$10="Disable",1,IF('Reverse Search'!$K$10="≥",IF(K298&gt;='Reverse Search'!$L$10,1,0),IF('Reverse Search'!$K$10="≤",IF(K298&lt;='Reverse Search'!$L$10,1,0),IF(K298='Reverse Search'!$L$10,1,0)))))</f>
        <v>1</v>
      </c>
      <c r="Y298" s="367" t="n">
        <f aca="false">IF('Reverse Search'!$N$7="Disable",1,IF('Reverse Search'!$I$11="Disable",1,IF('Reverse Search'!$K$11="≥",IF(L298&gt;='Reverse Search'!$L$11,1,0),IF('Reverse Search'!$K$11="≤",IF(L298&lt;='Reverse Search'!$L$11,1,0),IF(L298='Reverse Search'!$L$11,1,0)))))</f>
        <v>1</v>
      </c>
      <c r="Z298" s="0" t="n">
        <f aca="true">IF('Reverse Search'!$C$14="Disable",1,IF('Reverse Search'!$D$16="Disable",1,IF($C$2=3,IF($M298=0,0,COUNTIF(INDIRECT("'0.0.2 Pokémon Learnset (Core)'!$D$"&amp;MATCH($E298,'0.0.2 Pokémon Learnset (Core)'!$A$1:$A951,0)&amp;":$FK$"&amp;MATCH($E298,'0.0.2 Pokémon Learnset (Core)'!$A$1:$A951,0)),'Reverse Search'!$E$21)),IF($C$2=2,COUNTIF(INDIRECT("'0.1.1 Pokémon GO Moves'!$B$"&amp;MATCH($E298,'0.1.1 Pokémon GO Moves'!$A$1:$A951,0)&amp;":$R$"&amp;MATCH($E298,'0.1.1 Pokémon GO Moves'!$A$1:$A951,0)),'Reverse Search'!$E$21),COUNTIF(INDIRECT("'0.1.1 Pokémon GO Moves'!$B$"&amp;MATCH($E298,'0.1.1 Pokémon GO Moves'!$A$1:$A951,0)&amp;":$L$"&amp;MATCH($E298,'0.1.1 Pokémon GO Moves'!$A$1:$A951,0)),'Reverse Search'!$E$21)))))</f>
        <v>1</v>
      </c>
      <c r="AA298" s="0" t="n">
        <f aca="true">IF('Reverse Search'!$C$14="Disable",1,IF('Reverse Search'!$I$16="Disable",1,IF($D$2=3,IF($M298=0,0,COUNTIF(INDIRECT("'0.0.2 Pokémon Learnset (Core)'!$D$"&amp;MATCH($E298,'0.0.2 Pokémon Learnset (Core)'!$A$1:$A951,0)&amp;":$FK$"&amp;MATCH($E298,'0.0.2 Pokémon Learnset (Core)'!$A$1:$A951,0)),'Reverse Search'!$J$21)),IF($D$2=2,COUNTIF(INDIRECT("'0.1.1 Pokémon GO Moves'!$B$"&amp;MATCH($E298,'0.1.1 Pokémon GO Moves'!$A$1:$A951,0)&amp;":$R$"&amp;MATCH($E298,'0.1.1 Pokémon GO Moves'!$A$1:$A951,0)),'Reverse Search'!$J$21),COUNTIF(INDIRECT("'0.1.1 Pokémon GO Moves'!$B$"&amp;MATCH($E298,'0.1.1 Pokémon GO Moves'!$A$1:$A951,0)&amp;":$L$"&amp;MATCH($E298,'0.1.1 Pokémon GO Moves'!$A$1:$A951,0)),'Reverse Search'!$J$21)))))</f>
        <v>0</v>
      </c>
      <c r="AB298" s="490"/>
      <c r="AC298" s="260" t="n">
        <f aca="false">IF((Q298+R298+S298+V298+W298+X298+Y298+IF(Z298&gt;=1,1,0)+IF(AA298&gt;=1,1,0))=9,G298&amp;", ",)</f>
        <v>0</v>
      </c>
    </row>
    <row r="299" customFormat="false" ht="15.75" hidden="false" customHeight="false" outlineLevel="0" collapsed="false">
      <c r="A299" s="260"/>
      <c r="B299" s="358"/>
      <c r="C299" s="260"/>
      <c r="D299" s="358"/>
      <c r="E299" s="260" t="n">
        <v>298</v>
      </c>
      <c r="F299" s="260" t="n">
        <f aca="false" t="array" ref="F299:F299">INDEX('0.0.1 Pokémon Dex Data'!$H$3:$H951,MATCH(E299,'0.0.1 Pokémon Dex Data'!$B$3:$B951,0))</f>
        <v>2</v>
      </c>
      <c r="G299" s="0" t="str">
        <f aca="false" t="array" ref="G299:G299">INDEX('0.0.1 Pokémon Dex Data'!$E$3:$E951,MATCH(E299,'0.0.1 Pokémon Dex Data'!$B$3:$B951,0))</f>
        <v>Blaziken-Mega</v>
      </c>
      <c r="H299" s="0" t="str">
        <f aca="false" t="array" ref="H299:H299">INDEX('0.0.1 Pokémon Dex Data'!$Q$3:$Q951,MATCH(E299,'0.0.1 Pokémon Dex Data'!$B$3:$B951,0))</f>
        <v>Fire</v>
      </c>
      <c r="I299" s="0" t="str">
        <f aca="false" t="array" ref="I299:I299">INDEX('0.0.1 Pokémon Dex Data'!$R$3:$R951,MATCH(E299,'0.0.1 Pokémon Dex Data'!$B$3:$B951,0))</f>
        <v>Fighting</v>
      </c>
      <c r="J299" s="260" t="n">
        <f aca="false" t="array" ref="J299:J299">ROUND(INDEX('0.0.1 Pokémon Dex Data'!$S$3:$S951,MATCH($E299,'0.0.1 Pokémon Dex Data'!$B$3:$B951,0))*INDEX('0.0.1 Pokémon Dex Data'!T$3:T951,MATCH($E299,'0.0.1 Pokémon Dex Data'!$B$3:$B951,0)),0)</f>
        <v>329</v>
      </c>
      <c r="K299" s="260" t="n">
        <f aca="false" t="array" ref="K299:K299">ROUND(INDEX('0.0.1 Pokémon Dex Data'!$S$3:$S951,MATCH($E299,'0.0.1 Pokémon Dex Data'!$B$3:$B951,0))*INDEX('0.0.1 Pokémon Dex Data'!U$3:U951,MATCH($E299,'0.0.1 Pokémon Dex Data'!$B$3:$B951,0)),0)</f>
        <v>168</v>
      </c>
      <c r="L299" s="260" t="n">
        <f aca="false" t="array" ref="L299:L299">ROUND(INDEX('0.0.1 Pokémon Dex Data'!$S$3:$S951,MATCH($E299,'0.0.1 Pokémon Dex Data'!$B$3:$B951,0))*INDEX('0.0.1 Pokémon Dex Data'!V$3:V951,MATCH($E299,'0.0.1 Pokémon Dex Data'!$B$3:$B951,0)),0)</f>
        <v>190</v>
      </c>
      <c r="M299" s="260" t="n">
        <f aca="false" t="array" ref="M299:M299">INDEX('0.0.1 Pokémon Dex Data'!$J$3:$J951,MATCH(E299,'0.0.1 Pokémon Dex Data'!$B$3:$B951,0))</f>
        <v>1</v>
      </c>
      <c r="O299" s="490"/>
      <c r="Q299" s="367" t="n">
        <f aca="false">IF('Reverse Search'!$F$4="All (including temporary formes)",1,IF('Reverse Search'!$F$4="Base Pokémon and permanent formes only",IF(F299&lt;=1,1,0),IF(F299=0,1,0)))</f>
        <v>0</v>
      </c>
      <c r="R299" s="0" t="n">
        <f aca="false">IF('Reverse Search'!$C$7="Disable",1,IF('Reverse Search'!$D$9="Disable",1,IF(OR('Reverse Search'!$F$9=H299,'Reverse Search'!$F$9=I299),1,0)))</f>
        <v>1</v>
      </c>
      <c r="S299" s="0" t="n">
        <f aca="false">IF('Reverse Search'!$C$7="Disable",1,IF('Reverse Search'!$D$10="Disable",1,IF(OR('Reverse Search'!$F$10=H299,'Reverse Search'!$F$10=I299),1,0)))</f>
        <v>1</v>
      </c>
      <c r="T299" s="0" t="n">
        <f aca="false">INDEX($B$4:$B$22,MATCH(H299,$A$4:$A$22,0))</f>
        <v>1</v>
      </c>
      <c r="U299" s="0" t="n">
        <f aca="false">IF(ISBLANK(I299),1,INDEX($B$4:$B$22,MATCH(I299,$A$4:$A$22,0)))</f>
        <v>1</v>
      </c>
      <c r="V299" s="367" t="n">
        <f aca="false">IF('Reverse Search'!$C$7="Disable",1,IF('Reverse Search'!$D$11="Disable",1,IF('Reverse Search'!$E$11="Neutral to:",IF(ROUND(T299*U299,2)&lt;=1,1,0),IF(ROUND(T299*U299,2)&lt;1,1,0))))</f>
        <v>1</v>
      </c>
      <c r="W299" s="0" t="n">
        <f aca="false">IF('Reverse Search'!$N$7="Disable",1,IF('Reverse Search'!$I$9="Disable",1,IF('Reverse Search'!$K$9="≥",IF(J299&gt;='Reverse Search'!$L$9,1,0),IF('Reverse Search'!$K$9="≤",IF(J299&lt;='Reverse Search'!$L$9,1,0),IF(J299='Reverse Search'!$L$9,1,0)))))</f>
        <v>1</v>
      </c>
      <c r="X299" s="0" t="n">
        <f aca="false">IF('Reverse Search'!$N$7="Disable",1,IF('Reverse Search'!$I$10="Disable",1,IF('Reverse Search'!$K$10="≥",IF(K299&gt;='Reverse Search'!$L$10,1,0),IF('Reverse Search'!$K$10="≤",IF(K299&lt;='Reverse Search'!$L$10,1,0),IF(K299='Reverse Search'!$L$10,1,0)))))</f>
        <v>1</v>
      </c>
      <c r="Y299" s="367" t="n">
        <f aca="false">IF('Reverse Search'!$N$7="Disable",1,IF('Reverse Search'!$I$11="Disable",1,IF('Reverse Search'!$K$11="≥",IF(L299&gt;='Reverse Search'!$L$11,1,0),IF('Reverse Search'!$K$11="≤",IF(L299&lt;='Reverse Search'!$L$11,1,0),IF(L299='Reverse Search'!$L$11,1,0)))))</f>
        <v>1</v>
      </c>
      <c r="Z299" s="0" t="n">
        <f aca="true">IF('Reverse Search'!$C$14="Disable",1,IF('Reverse Search'!$D$16="Disable",1,IF($C$2=3,IF($M299=0,0,COUNTIF(INDIRECT("'0.0.2 Pokémon Learnset (Core)'!$D$"&amp;MATCH($E299,'0.0.2 Pokémon Learnset (Core)'!$A$1:$A951,0)&amp;":$FK$"&amp;MATCH($E299,'0.0.2 Pokémon Learnset (Core)'!$A$1:$A951,0)),'Reverse Search'!$E$21)),IF($C$2=2,COUNTIF(INDIRECT("'0.1.1 Pokémon GO Moves'!$B$"&amp;MATCH($E299,'0.1.1 Pokémon GO Moves'!$A$1:$A951,0)&amp;":$R$"&amp;MATCH($E299,'0.1.1 Pokémon GO Moves'!$A$1:$A951,0)),'Reverse Search'!$E$21),COUNTIF(INDIRECT("'0.1.1 Pokémon GO Moves'!$B$"&amp;MATCH($E299,'0.1.1 Pokémon GO Moves'!$A$1:$A951,0)&amp;":$L$"&amp;MATCH($E299,'0.1.1 Pokémon GO Moves'!$A$1:$A951,0)),'Reverse Search'!$E$21)))))</f>
        <v>1</v>
      </c>
      <c r="AA299" s="0" t="e">
        <f aca="true">IF('Reverse Search'!$C$14="Disable",1,IF('Reverse Search'!$I$16="Disable",1,IF($D$2=3,IF($M299=0,0,COUNTIF(INDIRECT("'0.0.2 Pokémon Learnset (Core)'!$D$"&amp;MATCH($E299,'0.0.2 Pokémon Learnset (Core)'!$A$1:$A951,0)&amp;":$FK$"&amp;MATCH($E299,'0.0.2 Pokémon Learnset (Core)'!$A$1:$A951,0)),'Reverse Search'!$J$21)),IF($D$2=2,COUNTIF(INDIRECT("'0.1.1 Pokémon GO Moves'!$B$"&amp;MATCH($E299,'0.1.1 Pokémon GO Moves'!$A$1:$A951,0)&amp;":$R$"&amp;MATCH($E299,'0.1.1 Pokémon GO Moves'!$A$1:$A951,0)),'Reverse Search'!$J$21),COUNTIF(INDIRECT("'0.1.1 Pokémon GO Moves'!$B$"&amp;MATCH($E299,'0.1.1 Pokémon GO Moves'!$A$1:$A951,0)&amp;":$L$"&amp;MATCH($E299,'0.1.1 Pokémon GO Moves'!$A$1:$A951,0)),'Reverse Search'!$J$21)))))</f>
        <v>#N/A</v>
      </c>
      <c r="AB299" s="490"/>
      <c r="AC299" s="260" t="e">
        <f aca="false">IF((Q299+R299+S299+V299+W299+X299+Y299+IF(Z299&gt;=1,1,0)+IF(AA299&gt;=1,1,0))=9,G299&amp;", ",)</f>
        <v>#N/A</v>
      </c>
    </row>
    <row r="300" customFormat="false" ht="15.75" hidden="false" customHeight="false" outlineLevel="0" collapsed="false">
      <c r="A300" s="260"/>
      <c r="B300" s="358"/>
      <c r="C300" s="260"/>
      <c r="D300" s="358"/>
      <c r="E300" s="260" t="n">
        <v>299</v>
      </c>
      <c r="F300" s="260" t="n">
        <f aca="false" t="array" ref="F300:F300">INDEX('0.0.1 Pokémon Dex Data'!$H$3:$H951,MATCH(E300,'0.0.1 Pokémon Dex Data'!$B$3:$B951,0))</f>
        <v>0</v>
      </c>
      <c r="G300" s="0" t="str">
        <f aca="false" t="array" ref="G300:G300">INDEX('0.0.1 Pokémon Dex Data'!$E$3:$E951,MATCH(E300,'0.0.1 Pokémon Dex Data'!$B$3:$B951,0))</f>
        <v>Mudkip</v>
      </c>
      <c r="H300" s="0" t="str">
        <f aca="false" t="array" ref="H300:H300">INDEX('0.0.1 Pokémon Dex Data'!$Q$3:$Q951,MATCH(E300,'0.0.1 Pokémon Dex Data'!$B$3:$B951,0))</f>
        <v>Water</v>
      </c>
      <c r="I300" s="0" t="n">
        <f aca="false">INDEX('0.0.1 Pokémon Dex Data'!$R$3:$R951,MATCH(E300,'0.0.1 Pokémon Dex Data'!$B$3:$B951,0))</f>
        <v>0</v>
      </c>
      <c r="J300" s="260" t="n">
        <f aca="false" t="array" ref="J300:J300">ROUND(INDEX('0.0.1 Pokémon Dex Data'!$S$3:$S951,MATCH($E300,'0.0.1 Pokémon Dex Data'!$B$3:$B951,0))*INDEX('0.0.1 Pokémon Dex Data'!T$3:T951,MATCH($E300,'0.0.1 Pokémon Dex Data'!$B$3:$B951,0)),0)</f>
        <v>126</v>
      </c>
      <c r="K300" s="260" t="n">
        <f aca="false" t="array" ref="K300:K300">ROUND(INDEX('0.0.1 Pokémon Dex Data'!$S$3:$S951,MATCH($E300,'0.0.1 Pokémon Dex Data'!$B$3:$B951,0))*INDEX('0.0.1 Pokémon Dex Data'!U$3:U951,MATCH($E300,'0.0.1 Pokémon Dex Data'!$B$3:$B951,0)),0)</f>
        <v>93</v>
      </c>
      <c r="L300" s="260" t="n">
        <f aca="false" t="array" ref="L300:L300">ROUND(INDEX('0.0.1 Pokémon Dex Data'!$S$3:$S951,MATCH($E300,'0.0.1 Pokémon Dex Data'!$B$3:$B951,0))*INDEX('0.0.1 Pokémon Dex Data'!V$3:V951,MATCH($E300,'0.0.1 Pokémon Dex Data'!$B$3:$B951,0)),0)</f>
        <v>137</v>
      </c>
      <c r="M300" s="260" t="n">
        <f aca="false" t="array" ref="M300:M300">INDEX('0.0.1 Pokémon Dex Data'!$J$3:$J951,MATCH(E300,'0.0.1 Pokémon Dex Data'!$B$3:$B951,0))</f>
        <v>0</v>
      </c>
      <c r="O300" s="490"/>
      <c r="Q300" s="367" t="n">
        <f aca="false">IF('Reverse Search'!$F$4="All (including temporary formes)",1,IF('Reverse Search'!$F$4="Base Pokémon and permanent formes only",IF(F300&lt;=1,1,0),IF(F300=0,1,0)))</f>
        <v>1</v>
      </c>
      <c r="R300" s="0" t="n">
        <f aca="false">IF('Reverse Search'!$C$7="Disable",1,IF('Reverse Search'!$D$9="Disable",1,IF(OR('Reverse Search'!$F$9=H300,'Reverse Search'!$F$9=I300),1,0)))</f>
        <v>1</v>
      </c>
      <c r="S300" s="0" t="n">
        <f aca="false">IF('Reverse Search'!$C$7="Disable",1,IF('Reverse Search'!$D$10="Disable",1,IF(OR('Reverse Search'!$F$10=H300,'Reverse Search'!$F$10=I300),1,0)))</f>
        <v>1</v>
      </c>
      <c r="T300" s="0" t="n">
        <f aca="false">INDEX($B$4:$B$22,MATCH(H300,$A$4:$A$22,0))</f>
        <v>1</v>
      </c>
      <c r="U300" s="0" t="e">
        <f aca="false">IF(ISBLANK(I300),1,INDEX($B$4:$B$22,MATCH(I300,$A$4:$A$22,0)))</f>
        <v>#N/A</v>
      </c>
      <c r="V300" s="367" t="n">
        <f aca="false">IF('Reverse Search'!$C$7="Disable",1,IF('Reverse Search'!$D$11="Disable",1,IF('Reverse Search'!$E$11="Neutral to:",IF(ROUND(T300*U300,2)&lt;=1,1,0),IF(ROUND(T300*U300,2)&lt;1,1,0))))</f>
        <v>1</v>
      </c>
      <c r="W300" s="0" t="n">
        <f aca="false">IF('Reverse Search'!$N$7="Disable",1,IF('Reverse Search'!$I$9="Disable",1,IF('Reverse Search'!$K$9="≥",IF(J300&gt;='Reverse Search'!$L$9,1,0),IF('Reverse Search'!$K$9="≤",IF(J300&lt;='Reverse Search'!$L$9,1,0),IF(J300='Reverse Search'!$L$9,1,0)))))</f>
        <v>1</v>
      </c>
      <c r="X300" s="0" t="n">
        <f aca="false">IF('Reverse Search'!$N$7="Disable",1,IF('Reverse Search'!$I$10="Disable",1,IF('Reverse Search'!$K$10="≥",IF(K300&gt;='Reverse Search'!$L$10,1,0),IF('Reverse Search'!$K$10="≤",IF(K300&lt;='Reverse Search'!$L$10,1,0),IF(K300='Reverse Search'!$L$10,1,0)))))</f>
        <v>1</v>
      </c>
      <c r="Y300" s="367" t="n">
        <f aca="false">IF('Reverse Search'!$N$7="Disable",1,IF('Reverse Search'!$I$11="Disable",1,IF('Reverse Search'!$K$11="≥",IF(L300&gt;='Reverse Search'!$L$11,1,0),IF('Reverse Search'!$K$11="≤",IF(L300&lt;='Reverse Search'!$L$11,1,0),IF(L300='Reverse Search'!$L$11,1,0)))))</f>
        <v>1</v>
      </c>
      <c r="Z300" s="0" t="n">
        <f aca="true">IF('Reverse Search'!$C$14="Disable",1,IF('Reverse Search'!$D$16="Disable",1,IF($C$2=3,IF($M300=0,0,COUNTIF(INDIRECT("'0.0.2 Pokémon Learnset (Core)'!$D$"&amp;MATCH($E300,'0.0.2 Pokémon Learnset (Core)'!$A$1:$A951,0)&amp;":$FK$"&amp;MATCH($E300,'0.0.2 Pokémon Learnset (Core)'!$A$1:$A951,0)),'Reverse Search'!$E$21)),IF($C$2=2,COUNTIF(INDIRECT("'0.1.1 Pokémon GO Moves'!$B$"&amp;MATCH($E300,'0.1.1 Pokémon GO Moves'!$A$1:$A951,0)&amp;":$R$"&amp;MATCH($E300,'0.1.1 Pokémon GO Moves'!$A$1:$A951,0)),'Reverse Search'!$E$21),COUNTIF(INDIRECT("'0.1.1 Pokémon GO Moves'!$B$"&amp;MATCH($E300,'0.1.1 Pokémon GO Moves'!$A$1:$A951,0)&amp;":$L$"&amp;MATCH($E300,'0.1.1 Pokémon GO Moves'!$A$1:$A951,0)),'Reverse Search'!$E$21)))))</f>
        <v>1</v>
      </c>
      <c r="AA300" s="0" t="n">
        <f aca="true">IF('Reverse Search'!$C$14="Disable",1,IF('Reverse Search'!$I$16="Disable",1,IF($D$2=3,IF($M300=0,0,COUNTIF(INDIRECT("'0.0.2 Pokémon Learnset (Core)'!$D$"&amp;MATCH($E300,'0.0.2 Pokémon Learnset (Core)'!$A$1:$A951,0)&amp;":$FK$"&amp;MATCH($E300,'0.0.2 Pokémon Learnset (Core)'!$A$1:$A951,0)),'Reverse Search'!$J$21)),IF($D$2=2,COUNTIF(INDIRECT("'0.1.1 Pokémon GO Moves'!$B$"&amp;MATCH($E300,'0.1.1 Pokémon GO Moves'!$A$1:$A951,0)&amp;":$R$"&amp;MATCH($E300,'0.1.1 Pokémon GO Moves'!$A$1:$A951,0)),'Reverse Search'!$J$21),COUNTIF(INDIRECT("'0.1.1 Pokémon GO Moves'!$B$"&amp;MATCH($E300,'0.1.1 Pokémon GO Moves'!$A$1:$A951,0)&amp;":$L$"&amp;MATCH($E300,'0.1.1 Pokémon GO Moves'!$A$1:$A951,0)),'Reverse Search'!$J$21)))))</f>
        <v>0</v>
      </c>
      <c r="AB300" s="490"/>
      <c r="AC300" s="260" t="n">
        <f aca="false">IF((Q300+R300+S300+V300+W300+X300+Y300+IF(Z300&gt;=1,1,0)+IF(AA300&gt;=1,1,0))=9,G300&amp;", ",)</f>
        <v>0</v>
      </c>
    </row>
    <row r="301" customFormat="false" ht="15.75" hidden="false" customHeight="false" outlineLevel="0" collapsed="false">
      <c r="A301" s="260"/>
      <c r="B301" s="358"/>
      <c r="C301" s="260"/>
      <c r="D301" s="358"/>
      <c r="E301" s="260" t="n">
        <v>300</v>
      </c>
      <c r="F301" s="260" t="n">
        <f aca="false" t="array" ref="F301:F301">INDEX('0.0.1 Pokémon Dex Data'!$H$3:$H951,MATCH(E301,'0.0.1 Pokémon Dex Data'!$B$3:$B951,0))</f>
        <v>0</v>
      </c>
      <c r="G301" s="0" t="str">
        <f aca="false" t="array" ref="G301:G301">INDEX('0.0.1 Pokémon Dex Data'!$E$3:$E951,MATCH(E301,'0.0.1 Pokémon Dex Data'!$B$3:$B951,0))</f>
        <v>Marshtomp</v>
      </c>
      <c r="H301" s="0" t="str">
        <f aca="false" t="array" ref="H301:H301">INDEX('0.0.1 Pokémon Dex Data'!$Q$3:$Q951,MATCH(E301,'0.0.1 Pokémon Dex Data'!$B$3:$B951,0))</f>
        <v>Water</v>
      </c>
      <c r="I301" s="0" t="str">
        <f aca="false" t="array" ref="I301:I301">INDEX('0.0.1 Pokémon Dex Data'!$R$3:$R951,MATCH(E301,'0.0.1 Pokémon Dex Data'!$B$3:$B951,0))</f>
        <v>Ground</v>
      </c>
      <c r="J301" s="260" t="n">
        <f aca="false" t="array" ref="J301:J301">ROUND(INDEX('0.0.1 Pokémon Dex Data'!$S$3:$S951,MATCH($E301,'0.0.1 Pokémon Dex Data'!$B$3:$B951,0))*INDEX('0.0.1 Pokémon Dex Data'!T$3:T951,MATCH($E301,'0.0.1 Pokémon Dex Data'!$B$3:$B951,0)),0)</f>
        <v>156</v>
      </c>
      <c r="K301" s="260" t="n">
        <f aca="false" t="array" ref="K301:K301">ROUND(INDEX('0.0.1 Pokémon Dex Data'!$S$3:$S951,MATCH($E301,'0.0.1 Pokémon Dex Data'!$B$3:$B951,0))*INDEX('0.0.1 Pokémon Dex Data'!U$3:U951,MATCH($E301,'0.0.1 Pokémon Dex Data'!$B$3:$B951,0)),0)</f>
        <v>133</v>
      </c>
      <c r="L301" s="260" t="n">
        <f aca="false" t="array" ref="L301:L301">ROUND(INDEX('0.0.1 Pokémon Dex Data'!$S$3:$S951,MATCH($E301,'0.0.1 Pokémon Dex Data'!$B$3:$B951,0))*INDEX('0.0.1 Pokémon Dex Data'!V$3:V951,MATCH($E301,'0.0.1 Pokémon Dex Data'!$B$3:$B951,0)),0)</f>
        <v>172</v>
      </c>
      <c r="M301" s="260" t="n">
        <f aca="false" t="array" ref="M301:M301">INDEX('0.0.1 Pokémon Dex Data'!$J$3:$J951,MATCH(E301,'0.0.1 Pokémon Dex Data'!$B$3:$B951,0))</f>
        <v>0</v>
      </c>
      <c r="O301" s="490"/>
      <c r="Q301" s="367" t="n">
        <f aca="false">IF('Reverse Search'!$F$4="All (including temporary formes)",1,IF('Reverse Search'!$F$4="Base Pokémon and permanent formes only",IF(F301&lt;=1,1,0),IF(F301=0,1,0)))</f>
        <v>1</v>
      </c>
      <c r="R301" s="0" t="n">
        <f aca="false">IF('Reverse Search'!$C$7="Disable",1,IF('Reverse Search'!$D$9="Disable",1,IF(OR('Reverse Search'!$F$9=H301,'Reverse Search'!$F$9=I301),1,0)))</f>
        <v>1</v>
      </c>
      <c r="S301" s="0" t="n">
        <f aca="false">IF('Reverse Search'!$C$7="Disable",1,IF('Reverse Search'!$D$10="Disable",1,IF(OR('Reverse Search'!$F$10=H301,'Reverse Search'!$F$10=I301),1,0)))</f>
        <v>1</v>
      </c>
      <c r="T301" s="0" t="n">
        <f aca="false">INDEX($B$4:$B$22,MATCH(H301,$A$4:$A$22,0))</f>
        <v>1</v>
      </c>
      <c r="U301" s="0" t="n">
        <f aca="false">IF(ISBLANK(I301),1,INDEX($B$4:$B$22,MATCH(I301,$A$4:$A$22,0)))</f>
        <v>1</v>
      </c>
      <c r="V301" s="367" t="n">
        <f aca="false">IF('Reverse Search'!$C$7="Disable",1,IF('Reverse Search'!$D$11="Disable",1,IF('Reverse Search'!$E$11="Neutral to:",IF(ROUND(T301*U301,2)&lt;=1,1,0),IF(ROUND(T301*U301,2)&lt;1,1,0))))</f>
        <v>1</v>
      </c>
      <c r="W301" s="0" t="n">
        <f aca="false">IF('Reverse Search'!$N$7="Disable",1,IF('Reverse Search'!$I$9="Disable",1,IF('Reverse Search'!$K$9="≥",IF(J301&gt;='Reverse Search'!$L$9,1,0),IF('Reverse Search'!$K$9="≤",IF(J301&lt;='Reverse Search'!$L$9,1,0),IF(J301='Reverse Search'!$L$9,1,0)))))</f>
        <v>1</v>
      </c>
      <c r="X301" s="0" t="n">
        <f aca="false">IF('Reverse Search'!$N$7="Disable",1,IF('Reverse Search'!$I$10="Disable",1,IF('Reverse Search'!$K$10="≥",IF(K301&gt;='Reverse Search'!$L$10,1,0),IF('Reverse Search'!$K$10="≤",IF(K301&lt;='Reverse Search'!$L$10,1,0),IF(K301='Reverse Search'!$L$10,1,0)))))</f>
        <v>1</v>
      </c>
      <c r="Y301" s="367" t="n">
        <f aca="false">IF('Reverse Search'!$N$7="Disable",1,IF('Reverse Search'!$I$11="Disable",1,IF('Reverse Search'!$K$11="≥",IF(L301&gt;='Reverse Search'!$L$11,1,0),IF('Reverse Search'!$K$11="≤",IF(L301&lt;='Reverse Search'!$L$11,1,0),IF(L301='Reverse Search'!$L$11,1,0)))))</f>
        <v>1</v>
      </c>
      <c r="Z301" s="0" t="n">
        <f aca="true">IF('Reverse Search'!$C$14="Disable",1,IF('Reverse Search'!$D$16="Disable",1,IF($C$2=3,IF($M301=0,0,COUNTIF(INDIRECT("'0.0.2 Pokémon Learnset (Core)'!$D$"&amp;MATCH($E301,'0.0.2 Pokémon Learnset (Core)'!$A$1:$A951,0)&amp;":$FK$"&amp;MATCH($E301,'0.0.2 Pokémon Learnset (Core)'!$A$1:$A951,0)),'Reverse Search'!$E$21)),IF($C$2=2,COUNTIF(INDIRECT("'0.1.1 Pokémon GO Moves'!$B$"&amp;MATCH($E301,'0.1.1 Pokémon GO Moves'!$A$1:$A951,0)&amp;":$R$"&amp;MATCH($E301,'0.1.1 Pokémon GO Moves'!$A$1:$A951,0)),'Reverse Search'!$E$21),COUNTIF(INDIRECT("'0.1.1 Pokémon GO Moves'!$B$"&amp;MATCH($E301,'0.1.1 Pokémon GO Moves'!$A$1:$A951,0)&amp;":$L$"&amp;MATCH($E301,'0.1.1 Pokémon GO Moves'!$A$1:$A951,0)),'Reverse Search'!$E$21)))))</f>
        <v>1</v>
      </c>
      <c r="AA301" s="0" t="n">
        <f aca="true">IF('Reverse Search'!$C$14="Disable",1,IF('Reverse Search'!$I$16="Disable",1,IF($D$2=3,IF($M301=0,0,COUNTIF(INDIRECT("'0.0.2 Pokémon Learnset (Core)'!$D$"&amp;MATCH($E301,'0.0.2 Pokémon Learnset (Core)'!$A$1:$A951,0)&amp;":$FK$"&amp;MATCH($E301,'0.0.2 Pokémon Learnset (Core)'!$A$1:$A951,0)),'Reverse Search'!$J$21)),IF($D$2=2,COUNTIF(INDIRECT("'0.1.1 Pokémon GO Moves'!$B$"&amp;MATCH($E301,'0.1.1 Pokémon GO Moves'!$A$1:$A951,0)&amp;":$R$"&amp;MATCH($E301,'0.1.1 Pokémon GO Moves'!$A$1:$A951,0)),'Reverse Search'!$J$21),COUNTIF(INDIRECT("'0.1.1 Pokémon GO Moves'!$B$"&amp;MATCH($E301,'0.1.1 Pokémon GO Moves'!$A$1:$A951,0)&amp;":$L$"&amp;MATCH($E301,'0.1.1 Pokémon GO Moves'!$A$1:$A951,0)),'Reverse Search'!$J$21)))))</f>
        <v>0</v>
      </c>
      <c r="AB301" s="490"/>
      <c r="AC301" s="260" t="n">
        <f aca="false">IF((Q301+R301+S301+V301+W301+X301+Y301+IF(Z301&gt;=1,1,0)+IF(AA301&gt;=1,1,0))=9,G301&amp;", ",)</f>
        <v>0</v>
      </c>
    </row>
    <row r="302" customFormat="false" ht="15.75" hidden="false" customHeight="false" outlineLevel="0" collapsed="false">
      <c r="A302" s="260"/>
      <c r="B302" s="358"/>
      <c r="C302" s="260"/>
      <c r="D302" s="358"/>
      <c r="E302" s="260" t="n">
        <v>301</v>
      </c>
      <c r="F302" s="260" t="n">
        <f aca="false" t="array" ref="F302:F302">INDEX('0.0.1 Pokémon Dex Data'!$H$3:$H951,MATCH(E302,'0.0.1 Pokémon Dex Data'!$B$3:$B951,0))</f>
        <v>0</v>
      </c>
      <c r="G302" s="0" t="str">
        <f aca="false" t="array" ref="G302:G302">INDEX('0.0.1 Pokémon Dex Data'!$E$3:$E951,MATCH(E302,'0.0.1 Pokémon Dex Data'!$B$3:$B951,0))</f>
        <v>Swampert</v>
      </c>
      <c r="H302" s="0" t="str">
        <f aca="false" t="array" ref="H302:H302">INDEX('0.0.1 Pokémon Dex Data'!$Q$3:$Q951,MATCH(E302,'0.0.1 Pokémon Dex Data'!$B$3:$B951,0))</f>
        <v>Water</v>
      </c>
      <c r="I302" s="0" t="str">
        <f aca="false" t="array" ref="I302:I302">INDEX('0.0.1 Pokémon Dex Data'!$R$3:$R951,MATCH(E302,'0.0.1 Pokémon Dex Data'!$B$3:$B951,0))</f>
        <v>Ground</v>
      </c>
      <c r="J302" s="260" t="n">
        <f aca="false" t="array" ref="J302:J302">ROUND(INDEX('0.0.1 Pokémon Dex Data'!$S$3:$S951,MATCH($E302,'0.0.1 Pokémon Dex Data'!$B$3:$B951,0))*INDEX('0.0.1 Pokémon Dex Data'!T$3:T951,MATCH($E302,'0.0.1 Pokémon Dex Data'!$B$3:$B951,0)),0)</f>
        <v>208</v>
      </c>
      <c r="K302" s="260" t="n">
        <f aca="false" t="array" ref="K302:K302">ROUND(INDEX('0.0.1 Pokémon Dex Data'!$S$3:$S951,MATCH($E302,'0.0.1 Pokémon Dex Data'!$B$3:$B951,0))*INDEX('0.0.1 Pokémon Dex Data'!U$3:U951,MATCH($E302,'0.0.1 Pokémon Dex Data'!$B$3:$B951,0)),0)</f>
        <v>175</v>
      </c>
      <c r="L302" s="260" t="n">
        <f aca="false" t="array" ref="L302:L302">ROUND(INDEX('0.0.1 Pokémon Dex Data'!$S$3:$S951,MATCH($E302,'0.0.1 Pokémon Dex Data'!$B$3:$B951,0))*INDEX('0.0.1 Pokémon Dex Data'!V$3:V951,MATCH($E302,'0.0.1 Pokémon Dex Data'!$B$3:$B951,0)),0)</f>
        <v>225</v>
      </c>
      <c r="M302" s="260" t="n">
        <f aca="false" t="array" ref="M302:M302">INDEX('0.0.1 Pokémon Dex Data'!$J$3:$J951,MATCH(E302,'0.0.1 Pokémon Dex Data'!$B$3:$B951,0))</f>
        <v>1</v>
      </c>
      <c r="O302" s="490"/>
      <c r="Q302" s="367" t="n">
        <f aca="false">IF('Reverse Search'!$F$4="All (including temporary formes)",1,IF('Reverse Search'!$F$4="Base Pokémon and permanent formes only",IF(F302&lt;=1,1,0),IF(F302=0,1,0)))</f>
        <v>1</v>
      </c>
      <c r="R302" s="0" t="n">
        <f aca="false">IF('Reverse Search'!$C$7="Disable",1,IF('Reverse Search'!$D$9="Disable",1,IF(OR('Reverse Search'!$F$9=H302,'Reverse Search'!$F$9=I302),1,0)))</f>
        <v>1</v>
      </c>
      <c r="S302" s="0" t="n">
        <f aca="false">IF('Reverse Search'!$C$7="Disable",1,IF('Reverse Search'!$D$10="Disable",1,IF(OR('Reverse Search'!$F$10=H302,'Reverse Search'!$F$10=I302),1,0)))</f>
        <v>1</v>
      </c>
      <c r="T302" s="0" t="n">
        <f aca="false">INDEX($B$4:$B$22,MATCH(H302,$A$4:$A$22,0))</f>
        <v>1</v>
      </c>
      <c r="U302" s="0" t="n">
        <f aca="false">IF(ISBLANK(I302),1,INDEX($B$4:$B$22,MATCH(I302,$A$4:$A$22,0)))</f>
        <v>1</v>
      </c>
      <c r="V302" s="367" t="n">
        <f aca="false">IF('Reverse Search'!$C$7="Disable",1,IF('Reverse Search'!$D$11="Disable",1,IF('Reverse Search'!$E$11="Neutral to:",IF(ROUND(T302*U302,2)&lt;=1,1,0),IF(ROUND(T302*U302,2)&lt;1,1,0))))</f>
        <v>1</v>
      </c>
      <c r="W302" s="0" t="n">
        <f aca="false">IF('Reverse Search'!$N$7="Disable",1,IF('Reverse Search'!$I$9="Disable",1,IF('Reverse Search'!$K$9="≥",IF(J302&gt;='Reverse Search'!$L$9,1,0),IF('Reverse Search'!$K$9="≤",IF(J302&lt;='Reverse Search'!$L$9,1,0),IF(J302='Reverse Search'!$L$9,1,0)))))</f>
        <v>1</v>
      </c>
      <c r="X302" s="0" t="n">
        <f aca="false">IF('Reverse Search'!$N$7="Disable",1,IF('Reverse Search'!$I$10="Disable",1,IF('Reverse Search'!$K$10="≥",IF(K302&gt;='Reverse Search'!$L$10,1,0),IF('Reverse Search'!$K$10="≤",IF(K302&lt;='Reverse Search'!$L$10,1,0),IF(K302='Reverse Search'!$L$10,1,0)))))</f>
        <v>1</v>
      </c>
      <c r="Y302" s="367" t="n">
        <f aca="false">IF('Reverse Search'!$N$7="Disable",1,IF('Reverse Search'!$I$11="Disable",1,IF('Reverse Search'!$K$11="≥",IF(L302&gt;='Reverse Search'!$L$11,1,0),IF('Reverse Search'!$K$11="≤",IF(L302&lt;='Reverse Search'!$L$11,1,0),IF(L302='Reverse Search'!$L$11,1,0)))))</f>
        <v>1</v>
      </c>
      <c r="Z302" s="0" t="n">
        <f aca="true">IF('Reverse Search'!$C$14="Disable",1,IF('Reverse Search'!$D$16="Disable",1,IF($C$2=3,IF($M302=0,0,COUNTIF(INDIRECT("'0.0.2 Pokémon Learnset (Core)'!$D$"&amp;MATCH($E302,'0.0.2 Pokémon Learnset (Core)'!$A$1:$A951,0)&amp;":$FK$"&amp;MATCH($E302,'0.0.2 Pokémon Learnset (Core)'!$A$1:$A951,0)),'Reverse Search'!$E$21)),IF($C$2=2,COUNTIF(INDIRECT("'0.1.1 Pokémon GO Moves'!$B$"&amp;MATCH($E302,'0.1.1 Pokémon GO Moves'!$A$1:$A951,0)&amp;":$R$"&amp;MATCH($E302,'0.1.1 Pokémon GO Moves'!$A$1:$A951,0)),'Reverse Search'!$E$21),COUNTIF(INDIRECT("'0.1.1 Pokémon GO Moves'!$B$"&amp;MATCH($E302,'0.1.1 Pokémon GO Moves'!$A$1:$A951,0)&amp;":$L$"&amp;MATCH($E302,'0.1.1 Pokémon GO Moves'!$A$1:$A951,0)),'Reverse Search'!$E$21)))))</f>
        <v>1</v>
      </c>
      <c r="AA302" s="0" t="n">
        <f aca="true">IF('Reverse Search'!$C$14="Disable",1,IF('Reverse Search'!$I$16="Disable",1,IF($D$2=3,IF($M302=0,0,COUNTIF(INDIRECT("'0.0.2 Pokémon Learnset (Core)'!$D$"&amp;MATCH($E302,'0.0.2 Pokémon Learnset (Core)'!$A$1:$A951,0)&amp;":$FK$"&amp;MATCH($E302,'0.0.2 Pokémon Learnset (Core)'!$A$1:$A951,0)),'Reverse Search'!$J$21)),IF($D$2=2,COUNTIF(INDIRECT("'0.1.1 Pokémon GO Moves'!$B$"&amp;MATCH($E302,'0.1.1 Pokémon GO Moves'!$A$1:$A951,0)&amp;":$R$"&amp;MATCH($E302,'0.1.1 Pokémon GO Moves'!$A$1:$A951,0)),'Reverse Search'!$J$21),COUNTIF(INDIRECT("'0.1.1 Pokémon GO Moves'!$B$"&amp;MATCH($E302,'0.1.1 Pokémon GO Moves'!$A$1:$A951,0)&amp;":$L$"&amp;MATCH($E302,'0.1.1 Pokémon GO Moves'!$A$1:$A951,0)),'Reverse Search'!$J$21)))))</f>
        <v>0</v>
      </c>
      <c r="AB302" s="490"/>
      <c r="AC302" s="260" t="n">
        <f aca="false">IF((Q302+R302+S302+V302+W302+X302+Y302+IF(Z302&gt;=1,1,0)+IF(AA302&gt;=1,1,0))=9,G302&amp;", ",)</f>
        <v>0</v>
      </c>
    </row>
    <row r="303" customFormat="false" ht="15.75" hidden="false" customHeight="false" outlineLevel="0" collapsed="false">
      <c r="A303" s="260"/>
      <c r="B303" s="358"/>
      <c r="C303" s="260"/>
      <c r="D303" s="358"/>
      <c r="E303" s="260" t="n">
        <v>302</v>
      </c>
      <c r="F303" s="260" t="n">
        <f aca="false" t="array" ref="F303:F303">INDEX('0.0.1 Pokémon Dex Data'!$H$3:$H951,MATCH(E303,'0.0.1 Pokémon Dex Data'!$B$3:$B951,0))</f>
        <v>2</v>
      </c>
      <c r="G303" s="0" t="str">
        <f aca="false" t="array" ref="G303:G303">INDEX('0.0.1 Pokémon Dex Data'!$E$3:$E951,MATCH(E303,'0.0.1 Pokémon Dex Data'!$B$3:$B951,0))</f>
        <v>Swampert-Mega</v>
      </c>
      <c r="H303" s="0" t="str">
        <f aca="false" t="array" ref="H303:H303">INDEX('0.0.1 Pokémon Dex Data'!$Q$3:$Q951,MATCH(E303,'0.0.1 Pokémon Dex Data'!$B$3:$B951,0))</f>
        <v>Water</v>
      </c>
      <c r="I303" s="0" t="str">
        <f aca="false" t="array" ref="I303:I303">INDEX('0.0.1 Pokémon Dex Data'!$R$3:$R951,MATCH(E303,'0.0.1 Pokémon Dex Data'!$B$3:$B951,0))</f>
        <v>Ground</v>
      </c>
      <c r="J303" s="260" t="n">
        <f aca="false" t="array" ref="J303:J303">ROUND(INDEX('0.0.1 Pokémon Dex Data'!$S$3:$S951,MATCH($E303,'0.0.1 Pokémon Dex Data'!$B$3:$B951,0))*INDEX('0.0.1 Pokémon Dex Data'!T$3:T951,MATCH($E303,'0.0.1 Pokémon Dex Data'!$B$3:$B951,0)),0)</f>
        <v>283</v>
      </c>
      <c r="K303" s="260" t="n">
        <f aca="false" t="array" ref="K303:K303">ROUND(INDEX('0.0.1 Pokémon Dex Data'!$S$3:$S951,MATCH($E303,'0.0.1 Pokémon Dex Data'!$B$3:$B951,0))*INDEX('0.0.1 Pokémon Dex Data'!U$3:U951,MATCH($E303,'0.0.1 Pokémon Dex Data'!$B$3:$B951,0)),0)</f>
        <v>218</v>
      </c>
      <c r="L303" s="260" t="n">
        <f aca="false" t="array" ref="L303:L303">ROUND(INDEX('0.0.1 Pokémon Dex Data'!$S$3:$S951,MATCH($E303,'0.0.1 Pokémon Dex Data'!$B$3:$B951,0))*INDEX('0.0.1 Pokémon Dex Data'!V$3:V951,MATCH($E303,'0.0.1 Pokémon Dex Data'!$B$3:$B951,0)),0)</f>
        <v>225</v>
      </c>
      <c r="M303" s="260" t="n">
        <f aca="false" t="array" ref="M303:M303">INDEX('0.0.1 Pokémon Dex Data'!$J$3:$J951,MATCH(E303,'0.0.1 Pokémon Dex Data'!$B$3:$B951,0))</f>
        <v>1</v>
      </c>
      <c r="O303" s="490"/>
      <c r="Q303" s="367" t="n">
        <f aca="false">IF('Reverse Search'!$F$4="All (including temporary formes)",1,IF('Reverse Search'!$F$4="Base Pokémon and permanent formes only",IF(F303&lt;=1,1,0),IF(F303=0,1,0)))</f>
        <v>0</v>
      </c>
      <c r="R303" s="0" t="n">
        <f aca="false">IF('Reverse Search'!$C$7="Disable",1,IF('Reverse Search'!$D$9="Disable",1,IF(OR('Reverse Search'!$F$9=H303,'Reverse Search'!$F$9=I303),1,0)))</f>
        <v>1</v>
      </c>
      <c r="S303" s="0" t="n">
        <f aca="false">IF('Reverse Search'!$C$7="Disable",1,IF('Reverse Search'!$D$10="Disable",1,IF(OR('Reverse Search'!$F$10=H303,'Reverse Search'!$F$10=I303),1,0)))</f>
        <v>1</v>
      </c>
      <c r="T303" s="0" t="n">
        <f aca="false">INDEX($B$4:$B$22,MATCH(H303,$A$4:$A$22,0))</f>
        <v>1</v>
      </c>
      <c r="U303" s="0" t="n">
        <f aca="false">IF(ISBLANK(I303),1,INDEX($B$4:$B$22,MATCH(I303,$A$4:$A$22,0)))</f>
        <v>1</v>
      </c>
      <c r="V303" s="367" t="n">
        <f aca="false">IF('Reverse Search'!$C$7="Disable",1,IF('Reverse Search'!$D$11="Disable",1,IF('Reverse Search'!$E$11="Neutral to:",IF(ROUND(T303*U303,2)&lt;=1,1,0),IF(ROUND(T303*U303,2)&lt;1,1,0))))</f>
        <v>1</v>
      </c>
      <c r="W303" s="0" t="n">
        <f aca="false">IF('Reverse Search'!$N$7="Disable",1,IF('Reverse Search'!$I$9="Disable",1,IF('Reverse Search'!$K$9="≥",IF(J303&gt;='Reverse Search'!$L$9,1,0),IF('Reverse Search'!$K$9="≤",IF(J303&lt;='Reverse Search'!$L$9,1,0),IF(J303='Reverse Search'!$L$9,1,0)))))</f>
        <v>1</v>
      </c>
      <c r="X303" s="0" t="n">
        <f aca="false">IF('Reverse Search'!$N$7="Disable",1,IF('Reverse Search'!$I$10="Disable",1,IF('Reverse Search'!$K$10="≥",IF(K303&gt;='Reverse Search'!$L$10,1,0),IF('Reverse Search'!$K$10="≤",IF(K303&lt;='Reverse Search'!$L$10,1,0),IF(K303='Reverse Search'!$L$10,1,0)))))</f>
        <v>1</v>
      </c>
      <c r="Y303" s="367" t="n">
        <f aca="false">IF('Reverse Search'!$N$7="Disable",1,IF('Reverse Search'!$I$11="Disable",1,IF('Reverse Search'!$K$11="≥",IF(L303&gt;='Reverse Search'!$L$11,1,0),IF('Reverse Search'!$K$11="≤",IF(L303&lt;='Reverse Search'!$L$11,1,0),IF(L303='Reverse Search'!$L$11,1,0)))))</f>
        <v>1</v>
      </c>
      <c r="Z303" s="0" t="n">
        <f aca="true">IF('Reverse Search'!$C$14="Disable",1,IF('Reverse Search'!$D$16="Disable",1,IF($C$2=3,IF($M303=0,0,COUNTIF(INDIRECT("'0.0.2 Pokémon Learnset (Core)'!$D$"&amp;MATCH($E303,'0.0.2 Pokémon Learnset (Core)'!$A$1:$A951,0)&amp;":$FK$"&amp;MATCH($E303,'0.0.2 Pokémon Learnset (Core)'!$A$1:$A951,0)),'Reverse Search'!$E$21)),IF($C$2=2,COUNTIF(INDIRECT("'0.1.1 Pokémon GO Moves'!$B$"&amp;MATCH($E303,'0.1.1 Pokémon GO Moves'!$A$1:$A951,0)&amp;":$R$"&amp;MATCH($E303,'0.1.1 Pokémon GO Moves'!$A$1:$A951,0)),'Reverse Search'!$E$21),COUNTIF(INDIRECT("'0.1.1 Pokémon GO Moves'!$B$"&amp;MATCH($E303,'0.1.1 Pokémon GO Moves'!$A$1:$A951,0)&amp;":$L$"&amp;MATCH($E303,'0.1.1 Pokémon GO Moves'!$A$1:$A951,0)),'Reverse Search'!$E$21)))))</f>
        <v>1</v>
      </c>
      <c r="AA303" s="0" t="e">
        <f aca="true">IF('Reverse Search'!$C$14="Disable",1,IF('Reverse Search'!$I$16="Disable",1,IF($D$2=3,IF($M303=0,0,COUNTIF(INDIRECT("'0.0.2 Pokémon Learnset (Core)'!$D$"&amp;MATCH($E303,'0.0.2 Pokémon Learnset (Core)'!$A$1:$A951,0)&amp;":$FK$"&amp;MATCH($E303,'0.0.2 Pokémon Learnset (Core)'!$A$1:$A951,0)),'Reverse Search'!$J$21)),IF($D$2=2,COUNTIF(INDIRECT("'0.1.1 Pokémon GO Moves'!$B$"&amp;MATCH($E303,'0.1.1 Pokémon GO Moves'!$A$1:$A951,0)&amp;":$R$"&amp;MATCH($E303,'0.1.1 Pokémon GO Moves'!$A$1:$A951,0)),'Reverse Search'!$J$21),COUNTIF(INDIRECT("'0.1.1 Pokémon GO Moves'!$B$"&amp;MATCH($E303,'0.1.1 Pokémon GO Moves'!$A$1:$A951,0)&amp;":$L$"&amp;MATCH($E303,'0.1.1 Pokémon GO Moves'!$A$1:$A951,0)),'Reverse Search'!$J$21)))))</f>
        <v>#N/A</v>
      </c>
      <c r="AB303" s="490"/>
      <c r="AC303" s="260" t="e">
        <f aca="false">IF((Q303+R303+S303+V303+W303+X303+Y303+IF(Z303&gt;=1,1,0)+IF(AA303&gt;=1,1,0))=9,G303&amp;", ",)</f>
        <v>#N/A</v>
      </c>
    </row>
    <row r="304" customFormat="false" ht="15.75" hidden="false" customHeight="false" outlineLevel="0" collapsed="false">
      <c r="A304" s="260"/>
      <c r="B304" s="358"/>
      <c r="C304" s="260"/>
      <c r="D304" s="358"/>
      <c r="E304" s="260" t="n">
        <v>303</v>
      </c>
      <c r="F304" s="260" t="n">
        <f aca="false" t="array" ref="F304:F304">INDEX('0.0.1 Pokémon Dex Data'!$H$3:$H951,MATCH(E304,'0.0.1 Pokémon Dex Data'!$B$3:$B951,0))</f>
        <v>0</v>
      </c>
      <c r="G304" s="0" t="str">
        <f aca="false" t="array" ref="G304:G304">INDEX('0.0.1 Pokémon Dex Data'!$E$3:$E951,MATCH(E304,'0.0.1 Pokémon Dex Data'!$B$3:$B951,0))</f>
        <v>Poochyena</v>
      </c>
      <c r="H304" s="0" t="str">
        <f aca="false" t="array" ref="H304:H304">INDEX('0.0.1 Pokémon Dex Data'!$Q$3:$Q951,MATCH(E304,'0.0.1 Pokémon Dex Data'!$B$3:$B951,0))</f>
        <v>Dark</v>
      </c>
      <c r="I304" s="0" t="n">
        <f aca="false">INDEX('0.0.1 Pokémon Dex Data'!$R$3:$R951,MATCH(E304,'0.0.1 Pokémon Dex Data'!$B$3:$B951,0))</f>
        <v>0</v>
      </c>
      <c r="J304" s="260" t="n">
        <f aca="false" t="array" ref="J304:J304">ROUND(INDEX('0.0.1 Pokémon Dex Data'!$S$3:$S951,MATCH($E304,'0.0.1 Pokémon Dex Data'!$B$3:$B951,0))*INDEX('0.0.1 Pokémon Dex Data'!T$3:T951,MATCH($E304,'0.0.1 Pokémon Dex Data'!$B$3:$B951,0)),0)</f>
        <v>96</v>
      </c>
      <c r="K304" s="260" t="n">
        <f aca="false" t="array" ref="K304:K304">ROUND(INDEX('0.0.1 Pokémon Dex Data'!$S$3:$S951,MATCH($E304,'0.0.1 Pokémon Dex Data'!$B$3:$B951,0))*INDEX('0.0.1 Pokémon Dex Data'!U$3:U951,MATCH($E304,'0.0.1 Pokémon Dex Data'!$B$3:$B951,0)),0)</f>
        <v>61</v>
      </c>
      <c r="L304" s="260" t="n">
        <f aca="false" t="array" ref="L304:L304">ROUND(INDEX('0.0.1 Pokémon Dex Data'!$S$3:$S951,MATCH($E304,'0.0.1 Pokémon Dex Data'!$B$3:$B951,0))*INDEX('0.0.1 Pokémon Dex Data'!V$3:V951,MATCH($E304,'0.0.1 Pokémon Dex Data'!$B$3:$B951,0)),0)</f>
        <v>111</v>
      </c>
      <c r="M304" s="260" t="n">
        <f aca="false" t="array" ref="M304:M304">INDEX('0.0.1 Pokémon Dex Data'!$J$3:$J951,MATCH(E304,'0.0.1 Pokémon Dex Data'!$B$3:$B951,0))</f>
        <v>0</v>
      </c>
      <c r="O304" s="490"/>
      <c r="Q304" s="367" t="n">
        <f aca="false">IF('Reverse Search'!$F$4="All (including temporary formes)",1,IF('Reverse Search'!$F$4="Base Pokémon and permanent formes only",IF(F304&lt;=1,1,0),IF(F304=0,1,0)))</f>
        <v>1</v>
      </c>
      <c r="R304" s="0" t="n">
        <f aca="false">IF('Reverse Search'!$C$7="Disable",1,IF('Reverse Search'!$D$9="Disable",1,IF(OR('Reverse Search'!$F$9=H304,'Reverse Search'!$F$9=I304),1,0)))</f>
        <v>1</v>
      </c>
      <c r="S304" s="0" t="n">
        <f aca="false">IF('Reverse Search'!$C$7="Disable",1,IF('Reverse Search'!$D$10="Disable",1,IF(OR('Reverse Search'!$F$10=H304,'Reverse Search'!$F$10=I304),1,0)))</f>
        <v>1</v>
      </c>
      <c r="T304" s="0" t="n">
        <f aca="false">INDEX($B$4:$B$22,MATCH(H304,$A$4:$A$22,0))</f>
        <v>1</v>
      </c>
      <c r="U304" s="0" t="e">
        <f aca="false">IF(ISBLANK(I304),1,INDEX($B$4:$B$22,MATCH(I304,$A$4:$A$22,0)))</f>
        <v>#N/A</v>
      </c>
      <c r="V304" s="367" t="n">
        <f aca="false">IF('Reverse Search'!$C$7="Disable",1,IF('Reverse Search'!$D$11="Disable",1,IF('Reverse Search'!$E$11="Neutral to:",IF(ROUND(T304*U304,2)&lt;=1,1,0),IF(ROUND(T304*U304,2)&lt;1,1,0))))</f>
        <v>1</v>
      </c>
      <c r="W304" s="0" t="n">
        <f aca="false">IF('Reverse Search'!$N$7="Disable",1,IF('Reverse Search'!$I$9="Disable",1,IF('Reverse Search'!$K$9="≥",IF(J304&gt;='Reverse Search'!$L$9,1,0),IF('Reverse Search'!$K$9="≤",IF(J304&lt;='Reverse Search'!$L$9,1,0),IF(J304='Reverse Search'!$L$9,1,0)))))</f>
        <v>1</v>
      </c>
      <c r="X304" s="0" t="n">
        <f aca="false">IF('Reverse Search'!$N$7="Disable",1,IF('Reverse Search'!$I$10="Disable",1,IF('Reverse Search'!$K$10="≥",IF(K304&gt;='Reverse Search'!$L$10,1,0),IF('Reverse Search'!$K$10="≤",IF(K304&lt;='Reverse Search'!$L$10,1,0),IF(K304='Reverse Search'!$L$10,1,0)))))</f>
        <v>1</v>
      </c>
      <c r="Y304" s="367" t="n">
        <f aca="false">IF('Reverse Search'!$N$7="Disable",1,IF('Reverse Search'!$I$11="Disable",1,IF('Reverse Search'!$K$11="≥",IF(L304&gt;='Reverse Search'!$L$11,1,0),IF('Reverse Search'!$K$11="≤",IF(L304&lt;='Reverse Search'!$L$11,1,0),IF(L304='Reverse Search'!$L$11,1,0)))))</f>
        <v>1</v>
      </c>
      <c r="Z304" s="0" t="n">
        <f aca="true">IF('Reverse Search'!$C$14="Disable",1,IF('Reverse Search'!$D$16="Disable",1,IF($C$2=3,IF($M304=0,0,COUNTIF(INDIRECT("'0.0.2 Pokémon Learnset (Core)'!$D$"&amp;MATCH($E304,'0.0.2 Pokémon Learnset (Core)'!$A$1:$A951,0)&amp;":$FK$"&amp;MATCH($E304,'0.0.2 Pokémon Learnset (Core)'!$A$1:$A951,0)),'Reverse Search'!$E$21)),IF($C$2=2,COUNTIF(INDIRECT("'0.1.1 Pokémon GO Moves'!$B$"&amp;MATCH($E304,'0.1.1 Pokémon GO Moves'!$A$1:$A951,0)&amp;":$R$"&amp;MATCH($E304,'0.1.1 Pokémon GO Moves'!$A$1:$A951,0)),'Reverse Search'!$E$21),COUNTIF(INDIRECT("'0.1.1 Pokémon GO Moves'!$B$"&amp;MATCH($E304,'0.1.1 Pokémon GO Moves'!$A$1:$A951,0)&amp;":$L$"&amp;MATCH($E304,'0.1.1 Pokémon GO Moves'!$A$1:$A951,0)),'Reverse Search'!$E$21)))))</f>
        <v>1</v>
      </c>
      <c r="AA304" s="0" t="n">
        <f aca="true">IF('Reverse Search'!$C$14="Disable",1,IF('Reverse Search'!$I$16="Disable",1,IF($D$2=3,IF($M304=0,0,COUNTIF(INDIRECT("'0.0.2 Pokémon Learnset (Core)'!$D$"&amp;MATCH($E304,'0.0.2 Pokémon Learnset (Core)'!$A$1:$A951,0)&amp;":$FK$"&amp;MATCH($E304,'0.0.2 Pokémon Learnset (Core)'!$A$1:$A951,0)),'Reverse Search'!$J$21)),IF($D$2=2,COUNTIF(INDIRECT("'0.1.1 Pokémon GO Moves'!$B$"&amp;MATCH($E304,'0.1.1 Pokémon GO Moves'!$A$1:$A951,0)&amp;":$R$"&amp;MATCH($E304,'0.1.1 Pokémon GO Moves'!$A$1:$A951,0)),'Reverse Search'!$J$21),COUNTIF(INDIRECT("'0.1.1 Pokémon GO Moves'!$B$"&amp;MATCH($E304,'0.1.1 Pokémon GO Moves'!$A$1:$A951,0)&amp;":$L$"&amp;MATCH($E304,'0.1.1 Pokémon GO Moves'!$A$1:$A951,0)),'Reverse Search'!$J$21)))))</f>
        <v>0</v>
      </c>
      <c r="AB304" s="490"/>
      <c r="AC304" s="260" t="n">
        <f aca="false">IF((Q304+R304+S304+V304+W304+X304+Y304+IF(Z304&gt;=1,1,0)+IF(AA304&gt;=1,1,0))=9,G304&amp;", ",)</f>
        <v>0</v>
      </c>
    </row>
    <row r="305" customFormat="false" ht="15.75" hidden="false" customHeight="false" outlineLevel="0" collapsed="false">
      <c r="A305" s="260"/>
      <c r="B305" s="358"/>
      <c r="C305" s="260"/>
      <c r="D305" s="358"/>
      <c r="E305" s="260" t="n">
        <v>304</v>
      </c>
      <c r="F305" s="260" t="n">
        <f aca="false" t="array" ref="F305:F305">INDEX('0.0.1 Pokémon Dex Data'!$H$3:$H951,MATCH(E305,'0.0.1 Pokémon Dex Data'!$B$3:$B951,0))</f>
        <v>0</v>
      </c>
      <c r="G305" s="0" t="str">
        <f aca="false" t="array" ref="G305:G305">INDEX('0.0.1 Pokémon Dex Data'!$E$3:$E951,MATCH(E305,'0.0.1 Pokémon Dex Data'!$B$3:$B951,0))</f>
        <v>Mightyena</v>
      </c>
      <c r="H305" s="0" t="str">
        <f aca="false" t="array" ref="H305:H305">INDEX('0.0.1 Pokémon Dex Data'!$Q$3:$Q951,MATCH(E305,'0.0.1 Pokémon Dex Data'!$B$3:$B951,0))</f>
        <v>Dark</v>
      </c>
      <c r="I305" s="0" t="n">
        <f aca="false">INDEX('0.0.1 Pokémon Dex Data'!$R$3:$R951,MATCH(E305,'0.0.1 Pokémon Dex Data'!$B$3:$B951,0))</f>
        <v>0</v>
      </c>
      <c r="J305" s="260" t="n">
        <f aca="false" t="array" ref="J305:J305">ROUND(INDEX('0.0.1 Pokémon Dex Data'!$S$3:$S951,MATCH($E305,'0.0.1 Pokémon Dex Data'!$B$3:$B951,0))*INDEX('0.0.1 Pokémon Dex Data'!T$3:T951,MATCH($E305,'0.0.1 Pokémon Dex Data'!$B$3:$B951,0)),0)</f>
        <v>171</v>
      </c>
      <c r="K305" s="260" t="n">
        <f aca="false" t="array" ref="K305:K305">ROUND(INDEX('0.0.1 Pokémon Dex Data'!$S$3:$S951,MATCH($E305,'0.0.1 Pokémon Dex Data'!$B$3:$B951,0))*INDEX('0.0.1 Pokémon Dex Data'!U$3:U951,MATCH($E305,'0.0.1 Pokémon Dex Data'!$B$3:$B951,0)),0)</f>
        <v>132</v>
      </c>
      <c r="L305" s="260" t="n">
        <f aca="false" t="array" ref="L305:L305">ROUND(INDEX('0.0.1 Pokémon Dex Data'!$S$3:$S951,MATCH($E305,'0.0.1 Pokémon Dex Data'!$B$3:$B951,0))*INDEX('0.0.1 Pokémon Dex Data'!V$3:V951,MATCH($E305,'0.0.1 Pokémon Dex Data'!$B$3:$B951,0)),0)</f>
        <v>172</v>
      </c>
      <c r="M305" s="260" t="n">
        <f aca="false" t="array" ref="M305:M305">INDEX('0.0.1 Pokémon Dex Data'!$J$3:$J951,MATCH(E305,'0.0.1 Pokémon Dex Data'!$B$3:$B951,0))</f>
        <v>1</v>
      </c>
      <c r="O305" s="490"/>
      <c r="Q305" s="367" t="n">
        <f aca="false">IF('Reverse Search'!$F$4="All (including temporary formes)",1,IF('Reverse Search'!$F$4="Base Pokémon and permanent formes only",IF(F305&lt;=1,1,0),IF(F305=0,1,0)))</f>
        <v>1</v>
      </c>
      <c r="R305" s="0" t="n">
        <f aca="false">IF('Reverse Search'!$C$7="Disable",1,IF('Reverse Search'!$D$9="Disable",1,IF(OR('Reverse Search'!$F$9=H305,'Reverse Search'!$F$9=I305),1,0)))</f>
        <v>1</v>
      </c>
      <c r="S305" s="0" t="n">
        <f aca="false">IF('Reverse Search'!$C$7="Disable",1,IF('Reverse Search'!$D$10="Disable",1,IF(OR('Reverse Search'!$F$10=H305,'Reverse Search'!$F$10=I305),1,0)))</f>
        <v>1</v>
      </c>
      <c r="T305" s="0" t="n">
        <f aca="false">INDEX($B$4:$B$22,MATCH(H305,$A$4:$A$22,0))</f>
        <v>1</v>
      </c>
      <c r="U305" s="0" t="e">
        <f aca="false">IF(ISBLANK(I305),1,INDEX($B$4:$B$22,MATCH(I305,$A$4:$A$22,0)))</f>
        <v>#N/A</v>
      </c>
      <c r="V305" s="367" t="n">
        <f aca="false">IF('Reverse Search'!$C$7="Disable",1,IF('Reverse Search'!$D$11="Disable",1,IF('Reverse Search'!$E$11="Neutral to:",IF(ROUND(T305*U305,2)&lt;=1,1,0),IF(ROUND(T305*U305,2)&lt;1,1,0))))</f>
        <v>1</v>
      </c>
      <c r="W305" s="0" t="n">
        <f aca="false">IF('Reverse Search'!$N$7="Disable",1,IF('Reverse Search'!$I$9="Disable",1,IF('Reverse Search'!$K$9="≥",IF(J305&gt;='Reverse Search'!$L$9,1,0),IF('Reverse Search'!$K$9="≤",IF(J305&lt;='Reverse Search'!$L$9,1,0),IF(J305='Reverse Search'!$L$9,1,0)))))</f>
        <v>1</v>
      </c>
      <c r="X305" s="0" t="n">
        <f aca="false">IF('Reverse Search'!$N$7="Disable",1,IF('Reverse Search'!$I$10="Disable",1,IF('Reverse Search'!$K$10="≥",IF(K305&gt;='Reverse Search'!$L$10,1,0),IF('Reverse Search'!$K$10="≤",IF(K305&lt;='Reverse Search'!$L$10,1,0),IF(K305='Reverse Search'!$L$10,1,0)))))</f>
        <v>1</v>
      </c>
      <c r="Y305" s="367" t="n">
        <f aca="false">IF('Reverse Search'!$N$7="Disable",1,IF('Reverse Search'!$I$11="Disable",1,IF('Reverse Search'!$K$11="≥",IF(L305&gt;='Reverse Search'!$L$11,1,0),IF('Reverse Search'!$K$11="≤",IF(L305&lt;='Reverse Search'!$L$11,1,0),IF(L305='Reverse Search'!$L$11,1,0)))))</f>
        <v>1</v>
      </c>
      <c r="Z305" s="0" t="n">
        <f aca="true">IF('Reverse Search'!$C$14="Disable",1,IF('Reverse Search'!$D$16="Disable",1,IF($C$2=3,IF($M305=0,0,COUNTIF(INDIRECT("'0.0.2 Pokémon Learnset (Core)'!$D$"&amp;MATCH($E305,'0.0.2 Pokémon Learnset (Core)'!$A$1:$A951,0)&amp;":$FK$"&amp;MATCH($E305,'0.0.2 Pokémon Learnset (Core)'!$A$1:$A951,0)),'Reverse Search'!$E$21)),IF($C$2=2,COUNTIF(INDIRECT("'0.1.1 Pokémon GO Moves'!$B$"&amp;MATCH($E305,'0.1.1 Pokémon GO Moves'!$A$1:$A951,0)&amp;":$R$"&amp;MATCH($E305,'0.1.1 Pokémon GO Moves'!$A$1:$A951,0)),'Reverse Search'!$E$21),COUNTIF(INDIRECT("'0.1.1 Pokémon GO Moves'!$B$"&amp;MATCH($E305,'0.1.1 Pokémon GO Moves'!$A$1:$A951,0)&amp;":$L$"&amp;MATCH($E305,'0.1.1 Pokémon GO Moves'!$A$1:$A951,0)),'Reverse Search'!$E$21)))))</f>
        <v>1</v>
      </c>
      <c r="AA305" s="0" t="n">
        <f aca="true">IF('Reverse Search'!$C$14="Disable",1,IF('Reverse Search'!$I$16="Disable",1,IF($D$2=3,IF($M305=0,0,COUNTIF(INDIRECT("'0.0.2 Pokémon Learnset (Core)'!$D$"&amp;MATCH($E305,'0.0.2 Pokémon Learnset (Core)'!$A$1:$A951,0)&amp;":$FK$"&amp;MATCH($E305,'0.0.2 Pokémon Learnset (Core)'!$A$1:$A951,0)),'Reverse Search'!$J$21)),IF($D$2=2,COUNTIF(INDIRECT("'0.1.1 Pokémon GO Moves'!$B$"&amp;MATCH($E305,'0.1.1 Pokémon GO Moves'!$A$1:$A951,0)&amp;":$R$"&amp;MATCH($E305,'0.1.1 Pokémon GO Moves'!$A$1:$A951,0)),'Reverse Search'!$J$21),COUNTIF(INDIRECT("'0.1.1 Pokémon GO Moves'!$B$"&amp;MATCH($E305,'0.1.1 Pokémon GO Moves'!$A$1:$A951,0)&amp;":$L$"&amp;MATCH($E305,'0.1.1 Pokémon GO Moves'!$A$1:$A951,0)),'Reverse Search'!$J$21)))))</f>
        <v>0</v>
      </c>
      <c r="AB305" s="490"/>
      <c r="AC305" s="260" t="n">
        <f aca="false">IF((Q305+R305+S305+V305+W305+X305+Y305+IF(Z305&gt;=1,1,0)+IF(AA305&gt;=1,1,0))=9,G305&amp;", ",)</f>
        <v>0</v>
      </c>
    </row>
    <row r="306" customFormat="false" ht="15.75" hidden="false" customHeight="false" outlineLevel="0" collapsed="false">
      <c r="A306" s="260"/>
      <c r="B306" s="358"/>
      <c r="C306" s="260"/>
      <c r="D306" s="358"/>
      <c r="E306" s="260" t="n">
        <v>305</v>
      </c>
      <c r="F306" s="260" t="n">
        <f aca="false" t="array" ref="F306:F306">INDEX('0.0.1 Pokémon Dex Data'!$H$3:$H951,MATCH(E306,'0.0.1 Pokémon Dex Data'!$B$3:$B951,0))</f>
        <v>0</v>
      </c>
      <c r="G306" s="0" t="str">
        <f aca="false" t="array" ref="G306:G306">INDEX('0.0.1 Pokémon Dex Data'!$E$3:$E951,MATCH(E306,'0.0.1 Pokémon Dex Data'!$B$3:$B951,0))</f>
        <v>Zigzagoon</v>
      </c>
      <c r="H306" s="0" t="str">
        <f aca="false" t="array" ref="H306:H306">INDEX('0.0.1 Pokémon Dex Data'!$Q$3:$Q951,MATCH(E306,'0.0.1 Pokémon Dex Data'!$B$3:$B951,0))</f>
        <v>Normal</v>
      </c>
      <c r="I306" s="0" t="n">
        <f aca="false">INDEX('0.0.1 Pokémon Dex Data'!$R$3:$R951,MATCH(E306,'0.0.1 Pokémon Dex Data'!$B$3:$B951,0))</f>
        <v>0</v>
      </c>
      <c r="J306" s="260" t="n">
        <f aca="false" t="array" ref="J306:J306">ROUND(INDEX('0.0.1 Pokémon Dex Data'!$S$3:$S951,MATCH($E306,'0.0.1 Pokémon Dex Data'!$B$3:$B951,0))*INDEX('0.0.1 Pokémon Dex Data'!T$3:T951,MATCH($E306,'0.0.1 Pokémon Dex Data'!$B$3:$B951,0)),0)</f>
        <v>58</v>
      </c>
      <c r="K306" s="260" t="n">
        <f aca="false" t="array" ref="K306:K306">ROUND(INDEX('0.0.1 Pokémon Dex Data'!$S$3:$S951,MATCH($E306,'0.0.1 Pokémon Dex Data'!$B$3:$B951,0))*INDEX('0.0.1 Pokémon Dex Data'!U$3:U951,MATCH($E306,'0.0.1 Pokémon Dex Data'!$B$3:$B951,0)),0)</f>
        <v>80</v>
      </c>
      <c r="L306" s="260" t="n">
        <f aca="false" t="array" ref="L306:L306">ROUND(INDEX('0.0.1 Pokémon Dex Data'!$S$3:$S951,MATCH($E306,'0.0.1 Pokémon Dex Data'!$B$3:$B951,0))*INDEX('0.0.1 Pokémon Dex Data'!V$3:V951,MATCH($E306,'0.0.1 Pokémon Dex Data'!$B$3:$B951,0)),0)</f>
        <v>116</v>
      </c>
      <c r="M306" s="260" t="n">
        <f aca="false" t="array" ref="M306:M306">INDEX('0.0.1 Pokémon Dex Data'!$J$3:$J951,MATCH(E306,'0.0.1 Pokémon Dex Data'!$B$3:$B951,0))</f>
        <v>0</v>
      </c>
      <c r="O306" s="490"/>
      <c r="Q306" s="367" t="n">
        <f aca="false">IF('Reverse Search'!$F$4="All (including temporary formes)",1,IF('Reverse Search'!$F$4="Base Pokémon and permanent formes only",IF(F306&lt;=1,1,0),IF(F306=0,1,0)))</f>
        <v>1</v>
      </c>
      <c r="R306" s="0" t="n">
        <f aca="false">IF('Reverse Search'!$C$7="Disable",1,IF('Reverse Search'!$D$9="Disable",1,IF(OR('Reverse Search'!$F$9=H306,'Reverse Search'!$F$9=I306),1,0)))</f>
        <v>1</v>
      </c>
      <c r="S306" s="0" t="n">
        <f aca="false">IF('Reverse Search'!$C$7="Disable",1,IF('Reverse Search'!$D$10="Disable",1,IF(OR('Reverse Search'!$F$10=H306,'Reverse Search'!$F$10=I306),1,0)))</f>
        <v>1</v>
      </c>
      <c r="T306" s="0" t="n">
        <f aca="false">INDEX($B$4:$B$22,MATCH(H306,$A$4:$A$22,0))</f>
        <v>1</v>
      </c>
      <c r="U306" s="0" t="e">
        <f aca="false">IF(ISBLANK(I306),1,INDEX($B$4:$B$22,MATCH(I306,$A$4:$A$22,0)))</f>
        <v>#N/A</v>
      </c>
      <c r="V306" s="367" t="n">
        <f aca="false">IF('Reverse Search'!$C$7="Disable",1,IF('Reverse Search'!$D$11="Disable",1,IF('Reverse Search'!$E$11="Neutral to:",IF(ROUND(T306*U306,2)&lt;=1,1,0),IF(ROUND(T306*U306,2)&lt;1,1,0))))</f>
        <v>1</v>
      </c>
      <c r="W306" s="0" t="n">
        <f aca="false">IF('Reverse Search'!$N$7="Disable",1,IF('Reverse Search'!$I$9="Disable",1,IF('Reverse Search'!$K$9="≥",IF(J306&gt;='Reverse Search'!$L$9,1,0),IF('Reverse Search'!$K$9="≤",IF(J306&lt;='Reverse Search'!$L$9,1,0),IF(J306='Reverse Search'!$L$9,1,0)))))</f>
        <v>1</v>
      </c>
      <c r="X306" s="0" t="n">
        <f aca="false">IF('Reverse Search'!$N$7="Disable",1,IF('Reverse Search'!$I$10="Disable",1,IF('Reverse Search'!$K$10="≥",IF(K306&gt;='Reverse Search'!$L$10,1,0),IF('Reverse Search'!$K$10="≤",IF(K306&lt;='Reverse Search'!$L$10,1,0),IF(K306='Reverse Search'!$L$10,1,0)))))</f>
        <v>1</v>
      </c>
      <c r="Y306" s="367" t="n">
        <f aca="false">IF('Reverse Search'!$N$7="Disable",1,IF('Reverse Search'!$I$11="Disable",1,IF('Reverse Search'!$K$11="≥",IF(L306&gt;='Reverse Search'!$L$11,1,0),IF('Reverse Search'!$K$11="≤",IF(L306&lt;='Reverse Search'!$L$11,1,0),IF(L306='Reverse Search'!$L$11,1,0)))))</f>
        <v>1</v>
      </c>
      <c r="Z306" s="0" t="n">
        <f aca="true">IF('Reverse Search'!$C$14="Disable",1,IF('Reverse Search'!$D$16="Disable",1,IF($C$2=3,IF($M306=0,0,COUNTIF(INDIRECT("'0.0.2 Pokémon Learnset (Core)'!$D$"&amp;MATCH($E306,'0.0.2 Pokémon Learnset (Core)'!$A$1:$A951,0)&amp;":$FK$"&amp;MATCH($E306,'0.0.2 Pokémon Learnset (Core)'!$A$1:$A951,0)),'Reverse Search'!$E$21)),IF($C$2=2,COUNTIF(INDIRECT("'0.1.1 Pokémon GO Moves'!$B$"&amp;MATCH($E306,'0.1.1 Pokémon GO Moves'!$A$1:$A951,0)&amp;":$R$"&amp;MATCH($E306,'0.1.1 Pokémon GO Moves'!$A$1:$A951,0)),'Reverse Search'!$E$21),COUNTIF(INDIRECT("'0.1.1 Pokémon GO Moves'!$B$"&amp;MATCH($E306,'0.1.1 Pokémon GO Moves'!$A$1:$A951,0)&amp;":$L$"&amp;MATCH($E306,'0.1.1 Pokémon GO Moves'!$A$1:$A951,0)),'Reverse Search'!$E$21)))))</f>
        <v>1</v>
      </c>
      <c r="AA306" s="0" t="n">
        <f aca="true">IF('Reverse Search'!$C$14="Disable",1,IF('Reverse Search'!$I$16="Disable",1,IF($D$2=3,IF($M306=0,0,COUNTIF(INDIRECT("'0.0.2 Pokémon Learnset (Core)'!$D$"&amp;MATCH($E306,'0.0.2 Pokémon Learnset (Core)'!$A$1:$A951,0)&amp;":$FK$"&amp;MATCH($E306,'0.0.2 Pokémon Learnset (Core)'!$A$1:$A951,0)),'Reverse Search'!$J$21)),IF($D$2=2,COUNTIF(INDIRECT("'0.1.1 Pokémon GO Moves'!$B$"&amp;MATCH($E306,'0.1.1 Pokémon GO Moves'!$A$1:$A951,0)&amp;":$R$"&amp;MATCH($E306,'0.1.1 Pokémon GO Moves'!$A$1:$A951,0)),'Reverse Search'!$J$21),COUNTIF(INDIRECT("'0.1.1 Pokémon GO Moves'!$B$"&amp;MATCH($E306,'0.1.1 Pokémon GO Moves'!$A$1:$A951,0)&amp;":$L$"&amp;MATCH($E306,'0.1.1 Pokémon GO Moves'!$A$1:$A951,0)),'Reverse Search'!$J$21)))))</f>
        <v>0</v>
      </c>
      <c r="AB306" s="490"/>
      <c r="AC306" s="260" t="n">
        <f aca="false">IF((Q306+R306+S306+V306+W306+X306+Y306+IF(Z306&gt;=1,1,0)+IF(AA306&gt;=1,1,0))=9,G306&amp;", ",)</f>
        <v>0</v>
      </c>
    </row>
    <row r="307" customFormat="false" ht="15.75" hidden="false" customHeight="false" outlineLevel="0" collapsed="false">
      <c r="A307" s="260"/>
      <c r="B307" s="358"/>
      <c r="C307" s="260"/>
      <c r="D307" s="358"/>
      <c r="E307" s="260" t="n">
        <v>306</v>
      </c>
      <c r="F307" s="260" t="n">
        <f aca="false" t="array" ref="F307:F307">INDEX('0.0.1 Pokémon Dex Data'!$H$3:$H951,MATCH(E307,'0.0.1 Pokémon Dex Data'!$B$3:$B951,0))</f>
        <v>0</v>
      </c>
      <c r="G307" s="0" t="str">
        <f aca="false" t="array" ref="G307:G307">INDEX('0.0.1 Pokémon Dex Data'!$E$3:$E951,MATCH(E307,'0.0.1 Pokémon Dex Data'!$B$3:$B951,0))</f>
        <v>Linoone</v>
      </c>
      <c r="H307" s="0" t="str">
        <f aca="false" t="array" ref="H307:H307">INDEX('0.0.1 Pokémon Dex Data'!$Q$3:$Q951,MATCH(E307,'0.0.1 Pokémon Dex Data'!$B$3:$B951,0))</f>
        <v>Normal</v>
      </c>
      <c r="I307" s="0" t="n">
        <f aca="false">INDEX('0.0.1 Pokémon Dex Data'!$R$3:$R951,MATCH(E307,'0.0.1 Pokémon Dex Data'!$B$3:$B951,0))</f>
        <v>0</v>
      </c>
      <c r="J307" s="260" t="n">
        <f aca="false" t="array" ref="J307:J307">ROUND(INDEX('0.0.1 Pokémon Dex Data'!$S$3:$S951,MATCH($E307,'0.0.1 Pokémon Dex Data'!$B$3:$B951,0))*INDEX('0.0.1 Pokémon Dex Data'!T$3:T951,MATCH($E307,'0.0.1 Pokémon Dex Data'!$B$3:$B951,0)),0)</f>
        <v>142</v>
      </c>
      <c r="K307" s="260" t="n">
        <f aca="false" t="array" ref="K307:K307">ROUND(INDEX('0.0.1 Pokémon Dex Data'!$S$3:$S951,MATCH($E307,'0.0.1 Pokémon Dex Data'!$B$3:$B951,0))*INDEX('0.0.1 Pokémon Dex Data'!U$3:U951,MATCH($E307,'0.0.1 Pokémon Dex Data'!$B$3:$B951,0)),0)</f>
        <v>128</v>
      </c>
      <c r="L307" s="260" t="n">
        <f aca="false" t="array" ref="L307:L307">ROUND(INDEX('0.0.1 Pokémon Dex Data'!$S$3:$S951,MATCH($E307,'0.0.1 Pokémon Dex Data'!$B$3:$B951,0))*INDEX('0.0.1 Pokémon Dex Data'!V$3:V951,MATCH($E307,'0.0.1 Pokémon Dex Data'!$B$3:$B951,0)),0)</f>
        <v>186</v>
      </c>
      <c r="M307" s="260" t="n">
        <f aca="false" t="array" ref="M307:M307">INDEX('0.0.1 Pokémon Dex Data'!$J$3:$J951,MATCH(E307,'0.0.1 Pokémon Dex Data'!$B$3:$B951,0))</f>
        <v>1</v>
      </c>
      <c r="O307" s="490"/>
      <c r="Q307" s="367" t="n">
        <f aca="false">IF('Reverse Search'!$F$4="All (including temporary formes)",1,IF('Reverse Search'!$F$4="Base Pokémon and permanent formes only",IF(F307&lt;=1,1,0),IF(F307=0,1,0)))</f>
        <v>1</v>
      </c>
      <c r="R307" s="0" t="n">
        <f aca="false">IF('Reverse Search'!$C$7="Disable",1,IF('Reverse Search'!$D$9="Disable",1,IF(OR('Reverse Search'!$F$9=H307,'Reverse Search'!$F$9=I307),1,0)))</f>
        <v>1</v>
      </c>
      <c r="S307" s="0" t="n">
        <f aca="false">IF('Reverse Search'!$C$7="Disable",1,IF('Reverse Search'!$D$10="Disable",1,IF(OR('Reverse Search'!$F$10=H307,'Reverse Search'!$F$10=I307),1,0)))</f>
        <v>1</v>
      </c>
      <c r="T307" s="0" t="n">
        <f aca="false">INDEX($B$4:$B$22,MATCH(H307,$A$4:$A$22,0))</f>
        <v>1</v>
      </c>
      <c r="U307" s="0" t="e">
        <f aca="false">IF(ISBLANK(I307),1,INDEX($B$4:$B$22,MATCH(I307,$A$4:$A$22,0)))</f>
        <v>#N/A</v>
      </c>
      <c r="V307" s="367" t="n">
        <f aca="false">IF('Reverse Search'!$C$7="Disable",1,IF('Reverse Search'!$D$11="Disable",1,IF('Reverse Search'!$E$11="Neutral to:",IF(ROUND(T307*U307,2)&lt;=1,1,0),IF(ROUND(T307*U307,2)&lt;1,1,0))))</f>
        <v>1</v>
      </c>
      <c r="W307" s="0" t="n">
        <f aca="false">IF('Reverse Search'!$N$7="Disable",1,IF('Reverse Search'!$I$9="Disable",1,IF('Reverse Search'!$K$9="≥",IF(J307&gt;='Reverse Search'!$L$9,1,0),IF('Reverse Search'!$K$9="≤",IF(J307&lt;='Reverse Search'!$L$9,1,0),IF(J307='Reverse Search'!$L$9,1,0)))))</f>
        <v>1</v>
      </c>
      <c r="X307" s="0" t="n">
        <f aca="false">IF('Reverse Search'!$N$7="Disable",1,IF('Reverse Search'!$I$10="Disable",1,IF('Reverse Search'!$K$10="≥",IF(K307&gt;='Reverse Search'!$L$10,1,0),IF('Reverse Search'!$K$10="≤",IF(K307&lt;='Reverse Search'!$L$10,1,0),IF(K307='Reverse Search'!$L$10,1,0)))))</f>
        <v>1</v>
      </c>
      <c r="Y307" s="367" t="n">
        <f aca="false">IF('Reverse Search'!$N$7="Disable",1,IF('Reverse Search'!$I$11="Disable",1,IF('Reverse Search'!$K$11="≥",IF(L307&gt;='Reverse Search'!$L$11,1,0),IF('Reverse Search'!$K$11="≤",IF(L307&lt;='Reverse Search'!$L$11,1,0),IF(L307='Reverse Search'!$L$11,1,0)))))</f>
        <v>1</v>
      </c>
      <c r="Z307" s="0" t="n">
        <f aca="true">IF('Reverse Search'!$C$14="Disable",1,IF('Reverse Search'!$D$16="Disable",1,IF($C$2=3,IF($M307=0,0,COUNTIF(INDIRECT("'0.0.2 Pokémon Learnset (Core)'!$D$"&amp;MATCH($E307,'0.0.2 Pokémon Learnset (Core)'!$A$1:$A951,0)&amp;":$FK$"&amp;MATCH($E307,'0.0.2 Pokémon Learnset (Core)'!$A$1:$A951,0)),'Reverse Search'!$E$21)),IF($C$2=2,COUNTIF(INDIRECT("'0.1.1 Pokémon GO Moves'!$B$"&amp;MATCH($E307,'0.1.1 Pokémon GO Moves'!$A$1:$A951,0)&amp;":$R$"&amp;MATCH($E307,'0.1.1 Pokémon GO Moves'!$A$1:$A951,0)),'Reverse Search'!$E$21),COUNTIF(INDIRECT("'0.1.1 Pokémon GO Moves'!$B$"&amp;MATCH($E307,'0.1.1 Pokémon GO Moves'!$A$1:$A951,0)&amp;":$L$"&amp;MATCH($E307,'0.1.1 Pokémon GO Moves'!$A$1:$A951,0)),'Reverse Search'!$E$21)))))</f>
        <v>1</v>
      </c>
      <c r="AA307" s="0" t="n">
        <f aca="true">IF('Reverse Search'!$C$14="Disable",1,IF('Reverse Search'!$I$16="Disable",1,IF($D$2=3,IF($M307=0,0,COUNTIF(INDIRECT("'0.0.2 Pokémon Learnset (Core)'!$D$"&amp;MATCH($E307,'0.0.2 Pokémon Learnset (Core)'!$A$1:$A951,0)&amp;":$FK$"&amp;MATCH($E307,'0.0.2 Pokémon Learnset (Core)'!$A$1:$A951,0)),'Reverse Search'!$J$21)),IF($D$2=2,COUNTIF(INDIRECT("'0.1.1 Pokémon GO Moves'!$B$"&amp;MATCH($E307,'0.1.1 Pokémon GO Moves'!$A$1:$A951,0)&amp;":$R$"&amp;MATCH($E307,'0.1.1 Pokémon GO Moves'!$A$1:$A951,0)),'Reverse Search'!$J$21),COUNTIF(INDIRECT("'0.1.1 Pokémon GO Moves'!$B$"&amp;MATCH($E307,'0.1.1 Pokémon GO Moves'!$A$1:$A951,0)&amp;":$L$"&amp;MATCH($E307,'0.1.1 Pokémon GO Moves'!$A$1:$A951,0)),'Reverse Search'!$J$21)))))</f>
        <v>0</v>
      </c>
      <c r="AB307" s="490"/>
      <c r="AC307" s="260" t="n">
        <f aca="false">IF((Q307+R307+S307+V307+W307+X307+Y307+IF(Z307&gt;=1,1,0)+IF(AA307&gt;=1,1,0))=9,G307&amp;", ",)</f>
        <v>0</v>
      </c>
    </row>
    <row r="308" customFormat="false" ht="15.75" hidden="false" customHeight="false" outlineLevel="0" collapsed="false">
      <c r="A308" s="260"/>
      <c r="B308" s="358"/>
      <c r="C308" s="260"/>
      <c r="D308" s="358"/>
      <c r="E308" s="260" t="n">
        <v>307</v>
      </c>
      <c r="F308" s="260" t="n">
        <f aca="false" t="array" ref="F308:F308">INDEX('0.0.1 Pokémon Dex Data'!$H$3:$H951,MATCH(E308,'0.0.1 Pokémon Dex Data'!$B$3:$B951,0))</f>
        <v>0</v>
      </c>
      <c r="G308" s="0" t="str">
        <f aca="false" t="array" ref="G308:G308">INDEX('0.0.1 Pokémon Dex Data'!$E$3:$E951,MATCH(E308,'0.0.1 Pokémon Dex Data'!$B$3:$B951,0))</f>
        <v>Wurmple</v>
      </c>
      <c r="H308" s="0" t="str">
        <f aca="false" t="array" ref="H308:H308">INDEX('0.0.1 Pokémon Dex Data'!$Q$3:$Q951,MATCH(E308,'0.0.1 Pokémon Dex Data'!$B$3:$B951,0))</f>
        <v>Bug</v>
      </c>
      <c r="I308" s="0" t="n">
        <f aca="false">INDEX('0.0.1 Pokémon Dex Data'!$R$3:$R951,MATCH(E308,'0.0.1 Pokémon Dex Data'!$B$3:$B951,0))</f>
        <v>0</v>
      </c>
      <c r="J308" s="260" t="n">
        <f aca="false" t="array" ref="J308:J308">ROUND(INDEX('0.0.1 Pokémon Dex Data'!$S$3:$S951,MATCH($E308,'0.0.1 Pokémon Dex Data'!$B$3:$B951,0))*INDEX('0.0.1 Pokémon Dex Data'!T$3:T951,MATCH($E308,'0.0.1 Pokémon Dex Data'!$B$3:$B951,0)),0)</f>
        <v>75</v>
      </c>
      <c r="K308" s="260" t="n">
        <f aca="false" t="array" ref="K308:K308">ROUND(INDEX('0.0.1 Pokémon Dex Data'!$S$3:$S951,MATCH($E308,'0.0.1 Pokémon Dex Data'!$B$3:$B951,0))*INDEX('0.0.1 Pokémon Dex Data'!U$3:U951,MATCH($E308,'0.0.1 Pokémon Dex Data'!$B$3:$B951,0)),0)</f>
        <v>59</v>
      </c>
      <c r="L308" s="260" t="n">
        <f aca="false" t="array" ref="L308:L308">ROUND(INDEX('0.0.1 Pokémon Dex Data'!$S$3:$S951,MATCH($E308,'0.0.1 Pokémon Dex Data'!$B$3:$B951,0))*INDEX('0.0.1 Pokémon Dex Data'!V$3:V951,MATCH($E308,'0.0.1 Pokémon Dex Data'!$B$3:$B951,0)),0)</f>
        <v>128</v>
      </c>
      <c r="M308" s="260" t="n">
        <f aca="false" t="array" ref="M308:M308">INDEX('0.0.1 Pokémon Dex Data'!$J$3:$J951,MATCH(E308,'0.0.1 Pokémon Dex Data'!$B$3:$B951,0))</f>
        <v>0</v>
      </c>
      <c r="O308" s="490"/>
      <c r="Q308" s="367" t="n">
        <f aca="false">IF('Reverse Search'!$F$4="All (including temporary formes)",1,IF('Reverse Search'!$F$4="Base Pokémon and permanent formes only",IF(F308&lt;=1,1,0),IF(F308=0,1,0)))</f>
        <v>1</v>
      </c>
      <c r="R308" s="0" t="n">
        <f aca="false">IF('Reverse Search'!$C$7="Disable",1,IF('Reverse Search'!$D$9="Disable",1,IF(OR('Reverse Search'!$F$9=H308,'Reverse Search'!$F$9=I308),1,0)))</f>
        <v>1</v>
      </c>
      <c r="S308" s="0" t="n">
        <f aca="false">IF('Reverse Search'!$C$7="Disable",1,IF('Reverse Search'!$D$10="Disable",1,IF(OR('Reverse Search'!$F$10=H308,'Reverse Search'!$F$10=I308),1,0)))</f>
        <v>1</v>
      </c>
      <c r="T308" s="0" t="n">
        <f aca="false">INDEX($B$4:$B$22,MATCH(H308,$A$4:$A$22,0))</f>
        <v>1</v>
      </c>
      <c r="U308" s="0" t="e">
        <f aca="false">IF(ISBLANK(I308),1,INDEX($B$4:$B$22,MATCH(I308,$A$4:$A$22,0)))</f>
        <v>#N/A</v>
      </c>
      <c r="V308" s="367" t="n">
        <f aca="false">IF('Reverse Search'!$C$7="Disable",1,IF('Reverse Search'!$D$11="Disable",1,IF('Reverse Search'!$E$11="Neutral to:",IF(ROUND(T308*U308,2)&lt;=1,1,0),IF(ROUND(T308*U308,2)&lt;1,1,0))))</f>
        <v>1</v>
      </c>
      <c r="W308" s="0" t="n">
        <f aca="false">IF('Reverse Search'!$N$7="Disable",1,IF('Reverse Search'!$I$9="Disable",1,IF('Reverse Search'!$K$9="≥",IF(J308&gt;='Reverse Search'!$L$9,1,0),IF('Reverse Search'!$K$9="≤",IF(J308&lt;='Reverse Search'!$L$9,1,0),IF(J308='Reverse Search'!$L$9,1,0)))))</f>
        <v>1</v>
      </c>
      <c r="X308" s="0" t="n">
        <f aca="false">IF('Reverse Search'!$N$7="Disable",1,IF('Reverse Search'!$I$10="Disable",1,IF('Reverse Search'!$K$10="≥",IF(K308&gt;='Reverse Search'!$L$10,1,0),IF('Reverse Search'!$K$10="≤",IF(K308&lt;='Reverse Search'!$L$10,1,0),IF(K308='Reverse Search'!$L$10,1,0)))))</f>
        <v>1</v>
      </c>
      <c r="Y308" s="367" t="n">
        <f aca="false">IF('Reverse Search'!$N$7="Disable",1,IF('Reverse Search'!$I$11="Disable",1,IF('Reverse Search'!$K$11="≥",IF(L308&gt;='Reverse Search'!$L$11,1,0),IF('Reverse Search'!$K$11="≤",IF(L308&lt;='Reverse Search'!$L$11,1,0),IF(L308='Reverse Search'!$L$11,1,0)))))</f>
        <v>1</v>
      </c>
      <c r="Z308" s="0" t="n">
        <f aca="true">IF('Reverse Search'!$C$14="Disable",1,IF('Reverse Search'!$D$16="Disable",1,IF($C$2=3,IF($M308=0,0,COUNTIF(INDIRECT("'0.0.2 Pokémon Learnset (Core)'!$D$"&amp;MATCH($E308,'0.0.2 Pokémon Learnset (Core)'!$A$1:$A951,0)&amp;":$FK$"&amp;MATCH($E308,'0.0.2 Pokémon Learnset (Core)'!$A$1:$A951,0)),'Reverse Search'!$E$21)),IF($C$2=2,COUNTIF(INDIRECT("'0.1.1 Pokémon GO Moves'!$B$"&amp;MATCH($E308,'0.1.1 Pokémon GO Moves'!$A$1:$A951,0)&amp;":$R$"&amp;MATCH($E308,'0.1.1 Pokémon GO Moves'!$A$1:$A951,0)),'Reverse Search'!$E$21),COUNTIF(INDIRECT("'0.1.1 Pokémon GO Moves'!$B$"&amp;MATCH($E308,'0.1.1 Pokémon GO Moves'!$A$1:$A951,0)&amp;":$L$"&amp;MATCH($E308,'0.1.1 Pokémon GO Moves'!$A$1:$A951,0)),'Reverse Search'!$E$21)))))</f>
        <v>1</v>
      </c>
      <c r="AA308" s="0" t="n">
        <f aca="true">IF('Reverse Search'!$C$14="Disable",1,IF('Reverse Search'!$I$16="Disable",1,IF($D$2=3,IF($M308=0,0,COUNTIF(INDIRECT("'0.0.2 Pokémon Learnset (Core)'!$D$"&amp;MATCH($E308,'0.0.2 Pokémon Learnset (Core)'!$A$1:$A951,0)&amp;":$FK$"&amp;MATCH($E308,'0.0.2 Pokémon Learnset (Core)'!$A$1:$A951,0)),'Reverse Search'!$J$21)),IF($D$2=2,COUNTIF(INDIRECT("'0.1.1 Pokémon GO Moves'!$B$"&amp;MATCH($E308,'0.1.1 Pokémon GO Moves'!$A$1:$A951,0)&amp;":$R$"&amp;MATCH($E308,'0.1.1 Pokémon GO Moves'!$A$1:$A951,0)),'Reverse Search'!$J$21),COUNTIF(INDIRECT("'0.1.1 Pokémon GO Moves'!$B$"&amp;MATCH($E308,'0.1.1 Pokémon GO Moves'!$A$1:$A951,0)&amp;":$L$"&amp;MATCH($E308,'0.1.1 Pokémon GO Moves'!$A$1:$A951,0)),'Reverse Search'!$J$21)))))</f>
        <v>0</v>
      </c>
      <c r="AB308" s="490"/>
      <c r="AC308" s="260" t="n">
        <f aca="false">IF((Q308+R308+S308+V308+W308+X308+Y308+IF(Z308&gt;=1,1,0)+IF(AA308&gt;=1,1,0))=9,G308&amp;", ",)</f>
        <v>0</v>
      </c>
    </row>
    <row r="309" customFormat="false" ht="15.75" hidden="false" customHeight="false" outlineLevel="0" collapsed="false">
      <c r="A309" s="260"/>
      <c r="B309" s="358"/>
      <c r="C309" s="260"/>
      <c r="D309" s="358"/>
      <c r="E309" s="260" t="n">
        <v>308</v>
      </c>
      <c r="F309" s="260" t="n">
        <f aca="false" t="array" ref="F309:F309">INDEX('0.0.1 Pokémon Dex Data'!$H$3:$H951,MATCH(E309,'0.0.1 Pokémon Dex Data'!$B$3:$B951,0))</f>
        <v>0</v>
      </c>
      <c r="G309" s="0" t="str">
        <f aca="false" t="array" ref="G309:G309">INDEX('0.0.1 Pokémon Dex Data'!$E$3:$E951,MATCH(E309,'0.0.1 Pokémon Dex Data'!$B$3:$B951,0))</f>
        <v>Silcoon</v>
      </c>
      <c r="H309" s="0" t="str">
        <f aca="false" t="array" ref="H309:H309">INDEX('0.0.1 Pokémon Dex Data'!$Q$3:$Q951,MATCH(E309,'0.0.1 Pokémon Dex Data'!$B$3:$B951,0))</f>
        <v>Bug</v>
      </c>
      <c r="I309" s="0" t="n">
        <f aca="false">INDEX('0.0.1 Pokémon Dex Data'!$R$3:$R951,MATCH(E309,'0.0.1 Pokémon Dex Data'!$B$3:$B951,0))</f>
        <v>0</v>
      </c>
      <c r="J309" s="260" t="n">
        <f aca="false" t="array" ref="J309:J309">ROUND(INDEX('0.0.1 Pokémon Dex Data'!$S$3:$S951,MATCH($E309,'0.0.1 Pokémon Dex Data'!$B$3:$B951,0))*INDEX('0.0.1 Pokémon Dex Data'!T$3:T951,MATCH($E309,'0.0.1 Pokémon Dex Data'!$B$3:$B951,0)),0)</f>
        <v>60</v>
      </c>
      <c r="K309" s="260" t="n">
        <f aca="false" t="array" ref="K309:K309">ROUND(INDEX('0.0.1 Pokémon Dex Data'!$S$3:$S951,MATCH($E309,'0.0.1 Pokémon Dex Data'!$B$3:$B951,0))*INDEX('0.0.1 Pokémon Dex Data'!U$3:U951,MATCH($E309,'0.0.1 Pokémon Dex Data'!$B$3:$B951,0)),0)</f>
        <v>77</v>
      </c>
      <c r="L309" s="260" t="n">
        <f aca="false" t="array" ref="L309:L309">ROUND(INDEX('0.0.1 Pokémon Dex Data'!$S$3:$S951,MATCH($E309,'0.0.1 Pokémon Dex Data'!$B$3:$B951,0))*INDEX('0.0.1 Pokémon Dex Data'!V$3:V951,MATCH($E309,'0.0.1 Pokémon Dex Data'!$B$3:$B951,0)),0)</f>
        <v>137</v>
      </c>
      <c r="M309" s="260" t="n">
        <f aca="false" t="array" ref="M309:M309">INDEX('0.0.1 Pokémon Dex Data'!$J$3:$J951,MATCH(E309,'0.0.1 Pokémon Dex Data'!$B$3:$B951,0))</f>
        <v>0</v>
      </c>
      <c r="O309" s="490"/>
      <c r="Q309" s="367" t="n">
        <f aca="false">IF('Reverse Search'!$F$4="All (including temporary formes)",1,IF('Reverse Search'!$F$4="Base Pokémon and permanent formes only",IF(F309&lt;=1,1,0),IF(F309=0,1,0)))</f>
        <v>1</v>
      </c>
      <c r="R309" s="0" t="n">
        <f aca="false">IF('Reverse Search'!$C$7="Disable",1,IF('Reverse Search'!$D$9="Disable",1,IF(OR('Reverse Search'!$F$9=H309,'Reverse Search'!$F$9=I309),1,0)))</f>
        <v>1</v>
      </c>
      <c r="S309" s="0" t="n">
        <f aca="false">IF('Reverse Search'!$C$7="Disable",1,IF('Reverse Search'!$D$10="Disable",1,IF(OR('Reverse Search'!$F$10=H309,'Reverse Search'!$F$10=I309),1,0)))</f>
        <v>1</v>
      </c>
      <c r="T309" s="0" t="n">
        <f aca="false">INDEX($B$4:$B$22,MATCH(H309,$A$4:$A$22,0))</f>
        <v>1</v>
      </c>
      <c r="U309" s="0" t="e">
        <f aca="false">IF(ISBLANK(I309),1,INDEX($B$4:$B$22,MATCH(I309,$A$4:$A$22,0)))</f>
        <v>#N/A</v>
      </c>
      <c r="V309" s="367" t="n">
        <f aca="false">IF('Reverse Search'!$C$7="Disable",1,IF('Reverse Search'!$D$11="Disable",1,IF('Reverse Search'!$E$11="Neutral to:",IF(ROUND(T309*U309,2)&lt;=1,1,0),IF(ROUND(T309*U309,2)&lt;1,1,0))))</f>
        <v>1</v>
      </c>
      <c r="W309" s="0" t="n">
        <f aca="false">IF('Reverse Search'!$N$7="Disable",1,IF('Reverse Search'!$I$9="Disable",1,IF('Reverse Search'!$K$9="≥",IF(J309&gt;='Reverse Search'!$L$9,1,0),IF('Reverse Search'!$K$9="≤",IF(J309&lt;='Reverse Search'!$L$9,1,0),IF(J309='Reverse Search'!$L$9,1,0)))))</f>
        <v>1</v>
      </c>
      <c r="X309" s="0" t="n">
        <f aca="false">IF('Reverse Search'!$N$7="Disable",1,IF('Reverse Search'!$I$10="Disable",1,IF('Reverse Search'!$K$10="≥",IF(K309&gt;='Reverse Search'!$L$10,1,0),IF('Reverse Search'!$K$10="≤",IF(K309&lt;='Reverse Search'!$L$10,1,0),IF(K309='Reverse Search'!$L$10,1,0)))))</f>
        <v>1</v>
      </c>
      <c r="Y309" s="367" t="n">
        <f aca="false">IF('Reverse Search'!$N$7="Disable",1,IF('Reverse Search'!$I$11="Disable",1,IF('Reverse Search'!$K$11="≥",IF(L309&gt;='Reverse Search'!$L$11,1,0),IF('Reverse Search'!$K$11="≤",IF(L309&lt;='Reverse Search'!$L$11,1,0),IF(L309='Reverse Search'!$L$11,1,0)))))</f>
        <v>1</v>
      </c>
      <c r="Z309" s="0" t="n">
        <f aca="true">IF('Reverse Search'!$C$14="Disable",1,IF('Reverse Search'!$D$16="Disable",1,IF($C$2=3,IF($M309=0,0,COUNTIF(INDIRECT("'0.0.2 Pokémon Learnset (Core)'!$D$"&amp;MATCH($E309,'0.0.2 Pokémon Learnset (Core)'!$A$1:$A951,0)&amp;":$FK$"&amp;MATCH($E309,'0.0.2 Pokémon Learnset (Core)'!$A$1:$A951,0)),'Reverse Search'!$E$21)),IF($C$2=2,COUNTIF(INDIRECT("'0.1.1 Pokémon GO Moves'!$B$"&amp;MATCH($E309,'0.1.1 Pokémon GO Moves'!$A$1:$A951,0)&amp;":$R$"&amp;MATCH($E309,'0.1.1 Pokémon GO Moves'!$A$1:$A951,0)),'Reverse Search'!$E$21),COUNTIF(INDIRECT("'0.1.1 Pokémon GO Moves'!$B$"&amp;MATCH($E309,'0.1.1 Pokémon GO Moves'!$A$1:$A951,0)&amp;":$L$"&amp;MATCH($E309,'0.1.1 Pokémon GO Moves'!$A$1:$A951,0)),'Reverse Search'!$E$21)))))</f>
        <v>1</v>
      </c>
      <c r="AA309" s="0" t="n">
        <f aca="true">IF('Reverse Search'!$C$14="Disable",1,IF('Reverse Search'!$I$16="Disable",1,IF($D$2=3,IF($M309=0,0,COUNTIF(INDIRECT("'0.0.2 Pokémon Learnset (Core)'!$D$"&amp;MATCH($E309,'0.0.2 Pokémon Learnset (Core)'!$A$1:$A951,0)&amp;":$FK$"&amp;MATCH($E309,'0.0.2 Pokémon Learnset (Core)'!$A$1:$A951,0)),'Reverse Search'!$J$21)),IF($D$2=2,COUNTIF(INDIRECT("'0.1.1 Pokémon GO Moves'!$B$"&amp;MATCH($E309,'0.1.1 Pokémon GO Moves'!$A$1:$A951,0)&amp;":$R$"&amp;MATCH($E309,'0.1.1 Pokémon GO Moves'!$A$1:$A951,0)),'Reverse Search'!$J$21),COUNTIF(INDIRECT("'0.1.1 Pokémon GO Moves'!$B$"&amp;MATCH($E309,'0.1.1 Pokémon GO Moves'!$A$1:$A951,0)&amp;":$L$"&amp;MATCH($E309,'0.1.1 Pokémon GO Moves'!$A$1:$A951,0)),'Reverse Search'!$J$21)))))</f>
        <v>0</v>
      </c>
      <c r="AB309" s="490"/>
      <c r="AC309" s="260" t="n">
        <f aca="false">IF((Q309+R309+S309+V309+W309+X309+Y309+IF(Z309&gt;=1,1,0)+IF(AA309&gt;=1,1,0))=9,G309&amp;", ",)</f>
        <v>0</v>
      </c>
    </row>
    <row r="310" customFormat="false" ht="15.75" hidden="false" customHeight="false" outlineLevel="0" collapsed="false">
      <c r="A310" s="260"/>
      <c r="B310" s="358"/>
      <c r="C310" s="260"/>
      <c r="D310" s="358"/>
      <c r="E310" s="260" t="n">
        <v>309</v>
      </c>
      <c r="F310" s="260" t="n">
        <f aca="false" t="array" ref="F310:F310">INDEX('0.0.1 Pokémon Dex Data'!$H$3:$H951,MATCH(E310,'0.0.1 Pokémon Dex Data'!$B$3:$B951,0))</f>
        <v>0</v>
      </c>
      <c r="G310" s="0" t="str">
        <f aca="false" t="array" ref="G310:G310">INDEX('0.0.1 Pokémon Dex Data'!$E$3:$E951,MATCH(E310,'0.0.1 Pokémon Dex Data'!$B$3:$B951,0))</f>
        <v>Beautifly</v>
      </c>
      <c r="H310" s="0" t="str">
        <f aca="false" t="array" ref="H310:H310">INDEX('0.0.1 Pokémon Dex Data'!$Q$3:$Q951,MATCH(E310,'0.0.1 Pokémon Dex Data'!$B$3:$B951,0))</f>
        <v>Bug</v>
      </c>
      <c r="I310" s="0" t="str">
        <f aca="false" t="array" ref="I310:I310">INDEX('0.0.1 Pokémon Dex Data'!$R$3:$R951,MATCH(E310,'0.0.1 Pokémon Dex Data'!$B$3:$B951,0))</f>
        <v>Flying</v>
      </c>
      <c r="J310" s="260" t="n">
        <f aca="false" t="array" ref="J310:J310">ROUND(INDEX('0.0.1 Pokémon Dex Data'!$S$3:$S951,MATCH($E310,'0.0.1 Pokémon Dex Data'!$B$3:$B951,0))*INDEX('0.0.1 Pokémon Dex Data'!T$3:T951,MATCH($E310,'0.0.1 Pokémon Dex Data'!$B$3:$B951,0)),0)</f>
        <v>189</v>
      </c>
      <c r="K310" s="260" t="n">
        <f aca="false" t="array" ref="K310:K310">ROUND(INDEX('0.0.1 Pokémon Dex Data'!$S$3:$S951,MATCH($E310,'0.0.1 Pokémon Dex Data'!$B$3:$B951,0))*INDEX('0.0.1 Pokémon Dex Data'!U$3:U951,MATCH($E310,'0.0.1 Pokémon Dex Data'!$B$3:$B951,0)),0)</f>
        <v>98</v>
      </c>
      <c r="L310" s="260" t="n">
        <f aca="false" t="array" ref="L310:L310">ROUND(INDEX('0.0.1 Pokémon Dex Data'!$S$3:$S951,MATCH($E310,'0.0.1 Pokémon Dex Data'!$B$3:$B951,0))*INDEX('0.0.1 Pokémon Dex Data'!V$3:V951,MATCH($E310,'0.0.1 Pokémon Dex Data'!$B$3:$B951,0)),0)</f>
        <v>155</v>
      </c>
      <c r="M310" s="260" t="n">
        <f aca="false" t="array" ref="M310:M310">INDEX('0.0.1 Pokémon Dex Data'!$J$3:$J951,MATCH(E310,'0.0.1 Pokémon Dex Data'!$B$3:$B951,0))</f>
        <v>1</v>
      </c>
      <c r="O310" s="490"/>
      <c r="Q310" s="367" t="n">
        <f aca="false">IF('Reverse Search'!$F$4="All (including temporary formes)",1,IF('Reverse Search'!$F$4="Base Pokémon and permanent formes only",IF(F310&lt;=1,1,0),IF(F310=0,1,0)))</f>
        <v>1</v>
      </c>
      <c r="R310" s="0" t="n">
        <f aca="false">IF('Reverse Search'!$C$7="Disable",1,IF('Reverse Search'!$D$9="Disable",1,IF(OR('Reverse Search'!$F$9=H310,'Reverse Search'!$F$9=I310),1,0)))</f>
        <v>1</v>
      </c>
      <c r="S310" s="0" t="n">
        <f aca="false">IF('Reverse Search'!$C$7="Disable",1,IF('Reverse Search'!$D$10="Disable",1,IF(OR('Reverse Search'!$F$10=H310,'Reverse Search'!$F$10=I310),1,0)))</f>
        <v>1</v>
      </c>
      <c r="T310" s="0" t="n">
        <f aca="false">INDEX($B$4:$B$22,MATCH(H310,$A$4:$A$22,0))</f>
        <v>1</v>
      </c>
      <c r="U310" s="0" t="n">
        <f aca="false">IF(ISBLANK(I310),1,INDEX($B$4:$B$22,MATCH(I310,$A$4:$A$22,0)))</f>
        <v>1</v>
      </c>
      <c r="V310" s="367" t="n">
        <f aca="false">IF('Reverse Search'!$C$7="Disable",1,IF('Reverse Search'!$D$11="Disable",1,IF('Reverse Search'!$E$11="Neutral to:",IF(ROUND(T310*U310,2)&lt;=1,1,0),IF(ROUND(T310*U310,2)&lt;1,1,0))))</f>
        <v>1</v>
      </c>
      <c r="W310" s="0" t="n">
        <f aca="false">IF('Reverse Search'!$N$7="Disable",1,IF('Reverse Search'!$I$9="Disable",1,IF('Reverse Search'!$K$9="≥",IF(J310&gt;='Reverse Search'!$L$9,1,0),IF('Reverse Search'!$K$9="≤",IF(J310&lt;='Reverse Search'!$L$9,1,0),IF(J310='Reverse Search'!$L$9,1,0)))))</f>
        <v>1</v>
      </c>
      <c r="X310" s="0" t="n">
        <f aca="false">IF('Reverse Search'!$N$7="Disable",1,IF('Reverse Search'!$I$10="Disable",1,IF('Reverse Search'!$K$10="≥",IF(K310&gt;='Reverse Search'!$L$10,1,0),IF('Reverse Search'!$K$10="≤",IF(K310&lt;='Reverse Search'!$L$10,1,0),IF(K310='Reverse Search'!$L$10,1,0)))))</f>
        <v>1</v>
      </c>
      <c r="Y310" s="367" t="n">
        <f aca="false">IF('Reverse Search'!$N$7="Disable",1,IF('Reverse Search'!$I$11="Disable",1,IF('Reverse Search'!$K$11="≥",IF(L310&gt;='Reverse Search'!$L$11,1,0),IF('Reverse Search'!$K$11="≤",IF(L310&lt;='Reverse Search'!$L$11,1,0),IF(L310='Reverse Search'!$L$11,1,0)))))</f>
        <v>1</v>
      </c>
      <c r="Z310" s="0" t="n">
        <f aca="true">IF('Reverse Search'!$C$14="Disable",1,IF('Reverse Search'!$D$16="Disable",1,IF($C$2=3,IF($M310=0,0,COUNTIF(INDIRECT("'0.0.2 Pokémon Learnset (Core)'!$D$"&amp;MATCH($E310,'0.0.2 Pokémon Learnset (Core)'!$A$1:$A951,0)&amp;":$FK$"&amp;MATCH($E310,'0.0.2 Pokémon Learnset (Core)'!$A$1:$A951,0)),'Reverse Search'!$E$21)),IF($C$2=2,COUNTIF(INDIRECT("'0.1.1 Pokémon GO Moves'!$B$"&amp;MATCH($E310,'0.1.1 Pokémon GO Moves'!$A$1:$A951,0)&amp;":$R$"&amp;MATCH($E310,'0.1.1 Pokémon GO Moves'!$A$1:$A951,0)),'Reverse Search'!$E$21),COUNTIF(INDIRECT("'0.1.1 Pokémon GO Moves'!$B$"&amp;MATCH($E310,'0.1.1 Pokémon GO Moves'!$A$1:$A951,0)&amp;":$L$"&amp;MATCH($E310,'0.1.1 Pokémon GO Moves'!$A$1:$A951,0)),'Reverse Search'!$E$21)))))</f>
        <v>1</v>
      </c>
      <c r="AA310" s="0" t="n">
        <f aca="true">IF('Reverse Search'!$C$14="Disable",1,IF('Reverse Search'!$I$16="Disable",1,IF($D$2=3,IF($M310=0,0,COUNTIF(INDIRECT("'0.0.2 Pokémon Learnset (Core)'!$D$"&amp;MATCH($E310,'0.0.2 Pokémon Learnset (Core)'!$A$1:$A951,0)&amp;":$FK$"&amp;MATCH($E310,'0.0.2 Pokémon Learnset (Core)'!$A$1:$A951,0)),'Reverse Search'!$J$21)),IF($D$2=2,COUNTIF(INDIRECT("'0.1.1 Pokémon GO Moves'!$B$"&amp;MATCH($E310,'0.1.1 Pokémon GO Moves'!$A$1:$A951,0)&amp;":$R$"&amp;MATCH($E310,'0.1.1 Pokémon GO Moves'!$A$1:$A951,0)),'Reverse Search'!$J$21),COUNTIF(INDIRECT("'0.1.1 Pokémon GO Moves'!$B$"&amp;MATCH($E310,'0.1.1 Pokémon GO Moves'!$A$1:$A951,0)&amp;":$L$"&amp;MATCH($E310,'0.1.1 Pokémon GO Moves'!$A$1:$A951,0)),'Reverse Search'!$J$21)))))</f>
        <v>0</v>
      </c>
      <c r="AB310" s="490"/>
      <c r="AC310" s="260" t="n">
        <f aca="false">IF((Q310+R310+S310+V310+W310+X310+Y310+IF(Z310&gt;=1,1,0)+IF(AA310&gt;=1,1,0))=9,G310&amp;", ",)</f>
        <v>0</v>
      </c>
    </row>
    <row r="311" customFormat="false" ht="15.75" hidden="false" customHeight="false" outlineLevel="0" collapsed="false">
      <c r="A311" s="260"/>
      <c r="B311" s="358"/>
      <c r="C311" s="260"/>
      <c r="D311" s="358"/>
      <c r="E311" s="260" t="n">
        <v>310</v>
      </c>
      <c r="F311" s="260" t="n">
        <f aca="false" t="array" ref="F311:F311">INDEX('0.0.1 Pokémon Dex Data'!$H$3:$H951,MATCH(E311,'0.0.1 Pokémon Dex Data'!$B$3:$B951,0))</f>
        <v>0</v>
      </c>
      <c r="G311" s="0" t="str">
        <f aca="false" t="array" ref="G311:G311">INDEX('0.0.1 Pokémon Dex Data'!$E$3:$E951,MATCH(E311,'0.0.1 Pokémon Dex Data'!$B$3:$B951,0))</f>
        <v>Cascoon</v>
      </c>
      <c r="H311" s="0" t="str">
        <f aca="false" t="array" ref="H311:H311">INDEX('0.0.1 Pokémon Dex Data'!$Q$3:$Q951,MATCH(E311,'0.0.1 Pokémon Dex Data'!$B$3:$B951,0))</f>
        <v>Bug</v>
      </c>
      <c r="I311" s="0" t="n">
        <f aca="false">INDEX('0.0.1 Pokémon Dex Data'!$R$3:$R951,MATCH(E311,'0.0.1 Pokémon Dex Data'!$B$3:$B951,0))</f>
        <v>0</v>
      </c>
      <c r="J311" s="260" t="n">
        <f aca="false" t="array" ref="J311:J311">ROUND(INDEX('0.0.1 Pokémon Dex Data'!$S$3:$S951,MATCH($E311,'0.0.1 Pokémon Dex Data'!$B$3:$B951,0))*INDEX('0.0.1 Pokémon Dex Data'!T$3:T951,MATCH($E311,'0.0.1 Pokémon Dex Data'!$B$3:$B951,0)),0)</f>
        <v>60</v>
      </c>
      <c r="K311" s="260" t="n">
        <f aca="false" t="array" ref="K311:K311">ROUND(INDEX('0.0.1 Pokémon Dex Data'!$S$3:$S951,MATCH($E311,'0.0.1 Pokémon Dex Data'!$B$3:$B951,0))*INDEX('0.0.1 Pokémon Dex Data'!U$3:U951,MATCH($E311,'0.0.1 Pokémon Dex Data'!$B$3:$B951,0)),0)</f>
        <v>77</v>
      </c>
      <c r="L311" s="260" t="n">
        <f aca="false" t="array" ref="L311:L311">ROUND(INDEX('0.0.1 Pokémon Dex Data'!$S$3:$S951,MATCH($E311,'0.0.1 Pokémon Dex Data'!$B$3:$B951,0))*INDEX('0.0.1 Pokémon Dex Data'!V$3:V951,MATCH($E311,'0.0.1 Pokémon Dex Data'!$B$3:$B951,0)),0)</f>
        <v>137</v>
      </c>
      <c r="M311" s="260" t="n">
        <f aca="false" t="array" ref="M311:M311">INDEX('0.0.1 Pokémon Dex Data'!$J$3:$J951,MATCH(E311,'0.0.1 Pokémon Dex Data'!$B$3:$B951,0))</f>
        <v>0</v>
      </c>
      <c r="O311" s="490"/>
      <c r="Q311" s="367" t="n">
        <f aca="false">IF('Reverse Search'!$F$4="All (including temporary formes)",1,IF('Reverse Search'!$F$4="Base Pokémon and permanent formes only",IF(F311&lt;=1,1,0),IF(F311=0,1,0)))</f>
        <v>1</v>
      </c>
      <c r="R311" s="0" t="n">
        <f aca="false">IF('Reverse Search'!$C$7="Disable",1,IF('Reverse Search'!$D$9="Disable",1,IF(OR('Reverse Search'!$F$9=H311,'Reverse Search'!$F$9=I311),1,0)))</f>
        <v>1</v>
      </c>
      <c r="S311" s="0" t="n">
        <f aca="false">IF('Reverse Search'!$C$7="Disable",1,IF('Reverse Search'!$D$10="Disable",1,IF(OR('Reverse Search'!$F$10=H311,'Reverse Search'!$F$10=I311),1,0)))</f>
        <v>1</v>
      </c>
      <c r="T311" s="0" t="n">
        <f aca="false">INDEX($B$4:$B$22,MATCH(H311,$A$4:$A$22,0))</f>
        <v>1</v>
      </c>
      <c r="U311" s="0" t="e">
        <f aca="false">IF(ISBLANK(I311),1,INDEX($B$4:$B$22,MATCH(I311,$A$4:$A$22,0)))</f>
        <v>#N/A</v>
      </c>
      <c r="V311" s="367" t="n">
        <f aca="false">IF('Reverse Search'!$C$7="Disable",1,IF('Reverse Search'!$D$11="Disable",1,IF('Reverse Search'!$E$11="Neutral to:",IF(ROUND(T311*U311,2)&lt;=1,1,0),IF(ROUND(T311*U311,2)&lt;1,1,0))))</f>
        <v>1</v>
      </c>
      <c r="W311" s="0" t="n">
        <f aca="false">IF('Reverse Search'!$N$7="Disable",1,IF('Reverse Search'!$I$9="Disable",1,IF('Reverse Search'!$K$9="≥",IF(J311&gt;='Reverse Search'!$L$9,1,0),IF('Reverse Search'!$K$9="≤",IF(J311&lt;='Reverse Search'!$L$9,1,0),IF(J311='Reverse Search'!$L$9,1,0)))))</f>
        <v>1</v>
      </c>
      <c r="X311" s="0" t="n">
        <f aca="false">IF('Reverse Search'!$N$7="Disable",1,IF('Reverse Search'!$I$10="Disable",1,IF('Reverse Search'!$K$10="≥",IF(K311&gt;='Reverse Search'!$L$10,1,0),IF('Reverse Search'!$K$10="≤",IF(K311&lt;='Reverse Search'!$L$10,1,0),IF(K311='Reverse Search'!$L$10,1,0)))))</f>
        <v>1</v>
      </c>
      <c r="Y311" s="367" t="n">
        <f aca="false">IF('Reverse Search'!$N$7="Disable",1,IF('Reverse Search'!$I$11="Disable",1,IF('Reverse Search'!$K$11="≥",IF(L311&gt;='Reverse Search'!$L$11,1,0),IF('Reverse Search'!$K$11="≤",IF(L311&lt;='Reverse Search'!$L$11,1,0),IF(L311='Reverse Search'!$L$11,1,0)))))</f>
        <v>1</v>
      </c>
      <c r="Z311" s="0" t="n">
        <f aca="true">IF('Reverse Search'!$C$14="Disable",1,IF('Reverse Search'!$D$16="Disable",1,IF($C$2=3,IF($M311=0,0,COUNTIF(INDIRECT("'0.0.2 Pokémon Learnset (Core)'!$D$"&amp;MATCH($E311,'0.0.2 Pokémon Learnset (Core)'!$A$1:$A951,0)&amp;":$FK$"&amp;MATCH($E311,'0.0.2 Pokémon Learnset (Core)'!$A$1:$A951,0)),'Reverse Search'!$E$21)),IF($C$2=2,COUNTIF(INDIRECT("'0.1.1 Pokémon GO Moves'!$B$"&amp;MATCH($E311,'0.1.1 Pokémon GO Moves'!$A$1:$A951,0)&amp;":$R$"&amp;MATCH($E311,'0.1.1 Pokémon GO Moves'!$A$1:$A951,0)),'Reverse Search'!$E$21),COUNTIF(INDIRECT("'0.1.1 Pokémon GO Moves'!$B$"&amp;MATCH($E311,'0.1.1 Pokémon GO Moves'!$A$1:$A951,0)&amp;":$L$"&amp;MATCH($E311,'0.1.1 Pokémon GO Moves'!$A$1:$A951,0)),'Reverse Search'!$E$21)))))</f>
        <v>1</v>
      </c>
      <c r="AA311" s="0" t="n">
        <f aca="true">IF('Reverse Search'!$C$14="Disable",1,IF('Reverse Search'!$I$16="Disable",1,IF($D$2=3,IF($M311=0,0,COUNTIF(INDIRECT("'0.0.2 Pokémon Learnset (Core)'!$D$"&amp;MATCH($E311,'0.0.2 Pokémon Learnset (Core)'!$A$1:$A951,0)&amp;":$FK$"&amp;MATCH($E311,'0.0.2 Pokémon Learnset (Core)'!$A$1:$A951,0)),'Reverse Search'!$J$21)),IF($D$2=2,COUNTIF(INDIRECT("'0.1.1 Pokémon GO Moves'!$B$"&amp;MATCH($E311,'0.1.1 Pokémon GO Moves'!$A$1:$A951,0)&amp;":$R$"&amp;MATCH($E311,'0.1.1 Pokémon GO Moves'!$A$1:$A951,0)),'Reverse Search'!$J$21),COUNTIF(INDIRECT("'0.1.1 Pokémon GO Moves'!$B$"&amp;MATCH($E311,'0.1.1 Pokémon GO Moves'!$A$1:$A951,0)&amp;":$L$"&amp;MATCH($E311,'0.1.1 Pokémon GO Moves'!$A$1:$A951,0)),'Reverse Search'!$J$21)))))</f>
        <v>0</v>
      </c>
      <c r="AB311" s="490"/>
      <c r="AC311" s="260" t="n">
        <f aca="false">IF((Q311+R311+S311+V311+W311+X311+Y311+IF(Z311&gt;=1,1,0)+IF(AA311&gt;=1,1,0))=9,G311&amp;", ",)</f>
        <v>0</v>
      </c>
    </row>
    <row r="312" customFormat="false" ht="15.75" hidden="false" customHeight="false" outlineLevel="0" collapsed="false">
      <c r="A312" s="260"/>
      <c r="B312" s="358"/>
      <c r="C312" s="260"/>
      <c r="D312" s="358"/>
      <c r="E312" s="260" t="n">
        <v>311</v>
      </c>
      <c r="F312" s="260" t="n">
        <f aca="false" t="array" ref="F312:F312">INDEX('0.0.1 Pokémon Dex Data'!$H$3:$H951,MATCH(E312,'0.0.1 Pokémon Dex Data'!$B$3:$B951,0))</f>
        <v>0</v>
      </c>
      <c r="G312" s="0" t="str">
        <f aca="false" t="array" ref="G312:G312">INDEX('0.0.1 Pokémon Dex Data'!$E$3:$E951,MATCH(E312,'0.0.1 Pokémon Dex Data'!$B$3:$B951,0))</f>
        <v>Dustox</v>
      </c>
      <c r="H312" s="0" t="str">
        <f aca="false" t="array" ref="H312:H312">INDEX('0.0.1 Pokémon Dex Data'!$Q$3:$Q951,MATCH(E312,'0.0.1 Pokémon Dex Data'!$B$3:$B951,0))</f>
        <v>Bug</v>
      </c>
      <c r="I312" s="0" t="str">
        <f aca="false" t="array" ref="I312:I312">INDEX('0.0.1 Pokémon Dex Data'!$R$3:$R951,MATCH(E312,'0.0.1 Pokémon Dex Data'!$B$3:$B951,0))</f>
        <v>Poison</v>
      </c>
      <c r="J312" s="260" t="n">
        <f aca="false" t="array" ref="J312:J312">ROUND(INDEX('0.0.1 Pokémon Dex Data'!$S$3:$S951,MATCH($E312,'0.0.1 Pokémon Dex Data'!$B$3:$B951,0))*INDEX('0.0.1 Pokémon Dex Data'!T$3:T951,MATCH($E312,'0.0.1 Pokémon Dex Data'!$B$3:$B951,0)),0)</f>
        <v>98</v>
      </c>
      <c r="K312" s="260" t="n">
        <f aca="false" t="array" ref="K312:K312">ROUND(INDEX('0.0.1 Pokémon Dex Data'!$S$3:$S951,MATCH($E312,'0.0.1 Pokémon Dex Data'!$B$3:$B951,0))*INDEX('0.0.1 Pokémon Dex Data'!U$3:U951,MATCH($E312,'0.0.1 Pokémon Dex Data'!$B$3:$B951,0)),0)</f>
        <v>162</v>
      </c>
      <c r="L312" s="260" t="n">
        <f aca="false" t="array" ref="L312:L312">ROUND(INDEX('0.0.1 Pokémon Dex Data'!$S$3:$S951,MATCH($E312,'0.0.1 Pokémon Dex Data'!$B$3:$B951,0))*INDEX('0.0.1 Pokémon Dex Data'!V$3:V951,MATCH($E312,'0.0.1 Pokémon Dex Data'!$B$3:$B951,0)),0)</f>
        <v>155</v>
      </c>
      <c r="M312" s="260" t="n">
        <f aca="false" t="array" ref="M312:M312">INDEX('0.0.1 Pokémon Dex Data'!$J$3:$J951,MATCH(E312,'0.0.1 Pokémon Dex Data'!$B$3:$B951,0))</f>
        <v>1</v>
      </c>
      <c r="O312" s="490"/>
      <c r="Q312" s="367" t="n">
        <f aca="false">IF('Reverse Search'!$F$4="All (including temporary formes)",1,IF('Reverse Search'!$F$4="Base Pokémon and permanent formes only",IF(F312&lt;=1,1,0),IF(F312=0,1,0)))</f>
        <v>1</v>
      </c>
      <c r="R312" s="0" t="n">
        <f aca="false">IF('Reverse Search'!$C$7="Disable",1,IF('Reverse Search'!$D$9="Disable",1,IF(OR('Reverse Search'!$F$9=H312,'Reverse Search'!$F$9=I312),1,0)))</f>
        <v>1</v>
      </c>
      <c r="S312" s="0" t="n">
        <f aca="false">IF('Reverse Search'!$C$7="Disable",1,IF('Reverse Search'!$D$10="Disable",1,IF(OR('Reverse Search'!$F$10=H312,'Reverse Search'!$F$10=I312),1,0)))</f>
        <v>1</v>
      </c>
      <c r="T312" s="0" t="n">
        <f aca="false">INDEX($B$4:$B$22,MATCH(H312,$A$4:$A$22,0))</f>
        <v>1</v>
      </c>
      <c r="U312" s="0" t="n">
        <f aca="false">IF(ISBLANK(I312),1,INDEX($B$4:$B$22,MATCH(I312,$A$4:$A$22,0)))</f>
        <v>1</v>
      </c>
      <c r="V312" s="367" t="n">
        <f aca="false">IF('Reverse Search'!$C$7="Disable",1,IF('Reverse Search'!$D$11="Disable",1,IF('Reverse Search'!$E$11="Neutral to:",IF(ROUND(T312*U312,2)&lt;=1,1,0),IF(ROUND(T312*U312,2)&lt;1,1,0))))</f>
        <v>1</v>
      </c>
      <c r="W312" s="0" t="n">
        <f aca="false">IF('Reverse Search'!$N$7="Disable",1,IF('Reverse Search'!$I$9="Disable",1,IF('Reverse Search'!$K$9="≥",IF(J312&gt;='Reverse Search'!$L$9,1,0),IF('Reverse Search'!$K$9="≤",IF(J312&lt;='Reverse Search'!$L$9,1,0),IF(J312='Reverse Search'!$L$9,1,0)))))</f>
        <v>1</v>
      </c>
      <c r="X312" s="0" t="n">
        <f aca="false">IF('Reverse Search'!$N$7="Disable",1,IF('Reverse Search'!$I$10="Disable",1,IF('Reverse Search'!$K$10="≥",IF(K312&gt;='Reverse Search'!$L$10,1,0),IF('Reverse Search'!$K$10="≤",IF(K312&lt;='Reverse Search'!$L$10,1,0),IF(K312='Reverse Search'!$L$10,1,0)))))</f>
        <v>1</v>
      </c>
      <c r="Y312" s="367" t="n">
        <f aca="false">IF('Reverse Search'!$N$7="Disable",1,IF('Reverse Search'!$I$11="Disable",1,IF('Reverse Search'!$K$11="≥",IF(L312&gt;='Reverse Search'!$L$11,1,0),IF('Reverse Search'!$K$11="≤",IF(L312&lt;='Reverse Search'!$L$11,1,0),IF(L312='Reverse Search'!$L$11,1,0)))))</f>
        <v>1</v>
      </c>
      <c r="Z312" s="0" t="n">
        <f aca="true">IF('Reverse Search'!$C$14="Disable",1,IF('Reverse Search'!$D$16="Disable",1,IF($C$2=3,IF($M312=0,0,COUNTIF(INDIRECT("'0.0.2 Pokémon Learnset (Core)'!$D$"&amp;MATCH($E312,'0.0.2 Pokémon Learnset (Core)'!$A$1:$A951,0)&amp;":$FK$"&amp;MATCH($E312,'0.0.2 Pokémon Learnset (Core)'!$A$1:$A951,0)),'Reverse Search'!$E$21)),IF($C$2=2,COUNTIF(INDIRECT("'0.1.1 Pokémon GO Moves'!$B$"&amp;MATCH($E312,'0.1.1 Pokémon GO Moves'!$A$1:$A951,0)&amp;":$R$"&amp;MATCH($E312,'0.1.1 Pokémon GO Moves'!$A$1:$A951,0)),'Reverse Search'!$E$21),COUNTIF(INDIRECT("'0.1.1 Pokémon GO Moves'!$B$"&amp;MATCH($E312,'0.1.1 Pokémon GO Moves'!$A$1:$A951,0)&amp;":$L$"&amp;MATCH($E312,'0.1.1 Pokémon GO Moves'!$A$1:$A951,0)),'Reverse Search'!$E$21)))))</f>
        <v>1</v>
      </c>
      <c r="AA312" s="0" t="n">
        <f aca="true">IF('Reverse Search'!$C$14="Disable",1,IF('Reverse Search'!$I$16="Disable",1,IF($D$2=3,IF($M312=0,0,COUNTIF(INDIRECT("'0.0.2 Pokémon Learnset (Core)'!$D$"&amp;MATCH($E312,'0.0.2 Pokémon Learnset (Core)'!$A$1:$A951,0)&amp;":$FK$"&amp;MATCH($E312,'0.0.2 Pokémon Learnset (Core)'!$A$1:$A951,0)),'Reverse Search'!$J$21)),IF($D$2=2,COUNTIF(INDIRECT("'0.1.1 Pokémon GO Moves'!$B$"&amp;MATCH($E312,'0.1.1 Pokémon GO Moves'!$A$1:$A951,0)&amp;":$R$"&amp;MATCH($E312,'0.1.1 Pokémon GO Moves'!$A$1:$A951,0)),'Reverse Search'!$J$21),COUNTIF(INDIRECT("'0.1.1 Pokémon GO Moves'!$B$"&amp;MATCH($E312,'0.1.1 Pokémon GO Moves'!$A$1:$A951,0)&amp;":$L$"&amp;MATCH($E312,'0.1.1 Pokémon GO Moves'!$A$1:$A951,0)),'Reverse Search'!$J$21)))))</f>
        <v>0</v>
      </c>
      <c r="AB312" s="490"/>
      <c r="AC312" s="260" t="n">
        <f aca="false">IF((Q312+R312+S312+V312+W312+X312+Y312+IF(Z312&gt;=1,1,0)+IF(AA312&gt;=1,1,0))=9,G312&amp;", ",)</f>
        <v>0</v>
      </c>
    </row>
    <row r="313" customFormat="false" ht="15.75" hidden="false" customHeight="false" outlineLevel="0" collapsed="false">
      <c r="A313" s="260"/>
      <c r="B313" s="358"/>
      <c r="C313" s="260"/>
      <c r="D313" s="358"/>
      <c r="E313" s="260" t="n">
        <v>312</v>
      </c>
      <c r="F313" s="260" t="n">
        <f aca="false" t="array" ref="F313:F313">INDEX('0.0.1 Pokémon Dex Data'!$H$3:$H951,MATCH(E313,'0.0.1 Pokémon Dex Data'!$B$3:$B951,0))</f>
        <v>0</v>
      </c>
      <c r="G313" s="0" t="str">
        <f aca="false" t="array" ref="G313:G313">INDEX('0.0.1 Pokémon Dex Data'!$E$3:$E951,MATCH(E313,'0.0.1 Pokémon Dex Data'!$B$3:$B951,0))</f>
        <v>Lotad</v>
      </c>
      <c r="H313" s="0" t="str">
        <f aca="false" t="array" ref="H313:H313">INDEX('0.0.1 Pokémon Dex Data'!$Q$3:$Q951,MATCH(E313,'0.0.1 Pokémon Dex Data'!$B$3:$B951,0))</f>
        <v>Water</v>
      </c>
      <c r="I313" s="0" t="str">
        <f aca="false" t="array" ref="I313:I313">INDEX('0.0.1 Pokémon Dex Data'!$R$3:$R951,MATCH(E313,'0.0.1 Pokémon Dex Data'!$B$3:$B951,0))</f>
        <v>Grass</v>
      </c>
      <c r="J313" s="260" t="n">
        <f aca="false" t="array" ref="J313:J313">ROUND(INDEX('0.0.1 Pokémon Dex Data'!$S$3:$S951,MATCH($E313,'0.0.1 Pokémon Dex Data'!$B$3:$B951,0))*INDEX('0.0.1 Pokémon Dex Data'!T$3:T951,MATCH($E313,'0.0.1 Pokémon Dex Data'!$B$3:$B951,0)),0)</f>
        <v>71</v>
      </c>
      <c r="K313" s="260" t="n">
        <f aca="false" t="array" ref="K313:K313">ROUND(INDEX('0.0.1 Pokémon Dex Data'!$S$3:$S951,MATCH($E313,'0.0.1 Pokémon Dex Data'!$B$3:$B951,0))*INDEX('0.0.1 Pokémon Dex Data'!U$3:U951,MATCH($E313,'0.0.1 Pokémon Dex Data'!$B$3:$B951,0)),0)</f>
        <v>77</v>
      </c>
      <c r="L313" s="260" t="n">
        <f aca="false" t="array" ref="L313:L313">ROUND(INDEX('0.0.1 Pokémon Dex Data'!$S$3:$S951,MATCH($E313,'0.0.1 Pokémon Dex Data'!$B$3:$B951,0))*INDEX('0.0.1 Pokémon Dex Data'!V$3:V951,MATCH($E313,'0.0.1 Pokémon Dex Data'!$B$3:$B951,0)),0)</f>
        <v>120</v>
      </c>
      <c r="M313" s="260" t="n">
        <f aca="false" t="array" ref="M313:M313">INDEX('0.0.1 Pokémon Dex Data'!$J$3:$J951,MATCH(E313,'0.0.1 Pokémon Dex Data'!$B$3:$B951,0))</f>
        <v>0</v>
      </c>
      <c r="O313" s="490"/>
      <c r="Q313" s="367" t="n">
        <f aca="false">IF('Reverse Search'!$F$4="All (including temporary formes)",1,IF('Reverse Search'!$F$4="Base Pokémon and permanent formes only",IF(F313&lt;=1,1,0),IF(F313=0,1,0)))</f>
        <v>1</v>
      </c>
      <c r="R313" s="0" t="n">
        <f aca="false">IF('Reverse Search'!$C$7="Disable",1,IF('Reverse Search'!$D$9="Disable",1,IF(OR('Reverse Search'!$F$9=H313,'Reverse Search'!$F$9=I313),1,0)))</f>
        <v>1</v>
      </c>
      <c r="S313" s="0" t="n">
        <f aca="false">IF('Reverse Search'!$C$7="Disable",1,IF('Reverse Search'!$D$10="Disable",1,IF(OR('Reverse Search'!$F$10=H313,'Reverse Search'!$F$10=I313),1,0)))</f>
        <v>1</v>
      </c>
      <c r="T313" s="0" t="n">
        <f aca="false">INDEX($B$4:$B$22,MATCH(H313,$A$4:$A$22,0))</f>
        <v>1</v>
      </c>
      <c r="U313" s="0" t="n">
        <f aca="false">IF(ISBLANK(I313),1,INDEX($B$4:$B$22,MATCH(I313,$A$4:$A$22,0)))</f>
        <v>1</v>
      </c>
      <c r="V313" s="367" t="n">
        <f aca="false">IF('Reverse Search'!$C$7="Disable",1,IF('Reverse Search'!$D$11="Disable",1,IF('Reverse Search'!$E$11="Neutral to:",IF(ROUND(T313*U313,2)&lt;=1,1,0),IF(ROUND(T313*U313,2)&lt;1,1,0))))</f>
        <v>1</v>
      </c>
      <c r="W313" s="0" t="n">
        <f aca="false">IF('Reverse Search'!$N$7="Disable",1,IF('Reverse Search'!$I$9="Disable",1,IF('Reverse Search'!$K$9="≥",IF(J313&gt;='Reverse Search'!$L$9,1,0),IF('Reverse Search'!$K$9="≤",IF(J313&lt;='Reverse Search'!$L$9,1,0),IF(J313='Reverse Search'!$L$9,1,0)))))</f>
        <v>1</v>
      </c>
      <c r="X313" s="0" t="n">
        <f aca="false">IF('Reverse Search'!$N$7="Disable",1,IF('Reverse Search'!$I$10="Disable",1,IF('Reverse Search'!$K$10="≥",IF(K313&gt;='Reverse Search'!$L$10,1,0),IF('Reverse Search'!$K$10="≤",IF(K313&lt;='Reverse Search'!$L$10,1,0),IF(K313='Reverse Search'!$L$10,1,0)))))</f>
        <v>1</v>
      </c>
      <c r="Y313" s="367" t="n">
        <f aca="false">IF('Reverse Search'!$N$7="Disable",1,IF('Reverse Search'!$I$11="Disable",1,IF('Reverse Search'!$K$11="≥",IF(L313&gt;='Reverse Search'!$L$11,1,0),IF('Reverse Search'!$K$11="≤",IF(L313&lt;='Reverse Search'!$L$11,1,0),IF(L313='Reverse Search'!$L$11,1,0)))))</f>
        <v>1</v>
      </c>
      <c r="Z313" s="0" t="n">
        <f aca="true">IF('Reverse Search'!$C$14="Disable",1,IF('Reverse Search'!$D$16="Disable",1,IF($C$2=3,IF($M313=0,0,COUNTIF(INDIRECT("'0.0.2 Pokémon Learnset (Core)'!$D$"&amp;MATCH($E313,'0.0.2 Pokémon Learnset (Core)'!$A$1:$A951,0)&amp;":$FK$"&amp;MATCH($E313,'0.0.2 Pokémon Learnset (Core)'!$A$1:$A951,0)),'Reverse Search'!$E$21)),IF($C$2=2,COUNTIF(INDIRECT("'0.1.1 Pokémon GO Moves'!$B$"&amp;MATCH($E313,'0.1.1 Pokémon GO Moves'!$A$1:$A951,0)&amp;":$R$"&amp;MATCH($E313,'0.1.1 Pokémon GO Moves'!$A$1:$A951,0)),'Reverse Search'!$E$21),COUNTIF(INDIRECT("'0.1.1 Pokémon GO Moves'!$B$"&amp;MATCH($E313,'0.1.1 Pokémon GO Moves'!$A$1:$A951,0)&amp;":$L$"&amp;MATCH($E313,'0.1.1 Pokémon GO Moves'!$A$1:$A951,0)),'Reverse Search'!$E$21)))))</f>
        <v>1</v>
      </c>
      <c r="AA313" s="0" t="n">
        <f aca="true">IF('Reverse Search'!$C$14="Disable",1,IF('Reverse Search'!$I$16="Disable",1,IF($D$2=3,IF($M313=0,0,COUNTIF(INDIRECT("'0.0.2 Pokémon Learnset (Core)'!$D$"&amp;MATCH($E313,'0.0.2 Pokémon Learnset (Core)'!$A$1:$A951,0)&amp;":$FK$"&amp;MATCH($E313,'0.0.2 Pokémon Learnset (Core)'!$A$1:$A951,0)),'Reverse Search'!$J$21)),IF($D$2=2,COUNTIF(INDIRECT("'0.1.1 Pokémon GO Moves'!$B$"&amp;MATCH($E313,'0.1.1 Pokémon GO Moves'!$A$1:$A951,0)&amp;":$R$"&amp;MATCH($E313,'0.1.1 Pokémon GO Moves'!$A$1:$A951,0)),'Reverse Search'!$J$21),COUNTIF(INDIRECT("'0.1.1 Pokémon GO Moves'!$B$"&amp;MATCH($E313,'0.1.1 Pokémon GO Moves'!$A$1:$A951,0)&amp;":$L$"&amp;MATCH($E313,'0.1.1 Pokémon GO Moves'!$A$1:$A951,0)),'Reverse Search'!$J$21)))))</f>
        <v>0</v>
      </c>
      <c r="AB313" s="490"/>
      <c r="AC313" s="260" t="n">
        <f aca="false">IF((Q313+R313+S313+V313+W313+X313+Y313+IF(Z313&gt;=1,1,0)+IF(AA313&gt;=1,1,0))=9,G313&amp;", ",)</f>
        <v>0</v>
      </c>
    </row>
    <row r="314" customFormat="false" ht="15.75" hidden="false" customHeight="false" outlineLevel="0" collapsed="false">
      <c r="A314" s="260"/>
      <c r="B314" s="358"/>
      <c r="C314" s="260"/>
      <c r="D314" s="358"/>
      <c r="E314" s="260" t="n">
        <v>313</v>
      </c>
      <c r="F314" s="260" t="n">
        <f aca="false" t="array" ref="F314:F314">INDEX('0.0.1 Pokémon Dex Data'!$H$3:$H951,MATCH(E314,'0.0.1 Pokémon Dex Data'!$B$3:$B951,0))</f>
        <v>0</v>
      </c>
      <c r="G314" s="0" t="str">
        <f aca="false" t="array" ref="G314:G314">INDEX('0.0.1 Pokémon Dex Data'!$E$3:$E951,MATCH(E314,'0.0.1 Pokémon Dex Data'!$B$3:$B951,0))</f>
        <v>Lombre</v>
      </c>
      <c r="H314" s="0" t="str">
        <f aca="false" t="array" ref="H314:H314">INDEX('0.0.1 Pokémon Dex Data'!$Q$3:$Q951,MATCH(E314,'0.0.1 Pokémon Dex Data'!$B$3:$B951,0))</f>
        <v>Water</v>
      </c>
      <c r="I314" s="0" t="str">
        <f aca="false" t="array" ref="I314:I314">INDEX('0.0.1 Pokémon Dex Data'!$R$3:$R951,MATCH(E314,'0.0.1 Pokémon Dex Data'!$B$3:$B951,0))</f>
        <v>Grass</v>
      </c>
      <c r="J314" s="260" t="n">
        <f aca="false" t="array" ref="J314:J314">ROUND(INDEX('0.0.1 Pokémon Dex Data'!$S$3:$S951,MATCH($E314,'0.0.1 Pokémon Dex Data'!$B$3:$B951,0))*INDEX('0.0.1 Pokémon Dex Data'!T$3:T951,MATCH($E314,'0.0.1 Pokémon Dex Data'!$B$3:$B951,0)),0)</f>
        <v>112</v>
      </c>
      <c r="K314" s="260" t="n">
        <f aca="false" t="array" ref="K314:K314">ROUND(INDEX('0.0.1 Pokémon Dex Data'!$S$3:$S951,MATCH($E314,'0.0.1 Pokémon Dex Data'!$B$3:$B951,0))*INDEX('0.0.1 Pokémon Dex Data'!U$3:U951,MATCH($E314,'0.0.1 Pokémon Dex Data'!$B$3:$B951,0)),0)</f>
        <v>119</v>
      </c>
      <c r="L314" s="260" t="n">
        <f aca="false" t="array" ref="L314:L314">ROUND(INDEX('0.0.1 Pokémon Dex Data'!$S$3:$S951,MATCH($E314,'0.0.1 Pokémon Dex Data'!$B$3:$B951,0))*INDEX('0.0.1 Pokémon Dex Data'!V$3:V951,MATCH($E314,'0.0.1 Pokémon Dex Data'!$B$3:$B951,0)),0)</f>
        <v>155</v>
      </c>
      <c r="M314" s="260" t="n">
        <f aca="false" t="array" ref="M314:M314">INDEX('0.0.1 Pokémon Dex Data'!$J$3:$J951,MATCH(E314,'0.0.1 Pokémon Dex Data'!$B$3:$B951,0))</f>
        <v>0</v>
      </c>
      <c r="O314" s="490"/>
      <c r="Q314" s="367" t="n">
        <f aca="false">IF('Reverse Search'!$F$4="All (including temporary formes)",1,IF('Reverse Search'!$F$4="Base Pokémon and permanent formes only",IF(F314&lt;=1,1,0),IF(F314=0,1,0)))</f>
        <v>1</v>
      </c>
      <c r="R314" s="0" t="n">
        <f aca="false">IF('Reverse Search'!$C$7="Disable",1,IF('Reverse Search'!$D$9="Disable",1,IF(OR('Reverse Search'!$F$9=H314,'Reverse Search'!$F$9=I314),1,0)))</f>
        <v>1</v>
      </c>
      <c r="S314" s="0" t="n">
        <f aca="false">IF('Reverse Search'!$C$7="Disable",1,IF('Reverse Search'!$D$10="Disable",1,IF(OR('Reverse Search'!$F$10=H314,'Reverse Search'!$F$10=I314),1,0)))</f>
        <v>1</v>
      </c>
      <c r="T314" s="0" t="n">
        <f aca="false">INDEX($B$4:$B$22,MATCH(H314,$A$4:$A$22,0))</f>
        <v>1</v>
      </c>
      <c r="U314" s="0" t="n">
        <f aca="false">IF(ISBLANK(I314),1,INDEX($B$4:$B$22,MATCH(I314,$A$4:$A$22,0)))</f>
        <v>1</v>
      </c>
      <c r="V314" s="367" t="n">
        <f aca="false">IF('Reverse Search'!$C$7="Disable",1,IF('Reverse Search'!$D$11="Disable",1,IF('Reverse Search'!$E$11="Neutral to:",IF(ROUND(T314*U314,2)&lt;=1,1,0),IF(ROUND(T314*U314,2)&lt;1,1,0))))</f>
        <v>1</v>
      </c>
      <c r="W314" s="0" t="n">
        <f aca="false">IF('Reverse Search'!$N$7="Disable",1,IF('Reverse Search'!$I$9="Disable",1,IF('Reverse Search'!$K$9="≥",IF(J314&gt;='Reverse Search'!$L$9,1,0),IF('Reverse Search'!$K$9="≤",IF(J314&lt;='Reverse Search'!$L$9,1,0),IF(J314='Reverse Search'!$L$9,1,0)))))</f>
        <v>1</v>
      </c>
      <c r="X314" s="0" t="n">
        <f aca="false">IF('Reverse Search'!$N$7="Disable",1,IF('Reverse Search'!$I$10="Disable",1,IF('Reverse Search'!$K$10="≥",IF(K314&gt;='Reverse Search'!$L$10,1,0),IF('Reverse Search'!$K$10="≤",IF(K314&lt;='Reverse Search'!$L$10,1,0),IF(K314='Reverse Search'!$L$10,1,0)))))</f>
        <v>1</v>
      </c>
      <c r="Y314" s="367" t="n">
        <f aca="false">IF('Reverse Search'!$N$7="Disable",1,IF('Reverse Search'!$I$11="Disable",1,IF('Reverse Search'!$K$11="≥",IF(L314&gt;='Reverse Search'!$L$11,1,0),IF('Reverse Search'!$K$11="≤",IF(L314&lt;='Reverse Search'!$L$11,1,0),IF(L314='Reverse Search'!$L$11,1,0)))))</f>
        <v>1</v>
      </c>
      <c r="Z314" s="0" t="n">
        <f aca="true">IF('Reverse Search'!$C$14="Disable",1,IF('Reverse Search'!$D$16="Disable",1,IF($C$2=3,IF($M314=0,0,COUNTIF(INDIRECT("'0.0.2 Pokémon Learnset (Core)'!$D$"&amp;MATCH($E314,'0.0.2 Pokémon Learnset (Core)'!$A$1:$A951,0)&amp;":$FK$"&amp;MATCH($E314,'0.0.2 Pokémon Learnset (Core)'!$A$1:$A951,0)),'Reverse Search'!$E$21)),IF($C$2=2,COUNTIF(INDIRECT("'0.1.1 Pokémon GO Moves'!$B$"&amp;MATCH($E314,'0.1.1 Pokémon GO Moves'!$A$1:$A951,0)&amp;":$R$"&amp;MATCH($E314,'0.1.1 Pokémon GO Moves'!$A$1:$A951,0)),'Reverse Search'!$E$21),COUNTIF(INDIRECT("'0.1.1 Pokémon GO Moves'!$B$"&amp;MATCH($E314,'0.1.1 Pokémon GO Moves'!$A$1:$A951,0)&amp;":$L$"&amp;MATCH($E314,'0.1.1 Pokémon GO Moves'!$A$1:$A951,0)),'Reverse Search'!$E$21)))))</f>
        <v>1</v>
      </c>
      <c r="AA314" s="0" t="n">
        <f aca="true">IF('Reverse Search'!$C$14="Disable",1,IF('Reverse Search'!$I$16="Disable",1,IF($D$2=3,IF($M314=0,0,COUNTIF(INDIRECT("'0.0.2 Pokémon Learnset (Core)'!$D$"&amp;MATCH($E314,'0.0.2 Pokémon Learnset (Core)'!$A$1:$A951,0)&amp;":$FK$"&amp;MATCH($E314,'0.0.2 Pokémon Learnset (Core)'!$A$1:$A951,0)),'Reverse Search'!$J$21)),IF($D$2=2,COUNTIF(INDIRECT("'0.1.1 Pokémon GO Moves'!$B$"&amp;MATCH($E314,'0.1.1 Pokémon GO Moves'!$A$1:$A951,0)&amp;":$R$"&amp;MATCH($E314,'0.1.1 Pokémon GO Moves'!$A$1:$A951,0)),'Reverse Search'!$J$21),COUNTIF(INDIRECT("'0.1.1 Pokémon GO Moves'!$B$"&amp;MATCH($E314,'0.1.1 Pokémon GO Moves'!$A$1:$A951,0)&amp;":$L$"&amp;MATCH($E314,'0.1.1 Pokémon GO Moves'!$A$1:$A951,0)),'Reverse Search'!$J$21)))))</f>
        <v>0</v>
      </c>
      <c r="AB314" s="490"/>
      <c r="AC314" s="260" t="n">
        <f aca="false">IF((Q314+R314+S314+V314+W314+X314+Y314+IF(Z314&gt;=1,1,0)+IF(AA314&gt;=1,1,0))=9,G314&amp;", ",)</f>
        <v>0</v>
      </c>
    </row>
    <row r="315" customFormat="false" ht="15.75" hidden="false" customHeight="false" outlineLevel="0" collapsed="false">
      <c r="A315" s="260"/>
      <c r="B315" s="358"/>
      <c r="C315" s="260"/>
      <c r="D315" s="358"/>
      <c r="E315" s="260" t="n">
        <v>314</v>
      </c>
      <c r="F315" s="260" t="n">
        <f aca="false" t="array" ref="F315:F315">INDEX('0.0.1 Pokémon Dex Data'!$H$3:$H951,MATCH(E315,'0.0.1 Pokémon Dex Data'!$B$3:$B951,0))</f>
        <v>0</v>
      </c>
      <c r="G315" s="0" t="str">
        <f aca="false" t="array" ref="G315:G315">INDEX('0.0.1 Pokémon Dex Data'!$E$3:$E951,MATCH(E315,'0.0.1 Pokémon Dex Data'!$B$3:$B951,0))</f>
        <v>Ludicolo</v>
      </c>
      <c r="H315" s="0" t="str">
        <f aca="false" t="array" ref="H315:H315">INDEX('0.0.1 Pokémon Dex Data'!$Q$3:$Q951,MATCH(E315,'0.0.1 Pokémon Dex Data'!$B$3:$B951,0))</f>
        <v>Water</v>
      </c>
      <c r="I315" s="0" t="str">
        <f aca="false" t="array" ref="I315:I315">INDEX('0.0.1 Pokémon Dex Data'!$R$3:$R951,MATCH(E315,'0.0.1 Pokémon Dex Data'!$B$3:$B951,0))</f>
        <v>Grass</v>
      </c>
      <c r="J315" s="260" t="n">
        <f aca="false" t="array" ref="J315:J315">ROUND(INDEX('0.0.1 Pokémon Dex Data'!$S$3:$S951,MATCH($E315,'0.0.1 Pokémon Dex Data'!$B$3:$B951,0))*INDEX('0.0.1 Pokémon Dex Data'!T$3:T951,MATCH($E315,'0.0.1 Pokémon Dex Data'!$B$3:$B951,0)),0)</f>
        <v>173</v>
      </c>
      <c r="K315" s="260" t="n">
        <f aca="false" t="array" ref="K315:K315">ROUND(INDEX('0.0.1 Pokémon Dex Data'!$S$3:$S951,MATCH($E315,'0.0.1 Pokémon Dex Data'!$B$3:$B951,0))*INDEX('0.0.1 Pokémon Dex Data'!U$3:U951,MATCH($E315,'0.0.1 Pokémon Dex Data'!$B$3:$B951,0)),0)</f>
        <v>176</v>
      </c>
      <c r="L315" s="260" t="n">
        <f aca="false" t="array" ref="L315:L315">ROUND(INDEX('0.0.1 Pokémon Dex Data'!$S$3:$S951,MATCH($E315,'0.0.1 Pokémon Dex Data'!$B$3:$B951,0))*INDEX('0.0.1 Pokémon Dex Data'!V$3:V951,MATCH($E315,'0.0.1 Pokémon Dex Data'!$B$3:$B951,0)),0)</f>
        <v>190</v>
      </c>
      <c r="M315" s="260" t="n">
        <f aca="false" t="array" ref="M315:M315">INDEX('0.0.1 Pokémon Dex Data'!$J$3:$J951,MATCH(E315,'0.0.1 Pokémon Dex Data'!$B$3:$B951,0))</f>
        <v>1</v>
      </c>
      <c r="O315" s="490"/>
      <c r="Q315" s="367" t="n">
        <f aca="false">IF('Reverse Search'!$F$4="All (including temporary formes)",1,IF('Reverse Search'!$F$4="Base Pokémon and permanent formes only",IF(F315&lt;=1,1,0),IF(F315=0,1,0)))</f>
        <v>1</v>
      </c>
      <c r="R315" s="0" t="n">
        <f aca="false">IF('Reverse Search'!$C$7="Disable",1,IF('Reverse Search'!$D$9="Disable",1,IF(OR('Reverse Search'!$F$9=H315,'Reverse Search'!$F$9=I315),1,0)))</f>
        <v>1</v>
      </c>
      <c r="S315" s="0" t="n">
        <f aca="false">IF('Reverse Search'!$C$7="Disable",1,IF('Reverse Search'!$D$10="Disable",1,IF(OR('Reverse Search'!$F$10=H315,'Reverse Search'!$F$10=I315),1,0)))</f>
        <v>1</v>
      </c>
      <c r="T315" s="0" t="n">
        <f aca="false">INDEX($B$4:$B$22,MATCH(H315,$A$4:$A$22,0))</f>
        <v>1</v>
      </c>
      <c r="U315" s="0" t="n">
        <f aca="false">IF(ISBLANK(I315),1,INDEX($B$4:$B$22,MATCH(I315,$A$4:$A$22,0)))</f>
        <v>1</v>
      </c>
      <c r="V315" s="367" t="n">
        <f aca="false">IF('Reverse Search'!$C$7="Disable",1,IF('Reverse Search'!$D$11="Disable",1,IF('Reverse Search'!$E$11="Neutral to:",IF(ROUND(T315*U315,2)&lt;=1,1,0),IF(ROUND(T315*U315,2)&lt;1,1,0))))</f>
        <v>1</v>
      </c>
      <c r="W315" s="0" t="n">
        <f aca="false">IF('Reverse Search'!$N$7="Disable",1,IF('Reverse Search'!$I$9="Disable",1,IF('Reverse Search'!$K$9="≥",IF(J315&gt;='Reverse Search'!$L$9,1,0),IF('Reverse Search'!$K$9="≤",IF(J315&lt;='Reverse Search'!$L$9,1,0),IF(J315='Reverse Search'!$L$9,1,0)))))</f>
        <v>1</v>
      </c>
      <c r="X315" s="0" t="n">
        <f aca="false">IF('Reverse Search'!$N$7="Disable",1,IF('Reverse Search'!$I$10="Disable",1,IF('Reverse Search'!$K$10="≥",IF(K315&gt;='Reverse Search'!$L$10,1,0),IF('Reverse Search'!$K$10="≤",IF(K315&lt;='Reverse Search'!$L$10,1,0),IF(K315='Reverse Search'!$L$10,1,0)))))</f>
        <v>1</v>
      </c>
      <c r="Y315" s="367" t="n">
        <f aca="false">IF('Reverse Search'!$N$7="Disable",1,IF('Reverse Search'!$I$11="Disable",1,IF('Reverse Search'!$K$11="≥",IF(L315&gt;='Reverse Search'!$L$11,1,0),IF('Reverse Search'!$K$11="≤",IF(L315&lt;='Reverse Search'!$L$11,1,0),IF(L315='Reverse Search'!$L$11,1,0)))))</f>
        <v>1</v>
      </c>
      <c r="Z315" s="0" t="n">
        <f aca="true">IF('Reverse Search'!$C$14="Disable",1,IF('Reverse Search'!$D$16="Disable",1,IF($C$2=3,IF($M315=0,0,COUNTIF(INDIRECT("'0.0.2 Pokémon Learnset (Core)'!$D$"&amp;MATCH($E315,'0.0.2 Pokémon Learnset (Core)'!$A$1:$A951,0)&amp;":$FK$"&amp;MATCH($E315,'0.0.2 Pokémon Learnset (Core)'!$A$1:$A951,0)),'Reverse Search'!$E$21)),IF($C$2=2,COUNTIF(INDIRECT("'0.1.1 Pokémon GO Moves'!$B$"&amp;MATCH($E315,'0.1.1 Pokémon GO Moves'!$A$1:$A951,0)&amp;":$R$"&amp;MATCH($E315,'0.1.1 Pokémon GO Moves'!$A$1:$A951,0)),'Reverse Search'!$E$21),COUNTIF(INDIRECT("'0.1.1 Pokémon GO Moves'!$B$"&amp;MATCH($E315,'0.1.1 Pokémon GO Moves'!$A$1:$A951,0)&amp;":$L$"&amp;MATCH($E315,'0.1.1 Pokémon GO Moves'!$A$1:$A951,0)),'Reverse Search'!$E$21)))))</f>
        <v>1</v>
      </c>
      <c r="AA315" s="0" t="n">
        <f aca="true">IF('Reverse Search'!$C$14="Disable",1,IF('Reverse Search'!$I$16="Disable",1,IF($D$2=3,IF($M315=0,0,COUNTIF(INDIRECT("'0.0.2 Pokémon Learnset (Core)'!$D$"&amp;MATCH($E315,'0.0.2 Pokémon Learnset (Core)'!$A$1:$A951,0)&amp;":$FK$"&amp;MATCH($E315,'0.0.2 Pokémon Learnset (Core)'!$A$1:$A951,0)),'Reverse Search'!$J$21)),IF($D$2=2,COUNTIF(INDIRECT("'0.1.1 Pokémon GO Moves'!$B$"&amp;MATCH($E315,'0.1.1 Pokémon GO Moves'!$A$1:$A951,0)&amp;":$R$"&amp;MATCH($E315,'0.1.1 Pokémon GO Moves'!$A$1:$A951,0)),'Reverse Search'!$J$21),COUNTIF(INDIRECT("'0.1.1 Pokémon GO Moves'!$B$"&amp;MATCH($E315,'0.1.1 Pokémon GO Moves'!$A$1:$A951,0)&amp;":$L$"&amp;MATCH($E315,'0.1.1 Pokémon GO Moves'!$A$1:$A951,0)),'Reverse Search'!$J$21)))))</f>
        <v>0</v>
      </c>
      <c r="AB315" s="490"/>
      <c r="AC315" s="260" t="n">
        <f aca="false">IF((Q315+R315+S315+V315+W315+X315+Y315+IF(Z315&gt;=1,1,0)+IF(AA315&gt;=1,1,0))=9,G315&amp;", ",)</f>
        <v>0</v>
      </c>
    </row>
    <row r="316" customFormat="false" ht="15.75" hidden="false" customHeight="false" outlineLevel="0" collapsed="false">
      <c r="A316" s="260"/>
      <c r="B316" s="358"/>
      <c r="C316" s="260"/>
      <c r="D316" s="358"/>
      <c r="E316" s="260" t="n">
        <v>315</v>
      </c>
      <c r="F316" s="260" t="n">
        <f aca="false" t="array" ref="F316:F316">INDEX('0.0.1 Pokémon Dex Data'!$H$3:$H951,MATCH(E316,'0.0.1 Pokémon Dex Data'!$B$3:$B951,0))</f>
        <v>0</v>
      </c>
      <c r="G316" s="0" t="str">
        <f aca="false" t="array" ref="G316:G316">INDEX('0.0.1 Pokémon Dex Data'!$E$3:$E951,MATCH(E316,'0.0.1 Pokémon Dex Data'!$B$3:$B951,0))</f>
        <v>Seedot</v>
      </c>
      <c r="H316" s="0" t="str">
        <f aca="false" t="array" ref="H316:H316">INDEX('0.0.1 Pokémon Dex Data'!$Q$3:$Q951,MATCH(E316,'0.0.1 Pokémon Dex Data'!$B$3:$B951,0))</f>
        <v>Grass</v>
      </c>
      <c r="I316" s="0" t="n">
        <f aca="false">INDEX('0.0.1 Pokémon Dex Data'!$R$3:$R951,MATCH(E316,'0.0.1 Pokémon Dex Data'!$B$3:$B951,0))</f>
        <v>0</v>
      </c>
      <c r="J316" s="260" t="n">
        <f aca="false" t="array" ref="J316:J316">ROUND(INDEX('0.0.1 Pokémon Dex Data'!$S$3:$S951,MATCH($E316,'0.0.1 Pokémon Dex Data'!$B$3:$B951,0))*INDEX('0.0.1 Pokémon Dex Data'!T$3:T951,MATCH($E316,'0.0.1 Pokémon Dex Data'!$B$3:$B951,0)),0)</f>
        <v>71</v>
      </c>
      <c r="K316" s="260" t="n">
        <f aca="false" t="array" ref="K316:K316">ROUND(INDEX('0.0.1 Pokémon Dex Data'!$S$3:$S951,MATCH($E316,'0.0.1 Pokémon Dex Data'!$B$3:$B951,0))*INDEX('0.0.1 Pokémon Dex Data'!U$3:U951,MATCH($E316,'0.0.1 Pokémon Dex Data'!$B$3:$B951,0)),0)</f>
        <v>77</v>
      </c>
      <c r="L316" s="260" t="n">
        <f aca="false" t="array" ref="L316:L316">ROUND(INDEX('0.0.1 Pokémon Dex Data'!$S$3:$S951,MATCH($E316,'0.0.1 Pokémon Dex Data'!$B$3:$B951,0))*INDEX('0.0.1 Pokémon Dex Data'!V$3:V951,MATCH($E316,'0.0.1 Pokémon Dex Data'!$B$3:$B951,0)),0)</f>
        <v>120</v>
      </c>
      <c r="M316" s="260" t="n">
        <f aca="false" t="array" ref="M316:M316">INDEX('0.0.1 Pokémon Dex Data'!$J$3:$J951,MATCH(E316,'0.0.1 Pokémon Dex Data'!$B$3:$B951,0))</f>
        <v>0</v>
      </c>
      <c r="O316" s="490"/>
      <c r="Q316" s="367" t="n">
        <f aca="false">IF('Reverse Search'!$F$4="All (including temporary formes)",1,IF('Reverse Search'!$F$4="Base Pokémon and permanent formes only",IF(F316&lt;=1,1,0),IF(F316=0,1,0)))</f>
        <v>1</v>
      </c>
      <c r="R316" s="0" t="n">
        <f aca="false">IF('Reverse Search'!$C$7="Disable",1,IF('Reverse Search'!$D$9="Disable",1,IF(OR('Reverse Search'!$F$9=H316,'Reverse Search'!$F$9=I316),1,0)))</f>
        <v>1</v>
      </c>
      <c r="S316" s="0" t="n">
        <f aca="false">IF('Reverse Search'!$C$7="Disable",1,IF('Reverse Search'!$D$10="Disable",1,IF(OR('Reverse Search'!$F$10=H316,'Reverse Search'!$F$10=I316),1,0)))</f>
        <v>1</v>
      </c>
      <c r="T316" s="0" t="n">
        <f aca="false">INDEX($B$4:$B$22,MATCH(H316,$A$4:$A$22,0))</f>
        <v>1</v>
      </c>
      <c r="U316" s="0" t="e">
        <f aca="false">IF(ISBLANK(I316),1,INDEX($B$4:$B$22,MATCH(I316,$A$4:$A$22,0)))</f>
        <v>#N/A</v>
      </c>
      <c r="V316" s="367" t="n">
        <f aca="false">IF('Reverse Search'!$C$7="Disable",1,IF('Reverse Search'!$D$11="Disable",1,IF('Reverse Search'!$E$11="Neutral to:",IF(ROUND(T316*U316,2)&lt;=1,1,0),IF(ROUND(T316*U316,2)&lt;1,1,0))))</f>
        <v>1</v>
      </c>
      <c r="W316" s="0" t="n">
        <f aca="false">IF('Reverse Search'!$N$7="Disable",1,IF('Reverse Search'!$I$9="Disable",1,IF('Reverse Search'!$K$9="≥",IF(J316&gt;='Reverse Search'!$L$9,1,0),IF('Reverse Search'!$K$9="≤",IF(J316&lt;='Reverse Search'!$L$9,1,0),IF(J316='Reverse Search'!$L$9,1,0)))))</f>
        <v>1</v>
      </c>
      <c r="X316" s="0" t="n">
        <f aca="false">IF('Reverse Search'!$N$7="Disable",1,IF('Reverse Search'!$I$10="Disable",1,IF('Reverse Search'!$K$10="≥",IF(K316&gt;='Reverse Search'!$L$10,1,0),IF('Reverse Search'!$K$10="≤",IF(K316&lt;='Reverse Search'!$L$10,1,0),IF(K316='Reverse Search'!$L$10,1,0)))))</f>
        <v>1</v>
      </c>
      <c r="Y316" s="367" t="n">
        <f aca="false">IF('Reverse Search'!$N$7="Disable",1,IF('Reverse Search'!$I$11="Disable",1,IF('Reverse Search'!$K$11="≥",IF(L316&gt;='Reverse Search'!$L$11,1,0),IF('Reverse Search'!$K$11="≤",IF(L316&lt;='Reverse Search'!$L$11,1,0),IF(L316='Reverse Search'!$L$11,1,0)))))</f>
        <v>1</v>
      </c>
      <c r="Z316" s="0" t="n">
        <f aca="true">IF('Reverse Search'!$C$14="Disable",1,IF('Reverse Search'!$D$16="Disable",1,IF($C$2=3,IF($M316=0,0,COUNTIF(INDIRECT("'0.0.2 Pokémon Learnset (Core)'!$D$"&amp;MATCH($E316,'0.0.2 Pokémon Learnset (Core)'!$A$1:$A951,0)&amp;":$FK$"&amp;MATCH($E316,'0.0.2 Pokémon Learnset (Core)'!$A$1:$A951,0)),'Reverse Search'!$E$21)),IF($C$2=2,COUNTIF(INDIRECT("'0.1.1 Pokémon GO Moves'!$B$"&amp;MATCH($E316,'0.1.1 Pokémon GO Moves'!$A$1:$A951,0)&amp;":$R$"&amp;MATCH($E316,'0.1.1 Pokémon GO Moves'!$A$1:$A951,0)),'Reverse Search'!$E$21),COUNTIF(INDIRECT("'0.1.1 Pokémon GO Moves'!$B$"&amp;MATCH($E316,'0.1.1 Pokémon GO Moves'!$A$1:$A951,0)&amp;":$L$"&amp;MATCH($E316,'0.1.1 Pokémon GO Moves'!$A$1:$A951,0)),'Reverse Search'!$E$21)))))</f>
        <v>1</v>
      </c>
      <c r="AA316" s="0" t="n">
        <f aca="true">IF('Reverse Search'!$C$14="Disable",1,IF('Reverse Search'!$I$16="Disable",1,IF($D$2=3,IF($M316=0,0,COUNTIF(INDIRECT("'0.0.2 Pokémon Learnset (Core)'!$D$"&amp;MATCH($E316,'0.0.2 Pokémon Learnset (Core)'!$A$1:$A951,0)&amp;":$FK$"&amp;MATCH($E316,'0.0.2 Pokémon Learnset (Core)'!$A$1:$A951,0)),'Reverse Search'!$J$21)),IF($D$2=2,COUNTIF(INDIRECT("'0.1.1 Pokémon GO Moves'!$B$"&amp;MATCH($E316,'0.1.1 Pokémon GO Moves'!$A$1:$A951,0)&amp;":$R$"&amp;MATCH($E316,'0.1.1 Pokémon GO Moves'!$A$1:$A951,0)),'Reverse Search'!$J$21),COUNTIF(INDIRECT("'0.1.1 Pokémon GO Moves'!$B$"&amp;MATCH($E316,'0.1.1 Pokémon GO Moves'!$A$1:$A951,0)&amp;":$L$"&amp;MATCH($E316,'0.1.1 Pokémon GO Moves'!$A$1:$A951,0)),'Reverse Search'!$J$21)))))</f>
        <v>0</v>
      </c>
      <c r="AB316" s="490"/>
      <c r="AC316" s="260" t="n">
        <f aca="false">IF((Q316+R316+S316+V316+W316+X316+Y316+IF(Z316&gt;=1,1,0)+IF(AA316&gt;=1,1,0))=9,G316&amp;", ",)</f>
        <v>0</v>
      </c>
    </row>
    <row r="317" customFormat="false" ht="15.75" hidden="false" customHeight="false" outlineLevel="0" collapsed="false">
      <c r="A317" s="260"/>
      <c r="B317" s="358"/>
      <c r="C317" s="260"/>
      <c r="D317" s="358"/>
      <c r="E317" s="260" t="n">
        <v>316</v>
      </c>
      <c r="F317" s="260" t="n">
        <f aca="false" t="array" ref="F317:F317">INDEX('0.0.1 Pokémon Dex Data'!$H$3:$H951,MATCH(E317,'0.0.1 Pokémon Dex Data'!$B$3:$B951,0))</f>
        <v>0</v>
      </c>
      <c r="G317" s="0" t="str">
        <f aca="false" t="array" ref="G317:G317">INDEX('0.0.1 Pokémon Dex Data'!$E$3:$E951,MATCH(E317,'0.0.1 Pokémon Dex Data'!$B$3:$B951,0))</f>
        <v>Nuzleaf</v>
      </c>
      <c r="H317" s="0" t="str">
        <f aca="false" t="array" ref="H317:H317">INDEX('0.0.1 Pokémon Dex Data'!$Q$3:$Q951,MATCH(E317,'0.0.1 Pokémon Dex Data'!$B$3:$B951,0))</f>
        <v>Grass</v>
      </c>
      <c r="I317" s="0" t="str">
        <f aca="false" t="array" ref="I317:I317">INDEX('0.0.1 Pokémon Dex Data'!$R$3:$R951,MATCH(E317,'0.0.1 Pokémon Dex Data'!$B$3:$B951,0))</f>
        <v>Dark</v>
      </c>
      <c r="J317" s="260" t="n">
        <f aca="false" t="array" ref="J317:J317">ROUND(INDEX('0.0.1 Pokémon Dex Data'!$S$3:$S951,MATCH($E317,'0.0.1 Pokémon Dex Data'!$B$3:$B951,0))*INDEX('0.0.1 Pokémon Dex Data'!T$3:T951,MATCH($E317,'0.0.1 Pokémon Dex Data'!$B$3:$B951,0)),0)</f>
        <v>134</v>
      </c>
      <c r="K317" s="260" t="n">
        <f aca="false" t="array" ref="K317:K317">ROUND(INDEX('0.0.1 Pokémon Dex Data'!$S$3:$S951,MATCH($E317,'0.0.1 Pokémon Dex Data'!$B$3:$B951,0))*INDEX('0.0.1 Pokémon Dex Data'!U$3:U951,MATCH($E317,'0.0.1 Pokémon Dex Data'!$B$3:$B951,0)),0)</f>
        <v>78</v>
      </c>
      <c r="L317" s="260" t="n">
        <f aca="false" t="array" ref="L317:L317">ROUND(INDEX('0.0.1 Pokémon Dex Data'!$S$3:$S951,MATCH($E317,'0.0.1 Pokémon Dex Data'!$B$3:$B951,0))*INDEX('0.0.1 Pokémon Dex Data'!V$3:V951,MATCH($E317,'0.0.1 Pokémon Dex Data'!$B$3:$B951,0)),0)</f>
        <v>172</v>
      </c>
      <c r="M317" s="260" t="n">
        <f aca="false" t="array" ref="M317:M317">INDEX('0.0.1 Pokémon Dex Data'!$J$3:$J951,MATCH(E317,'0.0.1 Pokémon Dex Data'!$B$3:$B951,0))</f>
        <v>0</v>
      </c>
      <c r="O317" s="490"/>
      <c r="Q317" s="367" t="n">
        <f aca="false">IF('Reverse Search'!$F$4="All (including temporary formes)",1,IF('Reverse Search'!$F$4="Base Pokémon and permanent formes only",IF(F317&lt;=1,1,0),IF(F317=0,1,0)))</f>
        <v>1</v>
      </c>
      <c r="R317" s="0" t="n">
        <f aca="false">IF('Reverse Search'!$C$7="Disable",1,IF('Reverse Search'!$D$9="Disable",1,IF(OR('Reverse Search'!$F$9=H317,'Reverse Search'!$F$9=I317),1,0)))</f>
        <v>1</v>
      </c>
      <c r="S317" s="0" t="n">
        <f aca="false">IF('Reverse Search'!$C$7="Disable",1,IF('Reverse Search'!$D$10="Disable",1,IF(OR('Reverse Search'!$F$10=H317,'Reverse Search'!$F$10=I317),1,0)))</f>
        <v>1</v>
      </c>
      <c r="T317" s="0" t="n">
        <f aca="false">INDEX($B$4:$B$22,MATCH(H317,$A$4:$A$22,0))</f>
        <v>1</v>
      </c>
      <c r="U317" s="0" t="n">
        <f aca="false">IF(ISBLANK(I317),1,INDEX($B$4:$B$22,MATCH(I317,$A$4:$A$22,0)))</f>
        <v>1</v>
      </c>
      <c r="V317" s="367" t="n">
        <f aca="false">IF('Reverse Search'!$C$7="Disable",1,IF('Reverse Search'!$D$11="Disable",1,IF('Reverse Search'!$E$11="Neutral to:",IF(ROUND(T317*U317,2)&lt;=1,1,0),IF(ROUND(T317*U317,2)&lt;1,1,0))))</f>
        <v>1</v>
      </c>
      <c r="W317" s="0" t="n">
        <f aca="false">IF('Reverse Search'!$N$7="Disable",1,IF('Reverse Search'!$I$9="Disable",1,IF('Reverse Search'!$K$9="≥",IF(J317&gt;='Reverse Search'!$L$9,1,0),IF('Reverse Search'!$K$9="≤",IF(J317&lt;='Reverse Search'!$L$9,1,0),IF(J317='Reverse Search'!$L$9,1,0)))))</f>
        <v>1</v>
      </c>
      <c r="X317" s="0" t="n">
        <f aca="false">IF('Reverse Search'!$N$7="Disable",1,IF('Reverse Search'!$I$10="Disable",1,IF('Reverse Search'!$K$10="≥",IF(K317&gt;='Reverse Search'!$L$10,1,0),IF('Reverse Search'!$K$10="≤",IF(K317&lt;='Reverse Search'!$L$10,1,0),IF(K317='Reverse Search'!$L$10,1,0)))))</f>
        <v>1</v>
      </c>
      <c r="Y317" s="367" t="n">
        <f aca="false">IF('Reverse Search'!$N$7="Disable",1,IF('Reverse Search'!$I$11="Disable",1,IF('Reverse Search'!$K$11="≥",IF(L317&gt;='Reverse Search'!$L$11,1,0),IF('Reverse Search'!$K$11="≤",IF(L317&lt;='Reverse Search'!$L$11,1,0),IF(L317='Reverse Search'!$L$11,1,0)))))</f>
        <v>1</v>
      </c>
      <c r="Z317" s="0" t="n">
        <f aca="true">IF('Reverse Search'!$C$14="Disable",1,IF('Reverse Search'!$D$16="Disable",1,IF($C$2=3,IF($M317=0,0,COUNTIF(INDIRECT("'0.0.2 Pokémon Learnset (Core)'!$D$"&amp;MATCH($E317,'0.0.2 Pokémon Learnset (Core)'!$A$1:$A951,0)&amp;":$FK$"&amp;MATCH($E317,'0.0.2 Pokémon Learnset (Core)'!$A$1:$A951,0)),'Reverse Search'!$E$21)),IF($C$2=2,COUNTIF(INDIRECT("'0.1.1 Pokémon GO Moves'!$B$"&amp;MATCH($E317,'0.1.1 Pokémon GO Moves'!$A$1:$A951,0)&amp;":$R$"&amp;MATCH($E317,'0.1.1 Pokémon GO Moves'!$A$1:$A951,0)),'Reverse Search'!$E$21),COUNTIF(INDIRECT("'0.1.1 Pokémon GO Moves'!$B$"&amp;MATCH($E317,'0.1.1 Pokémon GO Moves'!$A$1:$A951,0)&amp;":$L$"&amp;MATCH($E317,'0.1.1 Pokémon GO Moves'!$A$1:$A951,0)),'Reverse Search'!$E$21)))))</f>
        <v>1</v>
      </c>
      <c r="AA317" s="0" t="n">
        <f aca="true">IF('Reverse Search'!$C$14="Disable",1,IF('Reverse Search'!$I$16="Disable",1,IF($D$2=3,IF($M317=0,0,COUNTIF(INDIRECT("'0.0.2 Pokémon Learnset (Core)'!$D$"&amp;MATCH($E317,'0.0.2 Pokémon Learnset (Core)'!$A$1:$A951,0)&amp;":$FK$"&amp;MATCH($E317,'0.0.2 Pokémon Learnset (Core)'!$A$1:$A951,0)),'Reverse Search'!$J$21)),IF($D$2=2,COUNTIF(INDIRECT("'0.1.1 Pokémon GO Moves'!$B$"&amp;MATCH($E317,'0.1.1 Pokémon GO Moves'!$A$1:$A951,0)&amp;":$R$"&amp;MATCH($E317,'0.1.1 Pokémon GO Moves'!$A$1:$A951,0)),'Reverse Search'!$J$21),COUNTIF(INDIRECT("'0.1.1 Pokémon GO Moves'!$B$"&amp;MATCH($E317,'0.1.1 Pokémon GO Moves'!$A$1:$A951,0)&amp;":$L$"&amp;MATCH($E317,'0.1.1 Pokémon GO Moves'!$A$1:$A951,0)),'Reverse Search'!$J$21)))))</f>
        <v>0</v>
      </c>
      <c r="AB317" s="490"/>
      <c r="AC317" s="260" t="n">
        <f aca="false">IF((Q317+R317+S317+V317+W317+X317+Y317+IF(Z317&gt;=1,1,0)+IF(AA317&gt;=1,1,0))=9,G317&amp;", ",)</f>
        <v>0</v>
      </c>
    </row>
    <row r="318" customFormat="false" ht="15.75" hidden="false" customHeight="false" outlineLevel="0" collapsed="false">
      <c r="A318" s="260"/>
      <c r="B318" s="358"/>
      <c r="C318" s="260"/>
      <c r="D318" s="358"/>
      <c r="E318" s="260" t="n">
        <v>317</v>
      </c>
      <c r="F318" s="260" t="n">
        <f aca="false" t="array" ref="F318:F318">INDEX('0.0.1 Pokémon Dex Data'!$H$3:$H951,MATCH(E318,'0.0.1 Pokémon Dex Data'!$B$3:$B951,0))</f>
        <v>0</v>
      </c>
      <c r="G318" s="0" t="str">
        <f aca="false" t="array" ref="G318:G318">INDEX('0.0.1 Pokémon Dex Data'!$E$3:$E951,MATCH(E318,'0.0.1 Pokémon Dex Data'!$B$3:$B951,0))</f>
        <v>Shiftry</v>
      </c>
      <c r="H318" s="0" t="str">
        <f aca="false" t="array" ref="H318:H318">INDEX('0.0.1 Pokémon Dex Data'!$Q$3:$Q951,MATCH(E318,'0.0.1 Pokémon Dex Data'!$B$3:$B951,0))</f>
        <v>Grass</v>
      </c>
      <c r="I318" s="0" t="str">
        <f aca="false" t="array" ref="I318:I318">INDEX('0.0.1 Pokémon Dex Data'!$R$3:$R951,MATCH(E318,'0.0.1 Pokémon Dex Data'!$B$3:$B951,0))</f>
        <v>Dark</v>
      </c>
      <c r="J318" s="260" t="n">
        <f aca="false" t="array" ref="J318:J318">ROUND(INDEX('0.0.1 Pokémon Dex Data'!$S$3:$S951,MATCH($E318,'0.0.1 Pokémon Dex Data'!$B$3:$B951,0))*INDEX('0.0.1 Pokémon Dex Data'!T$3:T951,MATCH($E318,'0.0.1 Pokémon Dex Data'!$B$3:$B951,0)),0)</f>
        <v>200</v>
      </c>
      <c r="K318" s="260" t="n">
        <f aca="false" t="array" ref="K318:K318">ROUND(INDEX('0.0.1 Pokémon Dex Data'!$S$3:$S951,MATCH($E318,'0.0.1 Pokémon Dex Data'!$B$3:$B951,0))*INDEX('0.0.1 Pokémon Dex Data'!U$3:U951,MATCH($E318,'0.0.1 Pokémon Dex Data'!$B$3:$B951,0)),0)</f>
        <v>121</v>
      </c>
      <c r="L318" s="260" t="n">
        <f aca="false" t="array" ref="L318:L318">ROUND(INDEX('0.0.1 Pokémon Dex Data'!$S$3:$S951,MATCH($E318,'0.0.1 Pokémon Dex Data'!$B$3:$B951,0))*INDEX('0.0.1 Pokémon Dex Data'!V$3:V951,MATCH($E318,'0.0.1 Pokémon Dex Data'!$B$3:$B951,0)),0)</f>
        <v>207</v>
      </c>
      <c r="M318" s="260" t="n">
        <f aca="false" t="array" ref="M318:M318">INDEX('0.0.1 Pokémon Dex Data'!$J$3:$J951,MATCH(E318,'0.0.1 Pokémon Dex Data'!$B$3:$B951,0))</f>
        <v>1</v>
      </c>
      <c r="O318" s="490"/>
      <c r="Q318" s="367" t="n">
        <f aca="false">IF('Reverse Search'!$F$4="All (including temporary formes)",1,IF('Reverse Search'!$F$4="Base Pokémon and permanent formes only",IF(F318&lt;=1,1,0),IF(F318=0,1,0)))</f>
        <v>1</v>
      </c>
      <c r="R318" s="0" t="n">
        <f aca="false">IF('Reverse Search'!$C$7="Disable",1,IF('Reverse Search'!$D$9="Disable",1,IF(OR('Reverse Search'!$F$9=H318,'Reverse Search'!$F$9=I318),1,0)))</f>
        <v>1</v>
      </c>
      <c r="S318" s="0" t="n">
        <f aca="false">IF('Reverse Search'!$C$7="Disable",1,IF('Reverse Search'!$D$10="Disable",1,IF(OR('Reverse Search'!$F$10=H318,'Reverse Search'!$F$10=I318),1,0)))</f>
        <v>1</v>
      </c>
      <c r="T318" s="0" t="n">
        <f aca="false">INDEX($B$4:$B$22,MATCH(H318,$A$4:$A$22,0))</f>
        <v>1</v>
      </c>
      <c r="U318" s="0" t="n">
        <f aca="false">IF(ISBLANK(I318),1,INDEX($B$4:$B$22,MATCH(I318,$A$4:$A$22,0)))</f>
        <v>1</v>
      </c>
      <c r="V318" s="367" t="n">
        <f aca="false">IF('Reverse Search'!$C$7="Disable",1,IF('Reverse Search'!$D$11="Disable",1,IF('Reverse Search'!$E$11="Neutral to:",IF(ROUND(T318*U318,2)&lt;=1,1,0),IF(ROUND(T318*U318,2)&lt;1,1,0))))</f>
        <v>1</v>
      </c>
      <c r="W318" s="0" t="n">
        <f aca="false">IF('Reverse Search'!$N$7="Disable",1,IF('Reverse Search'!$I$9="Disable",1,IF('Reverse Search'!$K$9="≥",IF(J318&gt;='Reverse Search'!$L$9,1,0),IF('Reverse Search'!$K$9="≤",IF(J318&lt;='Reverse Search'!$L$9,1,0),IF(J318='Reverse Search'!$L$9,1,0)))))</f>
        <v>1</v>
      </c>
      <c r="X318" s="0" t="n">
        <f aca="false">IF('Reverse Search'!$N$7="Disable",1,IF('Reverse Search'!$I$10="Disable",1,IF('Reverse Search'!$K$10="≥",IF(K318&gt;='Reverse Search'!$L$10,1,0),IF('Reverse Search'!$K$10="≤",IF(K318&lt;='Reverse Search'!$L$10,1,0),IF(K318='Reverse Search'!$L$10,1,0)))))</f>
        <v>1</v>
      </c>
      <c r="Y318" s="367" t="n">
        <f aca="false">IF('Reverse Search'!$N$7="Disable",1,IF('Reverse Search'!$I$11="Disable",1,IF('Reverse Search'!$K$11="≥",IF(L318&gt;='Reverse Search'!$L$11,1,0),IF('Reverse Search'!$K$11="≤",IF(L318&lt;='Reverse Search'!$L$11,1,0),IF(L318='Reverse Search'!$L$11,1,0)))))</f>
        <v>1</v>
      </c>
      <c r="Z318" s="0" t="n">
        <f aca="true">IF('Reverse Search'!$C$14="Disable",1,IF('Reverse Search'!$D$16="Disable",1,IF($C$2=3,IF($M318=0,0,COUNTIF(INDIRECT("'0.0.2 Pokémon Learnset (Core)'!$D$"&amp;MATCH($E318,'0.0.2 Pokémon Learnset (Core)'!$A$1:$A951,0)&amp;":$FK$"&amp;MATCH($E318,'0.0.2 Pokémon Learnset (Core)'!$A$1:$A951,0)),'Reverse Search'!$E$21)),IF($C$2=2,COUNTIF(INDIRECT("'0.1.1 Pokémon GO Moves'!$B$"&amp;MATCH($E318,'0.1.1 Pokémon GO Moves'!$A$1:$A951,0)&amp;":$R$"&amp;MATCH($E318,'0.1.1 Pokémon GO Moves'!$A$1:$A951,0)),'Reverse Search'!$E$21),COUNTIF(INDIRECT("'0.1.1 Pokémon GO Moves'!$B$"&amp;MATCH($E318,'0.1.1 Pokémon GO Moves'!$A$1:$A951,0)&amp;":$L$"&amp;MATCH($E318,'0.1.1 Pokémon GO Moves'!$A$1:$A951,0)),'Reverse Search'!$E$21)))))</f>
        <v>1</v>
      </c>
      <c r="AA318" s="0" t="n">
        <f aca="true">IF('Reverse Search'!$C$14="Disable",1,IF('Reverse Search'!$I$16="Disable",1,IF($D$2=3,IF($M318=0,0,COUNTIF(INDIRECT("'0.0.2 Pokémon Learnset (Core)'!$D$"&amp;MATCH($E318,'0.0.2 Pokémon Learnset (Core)'!$A$1:$A951,0)&amp;":$FK$"&amp;MATCH($E318,'0.0.2 Pokémon Learnset (Core)'!$A$1:$A951,0)),'Reverse Search'!$J$21)),IF($D$2=2,COUNTIF(INDIRECT("'0.1.1 Pokémon GO Moves'!$B$"&amp;MATCH($E318,'0.1.1 Pokémon GO Moves'!$A$1:$A951,0)&amp;":$R$"&amp;MATCH($E318,'0.1.1 Pokémon GO Moves'!$A$1:$A951,0)),'Reverse Search'!$J$21),COUNTIF(INDIRECT("'0.1.1 Pokémon GO Moves'!$B$"&amp;MATCH($E318,'0.1.1 Pokémon GO Moves'!$A$1:$A951,0)&amp;":$L$"&amp;MATCH($E318,'0.1.1 Pokémon GO Moves'!$A$1:$A951,0)),'Reverse Search'!$J$21)))))</f>
        <v>0</v>
      </c>
      <c r="AB318" s="490"/>
      <c r="AC318" s="260" t="n">
        <f aca="false">IF((Q318+R318+S318+V318+W318+X318+Y318+IF(Z318&gt;=1,1,0)+IF(AA318&gt;=1,1,0))=9,G318&amp;", ",)</f>
        <v>0</v>
      </c>
    </row>
    <row r="319" customFormat="false" ht="15.75" hidden="false" customHeight="false" outlineLevel="0" collapsed="false">
      <c r="A319" s="260"/>
      <c r="B319" s="358"/>
      <c r="C319" s="260"/>
      <c r="D319" s="358"/>
      <c r="E319" s="260" t="n">
        <v>318</v>
      </c>
      <c r="F319" s="260" t="n">
        <f aca="false" t="array" ref="F319:F319">INDEX('0.0.1 Pokémon Dex Data'!$H$3:$H951,MATCH(E319,'0.0.1 Pokémon Dex Data'!$B$3:$B951,0))</f>
        <v>0</v>
      </c>
      <c r="G319" s="0" t="str">
        <f aca="false" t="array" ref="G319:G319">INDEX('0.0.1 Pokémon Dex Data'!$E$3:$E951,MATCH(E319,'0.0.1 Pokémon Dex Data'!$B$3:$B951,0))</f>
        <v>Taillow</v>
      </c>
      <c r="H319" s="0" t="str">
        <f aca="false" t="array" ref="H319:H319">INDEX('0.0.1 Pokémon Dex Data'!$Q$3:$Q951,MATCH(E319,'0.0.1 Pokémon Dex Data'!$B$3:$B951,0))</f>
        <v>Normal</v>
      </c>
      <c r="I319" s="0" t="str">
        <f aca="false" t="array" ref="I319:I319">INDEX('0.0.1 Pokémon Dex Data'!$R$3:$R951,MATCH(E319,'0.0.1 Pokémon Dex Data'!$B$3:$B951,0))</f>
        <v>Flying</v>
      </c>
      <c r="J319" s="260" t="n">
        <f aca="false" t="array" ref="J319:J319">ROUND(INDEX('0.0.1 Pokémon Dex Data'!$S$3:$S951,MATCH($E319,'0.0.1 Pokémon Dex Data'!$B$3:$B951,0))*INDEX('0.0.1 Pokémon Dex Data'!T$3:T951,MATCH($E319,'0.0.1 Pokémon Dex Data'!$B$3:$B951,0)),0)</f>
        <v>106</v>
      </c>
      <c r="K319" s="260" t="n">
        <f aca="false" t="array" ref="K319:K319">ROUND(INDEX('0.0.1 Pokémon Dex Data'!$S$3:$S951,MATCH($E319,'0.0.1 Pokémon Dex Data'!$B$3:$B951,0))*INDEX('0.0.1 Pokémon Dex Data'!U$3:U951,MATCH($E319,'0.0.1 Pokémon Dex Data'!$B$3:$B951,0)),0)</f>
        <v>61</v>
      </c>
      <c r="L319" s="260" t="n">
        <f aca="false" t="array" ref="L319:L319">ROUND(INDEX('0.0.1 Pokémon Dex Data'!$S$3:$S951,MATCH($E319,'0.0.1 Pokémon Dex Data'!$B$3:$B951,0))*INDEX('0.0.1 Pokémon Dex Data'!V$3:V951,MATCH($E319,'0.0.1 Pokémon Dex Data'!$B$3:$B951,0)),0)</f>
        <v>120</v>
      </c>
      <c r="M319" s="260" t="n">
        <f aca="false" t="array" ref="M319:M319">INDEX('0.0.1 Pokémon Dex Data'!$J$3:$J951,MATCH(E319,'0.0.1 Pokémon Dex Data'!$B$3:$B951,0))</f>
        <v>0</v>
      </c>
      <c r="O319" s="490"/>
      <c r="Q319" s="367" t="n">
        <f aca="false">IF('Reverse Search'!$F$4="All (including temporary formes)",1,IF('Reverse Search'!$F$4="Base Pokémon and permanent formes only",IF(F319&lt;=1,1,0),IF(F319=0,1,0)))</f>
        <v>1</v>
      </c>
      <c r="R319" s="0" t="n">
        <f aca="false">IF('Reverse Search'!$C$7="Disable",1,IF('Reverse Search'!$D$9="Disable",1,IF(OR('Reverse Search'!$F$9=H319,'Reverse Search'!$F$9=I319),1,0)))</f>
        <v>1</v>
      </c>
      <c r="S319" s="0" t="n">
        <f aca="false">IF('Reverse Search'!$C$7="Disable",1,IF('Reverse Search'!$D$10="Disable",1,IF(OR('Reverse Search'!$F$10=H319,'Reverse Search'!$F$10=I319),1,0)))</f>
        <v>1</v>
      </c>
      <c r="T319" s="0" t="n">
        <f aca="false">INDEX($B$4:$B$22,MATCH(H319,$A$4:$A$22,0))</f>
        <v>1</v>
      </c>
      <c r="U319" s="0" t="n">
        <f aca="false">IF(ISBLANK(I319),1,INDEX($B$4:$B$22,MATCH(I319,$A$4:$A$22,0)))</f>
        <v>1</v>
      </c>
      <c r="V319" s="367" t="n">
        <f aca="false">IF('Reverse Search'!$C$7="Disable",1,IF('Reverse Search'!$D$11="Disable",1,IF('Reverse Search'!$E$11="Neutral to:",IF(ROUND(T319*U319,2)&lt;=1,1,0),IF(ROUND(T319*U319,2)&lt;1,1,0))))</f>
        <v>1</v>
      </c>
      <c r="W319" s="0" t="n">
        <f aca="false">IF('Reverse Search'!$N$7="Disable",1,IF('Reverse Search'!$I$9="Disable",1,IF('Reverse Search'!$K$9="≥",IF(J319&gt;='Reverse Search'!$L$9,1,0),IF('Reverse Search'!$K$9="≤",IF(J319&lt;='Reverse Search'!$L$9,1,0),IF(J319='Reverse Search'!$L$9,1,0)))))</f>
        <v>1</v>
      </c>
      <c r="X319" s="0" t="n">
        <f aca="false">IF('Reverse Search'!$N$7="Disable",1,IF('Reverse Search'!$I$10="Disable",1,IF('Reverse Search'!$K$10="≥",IF(K319&gt;='Reverse Search'!$L$10,1,0),IF('Reverse Search'!$K$10="≤",IF(K319&lt;='Reverse Search'!$L$10,1,0),IF(K319='Reverse Search'!$L$10,1,0)))))</f>
        <v>1</v>
      </c>
      <c r="Y319" s="367" t="n">
        <f aca="false">IF('Reverse Search'!$N$7="Disable",1,IF('Reverse Search'!$I$11="Disable",1,IF('Reverse Search'!$K$11="≥",IF(L319&gt;='Reverse Search'!$L$11,1,0),IF('Reverse Search'!$K$11="≤",IF(L319&lt;='Reverse Search'!$L$11,1,0),IF(L319='Reverse Search'!$L$11,1,0)))))</f>
        <v>1</v>
      </c>
      <c r="Z319" s="0" t="n">
        <f aca="true">IF('Reverse Search'!$C$14="Disable",1,IF('Reverse Search'!$D$16="Disable",1,IF($C$2=3,IF($M319=0,0,COUNTIF(INDIRECT("'0.0.2 Pokémon Learnset (Core)'!$D$"&amp;MATCH($E319,'0.0.2 Pokémon Learnset (Core)'!$A$1:$A951,0)&amp;":$FK$"&amp;MATCH($E319,'0.0.2 Pokémon Learnset (Core)'!$A$1:$A951,0)),'Reverse Search'!$E$21)),IF($C$2=2,COUNTIF(INDIRECT("'0.1.1 Pokémon GO Moves'!$B$"&amp;MATCH($E319,'0.1.1 Pokémon GO Moves'!$A$1:$A951,0)&amp;":$R$"&amp;MATCH($E319,'0.1.1 Pokémon GO Moves'!$A$1:$A951,0)),'Reverse Search'!$E$21),COUNTIF(INDIRECT("'0.1.1 Pokémon GO Moves'!$B$"&amp;MATCH($E319,'0.1.1 Pokémon GO Moves'!$A$1:$A951,0)&amp;":$L$"&amp;MATCH($E319,'0.1.1 Pokémon GO Moves'!$A$1:$A951,0)),'Reverse Search'!$E$21)))))</f>
        <v>1</v>
      </c>
      <c r="AA319" s="0" t="n">
        <f aca="true">IF('Reverse Search'!$C$14="Disable",1,IF('Reverse Search'!$I$16="Disable",1,IF($D$2=3,IF($M319=0,0,COUNTIF(INDIRECT("'0.0.2 Pokémon Learnset (Core)'!$D$"&amp;MATCH($E319,'0.0.2 Pokémon Learnset (Core)'!$A$1:$A951,0)&amp;":$FK$"&amp;MATCH($E319,'0.0.2 Pokémon Learnset (Core)'!$A$1:$A951,0)),'Reverse Search'!$J$21)),IF($D$2=2,COUNTIF(INDIRECT("'0.1.1 Pokémon GO Moves'!$B$"&amp;MATCH($E319,'0.1.1 Pokémon GO Moves'!$A$1:$A951,0)&amp;":$R$"&amp;MATCH($E319,'0.1.1 Pokémon GO Moves'!$A$1:$A951,0)),'Reverse Search'!$J$21),COUNTIF(INDIRECT("'0.1.1 Pokémon GO Moves'!$B$"&amp;MATCH($E319,'0.1.1 Pokémon GO Moves'!$A$1:$A951,0)&amp;":$L$"&amp;MATCH($E319,'0.1.1 Pokémon GO Moves'!$A$1:$A951,0)),'Reverse Search'!$J$21)))))</f>
        <v>0</v>
      </c>
      <c r="AB319" s="490"/>
      <c r="AC319" s="260" t="n">
        <f aca="false">IF((Q319+R319+S319+V319+W319+X319+Y319+IF(Z319&gt;=1,1,0)+IF(AA319&gt;=1,1,0))=9,G319&amp;", ",)</f>
        <v>0</v>
      </c>
    </row>
    <row r="320" customFormat="false" ht="15.75" hidden="false" customHeight="false" outlineLevel="0" collapsed="false">
      <c r="A320" s="260"/>
      <c r="B320" s="358"/>
      <c r="C320" s="260"/>
      <c r="D320" s="358"/>
      <c r="E320" s="260" t="n">
        <v>319</v>
      </c>
      <c r="F320" s="260" t="n">
        <f aca="false" t="array" ref="F320:F320">INDEX('0.0.1 Pokémon Dex Data'!$H$3:$H951,MATCH(E320,'0.0.1 Pokémon Dex Data'!$B$3:$B951,0))</f>
        <v>0</v>
      </c>
      <c r="G320" s="0" t="str">
        <f aca="false" t="array" ref="G320:G320">INDEX('0.0.1 Pokémon Dex Data'!$E$3:$E951,MATCH(E320,'0.0.1 Pokémon Dex Data'!$B$3:$B951,0))</f>
        <v>Swellow</v>
      </c>
      <c r="H320" s="0" t="str">
        <f aca="false" t="array" ref="H320:H320">INDEX('0.0.1 Pokémon Dex Data'!$Q$3:$Q951,MATCH(E320,'0.0.1 Pokémon Dex Data'!$B$3:$B951,0))</f>
        <v>Normal</v>
      </c>
      <c r="I320" s="0" t="str">
        <f aca="false" t="array" ref="I320:I320">INDEX('0.0.1 Pokémon Dex Data'!$R$3:$R951,MATCH(E320,'0.0.1 Pokémon Dex Data'!$B$3:$B951,0))</f>
        <v>Flying</v>
      </c>
      <c r="J320" s="260" t="n">
        <f aca="false" t="array" ref="J320:J320">ROUND(INDEX('0.0.1 Pokémon Dex Data'!$S$3:$S951,MATCH($E320,'0.0.1 Pokémon Dex Data'!$B$3:$B951,0))*INDEX('0.0.1 Pokémon Dex Data'!T$3:T951,MATCH($E320,'0.0.1 Pokémon Dex Data'!$B$3:$B951,0)),0)</f>
        <v>185</v>
      </c>
      <c r="K320" s="260" t="n">
        <f aca="false" t="array" ref="K320:K320">ROUND(INDEX('0.0.1 Pokémon Dex Data'!$S$3:$S951,MATCH($E320,'0.0.1 Pokémon Dex Data'!$B$3:$B951,0))*INDEX('0.0.1 Pokémon Dex Data'!U$3:U951,MATCH($E320,'0.0.1 Pokémon Dex Data'!$B$3:$B951,0)),0)</f>
        <v>124</v>
      </c>
      <c r="L320" s="260" t="n">
        <f aca="false" t="array" ref="L320:L320">ROUND(INDEX('0.0.1 Pokémon Dex Data'!$S$3:$S951,MATCH($E320,'0.0.1 Pokémon Dex Data'!$B$3:$B951,0))*INDEX('0.0.1 Pokémon Dex Data'!V$3:V951,MATCH($E320,'0.0.1 Pokémon Dex Data'!$B$3:$B951,0)),0)</f>
        <v>155</v>
      </c>
      <c r="M320" s="260" t="n">
        <f aca="false" t="array" ref="M320:M320">INDEX('0.0.1 Pokémon Dex Data'!$J$3:$J951,MATCH(E320,'0.0.1 Pokémon Dex Data'!$B$3:$B951,0))</f>
        <v>1</v>
      </c>
      <c r="O320" s="490"/>
      <c r="Q320" s="367" t="n">
        <f aca="false">IF('Reverse Search'!$F$4="All (including temporary formes)",1,IF('Reverse Search'!$F$4="Base Pokémon and permanent formes only",IF(F320&lt;=1,1,0),IF(F320=0,1,0)))</f>
        <v>1</v>
      </c>
      <c r="R320" s="0" t="n">
        <f aca="false">IF('Reverse Search'!$C$7="Disable",1,IF('Reverse Search'!$D$9="Disable",1,IF(OR('Reverse Search'!$F$9=H320,'Reverse Search'!$F$9=I320),1,0)))</f>
        <v>1</v>
      </c>
      <c r="S320" s="0" t="n">
        <f aca="false">IF('Reverse Search'!$C$7="Disable",1,IF('Reverse Search'!$D$10="Disable",1,IF(OR('Reverse Search'!$F$10=H320,'Reverse Search'!$F$10=I320),1,0)))</f>
        <v>1</v>
      </c>
      <c r="T320" s="0" t="n">
        <f aca="false">INDEX($B$4:$B$22,MATCH(H320,$A$4:$A$22,0))</f>
        <v>1</v>
      </c>
      <c r="U320" s="0" t="n">
        <f aca="false">IF(ISBLANK(I320),1,INDEX($B$4:$B$22,MATCH(I320,$A$4:$A$22,0)))</f>
        <v>1</v>
      </c>
      <c r="V320" s="367" t="n">
        <f aca="false">IF('Reverse Search'!$C$7="Disable",1,IF('Reverse Search'!$D$11="Disable",1,IF('Reverse Search'!$E$11="Neutral to:",IF(ROUND(T320*U320,2)&lt;=1,1,0),IF(ROUND(T320*U320,2)&lt;1,1,0))))</f>
        <v>1</v>
      </c>
      <c r="W320" s="0" t="n">
        <f aca="false">IF('Reverse Search'!$N$7="Disable",1,IF('Reverse Search'!$I$9="Disable",1,IF('Reverse Search'!$K$9="≥",IF(J320&gt;='Reverse Search'!$L$9,1,0),IF('Reverse Search'!$K$9="≤",IF(J320&lt;='Reverse Search'!$L$9,1,0),IF(J320='Reverse Search'!$L$9,1,0)))))</f>
        <v>1</v>
      </c>
      <c r="X320" s="0" t="n">
        <f aca="false">IF('Reverse Search'!$N$7="Disable",1,IF('Reverse Search'!$I$10="Disable",1,IF('Reverse Search'!$K$10="≥",IF(K320&gt;='Reverse Search'!$L$10,1,0),IF('Reverse Search'!$K$10="≤",IF(K320&lt;='Reverse Search'!$L$10,1,0),IF(K320='Reverse Search'!$L$10,1,0)))))</f>
        <v>1</v>
      </c>
      <c r="Y320" s="367" t="n">
        <f aca="false">IF('Reverse Search'!$N$7="Disable",1,IF('Reverse Search'!$I$11="Disable",1,IF('Reverse Search'!$K$11="≥",IF(L320&gt;='Reverse Search'!$L$11,1,0),IF('Reverse Search'!$K$11="≤",IF(L320&lt;='Reverse Search'!$L$11,1,0),IF(L320='Reverse Search'!$L$11,1,0)))))</f>
        <v>1</v>
      </c>
      <c r="Z320" s="0" t="n">
        <f aca="true">IF('Reverse Search'!$C$14="Disable",1,IF('Reverse Search'!$D$16="Disable",1,IF($C$2=3,IF($M320=0,0,COUNTIF(INDIRECT("'0.0.2 Pokémon Learnset (Core)'!$D$"&amp;MATCH($E320,'0.0.2 Pokémon Learnset (Core)'!$A$1:$A951,0)&amp;":$FK$"&amp;MATCH($E320,'0.0.2 Pokémon Learnset (Core)'!$A$1:$A951,0)),'Reverse Search'!$E$21)),IF($C$2=2,COUNTIF(INDIRECT("'0.1.1 Pokémon GO Moves'!$B$"&amp;MATCH($E320,'0.1.1 Pokémon GO Moves'!$A$1:$A951,0)&amp;":$R$"&amp;MATCH($E320,'0.1.1 Pokémon GO Moves'!$A$1:$A951,0)),'Reverse Search'!$E$21),COUNTIF(INDIRECT("'0.1.1 Pokémon GO Moves'!$B$"&amp;MATCH($E320,'0.1.1 Pokémon GO Moves'!$A$1:$A951,0)&amp;":$L$"&amp;MATCH($E320,'0.1.1 Pokémon GO Moves'!$A$1:$A951,0)),'Reverse Search'!$E$21)))))</f>
        <v>1</v>
      </c>
      <c r="AA320" s="0" t="n">
        <f aca="true">IF('Reverse Search'!$C$14="Disable",1,IF('Reverse Search'!$I$16="Disable",1,IF($D$2=3,IF($M320=0,0,COUNTIF(INDIRECT("'0.0.2 Pokémon Learnset (Core)'!$D$"&amp;MATCH($E320,'0.0.2 Pokémon Learnset (Core)'!$A$1:$A951,0)&amp;":$FK$"&amp;MATCH($E320,'0.0.2 Pokémon Learnset (Core)'!$A$1:$A951,0)),'Reverse Search'!$J$21)),IF($D$2=2,COUNTIF(INDIRECT("'0.1.1 Pokémon GO Moves'!$B$"&amp;MATCH($E320,'0.1.1 Pokémon GO Moves'!$A$1:$A951,0)&amp;":$R$"&amp;MATCH($E320,'0.1.1 Pokémon GO Moves'!$A$1:$A951,0)),'Reverse Search'!$J$21),COUNTIF(INDIRECT("'0.1.1 Pokémon GO Moves'!$B$"&amp;MATCH($E320,'0.1.1 Pokémon GO Moves'!$A$1:$A951,0)&amp;":$L$"&amp;MATCH($E320,'0.1.1 Pokémon GO Moves'!$A$1:$A951,0)),'Reverse Search'!$J$21)))))</f>
        <v>0</v>
      </c>
      <c r="AB320" s="490"/>
      <c r="AC320" s="260" t="n">
        <f aca="false">IF((Q320+R320+S320+V320+W320+X320+Y320+IF(Z320&gt;=1,1,0)+IF(AA320&gt;=1,1,0))=9,G320&amp;", ",)</f>
        <v>0</v>
      </c>
    </row>
    <row r="321" customFormat="false" ht="15.75" hidden="false" customHeight="false" outlineLevel="0" collapsed="false">
      <c r="A321" s="260"/>
      <c r="B321" s="358"/>
      <c r="C321" s="260"/>
      <c r="D321" s="358"/>
      <c r="E321" s="260" t="n">
        <v>320</v>
      </c>
      <c r="F321" s="260" t="n">
        <f aca="false" t="array" ref="F321:F321">INDEX('0.0.1 Pokémon Dex Data'!$H$3:$H951,MATCH(E321,'0.0.1 Pokémon Dex Data'!$B$3:$B951,0))</f>
        <v>0</v>
      </c>
      <c r="G321" s="0" t="str">
        <f aca="false" t="array" ref="G321:G321">INDEX('0.0.1 Pokémon Dex Data'!$E$3:$E951,MATCH(E321,'0.0.1 Pokémon Dex Data'!$B$3:$B951,0))</f>
        <v>Wingull</v>
      </c>
      <c r="H321" s="0" t="str">
        <f aca="false" t="array" ref="H321:H321">INDEX('0.0.1 Pokémon Dex Data'!$Q$3:$Q951,MATCH(E321,'0.0.1 Pokémon Dex Data'!$B$3:$B951,0))</f>
        <v>Water</v>
      </c>
      <c r="I321" s="0" t="str">
        <f aca="false" t="array" ref="I321:I321">INDEX('0.0.1 Pokémon Dex Data'!$R$3:$R951,MATCH(E321,'0.0.1 Pokémon Dex Data'!$B$3:$B951,0))</f>
        <v>Flying</v>
      </c>
      <c r="J321" s="260" t="n">
        <f aca="false" t="array" ref="J321:J321">ROUND(INDEX('0.0.1 Pokémon Dex Data'!$S$3:$S951,MATCH($E321,'0.0.1 Pokémon Dex Data'!$B$3:$B951,0))*INDEX('0.0.1 Pokémon Dex Data'!T$3:T951,MATCH($E321,'0.0.1 Pokémon Dex Data'!$B$3:$B951,0)),0)</f>
        <v>106</v>
      </c>
      <c r="K321" s="260" t="n">
        <f aca="false" t="array" ref="K321:K321">ROUND(INDEX('0.0.1 Pokémon Dex Data'!$S$3:$S951,MATCH($E321,'0.0.1 Pokémon Dex Data'!$B$3:$B951,0))*INDEX('0.0.1 Pokémon Dex Data'!U$3:U951,MATCH($E321,'0.0.1 Pokémon Dex Data'!$B$3:$B951,0)),0)</f>
        <v>61</v>
      </c>
      <c r="L321" s="260" t="n">
        <f aca="false" t="array" ref="L321:L321">ROUND(INDEX('0.0.1 Pokémon Dex Data'!$S$3:$S951,MATCH($E321,'0.0.1 Pokémon Dex Data'!$B$3:$B951,0))*INDEX('0.0.1 Pokémon Dex Data'!V$3:V951,MATCH($E321,'0.0.1 Pokémon Dex Data'!$B$3:$B951,0)),0)</f>
        <v>120</v>
      </c>
      <c r="M321" s="260" t="n">
        <f aca="false" t="array" ref="M321:M321">INDEX('0.0.1 Pokémon Dex Data'!$J$3:$J951,MATCH(E321,'0.0.1 Pokémon Dex Data'!$B$3:$B951,0))</f>
        <v>0</v>
      </c>
      <c r="O321" s="490"/>
      <c r="Q321" s="367" t="n">
        <f aca="false">IF('Reverse Search'!$F$4="All (including temporary formes)",1,IF('Reverse Search'!$F$4="Base Pokémon and permanent formes only",IF(F321&lt;=1,1,0),IF(F321=0,1,0)))</f>
        <v>1</v>
      </c>
      <c r="R321" s="0" t="n">
        <f aca="false">IF('Reverse Search'!$C$7="Disable",1,IF('Reverse Search'!$D$9="Disable",1,IF(OR('Reverse Search'!$F$9=H321,'Reverse Search'!$F$9=I321),1,0)))</f>
        <v>1</v>
      </c>
      <c r="S321" s="0" t="n">
        <f aca="false">IF('Reverse Search'!$C$7="Disable",1,IF('Reverse Search'!$D$10="Disable",1,IF(OR('Reverse Search'!$F$10=H321,'Reverse Search'!$F$10=I321),1,0)))</f>
        <v>1</v>
      </c>
      <c r="T321" s="0" t="n">
        <f aca="false">INDEX($B$4:$B$22,MATCH(H321,$A$4:$A$22,0))</f>
        <v>1</v>
      </c>
      <c r="U321" s="0" t="n">
        <f aca="false">IF(ISBLANK(I321),1,INDEX($B$4:$B$22,MATCH(I321,$A$4:$A$22,0)))</f>
        <v>1</v>
      </c>
      <c r="V321" s="367" t="n">
        <f aca="false">IF('Reverse Search'!$C$7="Disable",1,IF('Reverse Search'!$D$11="Disable",1,IF('Reverse Search'!$E$11="Neutral to:",IF(ROUND(T321*U321,2)&lt;=1,1,0),IF(ROUND(T321*U321,2)&lt;1,1,0))))</f>
        <v>1</v>
      </c>
      <c r="W321" s="0" t="n">
        <f aca="false">IF('Reverse Search'!$N$7="Disable",1,IF('Reverse Search'!$I$9="Disable",1,IF('Reverse Search'!$K$9="≥",IF(J321&gt;='Reverse Search'!$L$9,1,0),IF('Reverse Search'!$K$9="≤",IF(J321&lt;='Reverse Search'!$L$9,1,0),IF(J321='Reverse Search'!$L$9,1,0)))))</f>
        <v>1</v>
      </c>
      <c r="X321" s="0" t="n">
        <f aca="false">IF('Reverse Search'!$N$7="Disable",1,IF('Reverse Search'!$I$10="Disable",1,IF('Reverse Search'!$K$10="≥",IF(K321&gt;='Reverse Search'!$L$10,1,0),IF('Reverse Search'!$K$10="≤",IF(K321&lt;='Reverse Search'!$L$10,1,0),IF(K321='Reverse Search'!$L$10,1,0)))))</f>
        <v>1</v>
      </c>
      <c r="Y321" s="367" t="n">
        <f aca="false">IF('Reverse Search'!$N$7="Disable",1,IF('Reverse Search'!$I$11="Disable",1,IF('Reverse Search'!$K$11="≥",IF(L321&gt;='Reverse Search'!$L$11,1,0),IF('Reverse Search'!$K$11="≤",IF(L321&lt;='Reverse Search'!$L$11,1,0),IF(L321='Reverse Search'!$L$11,1,0)))))</f>
        <v>1</v>
      </c>
      <c r="Z321" s="0" t="n">
        <f aca="true">IF('Reverse Search'!$C$14="Disable",1,IF('Reverse Search'!$D$16="Disable",1,IF($C$2=3,IF($M321=0,0,COUNTIF(INDIRECT("'0.0.2 Pokémon Learnset (Core)'!$D$"&amp;MATCH($E321,'0.0.2 Pokémon Learnset (Core)'!$A$1:$A951,0)&amp;":$FK$"&amp;MATCH($E321,'0.0.2 Pokémon Learnset (Core)'!$A$1:$A951,0)),'Reverse Search'!$E$21)),IF($C$2=2,COUNTIF(INDIRECT("'0.1.1 Pokémon GO Moves'!$B$"&amp;MATCH($E321,'0.1.1 Pokémon GO Moves'!$A$1:$A951,0)&amp;":$R$"&amp;MATCH($E321,'0.1.1 Pokémon GO Moves'!$A$1:$A951,0)),'Reverse Search'!$E$21),COUNTIF(INDIRECT("'0.1.1 Pokémon GO Moves'!$B$"&amp;MATCH($E321,'0.1.1 Pokémon GO Moves'!$A$1:$A951,0)&amp;":$L$"&amp;MATCH($E321,'0.1.1 Pokémon GO Moves'!$A$1:$A951,0)),'Reverse Search'!$E$21)))))</f>
        <v>1</v>
      </c>
      <c r="AA321" s="0" t="n">
        <f aca="true">IF('Reverse Search'!$C$14="Disable",1,IF('Reverse Search'!$I$16="Disable",1,IF($D$2=3,IF($M321=0,0,COUNTIF(INDIRECT("'0.0.2 Pokémon Learnset (Core)'!$D$"&amp;MATCH($E321,'0.0.2 Pokémon Learnset (Core)'!$A$1:$A951,0)&amp;":$FK$"&amp;MATCH($E321,'0.0.2 Pokémon Learnset (Core)'!$A$1:$A951,0)),'Reverse Search'!$J$21)),IF($D$2=2,COUNTIF(INDIRECT("'0.1.1 Pokémon GO Moves'!$B$"&amp;MATCH($E321,'0.1.1 Pokémon GO Moves'!$A$1:$A951,0)&amp;":$R$"&amp;MATCH($E321,'0.1.1 Pokémon GO Moves'!$A$1:$A951,0)),'Reverse Search'!$J$21),COUNTIF(INDIRECT("'0.1.1 Pokémon GO Moves'!$B$"&amp;MATCH($E321,'0.1.1 Pokémon GO Moves'!$A$1:$A951,0)&amp;":$L$"&amp;MATCH($E321,'0.1.1 Pokémon GO Moves'!$A$1:$A951,0)),'Reverse Search'!$J$21)))))</f>
        <v>0</v>
      </c>
      <c r="AB321" s="490"/>
      <c r="AC321" s="260" t="n">
        <f aca="false">IF((Q321+R321+S321+V321+W321+X321+Y321+IF(Z321&gt;=1,1,0)+IF(AA321&gt;=1,1,0))=9,G321&amp;", ",)</f>
        <v>0</v>
      </c>
    </row>
    <row r="322" customFormat="false" ht="15.75" hidden="false" customHeight="false" outlineLevel="0" collapsed="false">
      <c r="A322" s="260"/>
      <c r="B322" s="358"/>
      <c r="C322" s="260"/>
      <c r="D322" s="358"/>
      <c r="E322" s="260" t="n">
        <v>321</v>
      </c>
      <c r="F322" s="260" t="n">
        <f aca="false" t="array" ref="F322:F322">INDEX('0.0.1 Pokémon Dex Data'!$H$3:$H951,MATCH(E322,'0.0.1 Pokémon Dex Data'!$B$3:$B951,0))</f>
        <v>0</v>
      </c>
      <c r="G322" s="0" t="str">
        <f aca="false" t="array" ref="G322:G322">INDEX('0.0.1 Pokémon Dex Data'!$E$3:$E951,MATCH(E322,'0.0.1 Pokémon Dex Data'!$B$3:$B951,0))</f>
        <v>Pelipper</v>
      </c>
      <c r="H322" s="0" t="str">
        <f aca="false" t="array" ref="H322:H322">INDEX('0.0.1 Pokémon Dex Data'!$Q$3:$Q951,MATCH(E322,'0.0.1 Pokémon Dex Data'!$B$3:$B951,0))</f>
        <v>Water</v>
      </c>
      <c r="I322" s="0" t="str">
        <f aca="false" t="array" ref="I322:I322">INDEX('0.0.1 Pokémon Dex Data'!$R$3:$R951,MATCH(E322,'0.0.1 Pokémon Dex Data'!$B$3:$B951,0))</f>
        <v>Flying</v>
      </c>
      <c r="J322" s="260" t="n">
        <f aca="false" t="array" ref="J322:J322">ROUND(INDEX('0.0.1 Pokémon Dex Data'!$S$3:$S951,MATCH($E322,'0.0.1 Pokémon Dex Data'!$B$3:$B951,0))*INDEX('0.0.1 Pokémon Dex Data'!T$3:T951,MATCH($E322,'0.0.1 Pokémon Dex Data'!$B$3:$B951,0)),0)</f>
        <v>175</v>
      </c>
      <c r="K322" s="260" t="n">
        <f aca="false" t="array" ref="K322:K322">ROUND(INDEX('0.0.1 Pokémon Dex Data'!$S$3:$S951,MATCH($E322,'0.0.1 Pokémon Dex Data'!$B$3:$B951,0))*INDEX('0.0.1 Pokémon Dex Data'!U$3:U951,MATCH($E322,'0.0.1 Pokémon Dex Data'!$B$3:$B951,0)),0)</f>
        <v>174</v>
      </c>
      <c r="L322" s="260" t="n">
        <f aca="false" t="array" ref="L322:L322">ROUND(INDEX('0.0.1 Pokémon Dex Data'!$S$3:$S951,MATCH($E322,'0.0.1 Pokémon Dex Data'!$B$3:$B951,0))*INDEX('0.0.1 Pokémon Dex Data'!V$3:V951,MATCH($E322,'0.0.1 Pokémon Dex Data'!$B$3:$B951,0)),0)</f>
        <v>155</v>
      </c>
      <c r="M322" s="260" t="n">
        <f aca="false" t="array" ref="M322:M322">INDEX('0.0.1 Pokémon Dex Data'!$J$3:$J951,MATCH(E322,'0.0.1 Pokémon Dex Data'!$B$3:$B951,0))</f>
        <v>1</v>
      </c>
      <c r="O322" s="490"/>
      <c r="Q322" s="367" t="n">
        <f aca="false">IF('Reverse Search'!$F$4="All (including temporary formes)",1,IF('Reverse Search'!$F$4="Base Pokémon and permanent formes only",IF(F322&lt;=1,1,0),IF(F322=0,1,0)))</f>
        <v>1</v>
      </c>
      <c r="R322" s="0" t="n">
        <f aca="false">IF('Reverse Search'!$C$7="Disable",1,IF('Reverse Search'!$D$9="Disable",1,IF(OR('Reverse Search'!$F$9=H322,'Reverse Search'!$F$9=I322),1,0)))</f>
        <v>1</v>
      </c>
      <c r="S322" s="0" t="n">
        <f aca="false">IF('Reverse Search'!$C$7="Disable",1,IF('Reverse Search'!$D$10="Disable",1,IF(OR('Reverse Search'!$F$10=H322,'Reverse Search'!$F$10=I322),1,0)))</f>
        <v>1</v>
      </c>
      <c r="T322" s="0" t="n">
        <f aca="false">INDEX($B$4:$B$22,MATCH(H322,$A$4:$A$22,0))</f>
        <v>1</v>
      </c>
      <c r="U322" s="0" t="n">
        <f aca="false">IF(ISBLANK(I322),1,INDEX($B$4:$B$22,MATCH(I322,$A$4:$A$22,0)))</f>
        <v>1</v>
      </c>
      <c r="V322" s="367" t="n">
        <f aca="false">IF('Reverse Search'!$C$7="Disable",1,IF('Reverse Search'!$D$11="Disable",1,IF('Reverse Search'!$E$11="Neutral to:",IF(ROUND(T322*U322,2)&lt;=1,1,0),IF(ROUND(T322*U322,2)&lt;1,1,0))))</f>
        <v>1</v>
      </c>
      <c r="W322" s="0" t="n">
        <f aca="false">IF('Reverse Search'!$N$7="Disable",1,IF('Reverse Search'!$I$9="Disable",1,IF('Reverse Search'!$K$9="≥",IF(J322&gt;='Reverse Search'!$L$9,1,0),IF('Reverse Search'!$K$9="≤",IF(J322&lt;='Reverse Search'!$L$9,1,0),IF(J322='Reverse Search'!$L$9,1,0)))))</f>
        <v>1</v>
      </c>
      <c r="X322" s="0" t="n">
        <f aca="false">IF('Reverse Search'!$N$7="Disable",1,IF('Reverse Search'!$I$10="Disable",1,IF('Reverse Search'!$K$10="≥",IF(K322&gt;='Reverse Search'!$L$10,1,0),IF('Reverse Search'!$K$10="≤",IF(K322&lt;='Reverse Search'!$L$10,1,0),IF(K322='Reverse Search'!$L$10,1,0)))))</f>
        <v>1</v>
      </c>
      <c r="Y322" s="367" t="n">
        <f aca="false">IF('Reverse Search'!$N$7="Disable",1,IF('Reverse Search'!$I$11="Disable",1,IF('Reverse Search'!$K$11="≥",IF(L322&gt;='Reverse Search'!$L$11,1,0),IF('Reverse Search'!$K$11="≤",IF(L322&lt;='Reverse Search'!$L$11,1,0),IF(L322='Reverse Search'!$L$11,1,0)))))</f>
        <v>1</v>
      </c>
      <c r="Z322" s="0" t="n">
        <f aca="true">IF('Reverse Search'!$C$14="Disable",1,IF('Reverse Search'!$D$16="Disable",1,IF($C$2=3,IF($M322=0,0,COUNTIF(INDIRECT("'0.0.2 Pokémon Learnset (Core)'!$D$"&amp;MATCH($E322,'0.0.2 Pokémon Learnset (Core)'!$A$1:$A951,0)&amp;":$FK$"&amp;MATCH($E322,'0.0.2 Pokémon Learnset (Core)'!$A$1:$A951,0)),'Reverse Search'!$E$21)),IF($C$2=2,COUNTIF(INDIRECT("'0.1.1 Pokémon GO Moves'!$B$"&amp;MATCH($E322,'0.1.1 Pokémon GO Moves'!$A$1:$A951,0)&amp;":$R$"&amp;MATCH($E322,'0.1.1 Pokémon GO Moves'!$A$1:$A951,0)),'Reverse Search'!$E$21),COUNTIF(INDIRECT("'0.1.1 Pokémon GO Moves'!$B$"&amp;MATCH($E322,'0.1.1 Pokémon GO Moves'!$A$1:$A951,0)&amp;":$L$"&amp;MATCH($E322,'0.1.1 Pokémon GO Moves'!$A$1:$A951,0)),'Reverse Search'!$E$21)))))</f>
        <v>1</v>
      </c>
      <c r="AA322" s="0" t="n">
        <f aca="true">IF('Reverse Search'!$C$14="Disable",1,IF('Reverse Search'!$I$16="Disable",1,IF($D$2=3,IF($M322=0,0,COUNTIF(INDIRECT("'0.0.2 Pokémon Learnset (Core)'!$D$"&amp;MATCH($E322,'0.0.2 Pokémon Learnset (Core)'!$A$1:$A951,0)&amp;":$FK$"&amp;MATCH($E322,'0.0.2 Pokémon Learnset (Core)'!$A$1:$A951,0)),'Reverse Search'!$J$21)),IF($D$2=2,COUNTIF(INDIRECT("'0.1.1 Pokémon GO Moves'!$B$"&amp;MATCH($E322,'0.1.1 Pokémon GO Moves'!$A$1:$A951,0)&amp;":$R$"&amp;MATCH($E322,'0.1.1 Pokémon GO Moves'!$A$1:$A951,0)),'Reverse Search'!$J$21),COUNTIF(INDIRECT("'0.1.1 Pokémon GO Moves'!$B$"&amp;MATCH($E322,'0.1.1 Pokémon GO Moves'!$A$1:$A951,0)&amp;":$L$"&amp;MATCH($E322,'0.1.1 Pokémon GO Moves'!$A$1:$A951,0)),'Reverse Search'!$J$21)))))</f>
        <v>0</v>
      </c>
      <c r="AB322" s="490"/>
      <c r="AC322" s="260" t="n">
        <f aca="false">IF((Q322+R322+S322+V322+W322+X322+Y322+IF(Z322&gt;=1,1,0)+IF(AA322&gt;=1,1,0))=9,G322&amp;", ",)</f>
        <v>0</v>
      </c>
    </row>
    <row r="323" customFormat="false" ht="15.75" hidden="false" customHeight="false" outlineLevel="0" collapsed="false">
      <c r="A323" s="260"/>
      <c r="B323" s="358"/>
      <c r="C323" s="260"/>
      <c r="D323" s="358"/>
      <c r="E323" s="260" t="n">
        <v>322</v>
      </c>
      <c r="F323" s="260" t="n">
        <f aca="false" t="array" ref="F323:F323">INDEX('0.0.1 Pokémon Dex Data'!$H$3:$H951,MATCH(E323,'0.0.1 Pokémon Dex Data'!$B$3:$B951,0))</f>
        <v>0</v>
      </c>
      <c r="G323" s="0" t="str">
        <f aca="false" t="array" ref="G323:G323">INDEX('0.0.1 Pokémon Dex Data'!$E$3:$E951,MATCH(E323,'0.0.1 Pokémon Dex Data'!$B$3:$B951,0))</f>
        <v>Ralts</v>
      </c>
      <c r="H323" s="0" t="str">
        <f aca="false" t="array" ref="H323:H323">INDEX('0.0.1 Pokémon Dex Data'!$Q$3:$Q951,MATCH(E323,'0.0.1 Pokémon Dex Data'!$B$3:$B951,0))</f>
        <v>Psychic</v>
      </c>
      <c r="I323" s="0" t="str">
        <f aca="false" t="array" ref="I323:I323">INDEX('0.0.1 Pokémon Dex Data'!$R$3:$R951,MATCH(E323,'0.0.1 Pokémon Dex Data'!$B$3:$B951,0))</f>
        <v>Fairy</v>
      </c>
      <c r="J323" s="260" t="n">
        <f aca="false" t="array" ref="J323:J323">ROUND(INDEX('0.0.1 Pokémon Dex Data'!$S$3:$S951,MATCH($E323,'0.0.1 Pokémon Dex Data'!$B$3:$B951,0))*INDEX('0.0.1 Pokémon Dex Data'!T$3:T951,MATCH($E323,'0.0.1 Pokémon Dex Data'!$B$3:$B951,0)),0)</f>
        <v>79</v>
      </c>
      <c r="K323" s="260" t="n">
        <f aca="false" t="array" ref="K323:K323">ROUND(INDEX('0.0.1 Pokémon Dex Data'!$S$3:$S951,MATCH($E323,'0.0.1 Pokémon Dex Data'!$B$3:$B951,0))*INDEX('0.0.1 Pokémon Dex Data'!U$3:U951,MATCH($E323,'0.0.1 Pokémon Dex Data'!$B$3:$B951,0)),0)</f>
        <v>59</v>
      </c>
      <c r="L323" s="260" t="n">
        <f aca="false" t="array" ref="L323:L323">ROUND(INDEX('0.0.1 Pokémon Dex Data'!$S$3:$S951,MATCH($E323,'0.0.1 Pokémon Dex Data'!$B$3:$B951,0))*INDEX('0.0.1 Pokémon Dex Data'!V$3:V951,MATCH($E323,'0.0.1 Pokémon Dex Data'!$B$3:$B951,0)),0)</f>
        <v>99</v>
      </c>
      <c r="M323" s="260" t="n">
        <f aca="false" t="array" ref="M323:M323">INDEX('0.0.1 Pokémon Dex Data'!$J$3:$J951,MATCH(E323,'0.0.1 Pokémon Dex Data'!$B$3:$B951,0))</f>
        <v>0</v>
      </c>
      <c r="O323" s="490"/>
      <c r="Q323" s="367" t="n">
        <f aca="false">IF('Reverse Search'!$F$4="All (including temporary formes)",1,IF('Reverse Search'!$F$4="Base Pokémon and permanent formes only",IF(F323&lt;=1,1,0),IF(F323=0,1,0)))</f>
        <v>1</v>
      </c>
      <c r="R323" s="0" t="n">
        <f aca="false">IF('Reverse Search'!$C$7="Disable",1,IF('Reverse Search'!$D$9="Disable",1,IF(OR('Reverse Search'!$F$9=H323,'Reverse Search'!$F$9=I323),1,0)))</f>
        <v>1</v>
      </c>
      <c r="S323" s="0" t="n">
        <f aca="false">IF('Reverse Search'!$C$7="Disable",1,IF('Reverse Search'!$D$10="Disable",1,IF(OR('Reverse Search'!$F$10=H323,'Reverse Search'!$F$10=I323),1,0)))</f>
        <v>1</v>
      </c>
      <c r="T323" s="0" t="n">
        <f aca="false">INDEX($B$4:$B$22,MATCH(H323,$A$4:$A$22,0))</f>
        <v>1</v>
      </c>
      <c r="U323" s="0" t="n">
        <f aca="false">IF(ISBLANK(I323),1,INDEX($B$4:$B$22,MATCH(I323,$A$4:$A$22,0)))</f>
        <v>1</v>
      </c>
      <c r="V323" s="367" t="n">
        <f aca="false">IF('Reverse Search'!$C$7="Disable",1,IF('Reverse Search'!$D$11="Disable",1,IF('Reverse Search'!$E$11="Neutral to:",IF(ROUND(T323*U323,2)&lt;=1,1,0),IF(ROUND(T323*U323,2)&lt;1,1,0))))</f>
        <v>1</v>
      </c>
      <c r="W323" s="0" t="n">
        <f aca="false">IF('Reverse Search'!$N$7="Disable",1,IF('Reverse Search'!$I$9="Disable",1,IF('Reverse Search'!$K$9="≥",IF(J323&gt;='Reverse Search'!$L$9,1,0),IF('Reverse Search'!$K$9="≤",IF(J323&lt;='Reverse Search'!$L$9,1,0),IF(J323='Reverse Search'!$L$9,1,0)))))</f>
        <v>1</v>
      </c>
      <c r="X323" s="0" t="n">
        <f aca="false">IF('Reverse Search'!$N$7="Disable",1,IF('Reverse Search'!$I$10="Disable",1,IF('Reverse Search'!$K$10="≥",IF(K323&gt;='Reverse Search'!$L$10,1,0),IF('Reverse Search'!$K$10="≤",IF(K323&lt;='Reverse Search'!$L$10,1,0),IF(K323='Reverse Search'!$L$10,1,0)))))</f>
        <v>1</v>
      </c>
      <c r="Y323" s="367" t="n">
        <f aca="false">IF('Reverse Search'!$N$7="Disable",1,IF('Reverse Search'!$I$11="Disable",1,IF('Reverse Search'!$K$11="≥",IF(L323&gt;='Reverse Search'!$L$11,1,0),IF('Reverse Search'!$K$11="≤",IF(L323&lt;='Reverse Search'!$L$11,1,0),IF(L323='Reverse Search'!$L$11,1,0)))))</f>
        <v>1</v>
      </c>
      <c r="Z323" s="0" t="n">
        <f aca="true">IF('Reverse Search'!$C$14="Disable",1,IF('Reverse Search'!$D$16="Disable",1,IF($C$2=3,IF($M323=0,0,COUNTIF(INDIRECT("'0.0.2 Pokémon Learnset (Core)'!$D$"&amp;MATCH($E323,'0.0.2 Pokémon Learnset (Core)'!$A$1:$A951,0)&amp;":$FK$"&amp;MATCH($E323,'0.0.2 Pokémon Learnset (Core)'!$A$1:$A951,0)),'Reverse Search'!$E$21)),IF($C$2=2,COUNTIF(INDIRECT("'0.1.1 Pokémon GO Moves'!$B$"&amp;MATCH($E323,'0.1.1 Pokémon GO Moves'!$A$1:$A951,0)&amp;":$R$"&amp;MATCH($E323,'0.1.1 Pokémon GO Moves'!$A$1:$A951,0)),'Reverse Search'!$E$21),COUNTIF(INDIRECT("'0.1.1 Pokémon GO Moves'!$B$"&amp;MATCH($E323,'0.1.1 Pokémon GO Moves'!$A$1:$A951,0)&amp;":$L$"&amp;MATCH($E323,'0.1.1 Pokémon GO Moves'!$A$1:$A951,0)),'Reverse Search'!$E$21)))))</f>
        <v>1</v>
      </c>
      <c r="AA323" s="0" t="n">
        <f aca="true">IF('Reverse Search'!$C$14="Disable",1,IF('Reverse Search'!$I$16="Disable",1,IF($D$2=3,IF($M323=0,0,COUNTIF(INDIRECT("'0.0.2 Pokémon Learnset (Core)'!$D$"&amp;MATCH($E323,'0.0.2 Pokémon Learnset (Core)'!$A$1:$A951,0)&amp;":$FK$"&amp;MATCH($E323,'0.0.2 Pokémon Learnset (Core)'!$A$1:$A951,0)),'Reverse Search'!$J$21)),IF($D$2=2,COUNTIF(INDIRECT("'0.1.1 Pokémon GO Moves'!$B$"&amp;MATCH($E323,'0.1.1 Pokémon GO Moves'!$A$1:$A951,0)&amp;":$R$"&amp;MATCH($E323,'0.1.1 Pokémon GO Moves'!$A$1:$A951,0)),'Reverse Search'!$J$21),COUNTIF(INDIRECT("'0.1.1 Pokémon GO Moves'!$B$"&amp;MATCH($E323,'0.1.1 Pokémon GO Moves'!$A$1:$A951,0)&amp;":$L$"&amp;MATCH($E323,'0.1.1 Pokémon GO Moves'!$A$1:$A951,0)),'Reverse Search'!$J$21)))))</f>
        <v>0</v>
      </c>
      <c r="AB323" s="490"/>
      <c r="AC323" s="260" t="n">
        <f aca="false">IF((Q323+R323+S323+V323+W323+X323+Y323+IF(Z323&gt;=1,1,0)+IF(AA323&gt;=1,1,0))=9,G323&amp;", ",)</f>
        <v>0</v>
      </c>
    </row>
    <row r="324" customFormat="false" ht="15.75" hidden="false" customHeight="false" outlineLevel="0" collapsed="false">
      <c r="A324" s="260"/>
      <c r="B324" s="358"/>
      <c r="C324" s="260"/>
      <c r="D324" s="358"/>
      <c r="E324" s="260" t="n">
        <v>323</v>
      </c>
      <c r="F324" s="260" t="n">
        <f aca="false" t="array" ref="F324:F324">INDEX('0.0.1 Pokémon Dex Data'!$H$3:$H951,MATCH(E324,'0.0.1 Pokémon Dex Data'!$B$3:$B951,0))</f>
        <v>0</v>
      </c>
      <c r="G324" s="0" t="str">
        <f aca="false" t="array" ref="G324:G324">INDEX('0.0.1 Pokémon Dex Data'!$E$3:$E951,MATCH(E324,'0.0.1 Pokémon Dex Data'!$B$3:$B951,0))</f>
        <v>Kirlia</v>
      </c>
      <c r="H324" s="0" t="str">
        <f aca="false" t="array" ref="H324:H324">INDEX('0.0.1 Pokémon Dex Data'!$Q$3:$Q951,MATCH(E324,'0.0.1 Pokémon Dex Data'!$B$3:$B951,0))</f>
        <v>Psychic</v>
      </c>
      <c r="I324" s="0" t="str">
        <f aca="false" t="array" ref="I324:I324">INDEX('0.0.1 Pokémon Dex Data'!$R$3:$R951,MATCH(E324,'0.0.1 Pokémon Dex Data'!$B$3:$B951,0))</f>
        <v>Fairy</v>
      </c>
      <c r="J324" s="260" t="n">
        <f aca="false" t="array" ref="J324:J324">ROUND(INDEX('0.0.1 Pokémon Dex Data'!$S$3:$S951,MATCH($E324,'0.0.1 Pokémon Dex Data'!$B$3:$B951,0))*INDEX('0.0.1 Pokémon Dex Data'!T$3:T951,MATCH($E324,'0.0.1 Pokémon Dex Data'!$B$3:$B951,0)),0)</f>
        <v>117</v>
      </c>
      <c r="K324" s="260" t="n">
        <f aca="false" t="array" ref="K324:K324">ROUND(INDEX('0.0.1 Pokémon Dex Data'!$S$3:$S951,MATCH($E324,'0.0.1 Pokémon Dex Data'!$B$3:$B951,0))*INDEX('0.0.1 Pokémon Dex Data'!U$3:U951,MATCH($E324,'0.0.1 Pokémon Dex Data'!$B$3:$B951,0)),0)</f>
        <v>90</v>
      </c>
      <c r="L324" s="260" t="n">
        <f aca="false" t="array" ref="L324:L324">ROUND(INDEX('0.0.1 Pokémon Dex Data'!$S$3:$S951,MATCH($E324,'0.0.1 Pokémon Dex Data'!$B$3:$B951,0))*INDEX('0.0.1 Pokémon Dex Data'!V$3:V951,MATCH($E324,'0.0.1 Pokémon Dex Data'!$B$3:$B951,0)),0)</f>
        <v>116</v>
      </c>
      <c r="M324" s="260" t="n">
        <f aca="false" t="array" ref="M324:M324">INDEX('0.0.1 Pokémon Dex Data'!$J$3:$J951,MATCH(E324,'0.0.1 Pokémon Dex Data'!$B$3:$B951,0))</f>
        <v>0</v>
      </c>
      <c r="O324" s="490"/>
      <c r="Q324" s="367" t="n">
        <f aca="false">IF('Reverse Search'!$F$4="All (including temporary formes)",1,IF('Reverse Search'!$F$4="Base Pokémon and permanent formes only",IF(F324&lt;=1,1,0),IF(F324=0,1,0)))</f>
        <v>1</v>
      </c>
      <c r="R324" s="0" t="n">
        <f aca="false">IF('Reverse Search'!$C$7="Disable",1,IF('Reverse Search'!$D$9="Disable",1,IF(OR('Reverse Search'!$F$9=H324,'Reverse Search'!$F$9=I324),1,0)))</f>
        <v>1</v>
      </c>
      <c r="S324" s="0" t="n">
        <f aca="false">IF('Reverse Search'!$C$7="Disable",1,IF('Reverse Search'!$D$10="Disable",1,IF(OR('Reverse Search'!$F$10=H324,'Reverse Search'!$F$10=I324),1,0)))</f>
        <v>1</v>
      </c>
      <c r="T324" s="0" t="n">
        <f aca="false">INDEX($B$4:$B$22,MATCH(H324,$A$4:$A$22,0))</f>
        <v>1</v>
      </c>
      <c r="U324" s="0" t="n">
        <f aca="false">IF(ISBLANK(I324),1,INDEX($B$4:$B$22,MATCH(I324,$A$4:$A$22,0)))</f>
        <v>1</v>
      </c>
      <c r="V324" s="367" t="n">
        <f aca="false">IF('Reverse Search'!$C$7="Disable",1,IF('Reverse Search'!$D$11="Disable",1,IF('Reverse Search'!$E$11="Neutral to:",IF(ROUND(T324*U324,2)&lt;=1,1,0),IF(ROUND(T324*U324,2)&lt;1,1,0))))</f>
        <v>1</v>
      </c>
      <c r="W324" s="0" t="n">
        <f aca="false">IF('Reverse Search'!$N$7="Disable",1,IF('Reverse Search'!$I$9="Disable",1,IF('Reverse Search'!$K$9="≥",IF(J324&gt;='Reverse Search'!$L$9,1,0),IF('Reverse Search'!$K$9="≤",IF(J324&lt;='Reverse Search'!$L$9,1,0),IF(J324='Reverse Search'!$L$9,1,0)))))</f>
        <v>1</v>
      </c>
      <c r="X324" s="0" t="n">
        <f aca="false">IF('Reverse Search'!$N$7="Disable",1,IF('Reverse Search'!$I$10="Disable",1,IF('Reverse Search'!$K$10="≥",IF(K324&gt;='Reverse Search'!$L$10,1,0),IF('Reverse Search'!$K$10="≤",IF(K324&lt;='Reverse Search'!$L$10,1,0),IF(K324='Reverse Search'!$L$10,1,0)))))</f>
        <v>1</v>
      </c>
      <c r="Y324" s="367" t="n">
        <f aca="false">IF('Reverse Search'!$N$7="Disable",1,IF('Reverse Search'!$I$11="Disable",1,IF('Reverse Search'!$K$11="≥",IF(L324&gt;='Reverse Search'!$L$11,1,0),IF('Reverse Search'!$K$11="≤",IF(L324&lt;='Reverse Search'!$L$11,1,0),IF(L324='Reverse Search'!$L$11,1,0)))))</f>
        <v>1</v>
      </c>
      <c r="Z324" s="0" t="n">
        <f aca="true">IF('Reverse Search'!$C$14="Disable",1,IF('Reverse Search'!$D$16="Disable",1,IF($C$2=3,IF($M324=0,0,COUNTIF(INDIRECT("'0.0.2 Pokémon Learnset (Core)'!$D$"&amp;MATCH($E324,'0.0.2 Pokémon Learnset (Core)'!$A$1:$A951,0)&amp;":$FK$"&amp;MATCH($E324,'0.0.2 Pokémon Learnset (Core)'!$A$1:$A951,0)),'Reverse Search'!$E$21)),IF($C$2=2,COUNTIF(INDIRECT("'0.1.1 Pokémon GO Moves'!$B$"&amp;MATCH($E324,'0.1.1 Pokémon GO Moves'!$A$1:$A951,0)&amp;":$R$"&amp;MATCH($E324,'0.1.1 Pokémon GO Moves'!$A$1:$A951,0)),'Reverse Search'!$E$21),COUNTIF(INDIRECT("'0.1.1 Pokémon GO Moves'!$B$"&amp;MATCH($E324,'0.1.1 Pokémon GO Moves'!$A$1:$A951,0)&amp;":$L$"&amp;MATCH($E324,'0.1.1 Pokémon GO Moves'!$A$1:$A951,0)),'Reverse Search'!$E$21)))))</f>
        <v>1</v>
      </c>
      <c r="AA324" s="0" t="n">
        <f aca="true">IF('Reverse Search'!$C$14="Disable",1,IF('Reverse Search'!$I$16="Disable",1,IF($D$2=3,IF($M324=0,0,COUNTIF(INDIRECT("'0.0.2 Pokémon Learnset (Core)'!$D$"&amp;MATCH($E324,'0.0.2 Pokémon Learnset (Core)'!$A$1:$A951,0)&amp;":$FK$"&amp;MATCH($E324,'0.0.2 Pokémon Learnset (Core)'!$A$1:$A951,0)),'Reverse Search'!$J$21)),IF($D$2=2,COUNTIF(INDIRECT("'0.1.1 Pokémon GO Moves'!$B$"&amp;MATCH($E324,'0.1.1 Pokémon GO Moves'!$A$1:$A951,0)&amp;":$R$"&amp;MATCH($E324,'0.1.1 Pokémon GO Moves'!$A$1:$A951,0)),'Reverse Search'!$J$21),COUNTIF(INDIRECT("'0.1.1 Pokémon GO Moves'!$B$"&amp;MATCH($E324,'0.1.1 Pokémon GO Moves'!$A$1:$A951,0)&amp;":$L$"&amp;MATCH($E324,'0.1.1 Pokémon GO Moves'!$A$1:$A951,0)),'Reverse Search'!$J$21)))))</f>
        <v>0</v>
      </c>
      <c r="AB324" s="490"/>
      <c r="AC324" s="260" t="n">
        <f aca="false">IF((Q324+R324+S324+V324+W324+X324+Y324+IF(Z324&gt;=1,1,0)+IF(AA324&gt;=1,1,0))=9,G324&amp;", ",)</f>
        <v>0</v>
      </c>
    </row>
    <row r="325" customFormat="false" ht="15.75" hidden="false" customHeight="false" outlineLevel="0" collapsed="false">
      <c r="A325" s="260"/>
      <c r="B325" s="358"/>
      <c r="C325" s="260"/>
      <c r="D325" s="358"/>
      <c r="E325" s="260" t="n">
        <v>324</v>
      </c>
      <c r="F325" s="260" t="n">
        <f aca="false" t="array" ref="F325:F325">INDEX('0.0.1 Pokémon Dex Data'!$H$3:$H951,MATCH(E325,'0.0.1 Pokémon Dex Data'!$B$3:$B951,0))</f>
        <v>0</v>
      </c>
      <c r="G325" s="0" t="str">
        <f aca="false" t="array" ref="G325:G325">INDEX('0.0.1 Pokémon Dex Data'!$E$3:$E951,MATCH(E325,'0.0.1 Pokémon Dex Data'!$B$3:$B951,0))</f>
        <v>Gardevoir</v>
      </c>
      <c r="H325" s="0" t="str">
        <f aca="false" t="array" ref="H325:H325">INDEX('0.0.1 Pokémon Dex Data'!$Q$3:$Q951,MATCH(E325,'0.0.1 Pokémon Dex Data'!$B$3:$B951,0))</f>
        <v>Psychic</v>
      </c>
      <c r="I325" s="0" t="str">
        <f aca="false" t="array" ref="I325:I325">INDEX('0.0.1 Pokémon Dex Data'!$R$3:$R951,MATCH(E325,'0.0.1 Pokémon Dex Data'!$B$3:$B951,0))</f>
        <v>Fairy</v>
      </c>
      <c r="J325" s="260" t="n">
        <f aca="false" t="array" ref="J325:J325">ROUND(INDEX('0.0.1 Pokémon Dex Data'!$S$3:$S951,MATCH($E325,'0.0.1 Pokémon Dex Data'!$B$3:$B951,0))*INDEX('0.0.1 Pokémon Dex Data'!T$3:T951,MATCH($E325,'0.0.1 Pokémon Dex Data'!$B$3:$B951,0)),0)</f>
        <v>237</v>
      </c>
      <c r="K325" s="260" t="n">
        <f aca="false" t="array" ref="K325:K325">ROUND(INDEX('0.0.1 Pokémon Dex Data'!$S$3:$S951,MATCH($E325,'0.0.1 Pokémon Dex Data'!$B$3:$B951,0))*INDEX('0.0.1 Pokémon Dex Data'!U$3:U951,MATCH($E325,'0.0.1 Pokémon Dex Data'!$B$3:$B951,0)),0)</f>
        <v>195</v>
      </c>
      <c r="L325" s="260" t="n">
        <f aca="false" t="array" ref="L325:L325">ROUND(INDEX('0.0.1 Pokémon Dex Data'!$S$3:$S951,MATCH($E325,'0.0.1 Pokémon Dex Data'!$B$3:$B951,0))*INDEX('0.0.1 Pokémon Dex Data'!V$3:V951,MATCH($E325,'0.0.1 Pokémon Dex Data'!$B$3:$B951,0)),0)</f>
        <v>169</v>
      </c>
      <c r="M325" s="260" t="n">
        <f aca="false" t="array" ref="M325:M325">INDEX('0.0.1 Pokémon Dex Data'!$J$3:$J951,MATCH(E325,'0.0.1 Pokémon Dex Data'!$B$3:$B951,0))</f>
        <v>1</v>
      </c>
      <c r="O325" s="490"/>
      <c r="Q325" s="367" t="n">
        <f aca="false">IF('Reverse Search'!$F$4="All (including temporary formes)",1,IF('Reverse Search'!$F$4="Base Pokémon and permanent formes only",IF(F325&lt;=1,1,0),IF(F325=0,1,0)))</f>
        <v>1</v>
      </c>
      <c r="R325" s="0" t="n">
        <f aca="false">IF('Reverse Search'!$C$7="Disable",1,IF('Reverse Search'!$D$9="Disable",1,IF(OR('Reverse Search'!$F$9=H325,'Reverse Search'!$F$9=I325),1,0)))</f>
        <v>1</v>
      </c>
      <c r="S325" s="0" t="n">
        <f aca="false">IF('Reverse Search'!$C$7="Disable",1,IF('Reverse Search'!$D$10="Disable",1,IF(OR('Reverse Search'!$F$10=H325,'Reverse Search'!$F$10=I325),1,0)))</f>
        <v>1</v>
      </c>
      <c r="T325" s="0" t="n">
        <f aca="false">INDEX($B$4:$B$22,MATCH(H325,$A$4:$A$22,0))</f>
        <v>1</v>
      </c>
      <c r="U325" s="0" t="n">
        <f aca="false">IF(ISBLANK(I325),1,INDEX($B$4:$B$22,MATCH(I325,$A$4:$A$22,0)))</f>
        <v>1</v>
      </c>
      <c r="V325" s="367" t="n">
        <f aca="false">IF('Reverse Search'!$C$7="Disable",1,IF('Reverse Search'!$D$11="Disable",1,IF('Reverse Search'!$E$11="Neutral to:",IF(ROUND(T325*U325,2)&lt;=1,1,0),IF(ROUND(T325*U325,2)&lt;1,1,0))))</f>
        <v>1</v>
      </c>
      <c r="W325" s="0" t="n">
        <f aca="false">IF('Reverse Search'!$N$7="Disable",1,IF('Reverse Search'!$I$9="Disable",1,IF('Reverse Search'!$K$9="≥",IF(J325&gt;='Reverse Search'!$L$9,1,0),IF('Reverse Search'!$K$9="≤",IF(J325&lt;='Reverse Search'!$L$9,1,0),IF(J325='Reverse Search'!$L$9,1,0)))))</f>
        <v>1</v>
      </c>
      <c r="X325" s="0" t="n">
        <f aca="false">IF('Reverse Search'!$N$7="Disable",1,IF('Reverse Search'!$I$10="Disable",1,IF('Reverse Search'!$K$10="≥",IF(K325&gt;='Reverse Search'!$L$10,1,0),IF('Reverse Search'!$K$10="≤",IF(K325&lt;='Reverse Search'!$L$10,1,0),IF(K325='Reverse Search'!$L$10,1,0)))))</f>
        <v>1</v>
      </c>
      <c r="Y325" s="367" t="n">
        <f aca="false">IF('Reverse Search'!$N$7="Disable",1,IF('Reverse Search'!$I$11="Disable",1,IF('Reverse Search'!$K$11="≥",IF(L325&gt;='Reverse Search'!$L$11,1,0),IF('Reverse Search'!$K$11="≤",IF(L325&lt;='Reverse Search'!$L$11,1,0),IF(L325='Reverse Search'!$L$11,1,0)))))</f>
        <v>1</v>
      </c>
      <c r="Z325" s="0" t="n">
        <f aca="true">IF('Reverse Search'!$C$14="Disable",1,IF('Reverse Search'!$D$16="Disable",1,IF($C$2=3,IF($M325=0,0,COUNTIF(INDIRECT("'0.0.2 Pokémon Learnset (Core)'!$D$"&amp;MATCH($E325,'0.0.2 Pokémon Learnset (Core)'!$A$1:$A951,0)&amp;":$FK$"&amp;MATCH($E325,'0.0.2 Pokémon Learnset (Core)'!$A$1:$A951,0)),'Reverse Search'!$E$21)),IF($C$2=2,COUNTIF(INDIRECT("'0.1.1 Pokémon GO Moves'!$B$"&amp;MATCH($E325,'0.1.1 Pokémon GO Moves'!$A$1:$A951,0)&amp;":$R$"&amp;MATCH($E325,'0.1.1 Pokémon GO Moves'!$A$1:$A951,0)),'Reverse Search'!$E$21),COUNTIF(INDIRECT("'0.1.1 Pokémon GO Moves'!$B$"&amp;MATCH($E325,'0.1.1 Pokémon GO Moves'!$A$1:$A951,0)&amp;":$L$"&amp;MATCH($E325,'0.1.1 Pokémon GO Moves'!$A$1:$A951,0)),'Reverse Search'!$E$21)))))</f>
        <v>1</v>
      </c>
      <c r="AA325" s="0" t="n">
        <f aca="true">IF('Reverse Search'!$C$14="Disable",1,IF('Reverse Search'!$I$16="Disable",1,IF($D$2=3,IF($M325=0,0,COUNTIF(INDIRECT("'0.0.2 Pokémon Learnset (Core)'!$D$"&amp;MATCH($E325,'0.0.2 Pokémon Learnset (Core)'!$A$1:$A951,0)&amp;":$FK$"&amp;MATCH($E325,'0.0.2 Pokémon Learnset (Core)'!$A$1:$A951,0)),'Reverse Search'!$J$21)),IF($D$2=2,COUNTIF(INDIRECT("'0.1.1 Pokémon GO Moves'!$B$"&amp;MATCH($E325,'0.1.1 Pokémon GO Moves'!$A$1:$A951,0)&amp;":$R$"&amp;MATCH($E325,'0.1.1 Pokémon GO Moves'!$A$1:$A951,0)),'Reverse Search'!$J$21),COUNTIF(INDIRECT("'0.1.1 Pokémon GO Moves'!$B$"&amp;MATCH($E325,'0.1.1 Pokémon GO Moves'!$A$1:$A951,0)&amp;":$L$"&amp;MATCH($E325,'0.1.1 Pokémon GO Moves'!$A$1:$A951,0)),'Reverse Search'!$J$21)))))</f>
        <v>0</v>
      </c>
      <c r="AB325" s="490"/>
      <c r="AC325" s="260" t="n">
        <f aca="false">IF((Q325+R325+S325+V325+W325+X325+Y325+IF(Z325&gt;=1,1,0)+IF(AA325&gt;=1,1,0))=9,G325&amp;", ",)</f>
        <v>0</v>
      </c>
    </row>
    <row r="326" customFormat="false" ht="15.75" hidden="false" customHeight="false" outlineLevel="0" collapsed="false">
      <c r="A326" s="260"/>
      <c r="B326" s="358"/>
      <c r="C326" s="260"/>
      <c r="D326" s="358"/>
      <c r="E326" s="260" t="n">
        <v>325</v>
      </c>
      <c r="F326" s="260" t="n">
        <f aca="false" t="array" ref="F326:F326">INDEX('0.0.1 Pokémon Dex Data'!$H$3:$H951,MATCH(E326,'0.0.1 Pokémon Dex Data'!$B$3:$B951,0))</f>
        <v>2</v>
      </c>
      <c r="G326" s="0" t="str">
        <f aca="false" t="array" ref="G326:G326">INDEX('0.0.1 Pokémon Dex Data'!$E$3:$E951,MATCH(E326,'0.0.1 Pokémon Dex Data'!$B$3:$B951,0))</f>
        <v>Gardevoir-Mega</v>
      </c>
      <c r="H326" s="0" t="str">
        <f aca="false" t="array" ref="H326:H326">INDEX('0.0.1 Pokémon Dex Data'!$Q$3:$Q951,MATCH(E326,'0.0.1 Pokémon Dex Data'!$B$3:$B951,0))</f>
        <v>Psychic</v>
      </c>
      <c r="I326" s="0" t="str">
        <f aca="false" t="array" ref="I326:I326">INDEX('0.0.1 Pokémon Dex Data'!$R$3:$R951,MATCH(E326,'0.0.1 Pokémon Dex Data'!$B$3:$B951,0))</f>
        <v>Fairy</v>
      </c>
      <c r="J326" s="260" t="n">
        <f aca="false" t="array" ref="J326:J326">ROUND(INDEX('0.0.1 Pokémon Dex Data'!$S$3:$S951,MATCH($E326,'0.0.1 Pokémon Dex Data'!$B$3:$B951,0))*INDEX('0.0.1 Pokémon Dex Data'!T$3:T951,MATCH($E326,'0.0.1 Pokémon Dex Data'!$B$3:$B951,0)),0)</f>
        <v>326</v>
      </c>
      <c r="K326" s="260" t="n">
        <f aca="false" t="array" ref="K326:K326">ROUND(INDEX('0.0.1 Pokémon Dex Data'!$S$3:$S951,MATCH($E326,'0.0.1 Pokémon Dex Data'!$B$3:$B951,0))*INDEX('0.0.1 Pokémon Dex Data'!U$3:U951,MATCH($E326,'0.0.1 Pokémon Dex Data'!$B$3:$B951,0)),0)</f>
        <v>229</v>
      </c>
      <c r="L326" s="260" t="n">
        <f aca="false" t="array" ref="L326:L326">ROUND(INDEX('0.0.1 Pokémon Dex Data'!$S$3:$S951,MATCH($E326,'0.0.1 Pokémon Dex Data'!$B$3:$B951,0))*INDEX('0.0.1 Pokémon Dex Data'!V$3:V951,MATCH($E326,'0.0.1 Pokémon Dex Data'!$B$3:$B951,0)),0)</f>
        <v>169</v>
      </c>
      <c r="M326" s="260" t="n">
        <f aca="false" t="array" ref="M326:M326">INDEX('0.0.1 Pokémon Dex Data'!$J$3:$J951,MATCH(E326,'0.0.1 Pokémon Dex Data'!$B$3:$B951,0))</f>
        <v>1</v>
      </c>
      <c r="O326" s="490"/>
      <c r="Q326" s="367" t="n">
        <f aca="false">IF('Reverse Search'!$F$4="All (including temporary formes)",1,IF('Reverse Search'!$F$4="Base Pokémon and permanent formes only",IF(F326&lt;=1,1,0),IF(F326=0,1,0)))</f>
        <v>0</v>
      </c>
      <c r="R326" s="0" t="n">
        <f aca="false">IF('Reverse Search'!$C$7="Disable",1,IF('Reverse Search'!$D$9="Disable",1,IF(OR('Reverse Search'!$F$9=H326,'Reverse Search'!$F$9=I326),1,0)))</f>
        <v>1</v>
      </c>
      <c r="S326" s="0" t="n">
        <f aca="false">IF('Reverse Search'!$C$7="Disable",1,IF('Reverse Search'!$D$10="Disable",1,IF(OR('Reverse Search'!$F$10=H326,'Reverse Search'!$F$10=I326),1,0)))</f>
        <v>1</v>
      </c>
      <c r="T326" s="0" t="n">
        <f aca="false">INDEX($B$4:$B$22,MATCH(H326,$A$4:$A$22,0))</f>
        <v>1</v>
      </c>
      <c r="U326" s="0" t="n">
        <f aca="false">IF(ISBLANK(I326),1,INDEX($B$4:$B$22,MATCH(I326,$A$4:$A$22,0)))</f>
        <v>1</v>
      </c>
      <c r="V326" s="367" t="n">
        <f aca="false">IF('Reverse Search'!$C$7="Disable",1,IF('Reverse Search'!$D$11="Disable",1,IF('Reverse Search'!$E$11="Neutral to:",IF(ROUND(T326*U326,2)&lt;=1,1,0),IF(ROUND(T326*U326,2)&lt;1,1,0))))</f>
        <v>1</v>
      </c>
      <c r="W326" s="0" t="n">
        <f aca="false">IF('Reverse Search'!$N$7="Disable",1,IF('Reverse Search'!$I$9="Disable",1,IF('Reverse Search'!$K$9="≥",IF(J326&gt;='Reverse Search'!$L$9,1,0),IF('Reverse Search'!$K$9="≤",IF(J326&lt;='Reverse Search'!$L$9,1,0),IF(J326='Reverse Search'!$L$9,1,0)))))</f>
        <v>1</v>
      </c>
      <c r="X326" s="0" t="n">
        <f aca="false">IF('Reverse Search'!$N$7="Disable",1,IF('Reverse Search'!$I$10="Disable",1,IF('Reverse Search'!$K$10="≥",IF(K326&gt;='Reverse Search'!$L$10,1,0),IF('Reverse Search'!$K$10="≤",IF(K326&lt;='Reverse Search'!$L$10,1,0),IF(K326='Reverse Search'!$L$10,1,0)))))</f>
        <v>1</v>
      </c>
      <c r="Y326" s="367" t="n">
        <f aca="false">IF('Reverse Search'!$N$7="Disable",1,IF('Reverse Search'!$I$11="Disable",1,IF('Reverse Search'!$K$11="≥",IF(L326&gt;='Reverse Search'!$L$11,1,0),IF('Reverse Search'!$K$11="≤",IF(L326&lt;='Reverse Search'!$L$11,1,0),IF(L326='Reverse Search'!$L$11,1,0)))))</f>
        <v>1</v>
      </c>
      <c r="Z326" s="0" t="n">
        <f aca="true">IF('Reverse Search'!$C$14="Disable",1,IF('Reverse Search'!$D$16="Disable",1,IF($C$2=3,IF($M326=0,0,COUNTIF(INDIRECT("'0.0.2 Pokémon Learnset (Core)'!$D$"&amp;MATCH($E326,'0.0.2 Pokémon Learnset (Core)'!$A$1:$A951,0)&amp;":$FK$"&amp;MATCH($E326,'0.0.2 Pokémon Learnset (Core)'!$A$1:$A951,0)),'Reverse Search'!$E$21)),IF($C$2=2,COUNTIF(INDIRECT("'0.1.1 Pokémon GO Moves'!$B$"&amp;MATCH($E326,'0.1.1 Pokémon GO Moves'!$A$1:$A951,0)&amp;":$R$"&amp;MATCH($E326,'0.1.1 Pokémon GO Moves'!$A$1:$A951,0)),'Reverse Search'!$E$21),COUNTIF(INDIRECT("'0.1.1 Pokémon GO Moves'!$B$"&amp;MATCH($E326,'0.1.1 Pokémon GO Moves'!$A$1:$A951,0)&amp;":$L$"&amp;MATCH($E326,'0.1.1 Pokémon GO Moves'!$A$1:$A951,0)),'Reverse Search'!$E$21)))))</f>
        <v>1</v>
      </c>
      <c r="AA326" s="0" t="e">
        <f aca="true">IF('Reverse Search'!$C$14="Disable",1,IF('Reverse Search'!$I$16="Disable",1,IF($D$2=3,IF($M326=0,0,COUNTIF(INDIRECT("'0.0.2 Pokémon Learnset (Core)'!$D$"&amp;MATCH($E326,'0.0.2 Pokémon Learnset (Core)'!$A$1:$A951,0)&amp;":$FK$"&amp;MATCH($E326,'0.0.2 Pokémon Learnset (Core)'!$A$1:$A951,0)),'Reverse Search'!$J$21)),IF($D$2=2,COUNTIF(INDIRECT("'0.1.1 Pokémon GO Moves'!$B$"&amp;MATCH($E326,'0.1.1 Pokémon GO Moves'!$A$1:$A951,0)&amp;":$R$"&amp;MATCH($E326,'0.1.1 Pokémon GO Moves'!$A$1:$A951,0)),'Reverse Search'!$J$21),COUNTIF(INDIRECT("'0.1.1 Pokémon GO Moves'!$B$"&amp;MATCH($E326,'0.1.1 Pokémon GO Moves'!$A$1:$A951,0)&amp;":$L$"&amp;MATCH($E326,'0.1.1 Pokémon GO Moves'!$A$1:$A951,0)),'Reverse Search'!$J$21)))))</f>
        <v>#N/A</v>
      </c>
      <c r="AB326" s="490"/>
      <c r="AC326" s="260" t="e">
        <f aca="false">IF((Q326+R326+S326+V326+W326+X326+Y326+IF(Z326&gt;=1,1,0)+IF(AA326&gt;=1,1,0))=9,G326&amp;", ",)</f>
        <v>#N/A</v>
      </c>
    </row>
    <row r="327" customFormat="false" ht="15.75" hidden="false" customHeight="false" outlineLevel="0" collapsed="false">
      <c r="A327" s="260"/>
      <c r="B327" s="358"/>
      <c r="C327" s="260"/>
      <c r="D327" s="358"/>
      <c r="E327" s="260" t="n">
        <v>326</v>
      </c>
      <c r="F327" s="260" t="n">
        <f aca="false" t="array" ref="F327:F327">INDEX('0.0.1 Pokémon Dex Data'!$H$3:$H951,MATCH(E327,'0.0.1 Pokémon Dex Data'!$B$3:$B951,0))</f>
        <v>0</v>
      </c>
      <c r="G327" s="0" t="str">
        <f aca="false" t="array" ref="G327:G327">INDEX('0.0.1 Pokémon Dex Data'!$E$3:$E951,MATCH(E327,'0.0.1 Pokémon Dex Data'!$B$3:$B951,0))</f>
        <v>Surskit</v>
      </c>
      <c r="H327" s="0" t="str">
        <f aca="false" t="array" ref="H327:H327">INDEX('0.0.1 Pokémon Dex Data'!$Q$3:$Q951,MATCH(E327,'0.0.1 Pokémon Dex Data'!$B$3:$B951,0))</f>
        <v>Bug</v>
      </c>
      <c r="I327" s="0" t="str">
        <f aca="false" t="array" ref="I327:I327">INDEX('0.0.1 Pokémon Dex Data'!$R$3:$R951,MATCH(E327,'0.0.1 Pokémon Dex Data'!$B$3:$B951,0))</f>
        <v>Water</v>
      </c>
      <c r="J327" s="260" t="n">
        <f aca="false" t="array" ref="J327:J327">ROUND(INDEX('0.0.1 Pokémon Dex Data'!$S$3:$S951,MATCH($E327,'0.0.1 Pokémon Dex Data'!$B$3:$B951,0))*INDEX('0.0.1 Pokémon Dex Data'!T$3:T951,MATCH($E327,'0.0.1 Pokémon Dex Data'!$B$3:$B951,0)),0)</f>
        <v>93</v>
      </c>
      <c r="K327" s="260" t="n">
        <f aca="false" t="array" ref="K327:K327">ROUND(INDEX('0.0.1 Pokémon Dex Data'!$S$3:$S951,MATCH($E327,'0.0.1 Pokémon Dex Data'!$B$3:$B951,0))*INDEX('0.0.1 Pokémon Dex Data'!U$3:U951,MATCH($E327,'0.0.1 Pokémon Dex Data'!$B$3:$B951,0)),0)</f>
        <v>87</v>
      </c>
      <c r="L327" s="260" t="n">
        <f aca="false" t="array" ref="L327:L327">ROUND(INDEX('0.0.1 Pokémon Dex Data'!$S$3:$S951,MATCH($E327,'0.0.1 Pokémon Dex Data'!$B$3:$B951,0))*INDEX('0.0.1 Pokémon Dex Data'!V$3:V951,MATCH($E327,'0.0.1 Pokémon Dex Data'!$B$3:$B951,0)),0)</f>
        <v>120</v>
      </c>
      <c r="M327" s="260" t="n">
        <f aca="false" t="array" ref="M327:M327">INDEX('0.0.1 Pokémon Dex Data'!$J$3:$J951,MATCH(E327,'0.0.1 Pokémon Dex Data'!$B$3:$B951,0))</f>
        <v>0</v>
      </c>
      <c r="O327" s="490"/>
      <c r="Q327" s="367" t="n">
        <f aca="false">IF('Reverse Search'!$F$4="All (including temporary formes)",1,IF('Reverse Search'!$F$4="Base Pokémon and permanent formes only",IF(F327&lt;=1,1,0),IF(F327=0,1,0)))</f>
        <v>1</v>
      </c>
      <c r="R327" s="0" t="n">
        <f aca="false">IF('Reverse Search'!$C$7="Disable",1,IF('Reverse Search'!$D$9="Disable",1,IF(OR('Reverse Search'!$F$9=H327,'Reverse Search'!$F$9=I327),1,0)))</f>
        <v>1</v>
      </c>
      <c r="S327" s="0" t="n">
        <f aca="false">IF('Reverse Search'!$C$7="Disable",1,IF('Reverse Search'!$D$10="Disable",1,IF(OR('Reverse Search'!$F$10=H327,'Reverse Search'!$F$10=I327),1,0)))</f>
        <v>1</v>
      </c>
      <c r="T327" s="0" t="n">
        <f aca="false">INDEX($B$4:$B$22,MATCH(H327,$A$4:$A$22,0))</f>
        <v>1</v>
      </c>
      <c r="U327" s="0" t="n">
        <f aca="false">IF(ISBLANK(I327),1,INDEX($B$4:$B$22,MATCH(I327,$A$4:$A$22,0)))</f>
        <v>1</v>
      </c>
      <c r="V327" s="367" t="n">
        <f aca="false">IF('Reverse Search'!$C$7="Disable",1,IF('Reverse Search'!$D$11="Disable",1,IF('Reverse Search'!$E$11="Neutral to:",IF(ROUND(T327*U327,2)&lt;=1,1,0),IF(ROUND(T327*U327,2)&lt;1,1,0))))</f>
        <v>1</v>
      </c>
      <c r="W327" s="0" t="n">
        <f aca="false">IF('Reverse Search'!$N$7="Disable",1,IF('Reverse Search'!$I$9="Disable",1,IF('Reverse Search'!$K$9="≥",IF(J327&gt;='Reverse Search'!$L$9,1,0),IF('Reverse Search'!$K$9="≤",IF(J327&lt;='Reverse Search'!$L$9,1,0),IF(J327='Reverse Search'!$L$9,1,0)))))</f>
        <v>1</v>
      </c>
      <c r="X327" s="0" t="n">
        <f aca="false">IF('Reverse Search'!$N$7="Disable",1,IF('Reverse Search'!$I$10="Disable",1,IF('Reverse Search'!$K$10="≥",IF(K327&gt;='Reverse Search'!$L$10,1,0),IF('Reverse Search'!$K$10="≤",IF(K327&lt;='Reverse Search'!$L$10,1,0),IF(K327='Reverse Search'!$L$10,1,0)))))</f>
        <v>1</v>
      </c>
      <c r="Y327" s="367" t="n">
        <f aca="false">IF('Reverse Search'!$N$7="Disable",1,IF('Reverse Search'!$I$11="Disable",1,IF('Reverse Search'!$K$11="≥",IF(L327&gt;='Reverse Search'!$L$11,1,0),IF('Reverse Search'!$K$11="≤",IF(L327&lt;='Reverse Search'!$L$11,1,0),IF(L327='Reverse Search'!$L$11,1,0)))))</f>
        <v>1</v>
      </c>
      <c r="Z327" s="0" t="n">
        <f aca="true">IF('Reverse Search'!$C$14="Disable",1,IF('Reverse Search'!$D$16="Disable",1,IF($C$2=3,IF($M327=0,0,COUNTIF(INDIRECT("'0.0.2 Pokémon Learnset (Core)'!$D$"&amp;MATCH($E327,'0.0.2 Pokémon Learnset (Core)'!$A$1:$A951,0)&amp;":$FK$"&amp;MATCH($E327,'0.0.2 Pokémon Learnset (Core)'!$A$1:$A951,0)),'Reverse Search'!$E$21)),IF($C$2=2,COUNTIF(INDIRECT("'0.1.1 Pokémon GO Moves'!$B$"&amp;MATCH($E327,'0.1.1 Pokémon GO Moves'!$A$1:$A951,0)&amp;":$R$"&amp;MATCH($E327,'0.1.1 Pokémon GO Moves'!$A$1:$A951,0)),'Reverse Search'!$E$21),COUNTIF(INDIRECT("'0.1.1 Pokémon GO Moves'!$B$"&amp;MATCH($E327,'0.1.1 Pokémon GO Moves'!$A$1:$A951,0)&amp;":$L$"&amp;MATCH($E327,'0.1.1 Pokémon GO Moves'!$A$1:$A951,0)),'Reverse Search'!$E$21)))))</f>
        <v>1</v>
      </c>
      <c r="AA327" s="0" t="n">
        <f aca="true">IF('Reverse Search'!$C$14="Disable",1,IF('Reverse Search'!$I$16="Disable",1,IF($D$2=3,IF($M327=0,0,COUNTIF(INDIRECT("'0.0.2 Pokémon Learnset (Core)'!$D$"&amp;MATCH($E327,'0.0.2 Pokémon Learnset (Core)'!$A$1:$A951,0)&amp;":$FK$"&amp;MATCH($E327,'0.0.2 Pokémon Learnset (Core)'!$A$1:$A951,0)),'Reverse Search'!$J$21)),IF($D$2=2,COUNTIF(INDIRECT("'0.1.1 Pokémon GO Moves'!$B$"&amp;MATCH($E327,'0.1.1 Pokémon GO Moves'!$A$1:$A951,0)&amp;":$R$"&amp;MATCH($E327,'0.1.1 Pokémon GO Moves'!$A$1:$A951,0)),'Reverse Search'!$J$21),COUNTIF(INDIRECT("'0.1.1 Pokémon GO Moves'!$B$"&amp;MATCH($E327,'0.1.1 Pokémon GO Moves'!$A$1:$A951,0)&amp;":$L$"&amp;MATCH($E327,'0.1.1 Pokémon GO Moves'!$A$1:$A951,0)),'Reverse Search'!$J$21)))))</f>
        <v>0</v>
      </c>
      <c r="AB327" s="490"/>
      <c r="AC327" s="260" t="n">
        <f aca="false">IF((Q327+R327+S327+V327+W327+X327+Y327+IF(Z327&gt;=1,1,0)+IF(AA327&gt;=1,1,0))=9,G327&amp;", ",)</f>
        <v>0</v>
      </c>
    </row>
    <row r="328" customFormat="false" ht="15.75" hidden="false" customHeight="false" outlineLevel="0" collapsed="false">
      <c r="A328" s="260"/>
      <c r="B328" s="358"/>
      <c r="C328" s="260"/>
      <c r="D328" s="358"/>
      <c r="E328" s="260" t="n">
        <v>327</v>
      </c>
      <c r="F328" s="260" t="n">
        <f aca="false" t="array" ref="F328:F328">INDEX('0.0.1 Pokémon Dex Data'!$H$3:$H951,MATCH(E328,'0.0.1 Pokémon Dex Data'!$B$3:$B951,0))</f>
        <v>0</v>
      </c>
      <c r="G328" s="0" t="str">
        <f aca="false" t="array" ref="G328:G328">INDEX('0.0.1 Pokémon Dex Data'!$E$3:$E951,MATCH(E328,'0.0.1 Pokémon Dex Data'!$B$3:$B951,0))</f>
        <v>Masquerain</v>
      </c>
      <c r="H328" s="0" t="str">
        <f aca="false" t="array" ref="H328:H328">INDEX('0.0.1 Pokémon Dex Data'!$Q$3:$Q951,MATCH(E328,'0.0.1 Pokémon Dex Data'!$B$3:$B951,0))</f>
        <v>Bug</v>
      </c>
      <c r="I328" s="0" t="str">
        <f aca="false" t="array" ref="I328:I328">INDEX('0.0.1 Pokémon Dex Data'!$R$3:$R951,MATCH(E328,'0.0.1 Pokémon Dex Data'!$B$3:$B951,0))</f>
        <v>Flying</v>
      </c>
      <c r="J328" s="260" t="n">
        <f aca="false" t="array" ref="J328:J328">ROUND(INDEX('0.0.1 Pokémon Dex Data'!$S$3:$S951,MATCH($E328,'0.0.1 Pokémon Dex Data'!$B$3:$B951,0))*INDEX('0.0.1 Pokémon Dex Data'!T$3:T951,MATCH($E328,'0.0.1 Pokémon Dex Data'!$B$3:$B951,0)),0)</f>
        <v>192</v>
      </c>
      <c r="K328" s="260" t="n">
        <f aca="false" t="array" ref="K328:K328">ROUND(INDEX('0.0.1 Pokémon Dex Data'!$S$3:$S951,MATCH($E328,'0.0.1 Pokémon Dex Data'!$B$3:$B951,0))*INDEX('0.0.1 Pokémon Dex Data'!U$3:U951,MATCH($E328,'0.0.1 Pokémon Dex Data'!$B$3:$B951,0)),0)</f>
        <v>150</v>
      </c>
      <c r="L328" s="260" t="n">
        <f aca="false" t="array" ref="L328:L328">ROUND(INDEX('0.0.1 Pokémon Dex Data'!$S$3:$S951,MATCH($E328,'0.0.1 Pokémon Dex Data'!$B$3:$B951,0))*INDEX('0.0.1 Pokémon Dex Data'!V$3:V951,MATCH($E328,'0.0.1 Pokémon Dex Data'!$B$3:$B951,0)),0)</f>
        <v>172</v>
      </c>
      <c r="M328" s="260" t="n">
        <f aca="false" t="array" ref="M328:M328">INDEX('0.0.1 Pokémon Dex Data'!$J$3:$J951,MATCH(E328,'0.0.1 Pokémon Dex Data'!$B$3:$B951,0))</f>
        <v>1</v>
      </c>
      <c r="O328" s="490"/>
      <c r="Q328" s="367" t="n">
        <f aca="false">IF('Reverse Search'!$F$4="All (including temporary formes)",1,IF('Reverse Search'!$F$4="Base Pokémon and permanent formes only",IF(F328&lt;=1,1,0),IF(F328=0,1,0)))</f>
        <v>1</v>
      </c>
      <c r="R328" s="0" t="n">
        <f aca="false">IF('Reverse Search'!$C$7="Disable",1,IF('Reverse Search'!$D$9="Disable",1,IF(OR('Reverse Search'!$F$9=H328,'Reverse Search'!$F$9=I328),1,0)))</f>
        <v>1</v>
      </c>
      <c r="S328" s="0" t="n">
        <f aca="false">IF('Reverse Search'!$C$7="Disable",1,IF('Reverse Search'!$D$10="Disable",1,IF(OR('Reverse Search'!$F$10=H328,'Reverse Search'!$F$10=I328),1,0)))</f>
        <v>1</v>
      </c>
      <c r="T328" s="0" t="n">
        <f aca="false">INDEX($B$4:$B$22,MATCH(H328,$A$4:$A$22,0))</f>
        <v>1</v>
      </c>
      <c r="U328" s="0" t="n">
        <f aca="false">IF(ISBLANK(I328),1,INDEX($B$4:$B$22,MATCH(I328,$A$4:$A$22,0)))</f>
        <v>1</v>
      </c>
      <c r="V328" s="367" t="n">
        <f aca="false">IF('Reverse Search'!$C$7="Disable",1,IF('Reverse Search'!$D$11="Disable",1,IF('Reverse Search'!$E$11="Neutral to:",IF(ROUND(T328*U328,2)&lt;=1,1,0),IF(ROUND(T328*U328,2)&lt;1,1,0))))</f>
        <v>1</v>
      </c>
      <c r="W328" s="0" t="n">
        <f aca="false">IF('Reverse Search'!$N$7="Disable",1,IF('Reverse Search'!$I$9="Disable",1,IF('Reverse Search'!$K$9="≥",IF(J328&gt;='Reverse Search'!$L$9,1,0),IF('Reverse Search'!$K$9="≤",IF(J328&lt;='Reverse Search'!$L$9,1,0),IF(J328='Reverse Search'!$L$9,1,0)))))</f>
        <v>1</v>
      </c>
      <c r="X328" s="0" t="n">
        <f aca="false">IF('Reverse Search'!$N$7="Disable",1,IF('Reverse Search'!$I$10="Disable",1,IF('Reverse Search'!$K$10="≥",IF(K328&gt;='Reverse Search'!$L$10,1,0),IF('Reverse Search'!$K$10="≤",IF(K328&lt;='Reverse Search'!$L$10,1,0),IF(K328='Reverse Search'!$L$10,1,0)))))</f>
        <v>1</v>
      </c>
      <c r="Y328" s="367" t="n">
        <f aca="false">IF('Reverse Search'!$N$7="Disable",1,IF('Reverse Search'!$I$11="Disable",1,IF('Reverse Search'!$K$11="≥",IF(L328&gt;='Reverse Search'!$L$11,1,0),IF('Reverse Search'!$K$11="≤",IF(L328&lt;='Reverse Search'!$L$11,1,0),IF(L328='Reverse Search'!$L$11,1,0)))))</f>
        <v>1</v>
      </c>
      <c r="Z328" s="0" t="n">
        <f aca="true">IF('Reverse Search'!$C$14="Disable",1,IF('Reverse Search'!$D$16="Disable",1,IF($C$2=3,IF($M328=0,0,COUNTIF(INDIRECT("'0.0.2 Pokémon Learnset (Core)'!$D$"&amp;MATCH($E328,'0.0.2 Pokémon Learnset (Core)'!$A$1:$A951,0)&amp;":$FK$"&amp;MATCH($E328,'0.0.2 Pokémon Learnset (Core)'!$A$1:$A951,0)),'Reverse Search'!$E$21)),IF($C$2=2,COUNTIF(INDIRECT("'0.1.1 Pokémon GO Moves'!$B$"&amp;MATCH($E328,'0.1.1 Pokémon GO Moves'!$A$1:$A951,0)&amp;":$R$"&amp;MATCH($E328,'0.1.1 Pokémon GO Moves'!$A$1:$A951,0)),'Reverse Search'!$E$21),COUNTIF(INDIRECT("'0.1.1 Pokémon GO Moves'!$B$"&amp;MATCH($E328,'0.1.1 Pokémon GO Moves'!$A$1:$A951,0)&amp;":$L$"&amp;MATCH($E328,'0.1.1 Pokémon GO Moves'!$A$1:$A951,0)),'Reverse Search'!$E$21)))))</f>
        <v>1</v>
      </c>
      <c r="AA328" s="0" t="n">
        <f aca="true">IF('Reverse Search'!$C$14="Disable",1,IF('Reverse Search'!$I$16="Disable",1,IF($D$2=3,IF($M328=0,0,COUNTIF(INDIRECT("'0.0.2 Pokémon Learnset (Core)'!$D$"&amp;MATCH($E328,'0.0.2 Pokémon Learnset (Core)'!$A$1:$A951,0)&amp;":$FK$"&amp;MATCH($E328,'0.0.2 Pokémon Learnset (Core)'!$A$1:$A951,0)),'Reverse Search'!$J$21)),IF($D$2=2,COUNTIF(INDIRECT("'0.1.1 Pokémon GO Moves'!$B$"&amp;MATCH($E328,'0.1.1 Pokémon GO Moves'!$A$1:$A951,0)&amp;":$R$"&amp;MATCH($E328,'0.1.1 Pokémon GO Moves'!$A$1:$A951,0)),'Reverse Search'!$J$21),COUNTIF(INDIRECT("'0.1.1 Pokémon GO Moves'!$B$"&amp;MATCH($E328,'0.1.1 Pokémon GO Moves'!$A$1:$A951,0)&amp;":$L$"&amp;MATCH($E328,'0.1.1 Pokémon GO Moves'!$A$1:$A951,0)),'Reverse Search'!$J$21)))))</f>
        <v>0</v>
      </c>
      <c r="AB328" s="490"/>
      <c r="AC328" s="260" t="n">
        <f aca="false">IF((Q328+R328+S328+V328+W328+X328+Y328+IF(Z328&gt;=1,1,0)+IF(AA328&gt;=1,1,0))=9,G328&amp;", ",)</f>
        <v>0</v>
      </c>
    </row>
    <row r="329" customFormat="false" ht="15.75" hidden="false" customHeight="false" outlineLevel="0" collapsed="false">
      <c r="A329" s="260"/>
      <c r="B329" s="358"/>
      <c r="C329" s="260"/>
      <c r="D329" s="358"/>
      <c r="E329" s="260" t="n">
        <v>328</v>
      </c>
      <c r="F329" s="260" t="n">
        <f aca="false" t="array" ref="F329:F329">INDEX('0.0.1 Pokémon Dex Data'!$H$3:$H951,MATCH(E329,'0.0.1 Pokémon Dex Data'!$B$3:$B951,0))</f>
        <v>0</v>
      </c>
      <c r="G329" s="0" t="str">
        <f aca="false" t="array" ref="G329:G329">INDEX('0.0.1 Pokémon Dex Data'!$E$3:$E951,MATCH(E329,'0.0.1 Pokémon Dex Data'!$B$3:$B951,0))</f>
        <v>Shroomish</v>
      </c>
      <c r="H329" s="0" t="str">
        <f aca="false" t="array" ref="H329:H329">INDEX('0.0.1 Pokémon Dex Data'!$Q$3:$Q951,MATCH(E329,'0.0.1 Pokémon Dex Data'!$B$3:$B951,0))</f>
        <v>Grass</v>
      </c>
      <c r="I329" s="0" t="n">
        <f aca="false">INDEX('0.0.1 Pokémon Dex Data'!$R$3:$R951,MATCH(E329,'0.0.1 Pokémon Dex Data'!$B$3:$B951,0))</f>
        <v>0</v>
      </c>
      <c r="J329" s="260" t="n">
        <f aca="false" t="array" ref="J329:J329">ROUND(INDEX('0.0.1 Pokémon Dex Data'!$S$3:$S951,MATCH($E329,'0.0.1 Pokémon Dex Data'!$B$3:$B951,0))*INDEX('0.0.1 Pokémon Dex Data'!T$3:T951,MATCH($E329,'0.0.1 Pokémon Dex Data'!$B$3:$B951,0)),0)</f>
        <v>74</v>
      </c>
      <c r="K329" s="260" t="n">
        <f aca="false" t="array" ref="K329:K329">ROUND(INDEX('0.0.1 Pokémon Dex Data'!$S$3:$S951,MATCH($E329,'0.0.1 Pokémon Dex Data'!$B$3:$B951,0))*INDEX('0.0.1 Pokémon Dex Data'!U$3:U951,MATCH($E329,'0.0.1 Pokémon Dex Data'!$B$3:$B951,0)),0)</f>
        <v>110</v>
      </c>
      <c r="L329" s="260" t="n">
        <f aca="false" t="array" ref="L329:L329">ROUND(INDEX('0.0.1 Pokémon Dex Data'!$S$3:$S951,MATCH($E329,'0.0.1 Pokémon Dex Data'!$B$3:$B951,0))*INDEX('0.0.1 Pokémon Dex Data'!V$3:V951,MATCH($E329,'0.0.1 Pokémon Dex Data'!$B$3:$B951,0)),0)</f>
        <v>155</v>
      </c>
      <c r="M329" s="260" t="n">
        <f aca="false" t="array" ref="M329:M329">INDEX('0.0.1 Pokémon Dex Data'!$J$3:$J951,MATCH(E329,'0.0.1 Pokémon Dex Data'!$B$3:$B951,0))</f>
        <v>0</v>
      </c>
      <c r="O329" s="490"/>
      <c r="Q329" s="367" t="n">
        <f aca="false">IF('Reverse Search'!$F$4="All (including temporary formes)",1,IF('Reverse Search'!$F$4="Base Pokémon and permanent formes only",IF(F329&lt;=1,1,0),IF(F329=0,1,0)))</f>
        <v>1</v>
      </c>
      <c r="R329" s="0" t="n">
        <f aca="false">IF('Reverse Search'!$C$7="Disable",1,IF('Reverse Search'!$D$9="Disable",1,IF(OR('Reverse Search'!$F$9=H329,'Reverse Search'!$F$9=I329),1,0)))</f>
        <v>1</v>
      </c>
      <c r="S329" s="0" t="n">
        <f aca="false">IF('Reverse Search'!$C$7="Disable",1,IF('Reverse Search'!$D$10="Disable",1,IF(OR('Reverse Search'!$F$10=H329,'Reverse Search'!$F$10=I329),1,0)))</f>
        <v>1</v>
      </c>
      <c r="T329" s="0" t="n">
        <f aca="false">INDEX($B$4:$B$22,MATCH(H329,$A$4:$A$22,0))</f>
        <v>1</v>
      </c>
      <c r="U329" s="0" t="e">
        <f aca="false">IF(ISBLANK(I329),1,INDEX($B$4:$B$22,MATCH(I329,$A$4:$A$22,0)))</f>
        <v>#N/A</v>
      </c>
      <c r="V329" s="367" t="n">
        <f aca="false">IF('Reverse Search'!$C$7="Disable",1,IF('Reverse Search'!$D$11="Disable",1,IF('Reverse Search'!$E$11="Neutral to:",IF(ROUND(T329*U329,2)&lt;=1,1,0),IF(ROUND(T329*U329,2)&lt;1,1,0))))</f>
        <v>1</v>
      </c>
      <c r="W329" s="0" t="n">
        <f aca="false">IF('Reverse Search'!$N$7="Disable",1,IF('Reverse Search'!$I$9="Disable",1,IF('Reverse Search'!$K$9="≥",IF(J329&gt;='Reverse Search'!$L$9,1,0),IF('Reverse Search'!$K$9="≤",IF(J329&lt;='Reverse Search'!$L$9,1,0),IF(J329='Reverse Search'!$L$9,1,0)))))</f>
        <v>1</v>
      </c>
      <c r="X329" s="0" t="n">
        <f aca="false">IF('Reverse Search'!$N$7="Disable",1,IF('Reverse Search'!$I$10="Disable",1,IF('Reverse Search'!$K$10="≥",IF(K329&gt;='Reverse Search'!$L$10,1,0),IF('Reverse Search'!$K$10="≤",IF(K329&lt;='Reverse Search'!$L$10,1,0),IF(K329='Reverse Search'!$L$10,1,0)))))</f>
        <v>1</v>
      </c>
      <c r="Y329" s="367" t="n">
        <f aca="false">IF('Reverse Search'!$N$7="Disable",1,IF('Reverse Search'!$I$11="Disable",1,IF('Reverse Search'!$K$11="≥",IF(L329&gt;='Reverse Search'!$L$11,1,0),IF('Reverse Search'!$K$11="≤",IF(L329&lt;='Reverse Search'!$L$11,1,0),IF(L329='Reverse Search'!$L$11,1,0)))))</f>
        <v>1</v>
      </c>
      <c r="Z329" s="0" t="n">
        <f aca="true">IF('Reverse Search'!$C$14="Disable",1,IF('Reverse Search'!$D$16="Disable",1,IF($C$2=3,IF($M329=0,0,COUNTIF(INDIRECT("'0.0.2 Pokémon Learnset (Core)'!$D$"&amp;MATCH($E329,'0.0.2 Pokémon Learnset (Core)'!$A$1:$A951,0)&amp;":$FK$"&amp;MATCH($E329,'0.0.2 Pokémon Learnset (Core)'!$A$1:$A951,0)),'Reverse Search'!$E$21)),IF($C$2=2,COUNTIF(INDIRECT("'0.1.1 Pokémon GO Moves'!$B$"&amp;MATCH($E329,'0.1.1 Pokémon GO Moves'!$A$1:$A951,0)&amp;":$R$"&amp;MATCH($E329,'0.1.1 Pokémon GO Moves'!$A$1:$A951,0)),'Reverse Search'!$E$21),COUNTIF(INDIRECT("'0.1.1 Pokémon GO Moves'!$B$"&amp;MATCH($E329,'0.1.1 Pokémon GO Moves'!$A$1:$A951,0)&amp;":$L$"&amp;MATCH($E329,'0.1.1 Pokémon GO Moves'!$A$1:$A951,0)),'Reverse Search'!$E$21)))))</f>
        <v>1</v>
      </c>
      <c r="AA329" s="0" t="n">
        <f aca="true">IF('Reverse Search'!$C$14="Disable",1,IF('Reverse Search'!$I$16="Disable",1,IF($D$2=3,IF($M329=0,0,COUNTIF(INDIRECT("'0.0.2 Pokémon Learnset (Core)'!$D$"&amp;MATCH($E329,'0.0.2 Pokémon Learnset (Core)'!$A$1:$A951,0)&amp;":$FK$"&amp;MATCH($E329,'0.0.2 Pokémon Learnset (Core)'!$A$1:$A951,0)),'Reverse Search'!$J$21)),IF($D$2=2,COUNTIF(INDIRECT("'0.1.1 Pokémon GO Moves'!$B$"&amp;MATCH($E329,'0.1.1 Pokémon GO Moves'!$A$1:$A951,0)&amp;":$R$"&amp;MATCH($E329,'0.1.1 Pokémon GO Moves'!$A$1:$A951,0)),'Reverse Search'!$J$21),COUNTIF(INDIRECT("'0.1.1 Pokémon GO Moves'!$B$"&amp;MATCH($E329,'0.1.1 Pokémon GO Moves'!$A$1:$A951,0)&amp;":$L$"&amp;MATCH($E329,'0.1.1 Pokémon GO Moves'!$A$1:$A951,0)),'Reverse Search'!$J$21)))))</f>
        <v>0</v>
      </c>
      <c r="AB329" s="490"/>
      <c r="AC329" s="260" t="n">
        <f aca="false">IF((Q329+R329+S329+V329+W329+X329+Y329+IF(Z329&gt;=1,1,0)+IF(AA329&gt;=1,1,0))=9,G329&amp;", ",)</f>
        <v>0</v>
      </c>
    </row>
    <row r="330" customFormat="false" ht="15.75" hidden="false" customHeight="false" outlineLevel="0" collapsed="false">
      <c r="A330" s="260"/>
      <c r="B330" s="358"/>
      <c r="C330" s="260"/>
      <c r="D330" s="358"/>
      <c r="E330" s="260" t="n">
        <v>329</v>
      </c>
      <c r="F330" s="260" t="n">
        <f aca="false" t="array" ref="F330:F330">INDEX('0.0.1 Pokémon Dex Data'!$H$3:$H951,MATCH(E330,'0.0.1 Pokémon Dex Data'!$B$3:$B951,0))</f>
        <v>0</v>
      </c>
      <c r="G330" s="0" t="str">
        <f aca="false" t="array" ref="G330:G330">INDEX('0.0.1 Pokémon Dex Data'!$E$3:$E951,MATCH(E330,'0.0.1 Pokémon Dex Data'!$B$3:$B951,0))</f>
        <v>Breloom</v>
      </c>
      <c r="H330" s="0" t="str">
        <f aca="false" t="array" ref="H330:H330">INDEX('0.0.1 Pokémon Dex Data'!$Q$3:$Q951,MATCH(E330,'0.0.1 Pokémon Dex Data'!$B$3:$B951,0))</f>
        <v>Grass</v>
      </c>
      <c r="I330" s="0" t="str">
        <f aca="false" t="array" ref="I330:I330">INDEX('0.0.1 Pokémon Dex Data'!$R$3:$R951,MATCH(E330,'0.0.1 Pokémon Dex Data'!$B$3:$B951,0))</f>
        <v>Fighting</v>
      </c>
      <c r="J330" s="260" t="n">
        <f aca="false" t="array" ref="J330:J330">ROUND(INDEX('0.0.1 Pokémon Dex Data'!$S$3:$S951,MATCH($E330,'0.0.1 Pokémon Dex Data'!$B$3:$B951,0))*INDEX('0.0.1 Pokémon Dex Data'!T$3:T951,MATCH($E330,'0.0.1 Pokémon Dex Data'!$B$3:$B951,0)),0)</f>
        <v>241</v>
      </c>
      <c r="K330" s="260" t="n">
        <f aca="false" t="array" ref="K330:K330">ROUND(INDEX('0.0.1 Pokémon Dex Data'!$S$3:$S951,MATCH($E330,'0.0.1 Pokémon Dex Data'!$B$3:$B951,0))*INDEX('0.0.1 Pokémon Dex Data'!U$3:U951,MATCH($E330,'0.0.1 Pokémon Dex Data'!$B$3:$B951,0)),0)</f>
        <v>144</v>
      </c>
      <c r="L330" s="260" t="n">
        <f aca="false" t="array" ref="L330:L330">ROUND(INDEX('0.0.1 Pokémon Dex Data'!$S$3:$S951,MATCH($E330,'0.0.1 Pokémon Dex Data'!$B$3:$B951,0))*INDEX('0.0.1 Pokémon Dex Data'!V$3:V951,MATCH($E330,'0.0.1 Pokémon Dex Data'!$B$3:$B951,0)),0)</f>
        <v>155</v>
      </c>
      <c r="M330" s="260" t="n">
        <f aca="false" t="array" ref="M330:M330">INDEX('0.0.1 Pokémon Dex Data'!$J$3:$J951,MATCH(E330,'0.0.1 Pokémon Dex Data'!$B$3:$B951,0))</f>
        <v>1</v>
      </c>
      <c r="O330" s="490"/>
      <c r="Q330" s="367" t="n">
        <f aca="false">IF('Reverse Search'!$F$4="All (including temporary formes)",1,IF('Reverse Search'!$F$4="Base Pokémon and permanent formes only",IF(F330&lt;=1,1,0),IF(F330=0,1,0)))</f>
        <v>1</v>
      </c>
      <c r="R330" s="0" t="n">
        <f aca="false">IF('Reverse Search'!$C$7="Disable",1,IF('Reverse Search'!$D$9="Disable",1,IF(OR('Reverse Search'!$F$9=H330,'Reverse Search'!$F$9=I330),1,0)))</f>
        <v>1</v>
      </c>
      <c r="S330" s="0" t="n">
        <f aca="false">IF('Reverse Search'!$C$7="Disable",1,IF('Reverse Search'!$D$10="Disable",1,IF(OR('Reverse Search'!$F$10=H330,'Reverse Search'!$F$10=I330),1,0)))</f>
        <v>1</v>
      </c>
      <c r="T330" s="0" t="n">
        <f aca="false">INDEX($B$4:$B$22,MATCH(H330,$A$4:$A$22,0))</f>
        <v>1</v>
      </c>
      <c r="U330" s="0" t="n">
        <f aca="false">IF(ISBLANK(I330),1,INDEX($B$4:$B$22,MATCH(I330,$A$4:$A$22,0)))</f>
        <v>1</v>
      </c>
      <c r="V330" s="367" t="n">
        <f aca="false">IF('Reverse Search'!$C$7="Disable",1,IF('Reverse Search'!$D$11="Disable",1,IF('Reverse Search'!$E$11="Neutral to:",IF(ROUND(T330*U330,2)&lt;=1,1,0),IF(ROUND(T330*U330,2)&lt;1,1,0))))</f>
        <v>1</v>
      </c>
      <c r="W330" s="0" t="n">
        <f aca="false">IF('Reverse Search'!$N$7="Disable",1,IF('Reverse Search'!$I$9="Disable",1,IF('Reverse Search'!$K$9="≥",IF(J330&gt;='Reverse Search'!$L$9,1,0),IF('Reverse Search'!$K$9="≤",IF(J330&lt;='Reverse Search'!$L$9,1,0),IF(J330='Reverse Search'!$L$9,1,0)))))</f>
        <v>1</v>
      </c>
      <c r="X330" s="0" t="n">
        <f aca="false">IF('Reverse Search'!$N$7="Disable",1,IF('Reverse Search'!$I$10="Disable",1,IF('Reverse Search'!$K$10="≥",IF(K330&gt;='Reverse Search'!$L$10,1,0),IF('Reverse Search'!$K$10="≤",IF(K330&lt;='Reverse Search'!$L$10,1,0),IF(K330='Reverse Search'!$L$10,1,0)))))</f>
        <v>1</v>
      </c>
      <c r="Y330" s="367" t="n">
        <f aca="false">IF('Reverse Search'!$N$7="Disable",1,IF('Reverse Search'!$I$11="Disable",1,IF('Reverse Search'!$K$11="≥",IF(L330&gt;='Reverse Search'!$L$11,1,0),IF('Reverse Search'!$K$11="≤",IF(L330&lt;='Reverse Search'!$L$11,1,0),IF(L330='Reverse Search'!$L$11,1,0)))))</f>
        <v>1</v>
      </c>
      <c r="Z330" s="0" t="n">
        <f aca="true">IF('Reverse Search'!$C$14="Disable",1,IF('Reverse Search'!$D$16="Disable",1,IF($C$2=3,IF($M330=0,0,COUNTIF(INDIRECT("'0.0.2 Pokémon Learnset (Core)'!$D$"&amp;MATCH($E330,'0.0.2 Pokémon Learnset (Core)'!$A$1:$A951,0)&amp;":$FK$"&amp;MATCH($E330,'0.0.2 Pokémon Learnset (Core)'!$A$1:$A951,0)),'Reverse Search'!$E$21)),IF($C$2=2,COUNTIF(INDIRECT("'0.1.1 Pokémon GO Moves'!$B$"&amp;MATCH($E330,'0.1.1 Pokémon GO Moves'!$A$1:$A951,0)&amp;":$R$"&amp;MATCH($E330,'0.1.1 Pokémon GO Moves'!$A$1:$A951,0)),'Reverse Search'!$E$21),COUNTIF(INDIRECT("'0.1.1 Pokémon GO Moves'!$B$"&amp;MATCH($E330,'0.1.1 Pokémon GO Moves'!$A$1:$A951,0)&amp;":$L$"&amp;MATCH($E330,'0.1.1 Pokémon GO Moves'!$A$1:$A951,0)),'Reverse Search'!$E$21)))))</f>
        <v>1</v>
      </c>
      <c r="AA330" s="0" t="n">
        <f aca="true">IF('Reverse Search'!$C$14="Disable",1,IF('Reverse Search'!$I$16="Disable",1,IF($D$2=3,IF($M330=0,0,COUNTIF(INDIRECT("'0.0.2 Pokémon Learnset (Core)'!$D$"&amp;MATCH($E330,'0.0.2 Pokémon Learnset (Core)'!$A$1:$A951,0)&amp;":$FK$"&amp;MATCH($E330,'0.0.2 Pokémon Learnset (Core)'!$A$1:$A951,0)),'Reverse Search'!$J$21)),IF($D$2=2,COUNTIF(INDIRECT("'0.1.1 Pokémon GO Moves'!$B$"&amp;MATCH($E330,'0.1.1 Pokémon GO Moves'!$A$1:$A951,0)&amp;":$R$"&amp;MATCH($E330,'0.1.1 Pokémon GO Moves'!$A$1:$A951,0)),'Reverse Search'!$J$21),COUNTIF(INDIRECT("'0.1.1 Pokémon GO Moves'!$B$"&amp;MATCH($E330,'0.1.1 Pokémon GO Moves'!$A$1:$A951,0)&amp;":$L$"&amp;MATCH($E330,'0.1.1 Pokémon GO Moves'!$A$1:$A951,0)),'Reverse Search'!$J$21)))))</f>
        <v>0</v>
      </c>
      <c r="AB330" s="490"/>
      <c r="AC330" s="260" t="n">
        <f aca="false">IF((Q330+R330+S330+V330+W330+X330+Y330+IF(Z330&gt;=1,1,0)+IF(AA330&gt;=1,1,0))=9,G330&amp;", ",)</f>
        <v>0</v>
      </c>
    </row>
    <row r="331" customFormat="false" ht="15.75" hidden="false" customHeight="false" outlineLevel="0" collapsed="false">
      <c r="A331" s="260"/>
      <c r="B331" s="358"/>
      <c r="C331" s="260"/>
      <c r="D331" s="358"/>
      <c r="E331" s="260" t="n">
        <v>330</v>
      </c>
      <c r="F331" s="260" t="n">
        <f aca="false" t="array" ref="F331:F331">INDEX('0.0.1 Pokémon Dex Data'!$H$3:$H951,MATCH(E331,'0.0.1 Pokémon Dex Data'!$B$3:$B951,0))</f>
        <v>0</v>
      </c>
      <c r="G331" s="0" t="str">
        <f aca="false" t="array" ref="G331:G331">INDEX('0.0.1 Pokémon Dex Data'!$E$3:$E951,MATCH(E331,'0.0.1 Pokémon Dex Data'!$B$3:$B951,0))</f>
        <v>Slakoth</v>
      </c>
      <c r="H331" s="0" t="str">
        <f aca="false" t="array" ref="H331:H331">INDEX('0.0.1 Pokémon Dex Data'!$Q$3:$Q951,MATCH(E331,'0.0.1 Pokémon Dex Data'!$B$3:$B951,0))</f>
        <v>Normal</v>
      </c>
      <c r="I331" s="0" t="n">
        <f aca="false">INDEX('0.0.1 Pokémon Dex Data'!$R$3:$R951,MATCH(E331,'0.0.1 Pokémon Dex Data'!$B$3:$B951,0))</f>
        <v>0</v>
      </c>
      <c r="J331" s="260" t="n">
        <f aca="false" t="array" ref="J331:J331">ROUND(INDEX('0.0.1 Pokémon Dex Data'!$S$3:$S951,MATCH($E331,'0.0.1 Pokémon Dex Data'!$B$3:$B951,0))*INDEX('0.0.1 Pokémon Dex Data'!T$3:T951,MATCH($E331,'0.0.1 Pokémon Dex Data'!$B$3:$B951,0)),0)</f>
        <v>104</v>
      </c>
      <c r="K331" s="260" t="n">
        <f aca="false" t="array" ref="K331:K331">ROUND(INDEX('0.0.1 Pokémon Dex Data'!$S$3:$S951,MATCH($E331,'0.0.1 Pokémon Dex Data'!$B$3:$B951,0))*INDEX('0.0.1 Pokémon Dex Data'!U$3:U951,MATCH($E331,'0.0.1 Pokémon Dex Data'!$B$3:$B951,0)),0)</f>
        <v>92</v>
      </c>
      <c r="L331" s="260" t="n">
        <f aca="false" t="array" ref="L331:L331">ROUND(INDEX('0.0.1 Pokémon Dex Data'!$S$3:$S951,MATCH($E331,'0.0.1 Pokémon Dex Data'!$B$3:$B951,0))*INDEX('0.0.1 Pokémon Dex Data'!V$3:V951,MATCH($E331,'0.0.1 Pokémon Dex Data'!$B$3:$B951,0)),0)</f>
        <v>155</v>
      </c>
      <c r="M331" s="260" t="n">
        <f aca="false" t="array" ref="M331:M331">INDEX('0.0.1 Pokémon Dex Data'!$J$3:$J951,MATCH(E331,'0.0.1 Pokémon Dex Data'!$B$3:$B951,0))</f>
        <v>0</v>
      </c>
      <c r="O331" s="490"/>
      <c r="Q331" s="367" t="n">
        <f aca="false">IF('Reverse Search'!$F$4="All (including temporary formes)",1,IF('Reverse Search'!$F$4="Base Pokémon and permanent formes only",IF(F331&lt;=1,1,0),IF(F331=0,1,0)))</f>
        <v>1</v>
      </c>
      <c r="R331" s="0" t="n">
        <f aca="false">IF('Reverse Search'!$C$7="Disable",1,IF('Reverse Search'!$D$9="Disable",1,IF(OR('Reverse Search'!$F$9=H331,'Reverse Search'!$F$9=I331),1,0)))</f>
        <v>1</v>
      </c>
      <c r="S331" s="0" t="n">
        <f aca="false">IF('Reverse Search'!$C$7="Disable",1,IF('Reverse Search'!$D$10="Disable",1,IF(OR('Reverse Search'!$F$10=H331,'Reverse Search'!$F$10=I331),1,0)))</f>
        <v>1</v>
      </c>
      <c r="T331" s="0" t="n">
        <f aca="false">INDEX($B$4:$B$22,MATCH(H331,$A$4:$A$22,0))</f>
        <v>1</v>
      </c>
      <c r="U331" s="0" t="e">
        <f aca="false">IF(ISBLANK(I331),1,INDEX($B$4:$B$22,MATCH(I331,$A$4:$A$22,0)))</f>
        <v>#N/A</v>
      </c>
      <c r="V331" s="367" t="n">
        <f aca="false">IF('Reverse Search'!$C$7="Disable",1,IF('Reverse Search'!$D$11="Disable",1,IF('Reverse Search'!$E$11="Neutral to:",IF(ROUND(T331*U331,2)&lt;=1,1,0),IF(ROUND(T331*U331,2)&lt;1,1,0))))</f>
        <v>1</v>
      </c>
      <c r="W331" s="0" t="n">
        <f aca="false">IF('Reverse Search'!$N$7="Disable",1,IF('Reverse Search'!$I$9="Disable",1,IF('Reverse Search'!$K$9="≥",IF(J331&gt;='Reverse Search'!$L$9,1,0),IF('Reverse Search'!$K$9="≤",IF(J331&lt;='Reverse Search'!$L$9,1,0),IF(J331='Reverse Search'!$L$9,1,0)))))</f>
        <v>1</v>
      </c>
      <c r="X331" s="0" t="n">
        <f aca="false">IF('Reverse Search'!$N$7="Disable",1,IF('Reverse Search'!$I$10="Disable",1,IF('Reverse Search'!$K$10="≥",IF(K331&gt;='Reverse Search'!$L$10,1,0),IF('Reverse Search'!$K$10="≤",IF(K331&lt;='Reverse Search'!$L$10,1,0),IF(K331='Reverse Search'!$L$10,1,0)))))</f>
        <v>1</v>
      </c>
      <c r="Y331" s="367" t="n">
        <f aca="false">IF('Reverse Search'!$N$7="Disable",1,IF('Reverse Search'!$I$11="Disable",1,IF('Reverse Search'!$K$11="≥",IF(L331&gt;='Reverse Search'!$L$11,1,0),IF('Reverse Search'!$K$11="≤",IF(L331&lt;='Reverse Search'!$L$11,1,0),IF(L331='Reverse Search'!$L$11,1,0)))))</f>
        <v>1</v>
      </c>
      <c r="Z331" s="0" t="n">
        <f aca="true">IF('Reverse Search'!$C$14="Disable",1,IF('Reverse Search'!$D$16="Disable",1,IF($C$2=3,IF($M331=0,0,COUNTIF(INDIRECT("'0.0.2 Pokémon Learnset (Core)'!$D$"&amp;MATCH($E331,'0.0.2 Pokémon Learnset (Core)'!$A$1:$A951,0)&amp;":$FK$"&amp;MATCH($E331,'0.0.2 Pokémon Learnset (Core)'!$A$1:$A951,0)),'Reverse Search'!$E$21)),IF($C$2=2,COUNTIF(INDIRECT("'0.1.1 Pokémon GO Moves'!$B$"&amp;MATCH($E331,'0.1.1 Pokémon GO Moves'!$A$1:$A951,0)&amp;":$R$"&amp;MATCH($E331,'0.1.1 Pokémon GO Moves'!$A$1:$A951,0)),'Reverse Search'!$E$21),COUNTIF(INDIRECT("'0.1.1 Pokémon GO Moves'!$B$"&amp;MATCH($E331,'0.1.1 Pokémon GO Moves'!$A$1:$A951,0)&amp;":$L$"&amp;MATCH($E331,'0.1.1 Pokémon GO Moves'!$A$1:$A951,0)),'Reverse Search'!$E$21)))))</f>
        <v>1</v>
      </c>
      <c r="AA331" s="0" t="n">
        <f aca="true">IF('Reverse Search'!$C$14="Disable",1,IF('Reverse Search'!$I$16="Disable",1,IF($D$2=3,IF($M331=0,0,COUNTIF(INDIRECT("'0.0.2 Pokémon Learnset (Core)'!$D$"&amp;MATCH($E331,'0.0.2 Pokémon Learnset (Core)'!$A$1:$A951,0)&amp;":$FK$"&amp;MATCH($E331,'0.0.2 Pokémon Learnset (Core)'!$A$1:$A951,0)),'Reverse Search'!$J$21)),IF($D$2=2,COUNTIF(INDIRECT("'0.1.1 Pokémon GO Moves'!$B$"&amp;MATCH($E331,'0.1.1 Pokémon GO Moves'!$A$1:$A951,0)&amp;":$R$"&amp;MATCH($E331,'0.1.1 Pokémon GO Moves'!$A$1:$A951,0)),'Reverse Search'!$J$21),COUNTIF(INDIRECT("'0.1.1 Pokémon GO Moves'!$B$"&amp;MATCH($E331,'0.1.1 Pokémon GO Moves'!$A$1:$A951,0)&amp;":$L$"&amp;MATCH($E331,'0.1.1 Pokémon GO Moves'!$A$1:$A951,0)),'Reverse Search'!$J$21)))))</f>
        <v>0</v>
      </c>
      <c r="AB331" s="490"/>
      <c r="AC331" s="260" t="n">
        <f aca="false">IF((Q331+R331+S331+V331+W331+X331+Y331+IF(Z331&gt;=1,1,0)+IF(AA331&gt;=1,1,0))=9,G331&amp;", ",)</f>
        <v>0</v>
      </c>
    </row>
    <row r="332" customFormat="false" ht="15.75" hidden="false" customHeight="false" outlineLevel="0" collapsed="false">
      <c r="A332" s="260"/>
      <c r="B332" s="358"/>
      <c r="C332" s="260"/>
      <c r="D332" s="358"/>
      <c r="E332" s="260" t="n">
        <v>331</v>
      </c>
      <c r="F332" s="260" t="n">
        <f aca="false" t="array" ref="F332:F332">INDEX('0.0.1 Pokémon Dex Data'!$H$3:$H951,MATCH(E332,'0.0.1 Pokémon Dex Data'!$B$3:$B951,0))</f>
        <v>0</v>
      </c>
      <c r="G332" s="0" t="str">
        <f aca="false" t="array" ref="G332:G332">INDEX('0.0.1 Pokémon Dex Data'!$E$3:$E951,MATCH(E332,'0.0.1 Pokémon Dex Data'!$B$3:$B951,0))</f>
        <v>Vigoroth</v>
      </c>
      <c r="H332" s="0" t="str">
        <f aca="false" t="array" ref="H332:H332">INDEX('0.0.1 Pokémon Dex Data'!$Q$3:$Q951,MATCH(E332,'0.0.1 Pokémon Dex Data'!$B$3:$B951,0))</f>
        <v>Normal</v>
      </c>
      <c r="I332" s="0" t="n">
        <f aca="false">INDEX('0.0.1 Pokémon Dex Data'!$R$3:$R951,MATCH(E332,'0.0.1 Pokémon Dex Data'!$B$3:$B951,0))</f>
        <v>0</v>
      </c>
      <c r="J332" s="260" t="n">
        <f aca="false" t="array" ref="J332:J332">ROUND(INDEX('0.0.1 Pokémon Dex Data'!$S$3:$S951,MATCH($E332,'0.0.1 Pokémon Dex Data'!$B$3:$B951,0))*INDEX('0.0.1 Pokémon Dex Data'!T$3:T951,MATCH($E332,'0.0.1 Pokémon Dex Data'!$B$3:$B951,0)),0)</f>
        <v>159</v>
      </c>
      <c r="K332" s="260" t="n">
        <f aca="false" t="array" ref="K332:K332">ROUND(INDEX('0.0.1 Pokémon Dex Data'!$S$3:$S951,MATCH($E332,'0.0.1 Pokémon Dex Data'!$B$3:$B951,0))*INDEX('0.0.1 Pokémon Dex Data'!U$3:U951,MATCH($E332,'0.0.1 Pokémon Dex Data'!$B$3:$B951,0)),0)</f>
        <v>145</v>
      </c>
      <c r="L332" s="260" t="n">
        <f aca="false" t="array" ref="L332:L332">ROUND(INDEX('0.0.1 Pokémon Dex Data'!$S$3:$S951,MATCH($E332,'0.0.1 Pokémon Dex Data'!$B$3:$B951,0))*INDEX('0.0.1 Pokémon Dex Data'!V$3:V951,MATCH($E332,'0.0.1 Pokémon Dex Data'!$B$3:$B951,0)),0)</f>
        <v>190</v>
      </c>
      <c r="M332" s="260" t="n">
        <f aca="false" t="array" ref="M332:M332">INDEX('0.0.1 Pokémon Dex Data'!$J$3:$J951,MATCH(E332,'0.0.1 Pokémon Dex Data'!$B$3:$B951,0))</f>
        <v>0</v>
      </c>
      <c r="O332" s="490"/>
      <c r="Q332" s="367" t="n">
        <f aca="false">IF('Reverse Search'!$F$4="All (including temporary formes)",1,IF('Reverse Search'!$F$4="Base Pokémon and permanent formes only",IF(F332&lt;=1,1,0),IF(F332=0,1,0)))</f>
        <v>1</v>
      </c>
      <c r="R332" s="0" t="n">
        <f aca="false">IF('Reverse Search'!$C$7="Disable",1,IF('Reverse Search'!$D$9="Disable",1,IF(OR('Reverse Search'!$F$9=H332,'Reverse Search'!$F$9=I332),1,0)))</f>
        <v>1</v>
      </c>
      <c r="S332" s="0" t="n">
        <f aca="false">IF('Reverse Search'!$C$7="Disable",1,IF('Reverse Search'!$D$10="Disable",1,IF(OR('Reverse Search'!$F$10=H332,'Reverse Search'!$F$10=I332),1,0)))</f>
        <v>1</v>
      </c>
      <c r="T332" s="0" t="n">
        <f aca="false">INDEX($B$4:$B$22,MATCH(H332,$A$4:$A$22,0))</f>
        <v>1</v>
      </c>
      <c r="U332" s="0" t="e">
        <f aca="false">IF(ISBLANK(I332),1,INDEX($B$4:$B$22,MATCH(I332,$A$4:$A$22,0)))</f>
        <v>#N/A</v>
      </c>
      <c r="V332" s="367" t="n">
        <f aca="false">IF('Reverse Search'!$C$7="Disable",1,IF('Reverse Search'!$D$11="Disable",1,IF('Reverse Search'!$E$11="Neutral to:",IF(ROUND(T332*U332,2)&lt;=1,1,0),IF(ROUND(T332*U332,2)&lt;1,1,0))))</f>
        <v>1</v>
      </c>
      <c r="W332" s="0" t="n">
        <f aca="false">IF('Reverse Search'!$N$7="Disable",1,IF('Reverse Search'!$I$9="Disable",1,IF('Reverse Search'!$K$9="≥",IF(J332&gt;='Reverse Search'!$L$9,1,0),IF('Reverse Search'!$K$9="≤",IF(J332&lt;='Reverse Search'!$L$9,1,0),IF(J332='Reverse Search'!$L$9,1,0)))))</f>
        <v>1</v>
      </c>
      <c r="X332" s="0" t="n">
        <f aca="false">IF('Reverse Search'!$N$7="Disable",1,IF('Reverse Search'!$I$10="Disable",1,IF('Reverse Search'!$K$10="≥",IF(K332&gt;='Reverse Search'!$L$10,1,0),IF('Reverse Search'!$K$10="≤",IF(K332&lt;='Reverse Search'!$L$10,1,0),IF(K332='Reverse Search'!$L$10,1,0)))))</f>
        <v>1</v>
      </c>
      <c r="Y332" s="367" t="n">
        <f aca="false">IF('Reverse Search'!$N$7="Disable",1,IF('Reverse Search'!$I$11="Disable",1,IF('Reverse Search'!$K$11="≥",IF(L332&gt;='Reverse Search'!$L$11,1,0),IF('Reverse Search'!$K$11="≤",IF(L332&lt;='Reverse Search'!$L$11,1,0),IF(L332='Reverse Search'!$L$11,1,0)))))</f>
        <v>1</v>
      </c>
      <c r="Z332" s="0" t="n">
        <f aca="true">IF('Reverse Search'!$C$14="Disable",1,IF('Reverse Search'!$D$16="Disable",1,IF($C$2=3,IF($M332=0,0,COUNTIF(INDIRECT("'0.0.2 Pokémon Learnset (Core)'!$D$"&amp;MATCH($E332,'0.0.2 Pokémon Learnset (Core)'!$A$1:$A951,0)&amp;":$FK$"&amp;MATCH($E332,'0.0.2 Pokémon Learnset (Core)'!$A$1:$A951,0)),'Reverse Search'!$E$21)),IF($C$2=2,COUNTIF(INDIRECT("'0.1.1 Pokémon GO Moves'!$B$"&amp;MATCH($E332,'0.1.1 Pokémon GO Moves'!$A$1:$A951,0)&amp;":$R$"&amp;MATCH($E332,'0.1.1 Pokémon GO Moves'!$A$1:$A951,0)),'Reverse Search'!$E$21),COUNTIF(INDIRECT("'0.1.1 Pokémon GO Moves'!$B$"&amp;MATCH($E332,'0.1.1 Pokémon GO Moves'!$A$1:$A951,0)&amp;":$L$"&amp;MATCH($E332,'0.1.1 Pokémon GO Moves'!$A$1:$A951,0)),'Reverse Search'!$E$21)))))</f>
        <v>1</v>
      </c>
      <c r="AA332" s="0" t="n">
        <f aca="true">IF('Reverse Search'!$C$14="Disable",1,IF('Reverse Search'!$I$16="Disable",1,IF($D$2=3,IF($M332=0,0,COUNTIF(INDIRECT("'0.0.2 Pokémon Learnset (Core)'!$D$"&amp;MATCH($E332,'0.0.2 Pokémon Learnset (Core)'!$A$1:$A951,0)&amp;":$FK$"&amp;MATCH($E332,'0.0.2 Pokémon Learnset (Core)'!$A$1:$A951,0)),'Reverse Search'!$J$21)),IF($D$2=2,COUNTIF(INDIRECT("'0.1.1 Pokémon GO Moves'!$B$"&amp;MATCH($E332,'0.1.1 Pokémon GO Moves'!$A$1:$A951,0)&amp;":$R$"&amp;MATCH($E332,'0.1.1 Pokémon GO Moves'!$A$1:$A951,0)),'Reverse Search'!$J$21),COUNTIF(INDIRECT("'0.1.1 Pokémon GO Moves'!$B$"&amp;MATCH($E332,'0.1.1 Pokémon GO Moves'!$A$1:$A951,0)&amp;":$L$"&amp;MATCH($E332,'0.1.1 Pokémon GO Moves'!$A$1:$A951,0)),'Reverse Search'!$J$21)))))</f>
        <v>0</v>
      </c>
      <c r="AB332" s="490"/>
      <c r="AC332" s="260" t="n">
        <f aca="false">IF((Q332+R332+S332+V332+W332+X332+Y332+IF(Z332&gt;=1,1,0)+IF(AA332&gt;=1,1,0))=9,G332&amp;", ",)</f>
        <v>0</v>
      </c>
    </row>
    <row r="333" customFormat="false" ht="15.75" hidden="false" customHeight="false" outlineLevel="0" collapsed="false">
      <c r="A333" s="260"/>
      <c r="B333" s="358"/>
      <c r="C333" s="260"/>
      <c r="D333" s="358"/>
      <c r="E333" s="260" t="n">
        <v>332</v>
      </c>
      <c r="F333" s="260" t="n">
        <f aca="false" t="array" ref="F333:F333">INDEX('0.0.1 Pokémon Dex Data'!$H$3:$H951,MATCH(E333,'0.0.1 Pokémon Dex Data'!$B$3:$B951,0))</f>
        <v>0</v>
      </c>
      <c r="G333" s="0" t="str">
        <f aca="false" t="array" ref="G333:G333">INDEX('0.0.1 Pokémon Dex Data'!$E$3:$E951,MATCH(E333,'0.0.1 Pokémon Dex Data'!$B$3:$B951,0))</f>
        <v>Slaking</v>
      </c>
      <c r="H333" s="0" t="str">
        <f aca="false" t="array" ref="H333:H333">INDEX('0.0.1 Pokémon Dex Data'!$Q$3:$Q951,MATCH(E333,'0.0.1 Pokémon Dex Data'!$B$3:$B951,0))</f>
        <v>Normal</v>
      </c>
      <c r="I333" s="0" t="n">
        <f aca="false">INDEX('0.0.1 Pokémon Dex Data'!$R$3:$R951,MATCH(E333,'0.0.1 Pokémon Dex Data'!$B$3:$B951,0))</f>
        <v>0</v>
      </c>
      <c r="J333" s="260" t="n">
        <f aca="false" t="array" ref="J333:J333">ROUND(INDEX('0.0.1 Pokémon Dex Data'!$S$3:$S951,MATCH($E333,'0.0.1 Pokémon Dex Data'!$B$3:$B951,0))*INDEX('0.0.1 Pokémon Dex Data'!T$3:T951,MATCH($E333,'0.0.1 Pokémon Dex Data'!$B$3:$B951,0)),0)</f>
        <v>290</v>
      </c>
      <c r="K333" s="260" t="n">
        <f aca="false" t="array" ref="K333:K333">ROUND(INDEX('0.0.1 Pokémon Dex Data'!$S$3:$S951,MATCH($E333,'0.0.1 Pokémon Dex Data'!$B$3:$B951,0))*INDEX('0.0.1 Pokémon Dex Data'!U$3:U951,MATCH($E333,'0.0.1 Pokémon Dex Data'!$B$3:$B951,0)),0)</f>
        <v>166</v>
      </c>
      <c r="L333" s="260" t="n">
        <f aca="false" t="array" ref="L333:L333">ROUND(INDEX('0.0.1 Pokémon Dex Data'!$S$3:$S951,MATCH($E333,'0.0.1 Pokémon Dex Data'!$B$3:$B951,0))*INDEX('0.0.1 Pokémon Dex Data'!V$3:V951,MATCH($E333,'0.0.1 Pokémon Dex Data'!$B$3:$B951,0)),0)</f>
        <v>284</v>
      </c>
      <c r="M333" s="260" t="n">
        <f aca="false" t="array" ref="M333:M333">INDEX('0.0.1 Pokémon Dex Data'!$J$3:$J951,MATCH(E333,'0.0.1 Pokémon Dex Data'!$B$3:$B951,0))</f>
        <v>1</v>
      </c>
      <c r="O333" s="490"/>
      <c r="Q333" s="367" t="n">
        <f aca="false">IF('Reverse Search'!$F$4="All (including temporary formes)",1,IF('Reverse Search'!$F$4="Base Pokémon and permanent formes only",IF(F333&lt;=1,1,0),IF(F333=0,1,0)))</f>
        <v>1</v>
      </c>
      <c r="R333" s="0" t="n">
        <f aca="false">IF('Reverse Search'!$C$7="Disable",1,IF('Reverse Search'!$D$9="Disable",1,IF(OR('Reverse Search'!$F$9=H333,'Reverse Search'!$F$9=I333),1,0)))</f>
        <v>1</v>
      </c>
      <c r="S333" s="0" t="n">
        <f aca="false">IF('Reverse Search'!$C$7="Disable",1,IF('Reverse Search'!$D$10="Disable",1,IF(OR('Reverse Search'!$F$10=H333,'Reverse Search'!$F$10=I333),1,0)))</f>
        <v>1</v>
      </c>
      <c r="T333" s="0" t="n">
        <f aca="false">INDEX($B$4:$B$22,MATCH(H333,$A$4:$A$22,0))</f>
        <v>1</v>
      </c>
      <c r="U333" s="0" t="e">
        <f aca="false">IF(ISBLANK(I333),1,INDEX($B$4:$B$22,MATCH(I333,$A$4:$A$22,0)))</f>
        <v>#N/A</v>
      </c>
      <c r="V333" s="367" t="n">
        <f aca="false">IF('Reverse Search'!$C$7="Disable",1,IF('Reverse Search'!$D$11="Disable",1,IF('Reverse Search'!$E$11="Neutral to:",IF(ROUND(T333*U333,2)&lt;=1,1,0),IF(ROUND(T333*U333,2)&lt;1,1,0))))</f>
        <v>1</v>
      </c>
      <c r="W333" s="0" t="n">
        <f aca="false">IF('Reverse Search'!$N$7="Disable",1,IF('Reverse Search'!$I$9="Disable",1,IF('Reverse Search'!$K$9="≥",IF(J333&gt;='Reverse Search'!$L$9,1,0),IF('Reverse Search'!$K$9="≤",IF(J333&lt;='Reverse Search'!$L$9,1,0),IF(J333='Reverse Search'!$L$9,1,0)))))</f>
        <v>1</v>
      </c>
      <c r="X333" s="0" t="n">
        <f aca="false">IF('Reverse Search'!$N$7="Disable",1,IF('Reverse Search'!$I$10="Disable",1,IF('Reverse Search'!$K$10="≥",IF(K333&gt;='Reverse Search'!$L$10,1,0),IF('Reverse Search'!$K$10="≤",IF(K333&lt;='Reverse Search'!$L$10,1,0),IF(K333='Reverse Search'!$L$10,1,0)))))</f>
        <v>1</v>
      </c>
      <c r="Y333" s="367" t="n">
        <f aca="false">IF('Reverse Search'!$N$7="Disable",1,IF('Reverse Search'!$I$11="Disable",1,IF('Reverse Search'!$K$11="≥",IF(L333&gt;='Reverse Search'!$L$11,1,0),IF('Reverse Search'!$K$11="≤",IF(L333&lt;='Reverse Search'!$L$11,1,0),IF(L333='Reverse Search'!$L$11,1,0)))))</f>
        <v>1</v>
      </c>
      <c r="Z333" s="0" t="n">
        <f aca="true">IF('Reverse Search'!$C$14="Disable",1,IF('Reverse Search'!$D$16="Disable",1,IF($C$2=3,IF($M333=0,0,COUNTIF(INDIRECT("'0.0.2 Pokémon Learnset (Core)'!$D$"&amp;MATCH($E333,'0.0.2 Pokémon Learnset (Core)'!$A$1:$A951,0)&amp;":$FK$"&amp;MATCH($E333,'0.0.2 Pokémon Learnset (Core)'!$A$1:$A951,0)),'Reverse Search'!$E$21)),IF($C$2=2,COUNTIF(INDIRECT("'0.1.1 Pokémon GO Moves'!$B$"&amp;MATCH($E333,'0.1.1 Pokémon GO Moves'!$A$1:$A951,0)&amp;":$R$"&amp;MATCH($E333,'0.1.1 Pokémon GO Moves'!$A$1:$A951,0)),'Reverse Search'!$E$21),COUNTIF(INDIRECT("'0.1.1 Pokémon GO Moves'!$B$"&amp;MATCH($E333,'0.1.1 Pokémon GO Moves'!$A$1:$A951,0)&amp;":$L$"&amp;MATCH($E333,'0.1.1 Pokémon GO Moves'!$A$1:$A951,0)),'Reverse Search'!$E$21)))))</f>
        <v>1</v>
      </c>
      <c r="AA333" s="0" t="n">
        <f aca="true">IF('Reverse Search'!$C$14="Disable",1,IF('Reverse Search'!$I$16="Disable",1,IF($D$2=3,IF($M333=0,0,COUNTIF(INDIRECT("'0.0.2 Pokémon Learnset (Core)'!$D$"&amp;MATCH($E333,'0.0.2 Pokémon Learnset (Core)'!$A$1:$A951,0)&amp;":$FK$"&amp;MATCH($E333,'0.0.2 Pokémon Learnset (Core)'!$A$1:$A951,0)),'Reverse Search'!$J$21)),IF($D$2=2,COUNTIF(INDIRECT("'0.1.1 Pokémon GO Moves'!$B$"&amp;MATCH($E333,'0.1.1 Pokémon GO Moves'!$A$1:$A951,0)&amp;":$R$"&amp;MATCH($E333,'0.1.1 Pokémon GO Moves'!$A$1:$A951,0)),'Reverse Search'!$J$21),COUNTIF(INDIRECT("'0.1.1 Pokémon GO Moves'!$B$"&amp;MATCH($E333,'0.1.1 Pokémon GO Moves'!$A$1:$A951,0)&amp;":$L$"&amp;MATCH($E333,'0.1.1 Pokémon GO Moves'!$A$1:$A951,0)),'Reverse Search'!$J$21)))))</f>
        <v>0</v>
      </c>
      <c r="AB333" s="490"/>
      <c r="AC333" s="260" t="n">
        <f aca="false">IF((Q333+R333+S333+V333+W333+X333+Y333+IF(Z333&gt;=1,1,0)+IF(AA333&gt;=1,1,0))=9,G333&amp;", ",)</f>
        <v>0</v>
      </c>
    </row>
    <row r="334" customFormat="false" ht="15.75" hidden="false" customHeight="false" outlineLevel="0" collapsed="false">
      <c r="A334" s="260"/>
      <c r="B334" s="358"/>
      <c r="C334" s="260"/>
      <c r="D334" s="358"/>
      <c r="E334" s="260" t="n">
        <v>333</v>
      </c>
      <c r="F334" s="260" t="n">
        <f aca="false" t="array" ref="F334:F334">INDEX('0.0.1 Pokémon Dex Data'!$H$3:$H951,MATCH(E334,'0.0.1 Pokémon Dex Data'!$B$3:$B951,0))</f>
        <v>0</v>
      </c>
      <c r="G334" s="0" t="str">
        <f aca="false" t="array" ref="G334:G334">INDEX('0.0.1 Pokémon Dex Data'!$E$3:$E951,MATCH(E334,'0.0.1 Pokémon Dex Data'!$B$3:$B951,0))</f>
        <v>Nincada</v>
      </c>
      <c r="H334" s="0" t="str">
        <f aca="false" t="array" ref="H334:H334">INDEX('0.0.1 Pokémon Dex Data'!$Q$3:$Q951,MATCH(E334,'0.0.1 Pokémon Dex Data'!$B$3:$B951,0))</f>
        <v>Bug</v>
      </c>
      <c r="I334" s="0" t="str">
        <f aca="false" t="array" ref="I334:I334">INDEX('0.0.1 Pokémon Dex Data'!$R$3:$R951,MATCH(E334,'0.0.1 Pokémon Dex Data'!$B$3:$B951,0))</f>
        <v>Ground</v>
      </c>
      <c r="J334" s="260" t="n">
        <f aca="false" t="array" ref="J334:J334">ROUND(INDEX('0.0.1 Pokémon Dex Data'!$S$3:$S951,MATCH($E334,'0.0.1 Pokémon Dex Data'!$B$3:$B951,0))*INDEX('0.0.1 Pokémon Dex Data'!T$3:T951,MATCH($E334,'0.0.1 Pokémon Dex Data'!$B$3:$B951,0)),0)</f>
        <v>80</v>
      </c>
      <c r="K334" s="260" t="n">
        <f aca="false" t="array" ref="K334:K334">ROUND(INDEX('0.0.1 Pokémon Dex Data'!$S$3:$S951,MATCH($E334,'0.0.1 Pokémon Dex Data'!$B$3:$B951,0))*INDEX('0.0.1 Pokémon Dex Data'!U$3:U951,MATCH($E334,'0.0.1 Pokémon Dex Data'!$B$3:$B951,0)),0)</f>
        <v>126</v>
      </c>
      <c r="L334" s="260" t="n">
        <f aca="false" t="array" ref="L334:L334">ROUND(INDEX('0.0.1 Pokémon Dex Data'!$S$3:$S951,MATCH($E334,'0.0.1 Pokémon Dex Data'!$B$3:$B951,0))*INDEX('0.0.1 Pokémon Dex Data'!V$3:V951,MATCH($E334,'0.0.1 Pokémon Dex Data'!$B$3:$B951,0)),0)</f>
        <v>104</v>
      </c>
      <c r="M334" s="260" t="n">
        <f aca="false" t="array" ref="M334:M334">INDEX('0.0.1 Pokémon Dex Data'!$J$3:$J951,MATCH(E334,'0.0.1 Pokémon Dex Data'!$B$3:$B951,0))</f>
        <v>0</v>
      </c>
      <c r="O334" s="490"/>
      <c r="Q334" s="367" t="n">
        <f aca="false">IF('Reverse Search'!$F$4="All (including temporary formes)",1,IF('Reverse Search'!$F$4="Base Pokémon and permanent formes only",IF(F334&lt;=1,1,0),IF(F334=0,1,0)))</f>
        <v>1</v>
      </c>
      <c r="R334" s="0" t="n">
        <f aca="false">IF('Reverse Search'!$C$7="Disable",1,IF('Reverse Search'!$D$9="Disable",1,IF(OR('Reverse Search'!$F$9=H334,'Reverse Search'!$F$9=I334),1,0)))</f>
        <v>1</v>
      </c>
      <c r="S334" s="0" t="n">
        <f aca="false">IF('Reverse Search'!$C$7="Disable",1,IF('Reverse Search'!$D$10="Disable",1,IF(OR('Reverse Search'!$F$10=H334,'Reverse Search'!$F$10=I334),1,0)))</f>
        <v>1</v>
      </c>
      <c r="T334" s="0" t="n">
        <f aca="false">INDEX($B$4:$B$22,MATCH(H334,$A$4:$A$22,0))</f>
        <v>1</v>
      </c>
      <c r="U334" s="0" t="n">
        <f aca="false">IF(ISBLANK(I334),1,INDEX($B$4:$B$22,MATCH(I334,$A$4:$A$22,0)))</f>
        <v>1</v>
      </c>
      <c r="V334" s="367" t="n">
        <f aca="false">IF('Reverse Search'!$C$7="Disable",1,IF('Reverse Search'!$D$11="Disable",1,IF('Reverse Search'!$E$11="Neutral to:",IF(ROUND(T334*U334,2)&lt;=1,1,0),IF(ROUND(T334*U334,2)&lt;1,1,0))))</f>
        <v>1</v>
      </c>
      <c r="W334" s="0" t="n">
        <f aca="false">IF('Reverse Search'!$N$7="Disable",1,IF('Reverse Search'!$I$9="Disable",1,IF('Reverse Search'!$K$9="≥",IF(J334&gt;='Reverse Search'!$L$9,1,0),IF('Reverse Search'!$K$9="≤",IF(J334&lt;='Reverse Search'!$L$9,1,0),IF(J334='Reverse Search'!$L$9,1,0)))))</f>
        <v>1</v>
      </c>
      <c r="X334" s="0" t="n">
        <f aca="false">IF('Reverse Search'!$N$7="Disable",1,IF('Reverse Search'!$I$10="Disable",1,IF('Reverse Search'!$K$10="≥",IF(K334&gt;='Reverse Search'!$L$10,1,0),IF('Reverse Search'!$K$10="≤",IF(K334&lt;='Reverse Search'!$L$10,1,0),IF(K334='Reverse Search'!$L$10,1,0)))))</f>
        <v>1</v>
      </c>
      <c r="Y334" s="367" t="n">
        <f aca="false">IF('Reverse Search'!$N$7="Disable",1,IF('Reverse Search'!$I$11="Disable",1,IF('Reverse Search'!$K$11="≥",IF(L334&gt;='Reverse Search'!$L$11,1,0),IF('Reverse Search'!$K$11="≤",IF(L334&lt;='Reverse Search'!$L$11,1,0),IF(L334='Reverse Search'!$L$11,1,0)))))</f>
        <v>1</v>
      </c>
      <c r="Z334" s="0" t="n">
        <f aca="true">IF('Reverse Search'!$C$14="Disable",1,IF('Reverse Search'!$D$16="Disable",1,IF($C$2=3,IF($M334=0,0,COUNTIF(INDIRECT("'0.0.2 Pokémon Learnset (Core)'!$D$"&amp;MATCH($E334,'0.0.2 Pokémon Learnset (Core)'!$A$1:$A951,0)&amp;":$FK$"&amp;MATCH($E334,'0.0.2 Pokémon Learnset (Core)'!$A$1:$A951,0)),'Reverse Search'!$E$21)),IF($C$2=2,COUNTIF(INDIRECT("'0.1.1 Pokémon GO Moves'!$B$"&amp;MATCH($E334,'0.1.1 Pokémon GO Moves'!$A$1:$A951,0)&amp;":$R$"&amp;MATCH($E334,'0.1.1 Pokémon GO Moves'!$A$1:$A951,0)),'Reverse Search'!$E$21),COUNTIF(INDIRECT("'0.1.1 Pokémon GO Moves'!$B$"&amp;MATCH($E334,'0.1.1 Pokémon GO Moves'!$A$1:$A951,0)&amp;":$L$"&amp;MATCH($E334,'0.1.1 Pokémon GO Moves'!$A$1:$A951,0)),'Reverse Search'!$E$21)))))</f>
        <v>1</v>
      </c>
      <c r="AA334" s="0" t="n">
        <f aca="true">IF('Reverse Search'!$C$14="Disable",1,IF('Reverse Search'!$I$16="Disable",1,IF($D$2=3,IF($M334=0,0,COUNTIF(INDIRECT("'0.0.2 Pokémon Learnset (Core)'!$D$"&amp;MATCH($E334,'0.0.2 Pokémon Learnset (Core)'!$A$1:$A951,0)&amp;":$FK$"&amp;MATCH($E334,'0.0.2 Pokémon Learnset (Core)'!$A$1:$A951,0)),'Reverse Search'!$J$21)),IF($D$2=2,COUNTIF(INDIRECT("'0.1.1 Pokémon GO Moves'!$B$"&amp;MATCH($E334,'0.1.1 Pokémon GO Moves'!$A$1:$A951,0)&amp;":$R$"&amp;MATCH($E334,'0.1.1 Pokémon GO Moves'!$A$1:$A951,0)),'Reverse Search'!$J$21),COUNTIF(INDIRECT("'0.1.1 Pokémon GO Moves'!$B$"&amp;MATCH($E334,'0.1.1 Pokémon GO Moves'!$A$1:$A951,0)&amp;":$L$"&amp;MATCH($E334,'0.1.1 Pokémon GO Moves'!$A$1:$A951,0)),'Reverse Search'!$J$21)))))</f>
        <v>0</v>
      </c>
      <c r="AB334" s="490"/>
      <c r="AC334" s="260" t="n">
        <f aca="false">IF((Q334+R334+S334+V334+W334+X334+Y334+IF(Z334&gt;=1,1,0)+IF(AA334&gt;=1,1,0))=9,G334&amp;", ",)</f>
        <v>0</v>
      </c>
    </row>
    <row r="335" customFormat="false" ht="15.75" hidden="false" customHeight="false" outlineLevel="0" collapsed="false">
      <c r="A335" s="260"/>
      <c r="B335" s="358"/>
      <c r="C335" s="260"/>
      <c r="D335" s="358"/>
      <c r="E335" s="260" t="n">
        <v>334</v>
      </c>
      <c r="F335" s="260" t="n">
        <f aca="false" t="array" ref="F335:F335">INDEX('0.0.1 Pokémon Dex Data'!$H$3:$H951,MATCH(E335,'0.0.1 Pokémon Dex Data'!$B$3:$B951,0))</f>
        <v>0</v>
      </c>
      <c r="G335" s="0" t="str">
        <f aca="false" t="array" ref="G335:G335">INDEX('0.0.1 Pokémon Dex Data'!$E$3:$E951,MATCH(E335,'0.0.1 Pokémon Dex Data'!$B$3:$B951,0))</f>
        <v>Ninjask</v>
      </c>
      <c r="H335" s="0" t="str">
        <f aca="false" t="array" ref="H335:H335">INDEX('0.0.1 Pokémon Dex Data'!$Q$3:$Q951,MATCH(E335,'0.0.1 Pokémon Dex Data'!$B$3:$B951,0))</f>
        <v>Bug</v>
      </c>
      <c r="I335" s="0" t="str">
        <f aca="false" t="array" ref="I335:I335">INDEX('0.0.1 Pokémon Dex Data'!$R$3:$R951,MATCH(E335,'0.0.1 Pokémon Dex Data'!$B$3:$B951,0))</f>
        <v>Flying</v>
      </c>
      <c r="J335" s="260" t="n">
        <f aca="false" t="array" ref="J335:J335">ROUND(INDEX('0.0.1 Pokémon Dex Data'!$S$3:$S951,MATCH($E335,'0.0.1 Pokémon Dex Data'!$B$3:$B951,0))*INDEX('0.0.1 Pokémon Dex Data'!T$3:T951,MATCH($E335,'0.0.1 Pokémon Dex Data'!$B$3:$B951,0)),0)</f>
        <v>199</v>
      </c>
      <c r="K335" s="260" t="n">
        <f aca="false" t="array" ref="K335:K335">ROUND(INDEX('0.0.1 Pokémon Dex Data'!$S$3:$S951,MATCH($E335,'0.0.1 Pokémon Dex Data'!$B$3:$B951,0))*INDEX('0.0.1 Pokémon Dex Data'!U$3:U951,MATCH($E335,'0.0.1 Pokémon Dex Data'!$B$3:$B951,0)),0)</f>
        <v>112</v>
      </c>
      <c r="L335" s="260" t="n">
        <f aca="false" t="array" ref="L335:L335">ROUND(INDEX('0.0.1 Pokémon Dex Data'!$S$3:$S951,MATCH($E335,'0.0.1 Pokémon Dex Data'!$B$3:$B951,0))*INDEX('0.0.1 Pokémon Dex Data'!V$3:V951,MATCH($E335,'0.0.1 Pokémon Dex Data'!$B$3:$B951,0)),0)</f>
        <v>156</v>
      </c>
      <c r="M335" s="260" t="n">
        <f aca="false" t="array" ref="M335:M335">INDEX('0.0.1 Pokémon Dex Data'!$J$3:$J951,MATCH(E335,'0.0.1 Pokémon Dex Data'!$B$3:$B951,0))</f>
        <v>1</v>
      </c>
      <c r="O335" s="490"/>
      <c r="Q335" s="367" t="n">
        <f aca="false">IF('Reverse Search'!$F$4="All (including temporary formes)",1,IF('Reverse Search'!$F$4="Base Pokémon and permanent formes only",IF(F335&lt;=1,1,0),IF(F335=0,1,0)))</f>
        <v>1</v>
      </c>
      <c r="R335" s="0" t="n">
        <f aca="false">IF('Reverse Search'!$C$7="Disable",1,IF('Reverse Search'!$D$9="Disable",1,IF(OR('Reverse Search'!$F$9=H335,'Reverse Search'!$F$9=I335),1,0)))</f>
        <v>1</v>
      </c>
      <c r="S335" s="0" t="n">
        <f aca="false">IF('Reverse Search'!$C$7="Disable",1,IF('Reverse Search'!$D$10="Disable",1,IF(OR('Reverse Search'!$F$10=H335,'Reverse Search'!$F$10=I335),1,0)))</f>
        <v>1</v>
      </c>
      <c r="T335" s="0" t="n">
        <f aca="false">INDEX($B$4:$B$22,MATCH(H335,$A$4:$A$22,0))</f>
        <v>1</v>
      </c>
      <c r="U335" s="0" t="n">
        <f aca="false">IF(ISBLANK(I335),1,INDEX($B$4:$B$22,MATCH(I335,$A$4:$A$22,0)))</f>
        <v>1</v>
      </c>
      <c r="V335" s="367" t="n">
        <f aca="false">IF('Reverse Search'!$C$7="Disable",1,IF('Reverse Search'!$D$11="Disable",1,IF('Reverse Search'!$E$11="Neutral to:",IF(ROUND(T335*U335,2)&lt;=1,1,0),IF(ROUND(T335*U335,2)&lt;1,1,0))))</f>
        <v>1</v>
      </c>
      <c r="W335" s="0" t="n">
        <f aca="false">IF('Reverse Search'!$N$7="Disable",1,IF('Reverse Search'!$I$9="Disable",1,IF('Reverse Search'!$K$9="≥",IF(J335&gt;='Reverse Search'!$L$9,1,0),IF('Reverse Search'!$K$9="≤",IF(J335&lt;='Reverse Search'!$L$9,1,0),IF(J335='Reverse Search'!$L$9,1,0)))))</f>
        <v>1</v>
      </c>
      <c r="X335" s="0" t="n">
        <f aca="false">IF('Reverse Search'!$N$7="Disable",1,IF('Reverse Search'!$I$10="Disable",1,IF('Reverse Search'!$K$10="≥",IF(K335&gt;='Reverse Search'!$L$10,1,0),IF('Reverse Search'!$K$10="≤",IF(K335&lt;='Reverse Search'!$L$10,1,0),IF(K335='Reverse Search'!$L$10,1,0)))))</f>
        <v>1</v>
      </c>
      <c r="Y335" s="367" t="n">
        <f aca="false">IF('Reverse Search'!$N$7="Disable",1,IF('Reverse Search'!$I$11="Disable",1,IF('Reverse Search'!$K$11="≥",IF(L335&gt;='Reverse Search'!$L$11,1,0),IF('Reverse Search'!$K$11="≤",IF(L335&lt;='Reverse Search'!$L$11,1,0),IF(L335='Reverse Search'!$L$11,1,0)))))</f>
        <v>1</v>
      </c>
      <c r="Z335" s="0" t="n">
        <f aca="true">IF('Reverse Search'!$C$14="Disable",1,IF('Reverse Search'!$D$16="Disable",1,IF($C$2=3,IF($M335=0,0,COUNTIF(INDIRECT("'0.0.2 Pokémon Learnset (Core)'!$D$"&amp;MATCH($E335,'0.0.2 Pokémon Learnset (Core)'!$A$1:$A951,0)&amp;":$FK$"&amp;MATCH($E335,'0.0.2 Pokémon Learnset (Core)'!$A$1:$A951,0)),'Reverse Search'!$E$21)),IF($C$2=2,COUNTIF(INDIRECT("'0.1.1 Pokémon GO Moves'!$B$"&amp;MATCH($E335,'0.1.1 Pokémon GO Moves'!$A$1:$A951,0)&amp;":$R$"&amp;MATCH($E335,'0.1.1 Pokémon GO Moves'!$A$1:$A951,0)),'Reverse Search'!$E$21),COUNTIF(INDIRECT("'0.1.1 Pokémon GO Moves'!$B$"&amp;MATCH($E335,'0.1.1 Pokémon GO Moves'!$A$1:$A951,0)&amp;":$L$"&amp;MATCH($E335,'0.1.1 Pokémon GO Moves'!$A$1:$A951,0)),'Reverse Search'!$E$21)))))</f>
        <v>1</v>
      </c>
      <c r="AA335" s="0" t="n">
        <f aca="true">IF('Reverse Search'!$C$14="Disable",1,IF('Reverse Search'!$I$16="Disable",1,IF($D$2=3,IF($M335=0,0,COUNTIF(INDIRECT("'0.0.2 Pokémon Learnset (Core)'!$D$"&amp;MATCH($E335,'0.0.2 Pokémon Learnset (Core)'!$A$1:$A951,0)&amp;":$FK$"&amp;MATCH($E335,'0.0.2 Pokémon Learnset (Core)'!$A$1:$A951,0)),'Reverse Search'!$J$21)),IF($D$2=2,COUNTIF(INDIRECT("'0.1.1 Pokémon GO Moves'!$B$"&amp;MATCH($E335,'0.1.1 Pokémon GO Moves'!$A$1:$A951,0)&amp;":$R$"&amp;MATCH($E335,'0.1.1 Pokémon GO Moves'!$A$1:$A951,0)),'Reverse Search'!$J$21),COUNTIF(INDIRECT("'0.1.1 Pokémon GO Moves'!$B$"&amp;MATCH($E335,'0.1.1 Pokémon GO Moves'!$A$1:$A951,0)&amp;":$L$"&amp;MATCH($E335,'0.1.1 Pokémon GO Moves'!$A$1:$A951,0)),'Reverse Search'!$J$21)))))</f>
        <v>0</v>
      </c>
      <c r="AB335" s="490"/>
      <c r="AC335" s="260" t="n">
        <f aca="false">IF((Q335+R335+S335+V335+W335+X335+Y335+IF(Z335&gt;=1,1,0)+IF(AA335&gt;=1,1,0))=9,G335&amp;", ",)</f>
        <v>0</v>
      </c>
    </row>
    <row r="336" customFormat="false" ht="15.75" hidden="false" customHeight="false" outlineLevel="0" collapsed="false">
      <c r="A336" s="260"/>
      <c r="B336" s="358"/>
      <c r="C336" s="260"/>
      <c r="D336" s="358"/>
      <c r="E336" s="260" t="n">
        <v>335</v>
      </c>
      <c r="F336" s="260" t="n">
        <f aca="false" t="array" ref="F336:F336">INDEX('0.0.1 Pokémon Dex Data'!$H$3:$H951,MATCH(E336,'0.0.1 Pokémon Dex Data'!$B$3:$B951,0))</f>
        <v>0</v>
      </c>
      <c r="G336" s="0" t="str">
        <f aca="false" t="array" ref="G336:G336">INDEX('0.0.1 Pokémon Dex Data'!$E$3:$E951,MATCH(E336,'0.0.1 Pokémon Dex Data'!$B$3:$B951,0))</f>
        <v>Shedinja</v>
      </c>
      <c r="H336" s="0" t="str">
        <f aca="false" t="array" ref="H336:H336">INDEX('0.0.1 Pokémon Dex Data'!$Q$3:$Q951,MATCH(E336,'0.0.1 Pokémon Dex Data'!$B$3:$B951,0))</f>
        <v>Bug</v>
      </c>
      <c r="I336" s="0" t="str">
        <f aca="false" t="array" ref="I336:I336">INDEX('0.0.1 Pokémon Dex Data'!$R$3:$R951,MATCH(E336,'0.0.1 Pokémon Dex Data'!$B$3:$B951,0))</f>
        <v>Ghost</v>
      </c>
      <c r="J336" s="260" t="n">
        <f aca="false" t="array" ref="J336:J336">ROUND(INDEX('0.0.1 Pokémon Dex Data'!$S$3:$S951,MATCH($E336,'0.0.1 Pokémon Dex Data'!$B$3:$B951,0))*INDEX('0.0.1 Pokémon Dex Data'!T$3:T951,MATCH($E336,'0.0.1 Pokémon Dex Data'!$B$3:$B951,0)),0)</f>
        <v>153</v>
      </c>
      <c r="K336" s="260" t="n">
        <f aca="false" t="array" ref="K336:K336">ROUND(INDEX('0.0.1 Pokémon Dex Data'!$S$3:$S951,MATCH($E336,'0.0.1 Pokémon Dex Data'!$B$3:$B951,0))*INDEX('0.0.1 Pokémon Dex Data'!U$3:U951,MATCH($E336,'0.0.1 Pokémon Dex Data'!$B$3:$B951,0)),0)</f>
        <v>73</v>
      </c>
      <c r="L336" s="260" t="n">
        <f aca="false" t="array" ref="L336:L336">ROUND(INDEX('0.0.1 Pokémon Dex Data'!$S$3:$S951,MATCH($E336,'0.0.1 Pokémon Dex Data'!$B$3:$B951,0))*INDEX('0.0.1 Pokémon Dex Data'!V$3:V951,MATCH($E336,'0.0.1 Pokémon Dex Data'!$B$3:$B951,0)),0)</f>
        <v>51</v>
      </c>
      <c r="M336" s="260" t="n">
        <f aca="false" t="array" ref="M336:M336">INDEX('0.0.1 Pokémon Dex Data'!$J$3:$J951,MATCH(E336,'0.0.1 Pokémon Dex Data'!$B$3:$B951,0))</f>
        <v>1</v>
      </c>
      <c r="O336" s="490"/>
      <c r="Q336" s="367" t="n">
        <f aca="false">IF('Reverse Search'!$F$4="All (including temporary formes)",1,IF('Reverse Search'!$F$4="Base Pokémon and permanent formes only",IF(F336&lt;=1,1,0),IF(F336=0,1,0)))</f>
        <v>1</v>
      </c>
      <c r="R336" s="0" t="n">
        <f aca="false">IF('Reverse Search'!$C$7="Disable",1,IF('Reverse Search'!$D$9="Disable",1,IF(OR('Reverse Search'!$F$9=H336,'Reverse Search'!$F$9=I336),1,0)))</f>
        <v>1</v>
      </c>
      <c r="S336" s="0" t="n">
        <f aca="false">IF('Reverse Search'!$C$7="Disable",1,IF('Reverse Search'!$D$10="Disable",1,IF(OR('Reverse Search'!$F$10=H336,'Reverse Search'!$F$10=I336),1,0)))</f>
        <v>1</v>
      </c>
      <c r="T336" s="0" t="n">
        <f aca="false">INDEX($B$4:$B$22,MATCH(H336,$A$4:$A$22,0))</f>
        <v>1</v>
      </c>
      <c r="U336" s="0" t="n">
        <f aca="false">IF(ISBLANK(I336),1,INDEX($B$4:$B$22,MATCH(I336,$A$4:$A$22,0)))</f>
        <v>0.51</v>
      </c>
      <c r="V336" s="367" t="n">
        <f aca="false">IF('Reverse Search'!$C$7="Disable",1,IF('Reverse Search'!$D$11="Disable",1,IF('Reverse Search'!$E$11="Neutral to:",IF(ROUND(T336*U336,2)&lt;=1,1,0),IF(ROUND(T336*U336,2)&lt;1,1,0))))</f>
        <v>1</v>
      </c>
      <c r="W336" s="0" t="n">
        <f aca="false">IF('Reverse Search'!$N$7="Disable",1,IF('Reverse Search'!$I$9="Disable",1,IF('Reverse Search'!$K$9="≥",IF(J336&gt;='Reverse Search'!$L$9,1,0),IF('Reverse Search'!$K$9="≤",IF(J336&lt;='Reverse Search'!$L$9,1,0),IF(J336='Reverse Search'!$L$9,1,0)))))</f>
        <v>1</v>
      </c>
      <c r="X336" s="0" t="n">
        <f aca="false">IF('Reverse Search'!$N$7="Disable",1,IF('Reverse Search'!$I$10="Disable",1,IF('Reverse Search'!$K$10="≥",IF(K336&gt;='Reverse Search'!$L$10,1,0),IF('Reverse Search'!$K$10="≤",IF(K336&lt;='Reverse Search'!$L$10,1,0),IF(K336='Reverse Search'!$L$10,1,0)))))</f>
        <v>1</v>
      </c>
      <c r="Y336" s="367" t="n">
        <f aca="false">IF('Reverse Search'!$N$7="Disable",1,IF('Reverse Search'!$I$11="Disable",1,IF('Reverse Search'!$K$11="≥",IF(L336&gt;='Reverse Search'!$L$11,1,0),IF('Reverse Search'!$K$11="≤",IF(L336&lt;='Reverse Search'!$L$11,1,0),IF(L336='Reverse Search'!$L$11,1,0)))))</f>
        <v>1</v>
      </c>
      <c r="Z336" s="0" t="n">
        <f aca="true">IF('Reverse Search'!$C$14="Disable",1,IF('Reverse Search'!$D$16="Disable",1,IF($C$2=3,IF($M336=0,0,COUNTIF(INDIRECT("'0.0.2 Pokémon Learnset (Core)'!$D$"&amp;MATCH($E336,'0.0.2 Pokémon Learnset (Core)'!$A$1:$A951,0)&amp;":$FK$"&amp;MATCH($E336,'0.0.2 Pokémon Learnset (Core)'!$A$1:$A951,0)),'Reverse Search'!$E$21)),IF($C$2=2,COUNTIF(INDIRECT("'0.1.1 Pokémon GO Moves'!$B$"&amp;MATCH($E336,'0.1.1 Pokémon GO Moves'!$A$1:$A951,0)&amp;":$R$"&amp;MATCH($E336,'0.1.1 Pokémon GO Moves'!$A$1:$A951,0)),'Reverse Search'!$E$21),COUNTIF(INDIRECT("'0.1.1 Pokémon GO Moves'!$B$"&amp;MATCH($E336,'0.1.1 Pokémon GO Moves'!$A$1:$A951,0)&amp;":$L$"&amp;MATCH($E336,'0.1.1 Pokémon GO Moves'!$A$1:$A951,0)),'Reverse Search'!$E$21)))))</f>
        <v>1</v>
      </c>
      <c r="AA336" s="0" t="n">
        <f aca="true">IF('Reverse Search'!$C$14="Disable",1,IF('Reverse Search'!$I$16="Disable",1,IF($D$2=3,IF($M336=0,0,COUNTIF(INDIRECT("'0.0.2 Pokémon Learnset (Core)'!$D$"&amp;MATCH($E336,'0.0.2 Pokémon Learnset (Core)'!$A$1:$A951,0)&amp;":$FK$"&amp;MATCH($E336,'0.0.2 Pokémon Learnset (Core)'!$A$1:$A951,0)),'Reverse Search'!$J$21)),IF($D$2=2,COUNTIF(INDIRECT("'0.1.1 Pokémon GO Moves'!$B$"&amp;MATCH($E336,'0.1.1 Pokémon GO Moves'!$A$1:$A951,0)&amp;":$R$"&amp;MATCH($E336,'0.1.1 Pokémon GO Moves'!$A$1:$A951,0)),'Reverse Search'!$J$21),COUNTIF(INDIRECT("'0.1.1 Pokémon GO Moves'!$B$"&amp;MATCH($E336,'0.1.1 Pokémon GO Moves'!$A$1:$A951,0)&amp;":$L$"&amp;MATCH($E336,'0.1.1 Pokémon GO Moves'!$A$1:$A951,0)),'Reverse Search'!$J$21)))))</f>
        <v>0</v>
      </c>
      <c r="AB336" s="490"/>
      <c r="AC336" s="260" t="n">
        <f aca="false">IF((Q336+R336+S336+V336+W336+X336+Y336+IF(Z336&gt;=1,1,0)+IF(AA336&gt;=1,1,0))=9,G336&amp;", ",)</f>
        <v>0</v>
      </c>
    </row>
    <row r="337" customFormat="false" ht="15.75" hidden="false" customHeight="false" outlineLevel="0" collapsed="false">
      <c r="A337" s="260"/>
      <c r="B337" s="358"/>
      <c r="C337" s="260"/>
      <c r="D337" s="358"/>
      <c r="E337" s="260" t="n">
        <v>336</v>
      </c>
      <c r="F337" s="260" t="n">
        <f aca="false" t="array" ref="F337:F337">INDEX('0.0.1 Pokémon Dex Data'!$H$3:$H951,MATCH(E337,'0.0.1 Pokémon Dex Data'!$B$3:$B951,0))</f>
        <v>0</v>
      </c>
      <c r="G337" s="0" t="str">
        <f aca="false" t="array" ref="G337:G337">INDEX('0.0.1 Pokémon Dex Data'!$E$3:$E951,MATCH(E337,'0.0.1 Pokémon Dex Data'!$B$3:$B951,0))</f>
        <v>Whismur</v>
      </c>
      <c r="H337" s="0" t="str">
        <f aca="false" t="array" ref="H337:H337">INDEX('0.0.1 Pokémon Dex Data'!$Q$3:$Q951,MATCH(E337,'0.0.1 Pokémon Dex Data'!$B$3:$B951,0))</f>
        <v>Normal</v>
      </c>
      <c r="I337" s="0" t="n">
        <f aca="false">INDEX('0.0.1 Pokémon Dex Data'!$R$3:$R951,MATCH(E337,'0.0.1 Pokémon Dex Data'!$B$3:$B951,0))</f>
        <v>0</v>
      </c>
      <c r="J337" s="260" t="n">
        <f aca="false" t="array" ref="J337:J337">ROUND(INDEX('0.0.1 Pokémon Dex Data'!$S$3:$S951,MATCH($E337,'0.0.1 Pokémon Dex Data'!$B$3:$B951,0))*INDEX('0.0.1 Pokémon Dex Data'!T$3:T951,MATCH($E337,'0.0.1 Pokémon Dex Data'!$B$3:$B951,0)),0)</f>
        <v>92</v>
      </c>
      <c r="K337" s="260" t="n">
        <f aca="false" t="array" ref="K337:K337">ROUND(INDEX('0.0.1 Pokémon Dex Data'!$S$3:$S951,MATCH($E337,'0.0.1 Pokémon Dex Data'!$B$3:$B951,0))*INDEX('0.0.1 Pokémon Dex Data'!U$3:U951,MATCH($E337,'0.0.1 Pokémon Dex Data'!$B$3:$B951,0)),0)</f>
        <v>42</v>
      </c>
      <c r="L337" s="260" t="n">
        <f aca="false" t="array" ref="L337:L337">ROUND(INDEX('0.0.1 Pokémon Dex Data'!$S$3:$S951,MATCH($E337,'0.0.1 Pokémon Dex Data'!$B$3:$B951,0))*INDEX('0.0.1 Pokémon Dex Data'!V$3:V951,MATCH($E337,'0.0.1 Pokémon Dex Data'!$B$3:$B951,0)),0)</f>
        <v>162</v>
      </c>
      <c r="M337" s="260" t="n">
        <f aca="false" t="array" ref="M337:M337">INDEX('0.0.1 Pokémon Dex Data'!$J$3:$J951,MATCH(E337,'0.0.1 Pokémon Dex Data'!$B$3:$B951,0))</f>
        <v>0</v>
      </c>
      <c r="O337" s="490"/>
      <c r="Q337" s="367" t="n">
        <f aca="false">IF('Reverse Search'!$F$4="All (including temporary formes)",1,IF('Reverse Search'!$F$4="Base Pokémon and permanent formes only",IF(F337&lt;=1,1,0),IF(F337=0,1,0)))</f>
        <v>1</v>
      </c>
      <c r="R337" s="0" t="n">
        <f aca="false">IF('Reverse Search'!$C$7="Disable",1,IF('Reverse Search'!$D$9="Disable",1,IF(OR('Reverse Search'!$F$9=H337,'Reverse Search'!$F$9=I337),1,0)))</f>
        <v>1</v>
      </c>
      <c r="S337" s="0" t="n">
        <f aca="false">IF('Reverse Search'!$C$7="Disable",1,IF('Reverse Search'!$D$10="Disable",1,IF(OR('Reverse Search'!$F$10=H337,'Reverse Search'!$F$10=I337),1,0)))</f>
        <v>1</v>
      </c>
      <c r="T337" s="0" t="n">
        <f aca="false">INDEX($B$4:$B$22,MATCH(H337,$A$4:$A$22,0))</f>
        <v>1</v>
      </c>
      <c r="U337" s="0" t="e">
        <f aca="false">IF(ISBLANK(I337),1,INDEX($B$4:$B$22,MATCH(I337,$A$4:$A$22,0)))</f>
        <v>#N/A</v>
      </c>
      <c r="V337" s="367" t="n">
        <f aca="false">IF('Reverse Search'!$C$7="Disable",1,IF('Reverse Search'!$D$11="Disable",1,IF('Reverse Search'!$E$11="Neutral to:",IF(ROUND(T337*U337,2)&lt;=1,1,0),IF(ROUND(T337*U337,2)&lt;1,1,0))))</f>
        <v>1</v>
      </c>
      <c r="W337" s="0" t="n">
        <f aca="false">IF('Reverse Search'!$N$7="Disable",1,IF('Reverse Search'!$I$9="Disable",1,IF('Reverse Search'!$K$9="≥",IF(J337&gt;='Reverse Search'!$L$9,1,0),IF('Reverse Search'!$K$9="≤",IF(J337&lt;='Reverse Search'!$L$9,1,0),IF(J337='Reverse Search'!$L$9,1,0)))))</f>
        <v>1</v>
      </c>
      <c r="X337" s="0" t="n">
        <f aca="false">IF('Reverse Search'!$N$7="Disable",1,IF('Reverse Search'!$I$10="Disable",1,IF('Reverse Search'!$K$10="≥",IF(K337&gt;='Reverse Search'!$L$10,1,0),IF('Reverse Search'!$K$10="≤",IF(K337&lt;='Reverse Search'!$L$10,1,0),IF(K337='Reverse Search'!$L$10,1,0)))))</f>
        <v>1</v>
      </c>
      <c r="Y337" s="367" t="n">
        <f aca="false">IF('Reverse Search'!$N$7="Disable",1,IF('Reverse Search'!$I$11="Disable",1,IF('Reverse Search'!$K$11="≥",IF(L337&gt;='Reverse Search'!$L$11,1,0),IF('Reverse Search'!$K$11="≤",IF(L337&lt;='Reverse Search'!$L$11,1,0),IF(L337='Reverse Search'!$L$11,1,0)))))</f>
        <v>1</v>
      </c>
      <c r="Z337" s="0" t="n">
        <f aca="true">IF('Reverse Search'!$C$14="Disable",1,IF('Reverse Search'!$D$16="Disable",1,IF($C$2=3,IF($M337=0,0,COUNTIF(INDIRECT("'0.0.2 Pokémon Learnset (Core)'!$D$"&amp;MATCH($E337,'0.0.2 Pokémon Learnset (Core)'!$A$1:$A951,0)&amp;":$FK$"&amp;MATCH($E337,'0.0.2 Pokémon Learnset (Core)'!$A$1:$A951,0)),'Reverse Search'!$E$21)),IF($C$2=2,COUNTIF(INDIRECT("'0.1.1 Pokémon GO Moves'!$B$"&amp;MATCH($E337,'0.1.1 Pokémon GO Moves'!$A$1:$A951,0)&amp;":$R$"&amp;MATCH($E337,'0.1.1 Pokémon GO Moves'!$A$1:$A951,0)),'Reverse Search'!$E$21),COUNTIF(INDIRECT("'0.1.1 Pokémon GO Moves'!$B$"&amp;MATCH($E337,'0.1.1 Pokémon GO Moves'!$A$1:$A951,0)&amp;":$L$"&amp;MATCH($E337,'0.1.1 Pokémon GO Moves'!$A$1:$A951,0)),'Reverse Search'!$E$21)))))</f>
        <v>1</v>
      </c>
      <c r="AA337" s="0" t="n">
        <f aca="true">IF('Reverse Search'!$C$14="Disable",1,IF('Reverse Search'!$I$16="Disable",1,IF($D$2=3,IF($M337=0,0,COUNTIF(INDIRECT("'0.0.2 Pokémon Learnset (Core)'!$D$"&amp;MATCH($E337,'0.0.2 Pokémon Learnset (Core)'!$A$1:$A951,0)&amp;":$FK$"&amp;MATCH($E337,'0.0.2 Pokémon Learnset (Core)'!$A$1:$A951,0)),'Reverse Search'!$J$21)),IF($D$2=2,COUNTIF(INDIRECT("'0.1.1 Pokémon GO Moves'!$B$"&amp;MATCH($E337,'0.1.1 Pokémon GO Moves'!$A$1:$A951,0)&amp;":$R$"&amp;MATCH($E337,'0.1.1 Pokémon GO Moves'!$A$1:$A951,0)),'Reverse Search'!$J$21),COUNTIF(INDIRECT("'0.1.1 Pokémon GO Moves'!$B$"&amp;MATCH($E337,'0.1.1 Pokémon GO Moves'!$A$1:$A951,0)&amp;":$L$"&amp;MATCH($E337,'0.1.1 Pokémon GO Moves'!$A$1:$A951,0)),'Reverse Search'!$J$21)))))</f>
        <v>0</v>
      </c>
      <c r="AB337" s="490"/>
      <c r="AC337" s="260" t="n">
        <f aca="false">IF((Q337+R337+S337+V337+W337+X337+Y337+IF(Z337&gt;=1,1,0)+IF(AA337&gt;=1,1,0))=9,G337&amp;", ",)</f>
        <v>0</v>
      </c>
    </row>
    <row r="338" customFormat="false" ht="15.75" hidden="false" customHeight="false" outlineLevel="0" collapsed="false">
      <c r="A338" s="260"/>
      <c r="B338" s="358"/>
      <c r="C338" s="260"/>
      <c r="D338" s="358"/>
      <c r="E338" s="260" t="n">
        <v>337</v>
      </c>
      <c r="F338" s="260" t="n">
        <f aca="false" t="array" ref="F338:F338">INDEX('0.0.1 Pokémon Dex Data'!$H$3:$H951,MATCH(E338,'0.0.1 Pokémon Dex Data'!$B$3:$B951,0))</f>
        <v>0</v>
      </c>
      <c r="G338" s="0" t="str">
        <f aca="false" t="array" ref="G338:G338">INDEX('0.0.1 Pokémon Dex Data'!$E$3:$E951,MATCH(E338,'0.0.1 Pokémon Dex Data'!$B$3:$B951,0))</f>
        <v>Loudred</v>
      </c>
      <c r="H338" s="0" t="str">
        <f aca="false" t="array" ref="H338:H338">INDEX('0.0.1 Pokémon Dex Data'!$Q$3:$Q951,MATCH(E338,'0.0.1 Pokémon Dex Data'!$B$3:$B951,0))</f>
        <v>Normal</v>
      </c>
      <c r="I338" s="0" t="n">
        <f aca="false">INDEX('0.0.1 Pokémon Dex Data'!$R$3:$R951,MATCH(E338,'0.0.1 Pokémon Dex Data'!$B$3:$B951,0))</f>
        <v>0</v>
      </c>
      <c r="J338" s="260" t="n">
        <f aca="false" t="array" ref="J338:J338">ROUND(INDEX('0.0.1 Pokémon Dex Data'!$S$3:$S951,MATCH($E338,'0.0.1 Pokémon Dex Data'!$B$3:$B951,0))*INDEX('0.0.1 Pokémon Dex Data'!T$3:T951,MATCH($E338,'0.0.1 Pokémon Dex Data'!$B$3:$B951,0)),0)</f>
        <v>134</v>
      </c>
      <c r="K338" s="260" t="n">
        <f aca="false" t="array" ref="K338:K338">ROUND(INDEX('0.0.1 Pokémon Dex Data'!$S$3:$S951,MATCH($E338,'0.0.1 Pokémon Dex Data'!$B$3:$B951,0))*INDEX('0.0.1 Pokémon Dex Data'!U$3:U951,MATCH($E338,'0.0.1 Pokémon Dex Data'!$B$3:$B951,0)),0)</f>
        <v>81</v>
      </c>
      <c r="L338" s="260" t="n">
        <f aca="false" t="array" ref="L338:L338">ROUND(INDEX('0.0.1 Pokémon Dex Data'!$S$3:$S951,MATCH($E338,'0.0.1 Pokémon Dex Data'!$B$3:$B951,0))*INDEX('0.0.1 Pokémon Dex Data'!V$3:V951,MATCH($E338,'0.0.1 Pokémon Dex Data'!$B$3:$B951,0)),0)</f>
        <v>197</v>
      </c>
      <c r="M338" s="260" t="n">
        <f aca="false" t="array" ref="M338:M338">INDEX('0.0.1 Pokémon Dex Data'!$J$3:$J951,MATCH(E338,'0.0.1 Pokémon Dex Data'!$B$3:$B951,0))</f>
        <v>0</v>
      </c>
      <c r="O338" s="490"/>
      <c r="Q338" s="367" t="n">
        <f aca="false">IF('Reverse Search'!$F$4="All (including temporary formes)",1,IF('Reverse Search'!$F$4="Base Pokémon and permanent formes only",IF(F338&lt;=1,1,0),IF(F338=0,1,0)))</f>
        <v>1</v>
      </c>
      <c r="R338" s="0" t="n">
        <f aca="false">IF('Reverse Search'!$C$7="Disable",1,IF('Reverse Search'!$D$9="Disable",1,IF(OR('Reverse Search'!$F$9=H338,'Reverse Search'!$F$9=I338),1,0)))</f>
        <v>1</v>
      </c>
      <c r="S338" s="0" t="n">
        <f aca="false">IF('Reverse Search'!$C$7="Disable",1,IF('Reverse Search'!$D$10="Disable",1,IF(OR('Reverse Search'!$F$10=H338,'Reverse Search'!$F$10=I338),1,0)))</f>
        <v>1</v>
      </c>
      <c r="T338" s="0" t="n">
        <f aca="false">INDEX($B$4:$B$22,MATCH(H338,$A$4:$A$22,0))</f>
        <v>1</v>
      </c>
      <c r="U338" s="0" t="e">
        <f aca="false">IF(ISBLANK(I338),1,INDEX($B$4:$B$22,MATCH(I338,$A$4:$A$22,0)))</f>
        <v>#N/A</v>
      </c>
      <c r="V338" s="367" t="n">
        <f aca="false">IF('Reverse Search'!$C$7="Disable",1,IF('Reverse Search'!$D$11="Disable",1,IF('Reverse Search'!$E$11="Neutral to:",IF(ROUND(T338*U338,2)&lt;=1,1,0),IF(ROUND(T338*U338,2)&lt;1,1,0))))</f>
        <v>1</v>
      </c>
      <c r="W338" s="0" t="n">
        <f aca="false">IF('Reverse Search'!$N$7="Disable",1,IF('Reverse Search'!$I$9="Disable",1,IF('Reverse Search'!$K$9="≥",IF(J338&gt;='Reverse Search'!$L$9,1,0),IF('Reverse Search'!$K$9="≤",IF(J338&lt;='Reverse Search'!$L$9,1,0),IF(J338='Reverse Search'!$L$9,1,0)))))</f>
        <v>1</v>
      </c>
      <c r="X338" s="0" t="n">
        <f aca="false">IF('Reverse Search'!$N$7="Disable",1,IF('Reverse Search'!$I$10="Disable",1,IF('Reverse Search'!$K$10="≥",IF(K338&gt;='Reverse Search'!$L$10,1,0),IF('Reverse Search'!$K$10="≤",IF(K338&lt;='Reverse Search'!$L$10,1,0),IF(K338='Reverse Search'!$L$10,1,0)))))</f>
        <v>1</v>
      </c>
      <c r="Y338" s="367" t="n">
        <f aca="false">IF('Reverse Search'!$N$7="Disable",1,IF('Reverse Search'!$I$11="Disable",1,IF('Reverse Search'!$K$11="≥",IF(L338&gt;='Reverse Search'!$L$11,1,0),IF('Reverse Search'!$K$11="≤",IF(L338&lt;='Reverse Search'!$L$11,1,0),IF(L338='Reverse Search'!$L$11,1,0)))))</f>
        <v>1</v>
      </c>
      <c r="Z338" s="0" t="n">
        <f aca="true">IF('Reverse Search'!$C$14="Disable",1,IF('Reverse Search'!$D$16="Disable",1,IF($C$2=3,IF($M338=0,0,COUNTIF(INDIRECT("'0.0.2 Pokémon Learnset (Core)'!$D$"&amp;MATCH($E338,'0.0.2 Pokémon Learnset (Core)'!$A$1:$A951,0)&amp;":$FK$"&amp;MATCH($E338,'0.0.2 Pokémon Learnset (Core)'!$A$1:$A951,0)),'Reverse Search'!$E$21)),IF($C$2=2,COUNTIF(INDIRECT("'0.1.1 Pokémon GO Moves'!$B$"&amp;MATCH($E338,'0.1.1 Pokémon GO Moves'!$A$1:$A951,0)&amp;":$R$"&amp;MATCH($E338,'0.1.1 Pokémon GO Moves'!$A$1:$A951,0)),'Reverse Search'!$E$21),COUNTIF(INDIRECT("'0.1.1 Pokémon GO Moves'!$B$"&amp;MATCH($E338,'0.1.1 Pokémon GO Moves'!$A$1:$A951,0)&amp;":$L$"&amp;MATCH($E338,'0.1.1 Pokémon GO Moves'!$A$1:$A951,0)),'Reverse Search'!$E$21)))))</f>
        <v>1</v>
      </c>
      <c r="AA338" s="0" t="n">
        <f aca="true">IF('Reverse Search'!$C$14="Disable",1,IF('Reverse Search'!$I$16="Disable",1,IF($D$2=3,IF($M338=0,0,COUNTIF(INDIRECT("'0.0.2 Pokémon Learnset (Core)'!$D$"&amp;MATCH($E338,'0.0.2 Pokémon Learnset (Core)'!$A$1:$A951,0)&amp;":$FK$"&amp;MATCH($E338,'0.0.2 Pokémon Learnset (Core)'!$A$1:$A951,0)),'Reverse Search'!$J$21)),IF($D$2=2,COUNTIF(INDIRECT("'0.1.1 Pokémon GO Moves'!$B$"&amp;MATCH($E338,'0.1.1 Pokémon GO Moves'!$A$1:$A951,0)&amp;":$R$"&amp;MATCH($E338,'0.1.1 Pokémon GO Moves'!$A$1:$A951,0)),'Reverse Search'!$J$21),COUNTIF(INDIRECT("'0.1.1 Pokémon GO Moves'!$B$"&amp;MATCH($E338,'0.1.1 Pokémon GO Moves'!$A$1:$A951,0)&amp;":$L$"&amp;MATCH($E338,'0.1.1 Pokémon GO Moves'!$A$1:$A951,0)),'Reverse Search'!$J$21)))))</f>
        <v>0</v>
      </c>
      <c r="AB338" s="490"/>
      <c r="AC338" s="260" t="n">
        <f aca="false">IF((Q338+R338+S338+V338+W338+X338+Y338+IF(Z338&gt;=1,1,0)+IF(AA338&gt;=1,1,0))=9,G338&amp;", ",)</f>
        <v>0</v>
      </c>
    </row>
    <row r="339" customFormat="false" ht="15.75" hidden="false" customHeight="false" outlineLevel="0" collapsed="false">
      <c r="A339" s="260"/>
      <c r="B339" s="358"/>
      <c r="C339" s="260"/>
      <c r="D339" s="358"/>
      <c r="E339" s="260" t="n">
        <v>338</v>
      </c>
      <c r="F339" s="260" t="n">
        <f aca="false" t="array" ref="F339:F339">INDEX('0.0.1 Pokémon Dex Data'!$H$3:$H951,MATCH(E339,'0.0.1 Pokémon Dex Data'!$B$3:$B951,0))</f>
        <v>0</v>
      </c>
      <c r="G339" s="0" t="str">
        <f aca="false" t="array" ref="G339:G339">INDEX('0.0.1 Pokémon Dex Data'!$E$3:$E951,MATCH(E339,'0.0.1 Pokémon Dex Data'!$B$3:$B951,0))</f>
        <v>Exploud</v>
      </c>
      <c r="H339" s="0" t="str">
        <f aca="false" t="array" ref="H339:H339">INDEX('0.0.1 Pokémon Dex Data'!$Q$3:$Q951,MATCH(E339,'0.0.1 Pokémon Dex Data'!$B$3:$B951,0))</f>
        <v>Normal</v>
      </c>
      <c r="I339" s="0" t="n">
        <f aca="false">INDEX('0.0.1 Pokémon Dex Data'!$R$3:$R951,MATCH(E339,'0.0.1 Pokémon Dex Data'!$B$3:$B951,0))</f>
        <v>0</v>
      </c>
      <c r="J339" s="260" t="n">
        <f aca="false" t="array" ref="J339:J339">ROUND(INDEX('0.0.1 Pokémon Dex Data'!$S$3:$S951,MATCH($E339,'0.0.1 Pokémon Dex Data'!$B$3:$B951,0))*INDEX('0.0.1 Pokémon Dex Data'!T$3:T951,MATCH($E339,'0.0.1 Pokémon Dex Data'!$B$3:$B951,0)),0)</f>
        <v>179</v>
      </c>
      <c r="K339" s="260" t="n">
        <f aca="false" t="array" ref="K339:K339">ROUND(INDEX('0.0.1 Pokémon Dex Data'!$S$3:$S951,MATCH($E339,'0.0.1 Pokémon Dex Data'!$B$3:$B951,0))*INDEX('0.0.1 Pokémon Dex Data'!U$3:U951,MATCH($E339,'0.0.1 Pokémon Dex Data'!$B$3:$B951,0)),0)</f>
        <v>137</v>
      </c>
      <c r="L339" s="260" t="n">
        <f aca="false" t="array" ref="L339:L339">ROUND(INDEX('0.0.1 Pokémon Dex Data'!$S$3:$S951,MATCH($E339,'0.0.1 Pokémon Dex Data'!$B$3:$B951,0))*INDEX('0.0.1 Pokémon Dex Data'!V$3:V951,MATCH($E339,'0.0.1 Pokémon Dex Data'!$B$3:$B951,0)),0)</f>
        <v>232</v>
      </c>
      <c r="M339" s="260" t="n">
        <f aca="false" t="array" ref="M339:M339">INDEX('0.0.1 Pokémon Dex Data'!$J$3:$J951,MATCH(E339,'0.0.1 Pokémon Dex Data'!$B$3:$B951,0))</f>
        <v>1</v>
      </c>
      <c r="O339" s="490"/>
      <c r="Q339" s="367" t="n">
        <f aca="false">IF('Reverse Search'!$F$4="All (including temporary formes)",1,IF('Reverse Search'!$F$4="Base Pokémon and permanent formes only",IF(F339&lt;=1,1,0),IF(F339=0,1,0)))</f>
        <v>1</v>
      </c>
      <c r="R339" s="0" t="n">
        <f aca="false">IF('Reverse Search'!$C$7="Disable",1,IF('Reverse Search'!$D$9="Disable",1,IF(OR('Reverse Search'!$F$9=H339,'Reverse Search'!$F$9=I339),1,0)))</f>
        <v>1</v>
      </c>
      <c r="S339" s="0" t="n">
        <f aca="false">IF('Reverse Search'!$C$7="Disable",1,IF('Reverse Search'!$D$10="Disable",1,IF(OR('Reverse Search'!$F$10=H339,'Reverse Search'!$F$10=I339),1,0)))</f>
        <v>1</v>
      </c>
      <c r="T339" s="0" t="n">
        <f aca="false">INDEX($B$4:$B$22,MATCH(H339,$A$4:$A$22,0))</f>
        <v>1</v>
      </c>
      <c r="U339" s="0" t="e">
        <f aca="false">IF(ISBLANK(I339),1,INDEX($B$4:$B$22,MATCH(I339,$A$4:$A$22,0)))</f>
        <v>#N/A</v>
      </c>
      <c r="V339" s="367" t="n">
        <f aca="false">IF('Reverse Search'!$C$7="Disable",1,IF('Reverse Search'!$D$11="Disable",1,IF('Reverse Search'!$E$11="Neutral to:",IF(ROUND(T339*U339,2)&lt;=1,1,0),IF(ROUND(T339*U339,2)&lt;1,1,0))))</f>
        <v>1</v>
      </c>
      <c r="W339" s="0" t="n">
        <f aca="false">IF('Reverse Search'!$N$7="Disable",1,IF('Reverse Search'!$I$9="Disable",1,IF('Reverse Search'!$K$9="≥",IF(J339&gt;='Reverse Search'!$L$9,1,0),IF('Reverse Search'!$K$9="≤",IF(J339&lt;='Reverse Search'!$L$9,1,0),IF(J339='Reverse Search'!$L$9,1,0)))))</f>
        <v>1</v>
      </c>
      <c r="X339" s="0" t="n">
        <f aca="false">IF('Reverse Search'!$N$7="Disable",1,IF('Reverse Search'!$I$10="Disable",1,IF('Reverse Search'!$K$10="≥",IF(K339&gt;='Reverse Search'!$L$10,1,0),IF('Reverse Search'!$K$10="≤",IF(K339&lt;='Reverse Search'!$L$10,1,0),IF(K339='Reverse Search'!$L$10,1,0)))))</f>
        <v>1</v>
      </c>
      <c r="Y339" s="367" t="n">
        <f aca="false">IF('Reverse Search'!$N$7="Disable",1,IF('Reverse Search'!$I$11="Disable",1,IF('Reverse Search'!$K$11="≥",IF(L339&gt;='Reverse Search'!$L$11,1,0),IF('Reverse Search'!$K$11="≤",IF(L339&lt;='Reverse Search'!$L$11,1,0),IF(L339='Reverse Search'!$L$11,1,0)))))</f>
        <v>1</v>
      </c>
      <c r="Z339" s="0" t="n">
        <f aca="true">IF('Reverse Search'!$C$14="Disable",1,IF('Reverse Search'!$D$16="Disable",1,IF($C$2=3,IF($M339=0,0,COUNTIF(INDIRECT("'0.0.2 Pokémon Learnset (Core)'!$D$"&amp;MATCH($E339,'0.0.2 Pokémon Learnset (Core)'!$A$1:$A951,0)&amp;":$FK$"&amp;MATCH($E339,'0.0.2 Pokémon Learnset (Core)'!$A$1:$A951,0)),'Reverse Search'!$E$21)),IF($C$2=2,COUNTIF(INDIRECT("'0.1.1 Pokémon GO Moves'!$B$"&amp;MATCH($E339,'0.1.1 Pokémon GO Moves'!$A$1:$A951,0)&amp;":$R$"&amp;MATCH($E339,'0.1.1 Pokémon GO Moves'!$A$1:$A951,0)),'Reverse Search'!$E$21),COUNTIF(INDIRECT("'0.1.1 Pokémon GO Moves'!$B$"&amp;MATCH($E339,'0.1.1 Pokémon GO Moves'!$A$1:$A951,0)&amp;":$L$"&amp;MATCH($E339,'0.1.1 Pokémon GO Moves'!$A$1:$A951,0)),'Reverse Search'!$E$21)))))</f>
        <v>1</v>
      </c>
      <c r="AA339" s="0" t="n">
        <f aca="true">IF('Reverse Search'!$C$14="Disable",1,IF('Reverse Search'!$I$16="Disable",1,IF($D$2=3,IF($M339=0,0,COUNTIF(INDIRECT("'0.0.2 Pokémon Learnset (Core)'!$D$"&amp;MATCH($E339,'0.0.2 Pokémon Learnset (Core)'!$A$1:$A951,0)&amp;":$FK$"&amp;MATCH($E339,'0.0.2 Pokémon Learnset (Core)'!$A$1:$A951,0)),'Reverse Search'!$J$21)),IF($D$2=2,COUNTIF(INDIRECT("'0.1.1 Pokémon GO Moves'!$B$"&amp;MATCH($E339,'0.1.1 Pokémon GO Moves'!$A$1:$A951,0)&amp;":$R$"&amp;MATCH($E339,'0.1.1 Pokémon GO Moves'!$A$1:$A951,0)),'Reverse Search'!$J$21),COUNTIF(INDIRECT("'0.1.1 Pokémon GO Moves'!$B$"&amp;MATCH($E339,'0.1.1 Pokémon GO Moves'!$A$1:$A951,0)&amp;":$L$"&amp;MATCH($E339,'0.1.1 Pokémon GO Moves'!$A$1:$A951,0)),'Reverse Search'!$J$21)))))</f>
        <v>0</v>
      </c>
      <c r="AB339" s="490"/>
      <c r="AC339" s="260" t="n">
        <f aca="false">IF((Q339+R339+S339+V339+W339+X339+Y339+IF(Z339&gt;=1,1,0)+IF(AA339&gt;=1,1,0))=9,G339&amp;", ",)</f>
        <v>0</v>
      </c>
    </row>
    <row r="340" customFormat="false" ht="15.75" hidden="false" customHeight="false" outlineLevel="0" collapsed="false">
      <c r="A340" s="260"/>
      <c r="B340" s="358"/>
      <c r="C340" s="260"/>
      <c r="D340" s="358"/>
      <c r="E340" s="260" t="n">
        <v>339</v>
      </c>
      <c r="F340" s="260" t="n">
        <f aca="false" t="array" ref="F340:F340">INDEX('0.0.1 Pokémon Dex Data'!$H$3:$H951,MATCH(E340,'0.0.1 Pokémon Dex Data'!$B$3:$B951,0))</f>
        <v>0</v>
      </c>
      <c r="G340" s="0" t="str">
        <f aca="false" t="array" ref="G340:G340">INDEX('0.0.1 Pokémon Dex Data'!$E$3:$E951,MATCH(E340,'0.0.1 Pokémon Dex Data'!$B$3:$B951,0))</f>
        <v>Makuhita</v>
      </c>
      <c r="H340" s="0" t="str">
        <f aca="false" t="array" ref="H340:H340">INDEX('0.0.1 Pokémon Dex Data'!$Q$3:$Q951,MATCH(E340,'0.0.1 Pokémon Dex Data'!$B$3:$B951,0))</f>
        <v>Fighting</v>
      </c>
      <c r="I340" s="0" t="n">
        <f aca="false">INDEX('0.0.1 Pokémon Dex Data'!$R$3:$R951,MATCH(E340,'0.0.1 Pokémon Dex Data'!$B$3:$B951,0))</f>
        <v>0</v>
      </c>
      <c r="J340" s="260" t="n">
        <f aca="false" t="array" ref="J340:J340">ROUND(INDEX('0.0.1 Pokémon Dex Data'!$S$3:$S951,MATCH($E340,'0.0.1 Pokémon Dex Data'!$B$3:$B951,0))*INDEX('0.0.1 Pokémon Dex Data'!T$3:T951,MATCH($E340,'0.0.1 Pokémon Dex Data'!$B$3:$B951,0)),0)</f>
        <v>99</v>
      </c>
      <c r="K340" s="260" t="n">
        <f aca="false" t="array" ref="K340:K340">ROUND(INDEX('0.0.1 Pokémon Dex Data'!$S$3:$S951,MATCH($E340,'0.0.1 Pokémon Dex Data'!$B$3:$B951,0))*INDEX('0.0.1 Pokémon Dex Data'!U$3:U951,MATCH($E340,'0.0.1 Pokémon Dex Data'!$B$3:$B951,0)),0)</f>
        <v>54</v>
      </c>
      <c r="L340" s="260" t="n">
        <f aca="false" t="array" ref="L340:L340">ROUND(INDEX('0.0.1 Pokémon Dex Data'!$S$3:$S951,MATCH($E340,'0.0.1 Pokémon Dex Data'!$B$3:$B951,0))*INDEX('0.0.1 Pokémon Dex Data'!V$3:V951,MATCH($E340,'0.0.1 Pokémon Dex Data'!$B$3:$B951,0)),0)</f>
        <v>176</v>
      </c>
      <c r="M340" s="260" t="n">
        <f aca="false" t="array" ref="M340:M340">INDEX('0.0.1 Pokémon Dex Data'!$J$3:$J951,MATCH(E340,'0.0.1 Pokémon Dex Data'!$B$3:$B951,0))</f>
        <v>0</v>
      </c>
      <c r="O340" s="490"/>
      <c r="Q340" s="367" t="n">
        <f aca="false">IF('Reverse Search'!$F$4="All (including temporary formes)",1,IF('Reverse Search'!$F$4="Base Pokémon and permanent formes only",IF(F340&lt;=1,1,0),IF(F340=0,1,0)))</f>
        <v>1</v>
      </c>
      <c r="R340" s="0" t="n">
        <f aca="false">IF('Reverse Search'!$C$7="Disable",1,IF('Reverse Search'!$D$9="Disable",1,IF(OR('Reverse Search'!$F$9=H340,'Reverse Search'!$F$9=I340),1,0)))</f>
        <v>1</v>
      </c>
      <c r="S340" s="0" t="n">
        <f aca="false">IF('Reverse Search'!$C$7="Disable",1,IF('Reverse Search'!$D$10="Disable",1,IF(OR('Reverse Search'!$F$10=H340,'Reverse Search'!$F$10=I340),1,0)))</f>
        <v>1</v>
      </c>
      <c r="T340" s="0" t="n">
        <f aca="false">INDEX($B$4:$B$22,MATCH(H340,$A$4:$A$22,0))</f>
        <v>1</v>
      </c>
      <c r="U340" s="0" t="e">
        <f aca="false">IF(ISBLANK(I340),1,INDEX($B$4:$B$22,MATCH(I340,$A$4:$A$22,0)))</f>
        <v>#N/A</v>
      </c>
      <c r="V340" s="367" t="n">
        <f aca="false">IF('Reverse Search'!$C$7="Disable",1,IF('Reverse Search'!$D$11="Disable",1,IF('Reverse Search'!$E$11="Neutral to:",IF(ROUND(T340*U340,2)&lt;=1,1,0),IF(ROUND(T340*U340,2)&lt;1,1,0))))</f>
        <v>1</v>
      </c>
      <c r="W340" s="0" t="n">
        <f aca="false">IF('Reverse Search'!$N$7="Disable",1,IF('Reverse Search'!$I$9="Disable",1,IF('Reverse Search'!$K$9="≥",IF(J340&gt;='Reverse Search'!$L$9,1,0),IF('Reverse Search'!$K$9="≤",IF(J340&lt;='Reverse Search'!$L$9,1,0),IF(J340='Reverse Search'!$L$9,1,0)))))</f>
        <v>1</v>
      </c>
      <c r="X340" s="0" t="n">
        <f aca="false">IF('Reverse Search'!$N$7="Disable",1,IF('Reverse Search'!$I$10="Disable",1,IF('Reverse Search'!$K$10="≥",IF(K340&gt;='Reverse Search'!$L$10,1,0),IF('Reverse Search'!$K$10="≤",IF(K340&lt;='Reverse Search'!$L$10,1,0),IF(K340='Reverse Search'!$L$10,1,0)))))</f>
        <v>1</v>
      </c>
      <c r="Y340" s="367" t="n">
        <f aca="false">IF('Reverse Search'!$N$7="Disable",1,IF('Reverse Search'!$I$11="Disable",1,IF('Reverse Search'!$K$11="≥",IF(L340&gt;='Reverse Search'!$L$11,1,0),IF('Reverse Search'!$K$11="≤",IF(L340&lt;='Reverse Search'!$L$11,1,0),IF(L340='Reverse Search'!$L$11,1,0)))))</f>
        <v>1</v>
      </c>
      <c r="Z340" s="0" t="n">
        <f aca="true">IF('Reverse Search'!$C$14="Disable",1,IF('Reverse Search'!$D$16="Disable",1,IF($C$2=3,IF($M340=0,0,COUNTIF(INDIRECT("'0.0.2 Pokémon Learnset (Core)'!$D$"&amp;MATCH($E340,'0.0.2 Pokémon Learnset (Core)'!$A$1:$A951,0)&amp;":$FK$"&amp;MATCH($E340,'0.0.2 Pokémon Learnset (Core)'!$A$1:$A951,0)),'Reverse Search'!$E$21)),IF($C$2=2,COUNTIF(INDIRECT("'0.1.1 Pokémon GO Moves'!$B$"&amp;MATCH($E340,'0.1.1 Pokémon GO Moves'!$A$1:$A951,0)&amp;":$R$"&amp;MATCH($E340,'0.1.1 Pokémon GO Moves'!$A$1:$A951,0)),'Reverse Search'!$E$21),COUNTIF(INDIRECT("'0.1.1 Pokémon GO Moves'!$B$"&amp;MATCH($E340,'0.1.1 Pokémon GO Moves'!$A$1:$A951,0)&amp;":$L$"&amp;MATCH($E340,'0.1.1 Pokémon GO Moves'!$A$1:$A951,0)),'Reverse Search'!$E$21)))))</f>
        <v>1</v>
      </c>
      <c r="AA340" s="0" t="n">
        <f aca="true">IF('Reverse Search'!$C$14="Disable",1,IF('Reverse Search'!$I$16="Disable",1,IF($D$2=3,IF($M340=0,0,COUNTIF(INDIRECT("'0.0.2 Pokémon Learnset (Core)'!$D$"&amp;MATCH($E340,'0.0.2 Pokémon Learnset (Core)'!$A$1:$A951,0)&amp;":$FK$"&amp;MATCH($E340,'0.0.2 Pokémon Learnset (Core)'!$A$1:$A951,0)),'Reverse Search'!$J$21)),IF($D$2=2,COUNTIF(INDIRECT("'0.1.1 Pokémon GO Moves'!$B$"&amp;MATCH($E340,'0.1.1 Pokémon GO Moves'!$A$1:$A951,0)&amp;":$R$"&amp;MATCH($E340,'0.1.1 Pokémon GO Moves'!$A$1:$A951,0)),'Reverse Search'!$J$21),COUNTIF(INDIRECT("'0.1.1 Pokémon GO Moves'!$B$"&amp;MATCH($E340,'0.1.1 Pokémon GO Moves'!$A$1:$A951,0)&amp;":$L$"&amp;MATCH($E340,'0.1.1 Pokémon GO Moves'!$A$1:$A951,0)),'Reverse Search'!$J$21)))))</f>
        <v>0</v>
      </c>
      <c r="AB340" s="490"/>
      <c r="AC340" s="260" t="n">
        <f aca="false">IF((Q340+R340+S340+V340+W340+X340+Y340+IF(Z340&gt;=1,1,0)+IF(AA340&gt;=1,1,0))=9,G340&amp;", ",)</f>
        <v>0</v>
      </c>
    </row>
    <row r="341" customFormat="false" ht="15.75" hidden="false" customHeight="false" outlineLevel="0" collapsed="false">
      <c r="A341" s="260"/>
      <c r="B341" s="358"/>
      <c r="C341" s="260"/>
      <c r="D341" s="358"/>
      <c r="E341" s="260" t="n">
        <v>340</v>
      </c>
      <c r="F341" s="260" t="n">
        <f aca="false" t="array" ref="F341:F341">INDEX('0.0.1 Pokémon Dex Data'!$H$3:$H951,MATCH(E341,'0.0.1 Pokémon Dex Data'!$B$3:$B951,0))</f>
        <v>0</v>
      </c>
      <c r="G341" s="0" t="str">
        <f aca="false" t="array" ref="G341:G341">INDEX('0.0.1 Pokémon Dex Data'!$E$3:$E951,MATCH(E341,'0.0.1 Pokémon Dex Data'!$B$3:$B951,0))</f>
        <v>Hariyama</v>
      </c>
      <c r="H341" s="0" t="str">
        <f aca="false" t="array" ref="H341:H341">INDEX('0.0.1 Pokémon Dex Data'!$Q$3:$Q951,MATCH(E341,'0.0.1 Pokémon Dex Data'!$B$3:$B951,0))</f>
        <v>Fighting</v>
      </c>
      <c r="I341" s="0" t="n">
        <f aca="false">INDEX('0.0.1 Pokémon Dex Data'!$R$3:$R951,MATCH(E341,'0.0.1 Pokémon Dex Data'!$B$3:$B951,0))</f>
        <v>0</v>
      </c>
      <c r="J341" s="260" t="n">
        <f aca="false" t="array" ref="J341:J341">ROUND(INDEX('0.0.1 Pokémon Dex Data'!$S$3:$S951,MATCH($E341,'0.0.1 Pokémon Dex Data'!$B$3:$B951,0))*INDEX('0.0.1 Pokémon Dex Data'!T$3:T951,MATCH($E341,'0.0.1 Pokémon Dex Data'!$B$3:$B951,0)),0)</f>
        <v>209</v>
      </c>
      <c r="K341" s="260" t="n">
        <f aca="false" t="array" ref="K341:K341">ROUND(INDEX('0.0.1 Pokémon Dex Data'!$S$3:$S951,MATCH($E341,'0.0.1 Pokémon Dex Data'!$B$3:$B951,0))*INDEX('0.0.1 Pokémon Dex Data'!U$3:U951,MATCH($E341,'0.0.1 Pokémon Dex Data'!$B$3:$B951,0)),0)</f>
        <v>114</v>
      </c>
      <c r="L341" s="260" t="n">
        <f aca="false" t="array" ref="L341:L341">ROUND(INDEX('0.0.1 Pokémon Dex Data'!$S$3:$S951,MATCH($E341,'0.0.1 Pokémon Dex Data'!$B$3:$B951,0))*INDEX('0.0.1 Pokémon Dex Data'!V$3:V951,MATCH($E341,'0.0.1 Pokémon Dex Data'!$B$3:$B951,0)),0)</f>
        <v>302</v>
      </c>
      <c r="M341" s="260" t="n">
        <f aca="false" t="array" ref="M341:M341">INDEX('0.0.1 Pokémon Dex Data'!$J$3:$J951,MATCH(E341,'0.0.1 Pokémon Dex Data'!$B$3:$B951,0))</f>
        <v>1</v>
      </c>
      <c r="O341" s="490"/>
      <c r="Q341" s="367" t="n">
        <f aca="false">IF('Reverse Search'!$F$4="All (including temporary formes)",1,IF('Reverse Search'!$F$4="Base Pokémon and permanent formes only",IF(F341&lt;=1,1,0),IF(F341=0,1,0)))</f>
        <v>1</v>
      </c>
      <c r="R341" s="0" t="n">
        <f aca="false">IF('Reverse Search'!$C$7="Disable",1,IF('Reverse Search'!$D$9="Disable",1,IF(OR('Reverse Search'!$F$9=H341,'Reverse Search'!$F$9=I341),1,0)))</f>
        <v>1</v>
      </c>
      <c r="S341" s="0" t="n">
        <f aca="false">IF('Reverse Search'!$C$7="Disable",1,IF('Reverse Search'!$D$10="Disable",1,IF(OR('Reverse Search'!$F$10=H341,'Reverse Search'!$F$10=I341),1,0)))</f>
        <v>1</v>
      </c>
      <c r="T341" s="0" t="n">
        <f aca="false">INDEX($B$4:$B$22,MATCH(H341,$A$4:$A$22,0))</f>
        <v>1</v>
      </c>
      <c r="U341" s="0" t="e">
        <f aca="false">IF(ISBLANK(I341),1,INDEX($B$4:$B$22,MATCH(I341,$A$4:$A$22,0)))</f>
        <v>#N/A</v>
      </c>
      <c r="V341" s="367" t="n">
        <f aca="false">IF('Reverse Search'!$C$7="Disable",1,IF('Reverse Search'!$D$11="Disable",1,IF('Reverse Search'!$E$11="Neutral to:",IF(ROUND(T341*U341,2)&lt;=1,1,0),IF(ROUND(T341*U341,2)&lt;1,1,0))))</f>
        <v>1</v>
      </c>
      <c r="W341" s="0" t="n">
        <f aca="false">IF('Reverse Search'!$N$7="Disable",1,IF('Reverse Search'!$I$9="Disable",1,IF('Reverse Search'!$K$9="≥",IF(J341&gt;='Reverse Search'!$L$9,1,0),IF('Reverse Search'!$K$9="≤",IF(J341&lt;='Reverse Search'!$L$9,1,0),IF(J341='Reverse Search'!$L$9,1,0)))))</f>
        <v>1</v>
      </c>
      <c r="X341" s="0" t="n">
        <f aca="false">IF('Reverse Search'!$N$7="Disable",1,IF('Reverse Search'!$I$10="Disable",1,IF('Reverse Search'!$K$10="≥",IF(K341&gt;='Reverse Search'!$L$10,1,0),IF('Reverse Search'!$K$10="≤",IF(K341&lt;='Reverse Search'!$L$10,1,0),IF(K341='Reverse Search'!$L$10,1,0)))))</f>
        <v>1</v>
      </c>
      <c r="Y341" s="367" t="n">
        <f aca="false">IF('Reverse Search'!$N$7="Disable",1,IF('Reverse Search'!$I$11="Disable",1,IF('Reverse Search'!$K$11="≥",IF(L341&gt;='Reverse Search'!$L$11,1,0),IF('Reverse Search'!$K$11="≤",IF(L341&lt;='Reverse Search'!$L$11,1,0),IF(L341='Reverse Search'!$L$11,1,0)))))</f>
        <v>1</v>
      </c>
      <c r="Z341" s="0" t="n">
        <f aca="true">IF('Reverse Search'!$C$14="Disable",1,IF('Reverse Search'!$D$16="Disable",1,IF($C$2=3,IF($M341=0,0,COUNTIF(INDIRECT("'0.0.2 Pokémon Learnset (Core)'!$D$"&amp;MATCH($E341,'0.0.2 Pokémon Learnset (Core)'!$A$1:$A951,0)&amp;":$FK$"&amp;MATCH($E341,'0.0.2 Pokémon Learnset (Core)'!$A$1:$A951,0)),'Reverse Search'!$E$21)),IF($C$2=2,COUNTIF(INDIRECT("'0.1.1 Pokémon GO Moves'!$B$"&amp;MATCH($E341,'0.1.1 Pokémon GO Moves'!$A$1:$A951,0)&amp;":$R$"&amp;MATCH($E341,'0.1.1 Pokémon GO Moves'!$A$1:$A951,0)),'Reverse Search'!$E$21),COUNTIF(INDIRECT("'0.1.1 Pokémon GO Moves'!$B$"&amp;MATCH($E341,'0.1.1 Pokémon GO Moves'!$A$1:$A951,0)&amp;":$L$"&amp;MATCH($E341,'0.1.1 Pokémon GO Moves'!$A$1:$A951,0)),'Reverse Search'!$E$21)))))</f>
        <v>1</v>
      </c>
      <c r="AA341" s="0" t="n">
        <f aca="true">IF('Reverse Search'!$C$14="Disable",1,IF('Reverse Search'!$I$16="Disable",1,IF($D$2=3,IF($M341=0,0,COUNTIF(INDIRECT("'0.0.2 Pokémon Learnset (Core)'!$D$"&amp;MATCH($E341,'0.0.2 Pokémon Learnset (Core)'!$A$1:$A951,0)&amp;":$FK$"&amp;MATCH($E341,'0.0.2 Pokémon Learnset (Core)'!$A$1:$A951,0)),'Reverse Search'!$J$21)),IF($D$2=2,COUNTIF(INDIRECT("'0.1.1 Pokémon GO Moves'!$B$"&amp;MATCH($E341,'0.1.1 Pokémon GO Moves'!$A$1:$A951,0)&amp;":$R$"&amp;MATCH($E341,'0.1.1 Pokémon GO Moves'!$A$1:$A951,0)),'Reverse Search'!$J$21),COUNTIF(INDIRECT("'0.1.1 Pokémon GO Moves'!$B$"&amp;MATCH($E341,'0.1.1 Pokémon GO Moves'!$A$1:$A951,0)&amp;":$L$"&amp;MATCH($E341,'0.1.1 Pokémon GO Moves'!$A$1:$A951,0)),'Reverse Search'!$J$21)))))</f>
        <v>0</v>
      </c>
      <c r="AB341" s="490"/>
      <c r="AC341" s="260" t="n">
        <f aca="false">IF((Q341+R341+S341+V341+W341+X341+Y341+IF(Z341&gt;=1,1,0)+IF(AA341&gt;=1,1,0))=9,G341&amp;", ",)</f>
        <v>0</v>
      </c>
    </row>
    <row r="342" customFormat="false" ht="15.75" hidden="false" customHeight="false" outlineLevel="0" collapsed="false">
      <c r="A342" s="260"/>
      <c r="B342" s="358"/>
      <c r="C342" s="260"/>
      <c r="D342" s="358"/>
      <c r="E342" s="260" t="n">
        <v>341</v>
      </c>
      <c r="F342" s="260" t="n">
        <f aca="false" t="array" ref="F342:F342">INDEX('0.0.1 Pokémon Dex Data'!$H$3:$H951,MATCH(E342,'0.0.1 Pokémon Dex Data'!$B$3:$B951,0))</f>
        <v>0</v>
      </c>
      <c r="G342" s="0" t="str">
        <f aca="false" t="array" ref="G342:G342">INDEX('0.0.1 Pokémon Dex Data'!$E$3:$E951,MATCH(E342,'0.0.1 Pokémon Dex Data'!$B$3:$B951,0))</f>
        <v>Azurill</v>
      </c>
      <c r="H342" s="0" t="str">
        <f aca="false" t="array" ref="H342:H342">INDEX('0.0.1 Pokémon Dex Data'!$Q$3:$Q951,MATCH(E342,'0.0.1 Pokémon Dex Data'!$B$3:$B951,0))</f>
        <v>Water</v>
      </c>
      <c r="I342" s="0" t="str">
        <f aca="false" t="array" ref="I342:I342">INDEX('0.0.1 Pokémon Dex Data'!$R$3:$R951,MATCH(E342,'0.0.1 Pokémon Dex Data'!$B$3:$B951,0))</f>
        <v>Fairy</v>
      </c>
      <c r="J342" s="260" t="n">
        <f aca="false" t="array" ref="J342:J342">ROUND(INDEX('0.0.1 Pokémon Dex Data'!$S$3:$S951,MATCH($E342,'0.0.1 Pokémon Dex Data'!$B$3:$B951,0))*INDEX('0.0.1 Pokémon Dex Data'!T$3:T951,MATCH($E342,'0.0.1 Pokémon Dex Data'!$B$3:$B951,0)),0)</f>
        <v>36</v>
      </c>
      <c r="K342" s="260" t="n">
        <f aca="false" t="array" ref="K342:K342">ROUND(INDEX('0.0.1 Pokémon Dex Data'!$S$3:$S951,MATCH($E342,'0.0.1 Pokémon Dex Data'!$B$3:$B951,0))*INDEX('0.0.1 Pokémon Dex Data'!U$3:U951,MATCH($E342,'0.0.1 Pokémon Dex Data'!$B$3:$B951,0)),0)</f>
        <v>71</v>
      </c>
      <c r="L342" s="260" t="n">
        <f aca="false" t="array" ref="L342:L342">ROUND(INDEX('0.0.1 Pokémon Dex Data'!$S$3:$S951,MATCH($E342,'0.0.1 Pokémon Dex Data'!$B$3:$B951,0))*INDEX('0.0.1 Pokémon Dex Data'!V$3:V951,MATCH($E342,'0.0.1 Pokémon Dex Data'!$B$3:$B951,0)),0)</f>
        <v>137</v>
      </c>
      <c r="M342" s="260" t="n">
        <f aca="false" t="array" ref="M342:M342">INDEX('0.0.1 Pokémon Dex Data'!$J$3:$J951,MATCH(E342,'0.0.1 Pokémon Dex Data'!$B$3:$B951,0))</f>
        <v>0</v>
      </c>
      <c r="O342" s="490"/>
      <c r="Q342" s="367" t="n">
        <f aca="false">IF('Reverse Search'!$F$4="All (including temporary formes)",1,IF('Reverse Search'!$F$4="Base Pokémon and permanent formes only",IF(F342&lt;=1,1,0),IF(F342=0,1,0)))</f>
        <v>1</v>
      </c>
      <c r="R342" s="0" t="n">
        <f aca="false">IF('Reverse Search'!$C$7="Disable",1,IF('Reverse Search'!$D$9="Disable",1,IF(OR('Reverse Search'!$F$9=H342,'Reverse Search'!$F$9=I342),1,0)))</f>
        <v>1</v>
      </c>
      <c r="S342" s="0" t="n">
        <f aca="false">IF('Reverse Search'!$C$7="Disable",1,IF('Reverse Search'!$D$10="Disable",1,IF(OR('Reverse Search'!$F$10=H342,'Reverse Search'!$F$10=I342),1,0)))</f>
        <v>1</v>
      </c>
      <c r="T342" s="0" t="n">
        <f aca="false">INDEX($B$4:$B$22,MATCH(H342,$A$4:$A$22,0))</f>
        <v>1</v>
      </c>
      <c r="U342" s="0" t="n">
        <f aca="false">IF(ISBLANK(I342),1,INDEX($B$4:$B$22,MATCH(I342,$A$4:$A$22,0)))</f>
        <v>1</v>
      </c>
      <c r="V342" s="367" t="n">
        <f aca="false">IF('Reverse Search'!$C$7="Disable",1,IF('Reverse Search'!$D$11="Disable",1,IF('Reverse Search'!$E$11="Neutral to:",IF(ROUND(T342*U342,2)&lt;=1,1,0),IF(ROUND(T342*U342,2)&lt;1,1,0))))</f>
        <v>1</v>
      </c>
      <c r="W342" s="0" t="n">
        <f aca="false">IF('Reverse Search'!$N$7="Disable",1,IF('Reverse Search'!$I$9="Disable",1,IF('Reverse Search'!$K$9="≥",IF(J342&gt;='Reverse Search'!$L$9,1,0),IF('Reverse Search'!$K$9="≤",IF(J342&lt;='Reverse Search'!$L$9,1,0),IF(J342='Reverse Search'!$L$9,1,0)))))</f>
        <v>1</v>
      </c>
      <c r="X342" s="0" t="n">
        <f aca="false">IF('Reverse Search'!$N$7="Disable",1,IF('Reverse Search'!$I$10="Disable",1,IF('Reverse Search'!$K$10="≥",IF(K342&gt;='Reverse Search'!$L$10,1,0),IF('Reverse Search'!$K$10="≤",IF(K342&lt;='Reverse Search'!$L$10,1,0),IF(K342='Reverse Search'!$L$10,1,0)))))</f>
        <v>1</v>
      </c>
      <c r="Y342" s="367" t="n">
        <f aca="false">IF('Reverse Search'!$N$7="Disable",1,IF('Reverse Search'!$I$11="Disable",1,IF('Reverse Search'!$K$11="≥",IF(L342&gt;='Reverse Search'!$L$11,1,0),IF('Reverse Search'!$K$11="≤",IF(L342&lt;='Reverse Search'!$L$11,1,0),IF(L342='Reverse Search'!$L$11,1,0)))))</f>
        <v>1</v>
      </c>
      <c r="Z342" s="0" t="n">
        <f aca="true">IF('Reverse Search'!$C$14="Disable",1,IF('Reverse Search'!$D$16="Disable",1,IF($C$2=3,IF($M342=0,0,COUNTIF(INDIRECT("'0.0.2 Pokémon Learnset (Core)'!$D$"&amp;MATCH($E342,'0.0.2 Pokémon Learnset (Core)'!$A$1:$A951,0)&amp;":$FK$"&amp;MATCH($E342,'0.0.2 Pokémon Learnset (Core)'!$A$1:$A951,0)),'Reverse Search'!$E$21)),IF($C$2=2,COUNTIF(INDIRECT("'0.1.1 Pokémon GO Moves'!$B$"&amp;MATCH($E342,'0.1.1 Pokémon GO Moves'!$A$1:$A951,0)&amp;":$R$"&amp;MATCH($E342,'0.1.1 Pokémon GO Moves'!$A$1:$A951,0)),'Reverse Search'!$E$21),COUNTIF(INDIRECT("'0.1.1 Pokémon GO Moves'!$B$"&amp;MATCH($E342,'0.1.1 Pokémon GO Moves'!$A$1:$A951,0)&amp;":$L$"&amp;MATCH($E342,'0.1.1 Pokémon GO Moves'!$A$1:$A951,0)),'Reverse Search'!$E$21)))))</f>
        <v>1</v>
      </c>
      <c r="AA342" s="0" t="n">
        <f aca="true">IF('Reverse Search'!$C$14="Disable",1,IF('Reverse Search'!$I$16="Disable",1,IF($D$2=3,IF($M342=0,0,COUNTIF(INDIRECT("'0.0.2 Pokémon Learnset (Core)'!$D$"&amp;MATCH($E342,'0.0.2 Pokémon Learnset (Core)'!$A$1:$A951,0)&amp;":$FK$"&amp;MATCH($E342,'0.0.2 Pokémon Learnset (Core)'!$A$1:$A951,0)),'Reverse Search'!$J$21)),IF($D$2=2,COUNTIF(INDIRECT("'0.1.1 Pokémon GO Moves'!$B$"&amp;MATCH($E342,'0.1.1 Pokémon GO Moves'!$A$1:$A951,0)&amp;":$R$"&amp;MATCH($E342,'0.1.1 Pokémon GO Moves'!$A$1:$A951,0)),'Reverse Search'!$J$21),COUNTIF(INDIRECT("'0.1.1 Pokémon GO Moves'!$B$"&amp;MATCH($E342,'0.1.1 Pokémon GO Moves'!$A$1:$A951,0)&amp;":$L$"&amp;MATCH($E342,'0.1.1 Pokémon GO Moves'!$A$1:$A951,0)),'Reverse Search'!$J$21)))))</f>
        <v>0</v>
      </c>
      <c r="AB342" s="490"/>
      <c r="AC342" s="260" t="n">
        <f aca="false">IF((Q342+R342+S342+V342+W342+X342+Y342+IF(Z342&gt;=1,1,0)+IF(AA342&gt;=1,1,0))=9,G342&amp;", ",)</f>
        <v>0</v>
      </c>
    </row>
    <row r="343" customFormat="false" ht="15.75" hidden="false" customHeight="false" outlineLevel="0" collapsed="false">
      <c r="A343" s="260"/>
      <c r="B343" s="358"/>
      <c r="C343" s="260"/>
      <c r="D343" s="358"/>
      <c r="E343" s="260" t="n">
        <v>342</v>
      </c>
      <c r="F343" s="260" t="n">
        <f aca="false" t="array" ref="F343:F343">INDEX('0.0.1 Pokémon Dex Data'!$H$3:$H951,MATCH(E343,'0.0.1 Pokémon Dex Data'!$B$3:$B951,0))</f>
        <v>0</v>
      </c>
      <c r="G343" s="0" t="str">
        <f aca="false" t="array" ref="G343:G343">INDEX('0.0.1 Pokémon Dex Data'!$E$3:$E951,MATCH(E343,'0.0.1 Pokémon Dex Data'!$B$3:$B951,0))</f>
        <v>Nosepass</v>
      </c>
      <c r="H343" s="0" t="str">
        <f aca="false" t="array" ref="H343:H343">INDEX('0.0.1 Pokémon Dex Data'!$Q$3:$Q951,MATCH(E343,'0.0.1 Pokémon Dex Data'!$B$3:$B951,0))</f>
        <v>Rock</v>
      </c>
      <c r="I343" s="0" t="n">
        <f aca="false">INDEX('0.0.1 Pokémon Dex Data'!$R$3:$R951,MATCH(E343,'0.0.1 Pokémon Dex Data'!$B$3:$B951,0))</f>
        <v>0</v>
      </c>
      <c r="J343" s="260" t="n">
        <f aca="false" t="array" ref="J343:J343">ROUND(INDEX('0.0.1 Pokémon Dex Data'!$S$3:$S951,MATCH($E343,'0.0.1 Pokémon Dex Data'!$B$3:$B951,0))*INDEX('0.0.1 Pokémon Dex Data'!T$3:T951,MATCH($E343,'0.0.1 Pokémon Dex Data'!$B$3:$B951,0)),0)</f>
        <v>82</v>
      </c>
      <c r="K343" s="260" t="n">
        <f aca="false" t="array" ref="K343:K343">ROUND(INDEX('0.0.1 Pokémon Dex Data'!$S$3:$S951,MATCH($E343,'0.0.1 Pokémon Dex Data'!$B$3:$B951,0))*INDEX('0.0.1 Pokémon Dex Data'!U$3:U951,MATCH($E343,'0.0.1 Pokémon Dex Data'!$B$3:$B951,0)),0)</f>
        <v>215</v>
      </c>
      <c r="L343" s="260" t="n">
        <f aca="false" t="array" ref="L343:L343">ROUND(INDEX('0.0.1 Pokémon Dex Data'!$S$3:$S951,MATCH($E343,'0.0.1 Pokémon Dex Data'!$B$3:$B951,0))*INDEX('0.0.1 Pokémon Dex Data'!V$3:V951,MATCH($E343,'0.0.1 Pokémon Dex Data'!$B$3:$B951,0)),0)</f>
        <v>102</v>
      </c>
      <c r="M343" s="260" t="n">
        <f aca="false" t="array" ref="M343:M343">INDEX('0.0.1 Pokémon Dex Data'!$J$3:$J951,MATCH(E343,'0.0.1 Pokémon Dex Data'!$B$3:$B951,0))</f>
        <v>1</v>
      </c>
      <c r="O343" s="490"/>
      <c r="Q343" s="367" t="n">
        <f aca="false">IF('Reverse Search'!$F$4="All (including temporary formes)",1,IF('Reverse Search'!$F$4="Base Pokémon and permanent formes only",IF(F343&lt;=1,1,0),IF(F343=0,1,0)))</f>
        <v>1</v>
      </c>
      <c r="R343" s="0" t="n">
        <f aca="false">IF('Reverse Search'!$C$7="Disable",1,IF('Reverse Search'!$D$9="Disable",1,IF(OR('Reverse Search'!$F$9=H343,'Reverse Search'!$F$9=I343),1,0)))</f>
        <v>1</v>
      </c>
      <c r="S343" s="0" t="n">
        <f aca="false">IF('Reverse Search'!$C$7="Disable",1,IF('Reverse Search'!$D$10="Disable",1,IF(OR('Reverse Search'!$F$10=H343,'Reverse Search'!$F$10=I343),1,0)))</f>
        <v>1</v>
      </c>
      <c r="T343" s="0" t="n">
        <f aca="false">INDEX($B$4:$B$22,MATCH(H343,$A$4:$A$22,0))</f>
        <v>0.714</v>
      </c>
      <c r="U343" s="0" t="e">
        <f aca="false">IF(ISBLANK(I343),1,INDEX($B$4:$B$22,MATCH(I343,$A$4:$A$22,0)))</f>
        <v>#N/A</v>
      </c>
      <c r="V343" s="367" t="n">
        <f aca="false">IF('Reverse Search'!$C$7="Disable",1,IF('Reverse Search'!$D$11="Disable",1,IF('Reverse Search'!$E$11="Neutral to:",IF(ROUND(T343*U343,2)&lt;=1,1,0),IF(ROUND(T343*U343,2)&lt;1,1,0))))</f>
        <v>1</v>
      </c>
      <c r="W343" s="0" t="n">
        <f aca="false">IF('Reverse Search'!$N$7="Disable",1,IF('Reverse Search'!$I$9="Disable",1,IF('Reverse Search'!$K$9="≥",IF(J343&gt;='Reverse Search'!$L$9,1,0),IF('Reverse Search'!$K$9="≤",IF(J343&lt;='Reverse Search'!$L$9,1,0),IF(J343='Reverse Search'!$L$9,1,0)))))</f>
        <v>1</v>
      </c>
      <c r="X343" s="0" t="n">
        <f aca="false">IF('Reverse Search'!$N$7="Disable",1,IF('Reverse Search'!$I$10="Disable",1,IF('Reverse Search'!$K$10="≥",IF(K343&gt;='Reverse Search'!$L$10,1,0),IF('Reverse Search'!$K$10="≤",IF(K343&lt;='Reverse Search'!$L$10,1,0),IF(K343='Reverse Search'!$L$10,1,0)))))</f>
        <v>1</v>
      </c>
      <c r="Y343" s="367" t="n">
        <f aca="false">IF('Reverse Search'!$N$7="Disable",1,IF('Reverse Search'!$I$11="Disable",1,IF('Reverse Search'!$K$11="≥",IF(L343&gt;='Reverse Search'!$L$11,1,0),IF('Reverse Search'!$K$11="≤",IF(L343&lt;='Reverse Search'!$L$11,1,0),IF(L343='Reverse Search'!$L$11,1,0)))))</f>
        <v>1</v>
      </c>
      <c r="Z343" s="0" t="n">
        <f aca="true">IF('Reverse Search'!$C$14="Disable",1,IF('Reverse Search'!$D$16="Disable",1,IF($C$2=3,IF($M343=0,0,COUNTIF(INDIRECT("'0.0.2 Pokémon Learnset (Core)'!$D$"&amp;MATCH($E343,'0.0.2 Pokémon Learnset (Core)'!$A$1:$A951,0)&amp;":$FK$"&amp;MATCH($E343,'0.0.2 Pokémon Learnset (Core)'!$A$1:$A951,0)),'Reverse Search'!$E$21)),IF($C$2=2,COUNTIF(INDIRECT("'0.1.1 Pokémon GO Moves'!$B$"&amp;MATCH($E343,'0.1.1 Pokémon GO Moves'!$A$1:$A951,0)&amp;":$R$"&amp;MATCH($E343,'0.1.1 Pokémon GO Moves'!$A$1:$A951,0)),'Reverse Search'!$E$21),COUNTIF(INDIRECT("'0.1.1 Pokémon GO Moves'!$B$"&amp;MATCH($E343,'0.1.1 Pokémon GO Moves'!$A$1:$A951,0)&amp;":$L$"&amp;MATCH($E343,'0.1.1 Pokémon GO Moves'!$A$1:$A951,0)),'Reverse Search'!$E$21)))))</f>
        <v>1</v>
      </c>
      <c r="AA343" s="0" t="n">
        <f aca="true">IF('Reverse Search'!$C$14="Disable",1,IF('Reverse Search'!$I$16="Disable",1,IF($D$2=3,IF($M343=0,0,COUNTIF(INDIRECT("'0.0.2 Pokémon Learnset (Core)'!$D$"&amp;MATCH($E343,'0.0.2 Pokémon Learnset (Core)'!$A$1:$A951,0)&amp;":$FK$"&amp;MATCH($E343,'0.0.2 Pokémon Learnset (Core)'!$A$1:$A951,0)),'Reverse Search'!$J$21)),IF($D$2=2,COUNTIF(INDIRECT("'0.1.1 Pokémon GO Moves'!$B$"&amp;MATCH($E343,'0.1.1 Pokémon GO Moves'!$A$1:$A951,0)&amp;":$R$"&amp;MATCH($E343,'0.1.1 Pokémon GO Moves'!$A$1:$A951,0)),'Reverse Search'!$J$21),COUNTIF(INDIRECT("'0.1.1 Pokémon GO Moves'!$B$"&amp;MATCH($E343,'0.1.1 Pokémon GO Moves'!$A$1:$A951,0)&amp;":$L$"&amp;MATCH($E343,'0.1.1 Pokémon GO Moves'!$A$1:$A951,0)),'Reverse Search'!$J$21)))))</f>
        <v>0</v>
      </c>
      <c r="AB343" s="490"/>
      <c r="AC343" s="260" t="n">
        <f aca="false">IF((Q343+R343+S343+V343+W343+X343+Y343+IF(Z343&gt;=1,1,0)+IF(AA343&gt;=1,1,0))=9,G343&amp;", ",)</f>
        <v>0</v>
      </c>
    </row>
    <row r="344" customFormat="false" ht="15.75" hidden="false" customHeight="false" outlineLevel="0" collapsed="false">
      <c r="A344" s="260"/>
      <c r="B344" s="358"/>
      <c r="C344" s="260"/>
      <c r="D344" s="358"/>
      <c r="E344" s="260" t="n">
        <v>343</v>
      </c>
      <c r="F344" s="260" t="n">
        <f aca="false" t="array" ref="F344:F344">INDEX('0.0.1 Pokémon Dex Data'!$H$3:$H951,MATCH(E344,'0.0.1 Pokémon Dex Data'!$B$3:$B951,0))</f>
        <v>0</v>
      </c>
      <c r="G344" s="0" t="str">
        <f aca="false" t="array" ref="G344:G344">INDEX('0.0.1 Pokémon Dex Data'!$E$3:$E951,MATCH(E344,'0.0.1 Pokémon Dex Data'!$B$3:$B951,0))</f>
        <v>Skitty</v>
      </c>
      <c r="H344" s="0" t="str">
        <f aca="false" t="array" ref="H344:H344">INDEX('0.0.1 Pokémon Dex Data'!$Q$3:$Q951,MATCH(E344,'0.0.1 Pokémon Dex Data'!$B$3:$B951,0))</f>
        <v>Normal</v>
      </c>
      <c r="I344" s="0" t="n">
        <f aca="false">INDEX('0.0.1 Pokémon Dex Data'!$R$3:$R951,MATCH(E344,'0.0.1 Pokémon Dex Data'!$B$3:$B951,0))</f>
        <v>0</v>
      </c>
      <c r="J344" s="260" t="n">
        <f aca="false" t="array" ref="J344:J344">ROUND(INDEX('0.0.1 Pokémon Dex Data'!$S$3:$S951,MATCH($E344,'0.0.1 Pokémon Dex Data'!$B$3:$B951,0))*INDEX('0.0.1 Pokémon Dex Data'!T$3:T951,MATCH($E344,'0.0.1 Pokémon Dex Data'!$B$3:$B951,0)),0)</f>
        <v>84</v>
      </c>
      <c r="K344" s="260" t="n">
        <f aca="false" t="array" ref="K344:K344">ROUND(INDEX('0.0.1 Pokémon Dex Data'!$S$3:$S951,MATCH($E344,'0.0.1 Pokémon Dex Data'!$B$3:$B951,0))*INDEX('0.0.1 Pokémon Dex Data'!U$3:U951,MATCH($E344,'0.0.1 Pokémon Dex Data'!$B$3:$B951,0)),0)</f>
        <v>79</v>
      </c>
      <c r="L344" s="260" t="n">
        <f aca="false" t="array" ref="L344:L344">ROUND(INDEX('0.0.1 Pokémon Dex Data'!$S$3:$S951,MATCH($E344,'0.0.1 Pokémon Dex Data'!$B$3:$B951,0))*INDEX('0.0.1 Pokémon Dex Data'!V$3:V951,MATCH($E344,'0.0.1 Pokémon Dex Data'!$B$3:$B951,0)),0)</f>
        <v>137</v>
      </c>
      <c r="M344" s="260" t="n">
        <f aca="false" t="array" ref="M344:M344">INDEX('0.0.1 Pokémon Dex Data'!$J$3:$J951,MATCH(E344,'0.0.1 Pokémon Dex Data'!$B$3:$B951,0))</f>
        <v>0</v>
      </c>
      <c r="O344" s="490"/>
      <c r="Q344" s="367" t="n">
        <f aca="false">IF('Reverse Search'!$F$4="All (including temporary formes)",1,IF('Reverse Search'!$F$4="Base Pokémon and permanent formes only",IF(F344&lt;=1,1,0),IF(F344=0,1,0)))</f>
        <v>1</v>
      </c>
      <c r="R344" s="0" t="n">
        <f aca="false">IF('Reverse Search'!$C$7="Disable",1,IF('Reverse Search'!$D$9="Disable",1,IF(OR('Reverse Search'!$F$9=H344,'Reverse Search'!$F$9=I344),1,0)))</f>
        <v>1</v>
      </c>
      <c r="S344" s="0" t="n">
        <f aca="false">IF('Reverse Search'!$C$7="Disable",1,IF('Reverse Search'!$D$10="Disable",1,IF(OR('Reverse Search'!$F$10=H344,'Reverse Search'!$F$10=I344),1,0)))</f>
        <v>1</v>
      </c>
      <c r="T344" s="0" t="n">
        <f aca="false">INDEX($B$4:$B$22,MATCH(H344,$A$4:$A$22,0))</f>
        <v>1</v>
      </c>
      <c r="U344" s="0" t="e">
        <f aca="false">IF(ISBLANK(I344),1,INDEX($B$4:$B$22,MATCH(I344,$A$4:$A$22,0)))</f>
        <v>#N/A</v>
      </c>
      <c r="V344" s="367" t="n">
        <f aca="false">IF('Reverse Search'!$C$7="Disable",1,IF('Reverse Search'!$D$11="Disable",1,IF('Reverse Search'!$E$11="Neutral to:",IF(ROUND(T344*U344,2)&lt;=1,1,0),IF(ROUND(T344*U344,2)&lt;1,1,0))))</f>
        <v>1</v>
      </c>
      <c r="W344" s="0" t="n">
        <f aca="false">IF('Reverse Search'!$N$7="Disable",1,IF('Reverse Search'!$I$9="Disable",1,IF('Reverse Search'!$K$9="≥",IF(J344&gt;='Reverse Search'!$L$9,1,0),IF('Reverse Search'!$K$9="≤",IF(J344&lt;='Reverse Search'!$L$9,1,0),IF(J344='Reverse Search'!$L$9,1,0)))))</f>
        <v>1</v>
      </c>
      <c r="X344" s="0" t="n">
        <f aca="false">IF('Reverse Search'!$N$7="Disable",1,IF('Reverse Search'!$I$10="Disable",1,IF('Reverse Search'!$K$10="≥",IF(K344&gt;='Reverse Search'!$L$10,1,0),IF('Reverse Search'!$K$10="≤",IF(K344&lt;='Reverse Search'!$L$10,1,0),IF(K344='Reverse Search'!$L$10,1,0)))))</f>
        <v>1</v>
      </c>
      <c r="Y344" s="367" t="n">
        <f aca="false">IF('Reverse Search'!$N$7="Disable",1,IF('Reverse Search'!$I$11="Disable",1,IF('Reverse Search'!$K$11="≥",IF(L344&gt;='Reverse Search'!$L$11,1,0),IF('Reverse Search'!$K$11="≤",IF(L344&lt;='Reverse Search'!$L$11,1,0),IF(L344='Reverse Search'!$L$11,1,0)))))</f>
        <v>1</v>
      </c>
      <c r="Z344" s="0" t="n">
        <f aca="true">IF('Reverse Search'!$C$14="Disable",1,IF('Reverse Search'!$D$16="Disable",1,IF($C$2=3,IF($M344=0,0,COUNTIF(INDIRECT("'0.0.2 Pokémon Learnset (Core)'!$D$"&amp;MATCH($E344,'0.0.2 Pokémon Learnset (Core)'!$A$1:$A951,0)&amp;":$FK$"&amp;MATCH($E344,'0.0.2 Pokémon Learnset (Core)'!$A$1:$A951,0)),'Reverse Search'!$E$21)),IF($C$2=2,COUNTIF(INDIRECT("'0.1.1 Pokémon GO Moves'!$B$"&amp;MATCH($E344,'0.1.1 Pokémon GO Moves'!$A$1:$A951,0)&amp;":$R$"&amp;MATCH($E344,'0.1.1 Pokémon GO Moves'!$A$1:$A951,0)),'Reverse Search'!$E$21),COUNTIF(INDIRECT("'0.1.1 Pokémon GO Moves'!$B$"&amp;MATCH($E344,'0.1.1 Pokémon GO Moves'!$A$1:$A951,0)&amp;":$L$"&amp;MATCH($E344,'0.1.1 Pokémon GO Moves'!$A$1:$A951,0)),'Reverse Search'!$E$21)))))</f>
        <v>1</v>
      </c>
      <c r="AA344" s="0" t="n">
        <f aca="true">IF('Reverse Search'!$C$14="Disable",1,IF('Reverse Search'!$I$16="Disable",1,IF($D$2=3,IF($M344=0,0,COUNTIF(INDIRECT("'0.0.2 Pokémon Learnset (Core)'!$D$"&amp;MATCH($E344,'0.0.2 Pokémon Learnset (Core)'!$A$1:$A951,0)&amp;":$FK$"&amp;MATCH($E344,'0.0.2 Pokémon Learnset (Core)'!$A$1:$A951,0)),'Reverse Search'!$J$21)),IF($D$2=2,COUNTIF(INDIRECT("'0.1.1 Pokémon GO Moves'!$B$"&amp;MATCH($E344,'0.1.1 Pokémon GO Moves'!$A$1:$A951,0)&amp;":$R$"&amp;MATCH($E344,'0.1.1 Pokémon GO Moves'!$A$1:$A951,0)),'Reverse Search'!$J$21),COUNTIF(INDIRECT("'0.1.1 Pokémon GO Moves'!$B$"&amp;MATCH($E344,'0.1.1 Pokémon GO Moves'!$A$1:$A951,0)&amp;":$L$"&amp;MATCH($E344,'0.1.1 Pokémon GO Moves'!$A$1:$A951,0)),'Reverse Search'!$J$21)))))</f>
        <v>0</v>
      </c>
      <c r="AB344" s="490"/>
      <c r="AC344" s="260" t="n">
        <f aca="false">IF((Q344+R344+S344+V344+W344+X344+Y344+IF(Z344&gt;=1,1,0)+IF(AA344&gt;=1,1,0))=9,G344&amp;", ",)</f>
        <v>0</v>
      </c>
    </row>
    <row r="345" customFormat="false" ht="15.75" hidden="false" customHeight="false" outlineLevel="0" collapsed="false">
      <c r="A345" s="260"/>
      <c r="B345" s="358"/>
      <c r="C345" s="260"/>
      <c r="D345" s="358"/>
      <c r="E345" s="260" t="n">
        <v>344</v>
      </c>
      <c r="F345" s="260" t="n">
        <f aca="false" t="array" ref="F345:F345">INDEX('0.0.1 Pokémon Dex Data'!$H$3:$H951,MATCH(E345,'0.0.1 Pokémon Dex Data'!$B$3:$B951,0))</f>
        <v>0</v>
      </c>
      <c r="G345" s="0" t="str">
        <f aca="false" t="array" ref="G345:G345">INDEX('0.0.1 Pokémon Dex Data'!$E$3:$E951,MATCH(E345,'0.0.1 Pokémon Dex Data'!$B$3:$B951,0))</f>
        <v>Delcatty</v>
      </c>
      <c r="H345" s="0" t="str">
        <f aca="false" t="array" ref="H345:H345">INDEX('0.0.1 Pokémon Dex Data'!$Q$3:$Q951,MATCH(E345,'0.0.1 Pokémon Dex Data'!$B$3:$B951,0))</f>
        <v>Normal</v>
      </c>
      <c r="I345" s="0" t="n">
        <f aca="false">INDEX('0.0.1 Pokémon Dex Data'!$R$3:$R951,MATCH(E345,'0.0.1 Pokémon Dex Data'!$B$3:$B951,0))</f>
        <v>0</v>
      </c>
      <c r="J345" s="260" t="n">
        <f aca="false" t="array" ref="J345:J345">ROUND(INDEX('0.0.1 Pokémon Dex Data'!$S$3:$S951,MATCH($E345,'0.0.1 Pokémon Dex Data'!$B$3:$B951,0))*INDEX('0.0.1 Pokémon Dex Data'!T$3:T951,MATCH($E345,'0.0.1 Pokémon Dex Data'!$B$3:$B951,0)),0)</f>
        <v>132</v>
      </c>
      <c r="K345" s="260" t="n">
        <f aca="false" t="array" ref="K345:K345">ROUND(INDEX('0.0.1 Pokémon Dex Data'!$S$3:$S951,MATCH($E345,'0.0.1 Pokémon Dex Data'!$B$3:$B951,0))*INDEX('0.0.1 Pokémon Dex Data'!U$3:U951,MATCH($E345,'0.0.1 Pokémon Dex Data'!$B$3:$B951,0)),0)</f>
        <v>127</v>
      </c>
      <c r="L345" s="260" t="n">
        <f aca="false" t="array" ref="L345:L345">ROUND(INDEX('0.0.1 Pokémon Dex Data'!$S$3:$S951,MATCH($E345,'0.0.1 Pokémon Dex Data'!$B$3:$B951,0))*INDEX('0.0.1 Pokémon Dex Data'!V$3:V951,MATCH($E345,'0.0.1 Pokémon Dex Data'!$B$3:$B951,0)),0)</f>
        <v>172</v>
      </c>
      <c r="M345" s="260" t="n">
        <f aca="false" t="array" ref="M345:M345">INDEX('0.0.1 Pokémon Dex Data'!$J$3:$J951,MATCH(E345,'0.0.1 Pokémon Dex Data'!$B$3:$B951,0))</f>
        <v>1</v>
      </c>
      <c r="O345" s="490"/>
      <c r="Q345" s="367" t="n">
        <f aca="false">IF('Reverse Search'!$F$4="All (including temporary formes)",1,IF('Reverse Search'!$F$4="Base Pokémon and permanent formes only",IF(F345&lt;=1,1,0),IF(F345=0,1,0)))</f>
        <v>1</v>
      </c>
      <c r="R345" s="0" t="n">
        <f aca="false">IF('Reverse Search'!$C$7="Disable",1,IF('Reverse Search'!$D$9="Disable",1,IF(OR('Reverse Search'!$F$9=H345,'Reverse Search'!$F$9=I345),1,0)))</f>
        <v>1</v>
      </c>
      <c r="S345" s="0" t="n">
        <f aca="false">IF('Reverse Search'!$C$7="Disable",1,IF('Reverse Search'!$D$10="Disable",1,IF(OR('Reverse Search'!$F$10=H345,'Reverse Search'!$F$10=I345),1,0)))</f>
        <v>1</v>
      </c>
      <c r="T345" s="0" t="n">
        <f aca="false">INDEX($B$4:$B$22,MATCH(H345,$A$4:$A$22,0))</f>
        <v>1</v>
      </c>
      <c r="U345" s="0" t="e">
        <f aca="false">IF(ISBLANK(I345),1,INDEX($B$4:$B$22,MATCH(I345,$A$4:$A$22,0)))</f>
        <v>#N/A</v>
      </c>
      <c r="V345" s="367" t="n">
        <f aca="false">IF('Reverse Search'!$C$7="Disable",1,IF('Reverse Search'!$D$11="Disable",1,IF('Reverse Search'!$E$11="Neutral to:",IF(ROUND(T345*U345,2)&lt;=1,1,0),IF(ROUND(T345*U345,2)&lt;1,1,0))))</f>
        <v>1</v>
      </c>
      <c r="W345" s="0" t="n">
        <f aca="false">IF('Reverse Search'!$N$7="Disable",1,IF('Reverse Search'!$I$9="Disable",1,IF('Reverse Search'!$K$9="≥",IF(J345&gt;='Reverse Search'!$L$9,1,0),IF('Reverse Search'!$K$9="≤",IF(J345&lt;='Reverse Search'!$L$9,1,0),IF(J345='Reverse Search'!$L$9,1,0)))))</f>
        <v>1</v>
      </c>
      <c r="X345" s="0" t="n">
        <f aca="false">IF('Reverse Search'!$N$7="Disable",1,IF('Reverse Search'!$I$10="Disable",1,IF('Reverse Search'!$K$10="≥",IF(K345&gt;='Reverse Search'!$L$10,1,0),IF('Reverse Search'!$K$10="≤",IF(K345&lt;='Reverse Search'!$L$10,1,0),IF(K345='Reverse Search'!$L$10,1,0)))))</f>
        <v>1</v>
      </c>
      <c r="Y345" s="367" t="n">
        <f aca="false">IF('Reverse Search'!$N$7="Disable",1,IF('Reverse Search'!$I$11="Disable",1,IF('Reverse Search'!$K$11="≥",IF(L345&gt;='Reverse Search'!$L$11,1,0),IF('Reverse Search'!$K$11="≤",IF(L345&lt;='Reverse Search'!$L$11,1,0),IF(L345='Reverse Search'!$L$11,1,0)))))</f>
        <v>1</v>
      </c>
      <c r="Z345" s="0" t="n">
        <f aca="true">IF('Reverse Search'!$C$14="Disable",1,IF('Reverse Search'!$D$16="Disable",1,IF($C$2=3,IF($M345=0,0,COUNTIF(INDIRECT("'0.0.2 Pokémon Learnset (Core)'!$D$"&amp;MATCH($E345,'0.0.2 Pokémon Learnset (Core)'!$A$1:$A951,0)&amp;":$FK$"&amp;MATCH($E345,'0.0.2 Pokémon Learnset (Core)'!$A$1:$A951,0)),'Reverse Search'!$E$21)),IF($C$2=2,COUNTIF(INDIRECT("'0.1.1 Pokémon GO Moves'!$B$"&amp;MATCH($E345,'0.1.1 Pokémon GO Moves'!$A$1:$A951,0)&amp;":$R$"&amp;MATCH($E345,'0.1.1 Pokémon GO Moves'!$A$1:$A951,0)),'Reverse Search'!$E$21),COUNTIF(INDIRECT("'0.1.1 Pokémon GO Moves'!$B$"&amp;MATCH($E345,'0.1.1 Pokémon GO Moves'!$A$1:$A951,0)&amp;":$L$"&amp;MATCH($E345,'0.1.1 Pokémon GO Moves'!$A$1:$A951,0)),'Reverse Search'!$E$21)))))</f>
        <v>1</v>
      </c>
      <c r="AA345" s="0" t="n">
        <f aca="true">IF('Reverse Search'!$C$14="Disable",1,IF('Reverse Search'!$I$16="Disable",1,IF($D$2=3,IF($M345=0,0,COUNTIF(INDIRECT("'0.0.2 Pokémon Learnset (Core)'!$D$"&amp;MATCH($E345,'0.0.2 Pokémon Learnset (Core)'!$A$1:$A951,0)&amp;":$FK$"&amp;MATCH($E345,'0.0.2 Pokémon Learnset (Core)'!$A$1:$A951,0)),'Reverse Search'!$J$21)),IF($D$2=2,COUNTIF(INDIRECT("'0.1.1 Pokémon GO Moves'!$B$"&amp;MATCH($E345,'0.1.1 Pokémon GO Moves'!$A$1:$A951,0)&amp;":$R$"&amp;MATCH($E345,'0.1.1 Pokémon GO Moves'!$A$1:$A951,0)),'Reverse Search'!$J$21),COUNTIF(INDIRECT("'0.1.1 Pokémon GO Moves'!$B$"&amp;MATCH($E345,'0.1.1 Pokémon GO Moves'!$A$1:$A951,0)&amp;":$L$"&amp;MATCH($E345,'0.1.1 Pokémon GO Moves'!$A$1:$A951,0)),'Reverse Search'!$J$21)))))</f>
        <v>0</v>
      </c>
      <c r="AB345" s="490"/>
      <c r="AC345" s="260" t="n">
        <f aca="false">IF((Q345+R345+S345+V345+W345+X345+Y345+IF(Z345&gt;=1,1,0)+IF(AA345&gt;=1,1,0))=9,G345&amp;", ",)</f>
        <v>0</v>
      </c>
    </row>
    <row r="346" customFormat="false" ht="15.75" hidden="false" customHeight="false" outlineLevel="0" collapsed="false">
      <c r="A346" s="260"/>
      <c r="B346" s="358"/>
      <c r="C346" s="260"/>
      <c r="D346" s="358"/>
      <c r="E346" s="260" t="n">
        <v>345</v>
      </c>
      <c r="F346" s="260" t="n">
        <f aca="false" t="array" ref="F346:F346">INDEX('0.0.1 Pokémon Dex Data'!$H$3:$H951,MATCH(E346,'0.0.1 Pokémon Dex Data'!$B$3:$B951,0))</f>
        <v>0</v>
      </c>
      <c r="G346" s="0" t="str">
        <f aca="false" t="array" ref="G346:G346">INDEX('0.0.1 Pokémon Dex Data'!$E$3:$E951,MATCH(E346,'0.0.1 Pokémon Dex Data'!$B$3:$B951,0))</f>
        <v>Sableye</v>
      </c>
      <c r="H346" s="0" t="str">
        <f aca="false" t="array" ref="H346:H346">INDEX('0.0.1 Pokémon Dex Data'!$Q$3:$Q951,MATCH(E346,'0.0.1 Pokémon Dex Data'!$B$3:$B951,0))</f>
        <v>Dark</v>
      </c>
      <c r="I346" s="0" t="str">
        <f aca="false" t="array" ref="I346:I346">INDEX('0.0.1 Pokémon Dex Data'!$R$3:$R951,MATCH(E346,'0.0.1 Pokémon Dex Data'!$B$3:$B951,0))</f>
        <v>Ghost</v>
      </c>
      <c r="J346" s="260" t="n">
        <f aca="false" t="array" ref="J346:J346">ROUND(INDEX('0.0.1 Pokémon Dex Data'!$S$3:$S951,MATCH($E346,'0.0.1 Pokémon Dex Data'!$B$3:$B951,0))*INDEX('0.0.1 Pokémon Dex Data'!T$3:T951,MATCH($E346,'0.0.1 Pokémon Dex Data'!$B$3:$B951,0)),0)</f>
        <v>141</v>
      </c>
      <c r="K346" s="260" t="n">
        <f aca="false" t="array" ref="K346:K346">ROUND(INDEX('0.0.1 Pokémon Dex Data'!$S$3:$S951,MATCH($E346,'0.0.1 Pokémon Dex Data'!$B$3:$B951,0))*INDEX('0.0.1 Pokémon Dex Data'!U$3:U951,MATCH($E346,'0.0.1 Pokémon Dex Data'!$B$3:$B951,0)),0)</f>
        <v>136</v>
      </c>
      <c r="L346" s="260" t="n">
        <f aca="false" t="array" ref="L346:L346">ROUND(INDEX('0.0.1 Pokémon Dex Data'!$S$3:$S951,MATCH($E346,'0.0.1 Pokémon Dex Data'!$B$3:$B951,0))*INDEX('0.0.1 Pokémon Dex Data'!V$3:V951,MATCH($E346,'0.0.1 Pokémon Dex Data'!$B$3:$B951,0)),0)</f>
        <v>137</v>
      </c>
      <c r="M346" s="260" t="n">
        <f aca="false" t="array" ref="M346:M346">INDEX('0.0.1 Pokémon Dex Data'!$J$3:$J951,MATCH(E346,'0.0.1 Pokémon Dex Data'!$B$3:$B951,0))</f>
        <v>1</v>
      </c>
      <c r="O346" s="490"/>
      <c r="Q346" s="367" t="n">
        <f aca="false">IF('Reverse Search'!$F$4="All (including temporary formes)",1,IF('Reverse Search'!$F$4="Base Pokémon and permanent formes only",IF(F346&lt;=1,1,0),IF(F346=0,1,0)))</f>
        <v>1</v>
      </c>
      <c r="R346" s="0" t="n">
        <f aca="false">IF('Reverse Search'!$C$7="Disable",1,IF('Reverse Search'!$D$9="Disable",1,IF(OR('Reverse Search'!$F$9=H346,'Reverse Search'!$F$9=I346),1,0)))</f>
        <v>1</v>
      </c>
      <c r="S346" s="0" t="n">
        <f aca="false">IF('Reverse Search'!$C$7="Disable",1,IF('Reverse Search'!$D$10="Disable",1,IF(OR('Reverse Search'!$F$10=H346,'Reverse Search'!$F$10=I346),1,0)))</f>
        <v>1</v>
      </c>
      <c r="T346" s="0" t="n">
        <f aca="false">INDEX($B$4:$B$22,MATCH(H346,$A$4:$A$22,0))</f>
        <v>1</v>
      </c>
      <c r="U346" s="0" t="n">
        <f aca="false">IF(ISBLANK(I346),1,INDEX($B$4:$B$22,MATCH(I346,$A$4:$A$22,0)))</f>
        <v>0.51</v>
      </c>
      <c r="V346" s="367" t="n">
        <f aca="false">IF('Reverse Search'!$C$7="Disable",1,IF('Reverse Search'!$D$11="Disable",1,IF('Reverse Search'!$E$11="Neutral to:",IF(ROUND(T346*U346,2)&lt;=1,1,0),IF(ROUND(T346*U346,2)&lt;1,1,0))))</f>
        <v>1</v>
      </c>
      <c r="W346" s="0" t="n">
        <f aca="false">IF('Reverse Search'!$N$7="Disable",1,IF('Reverse Search'!$I$9="Disable",1,IF('Reverse Search'!$K$9="≥",IF(J346&gt;='Reverse Search'!$L$9,1,0),IF('Reverse Search'!$K$9="≤",IF(J346&lt;='Reverse Search'!$L$9,1,0),IF(J346='Reverse Search'!$L$9,1,0)))))</f>
        <v>1</v>
      </c>
      <c r="X346" s="0" t="n">
        <f aca="false">IF('Reverse Search'!$N$7="Disable",1,IF('Reverse Search'!$I$10="Disable",1,IF('Reverse Search'!$K$10="≥",IF(K346&gt;='Reverse Search'!$L$10,1,0),IF('Reverse Search'!$K$10="≤",IF(K346&lt;='Reverse Search'!$L$10,1,0),IF(K346='Reverse Search'!$L$10,1,0)))))</f>
        <v>1</v>
      </c>
      <c r="Y346" s="367" t="n">
        <f aca="false">IF('Reverse Search'!$N$7="Disable",1,IF('Reverse Search'!$I$11="Disable",1,IF('Reverse Search'!$K$11="≥",IF(L346&gt;='Reverse Search'!$L$11,1,0),IF('Reverse Search'!$K$11="≤",IF(L346&lt;='Reverse Search'!$L$11,1,0),IF(L346='Reverse Search'!$L$11,1,0)))))</f>
        <v>1</v>
      </c>
      <c r="Z346" s="0" t="n">
        <f aca="true">IF('Reverse Search'!$C$14="Disable",1,IF('Reverse Search'!$D$16="Disable",1,IF($C$2=3,IF($M346=0,0,COUNTIF(INDIRECT("'0.0.2 Pokémon Learnset (Core)'!$D$"&amp;MATCH($E346,'0.0.2 Pokémon Learnset (Core)'!$A$1:$A951,0)&amp;":$FK$"&amp;MATCH($E346,'0.0.2 Pokémon Learnset (Core)'!$A$1:$A951,0)),'Reverse Search'!$E$21)),IF($C$2=2,COUNTIF(INDIRECT("'0.1.1 Pokémon GO Moves'!$B$"&amp;MATCH($E346,'0.1.1 Pokémon GO Moves'!$A$1:$A951,0)&amp;":$R$"&amp;MATCH($E346,'0.1.1 Pokémon GO Moves'!$A$1:$A951,0)),'Reverse Search'!$E$21),COUNTIF(INDIRECT("'0.1.1 Pokémon GO Moves'!$B$"&amp;MATCH($E346,'0.1.1 Pokémon GO Moves'!$A$1:$A951,0)&amp;":$L$"&amp;MATCH($E346,'0.1.1 Pokémon GO Moves'!$A$1:$A951,0)),'Reverse Search'!$E$21)))))</f>
        <v>1</v>
      </c>
      <c r="AA346" s="0" t="n">
        <f aca="true">IF('Reverse Search'!$C$14="Disable",1,IF('Reverse Search'!$I$16="Disable",1,IF($D$2=3,IF($M346=0,0,COUNTIF(INDIRECT("'0.0.2 Pokémon Learnset (Core)'!$D$"&amp;MATCH($E346,'0.0.2 Pokémon Learnset (Core)'!$A$1:$A951,0)&amp;":$FK$"&amp;MATCH($E346,'0.0.2 Pokémon Learnset (Core)'!$A$1:$A951,0)),'Reverse Search'!$J$21)),IF($D$2=2,COUNTIF(INDIRECT("'0.1.1 Pokémon GO Moves'!$B$"&amp;MATCH($E346,'0.1.1 Pokémon GO Moves'!$A$1:$A951,0)&amp;":$R$"&amp;MATCH($E346,'0.1.1 Pokémon GO Moves'!$A$1:$A951,0)),'Reverse Search'!$J$21),COUNTIF(INDIRECT("'0.1.1 Pokémon GO Moves'!$B$"&amp;MATCH($E346,'0.1.1 Pokémon GO Moves'!$A$1:$A951,0)&amp;":$L$"&amp;MATCH($E346,'0.1.1 Pokémon GO Moves'!$A$1:$A951,0)),'Reverse Search'!$J$21)))))</f>
        <v>0</v>
      </c>
      <c r="AB346" s="490"/>
      <c r="AC346" s="260" t="n">
        <f aca="false">IF((Q346+R346+S346+V346+W346+X346+Y346+IF(Z346&gt;=1,1,0)+IF(AA346&gt;=1,1,0))=9,G346&amp;", ",)</f>
        <v>0</v>
      </c>
    </row>
    <row r="347" customFormat="false" ht="15.75" hidden="false" customHeight="false" outlineLevel="0" collapsed="false">
      <c r="A347" s="260"/>
      <c r="B347" s="358"/>
      <c r="C347" s="260"/>
      <c r="D347" s="358"/>
      <c r="E347" s="260" t="n">
        <v>346</v>
      </c>
      <c r="F347" s="260" t="n">
        <f aca="false" t="array" ref="F347:F347">INDEX('0.0.1 Pokémon Dex Data'!$H$3:$H951,MATCH(E347,'0.0.1 Pokémon Dex Data'!$B$3:$B951,0))</f>
        <v>2</v>
      </c>
      <c r="G347" s="0" t="str">
        <f aca="false" t="array" ref="G347:G347">INDEX('0.0.1 Pokémon Dex Data'!$E$3:$E951,MATCH(E347,'0.0.1 Pokémon Dex Data'!$B$3:$B951,0))</f>
        <v>Sableye-Mega</v>
      </c>
      <c r="H347" s="0" t="str">
        <f aca="false" t="array" ref="H347:H347">INDEX('0.0.1 Pokémon Dex Data'!$Q$3:$Q951,MATCH(E347,'0.0.1 Pokémon Dex Data'!$B$3:$B951,0))</f>
        <v>Dark</v>
      </c>
      <c r="I347" s="0" t="str">
        <f aca="false" t="array" ref="I347:I347">INDEX('0.0.1 Pokémon Dex Data'!$R$3:$R951,MATCH(E347,'0.0.1 Pokémon Dex Data'!$B$3:$B951,0))</f>
        <v>Ghost</v>
      </c>
      <c r="J347" s="260" t="n">
        <f aca="false" t="array" ref="J347:J347">ROUND(INDEX('0.0.1 Pokémon Dex Data'!$S$3:$S951,MATCH($E347,'0.0.1 Pokémon Dex Data'!$B$3:$B951,0))*INDEX('0.0.1 Pokémon Dex Data'!T$3:T951,MATCH($E347,'0.0.1 Pokémon Dex Data'!$B$3:$B951,0)),0)</f>
        <v>151</v>
      </c>
      <c r="K347" s="260" t="n">
        <f aca="false" t="array" ref="K347:K347">ROUND(INDEX('0.0.1 Pokémon Dex Data'!$S$3:$S951,MATCH($E347,'0.0.1 Pokémon Dex Data'!$B$3:$B951,0))*INDEX('0.0.1 Pokémon Dex Data'!U$3:U951,MATCH($E347,'0.0.1 Pokémon Dex Data'!$B$3:$B951,0)),0)</f>
        <v>216</v>
      </c>
      <c r="L347" s="260" t="n">
        <f aca="false" t="array" ref="L347:L347">ROUND(INDEX('0.0.1 Pokémon Dex Data'!$S$3:$S951,MATCH($E347,'0.0.1 Pokémon Dex Data'!$B$3:$B951,0))*INDEX('0.0.1 Pokémon Dex Data'!V$3:V951,MATCH($E347,'0.0.1 Pokémon Dex Data'!$B$3:$B951,0)),0)</f>
        <v>137</v>
      </c>
      <c r="M347" s="260" t="n">
        <f aca="false" t="array" ref="M347:M347">INDEX('0.0.1 Pokémon Dex Data'!$J$3:$J951,MATCH(E347,'0.0.1 Pokémon Dex Data'!$B$3:$B951,0))</f>
        <v>1</v>
      </c>
      <c r="O347" s="490"/>
      <c r="Q347" s="367" t="n">
        <f aca="false">IF('Reverse Search'!$F$4="All (including temporary formes)",1,IF('Reverse Search'!$F$4="Base Pokémon and permanent formes only",IF(F347&lt;=1,1,0),IF(F347=0,1,0)))</f>
        <v>0</v>
      </c>
      <c r="R347" s="0" t="n">
        <f aca="false">IF('Reverse Search'!$C$7="Disable",1,IF('Reverse Search'!$D$9="Disable",1,IF(OR('Reverse Search'!$F$9=H347,'Reverse Search'!$F$9=I347),1,0)))</f>
        <v>1</v>
      </c>
      <c r="S347" s="0" t="n">
        <f aca="false">IF('Reverse Search'!$C$7="Disable",1,IF('Reverse Search'!$D$10="Disable",1,IF(OR('Reverse Search'!$F$10=H347,'Reverse Search'!$F$10=I347),1,0)))</f>
        <v>1</v>
      </c>
      <c r="T347" s="0" t="n">
        <f aca="false">INDEX($B$4:$B$22,MATCH(H347,$A$4:$A$22,0))</f>
        <v>1</v>
      </c>
      <c r="U347" s="0" t="n">
        <f aca="false">IF(ISBLANK(I347),1,INDEX($B$4:$B$22,MATCH(I347,$A$4:$A$22,0)))</f>
        <v>0.51</v>
      </c>
      <c r="V347" s="367" t="n">
        <f aca="false">IF('Reverse Search'!$C$7="Disable",1,IF('Reverse Search'!$D$11="Disable",1,IF('Reverse Search'!$E$11="Neutral to:",IF(ROUND(T347*U347,2)&lt;=1,1,0),IF(ROUND(T347*U347,2)&lt;1,1,0))))</f>
        <v>1</v>
      </c>
      <c r="W347" s="0" t="n">
        <f aca="false">IF('Reverse Search'!$N$7="Disable",1,IF('Reverse Search'!$I$9="Disable",1,IF('Reverse Search'!$K$9="≥",IF(J347&gt;='Reverse Search'!$L$9,1,0),IF('Reverse Search'!$K$9="≤",IF(J347&lt;='Reverse Search'!$L$9,1,0),IF(J347='Reverse Search'!$L$9,1,0)))))</f>
        <v>1</v>
      </c>
      <c r="X347" s="0" t="n">
        <f aca="false">IF('Reverse Search'!$N$7="Disable",1,IF('Reverse Search'!$I$10="Disable",1,IF('Reverse Search'!$K$10="≥",IF(K347&gt;='Reverse Search'!$L$10,1,0),IF('Reverse Search'!$K$10="≤",IF(K347&lt;='Reverse Search'!$L$10,1,0),IF(K347='Reverse Search'!$L$10,1,0)))))</f>
        <v>1</v>
      </c>
      <c r="Y347" s="367" t="n">
        <f aca="false">IF('Reverse Search'!$N$7="Disable",1,IF('Reverse Search'!$I$11="Disable",1,IF('Reverse Search'!$K$11="≥",IF(L347&gt;='Reverse Search'!$L$11,1,0),IF('Reverse Search'!$K$11="≤",IF(L347&lt;='Reverse Search'!$L$11,1,0),IF(L347='Reverse Search'!$L$11,1,0)))))</f>
        <v>1</v>
      </c>
      <c r="Z347" s="0" t="n">
        <f aca="true">IF('Reverse Search'!$C$14="Disable",1,IF('Reverse Search'!$D$16="Disable",1,IF($C$2=3,IF($M347=0,0,COUNTIF(INDIRECT("'0.0.2 Pokémon Learnset (Core)'!$D$"&amp;MATCH($E347,'0.0.2 Pokémon Learnset (Core)'!$A$1:$A951,0)&amp;":$FK$"&amp;MATCH($E347,'0.0.2 Pokémon Learnset (Core)'!$A$1:$A951,0)),'Reverse Search'!$E$21)),IF($C$2=2,COUNTIF(INDIRECT("'0.1.1 Pokémon GO Moves'!$B$"&amp;MATCH($E347,'0.1.1 Pokémon GO Moves'!$A$1:$A951,0)&amp;":$R$"&amp;MATCH($E347,'0.1.1 Pokémon GO Moves'!$A$1:$A951,0)),'Reverse Search'!$E$21),COUNTIF(INDIRECT("'0.1.1 Pokémon GO Moves'!$B$"&amp;MATCH($E347,'0.1.1 Pokémon GO Moves'!$A$1:$A951,0)&amp;":$L$"&amp;MATCH($E347,'0.1.1 Pokémon GO Moves'!$A$1:$A951,0)),'Reverse Search'!$E$21)))))</f>
        <v>1</v>
      </c>
      <c r="AA347" s="0" t="e">
        <f aca="true">IF('Reverse Search'!$C$14="Disable",1,IF('Reverse Search'!$I$16="Disable",1,IF($D$2=3,IF($M347=0,0,COUNTIF(INDIRECT("'0.0.2 Pokémon Learnset (Core)'!$D$"&amp;MATCH($E347,'0.0.2 Pokémon Learnset (Core)'!$A$1:$A951,0)&amp;":$FK$"&amp;MATCH($E347,'0.0.2 Pokémon Learnset (Core)'!$A$1:$A951,0)),'Reverse Search'!$J$21)),IF($D$2=2,COUNTIF(INDIRECT("'0.1.1 Pokémon GO Moves'!$B$"&amp;MATCH($E347,'0.1.1 Pokémon GO Moves'!$A$1:$A951,0)&amp;":$R$"&amp;MATCH($E347,'0.1.1 Pokémon GO Moves'!$A$1:$A951,0)),'Reverse Search'!$J$21),COUNTIF(INDIRECT("'0.1.1 Pokémon GO Moves'!$B$"&amp;MATCH($E347,'0.1.1 Pokémon GO Moves'!$A$1:$A951,0)&amp;":$L$"&amp;MATCH($E347,'0.1.1 Pokémon GO Moves'!$A$1:$A951,0)),'Reverse Search'!$J$21)))))</f>
        <v>#N/A</v>
      </c>
      <c r="AB347" s="490"/>
      <c r="AC347" s="260" t="e">
        <f aca="false">IF((Q347+R347+S347+V347+W347+X347+Y347+IF(Z347&gt;=1,1,0)+IF(AA347&gt;=1,1,0))=9,G347&amp;", ",)</f>
        <v>#N/A</v>
      </c>
    </row>
    <row r="348" customFormat="false" ht="15.75" hidden="false" customHeight="false" outlineLevel="0" collapsed="false">
      <c r="A348" s="260"/>
      <c r="B348" s="358"/>
      <c r="C348" s="260"/>
      <c r="D348" s="358"/>
      <c r="E348" s="260" t="n">
        <v>347</v>
      </c>
      <c r="F348" s="260" t="n">
        <f aca="false" t="array" ref="F348:F348">INDEX('0.0.1 Pokémon Dex Data'!$H$3:$H951,MATCH(E348,'0.0.1 Pokémon Dex Data'!$B$3:$B951,0))</f>
        <v>0</v>
      </c>
      <c r="G348" s="0" t="str">
        <f aca="false" t="array" ref="G348:G348">INDEX('0.0.1 Pokémon Dex Data'!$E$3:$E951,MATCH(E348,'0.0.1 Pokémon Dex Data'!$B$3:$B951,0))</f>
        <v>Mawile</v>
      </c>
      <c r="H348" s="0" t="str">
        <f aca="false" t="array" ref="H348:H348">INDEX('0.0.1 Pokémon Dex Data'!$Q$3:$Q951,MATCH(E348,'0.0.1 Pokémon Dex Data'!$B$3:$B951,0))</f>
        <v>Steel</v>
      </c>
      <c r="I348" s="0" t="str">
        <f aca="false" t="array" ref="I348:I348">INDEX('0.0.1 Pokémon Dex Data'!$R$3:$R951,MATCH(E348,'0.0.1 Pokémon Dex Data'!$B$3:$B951,0))</f>
        <v>Fairy</v>
      </c>
      <c r="J348" s="260" t="n">
        <f aca="false" t="array" ref="J348:J348">ROUND(INDEX('0.0.1 Pokémon Dex Data'!$S$3:$S951,MATCH($E348,'0.0.1 Pokémon Dex Data'!$B$3:$B951,0))*INDEX('0.0.1 Pokémon Dex Data'!T$3:T951,MATCH($E348,'0.0.1 Pokémon Dex Data'!$B$3:$B951,0)),0)</f>
        <v>155</v>
      </c>
      <c r="K348" s="260" t="n">
        <f aca="false" t="array" ref="K348:K348">ROUND(INDEX('0.0.1 Pokémon Dex Data'!$S$3:$S951,MATCH($E348,'0.0.1 Pokémon Dex Data'!$B$3:$B951,0))*INDEX('0.0.1 Pokémon Dex Data'!U$3:U951,MATCH($E348,'0.0.1 Pokémon Dex Data'!$B$3:$B951,0)),0)</f>
        <v>141</v>
      </c>
      <c r="L348" s="260" t="n">
        <f aca="false" t="array" ref="L348:L348">ROUND(INDEX('0.0.1 Pokémon Dex Data'!$S$3:$S951,MATCH($E348,'0.0.1 Pokémon Dex Data'!$B$3:$B951,0))*INDEX('0.0.1 Pokémon Dex Data'!V$3:V951,MATCH($E348,'0.0.1 Pokémon Dex Data'!$B$3:$B951,0)),0)</f>
        <v>137</v>
      </c>
      <c r="M348" s="260" t="n">
        <f aca="false" t="array" ref="M348:M348">INDEX('0.0.1 Pokémon Dex Data'!$J$3:$J951,MATCH(E348,'0.0.1 Pokémon Dex Data'!$B$3:$B951,0))</f>
        <v>1</v>
      </c>
      <c r="O348" s="490"/>
      <c r="Q348" s="367" t="n">
        <f aca="false">IF('Reverse Search'!$F$4="All (including temporary formes)",1,IF('Reverse Search'!$F$4="Base Pokémon and permanent formes only",IF(F348&lt;=1,1,0),IF(F348=0,1,0)))</f>
        <v>1</v>
      </c>
      <c r="R348" s="0" t="n">
        <f aca="false">IF('Reverse Search'!$C$7="Disable",1,IF('Reverse Search'!$D$9="Disable",1,IF(OR('Reverse Search'!$F$9=H348,'Reverse Search'!$F$9=I348),1,0)))</f>
        <v>1</v>
      </c>
      <c r="S348" s="0" t="n">
        <f aca="false">IF('Reverse Search'!$C$7="Disable",1,IF('Reverse Search'!$D$10="Disable",1,IF(OR('Reverse Search'!$F$10=H348,'Reverse Search'!$F$10=I348),1,0)))</f>
        <v>1</v>
      </c>
      <c r="T348" s="0" t="n">
        <f aca="false">INDEX($B$4:$B$22,MATCH(H348,$A$4:$A$22,0))</f>
        <v>0.714</v>
      </c>
      <c r="U348" s="0" t="n">
        <f aca="false">IF(ISBLANK(I348),1,INDEX($B$4:$B$22,MATCH(I348,$A$4:$A$22,0)))</f>
        <v>1</v>
      </c>
      <c r="V348" s="367" t="n">
        <f aca="false">IF('Reverse Search'!$C$7="Disable",1,IF('Reverse Search'!$D$11="Disable",1,IF('Reverse Search'!$E$11="Neutral to:",IF(ROUND(T348*U348,2)&lt;=1,1,0),IF(ROUND(T348*U348,2)&lt;1,1,0))))</f>
        <v>1</v>
      </c>
      <c r="W348" s="0" t="n">
        <f aca="false">IF('Reverse Search'!$N$7="Disable",1,IF('Reverse Search'!$I$9="Disable",1,IF('Reverse Search'!$K$9="≥",IF(J348&gt;='Reverse Search'!$L$9,1,0),IF('Reverse Search'!$K$9="≤",IF(J348&lt;='Reverse Search'!$L$9,1,0),IF(J348='Reverse Search'!$L$9,1,0)))))</f>
        <v>1</v>
      </c>
      <c r="X348" s="0" t="n">
        <f aca="false">IF('Reverse Search'!$N$7="Disable",1,IF('Reverse Search'!$I$10="Disable",1,IF('Reverse Search'!$K$10="≥",IF(K348&gt;='Reverse Search'!$L$10,1,0),IF('Reverse Search'!$K$10="≤",IF(K348&lt;='Reverse Search'!$L$10,1,0),IF(K348='Reverse Search'!$L$10,1,0)))))</f>
        <v>1</v>
      </c>
      <c r="Y348" s="367" t="n">
        <f aca="false">IF('Reverse Search'!$N$7="Disable",1,IF('Reverse Search'!$I$11="Disable",1,IF('Reverse Search'!$K$11="≥",IF(L348&gt;='Reverse Search'!$L$11,1,0),IF('Reverse Search'!$K$11="≤",IF(L348&lt;='Reverse Search'!$L$11,1,0),IF(L348='Reverse Search'!$L$11,1,0)))))</f>
        <v>1</v>
      </c>
      <c r="Z348" s="0" t="n">
        <f aca="true">IF('Reverse Search'!$C$14="Disable",1,IF('Reverse Search'!$D$16="Disable",1,IF($C$2=3,IF($M348=0,0,COUNTIF(INDIRECT("'0.0.2 Pokémon Learnset (Core)'!$D$"&amp;MATCH($E348,'0.0.2 Pokémon Learnset (Core)'!$A$1:$A951,0)&amp;":$FK$"&amp;MATCH($E348,'0.0.2 Pokémon Learnset (Core)'!$A$1:$A951,0)),'Reverse Search'!$E$21)),IF($C$2=2,COUNTIF(INDIRECT("'0.1.1 Pokémon GO Moves'!$B$"&amp;MATCH($E348,'0.1.1 Pokémon GO Moves'!$A$1:$A951,0)&amp;":$R$"&amp;MATCH($E348,'0.1.1 Pokémon GO Moves'!$A$1:$A951,0)),'Reverse Search'!$E$21),COUNTIF(INDIRECT("'0.1.1 Pokémon GO Moves'!$B$"&amp;MATCH($E348,'0.1.1 Pokémon GO Moves'!$A$1:$A951,0)&amp;":$L$"&amp;MATCH($E348,'0.1.1 Pokémon GO Moves'!$A$1:$A951,0)),'Reverse Search'!$E$21)))))</f>
        <v>1</v>
      </c>
      <c r="AA348" s="0" t="n">
        <f aca="true">IF('Reverse Search'!$C$14="Disable",1,IF('Reverse Search'!$I$16="Disable",1,IF($D$2=3,IF($M348=0,0,COUNTIF(INDIRECT("'0.0.2 Pokémon Learnset (Core)'!$D$"&amp;MATCH($E348,'0.0.2 Pokémon Learnset (Core)'!$A$1:$A951,0)&amp;":$FK$"&amp;MATCH($E348,'0.0.2 Pokémon Learnset (Core)'!$A$1:$A951,0)),'Reverse Search'!$J$21)),IF($D$2=2,COUNTIF(INDIRECT("'0.1.1 Pokémon GO Moves'!$B$"&amp;MATCH($E348,'0.1.1 Pokémon GO Moves'!$A$1:$A951,0)&amp;":$R$"&amp;MATCH($E348,'0.1.1 Pokémon GO Moves'!$A$1:$A951,0)),'Reverse Search'!$J$21),COUNTIF(INDIRECT("'0.1.1 Pokémon GO Moves'!$B$"&amp;MATCH($E348,'0.1.1 Pokémon GO Moves'!$A$1:$A951,0)&amp;":$L$"&amp;MATCH($E348,'0.1.1 Pokémon GO Moves'!$A$1:$A951,0)),'Reverse Search'!$J$21)))))</f>
        <v>0</v>
      </c>
      <c r="AB348" s="490"/>
      <c r="AC348" s="260" t="n">
        <f aca="false">IF((Q348+R348+S348+V348+W348+X348+Y348+IF(Z348&gt;=1,1,0)+IF(AA348&gt;=1,1,0))=9,G348&amp;", ",)</f>
        <v>0</v>
      </c>
    </row>
    <row r="349" customFormat="false" ht="15.75" hidden="false" customHeight="false" outlineLevel="0" collapsed="false">
      <c r="A349" s="260"/>
      <c r="B349" s="358"/>
      <c r="C349" s="260"/>
      <c r="D349" s="358"/>
      <c r="E349" s="260" t="n">
        <v>348</v>
      </c>
      <c r="F349" s="260" t="n">
        <f aca="false" t="array" ref="F349:F349">INDEX('0.0.1 Pokémon Dex Data'!$H$3:$H951,MATCH(E349,'0.0.1 Pokémon Dex Data'!$B$3:$B951,0))</f>
        <v>2</v>
      </c>
      <c r="G349" s="0" t="str">
        <f aca="false" t="array" ref="G349:G349">INDEX('0.0.1 Pokémon Dex Data'!$E$3:$E951,MATCH(E349,'0.0.1 Pokémon Dex Data'!$B$3:$B951,0))</f>
        <v>Mawile-Mega</v>
      </c>
      <c r="H349" s="0" t="str">
        <f aca="false" t="array" ref="H349:H349">INDEX('0.0.1 Pokémon Dex Data'!$Q$3:$Q951,MATCH(E349,'0.0.1 Pokémon Dex Data'!$B$3:$B951,0))</f>
        <v>Steel</v>
      </c>
      <c r="I349" s="0" t="str">
        <f aca="false" t="array" ref="I349:I349">INDEX('0.0.1 Pokémon Dex Data'!$R$3:$R951,MATCH(E349,'0.0.1 Pokémon Dex Data'!$B$3:$B951,0))</f>
        <v>Fairy</v>
      </c>
      <c r="J349" s="260" t="n">
        <f aca="false" t="array" ref="J349:J349">ROUND(INDEX('0.0.1 Pokémon Dex Data'!$S$3:$S951,MATCH($E349,'0.0.1 Pokémon Dex Data'!$B$3:$B951,0))*INDEX('0.0.1 Pokémon Dex Data'!T$3:T951,MATCH($E349,'0.0.1 Pokémon Dex Data'!$B$3:$B951,0)),0)</f>
        <v>188</v>
      </c>
      <c r="K349" s="260" t="n">
        <f aca="false" t="array" ref="K349:K349">ROUND(INDEX('0.0.1 Pokémon Dex Data'!$S$3:$S951,MATCH($E349,'0.0.1 Pokémon Dex Data'!$B$3:$B951,0))*INDEX('0.0.1 Pokémon Dex Data'!U$3:U951,MATCH($E349,'0.0.1 Pokémon Dex Data'!$B$3:$B951,0)),0)</f>
        <v>217</v>
      </c>
      <c r="L349" s="260" t="n">
        <f aca="false" t="array" ref="L349:L349">ROUND(INDEX('0.0.1 Pokémon Dex Data'!$S$3:$S951,MATCH($E349,'0.0.1 Pokémon Dex Data'!$B$3:$B951,0))*INDEX('0.0.1 Pokémon Dex Data'!V$3:V951,MATCH($E349,'0.0.1 Pokémon Dex Data'!$B$3:$B951,0)),0)</f>
        <v>137</v>
      </c>
      <c r="M349" s="260" t="n">
        <f aca="false" t="array" ref="M349:M349">INDEX('0.0.1 Pokémon Dex Data'!$J$3:$J951,MATCH(E349,'0.0.1 Pokémon Dex Data'!$B$3:$B951,0))</f>
        <v>1</v>
      </c>
      <c r="O349" s="490"/>
      <c r="Q349" s="367" t="n">
        <f aca="false">IF('Reverse Search'!$F$4="All (including temporary formes)",1,IF('Reverse Search'!$F$4="Base Pokémon and permanent formes only",IF(F349&lt;=1,1,0),IF(F349=0,1,0)))</f>
        <v>0</v>
      </c>
      <c r="R349" s="0" t="n">
        <f aca="false">IF('Reverse Search'!$C$7="Disable",1,IF('Reverse Search'!$D$9="Disable",1,IF(OR('Reverse Search'!$F$9=H349,'Reverse Search'!$F$9=I349),1,0)))</f>
        <v>1</v>
      </c>
      <c r="S349" s="0" t="n">
        <f aca="false">IF('Reverse Search'!$C$7="Disable",1,IF('Reverse Search'!$D$10="Disable",1,IF(OR('Reverse Search'!$F$10=H349,'Reverse Search'!$F$10=I349),1,0)))</f>
        <v>1</v>
      </c>
      <c r="T349" s="0" t="n">
        <f aca="false">INDEX($B$4:$B$22,MATCH(H349,$A$4:$A$22,0))</f>
        <v>0.714</v>
      </c>
      <c r="U349" s="0" t="n">
        <f aca="false">IF(ISBLANK(I349),1,INDEX($B$4:$B$22,MATCH(I349,$A$4:$A$22,0)))</f>
        <v>1</v>
      </c>
      <c r="V349" s="367" t="n">
        <f aca="false">IF('Reverse Search'!$C$7="Disable",1,IF('Reverse Search'!$D$11="Disable",1,IF('Reverse Search'!$E$11="Neutral to:",IF(ROUND(T349*U349,2)&lt;=1,1,0),IF(ROUND(T349*U349,2)&lt;1,1,0))))</f>
        <v>1</v>
      </c>
      <c r="W349" s="0" t="n">
        <f aca="false">IF('Reverse Search'!$N$7="Disable",1,IF('Reverse Search'!$I$9="Disable",1,IF('Reverse Search'!$K$9="≥",IF(J349&gt;='Reverse Search'!$L$9,1,0),IF('Reverse Search'!$K$9="≤",IF(J349&lt;='Reverse Search'!$L$9,1,0),IF(J349='Reverse Search'!$L$9,1,0)))))</f>
        <v>1</v>
      </c>
      <c r="X349" s="0" t="n">
        <f aca="false">IF('Reverse Search'!$N$7="Disable",1,IF('Reverse Search'!$I$10="Disable",1,IF('Reverse Search'!$K$10="≥",IF(K349&gt;='Reverse Search'!$L$10,1,0),IF('Reverse Search'!$K$10="≤",IF(K349&lt;='Reverse Search'!$L$10,1,0),IF(K349='Reverse Search'!$L$10,1,0)))))</f>
        <v>1</v>
      </c>
      <c r="Y349" s="367" t="n">
        <f aca="false">IF('Reverse Search'!$N$7="Disable",1,IF('Reverse Search'!$I$11="Disable",1,IF('Reverse Search'!$K$11="≥",IF(L349&gt;='Reverse Search'!$L$11,1,0),IF('Reverse Search'!$K$11="≤",IF(L349&lt;='Reverse Search'!$L$11,1,0),IF(L349='Reverse Search'!$L$11,1,0)))))</f>
        <v>1</v>
      </c>
      <c r="Z349" s="0" t="n">
        <f aca="true">IF('Reverse Search'!$C$14="Disable",1,IF('Reverse Search'!$D$16="Disable",1,IF($C$2=3,IF($M349=0,0,COUNTIF(INDIRECT("'0.0.2 Pokémon Learnset (Core)'!$D$"&amp;MATCH($E349,'0.0.2 Pokémon Learnset (Core)'!$A$1:$A951,0)&amp;":$FK$"&amp;MATCH($E349,'0.0.2 Pokémon Learnset (Core)'!$A$1:$A951,0)),'Reverse Search'!$E$21)),IF($C$2=2,COUNTIF(INDIRECT("'0.1.1 Pokémon GO Moves'!$B$"&amp;MATCH($E349,'0.1.1 Pokémon GO Moves'!$A$1:$A951,0)&amp;":$R$"&amp;MATCH($E349,'0.1.1 Pokémon GO Moves'!$A$1:$A951,0)),'Reverse Search'!$E$21),COUNTIF(INDIRECT("'0.1.1 Pokémon GO Moves'!$B$"&amp;MATCH($E349,'0.1.1 Pokémon GO Moves'!$A$1:$A951,0)&amp;":$L$"&amp;MATCH($E349,'0.1.1 Pokémon GO Moves'!$A$1:$A951,0)),'Reverse Search'!$E$21)))))</f>
        <v>1</v>
      </c>
      <c r="AA349" s="0" t="e">
        <f aca="true">IF('Reverse Search'!$C$14="Disable",1,IF('Reverse Search'!$I$16="Disable",1,IF($D$2=3,IF($M349=0,0,COUNTIF(INDIRECT("'0.0.2 Pokémon Learnset (Core)'!$D$"&amp;MATCH($E349,'0.0.2 Pokémon Learnset (Core)'!$A$1:$A951,0)&amp;":$FK$"&amp;MATCH($E349,'0.0.2 Pokémon Learnset (Core)'!$A$1:$A951,0)),'Reverse Search'!$J$21)),IF($D$2=2,COUNTIF(INDIRECT("'0.1.1 Pokémon GO Moves'!$B$"&amp;MATCH($E349,'0.1.1 Pokémon GO Moves'!$A$1:$A951,0)&amp;":$R$"&amp;MATCH($E349,'0.1.1 Pokémon GO Moves'!$A$1:$A951,0)),'Reverse Search'!$J$21),COUNTIF(INDIRECT("'0.1.1 Pokémon GO Moves'!$B$"&amp;MATCH($E349,'0.1.1 Pokémon GO Moves'!$A$1:$A951,0)&amp;":$L$"&amp;MATCH($E349,'0.1.1 Pokémon GO Moves'!$A$1:$A951,0)),'Reverse Search'!$J$21)))))</f>
        <v>#N/A</v>
      </c>
      <c r="AB349" s="490"/>
      <c r="AC349" s="260" t="e">
        <f aca="false">IF((Q349+R349+S349+V349+W349+X349+Y349+IF(Z349&gt;=1,1,0)+IF(AA349&gt;=1,1,0))=9,G349&amp;", ",)</f>
        <v>#N/A</v>
      </c>
    </row>
    <row r="350" customFormat="false" ht="15.75" hidden="false" customHeight="false" outlineLevel="0" collapsed="false">
      <c r="A350" s="260"/>
      <c r="B350" s="358"/>
      <c r="C350" s="260"/>
      <c r="D350" s="358"/>
      <c r="E350" s="260" t="n">
        <v>349</v>
      </c>
      <c r="F350" s="260" t="n">
        <f aca="false" t="array" ref="F350:F350">INDEX('0.0.1 Pokémon Dex Data'!$H$3:$H951,MATCH(E350,'0.0.1 Pokémon Dex Data'!$B$3:$B951,0))</f>
        <v>0</v>
      </c>
      <c r="G350" s="0" t="str">
        <f aca="false" t="array" ref="G350:G350">INDEX('0.0.1 Pokémon Dex Data'!$E$3:$E951,MATCH(E350,'0.0.1 Pokémon Dex Data'!$B$3:$B951,0))</f>
        <v>Aron</v>
      </c>
      <c r="H350" s="0" t="str">
        <f aca="false" t="array" ref="H350:H350">INDEX('0.0.1 Pokémon Dex Data'!$Q$3:$Q951,MATCH(E350,'0.0.1 Pokémon Dex Data'!$B$3:$B951,0))</f>
        <v>Rock</v>
      </c>
      <c r="I350" s="0" t="str">
        <f aca="false" t="array" ref="I350:I350">INDEX('0.0.1 Pokémon Dex Data'!$R$3:$R951,MATCH(E350,'0.0.1 Pokémon Dex Data'!$B$3:$B951,0))</f>
        <v>Steel</v>
      </c>
      <c r="J350" s="260" t="n">
        <f aca="false" t="array" ref="J350:J350">ROUND(INDEX('0.0.1 Pokémon Dex Data'!$S$3:$S951,MATCH($E350,'0.0.1 Pokémon Dex Data'!$B$3:$B951,0))*INDEX('0.0.1 Pokémon Dex Data'!T$3:T951,MATCH($E350,'0.0.1 Pokémon Dex Data'!$B$3:$B951,0)),0)</f>
        <v>121</v>
      </c>
      <c r="K350" s="260" t="n">
        <f aca="false" t="array" ref="K350:K350">ROUND(INDEX('0.0.1 Pokémon Dex Data'!$S$3:$S951,MATCH($E350,'0.0.1 Pokémon Dex Data'!$B$3:$B951,0))*INDEX('0.0.1 Pokémon Dex Data'!U$3:U951,MATCH($E350,'0.0.1 Pokémon Dex Data'!$B$3:$B951,0)),0)</f>
        <v>141</v>
      </c>
      <c r="L350" s="260" t="n">
        <f aca="false" t="array" ref="L350:L350">ROUND(INDEX('0.0.1 Pokémon Dex Data'!$S$3:$S951,MATCH($E350,'0.0.1 Pokémon Dex Data'!$B$3:$B951,0))*INDEX('0.0.1 Pokémon Dex Data'!V$3:V951,MATCH($E350,'0.0.1 Pokémon Dex Data'!$B$3:$B951,0)),0)</f>
        <v>137</v>
      </c>
      <c r="M350" s="260" t="n">
        <f aca="false" t="array" ref="M350:M350">INDEX('0.0.1 Pokémon Dex Data'!$J$3:$J951,MATCH(E350,'0.0.1 Pokémon Dex Data'!$B$3:$B951,0))</f>
        <v>0</v>
      </c>
      <c r="O350" s="490"/>
      <c r="Q350" s="367" t="n">
        <f aca="false">IF('Reverse Search'!$F$4="All (including temporary formes)",1,IF('Reverse Search'!$F$4="Base Pokémon and permanent formes only",IF(F350&lt;=1,1,0),IF(F350=0,1,0)))</f>
        <v>1</v>
      </c>
      <c r="R350" s="0" t="n">
        <f aca="false">IF('Reverse Search'!$C$7="Disable",1,IF('Reverse Search'!$D$9="Disable",1,IF(OR('Reverse Search'!$F$9=H350,'Reverse Search'!$F$9=I350),1,0)))</f>
        <v>1</v>
      </c>
      <c r="S350" s="0" t="n">
        <f aca="false">IF('Reverse Search'!$C$7="Disable",1,IF('Reverse Search'!$D$10="Disable",1,IF(OR('Reverse Search'!$F$10=H350,'Reverse Search'!$F$10=I350),1,0)))</f>
        <v>1</v>
      </c>
      <c r="T350" s="0" t="n">
        <f aca="false">INDEX($B$4:$B$22,MATCH(H350,$A$4:$A$22,0))</f>
        <v>0.714</v>
      </c>
      <c r="U350" s="0" t="n">
        <f aca="false">IF(ISBLANK(I350),1,INDEX($B$4:$B$22,MATCH(I350,$A$4:$A$22,0)))</f>
        <v>0.714</v>
      </c>
      <c r="V350" s="367" t="n">
        <f aca="false">IF('Reverse Search'!$C$7="Disable",1,IF('Reverse Search'!$D$11="Disable",1,IF('Reverse Search'!$E$11="Neutral to:",IF(ROUND(T350*U350,2)&lt;=1,1,0),IF(ROUND(T350*U350,2)&lt;1,1,0))))</f>
        <v>1</v>
      </c>
      <c r="W350" s="0" t="n">
        <f aca="false">IF('Reverse Search'!$N$7="Disable",1,IF('Reverse Search'!$I$9="Disable",1,IF('Reverse Search'!$K$9="≥",IF(J350&gt;='Reverse Search'!$L$9,1,0),IF('Reverse Search'!$K$9="≤",IF(J350&lt;='Reverse Search'!$L$9,1,0),IF(J350='Reverse Search'!$L$9,1,0)))))</f>
        <v>1</v>
      </c>
      <c r="X350" s="0" t="n">
        <f aca="false">IF('Reverse Search'!$N$7="Disable",1,IF('Reverse Search'!$I$10="Disable",1,IF('Reverse Search'!$K$10="≥",IF(K350&gt;='Reverse Search'!$L$10,1,0),IF('Reverse Search'!$K$10="≤",IF(K350&lt;='Reverse Search'!$L$10,1,0),IF(K350='Reverse Search'!$L$10,1,0)))))</f>
        <v>1</v>
      </c>
      <c r="Y350" s="367" t="n">
        <f aca="false">IF('Reverse Search'!$N$7="Disable",1,IF('Reverse Search'!$I$11="Disable",1,IF('Reverse Search'!$K$11="≥",IF(L350&gt;='Reverse Search'!$L$11,1,0),IF('Reverse Search'!$K$11="≤",IF(L350&lt;='Reverse Search'!$L$11,1,0),IF(L350='Reverse Search'!$L$11,1,0)))))</f>
        <v>1</v>
      </c>
      <c r="Z350" s="0" t="n">
        <f aca="true">IF('Reverse Search'!$C$14="Disable",1,IF('Reverse Search'!$D$16="Disable",1,IF($C$2=3,IF($M350=0,0,COUNTIF(INDIRECT("'0.0.2 Pokémon Learnset (Core)'!$D$"&amp;MATCH($E350,'0.0.2 Pokémon Learnset (Core)'!$A$1:$A951,0)&amp;":$FK$"&amp;MATCH($E350,'0.0.2 Pokémon Learnset (Core)'!$A$1:$A951,0)),'Reverse Search'!$E$21)),IF($C$2=2,COUNTIF(INDIRECT("'0.1.1 Pokémon GO Moves'!$B$"&amp;MATCH($E350,'0.1.1 Pokémon GO Moves'!$A$1:$A951,0)&amp;":$R$"&amp;MATCH($E350,'0.1.1 Pokémon GO Moves'!$A$1:$A951,0)),'Reverse Search'!$E$21),COUNTIF(INDIRECT("'0.1.1 Pokémon GO Moves'!$B$"&amp;MATCH($E350,'0.1.1 Pokémon GO Moves'!$A$1:$A951,0)&amp;":$L$"&amp;MATCH($E350,'0.1.1 Pokémon GO Moves'!$A$1:$A951,0)),'Reverse Search'!$E$21)))))</f>
        <v>1</v>
      </c>
      <c r="AA350" s="0" t="n">
        <f aca="true">IF('Reverse Search'!$C$14="Disable",1,IF('Reverse Search'!$I$16="Disable",1,IF($D$2=3,IF($M350=0,0,COUNTIF(INDIRECT("'0.0.2 Pokémon Learnset (Core)'!$D$"&amp;MATCH($E350,'0.0.2 Pokémon Learnset (Core)'!$A$1:$A951,0)&amp;":$FK$"&amp;MATCH($E350,'0.0.2 Pokémon Learnset (Core)'!$A$1:$A951,0)),'Reverse Search'!$J$21)),IF($D$2=2,COUNTIF(INDIRECT("'0.1.1 Pokémon GO Moves'!$B$"&amp;MATCH($E350,'0.1.1 Pokémon GO Moves'!$A$1:$A951,0)&amp;":$R$"&amp;MATCH($E350,'0.1.1 Pokémon GO Moves'!$A$1:$A951,0)),'Reverse Search'!$J$21),COUNTIF(INDIRECT("'0.1.1 Pokémon GO Moves'!$B$"&amp;MATCH($E350,'0.1.1 Pokémon GO Moves'!$A$1:$A951,0)&amp;":$L$"&amp;MATCH($E350,'0.1.1 Pokémon GO Moves'!$A$1:$A951,0)),'Reverse Search'!$J$21)))))</f>
        <v>0</v>
      </c>
      <c r="AB350" s="490"/>
      <c r="AC350" s="260" t="n">
        <f aca="false">IF((Q350+R350+S350+V350+W350+X350+Y350+IF(Z350&gt;=1,1,0)+IF(AA350&gt;=1,1,0))=9,G350&amp;", ",)</f>
        <v>0</v>
      </c>
    </row>
    <row r="351" customFormat="false" ht="15.75" hidden="false" customHeight="false" outlineLevel="0" collapsed="false">
      <c r="A351" s="260"/>
      <c r="B351" s="358"/>
      <c r="C351" s="260"/>
      <c r="D351" s="358"/>
      <c r="E351" s="260" t="n">
        <v>350</v>
      </c>
      <c r="F351" s="260" t="n">
        <f aca="false" t="array" ref="F351:F351">INDEX('0.0.1 Pokémon Dex Data'!$H$3:$H951,MATCH(E351,'0.0.1 Pokémon Dex Data'!$B$3:$B951,0))</f>
        <v>0</v>
      </c>
      <c r="G351" s="0" t="str">
        <f aca="false" t="array" ref="G351:G351">INDEX('0.0.1 Pokémon Dex Data'!$E$3:$E951,MATCH(E351,'0.0.1 Pokémon Dex Data'!$B$3:$B951,0))</f>
        <v>Lairon</v>
      </c>
      <c r="H351" s="0" t="str">
        <f aca="false" t="array" ref="H351:H351">INDEX('0.0.1 Pokémon Dex Data'!$Q$3:$Q951,MATCH(E351,'0.0.1 Pokémon Dex Data'!$B$3:$B951,0))</f>
        <v>Rock</v>
      </c>
      <c r="I351" s="0" t="str">
        <f aca="false" t="array" ref="I351:I351">INDEX('0.0.1 Pokémon Dex Data'!$R$3:$R951,MATCH(E351,'0.0.1 Pokémon Dex Data'!$B$3:$B951,0))</f>
        <v>Steel</v>
      </c>
      <c r="J351" s="260" t="n">
        <f aca="false" t="array" ref="J351:J351">ROUND(INDEX('0.0.1 Pokémon Dex Data'!$S$3:$S951,MATCH($E351,'0.0.1 Pokémon Dex Data'!$B$3:$B951,0))*INDEX('0.0.1 Pokémon Dex Data'!T$3:T951,MATCH($E351,'0.0.1 Pokémon Dex Data'!$B$3:$B951,0)),0)</f>
        <v>158</v>
      </c>
      <c r="K351" s="260" t="n">
        <f aca="false" t="array" ref="K351:K351">ROUND(INDEX('0.0.1 Pokémon Dex Data'!$S$3:$S951,MATCH($E351,'0.0.1 Pokémon Dex Data'!$B$3:$B951,0))*INDEX('0.0.1 Pokémon Dex Data'!U$3:U951,MATCH($E351,'0.0.1 Pokémon Dex Data'!$B$3:$B951,0)),0)</f>
        <v>198</v>
      </c>
      <c r="L351" s="260" t="n">
        <f aca="false" t="array" ref="L351:L351">ROUND(INDEX('0.0.1 Pokémon Dex Data'!$S$3:$S951,MATCH($E351,'0.0.1 Pokémon Dex Data'!$B$3:$B951,0))*INDEX('0.0.1 Pokémon Dex Data'!V$3:V951,MATCH($E351,'0.0.1 Pokémon Dex Data'!$B$3:$B951,0)),0)</f>
        <v>155</v>
      </c>
      <c r="M351" s="260" t="n">
        <f aca="false" t="array" ref="M351:M351">INDEX('0.0.1 Pokémon Dex Data'!$J$3:$J951,MATCH(E351,'0.0.1 Pokémon Dex Data'!$B$3:$B951,0))</f>
        <v>0</v>
      </c>
      <c r="O351" s="490"/>
      <c r="Q351" s="367" t="n">
        <f aca="false">IF('Reverse Search'!$F$4="All (including temporary formes)",1,IF('Reverse Search'!$F$4="Base Pokémon and permanent formes only",IF(F351&lt;=1,1,0),IF(F351=0,1,0)))</f>
        <v>1</v>
      </c>
      <c r="R351" s="0" t="n">
        <f aca="false">IF('Reverse Search'!$C$7="Disable",1,IF('Reverse Search'!$D$9="Disable",1,IF(OR('Reverse Search'!$F$9=H351,'Reverse Search'!$F$9=I351),1,0)))</f>
        <v>1</v>
      </c>
      <c r="S351" s="0" t="n">
        <f aca="false">IF('Reverse Search'!$C$7="Disable",1,IF('Reverse Search'!$D$10="Disable",1,IF(OR('Reverse Search'!$F$10=H351,'Reverse Search'!$F$10=I351),1,0)))</f>
        <v>1</v>
      </c>
      <c r="T351" s="0" t="n">
        <f aca="false">INDEX($B$4:$B$22,MATCH(H351,$A$4:$A$22,0))</f>
        <v>0.714</v>
      </c>
      <c r="U351" s="0" t="n">
        <f aca="false">IF(ISBLANK(I351),1,INDEX($B$4:$B$22,MATCH(I351,$A$4:$A$22,0)))</f>
        <v>0.714</v>
      </c>
      <c r="V351" s="367" t="n">
        <f aca="false">IF('Reverse Search'!$C$7="Disable",1,IF('Reverse Search'!$D$11="Disable",1,IF('Reverse Search'!$E$11="Neutral to:",IF(ROUND(T351*U351,2)&lt;=1,1,0),IF(ROUND(T351*U351,2)&lt;1,1,0))))</f>
        <v>1</v>
      </c>
      <c r="W351" s="0" t="n">
        <f aca="false">IF('Reverse Search'!$N$7="Disable",1,IF('Reverse Search'!$I$9="Disable",1,IF('Reverse Search'!$K$9="≥",IF(J351&gt;='Reverse Search'!$L$9,1,0),IF('Reverse Search'!$K$9="≤",IF(J351&lt;='Reverse Search'!$L$9,1,0),IF(J351='Reverse Search'!$L$9,1,0)))))</f>
        <v>1</v>
      </c>
      <c r="X351" s="0" t="n">
        <f aca="false">IF('Reverse Search'!$N$7="Disable",1,IF('Reverse Search'!$I$10="Disable",1,IF('Reverse Search'!$K$10="≥",IF(K351&gt;='Reverse Search'!$L$10,1,0),IF('Reverse Search'!$K$10="≤",IF(K351&lt;='Reverse Search'!$L$10,1,0),IF(K351='Reverse Search'!$L$10,1,0)))))</f>
        <v>1</v>
      </c>
      <c r="Y351" s="367" t="n">
        <f aca="false">IF('Reverse Search'!$N$7="Disable",1,IF('Reverse Search'!$I$11="Disable",1,IF('Reverse Search'!$K$11="≥",IF(L351&gt;='Reverse Search'!$L$11,1,0),IF('Reverse Search'!$K$11="≤",IF(L351&lt;='Reverse Search'!$L$11,1,0),IF(L351='Reverse Search'!$L$11,1,0)))))</f>
        <v>1</v>
      </c>
      <c r="Z351" s="0" t="n">
        <f aca="true">IF('Reverse Search'!$C$14="Disable",1,IF('Reverse Search'!$D$16="Disable",1,IF($C$2=3,IF($M351=0,0,COUNTIF(INDIRECT("'0.0.2 Pokémon Learnset (Core)'!$D$"&amp;MATCH($E351,'0.0.2 Pokémon Learnset (Core)'!$A$1:$A951,0)&amp;":$FK$"&amp;MATCH($E351,'0.0.2 Pokémon Learnset (Core)'!$A$1:$A951,0)),'Reverse Search'!$E$21)),IF($C$2=2,COUNTIF(INDIRECT("'0.1.1 Pokémon GO Moves'!$B$"&amp;MATCH($E351,'0.1.1 Pokémon GO Moves'!$A$1:$A951,0)&amp;":$R$"&amp;MATCH($E351,'0.1.1 Pokémon GO Moves'!$A$1:$A951,0)),'Reverse Search'!$E$21),COUNTIF(INDIRECT("'0.1.1 Pokémon GO Moves'!$B$"&amp;MATCH($E351,'0.1.1 Pokémon GO Moves'!$A$1:$A951,0)&amp;":$L$"&amp;MATCH($E351,'0.1.1 Pokémon GO Moves'!$A$1:$A951,0)),'Reverse Search'!$E$21)))))</f>
        <v>1</v>
      </c>
      <c r="AA351" s="0" t="n">
        <f aca="true">IF('Reverse Search'!$C$14="Disable",1,IF('Reverse Search'!$I$16="Disable",1,IF($D$2=3,IF($M351=0,0,COUNTIF(INDIRECT("'0.0.2 Pokémon Learnset (Core)'!$D$"&amp;MATCH($E351,'0.0.2 Pokémon Learnset (Core)'!$A$1:$A951,0)&amp;":$FK$"&amp;MATCH($E351,'0.0.2 Pokémon Learnset (Core)'!$A$1:$A951,0)),'Reverse Search'!$J$21)),IF($D$2=2,COUNTIF(INDIRECT("'0.1.1 Pokémon GO Moves'!$B$"&amp;MATCH($E351,'0.1.1 Pokémon GO Moves'!$A$1:$A951,0)&amp;":$R$"&amp;MATCH($E351,'0.1.1 Pokémon GO Moves'!$A$1:$A951,0)),'Reverse Search'!$J$21),COUNTIF(INDIRECT("'0.1.1 Pokémon GO Moves'!$B$"&amp;MATCH($E351,'0.1.1 Pokémon GO Moves'!$A$1:$A951,0)&amp;":$L$"&amp;MATCH($E351,'0.1.1 Pokémon GO Moves'!$A$1:$A951,0)),'Reverse Search'!$J$21)))))</f>
        <v>0</v>
      </c>
      <c r="AB351" s="490"/>
      <c r="AC351" s="260" t="n">
        <f aca="false">IF((Q351+R351+S351+V351+W351+X351+Y351+IF(Z351&gt;=1,1,0)+IF(AA351&gt;=1,1,0))=9,G351&amp;", ",)</f>
        <v>0</v>
      </c>
    </row>
    <row r="352" customFormat="false" ht="15.75" hidden="false" customHeight="false" outlineLevel="0" collapsed="false">
      <c r="A352" s="260"/>
      <c r="B352" s="358"/>
      <c r="C352" s="260"/>
      <c r="D352" s="358"/>
      <c r="E352" s="260" t="n">
        <v>351</v>
      </c>
      <c r="F352" s="260" t="n">
        <f aca="false" t="array" ref="F352:F352">INDEX('0.0.1 Pokémon Dex Data'!$H$3:$H951,MATCH(E352,'0.0.1 Pokémon Dex Data'!$B$3:$B951,0))</f>
        <v>0</v>
      </c>
      <c r="G352" s="0" t="str">
        <f aca="false" t="array" ref="G352:G352">INDEX('0.0.1 Pokémon Dex Data'!$E$3:$E951,MATCH(E352,'0.0.1 Pokémon Dex Data'!$B$3:$B951,0))</f>
        <v>Aggron</v>
      </c>
      <c r="H352" s="0" t="str">
        <f aca="false" t="array" ref="H352:H352">INDEX('0.0.1 Pokémon Dex Data'!$Q$3:$Q951,MATCH(E352,'0.0.1 Pokémon Dex Data'!$B$3:$B951,0))</f>
        <v>Rock</v>
      </c>
      <c r="I352" s="0" t="str">
        <f aca="false" t="array" ref="I352:I352">INDEX('0.0.1 Pokémon Dex Data'!$R$3:$R951,MATCH(E352,'0.0.1 Pokémon Dex Data'!$B$3:$B951,0))</f>
        <v>Steel</v>
      </c>
      <c r="J352" s="260" t="n">
        <f aca="false" t="array" ref="J352:J352">ROUND(INDEX('0.0.1 Pokémon Dex Data'!$S$3:$S951,MATCH($E352,'0.0.1 Pokémon Dex Data'!$B$3:$B951,0))*INDEX('0.0.1 Pokémon Dex Data'!T$3:T951,MATCH($E352,'0.0.1 Pokémon Dex Data'!$B$3:$B951,0)),0)</f>
        <v>198</v>
      </c>
      <c r="K352" s="260" t="n">
        <f aca="false" t="array" ref="K352:K352">ROUND(INDEX('0.0.1 Pokémon Dex Data'!$S$3:$S951,MATCH($E352,'0.0.1 Pokémon Dex Data'!$B$3:$B951,0))*INDEX('0.0.1 Pokémon Dex Data'!U$3:U951,MATCH($E352,'0.0.1 Pokémon Dex Data'!$B$3:$B951,0)),0)</f>
        <v>257</v>
      </c>
      <c r="L352" s="260" t="n">
        <f aca="false" t="array" ref="L352:L352">ROUND(INDEX('0.0.1 Pokémon Dex Data'!$S$3:$S951,MATCH($E352,'0.0.1 Pokémon Dex Data'!$B$3:$B951,0))*INDEX('0.0.1 Pokémon Dex Data'!V$3:V951,MATCH($E352,'0.0.1 Pokémon Dex Data'!$B$3:$B951,0)),0)</f>
        <v>172</v>
      </c>
      <c r="M352" s="260" t="n">
        <f aca="false" t="array" ref="M352:M352">INDEX('0.0.1 Pokémon Dex Data'!$J$3:$J951,MATCH(E352,'0.0.1 Pokémon Dex Data'!$B$3:$B951,0))</f>
        <v>1</v>
      </c>
      <c r="O352" s="490"/>
      <c r="Q352" s="367" t="n">
        <f aca="false">IF('Reverse Search'!$F$4="All (including temporary formes)",1,IF('Reverse Search'!$F$4="Base Pokémon and permanent formes only",IF(F352&lt;=1,1,0),IF(F352=0,1,0)))</f>
        <v>1</v>
      </c>
      <c r="R352" s="0" t="n">
        <f aca="false">IF('Reverse Search'!$C$7="Disable",1,IF('Reverse Search'!$D$9="Disable",1,IF(OR('Reverse Search'!$F$9=H352,'Reverse Search'!$F$9=I352),1,0)))</f>
        <v>1</v>
      </c>
      <c r="S352" s="0" t="n">
        <f aca="false">IF('Reverse Search'!$C$7="Disable",1,IF('Reverse Search'!$D$10="Disable",1,IF(OR('Reverse Search'!$F$10=H352,'Reverse Search'!$F$10=I352),1,0)))</f>
        <v>1</v>
      </c>
      <c r="T352" s="0" t="n">
        <f aca="false">INDEX($B$4:$B$22,MATCH(H352,$A$4:$A$22,0))</f>
        <v>0.714</v>
      </c>
      <c r="U352" s="0" t="n">
        <f aca="false">IF(ISBLANK(I352),1,INDEX($B$4:$B$22,MATCH(I352,$A$4:$A$22,0)))</f>
        <v>0.714</v>
      </c>
      <c r="V352" s="367" t="n">
        <f aca="false">IF('Reverse Search'!$C$7="Disable",1,IF('Reverse Search'!$D$11="Disable",1,IF('Reverse Search'!$E$11="Neutral to:",IF(ROUND(T352*U352,2)&lt;=1,1,0),IF(ROUND(T352*U352,2)&lt;1,1,0))))</f>
        <v>1</v>
      </c>
      <c r="W352" s="0" t="n">
        <f aca="false">IF('Reverse Search'!$N$7="Disable",1,IF('Reverse Search'!$I$9="Disable",1,IF('Reverse Search'!$K$9="≥",IF(J352&gt;='Reverse Search'!$L$9,1,0),IF('Reverse Search'!$K$9="≤",IF(J352&lt;='Reverse Search'!$L$9,1,0),IF(J352='Reverse Search'!$L$9,1,0)))))</f>
        <v>1</v>
      </c>
      <c r="X352" s="0" t="n">
        <f aca="false">IF('Reverse Search'!$N$7="Disable",1,IF('Reverse Search'!$I$10="Disable",1,IF('Reverse Search'!$K$10="≥",IF(K352&gt;='Reverse Search'!$L$10,1,0),IF('Reverse Search'!$K$10="≤",IF(K352&lt;='Reverse Search'!$L$10,1,0),IF(K352='Reverse Search'!$L$10,1,0)))))</f>
        <v>1</v>
      </c>
      <c r="Y352" s="367" t="n">
        <f aca="false">IF('Reverse Search'!$N$7="Disable",1,IF('Reverse Search'!$I$11="Disable",1,IF('Reverse Search'!$K$11="≥",IF(L352&gt;='Reverse Search'!$L$11,1,0),IF('Reverse Search'!$K$11="≤",IF(L352&lt;='Reverse Search'!$L$11,1,0),IF(L352='Reverse Search'!$L$11,1,0)))))</f>
        <v>1</v>
      </c>
      <c r="Z352" s="0" t="n">
        <f aca="true">IF('Reverse Search'!$C$14="Disable",1,IF('Reverse Search'!$D$16="Disable",1,IF($C$2=3,IF($M352=0,0,COUNTIF(INDIRECT("'0.0.2 Pokémon Learnset (Core)'!$D$"&amp;MATCH($E352,'0.0.2 Pokémon Learnset (Core)'!$A$1:$A951,0)&amp;":$FK$"&amp;MATCH($E352,'0.0.2 Pokémon Learnset (Core)'!$A$1:$A951,0)),'Reverse Search'!$E$21)),IF($C$2=2,COUNTIF(INDIRECT("'0.1.1 Pokémon GO Moves'!$B$"&amp;MATCH($E352,'0.1.1 Pokémon GO Moves'!$A$1:$A951,0)&amp;":$R$"&amp;MATCH($E352,'0.1.1 Pokémon GO Moves'!$A$1:$A951,0)),'Reverse Search'!$E$21),COUNTIF(INDIRECT("'0.1.1 Pokémon GO Moves'!$B$"&amp;MATCH($E352,'0.1.1 Pokémon GO Moves'!$A$1:$A951,0)&amp;":$L$"&amp;MATCH($E352,'0.1.1 Pokémon GO Moves'!$A$1:$A951,0)),'Reverse Search'!$E$21)))))</f>
        <v>1</v>
      </c>
      <c r="AA352" s="0" t="n">
        <f aca="true">IF('Reverse Search'!$C$14="Disable",1,IF('Reverse Search'!$I$16="Disable",1,IF($D$2=3,IF($M352=0,0,COUNTIF(INDIRECT("'0.0.2 Pokémon Learnset (Core)'!$D$"&amp;MATCH($E352,'0.0.2 Pokémon Learnset (Core)'!$A$1:$A951,0)&amp;":$FK$"&amp;MATCH($E352,'0.0.2 Pokémon Learnset (Core)'!$A$1:$A951,0)),'Reverse Search'!$J$21)),IF($D$2=2,COUNTIF(INDIRECT("'0.1.1 Pokémon GO Moves'!$B$"&amp;MATCH($E352,'0.1.1 Pokémon GO Moves'!$A$1:$A951,0)&amp;":$R$"&amp;MATCH($E352,'0.1.1 Pokémon GO Moves'!$A$1:$A951,0)),'Reverse Search'!$J$21),COUNTIF(INDIRECT("'0.1.1 Pokémon GO Moves'!$B$"&amp;MATCH($E352,'0.1.1 Pokémon GO Moves'!$A$1:$A951,0)&amp;":$L$"&amp;MATCH($E352,'0.1.1 Pokémon GO Moves'!$A$1:$A951,0)),'Reverse Search'!$J$21)))))</f>
        <v>0</v>
      </c>
      <c r="AB352" s="490"/>
      <c r="AC352" s="260" t="n">
        <f aca="false">IF((Q352+R352+S352+V352+W352+X352+Y352+IF(Z352&gt;=1,1,0)+IF(AA352&gt;=1,1,0))=9,G352&amp;", ",)</f>
        <v>0</v>
      </c>
    </row>
    <row r="353" customFormat="false" ht="15.75" hidden="false" customHeight="false" outlineLevel="0" collapsed="false">
      <c r="A353" s="260"/>
      <c r="B353" s="358"/>
      <c r="C353" s="260"/>
      <c r="D353" s="358"/>
      <c r="E353" s="260" t="n">
        <v>352</v>
      </c>
      <c r="F353" s="260" t="n">
        <f aca="false" t="array" ref="F353:F353">INDEX('0.0.1 Pokémon Dex Data'!$H$3:$H951,MATCH(E353,'0.0.1 Pokémon Dex Data'!$B$3:$B951,0))</f>
        <v>2</v>
      </c>
      <c r="G353" s="0" t="str">
        <f aca="false" t="array" ref="G353:G353">INDEX('0.0.1 Pokémon Dex Data'!$E$3:$E951,MATCH(E353,'0.0.1 Pokémon Dex Data'!$B$3:$B951,0))</f>
        <v>Aggron-Mega</v>
      </c>
      <c r="H353" s="0" t="str">
        <f aca="false" t="array" ref="H353:H353">INDEX('0.0.1 Pokémon Dex Data'!$Q$3:$Q951,MATCH(E353,'0.0.1 Pokémon Dex Data'!$B$3:$B951,0))</f>
        <v>Steel</v>
      </c>
      <c r="I353" s="0" t="n">
        <f aca="false">INDEX('0.0.1 Pokémon Dex Data'!$R$3:$R951,MATCH(E353,'0.0.1 Pokémon Dex Data'!$B$3:$B951,0))</f>
        <v>0</v>
      </c>
      <c r="J353" s="260" t="n">
        <f aca="false" t="array" ref="J353:J353">ROUND(INDEX('0.0.1 Pokémon Dex Data'!$S$3:$S951,MATCH($E353,'0.0.1 Pokémon Dex Data'!$B$3:$B951,0))*INDEX('0.0.1 Pokémon Dex Data'!T$3:T951,MATCH($E353,'0.0.1 Pokémon Dex Data'!$B$3:$B951,0)),0)</f>
        <v>247</v>
      </c>
      <c r="K353" s="260" t="n">
        <f aca="false" t="array" ref="K353:K353">ROUND(INDEX('0.0.1 Pokémon Dex Data'!$S$3:$S951,MATCH($E353,'0.0.1 Pokémon Dex Data'!$B$3:$B951,0))*INDEX('0.0.1 Pokémon Dex Data'!U$3:U951,MATCH($E353,'0.0.1 Pokémon Dex Data'!$B$3:$B951,0)),0)</f>
        <v>331</v>
      </c>
      <c r="L353" s="260" t="n">
        <f aca="false" t="array" ref="L353:L353">ROUND(INDEX('0.0.1 Pokémon Dex Data'!$S$3:$S951,MATCH($E353,'0.0.1 Pokémon Dex Data'!$B$3:$B951,0))*INDEX('0.0.1 Pokémon Dex Data'!V$3:V951,MATCH($E353,'0.0.1 Pokémon Dex Data'!$B$3:$B951,0)),0)</f>
        <v>172</v>
      </c>
      <c r="M353" s="260" t="n">
        <f aca="false" t="array" ref="M353:M353">INDEX('0.0.1 Pokémon Dex Data'!$J$3:$J951,MATCH(E353,'0.0.1 Pokémon Dex Data'!$B$3:$B951,0))</f>
        <v>1</v>
      </c>
      <c r="O353" s="490"/>
      <c r="Q353" s="367" t="n">
        <f aca="false">IF('Reverse Search'!$F$4="All (including temporary formes)",1,IF('Reverse Search'!$F$4="Base Pokémon and permanent formes only",IF(F353&lt;=1,1,0),IF(F353=0,1,0)))</f>
        <v>0</v>
      </c>
      <c r="R353" s="0" t="n">
        <f aca="false">IF('Reverse Search'!$C$7="Disable",1,IF('Reverse Search'!$D$9="Disable",1,IF(OR('Reverse Search'!$F$9=H353,'Reverse Search'!$F$9=I353),1,0)))</f>
        <v>1</v>
      </c>
      <c r="S353" s="0" t="n">
        <f aca="false">IF('Reverse Search'!$C$7="Disable",1,IF('Reverse Search'!$D$10="Disable",1,IF(OR('Reverse Search'!$F$10=H353,'Reverse Search'!$F$10=I353),1,0)))</f>
        <v>1</v>
      </c>
      <c r="T353" s="0" t="n">
        <f aca="false">INDEX($B$4:$B$22,MATCH(H353,$A$4:$A$22,0))</f>
        <v>0.714</v>
      </c>
      <c r="U353" s="0" t="e">
        <f aca="false">IF(ISBLANK(I353),1,INDEX($B$4:$B$22,MATCH(I353,$A$4:$A$22,0)))</f>
        <v>#N/A</v>
      </c>
      <c r="V353" s="367" t="n">
        <f aca="false">IF('Reverse Search'!$C$7="Disable",1,IF('Reverse Search'!$D$11="Disable",1,IF('Reverse Search'!$E$11="Neutral to:",IF(ROUND(T353*U353,2)&lt;=1,1,0),IF(ROUND(T353*U353,2)&lt;1,1,0))))</f>
        <v>1</v>
      </c>
      <c r="W353" s="0" t="n">
        <f aca="false">IF('Reverse Search'!$N$7="Disable",1,IF('Reverse Search'!$I$9="Disable",1,IF('Reverse Search'!$K$9="≥",IF(J353&gt;='Reverse Search'!$L$9,1,0),IF('Reverse Search'!$K$9="≤",IF(J353&lt;='Reverse Search'!$L$9,1,0),IF(J353='Reverse Search'!$L$9,1,0)))))</f>
        <v>1</v>
      </c>
      <c r="X353" s="0" t="n">
        <f aca="false">IF('Reverse Search'!$N$7="Disable",1,IF('Reverse Search'!$I$10="Disable",1,IF('Reverse Search'!$K$10="≥",IF(K353&gt;='Reverse Search'!$L$10,1,0),IF('Reverse Search'!$K$10="≤",IF(K353&lt;='Reverse Search'!$L$10,1,0),IF(K353='Reverse Search'!$L$10,1,0)))))</f>
        <v>1</v>
      </c>
      <c r="Y353" s="367" t="n">
        <f aca="false">IF('Reverse Search'!$N$7="Disable",1,IF('Reverse Search'!$I$11="Disable",1,IF('Reverse Search'!$K$11="≥",IF(L353&gt;='Reverse Search'!$L$11,1,0),IF('Reverse Search'!$K$11="≤",IF(L353&lt;='Reverse Search'!$L$11,1,0),IF(L353='Reverse Search'!$L$11,1,0)))))</f>
        <v>1</v>
      </c>
      <c r="Z353" s="0" t="n">
        <f aca="true">IF('Reverse Search'!$C$14="Disable",1,IF('Reverse Search'!$D$16="Disable",1,IF($C$2=3,IF($M353=0,0,COUNTIF(INDIRECT("'0.0.2 Pokémon Learnset (Core)'!$D$"&amp;MATCH($E353,'0.0.2 Pokémon Learnset (Core)'!$A$1:$A951,0)&amp;":$FK$"&amp;MATCH($E353,'0.0.2 Pokémon Learnset (Core)'!$A$1:$A951,0)),'Reverse Search'!$E$21)),IF($C$2=2,COUNTIF(INDIRECT("'0.1.1 Pokémon GO Moves'!$B$"&amp;MATCH($E353,'0.1.1 Pokémon GO Moves'!$A$1:$A951,0)&amp;":$R$"&amp;MATCH($E353,'0.1.1 Pokémon GO Moves'!$A$1:$A951,0)),'Reverse Search'!$E$21),COUNTIF(INDIRECT("'0.1.1 Pokémon GO Moves'!$B$"&amp;MATCH($E353,'0.1.1 Pokémon GO Moves'!$A$1:$A951,0)&amp;":$L$"&amp;MATCH($E353,'0.1.1 Pokémon GO Moves'!$A$1:$A951,0)),'Reverse Search'!$E$21)))))</f>
        <v>1</v>
      </c>
      <c r="AA353" s="0" t="e">
        <f aca="true">IF('Reverse Search'!$C$14="Disable",1,IF('Reverse Search'!$I$16="Disable",1,IF($D$2=3,IF($M353=0,0,COUNTIF(INDIRECT("'0.0.2 Pokémon Learnset (Core)'!$D$"&amp;MATCH($E353,'0.0.2 Pokémon Learnset (Core)'!$A$1:$A951,0)&amp;":$FK$"&amp;MATCH($E353,'0.0.2 Pokémon Learnset (Core)'!$A$1:$A951,0)),'Reverse Search'!$J$21)),IF($D$2=2,COUNTIF(INDIRECT("'0.1.1 Pokémon GO Moves'!$B$"&amp;MATCH($E353,'0.1.1 Pokémon GO Moves'!$A$1:$A951,0)&amp;":$R$"&amp;MATCH($E353,'0.1.1 Pokémon GO Moves'!$A$1:$A951,0)),'Reverse Search'!$J$21),COUNTIF(INDIRECT("'0.1.1 Pokémon GO Moves'!$B$"&amp;MATCH($E353,'0.1.1 Pokémon GO Moves'!$A$1:$A951,0)&amp;":$L$"&amp;MATCH($E353,'0.1.1 Pokémon GO Moves'!$A$1:$A951,0)),'Reverse Search'!$J$21)))))</f>
        <v>#N/A</v>
      </c>
      <c r="AB353" s="490"/>
      <c r="AC353" s="260" t="e">
        <f aca="false">IF((Q353+R353+S353+V353+W353+X353+Y353+IF(Z353&gt;=1,1,0)+IF(AA353&gt;=1,1,0))=9,G353&amp;", ",)</f>
        <v>#N/A</v>
      </c>
    </row>
    <row r="354" customFormat="false" ht="15.75" hidden="false" customHeight="false" outlineLevel="0" collapsed="false">
      <c r="A354" s="260"/>
      <c r="B354" s="358"/>
      <c r="C354" s="260"/>
      <c r="D354" s="358"/>
      <c r="E354" s="260" t="n">
        <v>353</v>
      </c>
      <c r="F354" s="260" t="n">
        <f aca="false" t="array" ref="F354:F354">INDEX('0.0.1 Pokémon Dex Data'!$H$3:$H951,MATCH(E354,'0.0.1 Pokémon Dex Data'!$B$3:$B951,0))</f>
        <v>0</v>
      </c>
      <c r="G354" s="0" t="str">
        <f aca="false" t="array" ref="G354:G354">INDEX('0.0.1 Pokémon Dex Data'!$E$3:$E951,MATCH(E354,'0.0.1 Pokémon Dex Data'!$B$3:$B951,0))</f>
        <v>Meditite</v>
      </c>
      <c r="H354" s="0" t="str">
        <f aca="false" t="array" ref="H354:H354">INDEX('0.0.1 Pokémon Dex Data'!$Q$3:$Q951,MATCH(E354,'0.0.1 Pokémon Dex Data'!$B$3:$B951,0))</f>
        <v>Psychic</v>
      </c>
      <c r="I354" s="0" t="str">
        <f aca="false" t="array" ref="I354:I354">INDEX('0.0.1 Pokémon Dex Data'!$R$3:$R951,MATCH(E354,'0.0.1 Pokémon Dex Data'!$B$3:$B951,0))</f>
        <v>Fighting</v>
      </c>
      <c r="J354" s="260" t="n">
        <f aca="false" t="array" ref="J354:J354">ROUND(INDEX('0.0.1 Pokémon Dex Data'!$S$3:$S951,MATCH($E354,'0.0.1 Pokémon Dex Data'!$B$3:$B951,0))*INDEX('0.0.1 Pokémon Dex Data'!T$3:T951,MATCH($E354,'0.0.1 Pokémon Dex Data'!$B$3:$B951,0)),0)</f>
        <v>78</v>
      </c>
      <c r="K354" s="260" t="n">
        <f aca="false" t="array" ref="K354:K354">ROUND(INDEX('0.0.1 Pokémon Dex Data'!$S$3:$S951,MATCH($E354,'0.0.1 Pokémon Dex Data'!$B$3:$B951,0))*INDEX('0.0.1 Pokémon Dex Data'!U$3:U951,MATCH($E354,'0.0.1 Pokémon Dex Data'!$B$3:$B951,0)),0)</f>
        <v>107</v>
      </c>
      <c r="L354" s="260" t="n">
        <f aca="false" t="array" ref="L354:L354">ROUND(INDEX('0.0.1 Pokémon Dex Data'!$S$3:$S951,MATCH($E354,'0.0.1 Pokémon Dex Data'!$B$3:$B951,0))*INDEX('0.0.1 Pokémon Dex Data'!V$3:V951,MATCH($E354,'0.0.1 Pokémon Dex Data'!$B$3:$B951,0)),0)</f>
        <v>102</v>
      </c>
      <c r="M354" s="260" t="n">
        <f aca="false" t="array" ref="M354:M354">INDEX('0.0.1 Pokémon Dex Data'!$J$3:$J951,MATCH(E354,'0.0.1 Pokémon Dex Data'!$B$3:$B951,0))</f>
        <v>0</v>
      </c>
      <c r="O354" s="490"/>
      <c r="Q354" s="367" t="n">
        <f aca="false">IF('Reverse Search'!$F$4="All (including temporary formes)",1,IF('Reverse Search'!$F$4="Base Pokémon and permanent formes only",IF(F354&lt;=1,1,0),IF(F354=0,1,0)))</f>
        <v>1</v>
      </c>
      <c r="R354" s="0" t="n">
        <f aca="false">IF('Reverse Search'!$C$7="Disable",1,IF('Reverse Search'!$D$9="Disable",1,IF(OR('Reverse Search'!$F$9=H354,'Reverse Search'!$F$9=I354),1,0)))</f>
        <v>1</v>
      </c>
      <c r="S354" s="0" t="n">
        <f aca="false">IF('Reverse Search'!$C$7="Disable",1,IF('Reverse Search'!$D$10="Disable",1,IF(OR('Reverse Search'!$F$10=H354,'Reverse Search'!$F$10=I354),1,0)))</f>
        <v>1</v>
      </c>
      <c r="T354" s="0" t="n">
        <f aca="false">INDEX($B$4:$B$22,MATCH(H354,$A$4:$A$22,0))</f>
        <v>1</v>
      </c>
      <c r="U354" s="0" t="n">
        <f aca="false">IF(ISBLANK(I354),1,INDEX($B$4:$B$22,MATCH(I354,$A$4:$A$22,0)))</f>
        <v>1</v>
      </c>
      <c r="V354" s="367" t="n">
        <f aca="false">IF('Reverse Search'!$C$7="Disable",1,IF('Reverse Search'!$D$11="Disable",1,IF('Reverse Search'!$E$11="Neutral to:",IF(ROUND(T354*U354,2)&lt;=1,1,0),IF(ROUND(T354*U354,2)&lt;1,1,0))))</f>
        <v>1</v>
      </c>
      <c r="W354" s="0" t="n">
        <f aca="false">IF('Reverse Search'!$N$7="Disable",1,IF('Reverse Search'!$I$9="Disable",1,IF('Reverse Search'!$K$9="≥",IF(J354&gt;='Reverse Search'!$L$9,1,0),IF('Reverse Search'!$K$9="≤",IF(J354&lt;='Reverse Search'!$L$9,1,0),IF(J354='Reverse Search'!$L$9,1,0)))))</f>
        <v>1</v>
      </c>
      <c r="X354" s="0" t="n">
        <f aca="false">IF('Reverse Search'!$N$7="Disable",1,IF('Reverse Search'!$I$10="Disable",1,IF('Reverse Search'!$K$10="≥",IF(K354&gt;='Reverse Search'!$L$10,1,0),IF('Reverse Search'!$K$10="≤",IF(K354&lt;='Reverse Search'!$L$10,1,0),IF(K354='Reverse Search'!$L$10,1,0)))))</f>
        <v>1</v>
      </c>
      <c r="Y354" s="367" t="n">
        <f aca="false">IF('Reverse Search'!$N$7="Disable",1,IF('Reverse Search'!$I$11="Disable",1,IF('Reverse Search'!$K$11="≥",IF(L354&gt;='Reverse Search'!$L$11,1,0),IF('Reverse Search'!$K$11="≤",IF(L354&lt;='Reverse Search'!$L$11,1,0),IF(L354='Reverse Search'!$L$11,1,0)))))</f>
        <v>1</v>
      </c>
      <c r="Z354" s="0" t="n">
        <f aca="true">IF('Reverse Search'!$C$14="Disable",1,IF('Reverse Search'!$D$16="Disable",1,IF($C$2=3,IF($M354=0,0,COUNTIF(INDIRECT("'0.0.2 Pokémon Learnset (Core)'!$D$"&amp;MATCH($E354,'0.0.2 Pokémon Learnset (Core)'!$A$1:$A951,0)&amp;":$FK$"&amp;MATCH($E354,'0.0.2 Pokémon Learnset (Core)'!$A$1:$A951,0)),'Reverse Search'!$E$21)),IF($C$2=2,COUNTIF(INDIRECT("'0.1.1 Pokémon GO Moves'!$B$"&amp;MATCH($E354,'0.1.1 Pokémon GO Moves'!$A$1:$A951,0)&amp;":$R$"&amp;MATCH($E354,'0.1.1 Pokémon GO Moves'!$A$1:$A951,0)),'Reverse Search'!$E$21),COUNTIF(INDIRECT("'0.1.1 Pokémon GO Moves'!$B$"&amp;MATCH($E354,'0.1.1 Pokémon GO Moves'!$A$1:$A951,0)&amp;":$L$"&amp;MATCH($E354,'0.1.1 Pokémon GO Moves'!$A$1:$A951,0)),'Reverse Search'!$E$21)))))</f>
        <v>1</v>
      </c>
      <c r="AA354" s="0" t="n">
        <f aca="true">IF('Reverse Search'!$C$14="Disable",1,IF('Reverse Search'!$I$16="Disable",1,IF($D$2=3,IF($M354=0,0,COUNTIF(INDIRECT("'0.0.2 Pokémon Learnset (Core)'!$D$"&amp;MATCH($E354,'0.0.2 Pokémon Learnset (Core)'!$A$1:$A951,0)&amp;":$FK$"&amp;MATCH($E354,'0.0.2 Pokémon Learnset (Core)'!$A$1:$A951,0)),'Reverse Search'!$J$21)),IF($D$2=2,COUNTIF(INDIRECT("'0.1.1 Pokémon GO Moves'!$B$"&amp;MATCH($E354,'0.1.1 Pokémon GO Moves'!$A$1:$A951,0)&amp;":$R$"&amp;MATCH($E354,'0.1.1 Pokémon GO Moves'!$A$1:$A951,0)),'Reverse Search'!$J$21),COUNTIF(INDIRECT("'0.1.1 Pokémon GO Moves'!$B$"&amp;MATCH($E354,'0.1.1 Pokémon GO Moves'!$A$1:$A951,0)&amp;":$L$"&amp;MATCH($E354,'0.1.1 Pokémon GO Moves'!$A$1:$A951,0)),'Reverse Search'!$J$21)))))</f>
        <v>0</v>
      </c>
      <c r="AB354" s="490"/>
      <c r="AC354" s="260" t="n">
        <f aca="false">IF((Q354+R354+S354+V354+W354+X354+Y354+IF(Z354&gt;=1,1,0)+IF(AA354&gt;=1,1,0))=9,G354&amp;", ",)</f>
        <v>0</v>
      </c>
    </row>
    <row r="355" customFormat="false" ht="15.75" hidden="false" customHeight="false" outlineLevel="0" collapsed="false">
      <c r="A355" s="260"/>
      <c r="B355" s="358"/>
      <c r="C355" s="260"/>
      <c r="D355" s="358"/>
      <c r="E355" s="260" t="n">
        <v>354</v>
      </c>
      <c r="F355" s="260" t="n">
        <f aca="false" t="array" ref="F355:F355">INDEX('0.0.1 Pokémon Dex Data'!$H$3:$H951,MATCH(E355,'0.0.1 Pokémon Dex Data'!$B$3:$B951,0))</f>
        <v>0</v>
      </c>
      <c r="G355" s="0" t="str">
        <f aca="false" t="array" ref="G355:G355">INDEX('0.0.1 Pokémon Dex Data'!$E$3:$E951,MATCH(E355,'0.0.1 Pokémon Dex Data'!$B$3:$B951,0))</f>
        <v>Medicham</v>
      </c>
      <c r="H355" s="0" t="str">
        <f aca="false" t="array" ref="H355:H355">INDEX('0.0.1 Pokémon Dex Data'!$Q$3:$Q951,MATCH(E355,'0.0.1 Pokémon Dex Data'!$B$3:$B951,0))</f>
        <v>Psychic</v>
      </c>
      <c r="I355" s="0" t="str">
        <f aca="false" t="array" ref="I355:I355">INDEX('0.0.1 Pokémon Dex Data'!$R$3:$R951,MATCH(E355,'0.0.1 Pokémon Dex Data'!$B$3:$B951,0))</f>
        <v>Fighting</v>
      </c>
      <c r="J355" s="260" t="n">
        <f aca="false" t="array" ref="J355:J355">ROUND(INDEX('0.0.1 Pokémon Dex Data'!$S$3:$S951,MATCH($E355,'0.0.1 Pokémon Dex Data'!$B$3:$B951,0))*INDEX('0.0.1 Pokémon Dex Data'!T$3:T951,MATCH($E355,'0.0.1 Pokémon Dex Data'!$B$3:$B951,0)),0)</f>
        <v>121</v>
      </c>
      <c r="K355" s="260" t="n">
        <f aca="false" t="array" ref="K355:K355">ROUND(INDEX('0.0.1 Pokémon Dex Data'!$S$3:$S951,MATCH($E355,'0.0.1 Pokémon Dex Data'!$B$3:$B951,0))*INDEX('0.0.1 Pokémon Dex Data'!U$3:U951,MATCH($E355,'0.0.1 Pokémon Dex Data'!$B$3:$B951,0)),0)</f>
        <v>152</v>
      </c>
      <c r="L355" s="260" t="n">
        <f aca="false" t="array" ref="L355:L355">ROUND(INDEX('0.0.1 Pokémon Dex Data'!$S$3:$S951,MATCH($E355,'0.0.1 Pokémon Dex Data'!$B$3:$B951,0))*INDEX('0.0.1 Pokémon Dex Data'!V$3:V951,MATCH($E355,'0.0.1 Pokémon Dex Data'!$B$3:$B951,0)),0)</f>
        <v>155</v>
      </c>
      <c r="M355" s="260" t="n">
        <f aca="false" t="array" ref="M355:M355">INDEX('0.0.1 Pokémon Dex Data'!$J$3:$J951,MATCH(E355,'0.0.1 Pokémon Dex Data'!$B$3:$B951,0))</f>
        <v>1</v>
      </c>
      <c r="O355" s="490"/>
      <c r="Q355" s="367" t="n">
        <f aca="false">IF('Reverse Search'!$F$4="All (including temporary formes)",1,IF('Reverse Search'!$F$4="Base Pokémon and permanent formes only",IF(F355&lt;=1,1,0),IF(F355=0,1,0)))</f>
        <v>1</v>
      </c>
      <c r="R355" s="0" t="n">
        <f aca="false">IF('Reverse Search'!$C$7="Disable",1,IF('Reverse Search'!$D$9="Disable",1,IF(OR('Reverse Search'!$F$9=H355,'Reverse Search'!$F$9=I355),1,0)))</f>
        <v>1</v>
      </c>
      <c r="S355" s="0" t="n">
        <f aca="false">IF('Reverse Search'!$C$7="Disable",1,IF('Reverse Search'!$D$10="Disable",1,IF(OR('Reverse Search'!$F$10=H355,'Reverse Search'!$F$10=I355),1,0)))</f>
        <v>1</v>
      </c>
      <c r="T355" s="0" t="n">
        <f aca="false">INDEX($B$4:$B$22,MATCH(H355,$A$4:$A$22,0))</f>
        <v>1</v>
      </c>
      <c r="U355" s="0" t="n">
        <f aca="false">IF(ISBLANK(I355),1,INDEX($B$4:$B$22,MATCH(I355,$A$4:$A$22,0)))</f>
        <v>1</v>
      </c>
      <c r="V355" s="367" t="n">
        <f aca="false">IF('Reverse Search'!$C$7="Disable",1,IF('Reverse Search'!$D$11="Disable",1,IF('Reverse Search'!$E$11="Neutral to:",IF(ROUND(T355*U355,2)&lt;=1,1,0),IF(ROUND(T355*U355,2)&lt;1,1,0))))</f>
        <v>1</v>
      </c>
      <c r="W355" s="0" t="n">
        <f aca="false">IF('Reverse Search'!$N$7="Disable",1,IF('Reverse Search'!$I$9="Disable",1,IF('Reverse Search'!$K$9="≥",IF(J355&gt;='Reverse Search'!$L$9,1,0),IF('Reverse Search'!$K$9="≤",IF(J355&lt;='Reverse Search'!$L$9,1,0),IF(J355='Reverse Search'!$L$9,1,0)))))</f>
        <v>1</v>
      </c>
      <c r="X355" s="0" t="n">
        <f aca="false">IF('Reverse Search'!$N$7="Disable",1,IF('Reverse Search'!$I$10="Disable",1,IF('Reverse Search'!$K$10="≥",IF(K355&gt;='Reverse Search'!$L$10,1,0),IF('Reverse Search'!$K$10="≤",IF(K355&lt;='Reverse Search'!$L$10,1,0),IF(K355='Reverse Search'!$L$10,1,0)))))</f>
        <v>1</v>
      </c>
      <c r="Y355" s="367" t="n">
        <f aca="false">IF('Reverse Search'!$N$7="Disable",1,IF('Reverse Search'!$I$11="Disable",1,IF('Reverse Search'!$K$11="≥",IF(L355&gt;='Reverse Search'!$L$11,1,0),IF('Reverse Search'!$K$11="≤",IF(L355&lt;='Reverse Search'!$L$11,1,0),IF(L355='Reverse Search'!$L$11,1,0)))))</f>
        <v>1</v>
      </c>
      <c r="Z355" s="0" t="n">
        <f aca="true">IF('Reverse Search'!$C$14="Disable",1,IF('Reverse Search'!$D$16="Disable",1,IF($C$2=3,IF($M355=0,0,COUNTIF(INDIRECT("'0.0.2 Pokémon Learnset (Core)'!$D$"&amp;MATCH($E355,'0.0.2 Pokémon Learnset (Core)'!$A$1:$A951,0)&amp;":$FK$"&amp;MATCH($E355,'0.0.2 Pokémon Learnset (Core)'!$A$1:$A951,0)),'Reverse Search'!$E$21)),IF($C$2=2,COUNTIF(INDIRECT("'0.1.1 Pokémon GO Moves'!$B$"&amp;MATCH($E355,'0.1.1 Pokémon GO Moves'!$A$1:$A951,0)&amp;":$R$"&amp;MATCH($E355,'0.1.1 Pokémon GO Moves'!$A$1:$A951,0)),'Reverse Search'!$E$21),COUNTIF(INDIRECT("'0.1.1 Pokémon GO Moves'!$B$"&amp;MATCH($E355,'0.1.1 Pokémon GO Moves'!$A$1:$A951,0)&amp;":$L$"&amp;MATCH($E355,'0.1.1 Pokémon GO Moves'!$A$1:$A951,0)),'Reverse Search'!$E$21)))))</f>
        <v>1</v>
      </c>
      <c r="AA355" s="0" t="n">
        <f aca="true">IF('Reverse Search'!$C$14="Disable",1,IF('Reverse Search'!$I$16="Disable",1,IF($D$2=3,IF($M355=0,0,COUNTIF(INDIRECT("'0.0.2 Pokémon Learnset (Core)'!$D$"&amp;MATCH($E355,'0.0.2 Pokémon Learnset (Core)'!$A$1:$A951,0)&amp;":$FK$"&amp;MATCH($E355,'0.0.2 Pokémon Learnset (Core)'!$A$1:$A951,0)),'Reverse Search'!$J$21)),IF($D$2=2,COUNTIF(INDIRECT("'0.1.1 Pokémon GO Moves'!$B$"&amp;MATCH($E355,'0.1.1 Pokémon GO Moves'!$A$1:$A951,0)&amp;":$R$"&amp;MATCH($E355,'0.1.1 Pokémon GO Moves'!$A$1:$A951,0)),'Reverse Search'!$J$21),COUNTIF(INDIRECT("'0.1.1 Pokémon GO Moves'!$B$"&amp;MATCH($E355,'0.1.1 Pokémon GO Moves'!$A$1:$A951,0)&amp;":$L$"&amp;MATCH($E355,'0.1.1 Pokémon GO Moves'!$A$1:$A951,0)),'Reverse Search'!$J$21)))))</f>
        <v>0</v>
      </c>
      <c r="AB355" s="490"/>
      <c r="AC355" s="260" t="n">
        <f aca="false">IF((Q355+R355+S355+V355+W355+X355+Y355+IF(Z355&gt;=1,1,0)+IF(AA355&gt;=1,1,0))=9,G355&amp;", ",)</f>
        <v>0</v>
      </c>
    </row>
    <row r="356" customFormat="false" ht="15.75" hidden="false" customHeight="false" outlineLevel="0" collapsed="false">
      <c r="A356" s="260"/>
      <c r="B356" s="358"/>
      <c r="C356" s="260"/>
      <c r="D356" s="358"/>
      <c r="E356" s="260" t="n">
        <v>355</v>
      </c>
      <c r="F356" s="260" t="n">
        <f aca="false" t="array" ref="F356:F356">INDEX('0.0.1 Pokémon Dex Data'!$H$3:$H951,MATCH(E356,'0.0.1 Pokémon Dex Data'!$B$3:$B951,0))</f>
        <v>2</v>
      </c>
      <c r="G356" s="0" t="str">
        <f aca="false" t="array" ref="G356:G356">INDEX('0.0.1 Pokémon Dex Data'!$E$3:$E951,MATCH(E356,'0.0.1 Pokémon Dex Data'!$B$3:$B951,0))</f>
        <v>Medicham-Mega</v>
      </c>
      <c r="H356" s="0" t="str">
        <f aca="false" t="array" ref="H356:H356">INDEX('0.0.1 Pokémon Dex Data'!$Q$3:$Q951,MATCH(E356,'0.0.1 Pokémon Dex Data'!$B$3:$B951,0))</f>
        <v>Psychic</v>
      </c>
      <c r="I356" s="0" t="str">
        <f aca="false" t="array" ref="I356:I356">INDEX('0.0.1 Pokémon Dex Data'!$R$3:$R951,MATCH(E356,'0.0.1 Pokémon Dex Data'!$B$3:$B951,0))</f>
        <v>Fighting</v>
      </c>
      <c r="J356" s="260" t="n">
        <f aca="false" t="array" ref="J356:J356">ROUND(INDEX('0.0.1 Pokémon Dex Data'!$S$3:$S951,MATCH($E356,'0.0.1 Pokémon Dex Data'!$B$3:$B951,0))*INDEX('0.0.1 Pokémon Dex Data'!T$3:T951,MATCH($E356,'0.0.1 Pokémon Dex Data'!$B$3:$B951,0)),0)</f>
        <v>205</v>
      </c>
      <c r="K356" s="260" t="n">
        <f aca="false" t="array" ref="K356:K356">ROUND(INDEX('0.0.1 Pokémon Dex Data'!$S$3:$S951,MATCH($E356,'0.0.1 Pokémon Dex Data'!$B$3:$B951,0))*INDEX('0.0.1 Pokémon Dex Data'!U$3:U951,MATCH($E356,'0.0.1 Pokémon Dex Data'!$B$3:$B951,0)),0)</f>
        <v>179</v>
      </c>
      <c r="L356" s="260" t="n">
        <f aca="false" t="array" ref="L356:L356">ROUND(INDEX('0.0.1 Pokémon Dex Data'!$S$3:$S951,MATCH($E356,'0.0.1 Pokémon Dex Data'!$B$3:$B951,0))*INDEX('0.0.1 Pokémon Dex Data'!V$3:V951,MATCH($E356,'0.0.1 Pokémon Dex Data'!$B$3:$B951,0)),0)</f>
        <v>155</v>
      </c>
      <c r="M356" s="260" t="n">
        <f aca="false" t="array" ref="M356:M356">INDEX('0.0.1 Pokémon Dex Data'!$J$3:$J951,MATCH(E356,'0.0.1 Pokémon Dex Data'!$B$3:$B951,0))</f>
        <v>1</v>
      </c>
      <c r="O356" s="490"/>
      <c r="Q356" s="367" t="n">
        <f aca="false">IF('Reverse Search'!$F$4="All (including temporary formes)",1,IF('Reverse Search'!$F$4="Base Pokémon and permanent formes only",IF(F356&lt;=1,1,0),IF(F356=0,1,0)))</f>
        <v>0</v>
      </c>
      <c r="R356" s="0" t="n">
        <f aca="false">IF('Reverse Search'!$C$7="Disable",1,IF('Reverse Search'!$D$9="Disable",1,IF(OR('Reverse Search'!$F$9=H356,'Reverse Search'!$F$9=I356),1,0)))</f>
        <v>1</v>
      </c>
      <c r="S356" s="0" t="n">
        <f aca="false">IF('Reverse Search'!$C$7="Disable",1,IF('Reverse Search'!$D$10="Disable",1,IF(OR('Reverse Search'!$F$10=H356,'Reverse Search'!$F$10=I356),1,0)))</f>
        <v>1</v>
      </c>
      <c r="T356" s="0" t="n">
        <f aca="false">INDEX($B$4:$B$22,MATCH(H356,$A$4:$A$22,0))</f>
        <v>1</v>
      </c>
      <c r="U356" s="0" t="n">
        <f aca="false">IF(ISBLANK(I356),1,INDEX($B$4:$B$22,MATCH(I356,$A$4:$A$22,0)))</f>
        <v>1</v>
      </c>
      <c r="V356" s="367" t="n">
        <f aca="false">IF('Reverse Search'!$C$7="Disable",1,IF('Reverse Search'!$D$11="Disable",1,IF('Reverse Search'!$E$11="Neutral to:",IF(ROUND(T356*U356,2)&lt;=1,1,0),IF(ROUND(T356*U356,2)&lt;1,1,0))))</f>
        <v>1</v>
      </c>
      <c r="W356" s="0" t="n">
        <f aca="false">IF('Reverse Search'!$N$7="Disable",1,IF('Reverse Search'!$I$9="Disable",1,IF('Reverse Search'!$K$9="≥",IF(J356&gt;='Reverse Search'!$L$9,1,0),IF('Reverse Search'!$K$9="≤",IF(J356&lt;='Reverse Search'!$L$9,1,0),IF(J356='Reverse Search'!$L$9,1,0)))))</f>
        <v>1</v>
      </c>
      <c r="X356" s="0" t="n">
        <f aca="false">IF('Reverse Search'!$N$7="Disable",1,IF('Reverse Search'!$I$10="Disable",1,IF('Reverse Search'!$K$10="≥",IF(K356&gt;='Reverse Search'!$L$10,1,0),IF('Reverse Search'!$K$10="≤",IF(K356&lt;='Reverse Search'!$L$10,1,0),IF(K356='Reverse Search'!$L$10,1,0)))))</f>
        <v>1</v>
      </c>
      <c r="Y356" s="367" t="n">
        <f aca="false">IF('Reverse Search'!$N$7="Disable",1,IF('Reverse Search'!$I$11="Disable",1,IF('Reverse Search'!$K$11="≥",IF(L356&gt;='Reverse Search'!$L$11,1,0),IF('Reverse Search'!$K$11="≤",IF(L356&lt;='Reverse Search'!$L$11,1,0),IF(L356='Reverse Search'!$L$11,1,0)))))</f>
        <v>1</v>
      </c>
      <c r="Z356" s="0" t="n">
        <f aca="true">IF('Reverse Search'!$C$14="Disable",1,IF('Reverse Search'!$D$16="Disable",1,IF($C$2=3,IF($M356=0,0,COUNTIF(INDIRECT("'0.0.2 Pokémon Learnset (Core)'!$D$"&amp;MATCH($E356,'0.0.2 Pokémon Learnset (Core)'!$A$1:$A951,0)&amp;":$FK$"&amp;MATCH($E356,'0.0.2 Pokémon Learnset (Core)'!$A$1:$A951,0)),'Reverse Search'!$E$21)),IF($C$2=2,COUNTIF(INDIRECT("'0.1.1 Pokémon GO Moves'!$B$"&amp;MATCH($E356,'0.1.1 Pokémon GO Moves'!$A$1:$A951,0)&amp;":$R$"&amp;MATCH($E356,'0.1.1 Pokémon GO Moves'!$A$1:$A951,0)),'Reverse Search'!$E$21),COUNTIF(INDIRECT("'0.1.1 Pokémon GO Moves'!$B$"&amp;MATCH($E356,'0.1.1 Pokémon GO Moves'!$A$1:$A951,0)&amp;":$L$"&amp;MATCH($E356,'0.1.1 Pokémon GO Moves'!$A$1:$A951,0)),'Reverse Search'!$E$21)))))</f>
        <v>1</v>
      </c>
      <c r="AA356" s="0" t="e">
        <f aca="true">IF('Reverse Search'!$C$14="Disable",1,IF('Reverse Search'!$I$16="Disable",1,IF($D$2=3,IF($M356=0,0,COUNTIF(INDIRECT("'0.0.2 Pokémon Learnset (Core)'!$D$"&amp;MATCH($E356,'0.0.2 Pokémon Learnset (Core)'!$A$1:$A951,0)&amp;":$FK$"&amp;MATCH($E356,'0.0.2 Pokémon Learnset (Core)'!$A$1:$A951,0)),'Reverse Search'!$J$21)),IF($D$2=2,COUNTIF(INDIRECT("'0.1.1 Pokémon GO Moves'!$B$"&amp;MATCH($E356,'0.1.1 Pokémon GO Moves'!$A$1:$A951,0)&amp;":$R$"&amp;MATCH($E356,'0.1.1 Pokémon GO Moves'!$A$1:$A951,0)),'Reverse Search'!$J$21),COUNTIF(INDIRECT("'0.1.1 Pokémon GO Moves'!$B$"&amp;MATCH($E356,'0.1.1 Pokémon GO Moves'!$A$1:$A951,0)&amp;":$L$"&amp;MATCH($E356,'0.1.1 Pokémon GO Moves'!$A$1:$A951,0)),'Reverse Search'!$J$21)))))</f>
        <v>#N/A</v>
      </c>
      <c r="AB356" s="490"/>
      <c r="AC356" s="260" t="e">
        <f aca="false">IF((Q356+R356+S356+V356+W356+X356+Y356+IF(Z356&gt;=1,1,0)+IF(AA356&gt;=1,1,0))=9,G356&amp;", ",)</f>
        <v>#N/A</v>
      </c>
    </row>
    <row r="357" customFormat="false" ht="15.75" hidden="false" customHeight="false" outlineLevel="0" collapsed="false">
      <c r="A357" s="260"/>
      <c r="B357" s="358"/>
      <c r="C357" s="260"/>
      <c r="D357" s="358"/>
      <c r="E357" s="260" t="n">
        <v>356</v>
      </c>
      <c r="F357" s="260" t="n">
        <f aca="false" t="array" ref="F357:F357">INDEX('0.0.1 Pokémon Dex Data'!$H$3:$H951,MATCH(E357,'0.0.1 Pokémon Dex Data'!$B$3:$B951,0))</f>
        <v>0</v>
      </c>
      <c r="G357" s="0" t="str">
        <f aca="false" t="array" ref="G357:G357">INDEX('0.0.1 Pokémon Dex Data'!$E$3:$E951,MATCH(E357,'0.0.1 Pokémon Dex Data'!$B$3:$B951,0))</f>
        <v>Electrike</v>
      </c>
      <c r="H357" s="0" t="str">
        <f aca="false" t="array" ref="H357:H357">INDEX('0.0.1 Pokémon Dex Data'!$Q$3:$Q951,MATCH(E357,'0.0.1 Pokémon Dex Data'!$B$3:$B951,0))</f>
        <v>Electric</v>
      </c>
      <c r="I357" s="0" t="n">
        <f aca="false">INDEX('0.0.1 Pokémon Dex Data'!$R$3:$R951,MATCH(E357,'0.0.1 Pokémon Dex Data'!$B$3:$B951,0))</f>
        <v>0</v>
      </c>
      <c r="J357" s="260" t="n">
        <f aca="false" t="array" ref="J357:J357">ROUND(INDEX('0.0.1 Pokémon Dex Data'!$S$3:$S951,MATCH($E357,'0.0.1 Pokémon Dex Data'!$B$3:$B951,0))*INDEX('0.0.1 Pokémon Dex Data'!T$3:T951,MATCH($E357,'0.0.1 Pokémon Dex Data'!$B$3:$B951,0)),0)</f>
        <v>123</v>
      </c>
      <c r="K357" s="260" t="n">
        <f aca="false" t="array" ref="K357:K357">ROUND(INDEX('0.0.1 Pokémon Dex Data'!$S$3:$S951,MATCH($E357,'0.0.1 Pokémon Dex Data'!$B$3:$B951,0))*INDEX('0.0.1 Pokémon Dex Data'!U$3:U951,MATCH($E357,'0.0.1 Pokémon Dex Data'!$B$3:$B951,0)),0)</f>
        <v>78</v>
      </c>
      <c r="L357" s="260" t="n">
        <f aca="false" t="array" ref="L357:L357">ROUND(INDEX('0.0.1 Pokémon Dex Data'!$S$3:$S951,MATCH($E357,'0.0.1 Pokémon Dex Data'!$B$3:$B951,0))*INDEX('0.0.1 Pokémon Dex Data'!V$3:V951,MATCH($E357,'0.0.1 Pokémon Dex Data'!$B$3:$B951,0)),0)</f>
        <v>120</v>
      </c>
      <c r="M357" s="260" t="n">
        <f aca="false" t="array" ref="M357:M357">INDEX('0.0.1 Pokémon Dex Data'!$J$3:$J951,MATCH(E357,'0.0.1 Pokémon Dex Data'!$B$3:$B951,0))</f>
        <v>0</v>
      </c>
      <c r="O357" s="490"/>
      <c r="Q357" s="367" t="n">
        <f aca="false">IF('Reverse Search'!$F$4="All (including temporary formes)",1,IF('Reverse Search'!$F$4="Base Pokémon and permanent formes only",IF(F357&lt;=1,1,0),IF(F357=0,1,0)))</f>
        <v>1</v>
      </c>
      <c r="R357" s="0" t="n">
        <f aca="false">IF('Reverse Search'!$C$7="Disable",1,IF('Reverse Search'!$D$9="Disable",1,IF(OR('Reverse Search'!$F$9=H357,'Reverse Search'!$F$9=I357),1,0)))</f>
        <v>1</v>
      </c>
      <c r="S357" s="0" t="n">
        <f aca="false">IF('Reverse Search'!$C$7="Disable",1,IF('Reverse Search'!$D$10="Disable",1,IF(OR('Reverse Search'!$F$10=H357,'Reverse Search'!$F$10=I357),1,0)))</f>
        <v>1</v>
      </c>
      <c r="T357" s="0" t="n">
        <f aca="false">INDEX($B$4:$B$22,MATCH(H357,$A$4:$A$22,0))</f>
        <v>1</v>
      </c>
      <c r="U357" s="0" t="e">
        <f aca="false">IF(ISBLANK(I357),1,INDEX($B$4:$B$22,MATCH(I357,$A$4:$A$22,0)))</f>
        <v>#N/A</v>
      </c>
      <c r="V357" s="367" t="n">
        <f aca="false">IF('Reverse Search'!$C$7="Disable",1,IF('Reverse Search'!$D$11="Disable",1,IF('Reverse Search'!$E$11="Neutral to:",IF(ROUND(T357*U357,2)&lt;=1,1,0),IF(ROUND(T357*U357,2)&lt;1,1,0))))</f>
        <v>1</v>
      </c>
      <c r="W357" s="0" t="n">
        <f aca="false">IF('Reverse Search'!$N$7="Disable",1,IF('Reverse Search'!$I$9="Disable",1,IF('Reverse Search'!$K$9="≥",IF(J357&gt;='Reverse Search'!$L$9,1,0),IF('Reverse Search'!$K$9="≤",IF(J357&lt;='Reverse Search'!$L$9,1,0),IF(J357='Reverse Search'!$L$9,1,0)))))</f>
        <v>1</v>
      </c>
      <c r="X357" s="0" t="n">
        <f aca="false">IF('Reverse Search'!$N$7="Disable",1,IF('Reverse Search'!$I$10="Disable",1,IF('Reverse Search'!$K$10="≥",IF(K357&gt;='Reverse Search'!$L$10,1,0),IF('Reverse Search'!$K$10="≤",IF(K357&lt;='Reverse Search'!$L$10,1,0),IF(K357='Reverse Search'!$L$10,1,0)))))</f>
        <v>1</v>
      </c>
      <c r="Y357" s="367" t="n">
        <f aca="false">IF('Reverse Search'!$N$7="Disable",1,IF('Reverse Search'!$I$11="Disable",1,IF('Reverse Search'!$K$11="≥",IF(L357&gt;='Reverse Search'!$L$11,1,0),IF('Reverse Search'!$K$11="≤",IF(L357&lt;='Reverse Search'!$L$11,1,0),IF(L357='Reverse Search'!$L$11,1,0)))))</f>
        <v>1</v>
      </c>
      <c r="Z357" s="0" t="n">
        <f aca="true">IF('Reverse Search'!$C$14="Disable",1,IF('Reverse Search'!$D$16="Disable",1,IF($C$2=3,IF($M357=0,0,COUNTIF(INDIRECT("'0.0.2 Pokémon Learnset (Core)'!$D$"&amp;MATCH($E357,'0.0.2 Pokémon Learnset (Core)'!$A$1:$A951,0)&amp;":$FK$"&amp;MATCH($E357,'0.0.2 Pokémon Learnset (Core)'!$A$1:$A951,0)),'Reverse Search'!$E$21)),IF($C$2=2,COUNTIF(INDIRECT("'0.1.1 Pokémon GO Moves'!$B$"&amp;MATCH($E357,'0.1.1 Pokémon GO Moves'!$A$1:$A951,0)&amp;":$R$"&amp;MATCH($E357,'0.1.1 Pokémon GO Moves'!$A$1:$A951,0)),'Reverse Search'!$E$21),COUNTIF(INDIRECT("'0.1.1 Pokémon GO Moves'!$B$"&amp;MATCH($E357,'0.1.1 Pokémon GO Moves'!$A$1:$A951,0)&amp;":$L$"&amp;MATCH($E357,'0.1.1 Pokémon GO Moves'!$A$1:$A951,0)),'Reverse Search'!$E$21)))))</f>
        <v>1</v>
      </c>
      <c r="AA357" s="0" t="n">
        <f aca="true">IF('Reverse Search'!$C$14="Disable",1,IF('Reverse Search'!$I$16="Disable",1,IF($D$2=3,IF($M357=0,0,COUNTIF(INDIRECT("'0.0.2 Pokémon Learnset (Core)'!$D$"&amp;MATCH($E357,'0.0.2 Pokémon Learnset (Core)'!$A$1:$A951,0)&amp;":$FK$"&amp;MATCH($E357,'0.0.2 Pokémon Learnset (Core)'!$A$1:$A951,0)),'Reverse Search'!$J$21)),IF($D$2=2,COUNTIF(INDIRECT("'0.1.1 Pokémon GO Moves'!$B$"&amp;MATCH($E357,'0.1.1 Pokémon GO Moves'!$A$1:$A951,0)&amp;":$R$"&amp;MATCH($E357,'0.1.1 Pokémon GO Moves'!$A$1:$A951,0)),'Reverse Search'!$J$21),COUNTIF(INDIRECT("'0.1.1 Pokémon GO Moves'!$B$"&amp;MATCH($E357,'0.1.1 Pokémon GO Moves'!$A$1:$A951,0)&amp;":$L$"&amp;MATCH($E357,'0.1.1 Pokémon GO Moves'!$A$1:$A951,0)),'Reverse Search'!$J$21)))))</f>
        <v>0</v>
      </c>
      <c r="AB357" s="490"/>
      <c r="AC357" s="260" t="n">
        <f aca="false">IF((Q357+R357+S357+V357+W357+X357+Y357+IF(Z357&gt;=1,1,0)+IF(AA357&gt;=1,1,0))=9,G357&amp;", ",)</f>
        <v>0</v>
      </c>
    </row>
    <row r="358" customFormat="false" ht="15.75" hidden="false" customHeight="false" outlineLevel="0" collapsed="false">
      <c r="A358" s="260"/>
      <c r="B358" s="358"/>
      <c r="C358" s="260"/>
      <c r="D358" s="358"/>
      <c r="E358" s="260" t="n">
        <v>357</v>
      </c>
      <c r="F358" s="260" t="n">
        <f aca="false" t="array" ref="F358:F358">INDEX('0.0.1 Pokémon Dex Data'!$H$3:$H951,MATCH(E358,'0.0.1 Pokémon Dex Data'!$B$3:$B951,0))</f>
        <v>0</v>
      </c>
      <c r="G358" s="0" t="str">
        <f aca="false" t="array" ref="G358:G358">INDEX('0.0.1 Pokémon Dex Data'!$E$3:$E951,MATCH(E358,'0.0.1 Pokémon Dex Data'!$B$3:$B951,0))</f>
        <v>Manectric</v>
      </c>
      <c r="H358" s="0" t="str">
        <f aca="false" t="array" ref="H358:H358">INDEX('0.0.1 Pokémon Dex Data'!$Q$3:$Q951,MATCH(E358,'0.0.1 Pokémon Dex Data'!$B$3:$B951,0))</f>
        <v>Electric</v>
      </c>
      <c r="I358" s="0" t="n">
        <f aca="false">INDEX('0.0.1 Pokémon Dex Data'!$R$3:$R951,MATCH(E358,'0.0.1 Pokémon Dex Data'!$B$3:$B951,0))</f>
        <v>0</v>
      </c>
      <c r="J358" s="260" t="n">
        <f aca="false" t="array" ref="J358:J358">ROUND(INDEX('0.0.1 Pokémon Dex Data'!$S$3:$S951,MATCH($E358,'0.0.1 Pokémon Dex Data'!$B$3:$B951,0))*INDEX('0.0.1 Pokémon Dex Data'!T$3:T951,MATCH($E358,'0.0.1 Pokémon Dex Data'!$B$3:$B951,0)),0)</f>
        <v>215</v>
      </c>
      <c r="K358" s="260" t="n">
        <f aca="false" t="array" ref="K358:K358">ROUND(INDEX('0.0.1 Pokémon Dex Data'!$S$3:$S951,MATCH($E358,'0.0.1 Pokémon Dex Data'!$B$3:$B951,0))*INDEX('0.0.1 Pokémon Dex Data'!U$3:U951,MATCH($E358,'0.0.1 Pokémon Dex Data'!$B$3:$B951,0)),0)</f>
        <v>127</v>
      </c>
      <c r="L358" s="260" t="n">
        <f aca="false" t="array" ref="L358:L358">ROUND(INDEX('0.0.1 Pokémon Dex Data'!$S$3:$S951,MATCH($E358,'0.0.1 Pokémon Dex Data'!$B$3:$B951,0))*INDEX('0.0.1 Pokémon Dex Data'!V$3:V951,MATCH($E358,'0.0.1 Pokémon Dex Data'!$B$3:$B951,0)),0)</f>
        <v>172</v>
      </c>
      <c r="M358" s="260" t="n">
        <f aca="false" t="array" ref="M358:M358">INDEX('0.0.1 Pokémon Dex Data'!$J$3:$J951,MATCH(E358,'0.0.1 Pokémon Dex Data'!$B$3:$B951,0))</f>
        <v>1</v>
      </c>
      <c r="O358" s="490"/>
      <c r="Q358" s="367" t="n">
        <f aca="false">IF('Reverse Search'!$F$4="All (including temporary formes)",1,IF('Reverse Search'!$F$4="Base Pokémon and permanent formes only",IF(F358&lt;=1,1,0),IF(F358=0,1,0)))</f>
        <v>1</v>
      </c>
      <c r="R358" s="0" t="n">
        <f aca="false">IF('Reverse Search'!$C$7="Disable",1,IF('Reverse Search'!$D$9="Disable",1,IF(OR('Reverse Search'!$F$9=H358,'Reverse Search'!$F$9=I358),1,0)))</f>
        <v>1</v>
      </c>
      <c r="S358" s="0" t="n">
        <f aca="false">IF('Reverse Search'!$C$7="Disable",1,IF('Reverse Search'!$D$10="Disable",1,IF(OR('Reverse Search'!$F$10=H358,'Reverse Search'!$F$10=I358),1,0)))</f>
        <v>1</v>
      </c>
      <c r="T358" s="0" t="n">
        <f aca="false">INDEX($B$4:$B$22,MATCH(H358,$A$4:$A$22,0))</f>
        <v>1</v>
      </c>
      <c r="U358" s="0" t="e">
        <f aca="false">IF(ISBLANK(I358),1,INDEX($B$4:$B$22,MATCH(I358,$A$4:$A$22,0)))</f>
        <v>#N/A</v>
      </c>
      <c r="V358" s="367" t="n">
        <f aca="false">IF('Reverse Search'!$C$7="Disable",1,IF('Reverse Search'!$D$11="Disable",1,IF('Reverse Search'!$E$11="Neutral to:",IF(ROUND(T358*U358,2)&lt;=1,1,0),IF(ROUND(T358*U358,2)&lt;1,1,0))))</f>
        <v>1</v>
      </c>
      <c r="W358" s="0" t="n">
        <f aca="false">IF('Reverse Search'!$N$7="Disable",1,IF('Reverse Search'!$I$9="Disable",1,IF('Reverse Search'!$K$9="≥",IF(J358&gt;='Reverse Search'!$L$9,1,0),IF('Reverse Search'!$K$9="≤",IF(J358&lt;='Reverse Search'!$L$9,1,0),IF(J358='Reverse Search'!$L$9,1,0)))))</f>
        <v>1</v>
      </c>
      <c r="X358" s="0" t="n">
        <f aca="false">IF('Reverse Search'!$N$7="Disable",1,IF('Reverse Search'!$I$10="Disable",1,IF('Reverse Search'!$K$10="≥",IF(K358&gt;='Reverse Search'!$L$10,1,0),IF('Reverse Search'!$K$10="≤",IF(K358&lt;='Reverse Search'!$L$10,1,0),IF(K358='Reverse Search'!$L$10,1,0)))))</f>
        <v>1</v>
      </c>
      <c r="Y358" s="367" t="n">
        <f aca="false">IF('Reverse Search'!$N$7="Disable",1,IF('Reverse Search'!$I$11="Disable",1,IF('Reverse Search'!$K$11="≥",IF(L358&gt;='Reverse Search'!$L$11,1,0),IF('Reverse Search'!$K$11="≤",IF(L358&lt;='Reverse Search'!$L$11,1,0),IF(L358='Reverse Search'!$L$11,1,0)))))</f>
        <v>1</v>
      </c>
      <c r="Z358" s="0" t="n">
        <f aca="true">IF('Reverse Search'!$C$14="Disable",1,IF('Reverse Search'!$D$16="Disable",1,IF($C$2=3,IF($M358=0,0,COUNTIF(INDIRECT("'0.0.2 Pokémon Learnset (Core)'!$D$"&amp;MATCH($E358,'0.0.2 Pokémon Learnset (Core)'!$A$1:$A951,0)&amp;":$FK$"&amp;MATCH($E358,'0.0.2 Pokémon Learnset (Core)'!$A$1:$A951,0)),'Reverse Search'!$E$21)),IF($C$2=2,COUNTIF(INDIRECT("'0.1.1 Pokémon GO Moves'!$B$"&amp;MATCH($E358,'0.1.1 Pokémon GO Moves'!$A$1:$A951,0)&amp;":$R$"&amp;MATCH($E358,'0.1.1 Pokémon GO Moves'!$A$1:$A951,0)),'Reverse Search'!$E$21),COUNTIF(INDIRECT("'0.1.1 Pokémon GO Moves'!$B$"&amp;MATCH($E358,'0.1.1 Pokémon GO Moves'!$A$1:$A951,0)&amp;":$L$"&amp;MATCH($E358,'0.1.1 Pokémon GO Moves'!$A$1:$A951,0)),'Reverse Search'!$E$21)))))</f>
        <v>1</v>
      </c>
      <c r="AA358" s="0" t="n">
        <f aca="true">IF('Reverse Search'!$C$14="Disable",1,IF('Reverse Search'!$I$16="Disable",1,IF($D$2=3,IF($M358=0,0,COUNTIF(INDIRECT("'0.0.2 Pokémon Learnset (Core)'!$D$"&amp;MATCH($E358,'0.0.2 Pokémon Learnset (Core)'!$A$1:$A951,0)&amp;":$FK$"&amp;MATCH($E358,'0.0.2 Pokémon Learnset (Core)'!$A$1:$A951,0)),'Reverse Search'!$J$21)),IF($D$2=2,COUNTIF(INDIRECT("'0.1.1 Pokémon GO Moves'!$B$"&amp;MATCH($E358,'0.1.1 Pokémon GO Moves'!$A$1:$A951,0)&amp;":$R$"&amp;MATCH($E358,'0.1.1 Pokémon GO Moves'!$A$1:$A951,0)),'Reverse Search'!$J$21),COUNTIF(INDIRECT("'0.1.1 Pokémon GO Moves'!$B$"&amp;MATCH($E358,'0.1.1 Pokémon GO Moves'!$A$1:$A951,0)&amp;":$L$"&amp;MATCH($E358,'0.1.1 Pokémon GO Moves'!$A$1:$A951,0)),'Reverse Search'!$J$21)))))</f>
        <v>0</v>
      </c>
      <c r="AB358" s="490"/>
      <c r="AC358" s="260" t="n">
        <f aca="false">IF((Q358+R358+S358+V358+W358+X358+Y358+IF(Z358&gt;=1,1,0)+IF(AA358&gt;=1,1,0))=9,G358&amp;", ",)</f>
        <v>0</v>
      </c>
    </row>
    <row r="359" customFormat="false" ht="15.75" hidden="false" customHeight="false" outlineLevel="0" collapsed="false">
      <c r="A359" s="260"/>
      <c r="B359" s="358"/>
      <c r="C359" s="260"/>
      <c r="D359" s="358"/>
      <c r="E359" s="260" t="n">
        <v>358</v>
      </c>
      <c r="F359" s="260" t="n">
        <f aca="false" t="array" ref="F359:F359">INDEX('0.0.1 Pokémon Dex Data'!$H$3:$H951,MATCH(E359,'0.0.1 Pokémon Dex Data'!$B$3:$B951,0))</f>
        <v>2</v>
      </c>
      <c r="G359" s="0" t="str">
        <f aca="false" t="array" ref="G359:G359">INDEX('0.0.1 Pokémon Dex Data'!$E$3:$E951,MATCH(E359,'0.0.1 Pokémon Dex Data'!$B$3:$B951,0))</f>
        <v>Manectric-Mega</v>
      </c>
      <c r="H359" s="0" t="str">
        <f aca="false" t="array" ref="H359:H359">INDEX('0.0.1 Pokémon Dex Data'!$Q$3:$Q951,MATCH(E359,'0.0.1 Pokémon Dex Data'!$B$3:$B951,0))</f>
        <v>Electric</v>
      </c>
      <c r="I359" s="0" t="n">
        <f aca="false">INDEX('0.0.1 Pokémon Dex Data'!$R$3:$R951,MATCH(E359,'0.0.1 Pokémon Dex Data'!$B$3:$B951,0))</f>
        <v>0</v>
      </c>
      <c r="J359" s="260" t="n">
        <f aca="false" t="array" ref="J359:J359">ROUND(INDEX('0.0.1 Pokémon Dex Data'!$S$3:$S951,MATCH($E359,'0.0.1 Pokémon Dex Data'!$B$3:$B951,0))*INDEX('0.0.1 Pokémon Dex Data'!T$3:T951,MATCH($E359,'0.0.1 Pokémon Dex Data'!$B$3:$B951,0)),0)</f>
        <v>286</v>
      </c>
      <c r="K359" s="260" t="n">
        <f aca="false" t="array" ref="K359:K359">ROUND(INDEX('0.0.1 Pokémon Dex Data'!$S$3:$S951,MATCH($E359,'0.0.1 Pokémon Dex Data'!$B$3:$B951,0))*INDEX('0.0.1 Pokémon Dex Data'!U$3:U951,MATCH($E359,'0.0.1 Pokémon Dex Data'!$B$3:$B951,0)),0)</f>
        <v>179</v>
      </c>
      <c r="L359" s="260" t="n">
        <f aca="false" t="array" ref="L359:L359">ROUND(INDEX('0.0.1 Pokémon Dex Data'!$S$3:$S951,MATCH($E359,'0.0.1 Pokémon Dex Data'!$B$3:$B951,0))*INDEX('0.0.1 Pokémon Dex Data'!V$3:V951,MATCH($E359,'0.0.1 Pokémon Dex Data'!$B$3:$B951,0)),0)</f>
        <v>172</v>
      </c>
      <c r="M359" s="260" t="n">
        <f aca="false" t="array" ref="M359:M359">INDEX('0.0.1 Pokémon Dex Data'!$J$3:$J951,MATCH(E359,'0.0.1 Pokémon Dex Data'!$B$3:$B951,0))</f>
        <v>1</v>
      </c>
      <c r="O359" s="490"/>
      <c r="Q359" s="367" t="n">
        <f aca="false">IF('Reverse Search'!$F$4="All (including temporary formes)",1,IF('Reverse Search'!$F$4="Base Pokémon and permanent formes only",IF(F359&lt;=1,1,0),IF(F359=0,1,0)))</f>
        <v>0</v>
      </c>
      <c r="R359" s="0" t="n">
        <f aca="false">IF('Reverse Search'!$C$7="Disable",1,IF('Reverse Search'!$D$9="Disable",1,IF(OR('Reverse Search'!$F$9=H359,'Reverse Search'!$F$9=I359),1,0)))</f>
        <v>1</v>
      </c>
      <c r="S359" s="0" t="n">
        <f aca="false">IF('Reverse Search'!$C$7="Disable",1,IF('Reverse Search'!$D$10="Disable",1,IF(OR('Reverse Search'!$F$10=H359,'Reverse Search'!$F$10=I359),1,0)))</f>
        <v>1</v>
      </c>
      <c r="T359" s="0" t="n">
        <f aca="false">INDEX($B$4:$B$22,MATCH(H359,$A$4:$A$22,0))</f>
        <v>1</v>
      </c>
      <c r="U359" s="0" t="e">
        <f aca="false">IF(ISBLANK(I359),1,INDEX($B$4:$B$22,MATCH(I359,$A$4:$A$22,0)))</f>
        <v>#N/A</v>
      </c>
      <c r="V359" s="367" t="n">
        <f aca="false">IF('Reverse Search'!$C$7="Disable",1,IF('Reverse Search'!$D$11="Disable",1,IF('Reverse Search'!$E$11="Neutral to:",IF(ROUND(T359*U359,2)&lt;=1,1,0),IF(ROUND(T359*U359,2)&lt;1,1,0))))</f>
        <v>1</v>
      </c>
      <c r="W359" s="0" t="n">
        <f aca="false">IF('Reverse Search'!$N$7="Disable",1,IF('Reverse Search'!$I$9="Disable",1,IF('Reverse Search'!$K$9="≥",IF(J359&gt;='Reverse Search'!$L$9,1,0),IF('Reverse Search'!$K$9="≤",IF(J359&lt;='Reverse Search'!$L$9,1,0),IF(J359='Reverse Search'!$L$9,1,0)))))</f>
        <v>1</v>
      </c>
      <c r="X359" s="0" t="n">
        <f aca="false">IF('Reverse Search'!$N$7="Disable",1,IF('Reverse Search'!$I$10="Disable",1,IF('Reverse Search'!$K$10="≥",IF(K359&gt;='Reverse Search'!$L$10,1,0),IF('Reverse Search'!$K$10="≤",IF(K359&lt;='Reverse Search'!$L$10,1,0),IF(K359='Reverse Search'!$L$10,1,0)))))</f>
        <v>1</v>
      </c>
      <c r="Y359" s="367" t="n">
        <f aca="false">IF('Reverse Search'!$N$7="Disable",1,IF('Reverse Search'!$I$11="Disable",1,IF('Reverse Search'!$K$11="≥",IF(L359&gt;='Reverse Search'!$L$11,1,0),IF('Reverse Search'!$K$11="≤",IF(L359&lt;='Reverse Search'!$L$11,1,0),IF(L359='Reverse Search'!$L$11,1,0)))))</f>
        <v>1</v>
      </c>
      <c r="Z359" s="0" t="n">
        <f aca="true">IF('Reverse Search'!$C$14="Disable",1,IF('Reverse Search'!$D$16="Disable",1,IF($C$2=3,IF($M359=0,0,COUNTIF(INDIRECT("'0.0.2 Pokémon Learnset (Core)'!$D$"&amp;MATCH($E359,'0.0.2 Pokémon Learnset (Core)'!$A$1:$A951,0)&amp;":$FK$"&amp;MATCH($E359,'0.0.2 Pokémon Learnset (Core)'!$A$1:$A951,0)),'Reverse Search'!$E$21)),IF($C$2=2,COUNTIF(INDIRECT("'0.1.1 Pokémon GO Moves'!$B$"&amp;MATCH($E359,'0.1.1 Pokémon GO Moves'!$A$1:$A951,0)&amp;":$R$"&amp;MATCH($E359,'0.1.1 Pokémon GO Moves'!$A$1:$A951,0)),'Reverse Search'!$E$21),COUNTIF(INDIRECT("'0.1.1 Pokémon GO Moves'!$B$"&amp;MATCH($E359,'0.1.1 Pokémon GO Moves'!$A$1:$A951,0)&amp;":$L$"&amp;MATCH($E359,'0.1.1 Pokémon GO Moves'!$A$1:$A951,0)),'Reverse Search'!$E$21)))))</f>
        <v>1</v>
      </c>
      <c r="AA359" s="0" t="e">
        <f aca="true">IF('Reverse Search'!$C$14="Disable",1,IF('Reverse Search'!$I$16="Disable",1,IF($D$2=3,IF($M359=0,0,COUNTIF(INDIRECT("'0.0.2 Pokémon Learnset (Core)'!$D$"&amp;MATCH($E359,'0.0.2 Pokémon Learnset (Core)'!$A$1:$A951,0)&amp;":$FK$"&amp;MATCH($E359,'0.0.2 Pokémon Learnset (Core)'!$A$1:$A951,0)),'Reverse Search'!$J$21)),IF($D$2=2,COUNTIF(INDIRECT("'0.1.1 Pokémon GO Moves'!$B$"&amp;MATCH($E359,'0.1.1 Pokémon GO Moves'!$A$1:$A951,0)&amp;":$R$"&amp;MATCH($E359,'0.1.1 Pokémon GO Moves'!$A$1:$A951,0)),'Reverse Search'!$J$21),COUNTIF(INDIRECT("'0.1.1 Pokémon GO Moves'!$B$"&amp;MATCH($E359,'0.1.1 Pokémon GO Moves'!$A$1:$A951,0)&amp;":$L$"&amp;MATCH($E359,'0.1.1 Pokémon GO Moves'!$A$1:$A951,0)),'Reverse Search'!$J$21)))))</f>
        <v>#N/A</v>
      </c>
      <c r="AB359" s="490"/>
      <c r="AC359" s="260" t="e">
        <f aca="false">IF((Q359+R359+S359+V359+W359+X359+Y359+IF(Z359&gt;=1,1,0)+IF(AA359&gt;=1,1,0))=9,G359&amp;", ",)</f>
        <v>#N/A</v>
      </c>
    </row>
    <row r="360" customFormat="false" ht="15.75" hidden="false" customHeight="false" outlineLevel="0" collapsed="false">
      <c r="A360" s="260"/>
      <c r="B360" s="358"/>
      <c r="C360" s="260"/>
      <c r="D360" s="358"/>
      <c r="E360" s="260" t="n">
        <v>359</v>
      </c>
      <c r="F360" s="260" t="n">
        <f aca="false" t="array" ref="F360:F360">INDEX('0.0.1 Pokémon Dex Data'!$H$3:$H951,MATCH(E360,'0.0.1 Pokémon Dex Data'!$B$3:$B951,0))</f>
        <v>0</v>
      </c>
      <c r="G360" s="0" t="str">
        <f aca="false" t="array" ref="G360:G360">INDEX('0.0.1 Pokémon Dex Data'!$E$3:$E951,MATCH(E360,'0.0.1 Pokémon Dex Data'!$B$3:$B951,0))</f>
        <v>Plusle</v>
      </c>
      <c r="H360" s="0" t="str">
        <f aca="false" t="array" ref="H360:H360">INDEX('0.0.1 Pokémon Dex Data'!$Q$3:$Q951,MATCH(E360,'0.0.1 Pokémon Dex Data'!$B$3:$B951,0))</f>
        <v>Electric</v>
      </c>
      <c r="I360" s="0" t="n">
        <f aca="false">INDEX('0.0.1 Pokémon Dex Data'!$R$3:$R951,MATCH(E360,'0.0.1 Pokémon Dex Data'!$B$3:$B951,0))</f>
        <v>0</v>
      </c>
      <c r="J360" s="260" t="n">
        <f aca="false" t="array" ref="J360:J360">ROUND(INDEX('0.0.1 Pokémon Dex Data'!$S$3:$S951,MATCH($E360,'0.0.1 Pokémon Dex Data'!$B$3:$B951,0))*INDEX('0.0.1 Pokémon Dex Data'!T$3:T951,MATCH($E360,'0.0.1 Pokémon Dex Data'!$B$3:$B951,0)),0)</f>
        <v>167</v>
      </c>
      <c r="K360" s="260" t="n">
        <f aca="false" t="array" ref="K360:K360">ROUND(INDEX('0.0.1 Pokémon Dex Data'!$S$3:$S951,MATCH($E360,'0.0.1 Pokémon Dex Data'!$B$3:$B951,0))*INDEX('0.0.1 Pokémon Dex Data'!U$3:U951,MATCH($E360,'0.0.1 Pokémon Dex Data'!$B$3:$B951,0)),0)</f>
        <v>129</v>
      </c>
      <c r="L360" s="260" t="n">
        <f aca="false" t="array" ref="L360:L360">ROUND(INDEX('0.0.1 Pokémon Dex Data'!$S$3:$S951,MATCH($E360,'0.0.1 Pokémon Dex Data'!$B$3:$B951,0))*INDEX('0.0.1 Pokémon Dex Data'!V$3:V951,MATCH($E360,'0.0.1 Pokémon Dex Data'!$B$3:$B951,0)),0)</f>
        <v>155</v>
      </c>
      <c r="M360" s="260" t="n">
        <f aca="false" t="array" ref="M360:M360">INDEX('0.0.1 Pokémon Dex Data'!$J$3:$J951,MATCH(E360,'0.0.1 Pokémon Dex Data'!$B$3:$B951,0))</f>
        <v>1</v>
      </c>
      <c r="O360" s="490"/>
      <c r="Q360" s="367" t="n">
        <f aca="false">IF('Reverse Search'!$F$4="All (including temporary formes)",1,IF('Reverse Search'!$F$4="Base Pokémon and permanent formes only",IF(F360&lt;=1,1,0),IF(F360=0,1,0)))</f>
        <v>1</v>
      </c>
      <c r="R360" s="0" t="n">
        <f aca="false">IF('Reverse Search'!$C$7="Disable",1,IF('Reverse Search'!$D$9="Disable",1,IF(OR('Reverse Search'!$F$9=H360,'Reverse Search'!$F$9=I360),1,0)))</f>
        <v>1</v>
      </c>
      <c r="S360" s="0" t="n">
        <f aca="false">IF('Reverse Search'!$C$7="Disable",1,IF('Reverse Search'!$D$10="Disable",1,IF(OR('Reverse Search'!$F$10=H360,'Reverse Search'!$F$10=I360),1,0)))</f>
        <v>1</v>
      </c>
      <c r="T360" s="0" t="n">
        <f aca="false">INDEX($B$4:$B$22,MATCH(H360,$A$4:$A$22,0))</f>
        <v>1</v>
      </c>
      <c r="U360" s="0" t="e">
        <f aca="false">IF(ISBLANK(I360),1,INDEX($B$4:$B$22,MATCH(I360,$A$4:$A$22,0)))</f>
        <v>#N/A</v>
      </c>
      <c r="V360" s="367" t="n">
        <f aca="false">IF('Reverse Search'!$C$7="Disable",1,IF('Reverse Search'!$D$11="Disable",1,IF('Reverse Search'!$E$11="Neutral to:",IF(ROUND(T360*U360,2)&lt;=1,1,0),IF(ROUND(T360*U360,2)&lt;1,1,0))))</f>
        <v>1</v>
      </c>
      <c r="W360" s="0" t="n">
        <f aca="false">IF('Reverse Search'!$N$7="Disable",1,IF('Reverse Search'!$I$9="Disable",1,IF('Reverse Search'!$K$9="≥",IF(J360&gt;='Reverse Search'!$L$9,1,0),IF('Reverse Search'!$K$9="≤",IF(J360&lt;='Reverse Search'!$L$9,1,0),IF(J360='Reverse Search'!$L$9,1,0)))))</f>
        <v>1</v>
      </c>
      <c r="X360" s="0" t="n">
        <f aca="false">IF('Reverse Search'!$N$7="Disable",1,IF('Reverse Search'!$I$10="Disable",1,IF('Reverse Search'!$K$10="≥",IF(K360&gt;='Reverse Search'!$L$10,1,0),IF('Reverse Search'!$K$10="≤",IF(K360&lt;='Reverse Search'!$L$10,1,0),IF(K360='Reverse Search'!$L$10,1,0)))))</f>
        <v>1</v>
      </c>
      <c r="Y360" s="367" t="n">
        <f aca="false">IF('Reverse Search'!$N$7="Disable",1,IF('Reverse Search'!$I$11="Disable",1,IF('Reverse Search'!$K$11="≥",IF(L360&gt;='Reverse Search'!$L$11,1,0),IF('Reverse Search'!$K$11="≤",IF(L360&lt;='Reverse Search'!$L$11,1,0),IF(L360='Reverse Search'!$L$11,1,0)))))</f>
        <v>1</v>
      </c>
      <c r="Z360" s="0" t="n">
        <f aca="true">IF('Reverse Search'!$C$14="Disable",1,IF('Reverse Search'!$D$16="Disable",1,IF($C$2=3,IF($M360=0,0,COUNTIF(INDIRECT("'0.0.2 Pokémon Learnset (Core)'!$D$"&amp;MATCH($E360,'0.0.2 Pokémon Learnset (Core)'!$A$1:$A951,0)&amp;":$FK$"&amp;MATCH($E360,'0.0.2 Pokémon Learnset (Core)'!$A$1:$A951,0)),'Reverse Search'!$E$21)),IF($C$2=2,COUNTIF(INDIRECT("'0.1.1 Pokémon GO Moves'!$B$"&amp;MATCH($E360,'0.1.1 Pokémon GO Moves'!$A$1:$A951,0)&amp;":$R$"&amp;MATCH($E360,'0.1.1 Pokémon GO Moves'!$A$1:$A951,0)),'Reverse Search'!$E$21),COUNTIF(INDIRECT("'0.1.1 Pokémon GO Moves'!$B$"&amp;MATCH($E360,'0.1.1 Pokémon GO Moves'!$A$1:$A951,0)&amp;":$L$"&amp;MATCH($E360,'0.1.1 Pokémon GO Moves'!$A$1:$A951,0)),'Reverse Search'!$E$21)))))</f>
        <v>1</v>
      </c>
      <c r="AA360" s="0" t="n">
        <f aca="true">IF('Reverse Search'!$C$14="Disable",1,IF('Reverse Search'!$I$16="Disable",1,IF($D$2=3,IF($M360=0,0,COUNTIF(INDIRECT("'0.0.2 Pokémon Learnset (Core)'!$D$"&amp;MATCH($E360,'0.0.2 Pokémon Learnset (Core)'!$A$1:$A951,0)&amp;":$FK$"&amp;MATCH($E360,'0.0.2 Pokémon Learnset (Core)'!$A$1:$A951,0)),'Reverse Search'!$J$21)),IF($D$2=2,COUNTIF(INDIRECT("'0.1.1 Pokémon GO Moves'!$B$"&amp;MATCH($E360,'0.1.1 Pokémon GO Moves'!$A$1:$A951,0)&amp;":$R$"&amp;MATCH($E360,'0.1.1 Pokémon GO Moves'!$A$1:$A951,0)),'Reverse Search'!$J$21),COUNTIF(INDIRECT("'0.1.1 Pokémon GO Moves'!$B$"&amp;MATCH($E360,'0.1.1 Pokémon GO Moves'!$A$1:$A951,0)&amp;":$L$"&amp;MATCH($E360,'0.1.1 Pokémon GO Moves'!$A$1:$A951,0)),'Reverse Search'!$J$21)))))</f>
        <v>0</v>
      </c>
      <c r="AB360" s="490"/>
      <c r="AC360" s="260" t="n">
        <f aca="false">IF((Q360+R360+S360+V360+W360+X360+Y360+IF(Z360&gt;=1,1,0)+IF(AA360&gt;=1,1,0))=9,G360&amp;", ",)</f>
        <v>0</v>
      </c>
    </row>
    <row r="361" customFormat="false" ht="15.75" hidden="false" customHeight="false" outlineLevel="0" collapsed="false">
      <c r="A361" s="260"/>
      <c r="B361" s="358"/>
      <c r="C361" s="260"/>
      <c r="D361" s="358"/>
      <c r="E361" s="260" t="n">
        <v>360</v>
      </c>
      <c r="F361" s="260" t="n">
        <f aca="false" t="array" ref="F361:F361">INDEX('0.0.1 Pokémon Dex Data'!$H$3:$H951,MATCH(E361,'0.0.1 Pokémon Dex Data'!$B$3:$B951,0))</f>
        <v>0</v>
      </c>
      <c r="G361" s="0" t="str">
        <f aca="false" t="array" ref="G361:G361">INDEX('0.0.1 Pokémon Dex Data'!$E$3:$E951,MATCH(E361,'0.0.1 Pokémon Dex Data'!$B$3:$B951,0))</f>
        <v>Minun</v>
      </c>
      <c r="H361" s="0" t="str">
        <f aca="false" t="array" ref="H361:H361">INDEX('0.0.1 Pokémon Dex Data'!$Q$3:$Q951,MATCH(E361,'0.0.1 Pokémon Dex Data'!$B$3:$B951,0))</f>
        <v>Electric</v>
      </c>
      <c r="I361" s="0" t="n">
        <f aca="false">INDEX('0.0.1 Pokémon Dex Data'!$R$3:$R951,MATCH(E361,'0.0.1 Pokémon Dex Data'!$B$3:$B951,0))</f>
        <v>0</v>
      </c>
      <c r="J361" s="260" t="n">
        <f aca="false" t="array" ref="J361:J361">ROUND(INDEX('0.0.1 Pokémon Dex Data'!$S$3:$S951,MATCH($E361,'0.0.1 Pokémon Dex Data'!$B$3:$B951,0))*INDEX('0.0.1 Pokémon Dex Data'!T$3:T951,MATCH($E361,'0.0.1 Pokémon Dex Data'!$B$3:$B951,0)),0)</f>
        <v>147</v>
      </c>
      <c r="K361" s="260" t="n">
        <f aca="false" t="array" ref="K361:K361">ROUND(INDEX('0.0.1 Pokémon Dex Data'!$S$3:$S951,MATCH($E361,'0.0.1 Pokémon Dex Data'!$B$3:$B951,0))*INDEX('0.0.1 Pokémon Dex Data'!U$3:U951,MATCH($E361,'0.0.1 Pokémon Dex Data'!$B$3:$B951,0)),0)</f>
        <v>150</v>
      </c>
      <c r="L361" s="260" t="n">
        <f aca="false" t="array" ref="L361:L361">ROUND(INDEX('0.0.1 Pokémon Dex Data'!$S$3:$S951,MATCH($E361,'0.0.1 Pokémon Dex Data'!$B$3:$B951,0))*INDEX('0.0.1 Pokémon Dex Data'!V$3:V951,MATCH($E361,'0.0.1 Pokémon Dex Data'!$B$3:$B951,0)),0)</f>
        <v>155</v>
      </c>
      <c r="M361" s="260" t="n">
        <f aca="false" t="array" ref="M361:M361">INDEX('0.0.1 Pokémon Dex Data'!$J$3:$J951,MATCH(E361,'0.0.1 Pokémon Dex Data'!$B$3:$B951,0))</f>
        <v>1</v>
      </c>
      <c r="O361" s="490"/>
      <c r="Q361" s="367" t="n">
        <f aca="false">IF('Reverse Search'!$F$4="All (including temporary formes)",1,IF('Reverse Search'!$F$4="Base Pokémon and permanent formes only",IF(F361&lt;=1,1,0),IF(F361=0,1,0)))</f>
        <v>1</v>
      </c>
      <c r="R361" s="0" t="n">
        <f aca="false">IF('Reverse Search'!$C$7="Disable",1,IF('Reverse Search'!$D$9="Disable",1,IF(OR('Reverse Search'!$F$9=H361,'Reverse Search'!$F$9=I361),1,0)))</f>
        <v>1</v>
      </c>
      <c r="S361" s="0" t="n">
        <f aca="false">IF('Reverse Search'!$C$7="Disable",1,IF('Reverse Search'!$D$10="Disable",1,IF(OR('Reverse Search'!$F$10=H361,'Reverse Search'!$F$10=I361),1,0)))</f>
        <v>1</v>
      </c>
      <c r="T361" s="0" t="n">
        <f aca="false">INDEX($B$4:$B$22,MATCH(H361,$A$4:$A$22,0))</f>
        <v>1</v>
      </c>
      <c r="U361" s="0" t="e">
        <f aca="false">IF(ISBLANK(I361),1,INDEX($B$4:$B$22,MATCH(I361,$A$4:$A$22,0)))</f>
        <v>#N/A</v>
      </c>
      <c r="V361" s="367" t="n">
        <f aca="false">IF('Reverse Search'!$C$7="Disable",1,IF('Reverse Search'!$D$11="Disable",1,IF('Reverse Search'!$E$11="Neutral to:",IF(ROUND(T361*U361,2)&lt;=1,1,0),IF(ROUND(T361*U361,2)&lt;1,1,0))))</f>
        <v>1</v>
      </c>
      <c r="W361" s="0" t="n">
        <f aca="false">IF('Reverse Search'!$N$7="Disable",1,IF('Reverse Search'!$I$9="Disable",1,IF('Reverse Search'!$K$9="≥",IF(J361&gt;='Reverse Search'!$L$9,1,0),IF('Reverse Search'!$K$9="≤",IF(J361&lt;='Reverse Search'!$L$9,1,0),IF(J361='Reverse Search'!$L$9,1,0)))))</f>
        <v>1</v>
      </c>
      <c r="X361" s="0" t="n">
        <f aca="false">IF('Reverse Search'!$N$7="Disable",1,IF('Reverse Search'!$I$10="Disable",1,IF('Reverse Search'!$K$10="≥",IF(K361&gt;='Reverse Search'!$L$10,1,0),IF('Reverse Search'!$K$10="≤",IF(K361&lt;='Reverse Search'!$L$10,1,0),IF(K361='Reverse Search'!$L$10,1,0)))))</f>
        <v>1</v>
      </c>
      <c r="Y361" s="367" t="n">
        <f aca="false">IF('Reverse Search'!$N$7="Disable",1,IF('Reverse Search'!$I$11="Disable",1,IF('Reverse Search'!$K$11="≥",IF(L361&gt;='Reverse Search'!$L$11,1,0),IF('Reverse Search'!$K$11="≤",IF(L361&lt;='Reverse Search'!$L$11,1,0),IF(L361='Reverse Search'!$L$11,1,0)))))</f>
        <v>1</v>
      </c>
      <c r="Z361" s="0" t="n">
        <f aca="true">IF('Reverse Search'!$C$14="Disable",1,IF('Reverse Search'!$D$16="Disable",1,IF($C$2=3,IF($M361=0,0,COUNTIF(INDIRECT("'0.0.2 Pokémon Learnset (Core)'!$D$"&amp;MATCH($E361,'0.0.2 Pokémon Learnset (Core)'!$A$1:$A951,0)&amp;":$FK$"&amp;MATCH($E361,'0.0.2 Pokémon Learnset (Core)'!$A$1:$A951,0)),'Reverse Search'!$E$21)),IF($C$2=2,COUNTIF(INDIRECT("'0.1.1 Pokémon GO Moves'!$B$"&amp;MATCH($E361,'0.1.1 Pokémon GO Moves'!$A$1:$A951,0)&amp;":$R$"&amp;MATCH($E361,'0.1.1 Pokémon GO Moves'!$A$1:$A951,0)),'Reverse Search'!$E$21),COUNTIF(INDIRECT("'0.1.1 Pokémon GO Moves'!$B$"&amp;MATCH($E361,'0.1.1 Pokémon GO Moves'!$A$1:$A951,0)&amp;":$L$"&amp;MATCH($E361,'0.1.1 Pokémon GO Moves'!$A$1:$A951,0)),'Reverse Search'!$E$21)))))</f>
        <v>1</v>
      </c>
      <c r="AA361" s="0" t="n">
        <f aca="true">IF('Reverse Search'!$C$14="Disable",1,IF('Reverse Search'!$I$16="Disable",1,IF($D$2=3,IF($M361=0,0,COUNTIF(INDIRECT("'0.0.2 Pokémon Learnset (Core)'!$D$"&amp;MATCH($E361,'0.0.2 Pokémon Learnset (Core)'!$A$1:$A951,0)&amp;":$FK$"&amp;MATCH($E361,'0.0.2 Pokémon Learnset (Core)'!$A$1:$A951,0)),'Reverse Search'!$J$21)),IF($D$2=2,COUNTIF(INDIRECT("'0.1.1 Pokémon GO Moves'!$B$"&amp;MATCH($E361,'0.1.1 Pokémon GO Moves'!$A$1:$A951,0)&amp;":$R$"&amp;MATCH($E361,'0.1.1 Pokémon GO Moves'!$A$1:$A951,0)),'Reverse Search'!$J$21),COUNTIF(INDIRECT("'0.1.1 Pokémon GO Moves'!$B$"&amp;MATCH($E361,'0.1.1 Pokémon GO Moves'!$A$1:$A951,0)&amp;":$L$"&amp;MATCH($E361,'0.1.1 Pokémon GO Moves'!$A$1:$A951,0)),'Reverse Search'!$J$21)))))</f>
        <v>0</v>
      </c>
      <c r="AB361" s="490"/>
      <c r="AC361" s="260" t="n">
        <f aca="false">IF((Q361+R361+S361+V361+W361+X361+Y361+IF(Z361&gt;=1,1,0)+IF(AA361&gt;=1,1,0))=9,G361&amp;", ",)</f>
        <v>0</v>
      </c>
    </row>
    <row r="362" customFormat="false" ht="15.75" hidden="false" customHeight="false" outlineLevel="0" collapsed="false">
      <c r="A362" s="260"/>
      <c r="B362" s="358"/>
      <c r="C362" s="260"/>
      <c r="D362" s="358"/>
      <c r="E362" s="260" t="n">
        <v>361</v>
      </c>
      <c r="F362" s="260" t="n">
        <f aca="false" t="array" ref="F362:F362">INDEX('0.0.1 Pokémon Dex Data'!$H$3:$H951,MATCH(E362,'0.0.1 Pokémon Dex Data'!$B$3:$B951,0))</f>
        <v>0</v>
      </c>
      <c r="G362" s="0" t="str">
        <f aca="false" t="array" ref="G362:G362">INDEX('0.0.1 Pokémon Dex Data'!$E$3:$E951,MATCH(E362,'0.0.1 Pokémon Dex Data'!$B$3:$B951,0))</f>
        <v>Volbeat</v>
      </c>
      <c r="H362" s="0" t="str">
        <f aca="false" t="array" ref="H362:H362">INDEX('0.0.1 Pokémon Dex Data'!$Q$3:$Q951,MATCH(E362,'0.0.1 Pokémon Dex Data'!$B$3:$B951,0))</f>
        <v>Bug</v>
      </c>
      <c r="I362" s="0" t="n">
        <f aca="false">INDEX('0.0.1 Pokémon Dex Data'!$R$3:$R951,MATCH(E362,'0.0.1 Pokémon Dex Data'!$B$3:$B951,0))</f>
        <v>0</v>
      </c>
      <c r="J362" s="260" t="n">
        <f aca="false" t="array" ref="J362:J362">ROUND(INDEX('0.0.1 Pokémon Dex Data'!$S$3:$S951,MATCH($E362,'0.0.1 Pokémon Dex Data'!$B$3:$B951,0))*INDEX('0.0.1 Pokémon Dex Data'!T$3:T951,MATCH($E362,'0.0.1 Pokémon Dex Data'!$B$3:$B951,0)),0)</f>
        <v>143</v>
      </c>
      <c r="K362" s="260" t="n">
        <f aca="false" t="array" ref="K362:K362">ROUND(INDEX('0.0.1 Pokémon Dex Data'!$S$3:$S951,MATCH($E362,'0.0.1 Pokémon Dex Data'!$B$3:$B951,0))*INDEX('0.0.1 Pokémon Dex Data'!U$3:U951,MATCH($E362,'0.0.1 Pokémon Dex Data'!$B$3:$B951,0)),0)</f>
        <v>166</v>
      </c>
      <c r="L362" s="260" t="n">
        <f aca="false" t="array" ref="L362:L362">ROUND(INDEX('0.0.1 Pokémon Dex Data'!$S$3:$S951,MATCH($E362,'0.0.1 Pokémon Dex Data'!$B$3:$B951,0))*INDEX('0.0.1 Pokémon Dex Data'!V$3:V951,MATCH($E362,'0.0.1 Pokémon Dex Data'!$B$3:$B951,0)),0)</f>
        <v>163</v>
      </c>
      <c r="M362" s="260" t="n">
        <f aca="false" t="array" ref="M362:M362">INDEX('0.0.1 Pokémon Dex Data'!$J$3:$J951,MATCH(E362,'0.0.1 Pokémon Dex Data'!$B$3:$B951,0))</f>
        <v>1</v>
      </c>
      <c r="O362" s="490"/>
      <c r="Q362" s="367" t="n">
        <f aca="false">IF('Reverse Search'!$F$4="All (including temporary formes)",1,IF('Reverse Search'!$F$4="Base Pokémon and permanent formes only",IF(F362&lt;=1,1,0),IF(F362=0,1,0)))</f>
        <v>1</v>
      </c>
      <c r="R362" s="0" t="n">
        <f aca="false">IF('Reverse Search'!$C$7="Disable",1,IF('Reverse Search'!$D$9="Disable",1,IF(OR('Reverse Search'!$F$9=H362,'Reverse Search'!$F$9=I362),1,0)))</f>
        <v>1</v>
      </c>
      <c r="S362" s="0" t="n">
        <f aca="false">IF('Reverse Search'!$C$7="Disable",1,IF('Reverse Search'!$D$10="Disable",1,IF(OR('Reverse Search'!$F$10=H362,'Reverse Search'!$F$10=I362),1,0)))</f>
        <v>1</v>
      </c>
      <c r="T362" s="0" t="n">
        <f aca="false">INDEX($B$4:$B$22,MATCH(H362,$A$4:$A$22,0))</f>
        <v>1</v>
      </c>
      <c r="U362" s="0" t="e">
        <f aca="false">IF(ISBLANK(I362),1,INDEX($B$4:$B$22,MATCH(I362,$A$4:$A$22,0)))</f>
        <v>#N/A</v>
      </c>
      <c r="V362" s="367" t="n">
        <f aca="false">IF('Reverse Search'!$C$7="Disable",1,IF('Reverse Search'!$D$11="Disable",1,IF('Reverse Search'!$E$11="Neutral to:",IF(ROUND(T362*U362,2)&lt;=1,1,0),IF(ROUND(T362*U362,2)&lt;1,1,0))))</f>
        <v>1</v>
      </c>
      <c r="W362" s="0" t="n">
        <f aca="false">IF('Reverse Search'!$N$7="Disable",1,IF('Reverse Search'!$I$9="Disable",1,IF('Reverse Search'!$K$9="≥",IF(J362&gt;='Reverse Search'!$L$9,1,0),IF('Reverse Search'!$K$9="≤",IF(J362&lt;='Reverse Search'!$L$9,1,0),IF(J362='Reverse Search'!$L$9,1,0)))))</f>
        <v>1</v>
      </c>
      <c r="X362" s="0" t="n">
        <f aca="false">IF('Reverse Search'!$N$7="Disable",1,IF('Reverse Search'!$I$10="Disable",1,IF('Reverse Search'!$K$10="≥",IF(K362&gt;='Reverse Search'!$L$10,1,0),IF('Reverse Search'!$K$10="≤",IF(K362&lt;='Reverse Search'!$L$10,1,0),IF(K362='Reverse Search'!$L$10,1,0)))))</f>
        <v>1</v>
      </c>
      <c r="Y362" s="367" t="n">
        <f aca="false">IF('Reverse Search'!$N$7="Disable",1,IF('Reverse Search'!$I$11="Disable",1,IF('Reverse Search'!$K$11="≥",IF(L362&gt;='Reverse Search'!$L$11,1,0),IF('Reverse Search'!$K$11="≤",IF(L362&lt;='Reverse Search'!$L$11,1,0),IF(L362='Reverse Search'!$L$11,1,0)))))</f>
        <v>1</v>
      </c>
      <c r="Z362" s="0" t="n">
        <f aca="true">IF('Reverse Search'!$C$14="Disable",1,IF('Reverse Search'!$D$16="Disable",1,IF($C$2=3,IF($M362=0,0,COUNTIF(INDIRECT("'0.0.2 Pokémon Learnset (Core)'!$D$"&amp;MATCH($E362,'0.0.2 Pokémon Learnset (Core)'!$A$1:$A951,0)&amp;":$FK$"&amp;MATCH($E362,'0.0.2 Pokémon Learnset (Core)'!$A$1:$A951,0)),'Reverse Search'!$E$21)),IF($C$2=2,COUNTIF(INDIRECT("'0.1.1 Pokémon GO Moves'!$B$"&amp;MATCH($E362,'0.1.1 Pokémon GO Moves'!$A$1:$A951,0)&amp;":$R$"&amp;MATCH($E362,'0.1.1 Pokémon GO Moves'!$A$1:$A951,0)),'Reverse Search'!$E$21),COUNTIF(INDIRECT("'0.1.1 Pokémon GO Moves'!$B$"&amp;MATCH($E362,'0.1.1 Pokémon GO Moves'!$A$1:$A951,0)&amp;":$L$"&amp;MATCH($E362,'0.1.1 Pokémon GO Moves'!$A$1:$A951,0)),'Reverse Search'!$E$21)))))</f>
        <v>1</v>
      </c>
      <c r="AA362" s="0" t="n">
        <f aca="true">IF('Reverse Search'!$C$14="Disable",1,IF('Reverse Search'!$I$16="Disable",1,IF($D$2=3,IF($M362=0,0,COUNTIF(INDIRECT("'0.0.2 Pokémon Learnset (Core)'!$D$"&amp;MATCH($E362,'0.0.2 Pokémon Learnset (Core)'!$A$1:$A951,0)&amp;":$FK$"&amp;MATCH($E362,'0.0.2 Pokémon Learnset (Core)'!$A$1:$A951,0)),'Reverse Search'!$J$21)),IF($D$2=2,COUNTIF(INDIRECT("'0.1.1 Pokémon GO Moves'!$B$"&amp;MATCH($E362,'0.1.1 Pokémon GO Moves'!$A$1:$A951,0)&amp;":$R$"&amp;MATCH($E362,'0.1.1 Pokémon GO Moves'!$A$1:$A951,0)),'Reverse Search'!$J$21),COUNTIF(INDIRECT("'0.1.1 Pokémon GO Moves'!$B$"&amp;MATCH($E362,'0.1.1 Pokémon GO Moves'!$A$1:$A951,0)&amp;":$L$"&amp;MATCH($E362,'0.1.1 Pokémon GO Moves'!$A$1:$A951,0)),'Reverse Search'!$J$21)))))</f>
        <v>0</v>
      </c>
      <c r="AB362" s="490"/>
      <c r="AC362" s="260" t="n">
        <f aca="false">IF((Q362+R362+S362+V362+W362+X362+Y362+IF(Z362&gt;=1,1,0)+IF(AA362&gt;=1,1,0))=9,G362&amp;", ",)</f>
        <v>0</v>
      </c>
    </row>
    <row r="363" customFormat="false" ht="15.75" hidden="false" customHeight="false" outlineLevel="0" collapsed="false">
      <c r="A363" s="260"/>
      <c r="B363" s="358"/>
      <c r="C363" s="260"/>
      <c r="D363" s="358"/>
      <c r="E363" s="260" t="n">
        <v>362</v>
      </c>
      <c r="F363" s="260" t="n">
        <f aca="false" t="array" ref="F363:F363">INDEX('0.0.1 Pokémon Dex Data'!$H$3:$H951,MATCH(E363,'0.0.1 Pokémon Dex Data'!$B$3:$B951,0))</f>
        <v>0</v>
      </c>
      <c r="G363" s="0" t="str">
        <f aca="false" t="array" ref="G363:G363">INDEX('0.0.1 Pokémon Dex Data'!$E$3:$E951,MATCH(E363,'0.0.1 Pokémon Dex Data'!$B$3:$B951,0))</f>
        <v>Illumise</v>
      </c>
      <c r="H363" s="0" t="str">
        <f aca="false" t="array" ref="H363:H363">INDEX('0.0.1 Pokémon Dex Data'!$Q$3:$Q951,MATCH(E363,'0.0.1 Pokémon Dex Data'!$B$3:$B951,0))</f>
        <v>Bug</v>
      </c>
      <c r="I363" s="0" t="n">
        <f aca="false">INDEX('0.0.1 Pokémon Dex Data'!$R$3:$R951,MATCH(E363,'0.0.1 Pokémon Dex Data'!$B$3:$B951,0))</f>
        <v>0</v>
      </c>
      <c r="J363" s="260" t="n">
        <f aca="false" t="array" ref="J363:J363">ROUND(INDEX('0.0.1 Pokémon Dex Data'!$S$3:$S951,MATCH($E363,'0.0.1 Pokémon Dex Data'!$B$3:$B951,0))*INDEX('0.0.1 Pokémon Dex Data'!T$3:T951,MATCH($E363,'0.0.1 Pokémon Dex Data'!$B$3:$B951,0)),0)</f>
        <v>143</v>
      </c>
      <c r="K363" s="260" t="n">
        <f aca="false" t="array" ref="K363:K363">ROUND(INDEX('0.0.1 Pokémon Dex Data'!$S$3:$S951,MATCH($E363,'0.0.1 Pokémon Dex Data'!$B$3:$B951,0))*INDEX('0.0.1 Pokémon Dex Data'!U$3:U951,MATCH($E363,'0.0.1 Pokémon Dex Data'!$B$3:$B951,0)),0)</f>
        <v>166</v>
      </c>
      <c r="L363" s="260" t="n">
        <f aca="false" t="array" ref="L363:L363">ROUND(INDEX('0.0.1 Pokémon Dex Data'!$S$3:$S951,MATCH($E363,'0.0.1 Pokémon Dex Data'!$B$3:$B951,0))*INDEX('0.0.1 Pokémon Dex Data'!V$3:V951,MATCH($E363,'0.0.1 Pokémon Dex Data'!$B$3:$B951,0)),0)</f>
        <v>163</v>
      </c>
      <c r="M363" s="260" t="n">
        <f aca="false" t="array" ref="M363:M363">INDEX('0.0.1 Pokémon Dex Data'!$J$3:$J951,MATCH(E363,'0.0.1 Pokémon Dex Data'!$B$3:$B951,0))</f>
        <v>1</v>
      </c>
      <c r="O363" s="490"/>
      <c r="Q363" s="367" t="n">
        <f aca="false">IF('Reverse Search'!$F$4="All (including temporary formes)",1,IF('Reverse Search'!$F$4="Base Pokémon and permanent formes only",IF(F363&lt;=1,1,0),IF(F363=0,1,0)))</f>
        <v>1</v>
      </c>
      <c r="R363" s="0" t="n">
        <f aca="false">IF('Reverse Search'!$C$7="Disable",1,IF('Reverse Search'!$D$9="Disable",1,IF(OR('Reverse Search'!$F$9=H363,'Reverse Search'!$F$9=I363),1,0)))</f>
        <v>1</v>
      </c>
      <c r="S363" s="0" t="n">
        <f aca="false">IF('Reverse Search'!$C$7="Disable",1,IF('Reverse Search'!$D$10="Disable",1,IF(OR('Reverse Search'!$F$10=H363,'Reverse Search'!$F$10=I363),1,0)))</f>
        <v>1</v>
      </c>
      <c r="T363" s="0" t="n">
        <f aca="false">INDEX($B$4:$B$22,MATCH(H363,$A$4:$A$22,0))</f>
        <v>1</v>
      </c>
      <c r="U363" s="0" t="e">
        <f aca="false">IF(ISBLANK(I363),1,INDEX($B$4:$B$22,MATCH(I363,$A$4:$A$22,0)))</f>
        <v>#N/A</v>
      </c>
      <c r="V363" s="367" t="n">
        <f aca="false">IF('Reverse Search'!$C$7="Disable",1,IF('Reverse Search'!$D$11="Disable",1,IF('Reverse Search'!$E$11="Neutral to:",IF(ROUND(T363*U363,2)&lt;=1,1,0),IF(ROUND(T363*U363,2)&lt;1,1,0))))</f>
        <v>1</v>
      </c>
      <c r="W363" s="0" t="n">
        <f aca="false">IF('Reverse Search'!$N$7="Disable",1,IF('Reverse Search'!$I$9="Disable",1,IF('Reverse Search'!$K$9="≥",IF(J363&gt;='Reverse Search'!$L$9,1,0),IF('Reverse Search'!$K$9="≤",IF(J363&lt;='Reverse Search'!$L$9,1,0),IF(J363='Reverse Search'!$L$9,1,0)))))</f>
        <v>1</v>
      </c>
      <c r="X363" s="0" t="n">
        <f aca="false">IF('Reverse Search'!$N$7="Disable",1,IF('Reverse Search'!$I$10="Disable",1,IF('Reverse Search'!$K$10="≥",IF(K363&gt;='Reverse Search'!$L$10,1,0),IF('Reverse Search'!$K$10="≤",IF(K363&lt;='Reverse Search'!$L$10,1,0),IF(K363='Reverse Search'!$L$10,1,0)))))</f>
        <v>1</v>
      </c>
      <c r="Y363" s="367" t="n">
        <f aca="false">IF('Reverse Search'!$N$7="Disable",1,IF('Reverse Search'!$I$11="Disable",1,IF('Reverse Search'!$K$11="≥",IF(L363&gt;='Reverse Search'!$L$11,1,0),IF('Reverse Search'!$K$11="≤",IF(L363&lt;='Reverse Search'!$L$11,1,0),IF(L363='Reverse Search'!$L$11,1,0)))))</f>
        <v>1</v>
      </c>
      <c r="Z363" s="0" t="n">
        <f aca="true">IF('Reverse Search'!$C$14="Disable",1,IF('Reverse Search'!$D$16="Disable",1,IF($C$2=3,IF($M363=0,0,COUNTIF(INDIRECT("'0.0.2 Pokémon Learnset (Core)'!$D$"&amp;MATCH($E363,'0.0.2 Pokémon Learnset (Core)'!$A$1:$A951,0)&amp;":$FK$"&amp;MATCH($E363,'0.0.2 Pokémon Learnset (Core)'!$A$1:$A951,0)),'Reverse Search'!$E$21)),IF($C$2=2,COUNTIF(INDIRECT("'0.1.1 Pokémon GO Moves'!$B$"&amp;MATCH($E363,'0.1.1 Pokémon GO Moves'!$A$1:$A951,0)&amp;":$R$"&amp;MATCH($E363,'0.1.1 Pokémon GO Moves'!$A$1:$A951,0)),'Reverse Search'!$E$21),COUNTIF(INDIRECT("'0.1.1 Pokémon GO Moves'!$B$"&amp;MATCH($E363,'0.1.1 Pokémon GO Moves'!$A$1:$A951,0)&amp;":$L$"&amp;MATCH($E363,'0.1.1 Pokémon GO Moves'!$A$1:$A951,0)),'Reverse Search'!$E$21)))))</f>
        <v>1</v>
      </c>
      <c r="AA363" s="0" t="n">
        <f aca="true">IF('Reverse Search'!$C$14="Disable",1,IF('Reverse Search'!$I$16="Disable",1,IF($D$2=3,IF($M363=0,0,COUNTIF(INDIRECT("'0.0.2 Pokémon Learnset (Core)'!$D$"&amp;MATCH($E363,'0.0.2 Pokémon Learnset (Core)'!$A$1:$A951,0)&amp;":$FK$"&amp;MATCH($E363,'0.0.2 Pokémon Learnset (Core)'!$A$1:$A951,0)),'Reverse Search'!$J$21)),IF($D$2=2,COUNTIF(INDIRECT("'0.1.1 Pokémon GO Moves'!$B$"&amp;MATCH($E363,'0.1.1 Pokémon GO Moves'!$A$1:$A951,0)&amp;":$R$"&amp;MATCH($E363,'0.1.1 Pokémon GO Moves'!$A$1:$A951,0)),'Reverse Search'!$J$21),COUNTIF(INDIRECT("'0.1.1 Pokémon GO Moves'!$B$"&amp;MATCH($E363,'0.1.1 Pokémon GO Moves'!$A$1:$A951,0)&amp;":$L$"&amp;MATCH($E363,'0.1.1 Pokémon GO Moves'!$A$1:$A951,0)),'Reverse Search'!$J$21)))))</f>
        <v>0</v>
      </c>
      <c r="AB363" s="490"/>
      <c r="AC363" s="260" t="n">
        <f aca="false">IF((Q363+R363+S363+V363+W363+X363+Y363+IF(Z363&gt;=1,1,0)+IF(AA363&gt;=1,1,0))=9,G363&amp;", ",)</f>
        <v>0</v>
      </c>
    </row>
    <row r="364" customFormat="false" ht="15.75" hidden="false" customHeight="false" outlineLevel="0" collapsed="false">
      <c r="A364" s="260"/>
      <c r="B364" s="358"/>
      <c r="C364" s="260"/>
      <c r="D364" s="358"/>
      <c r="E364" s="260" t="n">
        <v>363</v>
      </c>
      <c r="F364" s="260" t="n">
        <f aca="false" t="array" ref="F364:F364">INDEX('0.0.1 Pokémon Dex Data'!$H$3:$H951,MATCH(E364,'0.0.1 Pokémon Dex Data'!$B$3:$B951,0))</f>
        <v>0</v>
      </c>
      <c r="G364" s="0" t="str">
        <f aca="false" t="array" ref="G364:G364">INDEX('0.0.1 Pokémon Dex Data'!$E$3:$E951,MATCH(E364,'0.0.1 Pokémon Dex Data'!$B$3:$B951,0))</f>
        <v>Roselia</v>
      </c>
      <c r="H364" s="0" t="str">
        <f aca="false" t="array" ref="H364:H364">INDEX('0.0.1 Pokémon Dex Data'!$Q$3:$Q951,MATCH(E364,'0.0.1 Pokémon Dex Data'!$B$3:$B951,0))</f>
        <v>Grass</v>
      </c>
      <c r="I364" s="0" t="str">
        <f aca="false" t="array" ref="I364:I364">INDEX('0.0.1 Pokémon Dex Data'!$R$3:$R951,MATCH(E364,'0.0.1 Pokémon Dex Data'!$B$3:$B951,0))</f>
        <v>Poison</v>
      </c>
      <c r="J364" s="260" t="n">
        <f aca="false" t="array" ref="J364:J364">ROUND(INDEX('0.0.1 Pokémon Dex Data'!$S$3:$S951,MATCH($E364,'0.0.1 Pokémon Dex Data'!$B$3:$B951,0))*INDEX('0.0.1 Pokémon Dex Data'!T$3:T951,MATCH($E364,'0.0.1 Pokémon Dex Data'!$B$3:$B951,0)),0)</f>
        <v>186</v>
      </c>
      <c r="K364" s="260" t="n">
        <f aca="false" t="array" ref="K364:K364">ROUND(INDEX('0.0.1 Pokémon Dex Data'!$S$3:$S951,MATCH($E364,'0.0.1 Pokémon Dex Data'!$B$3:$B951,0))*INDEX('0.0.1 Pokémon Dex Data'!U$3:U951,MATCH($E364,'0.0.1 Pokémon Dex Data'!$B$3:$B951,0)),0)</f>
        <v>131</v>
      </c>
      <c r="L364" s="260" t="n">
        <f aca="false" t="array" ref="L364:L364">ROUND(INDEX('0.0.1 Pokémon Dex Data'!$S$3:$S951,MATCH($E364,'0.0.1 Pokémon Dex Data'!$B$3:$B951,0))*INDEX('0.0.1 Pokémon Dex Data'!V$3:V951,MATCH($E364,'0.0.1 Pokémon Dex Data'!$B$3:$B951,0)),0)</f>
        <v>137</v>
      </c>
      <c r="M364" s="260" t="n">
        <f aca="false" t="array" ref="M364:M364">INDEX('0.0.1 Pokémon Dex Data'!$J$3:$J951,MATCH(E364,'0.0.1 Pokémon Dex Data'!$B$3:$B951,0))</f>
        <v>1</v>
      </c>
      <c r="O364" s="490"/>
      <c r="Q364" s="367" t="n">
        <f aca="false">IF('Reverse Search'!$F$4="All (including temporary formes)",1,IF('Reverse Search'!$F$4="Base Pokémon and permanent formes only",IF(F364&lt;=1,1,0),IF(F364=0,1,0)))</f>
        <v>1</v>
      </c>
      <c r="R364" s="0" t="n">
        <f aca="false">IF('Reverse Search'!$C$7="Disable",1,IF('Reverse Search'!$D$9="Disable",1,IF(OR('Reverse Search'!$F$9=H364,'Reverse Search'!$F$9=I364),1,0)))</f>
        <v>1</v>
      </c>
      <c r="S364" s="0" t="n">
        <f aca="false">IF('Reverse Search'!$C$7="Disable",1,IF('Reverse Search'!$D$10="Disable",1,IF(OR('Reverse Search'!$F$10=H364,'Reverse Search'!$F$10=I364),1,0)))</f>
        <v>1</v>
      </c>
      <c r="T364" s="0" t="n">
        <f aca="false">INDEX($B$4:$B$22,MATCH(H364,$A$4:$A$22,0))</f>
        <v>1</v>
      </c>
      <c r="U364" s="0" t="n">
        <f aca="false">IF(ISBLANK(I364),1,INDEX($B$4:$B$22,MATCH(I364,$A$4:$A$22,0)))</f>
        <v>1</v>
      </c>
      <c r="V364" s="367" t="n">
        <f aca="false">IF('Reverse Search'!$C$7="Disable",1,IF('Reverse Search'!$D$11="Disable",1,IF('Reverse Search'!$E$11="Neutral to:",IF(ROUND(T364*U364,2)&lt;=1,1,0),IF(ROUND(T364*U364,2)&lt;1,1,0))))</f>
        <v>1</v>
      </c>
      <c r="W364" s="0" t="n">
        <f aca="false">IF('Reverse Search'!$N$7="Disable",1,IF('Reverse Search'!$I$9="Disable",1,IF('Reverse Search'!$K$9="≥",IF(J364&gt;='Reverse Search'!$L$9,1,0),IF('Reverse Search'!$K$9="≤",IF(J364&lt;='Reverse Search'!$L$9,1,0),IF(J364='Reverse Search'!$L$9,1,0)))))</f>
        <v>1</v>
      </c>
      <c r="X364" s="0" t="n">
        <f aca="false">IF('Reverse Search'!$N$7="Disable",1,IF('Reverse Search'!$I$10="Disable",1,IF('Reverse Search'!$K$10="≥",IF(K364&gt;='Reverse Search'!$L$10,1,0),IF('Reverse Search'!$K$10="≤",IF(K364&lt;='Reverse Search'!$L$10,1,0),IF(K364='Reverse Search'!$L$10,1,0)))))</f>
        <v>1</v>
      </c>
      <c r="Y364" s="367" t="n">
        <f aca="false">IF('Reverse Search'!$N$7="Disable",1,IF('Reverse Search'!$I$11="Disable",1,IF('Reverse Search'!$K$11="≥",IF(L364&gt;='Reverse Search'!$L$11,1,0),IF('Reverse Search'!$K$11="≤",IF(L364&lt;='Reverse Search'!$L$11,1,0),IF(L364='Reverse Search'!$L$11,1,0)))))</f>
        <v>1</v>
      </c>
      <c r="Z364" s="0" t="n">
        <f aca="true">IF('Reverse Search'!$C$14="Disable",1,IF('Reverse Search'!$D$16="Disable",1,IF($C$2=3,IF($M364=0,0,COUNTIF(INDIRECT("'0.0.2 Pokémon Learnset (Core)'!$D$"&amp;MATCH($E364,'0.0.2 Pokémon Learnset (Core)'!$A$1:$A951,0)&amp;":$FK$"&amp;MATCH($E364,'0.0.2 Pokémon Learnset (Core)'!$A$1:$A951,0)),'Reverse Search'!$E$21)),IF($C$2=2,COUNTIF(INDIRECT("'0.1.1 Pokémon GO Moves'!$B$"&amp;MATCH($E364,'0.1.1 Pokémon GO Moves'!$A$1:$A951,0)&amp;":$R$"&amp;MATCH($E364,'0.1.1 Pokémon GO Moves'!$A$1:$A951,0)),'Reverse Search'!$E$21),COUNTIF(INDIRECT("'0.1.1 Pokémon GO Moves'!$B$"&amp;MATCH($E364,'0.1.1 Pokémon GO Moves'!$A$1:$A951,0)&amp;":$L$"&amp;MATCH($E364,'0.1.1 Pokémon GO Moves'!$A$1:$A951,0)),'Reverse Search'!$E$21)))))</f>
        <v>1</v>
      </c>
      <c r="AA364" s="0" t="n">
        <f aca="true">IF('Reverse Search'!$C$14="Disable",1,IF('Reverse Search'!$I$16="Disable",1,IF($D$2=3,IF($M364=0,0,COUNTIF(INDIRECT("'0.0.2 Pokémon Learnset (Core)'!$D$"&amp;MATCH($E364,'0.0.2 Pokémon Learnset (Core)'!$A$1:$A951,0)&amp;":$FK$"&amp;MATCH($E364,'0.0.2 Pokémon Learnset (Core)'!$A$1:$A951,0)),'Reverse Search'!$J$21)),IF($D$2=2,COUNTIF(INDIRECT("'0.1.1 Pokémon GO Moves'!$B$"&amp;MATCH($E364,'0.1.1 Pokémon GO Moves'!$A$1:$A951,0)&amp;":$R$"&amp;MATCH($E364,'0.1.1 Pokémon GO Moves'!$A$1:$A951,0)),'Reverse Search'!$J$21),COUNTIF(INDIRECT("'0.1.1 Pokémon GO Moves'!$B$"&amp;MATCH($E364,'0.1.1 Pokémon GO Moves'!$A$1:$A951,0)&amp;":$L$"&amp;MATCH($E364,'0.1.1 Pokémon GO Moves'!$A$1:$A951,0)),'Reverse Search'!$J$21)))))</f>
        <v>0</v>
      </c>
      <c r="AB364" s="490"/>
      <c r="AC364" s="260" t="n">
        <f aca="false">IF((Q364+R364+S364+V364+W364+X364+Y364+IF(Z364&gt;=1,1,0)+IF(AA364&gt;=1,1,0))=9,G364&amp;", ",)</f>
        <v>0</v>
      </c>
    </row>
    <row r="365" customFormat="false" ht="15.75" hidden="false" customHeight="false" outlineLevel="0" collapsed="false">
      <c r="A365" s="260"/>
      <c r="B365" s="358"/>
      <c r="C365" s="260"/>
      <c r="D365" s="358"/>
      <c r="E365" s="260" t="n">
        <v>364</v>
      </c>
      <c r="F365" s="260" t="n">
        <f aca="false" t="array" ref="F365:F365">INDEX('0.0.1 Pokémon Dex Data'!$H$3:$H951,MATCH(E365,'0.0.1 Pokémon Dex Data'!$B$3:$B951,0))</f>
        <v>0</v>
      </c>
      <c r="G365" s="0" t="str">
        <f aca="false" t="array" ref="G365:G365">INDEX('0.0.1 Pokémon Dex Data'!$E$3:$E951,MATCH(E365,'0.0.1 Pokémon Dex Data'!$B$3:$B951,0))</f>
        <v>Gulpin</v>
      </c>
      <c r="H365" s="0" t="str">
        <f aca="false" t="array" ref="H365:H365">INDEX('0.0.1 Pokémon Dex Data'!$Q$3:$Q951,MATCH(E365,'0.0.1 Pokémon Dex Data'!$B$3:$B951,0))</f>
        <v>Poison</v>
      </c>
      <c r="I365" s="0" t="n">
        <f aca="false">INDEX('0.0.1 Pokémon Dex Data'!$R$3:$R951,MATCH(E365,'0.0.1 Pokémon Dex Data'!$B$3:$B951,0))</f>
        <v>0</v>
      </c>
      <c r="J365" s="260" t="n">
        <f aca="false" t="array" ref="J365:J365">ROUND(INDEX('0.0.1 Pokémon Dex Data'!$S$3:$S951,MATCH($E365,'0.0.1 Pokémon Dex Data'!$B$3:$B951,0))*INDEX('0.0.1 Pokémon Dex Data'!T$3:T951,MATCH($E365,'0.0.1 Pokémon Dex Data'!$B$3:$B951,0)),0)</f>
        <v>80</v>
      </c>
      <c r="K365" s="260" t="n">
        <f aca="false" t="array" ref="K365:K365">ROUND(INDEX('0.0.1 Pokémon Dex Data'!$S$3:$S951,MATCH($E365,'0.0.1 Pokémon Dex Data'!$B$3:$B951,0))*INDEX('0.0.1 Pokémon Dex Data'!U$3:U951,MATCH($E365,'0.0.1 Pokémon Dex Data'!$B$3:$B951,0)),0)</f>
        <v>99</v>
      </c>
      <c r="L365" s="260" t="n">
        <f aca="false" t="array" ref="L365:L365">ROUND(INDEX('0.0.1 Pokémon Dex Data'!$S$3:$S951,MATCH($E365,'0.0.1 Pokémon Dex Data'!$B$3:$B951,0))*INDEX('0.0.1 Pokémon Dex Data'!V$3:V951,MATCH($E365,'0.0.1 Pokémon Dex Data'!$B$3:$B951,0)),0)</f>
        <v>172</v>
      </c>
      <c r="M365" s="260" t="n">
        <f aca="false" t="array" ref="M365:M365">INDEX('0.0.1 Pokémon Dex Data'!$J$3:$J951,MATCH(E365,'0.0.1 Pokémon Dex Data'!$B$3:$B951,0))</f>
        <v>0</v>
      </c>
      <c r="O365" s="490"/>
      <c r="Q365" s="367" t="n">
        <f aca="false">IF('Reverse Search'!$F$4="All (including temporary formes)",1,IF('Reverse Search'!$F$4="Base Pokémon and permanent formes only",IF(F365&lt;=1,1,0),IF(F365=0,1,0)))</f>
        <v>1</v>
      </c>
      <c r="R365" s="0" t="n">
        <f aca="false">IF('Reverse Search'!$C$7="Disable",1,IF('Reverse Search'!$D$9="Disable",1,IF(OR('Reverse Search'!$F$9=H365,'Reverse Search'!$F$9=I365),1,0)))</f>
        <v>1</v>
      </c>
      <c r="S365" s="0" t="n">
        <f aca="false">IF('Reverse Search'!$C$7="Disable",1,IF('Reverse Search'!$D$10="Disable",1,IF(OR('Reverse Search'!$F$10=H365,'Reverse Search'!$F$10=I365),1,0)))</f>
        <v>1</v>
      </c>
      <c r="T365" s="0" t="n">
        <f aca="false">INDEX($B$4:$B$22,MATCH(H365,$A$4:$A$22,0))</f>
        <v>1</v>
      </c>
      <c r="U365" s="0" t="e">
        <f aca="false">IF(ISBLANK(I365),1,INDEX($B$4:$B$22,MATCH(I365,$A$4:$A$22,0)))</f>
        <v>#N/A</v>
      </c>
      <c r="V365" s="367" t="n">
        <f aca="false">IF('Reverse Search'!$C$7="Disable",1,IF('Reverse Search'!$D$11="Disable",1,IF('Reverse Search'!$E$11="Neutral to:",IF(ROUND(T365*U365,2)&lt;=1,1,0),IF(ROUND(T365*U365,2)&lt;1,1,0))))</f>
        <v>1</v>
      </c>
      <c r="W365" s="0" t="n">
        <f aca="false">IF('Reverse Search'!$N$7="Disable",1,IF('Reverse Search'!$I$9="Disable",1,IF('Reverse Search'!$K$9="≥",IF(J365&gt;='Reverse Search'!$L$9,1,0),IF('Reverse Search'!$K$9="≤",IF(J365&lt;='Reverse Search'!$L$9,1,0),IF(J365='Reverse Search'!$L$9,1,0)))))</f>
        <v>1</v>
      </c>
      <c r="X365" s="0" t="n">
        <f aca="false">IF('Reverse Search'!$N$7="Disable",1,IF('Reverse Search'!$I$10="Disable",1,IF('Reverse Search'!$K$10="≥",IF(K365&gt;='Reverse Search'!$L$10,1,0),IF('Reverse Search'!$K$10="≤",IF(K365&lt;='Reverse Search'!$L$10,1,0),IF(K365='Reverse Search'!$L$10,1,0)))))</f>
        <v>1</v>
      </c>
      <c r="Y365" s="367" t="n">
        <f aca="false">IF('Reverse Search'!$N$7="Disable",1,IF('Reverse Search'!$I$11="Disable",1,IF('Reverse Search'!$K$11="≥",IF(L365&gt;='Reverse Search'!$L$11,1,0),IF('Reverse Search'!$K$11="≤",IF(L365&lt;='Reverse Search'!$L$11,1,0),IF(L365='Reverse Search'!$L$11,1,0)))))</f>
        <v>1</v>
      </c>
      <c r="Z365" s="0" t="n">
        <f aca="true">IF('Reverse Search'!$C$14="Disable",1,IF('Reverse Search'!$D$16="Disable",1,IF($C$2=3,IF($M365=0,0,COUNTIF(INDIRECT("'0.0.2 Pokémon Learnset (Core)'!$D$"&amp;MATCH($E365,'0.0.2 Pokémon Learnset (Core)'!$A$1:$A951,0)&amp;":$FK$"&amp;MATCH($E365,'0.0.2 Pokémon Learnset (Core)'!$A$1:$A951,0)),'Reverse Search'!$E$21)),IF($C$2=2,COUNTIF(INDIRECT("'0.1.1 Pokémon GO Moves'!$B$"&amp;MATCH($E365,'0.1.1 Pokémon GO Moves'!$A$1:$A951,0)&amp;":$R$"&amp;MATCH($E365,'0.1.1 Pokémon GO Moves'!$A$1:$A951,0)),'Reverse Search'!$E$21),COUNTIF(INDIRECT("'0.1.1 Pokémon GO Moves'!$B$"&amp;MATCH($E365,'0.1.1 Pokémon GO Moves'!$A$1:$A951,0)&amp;":$L$"&amp;MATCH($E365,'0.1.1 Pokémon GO Moves'!$A$1:$A951,0)),'Reverse Search'!$E$21)))))</f>
        <v>1</v>
      </c>
      <c r="AA365" s="0" t="n">
        <f aca="true">IF('Reverse Search'!$C$14="Disable",1,IF('Reverse Search'!$I$16="Disable",1,IF($D$2=3,IF($M365=0,0,COUNTIF(INDIRECT("'0.0.2 Pokémon Learnset (Core)'!$D$"&amp;MATCH($E365,'0.0.2 Pokémon Learnset (Core)'!$A$1:$A951,0)&amp;":$FK$"&amp;MATCH($E365,'0.0.2 Pokémon Learnset (Core)'!$A$1:$A951,0)),'Reverse Search'!$J$21)),IF($D$2=2,COUNTIF(INDIRECT("'0.1.1 Pokémon GO Moves'!$B$"&amp;MATCH($E365,'0.1.1 Pokémon GO Moves'!$A$1:$A951,0)&amp;":$R$"&amp;MATCH($E365,'0.1.1 Pokémon GO Moves'!$A$1:$A951,0)),'Reverse Search'!$J$21),COUNTIF(INDIRECT("'0.1.1 Pokémon GO Moves'!$B$"&amp;MATCH($E365,'0.1.1 Pokémon GO Moves'!$A$1:$A951,0)&amp;":$L$"&amp;MATCH($E365,'0.1.1 Pokémon GO Moves'!$A$1:$A951,0)),'Reverse Search'!$J$21)))))</f>
        <v>0</v>
      </c>
      <c r="AB365" s="490"/>
      <c r="AC365" s="260" t="n">
        <f aca="false">IF((Q365+R365+S365+V365+W365+X365+Y365+IF(Z365&gt;=1,1,0)+IF(AA365&gt;=1,1,0))=9,G365&amp;", ",)</f>
        <v>0</v>
      </c>
    </row>
    <row r="366" customFormat="false" ht="15.75" hidden="false" customHeight="false" outlineLevel="0" collapsed="false">
      <c r="A366" s="260"/>
      <c r="B366" s="358"/>
      <c r="C366" s="260"/>
      <c r="D366" s="358"/>
      <c r="E366" s="260" t="n">
        <v>365</v>
      </c>
      <c r="F366" s="260" t="n">
        <f aca="false" t="array" ref="F366:F366">INDEX('0.0.1 Pokémon Dex Data'!$H$3:$H951,MATCH(E366,'0.0.1 Pokémon Dex Data'!$B$3:$B951,0))</f>
        <v>0</v>
      </c>
      <c r="G366" s="0" t="str">
        <f aca="false" t="array" ref="G366:G366">INDEX('0.0.1 Pokémon Dex Data'!$E$3:$E951,MATCH(E366,'0.0.1 Pokémon Dex Data'!$B$3:$B951,0))</f>
        <v>Swalot</v>
      </c>
      <c r="H366" s="0" t="str">
        <f aca="false" t="array" ref="H366:H366">INDEX('0.0.1 Pokémon Dex Data'!$Q$3:$Q951,MATCH(E366,'0.0.1 Pokémon Dex Data'!$B$3:$B951,0))</f>
        <v>Poison</v>
      </c>
      <c r="I366" s="0" t="n">
        <f aca="false">INDEX('0.0.1 Pokémon Dex Data'!$R$3:$R951,MATCH(E366,'0.0.1 Pokémon Dex Data'!$B$3:$B951,0))</f>
        <v>0</v>
      </c>
      <c r="J366" s="260" t="n">
        <f aca="false" t="array" ref="J366:J366">ROUND(INDEX('0.0.1 Pokémon Dex Data'!$S$3:$S951,MATCH($E366,'0.0.1 Pokémon Dex Data'!$B$3:$B951,0))*INDEX('0.0.1 Pokémon Dex Data'!T$3:T951,MATCH($E366,'0.0.1 Pokémon Dex Data'!$B$3:$B951,0)),0)</f>
        <v>140</v>
      </c>
      <c r="K366" s="260" t="n">
        <f aca="false" t="array" ref="K366:K366">ROUND(INDEX('0.0.1 Pokémon Dex Data'!$S$3:$S951,MATCH($E366,'0.0.1 Pokémon Dex Data'!$B$3:$B951,0))*INDEX('0.0.1 Pokémon Dex Data'!U$3:U951,MATCH($E366,'0.0.1 Pokémon Dex Data'!$B$3:$B951,0)),0)</f>
        <v>159</v>
      </c>
      <c r="L366" s="260" t="n">
        <f aca="false" t="array" ref="L366:L366">ROUND(INDEX('0.0.1 Pokémon Dex Data'!$S$3:$S951,MATCH($E366,'0.0.1 Pokémon Dex Data'!$B$3:$B951,0))*INDEX('0.0.1 Pokémon Dex Data'!V$3:V951,MATCH($E366,'0.0.1 Pokémon Dex Data'!$B$3:$B951,0)),0)</f>
        <v>225</v>
      </c>
      <c r="M366" s="260" t="n">
        <f aca="false" t="array" ref="M366:M366">INDEX('0.0.1 Pokémon Dex Data'!$J$3:$J951,MATCH(E366,'0.0.1 Pokémon Dex Data'!$B$3:$B951,0))</f>
        <v>1</v>
      </c>
      <c r="O366" s="490"/>
      <c r="Q366" s="367" t="n">
        <f aca="false">IF('Reverse Search'!$F$4="All (including temporary formes)",1,IF('Reverse Search'!$F$4="Base Pokémon and permanent formes only",IF(F366&lt;=1,1,0),IF(F366=0,1,0)))</f>
        <v>1</v>
      </c>
      <c r="R366" s="0" t="n">
        <f aca="false">IF('Reverse Search'!$C$7="Disable",1,IF('Reverse Search'!$D$9="Disable",1,IF(OR('Reverse Search'!$F$9=H366,'Reverse Search'!$F$9=I366),1,0)))</f>
        <v>1</v>
      </c>
      <c r="S366" s="0" t="n">
        <f aca="false">IF('Reverse Search'!$C$7="Disable",1,IF('Reverse Search'!$D$10="Disable",1,IF(OR('Reverse Search'!$F$10=H366,'Reverse Search'!$F$10=I366),1,0)))</f>
        <v>1</v>
      </c>
      <c r="T366" s="0" t="n">
        <f aca="false">INDEX($B$4:$B$22,MATCH(H366,$A$4:$A$22,0))</f>
        <v>1</v>
      </c>
      <c r="U366" s="0" t="e">
        <f aca="false">IF(ISBLANK(I366),1,INDEX($B$4:$B$22,MATCH(I366,$A$4:$A$22,0)))</f>
        <v>#N/A</v>
      </c>
      <c r="V366" s="367" t="n">
        <f aca="false">IF('Reverse Search'!$C$7="Disable",1,IF('Reverse Search'!$D$11="Disable",1,IF('Reverse Search'!$E$11="Neutral to:",IF(ROUND(T366*U366,2)&lt;=1,1,0),IF(ROUND(T366*U366,2)&lt;1,1,0))))</f>
        <v>1</v>
      </c>
      <c r="W366" s="0" t="n">
        <f aca="false">IF('Reverse Search'!$N$7="Disable",1,IF('Reverse Search'!$I$9="Disable",1,IF('Reverse Search'!$K$9="≥",IF(J366&gt;='Reverse Search'!$L$9,1,0),IF('Reverse Search'!$K$9="≤",IF(J366&lt;='Reverse Search'!$L$9,1,0),IF(J366='Reverse Search'!$L$9,1,0)))))</f>
        <v>1</v>
      </c>
      <c r="X366" s="0" t="n">
        <f aca="false">IF('Reverse Search'!$N$7="Disable",1,IF('Reverse Search'!$I$10="Disable",1,IF('Reverse Search'!$K$10="≥",IF(K366&gt;='Reverse Search'!$L$10,1,0),IF('Reverse Search'!$K$10="≤",IF(K366&lt;='Reverse Search'!$L$10,1,0),IF(K366='Reverse Search'!$L$10,1,0)))))</f>
        <v>1</v>
      </c>
      <c r="Y366" s="367" t="n">
        <f aca="false">IF('Reverse Search'!$N$7="Disable",1,IF('Reverse Search'!$I$11="Disable",1,IF('Reverse Search'!$K$11="≥",IF(L366&gt;='Reverse Search'!$L$11,1,0),IF('Reverse Search'!$K$11="≤",IF(L366&lt;='Reverse Search'!$L$11,1,0),IF(L366='Reverse Search'!$L$11,1,0)))))</f>
        <v>1</v>
      </c>
      <c r="Z366" s="0" t="n">
        <f aca="true">IF('Reverse Search'!$C$14="Disable",1,IF('Reverse Search'!$D$16="Disable",1,IF($C$2=3,IF($M366=0,0,COUNTIF(INDIRECT("'0.0.2 Pokémon Learnset (Core)'!$D$"&amp;MATCH($E366,'0.0.2 Pokémon Learnset (Core)'!$A$1:$A951,0)&amp;":$FK$"&amp;MATCH($E366,'0.0.2 Pokémon Learnset (Core)'!$A$1:$A951,0)),'Reverse Search'!$E$21)),IF($C$2=2,COUNTIF(INDIRECT("'0.1.1 Pokémon GO Moves'!$B$"&amp;MATCH($E366,'0.1.1 Pokémon GO Moves'!$A$1:$A951,0)&amp;":$R$"&amp;MATCH($E366,'0.1.1 Pokémon GO Moves'!$A$1:$A951,0)),'Reverse Search'!$E$21),COUNTIF(INDIRECT("'0.1.1 Pokémon GO Moves'!$B$"&amp;MATCH($E366,'0.1.1 Pokémon GO Moves'!$A$1:$A951,0)&amp;":$L$"&amp;MATCH($E366,'0.1.1 Pokémon GO Moves'!$A$1:$A951,0)),'Reverse Search'!$E$21)))))</f>
        <v>1</v>
      </c>
      <c r="AA366" s="0" t="n">
        <f aca="true">IF('Reverse Search'!$C$14="Disable",1,IF('Reverse Search'!$I$16="Disable",1,IF($D$2=3,IF($M366=0,0,COUNTIF(INDIRECT("'0.0.2 Pokémon Learnset (Core)'!$D$"&amp;MATCH($E366,'0.0.2 Pokémon Learnset (Core)'!$A$1:$A951,0)&amp;":$FK$"&amp;MATCH($E366,'0.0.2 Pokémon Learnset (Core)'!$A$1:$A951,0)),'Reverse Search'!$J$21)),IF($D$2=2,COUNTIF(INDIRECT("'0.1.1 Pokémon GO Moves'!$B$"&amp;MATCH($E366,'0.1.1 Pokémon GO Moves'!$A$1:$A951,0)&amp;":$R$"&amp;MATCH($E366,'0.1.1 Pokémon GO Moves'!$A$1:$A951,0)),'Reverse Search'!$J$21),COUNTIF(INDIRECT("'0.1.1 Pokémon GO Moves'!$B$"&amp;MATCH($E366,'0.1.1 Pokémon GO Moves'!$A$1:$A951,0)&amp;":$L$"&amp;MATCH($E366,'0.1.1 Pokémon GO Moves'!$A$1:$A951,0)),'Reverse Search'!$J$21)))))</f>
        <v>0</v>
      </c>
      <c r="AB366" s="490"/>
      <c r="AC366" s="260" t="n">
        <f aca="false">IF((Q366+R366+S366+V366+W366+X366+Y366+IF(Z366&gt;=1,1,0)+IF(AA366&gt;=1,1,0))=9,G366&amp;", ",)</f>
        <v>0</v>
      </c>
    </row>
    <row r="367" customFormat="false" ht="15.75" hidden="false" customHeight="false" outlineLevel="0" collapsed="false">
      <c r="A367" s="260"/>
      <c r="B367" s="358"/>
      <c r="C367" s="260"/>
      <c r="D367" s="358"/>
      <c r="E367" s="260" t="n">
        <v>366</v>
      </c>
      <c r="F367" s="260" t="n">
        <f aca="false" t="array" ref="F367:F367">INDEX('0.0.1 Pokémon Dex Data'!$H$3:$H951,MATCH(E367,'0.0.1 Pokémon Dex Data'!$B$3:$B951,0))</f>
        <v>0</v>
      </c>
      <c r="G367" s="0" t="str">
        <f aca="false" t="array" ref="G367:G367">INDEX('0.0.1 Pokémon Dex Data'!$E$3:$E951,MATCH(E367,'0.0.1 Pokémon Dex Data'!$B$3:$B951,0))</f>
        <v>Carvanha</v>
      </c>
      <c r="H367" s="0" t="str">
        <f aca="false" t="array" ref="H367:H367">INDEX('0.0.1 Pokémon Dex Data'!$Q$3:$Q951,MATCH(E367,'0.0.1 Pokémon Dex Data'!$B$3:$B951,0))</f>
        <v>Water</v>
      </c>
      <c r="I367" s="0" t="str">
        <f aca="false" t="array" ref="I367:I367">INDEX('0.0.1 Pokémon Dex Data'!$R$3:$R951,MATCH(E367,'0.0.1 Pokémon Dex Data'!$B$3:$B951,0))</f>
        <v>Dark</v>
      </c>
      <c r="J367" s="260" t="n">
        <f aca="false" t="array" ref="J367:J367">ROUND(INDEX('0.0.1 Pokémon Dex Data'!$S$3:$S951,MATCH($E367,'0.0.1 Pokémon Dex Data'!$B$3:$B951,0))*INDEX('0.0.1 Pokémon Dex Data'!T$3:T951,MATCH($E367,'0.0.1 Pokémon Dex Data'!$B$3:$B951,0)),0)</f>
        <v>171</v>
      </c>
      <c r="K367" s="260" t="n">
        <f aca="false" t="array" ref="K367:K367">ROUND(INDEX('0.0.1 Pokémon Dex Data'!$S$3:$S951,MATCH($E367,'0.0.1 Pokémon Dex Data'!$B$3:$B951,0))*INDEX('0.0.1 Pokémon Dex Data'!U$3:U951,MATCH($E367,'0.0.1 Pokémon Dex Data'!$B$3:$B951,0)),0)</f>
        <v>39</v>
      </c>
      <c r="L367" s="260" t="n">
        <f aca="false" t="array" ref="L367:L367">ROUND(INDEX('0.0.1 Pokémon Dex Data'!$S$3:$S951,MATCH($E367,'0.0.1 Pokémon Dex Data'!$B$3:$B951,0))*INDEX('0.0.1 Pokémon Dex Data'!V$3:V951,MATCH($E367,'0.0.1 Pokémon Dex Data'!$B$3:$B951,0)),0)</f>
        <v>128</v>
      </c>
      <c r="M367" s="260" t="n">
        <f aca="false" t="array" ref="M367:M367">INDEX('0.0.1 Pokémon Dex Data'!$J$3:$J951,MATCH(E367,'0.0.1 Pokémon Dex Data'!$B$3:$B951,0))</f>
        <v>0</v>
      </c>
      <c r="O367" s="490"/>
      <c r="Q367" s="367" t="n">
        <f aca="false">IF('Reverse Search'!$F$4="All (including temporary formes)",1,IF('Reverse Search'!$F$4="Base Pokémon and permanent formes only",IF(F367&lt;=1,1,0),IF(F367=0,1,0)))</f>
        <v>1</v>
      </c>
      <c r="R367" s="0" t="n">
        <f aca="false">IF('Reverse Search'!$C$7="Disable",1,IF('Reverse Search'!$D$9="Disable",1,IF(OR('Reverse Search'!$F$9=H367,'Reverse Search'!$F$9=I367),1,0)))</f>
        <v>1</v>
      </c>
      <c r="S367" s="0" t="n">
        <f aca="false">IF('Reverse Search'!$C$7="Disable",1,IF('Reverse Search'!$D$10="Disable",1,IF(OR('Reverse Search'!$F$10=H367,'Reverse Search'!$F$10=I367),1,0)))</f>
        <v>1</v>
      </c>
      <c r="T367" s="0" t="n">
        <f aca="false">INDEX($B$4:$B$22,MATCH(H367,$A$4:$A$22,0))</f>
        <v>1</v>
      </c>
      <c r="U367" s="0" t="n">
        <f aca="false">IF(ISBLANK(I367),1,INDEX($B$4:$B$22,MATCH(I367,$A$4:$A$22,0)))</f>
        <v>1</v>
      </c>
      <c r="V367" s="367" t="n">
        <f aca="false">IF('Reverse Search'!$C$7="Disable",1,IF('Reverse Search'!$D$11="Disable",1,IF('Reverse Search'!$E$11="Neutral to:",IF(ROUND(T367*U367,2)&lt;=1,1,0),IF(ROUND(T367*U367,2)&lt;1,1,0))))</f>
        <v>1</v>
      </c>
      <c r="W367" s="0" t="n">
        <f aca="false">IF('Reverse Search'!$N$7="Disable",1,IF('Reverse Search'!$I$9="Disable",1,IF('Reverse Search'!$K$9="≥",IF(J367&gt;='Reverse Search'!$L$9,1,0),IF('Reverse Search'!$K$9="≤",IF(J367&lt;='Reverse Search'!$L$9,1,0),IF(J367='Reverse Search'!$L$9,1,0)))))</f>
        <v>1</v>
      </c>
      <c r="X367" s="0" t="n">
        <f aca="false">IF('Reverse Search'!$N$7="Disable",1,IF('Reverse Search'!$I$10="Disable",1,IF('Reverse Search'!$K$10="≥",IF(K367&gt;='Reverse Search'!$L$10,1,0),IF('Reverse Search'!$K$10="≤",IF(K367&lt;='Reverse Search'!$L$10,1,0),IF(K367='Reverse Search'!$L$10,1,0)))))</f>
        <v>1</v>
      </c>
      <c r="Y367" s="367" t="n">
        <f aca="false">IF('Reverse Search'!$N$7="Disable",1,IF('Reverse Search'!$I$11="Disable",1,IF('Reverse Search'!$K$11="≥",IF(L367&gt;='Reverse Search'!$L$11,1,0),IF('Reverse Search'!$K$11="≤",IF(L367&lt;='Reverse Search'!$L$11,1,0),IF(L367='Reverse Search'!$L$11,1,0)))))</f>
        <v>1</v>
      </c>
      <c r="Z367" s="0" t="n">
        <f aca="true">IF('Reverse Search'!$C$14="Disable",1,IF('Reverse Search'!$D$16="Disable",1,IF($C$2=3,IF($M367=0,0,COUNTIF(INDIRECT("'0.0.2 Pokémon Learnset (Core)'!$D$"&amp;MATCH($E367,'0.0.2 Pokémon Learnset (Core)'!$A$1:$A951,0)&amp;":$FK$"&amp;MATCH($E367,'0.0.2 Pokémon Learnset (Core)'!$A$1:$A951,0)),'Reverse Search'!$E$21)),IF($C$2=2,COUNTIF(INDIRECT("'0.1.1 Pokémon GO Moves'!$B$"&amp;MATCH($E367,'0.1.1 Pokémon GO Moves'!$A$1:$A951,0)&amp;":$R$"&amp;MATCH($E367,'0.1.1 Pokémon GO Moves'!$A$1:$A951,0)),'Reverse Search'!$E$21),COUNTIF(INDIRECT("'0.1.1 Pokémon GO Moves'!$B$"&amp;MATCH($E367,'0.1.1 Pokémon GO Moves'!$A$1:$A951,0)&amp;":$L$"&amp;MATCH($E367,'0.1.1 Pokémon GO Moves'!$A$1:$A951,0)),'Reverse Search'!$E$21)))))</f>
        <v>1</v>
      </c>
      <c r="AA367" s="0" t="n">
        <f aca="true">IF('Reverse Search'!$C$14="Disable",1,IF('Reverse Search'!$I$16="Disable",1,IF($D$2=3,IF($M367=0,0,COUNTIF(INDIRECT("'0.0.2 Pokémon Learnset (Core)'!$D$"&amp;MATCH($E367,'0.0.2 Pokémon Learnset (Core)'!$A$1:$A951,0)&amp;":$FK$"&amp;MATCH($E367,'0.0.2 Pokémon Learnset (Core)'!$A$1:$A951,0)),'Reverse Search'!$J$21)),IF($D$2=2,COUNTIF(INDIRECT("'0.1.1 Pokémon GO Moves'!$B$"&amp;MATCH($E367,'0.1.1 Pokémon GO Moves'!$A$1:$A951,0)&amp;":$R$"&amp;MATCH($E367,'0.1.1 Pokémon GO Moves'!$A$1:$A951,0)),'Reverse Search'!$J$21),COUNTIF(INDIRECT("'0.1.1 Pokémon GO Moves'!$B$"&amp;MATCH($E367,'0.1.1 Pokémon GO Moves'!$A$1:$A951,0)&amp;":$L$"&amp;MATCH($E367,'0.1.1 Pokémon GO Moves'!$A$1:$A951,0)),'Reverse Search'!$J$21)))))</f>
        <v>0</v>
      </c>
      <c r="AB367" s="490"/>
      <c r="AC367" s="260" t="n">
        <f aca="false">IF((Q367+R367+S367+V367+W367+X367+Y367+IF(Z367&gt;=1,1,0)+IF(AA367&gt;=1,1,0))=9,G367&amp;", ",)</f>
        <v>0</v>
      </c>
    </row>
    <row r="368" customFormat="false" ht="15.75" hidden="false" customHeight="false" outlineLevel="0" collapsed="false">
      <c r="A368" s="260"/>
      <c r="B368" s="358"/>
      <c r="C368" s="260"/>
      <c r="D368" s="358"/>
      <c r="E368" s="260" t="n">
        <v>367</v>
      </c>
      <c r="F368" s="260" t="n">
        <f aca="false" t="array" ref="F368:F368">INDEX('0.0.1 Pokémon Dex Data'!$H$3:$H951,MATCH(E368,'0.0.1 Pokémon Dex Data'!$B$3:$B951,0))</f>
        <v>0</v>
      </c>
      <c r="G368" s="0" t="str">
        <f aca="false" t="array" ref="G368:G368">INDEX('0.0.1 Pokémon Dex Data'!$E$3:$E951,MATCH(E368,'0.0.1 Pokémon Dex Data'!$B$3:$B951,0))</f>
        <v>Sharpedo</v>
      </c>
      <c r="H368" s="0" t="str">
        <f aca="false" t="array" ref="H368:H368">INDEX('0.0.1 Pokémon Dex Data'!$Q$3:$Q951,MATCH(E368,'0.0.1 Pokémon Dex Data'!$B$3:$B951,0))</f>
        <v>Water</v>
      </c>
      <c r="I368" s="0" t="str">
        <f aca="false" t="array" ref="I368:I368">INDEX('0.0.1 Pokémon Dex Data'!$R$3:$R951,MATCH(E368,'0.0.1 Pokémon Dex Data'!$B$3:$B951,0))</f>
        <v>Dark</v>
      </c>
      <c r="J368" s="260" t="n">
        <f aca="false" t="array" ref="J368:J368">ROUND(INDEX('0.0.1 Pokémon Dex Data'!$S$3:$S951,MATCH($E368,'0.0.1 Pokémon Dex Data'!$B$3:$B951,0))*INDEX('0.0.1 Pokémon Dex Data'!T$3:T951,MATCH($E368,'0.0.1 Pokémon Dex Data'!$B$3:$B951,0)),0)</f>
        <v>243</v>
      </c>
      <c r="K368" s="260" t="n">
        <f aca="false" t="array" ref="K368:K368">ROUND(INDEX('0.0.1 Pokémon Dex Data'!$S$3:$S951,MATCH($E368,'0.0.1 Pokémon Dex Data'!$B$3:$B951,0))*INDEX('0.0.1 Pokémon Dex Data'!U$3:U951,MATCH($E368,'0.0.1 Pokémon Dex Data'!$B$3:$B951,0)),0)</f>
        <v>83</v>
      </c>
      <c r="L368" s="260" t="n">
        <f aca="false" t="array" ref="L368:L368">ROUND(INDEX('0.0.1 Pokémon Dex Data'!$S$3:$S951,MATCH($E368,'0.0.1 Pokémon Dex Data'!$B$3:$B951,0))*INDEX('0.0.1 Pokémon Dex Data'!V$3:V951,MATCH($E368,'0.0.1 Pokémon Dex Data'!$B$3:$B951,0)),0)</f>
        <v>172</v>
      </c>
      <c r="M368" s="260" t="n">
        <f aca="false" t="array" ref="M368:M368">INDEX('0.0.1 Pokémon Dex Data'!$J$3:$J951,MATCH(E368,'0.0.1 Pokémon Dex Data'!$B$3:$B951,0))</f>
        <v>1</v>
      </c>
      <c r="O368" s="490"/>
      <c r="Q368" s="367" t="n">
        <f aca="false">IF('Reverse Search'!$F$4="All (including temporary formes)",1,IF('Reverse Search'!$F$4="Base Pokémon and permanent formes only",IF(F368&lt;=1,1,0),IF(F368=0,1,0)))</f>
        <v>1</v>
      </c>
      <c r="R368" s="0" t="n">
        <f aca="false">IF('Reverse Search'!$C$7="Disable",1,IF('Reverse Search'!$D$9="Disable",1,IF(OR('Reverse Search'!$F$9=H368,'Reverse Search'!$F$9=I368),1,0)))</f>
        <v>1</v>
      </c>
      <c r="S368" s="0" t="n">
        <f aca="false">IF('Reverse Search'!$C$7="Disable",1,IF('Reverse Search'!$D$10="Disable",1,IF(OR('Reverse Search'!$F$10=H368,'Reverse Search'!$F$10=I368),1,0)))</f>
        <v>1</v>
      </c>
      <c r="T368" s="0" t="n">
        <f aca="false">INDEX($B$4:$B$22,MATCH(H368,$A$4:$A$22,0))</f>
        <v>1</v>
      </c>
      <c r="U368" s="0" t="n">
        <f aca="false">IF(ISBLANK(I368),1,INDEX($B$4:$B$22,MATCH(I368,$A$4:$A$22,0)))</f>
        <v>1</v>
      </c>
      <c r="V368" s="367" t="n">
        <f aca="false">IF('Reverse Search'!$C$7="Disable",1,IF('Reverse Search'!$D$11="Disable",1,IF('Reverse Search'!$E$11="Neutral to:",IF(ROUND(T368*U368,2)&lt;=1,1,0),IF(ROUND(T368*U368,2)&lt;1,1,0))))</f>
        <v>1</v>
      </c>
      <c r="W368" s="0" t="n">
        <f aca="false">IF('Reverse Search'!$N$7="Disable",1,IF('Reverse Search'!$I$9="Disable",1,IF('Reverse Search'!$K$9="≥",IF(J368&gt;='Reverse Search'!$L$9,1,0),IF('Reverse Search'!$K$9="≤",IF(J368&lt;='Reverse Search'!$L$9,1,0),IF(J368='Reverse Search'!$L$9,1,0)))))</f>
        <v>1</v>
      </c>
      <c r="X368" s="0" t="n">
        <f aca="false">IF('Reverse Search'!$N$7="Disable",1,IF('Reverse Search'!$I$10="Disable",1,IF('Reverse Search'!$K$10="≥",IF(K368&gt;='Reverse Search'!$L$10,1,0),IF('Reverse Search'!$K$10="≤",IF(K368&lt;='Reverse Search'!$L$10,1,0),IF(K368='Reverse Search'!$L$10,1,0)))))</f>
        <v>1</v>
      </c>
      <c r="Y368" s="367" t="n">
        <f aca="false">IF('Reverse Search'!$N$7="Disable",1,IF('Reverse Search'!$I$11="Disable",1,IF('Reverse Search'!$K$11="≥",IF(L368&gt;='Reverse Search'!$L$11,1,0),IF('Reverse Search'!$K$11="≤",IF(L368&lt;='Reverse Search'!$L$11,1,0),IF(L368='Reverse Search'!$L$11,1,0)))))</f>
        <v>1</v>
      </c>
      <c r="Z368" s="0" t="n">
        <f aca="true">IF('Reverse Search'!$C$14="Disable",1,IF('Reverse Search'!$D$16="Disable",1,IF($C$2=3,IF($M368=0,0,COUNTIF(INDIRECT("'0.0.2 Pokémon Learnset (Core)'!$D$"&amp;MATCH($E368,'0.0.2 Pokémon Learnset (Core)'!$A$1:$A951,0)&amp;":$FK$"&amp;MATCH($E368,'0.0.2 Pokémon Learnset (Core)'!$A$1:$A951,0)),'Reverse Search'!$E$21)),IF($C$2=2,COUNTIF(INDIRECT("'0.1.1 Pokémon GO Moves'!$B$"&amp;MATCH($E368,'0.1.1 Pokémon GO Moves'!$A$1:$A951,0)&amp;":$R$"&amp;MATCH($E368,'0.1.1 Pokémon GO Moves'!$A$1:$A951,0)),'Reverse Search'!$E$21),COUNTIF(INDIRECT("'0.1.1 Pokémon GO Moves'!$B$"&amp;MATCH($E368,'0.1.1 Pokémon GO Moves'!$A$1:$A951,0)&amp;":$L$"&amp;MATCH($E368,'0.1.1 Pokémon GO Moves'!$A$1:$A951,0)),'Reverse Search'!$E$21)))))</f>
        <v>1</v>
      </c>
      <c r="AA368" s="0" t="n">
        <f aca="true">IF('Reverse Search'!$C$14="Disable",1,IF('Reverse Search'!$I$16="Disable",1,IF($D$2=3,IF($M368=0,0,COUNTIF(INDIRECT("'0.0.2 Pokémon Learnset (Core)'!$D$"&amp;MATCH($E368,'0.0.2 Pokémon Learnset (Core)'!$A$1:$A951,0)&amp;":$FK$"&amp;MATCH($E368,'0.0.2 Pokémon Learnset (Core)'!$A$1:$A951,0)),'Reverse Search'!$J$21)),IF($D$2=2,COUNTIF(INDIRECT("'0.1.1 Pokémon GO Moves'!$B$"&amp;MATCH($E368,'0.1.1 Pokémon GO Moves'!$A$1:$A951,0)&amp;":$R$"&amp;MATCH($E368,'0.1.1 Pokémon GO Moves'!$A$1:$A951,0)),'Reverse Search'!$J$21),COUNTIF(INDIRECT("'0.1.1 Pokémon GO Moves'!$B$"&amp;MATCH($E368,'0.1.1 Pokémon GO Moves'!$A$1:$A951,0)&amp;":$L$"&amp;MATCH($E368,'0.1.1 Pokémon GO Moves'!$A$1:$A951,0)),'Reverse Search'!$J$21)))))</f>
        <v>0</v>
      </c>
      <c r="AB368" s="490"/>
      <c r="AC368" s="260" t="n">
        <f aca="false">IF((Q368+R368+S368+V368+W368+X368+Y368+IF(Z368&gt;=1,1,0)+IF(AA368&gt;=1,1,0))=9,G368&amp;", ",)</f>
        <v>0</v>
      </c>
    </row>
    <row r="369" customFormat="false" ht="15.75" hidden="false" customHeight="false" outlineLevel="0" collapsed="false">
      <c r="A369" s="260"/>
      <c r="B369" s="358"/>
      <c r="C369" s="260"/>
      <c r="D369" s="358"/>
      <c r="E369" s="260" t="n">
        <v>368</v>
      </c>
      <c r="F369" s="260" t="n">
        <f aca="false" t="array" ref="F369:F369">INDEX('0.0.1 Pokémon Dex Data'!$H$3:$H951,MATCH(E369,'0.0.1 Pokémon Dex Data'!$B$3:$B951,0))</f>
        <v>2</v>
      </c>
      <c r="G369" s="0" t="str">
        <f aca="false" t="array" ref="G369:G369">INDEX('0.0.1 Pokémon Dex Data'!$E$3:$E951,MATCH(E369,'0.0.1 Pokémon Dex Data'!$B$3:$B951,0))</f>
        <v>Sharpedo-Mega</v>
      </c>
      <c r="H369" s="0" t="str">
        <f aca="false" t="array" ref="H369:H369">INDEX('0.0.1 Pokémon Dex Data'!$Q$3:$Q951,MATCH(E369,'0.0.1 Pokémon Dex Data'!$B$3:$B951,0))</f>
        <v>Water</v>
      </c>
      <c r="I369" s="0" t="str">
        <f aca="false" t="array" ref="I369:I369">INDEX('0.0.1 Pokémon Dex Data'!$R$3:$R951,MATCH(E369,'0.0.1 Pokémon Dex Data'!$B$3:$B951,0))</f>
        <v>Dark</v>
      </c>
      <c r="J369" s="260" t="n">
        <f aca="false" t="array" ref="J369:J369">ROUND(INDEX('0.0.1 Pokémon Dex Data'!$S$3:$S951,MATCH($E369,'0.0.1 Pokémon Dex Data'!$B$3:$B951,0))*INDEX('0.0.1 Pokémon Dex Data'!T$3:T951,MATCH($E369,'0.0.1 Pokémon Dex Data'!$B$3:$B951,0)),0)</f>
        <v>289</v>
      </c>
      <c r="K369" s="260" t="n">
        <f aca="false" t="array" ref="K369:K369">ROUND(INDEX('0.0.1 Pokémon Dex Data'!$S$3:$S951,MATCH($E369,'0.0.1 Pokémon Dex Data'!$B$3:$B951,0))*INDEX('0.0.1 Pokémon Dex Data'!U$3:U951,MATCH($E369,'0.0.1 Pokémon Dex Data'!$B$3:$B951,0)),0)</f>
        <v>144</v>
      </c>
      <c r="L369" s="260" t="n">
        <f aca="false" t="array" ref="L369:L369">ROUND(INDEX('0.0.1 Pokémon Dex Data'!$S$3:$S951,MATCH($E369,'0.0.1 Pokémon Dex Data'!$B$3:$B951,0))*INDEX('0.0.1 Pokémon Dex Data'!V$3:V951,MATCH($E369,'0.0.1 Pokémon Dex Data'!$B$3:$B951,0)),0)</f>
        <v>172</v>
      </c>
      <c r="M369" s="260" t="n">
        <f aca="false" t="array" ref="M369:M369">INDEX('0.0.1 Pokémon Dex Data'!$J$3:$J951,MATCH(E369,'0.0.1 Pokémon Dex Data'!$B$3:$B951,0))</f>
        <v>1</v>
      </c>
      <c r="O369" s="490"/>
      <c r="Q369" s="367" t="n">
        <f aca="false">IF('Reverse Search'!$F$4="All (including temporary formes)",1,IF('Reverse Search'!$F$4="Base Pokémon and permanent formes only",IF(F369&lt;=1,1,0),IF(F369=0,1,0)))</f>
        <v>0</v>
      </c>
      <c r="R369" s="0" t="n">
        <f aca="false">IF('Reverse Search'!$C$7="Disable",1,IF('Reverse Search'!$D$9="Disable",1,IF(OR('Reverse Search'!$F$9=H369,'Reverse Search'!$F$9=I369),1,0)))</f>
        <v>1</v>
      </c>
      <c r="S369" s="0" t="n">
        <f aca="false">IF('Reverse Search'!$C$7="Disable",1,IF('Reverse Search'!$D$10="Disable",1,IF(OR('Reverse Search'!$F$10=H369,'Reverse Search'!$F$10=I369),1,0)))</f>
        <v>1</v>
      </c>
      <c r="T369" s="0" t="n">
        <f aca="false">INDEX($B$4:$B$22,MATCH(H369,$A$4:$A$22,0))</f>
        <v>1</v>
      </c>
      <c r="U369" s="0" t="n">
        <f aca="false">IF(ISBLANK(I369),1,INDEX($B$4:$B$22,MATCH(I369,$A$4:$A$22,0)))</f>
        <v>1</v>
      </c>
      <c r="V369" s="367" t="n">
        <f aca="false">IF('Reverse Search'!$C$7="Disable",1,IF('Reverse Search'!$D$11="Disable",1,IF('Reverse Search'!$E$11="Neutral to:",IF(ROUND(T369*U369,2)&lt;=1,1,0),IF(ROUND(T369*U369,2)&lt;1,1,0))))</f>
        <v>1</v>
      </c>
      <c r="W369" s="0" t="n">
        <f aca="false">IF('Reverse Search'!$N$7="Disable",1,IF('Reverse Search'!$I$9="Disable",1,IF('Reverse Search'!$K$9="≥",IF(J369&gt;='Reverse Search'!$L$9,1,0),IF('Reverse Search'!$K$9="≤",IF(J369&lt;='Reverse Search'!$L$9,1,0),IF(J369='Reverse Search'!$L$9,1,0)))))</f>
        <v>1</v>
      </c>
      <c r="X369" s="0" t="n">
        <f aca="false">IF('Reverse Search'!$N$7="Disable",1,IF('Reverse Search'!$I$10="Disable",1,IF('Reverse Search'!$K$10="≥",IF(K369&gt;='Reverse Search'!$L$10,1,0),IF('Reverse Search'!$K$10="≤",IF(K369&lt;='Reverse Search'!$L$10,1,0),IF(K369='Reverse Search'!$L$10,1,0)))))</f>
        <v>1</v>
      </c>
      <c r="Y369" s="367" t="n">
        <f aca="false">IF('Reverse Search'!$N$7="Disable",1,IF('Reverse Search'!$I$11="Disable",1,IF('Reverse Search'!$K$11="≥",IF(L369&gt;='Reverse Search'!$L$11,1,0),IF('Reverse Search'!$K$11="≤",IF(L369&lt;='Reverse Search'!$L$11,1,0),IF(L369='Reverse Search'!$L$11,1,0)))))</f>
        <v>1</v>
      </c>
      <c r="Z369" s="0" t="n">
        <f aca="true">IF('Reverse Search'!$C$14="Disable",1,IF('Reverse Search'!$D$16="Disable",1,IF($C$2=3,IF($M369=0,0,COUNTIF(INDIRECT("'0.0.2 Pokémon Learnset (Core)'!$D$"&amp;MATCH($E369,'0.0.2 Pokémon Learnset (Core)'!$A$1:$A951,0)&amp;":$FK$"&amp;MATCH($E369,'0.0.2 Pokémon Learnset (Core)'!$A$1:$A951,0)),'Reverse Search'!$E$21)),IF($C$2=2,COUNTIF(INDIRECT("'0.1.1 Pokémon GO Moves'!$B$"&amp;MATCH($E369,'0.1.1 Pokémon GO Moves'!$A$1:$A951,0)&amp;":$R$"&amp;MATCH($E369,'0.1.1 Pokémon GO Moves'!$A$1:$A951,0)),'Reverse Search'!$E$21),COUNTIF(INDIRECT("'0.1.1 Pokémon GO Moves'!$B$"&amp;MATCH($E369,'0.1.1 Pokémon GO Moves'!$A$1:$A951,0)&amp;":$L$"&amp;MATCH($E369,'0.1.1 Pokémon GO Moves'!$A$1:$A951,0)),'Reverse Search'!$E$21)))))</f>
        <v>1</v>
      </c>
      <c r="AA369" s="0" t="e">
        <f aca="true">IF('Reverse Search'!$C$14="Disable",1,IF('Reverse Search'!$I$16="Disable",1,IF($D$2=3,IF($M369=0,0,COUNTIF(INDIRECT("'0.0.2 Pokémon Learnset (Core)'!$D$"&amp;MATCH($E369,'0.0.2 Pokémon Learnset (Core)'!$A$1:$A951,0)&amp;":$FK$"&amp;MATCH($E369,'0.0.2 Pokémon Learnset (Core)'!$A$1:$A951,0)),'Reverse Search'!$J$21)),IF($D$2=2,COUNTIF(INDIRECT("'0.1.1 Pokémon GO Moves'!$B$"&amp;MATCH($E369,'0.1.1 Pokémon GO Moves'!$A$1:$A951,0)&amp;":$R$"&amp;MATCH($E369,'0.1.1 Pokémon GO Moves'!$A$1:$A951,0)),'Reverse Search'!$J$21),COUNTIF(INDIRECT("'0.1.1 Pokémon GO Moves'!$B$"&amp;MATCH($E369,'0.1.1 Pokémon GO Moves'!$A$1:$A951,0)&amp;":$L$"&amp;MATCH($E369,'0.1.1 Pokémon GO Moves'!$A$1:$A951,0)),'Reverse Search'!$J$21)))))</f>
        <v>#N/A</v>
      </c>
      <c r="AB369" s="490"/>
      <c r="AC369" s="260" t="e">
        <f aca="false">IF((Q369+R369+S369+V369+W369+X369+Y369+IF(Z369&gt;=1,1,0)+IF(AA369&gt;=1,1,0))=9,G369&amp;", ",)</f>
        <v>#N/A</v>
      </c>
    </row>
    <row r="370" customFormat="false" ht="15.75" hidden="false" customHeight="false" outlineLevel="0" collapsed="false">
      <c r="A370" s="260"/>
      <c r="B370" s="358"/>
      <c r="C370" s="260"/>
      <c r="D370" s="358"/>
      <c r="E370" s="260" t="n">
        <v>369</v>
      </c>
      <c r="F370" s="260" t="n">
        <f aca="false" t="array" ref="F370:F370">INDEX('0.0.1 Pokémon Dex Data'!$H$3:$H951,MATCH(E370,'0.0.1 Pokémon Dex Data'!$B$3:$B951,0))</f>
        <v>0</v>
      </c>
      <c r="G370" s="0" t="str">
        <f aca="false" t="array" ref="G370:G370">INDEX('0.0.1 Pokémon Dex Data'!$E$3:$E951,MATCH(E370,'0.0.1 Pokémon Dex Data'!$B$3:$B951,0))</f>
        <v>Wailmer</v>
      </c>
      <c r="H370" s="0" t="str">
        <f aca="false" t="array" ref="H370:H370">INDEX('0.0.1 Pokémon Dex Data'!$Q$3:$Q951,MATCH(E370,'0.0.1 Pokémon Dex Data'!$B$3:$B951,0))</f>
        <v>Water</v>
      </c>
      <c r="I370" s="0" t="n">
        <f aca="false">INDEX('0.0.1 Pokémon Dex Data'!$R$3:$R951,MATCH(E370,'0.0.1 Pokémon Dex Data'!$B$3:$B951,0))</f>
        <v>0</v>
      </c>
      <c r="J370" s="260" t="n">
        <f aca="false" t="array" ref="J370:J370">ROUND(INDEX('0.0.1 Pokémon Dex Data'!$S$3:$S951,MATCH($E370,'0.0.1 Pokémon Dex Data'!$B$3:$B951,0))*INDEX('0.0.1 Pokémon Dex Data'!T$3:T951,MATCH($E370,'0.0.1 Pokémon Dex Data'!$B$3:$B951,0)),0)</f>
        <v>136</v>
      </c>
      <c r="K370" s="260" t="n">
        <f aca="false" t="array" ref="K370:K370">ROUND(INDEX('0.0.1 Pokémon Dex Data'!$S$3:$S951,MATCH($E370,'0.0.1 Pokémon Dex Data'!$B$3:$B951,0))*INDEX('0.0.1 Pokémon Dex Data'!U$3:U951,MATCH($E370,'0.0.1 Pokémon Dex Data'!$B$3:$B951,0)),0)</f>
        <v>68</v>
      </c>
      <c r="L370" s="260" t="n">
        <f aca="false" t="array" ref="L370:L370">ROUND(INDEX('0.0.1 Pokémon Dex Data'!$S$3:$S951,MATCH($E370,'0.0.1 Pokémon Dex Data'!$B$3:$B951,0))*INDEX('0.0.1 Pokémon Dex Data'!V$3:V951,MATCH($E370,'0.0.1 Pokémon Dex Data'!$B$3:$B951,0)),0)</f>
        <v>277</v>
      </c>
      <c r="M370" s="260" t="n">
        <f aca="false" t="array" ref="M370:M370">INDEX('0.0.1 Pokémon Dex Data'!$J$3:$J951,MATCH(E370,'0.0.1 Pokémon Dex Data'!$B$3:$B951,0))</f>
        <v>0</v>
      </c>
      <c r="O370" s="490"/>
      <c r="Q370" s="367" t="n">
        <f aca="false">IF('Reverse Search'!$F$4="All (including temporary formes)",1,IF('Reverse Search'!$F$4="Base Pokémon and permanent formes only",IF(F370&lt;=1,1,0),IF(F370=0,1,0)))</f>
        <v>1</v>
      </c>
      <c r="R370" s="0" t="n">
        <f aca="false">IF('Reverse Search'!$C$7="Disable",1,IF('Reverse Search'!$D$9="Disable",1,IF(OR('Reverse Search'!$F$9=H370,'Reverse Search'!$F$9=I370),1,0)))</f>
        <v>1</v>
      </c>
      <c r="S370" s="0" t="n">
        <f aca="false">IF('Reverse Search'!$C$7="Disable",1,IF('Reverse Search'!$D$10="Disable",1,IF(OR('Reverse Search'!$F$10=H370,'Reverse Search'!$F$10=I370),1,0)))</f>
        <v>1</v>
      </c>
      <c r="T370" s="0" t="n">
        <f aca="false">INDEX($B$4:$B$22,MATCH(H370,$A$4:$A$22,0))</f>
        <v>1</v>
      </c>
      <c r="U370" s="0" t="e">
        <f aca="false">IF(ISBLANK(I370),1,INDEX($B$4:$B$22,MATCH(I370,$A$4:$A$22,0)))</f>
        <v>#N/A</v>
      </c>
      <c r="V370" s="367" t="n">
        <f aca="false">IF('Reverse Search'!$C$7="Disable",1,IF('Reverse Search'!$D$11="Disable",1,IF('Reverse Search'!$E$11="Neutral to:",IF(ROUND(T370*U370,2)&lt;=1,1,0),IF(ROUND(T370*U370,2)&lt;1,1,0))))</f>
        <v>1</v>
      </c>
      <c r="W370" s="0" t="n">
        <f aca="false">IF('Reverse Search'!$N$7="Disable",1,IF('Reverse Search'!$I$9="Disable",1,IF('Reverse Search'!$K$9="≥",IF(J370&gt;='Reverse Search'!$L$9,1,0),IF('Reverse Search'!$K$9="≤",IF(J370&lt;='Reverse Search'!$L$9,1,0),IF(J370='Reverse Search'!$L$9,1,0)))))</f>
        <v>1</v>
      </c>
      <c r="X370" s="0" t="n">
        <f aca="false">IF('Reverse Search'!$N$7="Disable",1,IF('Reverse Search'!$I$10="Disable",1,IF('Reverse Search'!$K$10="≥",IF(K370&gt;='Reverse Search'!$L$10,1,0),IF('Reverse Search'!$K$10="≤",IF(K370&lt;='Reverse Search'!$L$10,1,0),IF(K370='Reverse Search'!$L$10,1,0)))))</f>
        <v>1</v>
      </c>
      <c r="Y370" s="367" t="n">
        <f aca="false">IF('Reverse Search'!$N$7="Disable",1,IF('Reverse Search'!$I$11="Disable",1,IF('Reverse Search'!$K$11="≥",IF(L370&gt;='Reverse Search'!$L$11,1,0),IF('Reverse Search'!$K$11="≤",IF(L370&lt;='Reverse Search'!$L$11,1,0),IF(L370='Reverse Search'!$L$11,1,0)))))</f>
        <v>1</v>
      </c>
      <c r="Z370" s="0" t="n">
        <f aca="true">IF('Reverse Search'!$C$14="Disable",1,IF('Reverse Search'!$D$16="Disable",1,IF($C$2=3,IF($M370=0,0,COUNTIF(INDIRECT("'0.0.2 Pokémon Learnset (Core)'!$D$"&amp;MATCH($E370,'0.0.2 Pokémon Learnset (Core)'!$A$1:$A951,0)&amp;":$FK$"&amp;MATCH($E370,'0.0.2 Pokémon Learnset (Core)'!$A$1:$A951,0)),'Reverse Search'!$E$21)),IF($C$2=2,COUNTIF(INDIRECT("'0.1.1 Pokémon GO Moves'!$B$"&amp;MATCH($E370,'0.1.1 Pokémon GO Moves'!$A$1:$A951,0)&amp;":$R$"&amp;MATCH($E370,'0.1.1 Pokémon GO Moves'!$A$1:$A951,0)),'Reverse Search'!$E$21),COUNTIF(INDIRECT("'0.1.1 Pokémon GO Moves'!$B$"&amp;MATCH($E370,'0.1.1 Pokémon GO Moves'!$A$1:$A951,0)&amp;":$L$"&amp;MATCH($E370,'0.1.1 Pokémon GO Moves'!$A$1:$A951,0)),'Reverse Search'!$E$21)))))</f>
        <v>1</v>
      </c>
      <c r="AA370" s="0" t="n">
        <f aca="true">IF('Reverse Search'!$C$14="Disable",1,IF('Reverse Search'!$I$16="Disable",1,IF($D$2=3,IF($M370=0,0,COUNTIF(INDIRECT("'0.0.2 Pokémon Learnset (Core)'!$D$"&amp;MATCH($E370,'0.0.2 Pokémon Learnset (Core)'!$A$1:$A951,0)&amp;":$FK$"&amp;MATCH($E370,'0.0.2 Pokémon Learnset (Core)'!$A$1:$A951,0)),'Reverse Search'!$J$21)),IF($D$2=2,COUNTIF(INDIRECT("'0.1.1 Pokémon GO Moves'!$B$"&amp;MATCH($E370,'0.1.1 Pokémon GO Moves'!$A$1:$A951,0)&amp;":$R$"&amp;MATCH($E370,'0.1.1 Pokémon GO Moves'!$A$1:$A951,0)),'Reverse Search'!$J$21),COUNTIF(INDIRECT("'0.1.1 Pokémon GO Moves'!$B$"&amp;MATCH($E370,'0.1.1 Pokémon GO Moves'!$A$1:$A951,0)&amp;":$L$"&amp;MATCH($E370,'0.1.1 Pokémon GO Moves'!$A$1:$A951,0)),'Reverse Search'!$J$21)))))</f>
        <v>0</v>
      </c>
      <c r="AB370" s="490"/>
      <c r="AC370" s="260" t="n">
        <f aca="false">IF((Q370+R370+S370+V370+W370+X370+Y370+IF(Z370&gt;=1,1,0)+IF(AA370&gt;=1,1,0))=9,G370&amp;", ",)</f>
        <v>0</v>
      </c>
    </row>
    <row r="371" customFormat="false" ht="15.75" hidden="false" customHeight="false" outlineLevel="0" collapsed="false">
      <c r="A371" s="260"/>
      <c r="B371" s="358"/>
      <c r="C371" s="260"/>
      <c r="D371" s="358"/>
      <c r="E371" s="260" t="n">
        <v>370</v>
      </c>
      <c r="F371" s="260" t="n">
        <f aca="false" t="array" ref="F371:F371">INDEX('0.0.1 Pokémon Dex Data'!$H$3:$H951,MATCH(E371,'0.0.1 Pokémon Dex Data'!$B$3:$B951,0))</f>
        <v>0</v>
      </c>
      <c r="G371" s="0" t="str">
        <f aca="false" t="array" ref="G371:G371">INDEX('0.0.1 Pokémon Dex Data'!$E$3:$E951,MATCH(E371,'0.0.1 Pokémon Dex Data'!$B$3:$B951,0))</f>
        <v>Wailord</v>
      </c>
      <c r="H371" s="0" t="str">
        <f aca="false" t="array" ref="H371:H371">INDEX('0.0.1 Pokémon Dex Data'!$Q$3:$Q951,MATCH(E371,'0.0.1 Pokémon Dex Data'!$B$3:$B951,0))</f>
        <v>Water</v>
      </c>
      <c r="I371" s="0" t="n">
        <f aca="false">INDEX('0.0.1 Pokémon Dex Data'!$R$3:$R951,MATCH(E371,'0.0.1 Pokémon Dex Data'!$B$3:$B951,0))</f>
        <v>0</v>
      </c>
      <c r="J371" s="260" t="n">
        <f aca="false" t="array" ref="J371:J371">ROUND(INDEX('0.0.1 Pokémon Dex Data'!$S$3:$S951,MATCH($E371,'0.0.1 Pokémon Dex Data'!$B$3:$B951,0))*INDEX('0.0.1 Pokémon Dex Data'!T$3:T951,MATCH($E371,'0.0.1 Pokémon Dex Data'!$B$3:$B951,0)),0)</f>
        <v>175</v>
      </c>
      <c r="K371" s="260" t="n">
        <f aca="false" t="array" ref="K371:K371">ROUND(INDEX('0.0.1 Pokémon Dex Data'!$S$3:$S951,MATCH($E371,'0.0.1 Pokémon Dex Data'!$B$3:$B951,0))*INDEX('0.0.1 Pokémon Dex Data'!U$3:U951,MATCH($E371,'0.0.1 Pokémon Dex Data'!$B$3:$B951,0)),0)</f>
        <v>87</v>
      </c>
      <c r="L371" s="260" t="n">
        <f aca="false" t="array" ref="L371:L371">ROUND(INDEX('0.0.1 Pokémon Dex Data'!$S$3:$S951,MATCH($E371,'0.0.1 Pokémon Dex Data'!$B$3:$B951,0))*INDEX('0.0.1 Pokémon Dex Data'!V$3:V951,MATCH($E371,'0.0.1 Pokémon Dex Data'!$B$3:$B951,0)),0)</f>
        <v>347</v>
      </c>
      <c r="M371" s="260" t="n">
        <f aca="false" t="array" ref="M371:M371">INDEX('0.0.1 Pokémon Dex Data'!$J$3:$J951,MATCH(E371,'0.0.1 Pokémon Dex Data'!$B$3:$B951,0))</f>
        <v>1</v>
      </c>
      <c r="O371" s="490"/>
      <c r="Q371" s="367" t="n">
        <f aca="false">IF('Reverse Search'!$F$4="All (including temporary formes)",1,IF('Reverse Search'!$F$4="Base Pokémon and permanent formes only",IF(F371&lt;=1,1,0),IF(F371=0,1,0)))</f>
        <v>1</v>
      </c>
      <c r="R371" s="0" t="n">
        <f aca="false">IF('Reverse Search'!$C$7="Disable",1,IF('Reverse Search'!$D$9="Disable",1,IF(OR('Reverse Search'!$F$9=H371,'Reverse Search'!$F$9=I371),1,0)))</f>
        <v>1</v>
      </c>
      <c r="S371" s="0" t="n">
        <f aca="false">IF('Reverse Search'!$C$7="Disable",1,IF('Reverse Search'!$D$10="Disable",1,IF(OR('Reverse Search'!$F$10=H371,'Reverse Search'!$F$10=I371),1,0)))</f>
        <v>1</v>
      </c>
      <c r="T371" s="0" t="n">
        <f aca="false">INDEX($B$4:$B$22,MATCH(H371,$A$4:$A$22,0))</f>
        <v>1</v>
      </c>
      <c r="U371" s="0" t="e">
        <f aca="false">IF(ISBLANK(I371),1,INDEX($B$4:$B$22,MATCH(I371,$A$4:$A$22,0)))</f>
        <v>#N/A</v>
      </c>
      <c r="V371" s="367" t="n">
        <f aca="false">IF('Reverse Search'!$C$7="Disable",1,IF('Reverse Search'!$D$11="Disable",1,IF('Reverse Search'!$E$11="Neutral to:",IF(ROUND(T371*U371,2)&lt;=1,1,0),IF(ROUND(T371*U371,2)&lt;1,1,0))))</f>
        <v>1</v>
      </c>
      <c r="W371" s="0" t="n">
        <f aca="false">IF('Reverse Search'!$N$7="Disable",1,IF('Reverse Search'!$I$9="Disable",1,IF('Reverse Search'!$K$9="≥",IF(J371&gt;='Reverse Search'!$L$9,1,0),IF('Reverse Search'!$K$9="≤",IF(J371&lt;='Reverse Search'!$L$9,1,0),IF(J371='Reverse Search'!$L$9,1,0)))))</f>
        <v>1</v>
      </c>
      <c r="X371" s="0" t="n">
        <f aca="false">IF('Reverse Search'!$N$7="Disable",1,IF('Reverse Search'!$I$10="Disable",1,IF('Reverse Search'!$K$10="≥",IF(K371&gt;='Reverse Search'!$L$10,1,0),IF('Reverse Search'!$K$10="≤",IF(K371&lt;='Reverse Search'!$L$10,1,0),IF(K371='Reverse Search'!$L$10,1,0)))))</f>
        <v>1</v>
      </c>
      <c r="Y371" s="367" t="n">
        <f aca="false">IF('Reverse Search'!$N$7="Disable",1,IF('Reverse Search'!$I$11="Disable",1,IF('Reverse Search'!$K$11="≥",IF(L371&gt;='Reverse Search'!$L$11,1,0),IF('Reverse Search'!$K$11="≤",IF(L371&lt;='Reverse Search'!$L$11,1,0),IF(L371='Reverse Search'!$L$11,1,0)))))</f>
        <v>1</v>
      </c>
      <c r="Z371" s="0" t="n">
        <f aca="true">IF('Reverse Search'!$C$14="Disable",1,IF('Reverse Search'!$D$16="Disable",1,IF($C$2=3,IF($M371=0,0,COUNTIF(INDIRECT("'0.0.2 Pokémon Learnset (Core)'!$D$"&amp;MATCH($E371,'0.0.2 Pokémon Learnset (Core)'!$A$1:$A951,0)&amp;":$FK$"&amp;MATCH($E371,'0.0.2 Pokémon Learnset (Core)'!$A$1:$A951,0)),'Reverse Search'!$E$21)),IF($C$2=2,COUNTIF(INDIRECT("'0.1.1 Pokémon GO Moves'!$B$"&amp;MATCH($E371,'0.1.1 Pokémon GO Moves'!$A$1:$A951,0)&amp;":$R$"&amp;MATCH($E371,'0.1.1 Pokémon GO Moves'!$A$1:$A951,0)),'Reverse Search'!$E$21),COUNTIF(INDIRECT("'0.1.1 Pokémon GO Moves'!$B$"&amp;MATCH($E371,'0.1.1 Pokémon GO Moves'!$A$1:$A951,0)&amp;":$L$"&amp;MATCH($E371,'0.1.1 Pokémon GO Moves'!$A$1:$A951,0)),'Reverse Search'!$E$21)))))</f>
        <v>1</v>
      </c>
      <c r="AA371" s="0" t="n">
        <f aca="true">IF('Reverse Search'!$C$14="Disable",1,IF('Reverse Search'!$I$16="Disable",1,IF($D$2=3,IF($M371=0,0,COUNTIF(INDIRECT("'0.0.2 Pokémon Learnset (Core)'!$D$"&amp;MATCH($E371,'0.0.2 Pokémon Learnset (Core)'!$A$1:$A951,0)&amp;":$FK$"&amp;MATCH($E371,'0.0.2 Pokémon Learnset (Core)'!$A$1:$A951,0)),'Reverse Search'!$J$21)),IF($D$2=2,COUNTIF(INDIRECT("'0.1.1 Pokémon GO Moves'!$B$"&amp;MATCH($E371,'0.1.1 Pokémon GO Moves'!$A$1:$A951,0)&amp;":$R$"&amp;MATCH($E371,'0.1.1 Pokémon GO Moves'!$A$1:$A951,0)),'Reverse Search'!$J$21),COUNTIF(INDIRECT("'0.1.1 Pokémon GO Moves'!$B$"&amp;MATCH($E371,'0.1.1 Pokémon GO Moves'!$A$1:$A951,0)&amp;":$L$"&amp;MATCH($E371,'0.1.1 Pokémon GO Moves'!$A$1:$A951,0)),'Reverse Search'!$J$21)))))</f>
        <v>0</v>
      </c>
      <c r="AB371" s="490"/>
      <c r="AC371" s="260" t="n">
        <f aca="false">IF((Q371+R371+S371+V371+W371+X371+Y371+IF(Z371&gt;=1,1,0)+IF(AA371&gt;=1,1,0))=9,G371&amp;", ",)</f>
        <v>0</v>
      </c>
    </row>
    <row r="372" customFormat="false" ht="15.75" hidden="false" customHeight="false" outlineLevel="0" collapsed="false">
      <c r="A372" s="260"/>
      <c r="B372" s="358"/>
      <c r="C372" s="260"/>
      <c r="D372" s="358"/>
      <c r="E372" s="260" t="n">
        <v>371</v>
      </c>
      <c r="F372" s="260" t="n">
        <f aca="false" t="array" ref="F372:F372">INDEX('0.0.1 Pokémon Dex Data'!$H$3:$H951,MATCH(E372,'0.0.1 Pokémon Dex Data'!$B$3:$B951,0))</f>
        <v>0</v>
      </c>
      <c r="G372" s="0" t="str">
        <f aca="false" t="array" ref="G372:G372">INDEX('0.0.1 Pokémon Dex Data'!$E$3:$E951,MATCH(E372,'0.0.1 Pokémon Dex Data'!$B$3:$B951,0))</f>
        <v>Numel</v>
      </c>
      <c r="H372" s="0" t="str">
        <f aca="false" t="array" ref="H372:H372">INDEX('0.0.1 Pokémon Dex Data'!$Q$3:$Q951,MATCH(E372,'0.0.1 Pokémon Dex Data'!$B$3:$B951,0))</f>
        <v>Fire</v>
      </c>
      <c r="I372" s="0" t="str">
        <f aca="false" t="array" ref="I372:I372">INDEX('0.0.1 Pokémon Dex Data'!$R$3:$R951,MATCH(E372,'0.0.1 Pokémon Dex Data'!$B$3:$B951,0))</f>
        <v>Ground</v>
      </c>
      <c r="J372" s="260" t="n">
        <f aca="false" t="array" ref="J372:J372">ROUND(INDEX('0.0.1 Pokémon Dex Data'!$S$3:$S951,MATCH($E372,'0.0.1 Pokémon Dex Data'!$B$3:$B951,0))*INDEX('0.0.1 Pokémon Dex Data'!T$3:T951,MATCH($E372,'0.0.1 Pokémon Dex Data'!$B$3:$B951,0)),0)</f>
        <v>119</v>
      </c>
      <c r="K372" s="260" t="n">
        <f aca="false" t="array" ref="K372:K372">ROUND(INDEX('0.0.1 Pokémon Dex Data'!$S$3:$S951,MATCH($E372,'0.0.1 Pokémon Dex Data'!$B$3:$B951,0))*INDEX('0.0.1 Pokémon Dex Data'!U$3:U951,MATCH($E372,'0.0.1 Pokémon Dex Data'!$B$3:$B951,0)),0)</f>
        <v>79</v>
      </c>
      <c r="L372" s="260" t="n">
        <f aca="false" t="array" ref="L372:L372">ROUND(INDEX('0.0.1 Pokémon Dex Data'!$S$3:$S951,MATCH($E372,'0.0.1 Pokémon Dex Data'!$B$3:$B951,0))*INDEX('0.0.1 Pokémon Dex Data'!V$3:V951,MATCH($E372,'0.0.1 Pokémon Dex Data'!$B$3:$B951,0)),0)</f>
        <v>155</v>
      </c>
      <c r="M372" s="260" t="n">
        <f aca="false" t="array" ref="M372:M372">INDEX('0.0.1 Pokémon Dex Data'!$J$3:$J951,MATCH(E372,'0.0.1 Pokémon Dex Data'!$B$3:$B951,0))</f>
        <v>0</v>
      </c>
      <c r="O372" s="490"/>
      <c r="Q372" s="367" t="n">
        <f aca="false">IF('Reverse Search'!$F$4="All (including temporary formes)",1,IF('Reverse Search'!$F$4="Base Pokémon and permanent formes only",IF(F372&lt;=1,1,0),IF(F372=0,1,0)))</f>
        <v>1</v>
      </c>
      <c r="R372" s="0" t="n">
        <f aca="false">IF('Reverse Search'!$C$7="Disable",1,IF('Reverse Search'!$D$9="Disable",1,IF(OR('Reverse Search'!$F$9=H372,'Reverse Search'!$F$9=I372),1,0)))</f>
        <v>1</v>
      </c>
      <c r="S372" s="0" t="n">
        <f aca="false">IF('Reverse Search'!$C$7="Disable",1,IF('Reverse Search'!$D$10="Disable",1,IF(OR('Reverse Search'!$F$10=H372,'Reverse Search'!$F$10=I372),1,0)))</f>
        <v>1</v>
      </c>
      <c r="T372" s="0" t="n">
        <f aca="false">INDEX($B$4:$B$22,MATCH(H372,$A$4:$A$22,0))</f>
        <v>1</v>
      </c>
      <c r="U372" s="0" t="n">
        <f aca="false">IF(ISBLANK(I372),1,INDEX($B$4:$B$22,MATCH(I372,$A$4:$A$22,0)))</f>
        <v>1</v>
      </c>
      <c r="V372" s="367" t="n">
        <f aca="false">IF('Reverse Search'!$C$7="Disable",1,IF('Reverse Search'!$D$11="Disable",1,IF('Reverse Search'!$E$11="Neutral to:",IF(ROUND(T372*U372,2)&lt;=1,1,0),IF(ROUND(T372*U372,2)&lt;1,1,0))))</f>
        <v>1</v>
      </c>
      <c r="W372" s="0" t="n">
        <f aca="false">IF('Reverse Search'!$N$7="Disable",1,IF('Reverse Search'!$I$9="Disable",1,IF('Reverse Search'!$K$9="≥",IF(J372&gt;='Reverse Search'!$L$9,1,0),IF('Reverse Search'!$K$9="≤",IF(J372&lt;='Reverse Search'!$L$9,1,0),IF(J372='Reverse Search'!$L$9,1,0)))))</f>
        <v>1</v>
      </c>
      <c r="X372" s="0" t="n">
        <f aca="false">IF('Reverse Search'!$N$7="Disable",1,IF('Reverse Search'!$I$10="Disable",1,IF('Reverse Search'!$K$10="≥",IF(K372&gt;='Reverse Search'!$L$10,1,0),IF('Reverse Search'!$K$10="≤",IF(K372&lt;='Reverse Search'!$L$10,1,0),IF(K372='Reverse Search'!$L$10,1,0)))))</f>
        <v>1</v>
      </c>
      <c r="Y372" s="367" t="n">
        <f aca="false">IF('Reverse Search'!$N$7="Disable",1,IF('Reverse Search'!$I$11="Disable",1,IF('Reverse Search'!$K$11="≥",IF(L372&gt;='Reverse Search'!$L$11,1,0),IF('Reverse Search'!$K$11="≤",IF(L372&lt;='Reverse Search'!$L$11,1,0),IF(L372='Reverse Search'!$L$11,1,0)))))</f>
        <v>1</v>
      </c>
      <c r="Z372" s="0" t="n">
        <f aca="true">IF('Reverse Search'!$C$14="Disable",1,IF('Reverse Search'!$D$16="Disable",1,IF($C$2=3,IF($M372=0,0,COUNTIF(INDIRECT("'0.0.2 Pokémon Learnset (Core)'!$D$"&amp;MATCH($E372,'0.0.2 Pokémon Learnset (Core)'!$A$1:$A951,0)&amp;":$FK$"&amp;MATCH($E372,'0.0.2 Pokémon Learnset (Core)'!$A$1:$A951,0)),'Reverse Search'!$E$21)),IF($C$2=2,COUNTIF(INDIRECT("'0.1.1 Pokémon GO Moves'!$B$"&amp;MATCH($E372,'0.1.1 Pokémon GO Moves'!$A$1:$A951,0)&amp;":$R$"&amp;MATCH($E372,'0.1.1 Pokémon GO Moves'!$A$1:$A951,0)),'Reverse Search'!$E$21),COUNTIF(INDIRECT("'0.1.1 Pokémon GO Moves'!$B$"&amp;MATCH($E372,'0.1.1 Pokémon GO Moves'!$A$1:$A951,0)&amp;":$L$"&amp;MATCH($E372,'0.1.1 Pokémon GO Moves'!$A$1:$A951,0)),'Reverse Search'!$E$21)))))</f>
        <v>1</v>
      </c>
      <c r="AA372" s="0" t="n">
        <f aca="true">IF('Reverse Search'!$C$14="Disable",1,IF('Reverse Search'!$I$16="Disable",1,IF($D$2=3,IF($M372=0,0,COUNTIF(INDIRECT("'0.0.2 Pokémon Learnset (Core)'!$D$"&amp;MATCH($E372,'0.0.2 Pokémon Learnset (Core)'!$A$1:$A951,0)&amp;":$FK$"&amp;MATCH($E372,'0.0.2 Pokémon Learnset (Core)'!$A$1:$A951,0)),'Reverse Search'!$J$21)),IF($D$2=2,COUNTIF(INDIRECT("'0.1.1 Pokémon GO Moves'!$B$"&amp;MATCH($E372,'0.1.1 Pokémon GO Moves'!$A$1:$A951,0)&amp;":$R$"&amp;MATCH($E372,'0.1.1 Pokémon GO Moves'!$A$1:$A951,0)),'Reverse Search'!$J$21),COUNTIF(INDIRECT("'0.1.1 Pokémon GO Moves'!$B$"&amp;MATCH($E372,'0.1.1 Pokémon GO Moves'!$A$1:$A951,0)&amp;":$L$"&amp;MATCH($E372,'0.1.1 Pokémon GO Moves'!$A$1:$A951,0)),'Reverse Search'!$J$21)))))</f>
        <v>0</v>
      </c>
      <c r="AB372" s="490"/>
      <c r="AC372" s="260" t="n">
        <f aca="false">IF((Q372+R372+S372+V372+W372+X372+Y372+IF(Z372&gt;=1,1,0)+IF(AA372&gt;=1,1,0))=9,G372&amp;", ",)</f>
        <v>0</v>
      </c>
    </row>
    <row r="373" customFormat="false" ht="15.75" hidden="false" customHeight="false" outlineLevel="0" collapsed="false">
      <c r="A373" s="260"/>
      <c r="B373" s="358"/>
      <c r="C373" s="260"/>
      <c r="D373" s="358"/>
      <c r="E373" s="260" t="n">
        <v>372</v>
      </c>
      <c r="F373" s="260" t="n">
        <f aca="false" t="array" ref="F373:F373">INDEX('0.0.1 Pokémon Dex Data'!$H$3:$H951,MATCH(E373,'0.0.1 Pokémon Dex Data'!$B$3:$B951,0))</f>
        <v>0</v>
      </c>
      <c r="G373" s="0" t="str">
        <f aca="false" t="array" ref="G373:G373">INDEX('0.0.1 Pokémon Dex Data'!$E$3:$E951,MATCH(E373,'0.0.1 Pokémon Dex Data'!$B$3:$B951,0))</f>
        <v>Camerupt</v>
      </c>
      <c r="H373" s="0" t="str">
        <f aca="false" t="array" ref="H373:H373">INDEX('0.0.1 Pokémon Dex Data'!$Q$3:$Q951,MATCH(E373,'0.0.1 Pokémon Dex Data'!$B$3:$B951,0))</f>
        <v>Fire</v>
      </c>
      <c r="I373" s="0" t="str">
        <f aca="false" t="array" ref="I373:I373">INDEX('0.0.1 Pokémon Dex Data'!$R$3:$R951,MATCH(E373,'0.0.1 Pokémon Dex Data'!$B$3:$B951,0))</f>
        <v>Ground</v>
      </c>
      <c r="J373" s="260" t="n">
        <f aca="false" t="array" ref="J373:J373">ROUND(INDEX('0.0.1 Pokémon Dex Data'!$S$3:$S951,MATCH($E373,'0.0.1 Pokémon Dex Data'!$B$3:$B951,0))*INDEX('0.0.1 Pokémon Dex Data'!T$3:T951,MATCH($E373,'0.0.1 Pokémon Dex Data'!$B$3:$B951,0)),0)</f>
        <v>194</v>
      </c>
      <c r="K373" s="260" t="n">
        <f aca="false" t="array" ref="K373:K373">ROUND(INDEX('0.0.1 Pokémon Dex Data'!$S$3:$S951,MATCH($E373,'0.0.1 Pokémon Dex Data'!$B$3:$B951,0))*INDEX('0.0.1 Pokémon Dex Data'!U$3:U951,MATCH($E373,'0.0.1 Pokémon Dex Data'!$B$3:$B951,0)),0)</f>
        <v>136</v>
      </c>
      <c r="L373" s="260" t="n">
        <f aca="false" t="array" ref="L373:L373">ROUND(INDEX('0.0.1 Pokémon Dex Data'!$S$3:$S951,MATCH($E373,'0.0.1 Pokémon Dex Data'!$B$3:$B951,0))*INDEX('0.0.1 Pokémon Dex Data'!V$3:V951,MATCH($E373,'0.0.1 Pokémon Dex Data'!$B$3:$B951,0)),0)</f>
        <v>172</v>
      </c>
      <c r="M373" s="260" t="n">
        <f aca="false" t="array" ref="M373:M373">INDEX('0.0.1 Pokémon Dex Data'!$J$3:$J951,MATCH(E373,'0.0.1 Pokémon Dex Data'!$B$3:$B951,0))</f>
        <v>1</v>
      </c>
      <c r="O373" s="490"/>
      <c r="Q373" s="367" t="n">
        <f aca="false">IF('Reverse Search'!$F$4="All (including temporary formes)",1,IF('Reverse Search'!$F$4="Base Pokémon and permanent formes only",IF(F373&lt;=1,1,0),IF(F373=0,1,0)))</f>
        <v>1</v>
      </c>
      <c r="R373" s="0" t="n">
        <f aca="false">IF('Reverse Search'!$C$7="Disable",1,IF('Reverse Search'!$D$9="Disable",1,IF(OR('Reverse Search'!$F$9=H373,'Reverse Search'!$F$9=I373),1,0)))</f>
        <v>1</v>
      </c>
      <c r="S373" s="0" t="n">
        <f aca="false">IF('Reverse Search'!$C$7="Disable",1,IF('Reverse Search'!$D$10="Disable",1,IF(OR('Reverse Search'!$F$10=H373,'Reverse Search'!$F$10=I373),1,0)))</f>
        <v>1</v>
      </c>
      <c r="T373" s="0" t="n">
        <f aca="false">INDEX($B$4:$B$22,MATCH(H373,$A$4:$A$22,0))</f>
        <v>1</v>
      </c>
      <c r="U373" s="0" t="n">
        <f aca="false">IF(ISBLANK(I373),1,INDEX($B$4:$B$22,MATCH(I373,$A$4:$A$22,0)))</f>
        <v>1</v>
      </c>
      <c r="V373" s="367" t="n">
        <f aca="false">IF('Reverse Search'!$C$7="Disable",1,IF('Reverse Search'!$D$11="Disable",1,IF('Reverse Search'!$E$11="Neutral to:",IF(ROUND(T373*U373,2)&lt;=1,1,0),IF(ROUND(T373*U373,2)&lt;1,1,0))))</f>
        <v>1</v>
      </c>
      <c r="W373" s="0" t="n">
        <f aca="false">IF('Reverse Search'!$N$7="Disable",1,IF('Reverse Search'!$I$9="Disable",1,IF('Reverse Search'!$K$9="≥",IF(J373&gt;='Reverse Search'!$L$9,1,0),IF('Reverse Search'!$K$9="≤",IF(J373&lt;='Reverse Search'!$L$9,1,0),IF(J373='Reverse Search'!$L$9,1,0)))))</f>
        <v>1</v>
      </c>
      <c r="X373" s="0" t="n">
        <f aca="false">IF('Reverse Search'!$N$7="Disable",1,IF('Reverse Search'!$I$10="Disable",1,IF('Reverse Search'!$K$10="≥",IF(K373&gt;='Reverse Search'!$L$10,1,0),IF('Reverse Search'!$K$10="≤",IF(K373&lt;='Reverse Search'!$L$10,1,0),IF(K373='Reverse Search'!$L$10,1,0)))))</f>
        <v>1</v>
      </c>
      <c r="Y373" s="367" t="n">
        <f aca="false">IF('Reverse Search'!$N$7="Disable",1,IF('Reverse Search'!$I$11="Disable",1,IF('Reverse Search'!$K$11="≥",IF(L373&gt;='Reverse Search'!$L$11,1,0),IF('Reverse Search'!$K$11="≤",IF(L373&lt;='Reverse Search'!$L$11,1,0),IF(L373='Reverse Search'!$L$11,1,0)))))</f>
        <v>1</v>
      </c>
      <c r="Z373" s="0" t="n">
        <f aca="true">IF('Reverse Search'!$C$14="Disable",1,IF('Reverse Search'!$D$16="Disable",1,IF($C$2=3,IF($M373=0,0,COUNTIF(INDIRECT("'0.0.2 Pokémon Learnset (Core)'!$D$"&amp;MATCH($E373,'0.0.2 Pokémon Learnset (Core)'!$A$1:$A951,0)&amp;":$FK$"&amp;MATCH($E373,'0.0.2 Pokémon Learnset (Core)'!$A$1:$A951,0)),'Reverse Search'!$E$21)),IF($C$2=2,COUNTIF(INDIRECT("'0.1.1 Pokémon GO Moves'!$B$"&amp;MATCH($E373,'0.1.1 Pokémon GO Moves'!$A$1:$A951,0)&amp;":$R$"&amp;MATCH($E373,'0.1.1 Pokémon GO Moves'!$A$1:$A951,0)),'Reverse Search'!$E$21),COUNTIF(INDIRECT("'0.1.1 Pokémon GO Moves'!$B$"&amp;MATCH($E373,'0.1.1 Pokémon GO Moves'!$A$1:$A951,0)&amp;":$L$"&amp;MATCH($E373,'0.1.1 Pokémon GO Moves'!$A$1:$A951,0)),'Reverse Search'!$E$21)))))</f>
        <v>1</v>
      </c>
      <c r="AA373" s="0" t="n">
        <f aca="true">IF('Reverse Search'!$C$14="Disable",1,IF('Reverse Search'!$I$16="Disable",1,IF($D$2=3,IF($M373=0,0,COUNTIF(INDIRECT("'0.0.2 Pokémon Learnset (Core)'!$D$"&amp;MATCH($E373,'0.0.2 Pokémon Learnset (Core)'!$A$1:$A951,0)&amp;":$FK$"&amp;MATCH($E373,'0.0.2 Pokémon Learnset (Core)'!$A$1:$A951,0)),'Reverse Search'!$J$21)),IF($D$2=2,COUNTIF(INDIRECT("'0.1.1 Pokémon GO Moves'!$B$"&amp;MATCH($E373,'0.1.1 Pokémon GO Moves'!$A$1:$A951,0)&amp;":$R$"&amp;MATCH($E373,'0.1.1 Pokémon GO Moves'!$A$1:$A951,0)),'Reverse Search'!$J$21),COUNTIF(INDIRECT("'0.1.1 Pokémon GO Moves'!$B$"&amp;MATCH($E373,'0.1.1 Pokémon GO Moves'!$A$1:$A951,0)&amp;":$L$"&amp;MATCH($E373,'0.1.1 Pokémon GO Moves'!$A$1:$A951,0)),'Reverse Search'!$J$21)))))</f>
        <v>0</v>
      </c>
      <c r="AB373" s="490"/>
      <c r="AC373" s="260" t="n">
        <f aca="false">IF((Q373+R373+S373+V373+W373+X373+Y373+IF(Z373&gt;=1,1,0)+IF(AA373&gt;=1,1,0))=9,G373&amp;", ",)</f>
        <v>0</v>
      </c>
    </row>
    <row r="374" customFormat="false" ht="15.75" hidden="false" customHeight="false" outlineLevel="0" collapsed="false">
      <c r="A374" s="260"/>
      <c r="B374" s="358"/>
      <c r="C374" s="260"/>
      <c r="D374" s="358"/>
      <c r="E374" s="260" t="n">
        <v>373</v>
      </c>
      <c r="F374" s="260" t="n">
        <f aca="false" t="array" ref="F374:F374">INDEX('0.0.1 Pokémon Dex Data'!$H$3:$H951,MATCH(E374,'0.0.1 Pokémon Dex Data'!$B$3:$B951,0))</f>
        <v>2</v>
      </c>
      <c r="G374" s="0" t="str">
        <f aca="false" t="array" ref="G374:G374">INDEX('0.0.1 Pokémon Dex Data'!$E$3:$E951,MATCH(E374,'0.0.1 Pokémon Dex Data'!$B$3:$B951,0))</f>
        <v>Camerupt-Mega</v>
      </c>
      <c r="H374" s="0" t="str">
        <f aca="false" t="array" ref="H374:H374">INDEX('0.0.1 Pokémon Dex Data'!$Q$3:$Q951,MATCH(E374,'0.0.1 Pokémon Dex Data'!$B$3:$B951,0))</f>
        <v>Fire</v>
      </c>
      <c r="I374" s="0" t="str">
        <f aca="false" t="array" ref="I374:I374">INDEX('0.0.1 Pokémon Dex Data'!$R$3:$R951,MATCH(E374,'0.0.1 Pokémon Dex Data'!$B$3:$B951,0))</f>
        <v>Ground</v>
      </c>
      <c r="J374" s="260" t="n">
        <f aca="false" t="array" ref="J374:J374">ROUND(INDEX('0.0.1 Pokémon Dex Data'!$S$3:$S951,MATCH($E374,'0.0.1 Pokémon Dex Data'!$B$3:$B951,0))*INDEX('0.0.1 Pokémon Dex Data'!T$3:T951,MATCH($E374,'0.0.1 Pokémon Dex Data'!$B$3:$B951,0)),0)</f>
        <v>253</v>
      </c>
      <c r="K374" s="260" t="n">
        <f aca="false" t="array" ref="K374:K374">ROUND(INDEX('0.0.1 Pokémon Dex Data'!$S$3:$S951,MATCH($E374,'0.0.1 Pokémon Dex Data'!$B$3:$B951,0))*INDEX('0.0.1 Pokémon Dex Data'!U$3:U951,MATCH($E374,'0.0.1 Pokémon Dex Data'!$B$3:$B951,0)),0)</f>
        <v>183</v>
      </c>
      <c r="L374" s="260" t="n">
        <f aca="false" t="array" ref="L374:L374">ROUND(INDEX('0.0.1 Pokémon Dex Data'!$S$3:$S951,MATCH($E374,'0.0.1 Pokémon Dex Data'!$B$3:$B951,0))*INDEX('0.0.1 Pokémon Dex Data'!V$3:V951,MATCH($E374,'0.0.1 Pokémon Dex Data'!$B$3:$B951,0)),0)</f>
        <v>172</v>
      </c>
      <c r="M374" s="260" t="n">
        <f aca="false" t="array" ref="M374:M374">INDEX('0.0.1 Pokémon Dex Data'!$J$3:$J951,MATCH(E374,'0.0.1 Pokémon Dex Data'!$B$3:$B951,0))</f>
        <v>1</v>
      </c>
      <c r="O374" s="490"/>
      <c r="Q374" s="367" t="n">
        <f aca="false">IF('Reverse Search'!$F$4="All (including temporary formes)",1,IF('Reverse Search'!$F$4="Base Pokémon and permanent formes only",IF(F374&lt;=1,1,0),IF(F374=0,1,0)))</f>
        <v>0</v>
      </c>
      <c r="R374" s="0" t="n">
        <f aca="false">IF('Reverse Search'!$C$7="Disable",1,IF('Reverse Search'!$D$9="Disable",1,IF(OR('Reverse Search'!$F$9=H374,'Reverse Search'!$F$9=I374),1,0)))</f>
        <v>1</v>
      </c>
      <c r="S374" s="0" t="n">
        <f aca="false">IF('Reverse Search'!$C$7="Disable",1,IF('Reverse Search'!$D$10="Disable",1,IF(OR('Reverse Search'!$F$10=H374,'Reverse Search'!$F$10=I374),1,0)))</f>
        <v>1</v>
      </c>
      <c r="T374" s="0" t="n">
        <f aca="false">INDEX($B$4:$B$22,MATCH(H374,$A$4:$A$22,0))</f>
        <v>1</v>
      </c>
      <c r="U374" s="0" t="n">
        <f aca="false">IF(ISBLANK(I374),1,INDEX($B$4:$B$22,MATCH(I374,$A$4:$A$22,0)))</f>
        <v>1</v>
      </c>
      <c r="V374" s="367" t="n">
        <f aca="false">IF('Reverse Search'!$C$7="Disable",1,IF('Reverse Search'!$D$11="Disable",1,IF('Reverse Search'!$E$11="Neutral to:",IF(ROUND(T374*U374,2)&lt;=1,1,0),IF(ROUND(T374*U374,2)&lt;1,1,0))))</f>
        <v>1</v>
      </c>
      <c r="W374" s="0" t="n">
        <f aca="false">IF('Reverse Search'!$N$7="Disable",1,IF('Reverse Search'!$I$9="Disable",1,IF('Reverse Search'!$K$9="≥",IF(J374&gt;='Reverse Search'!$L$9,1,0),IF('Reverse Search'!$K$9="≤",IF(J374&lt;='Reverse Search'!$L$9,1,0),IF(J374='Reverse Search'!$L$9,1,0)))))</f>
        <v>1</v>
      </c>
      <c r="X374" s="0" t="n">
        <f aca="false">IF('Reverse Search'!$N$7="Disable",1,IF('Reverse Search'!$I$10="Disable",1,IF('Reverse Search'!$K$10="≥",IF(K374&gt;='Reverse Search'!$L$10,1,0),IF('Reverse Search'!$K$10="≤",IF(K374&lt;='Reverse Search'!$L$10,1,0),IF(K374='Reverse Search'!$L$10,1,0)))))</f>
        <v>1</v>
      </c>
      <c r="Y374" s="367" t="n">
        <f aca="false">IF('Reverse Search'!$N$7="Disable",1,IF('Reverse Search'!$I$11="Disable",1,IF('Reverse Search'!$K$11="≥",IF(L374&gt;='Reverse Search'!$L$11,1,0),IF('Reverse Search'!$K$11="≤",IF(L374&lt;='Reverse Search'!$L$11,1,0),IF(L374='Reverse Search'!$L$11,1,0)))))</f>
        <v>1</v>
      </c>
      <c r="Z374" s="0" t="n">
        <f aca="true">IF('Reverse Search'!$C$14="Disable",1,IF('Reverse Search'!$D$16="Disable",1,IF($C$2=3,IF($M374=0,0,COUNTIF(INDIRECT("'0.0.2 Pokémon Learnset (Core)'!$D$"&amp;MATCH($E374,'0.0.2 Pokémon Learnset (Core)'!$A$1:$A951,0)&amp;":$FK$"&amp;MATCH($E374,'0.0.2 Pokémon Learnset (Core)'!$A$1:$A951,0)),'Reverse Search'!$E$21)),IF($C$2=2,COUNTIF(INDIRECT("'0.1.1 Pokémon GO Moves'!$B$"&amp;MATCH($E374,'0.1.1 Pokémon GO Moves'!$A$1:$A951,0)&amp;":$R$"&amp;MATCH($E374,'0.1.1 Pokémon GO Moves'!$A$1:$A951,0)),'Reverse Search'!$E$21),COUNTIF(INDIRECT("'0.1.1 Pokémon GO Moves'!$B$"&amp;MATCH($E374,'0.1.1 Pokémon GO Moves'!$A$1:$A951,0)&amp;":$L$"&amp;MATCH($E374,'0.1.1 Pokémon GO Moves'!$A$1:$A951,0)),'Reverse Search'!$E$21)))))</f>
        <v>1</v>
      </c>
      <c r="AA374" s="0" t="e">
        <f aca="true">IF('Reverse Search'!$C$14="Disable",1,IF('Reverse Search'!$I$16="Disable",1,IF($D$2=3,IF($M374=0,0,COUNTIF(INDIRECT("'0.0.2 Pokémon Learnset (Core)'!$D$"&amp;MATCH($E374,'0.0.2 Pokémon Learnset (Core)'!$A$1:$A951,0)&amp;":$FK$"&amp;MATCH($E374,'0.0.2 Pokémon Learnset (Core)'!$A$1:$A951,0)),'Reverse Search'!$J$21)),IF($D$2=2,COUNTIF(INDIRECT("'0.1.1 Pokémon GO Moves'!$B$"&amp;MATCH($E374,'0.1.1 Pokémon GO Moves'!$A$1:$A951,0)&amp;":$R$"&amp;MATCH($E374,'0.1.1 Pokémon GO Moves'!$A$1:$A951,0)),'Reverse Search'!$J$21),COUNTIF(INDIRECT("'0.1.1 Pokémon GO Moves'!$B$"&amp;MATCH($E374,'0.1.1 Pokémon GO Moves'!$A$1:$A951,0)&amp;":$L$"&amp;MATCH($E374,'0.1.1 Pokémon GO Moves'!$A$1:$A951,0)),'Reverse Search'!$J$21)))))</f>
        <v>#N/A</v>
      </c>
      <c r="AB374" s="490"/>
      <c r="AC374" s="260" t="e">
        <f aca="false">IF((Q374+R374+S374+V374+W374+X374+Y374+IF(Z374&gt;=1,1,0)+IF(AA374&gt;=1,1,0))=9,G374&amp;", ",)</f>
        <v>#N/A</v>
      </c>
    </row>
    <row r="375" customFormat="false" ht="15.75" hidden="false" customHeight="false" outlineLevel="0" collapsed="false">
      <c r="A375" s="260"/>
      <c r="B375" s="358"/>
      <c r="C375" s="260"/>
      <c r="D375" s="358"/>
      <c r="E375" s="260" t="n">
        <v>374</v>
      </c>
      <c r="F375" s="260" t="n">
        <f aca="false" t="array" ref="F375:F375">INDEX('0.0.1 Pokémon Dex Data'!$H$3:$H951,MATCH(E375,'0.0.1 Pokémon Dex Data'!$B$3:$B951,0))</f>
        <v>0</v>
      </c>
      <c r="G375" s="0" t="str">
        <f aca="false" t="array" ref="G375:G375">INDEX('0.0.1 Pokémon Dex Data'!$E$3:$E951,MATCH(E375,'0.0.1 Pokémon Dex Data'!$B$3:$B951,0))</f>
        <v>Torkoal</v>
      </c>
      <c r="H375" s="0" t="str">
        <f aca="false" t="array" ref="H375:H375">INDEX('0.0.1 Pokémon Dex Data'!$Q$3:$Q951,MATCH(E375,'0.0.1 Pokémon Dex Data'!$B$3:$B951,0))</f>
        <v>Fire</v>
      </c>
      <c r="I375" s="0" t="n">
        <f aca="false">INDEX('0.0.1 Pokémon Dex Data'!$R$3:$R951,MATCH(E375,'0.0.1 Pokémon Dex Data'!$B$3:$B951,0))</f>
        <v>0</v>
      </c>
      <c r="J375" s="260" t="n">
        <f aca="false" t="array" ref="J375:J375">ROUND(INDEX('0.0.1 Pokémon Dex Data'!$S$3:$S951,MATCH($E375,'0.0.1 Pokémon Dex Data'!$B$3:$B951,0))*INDEX('0.0.1 Pokémon Dex Data'!T$3:T951,MATCH($E375,'0.0.1 Pokémon Dex Data'!$B$3:$B951,0)),0)</f>
        <v>151</v>
      </c>
      <c r="K375" s="260" t="n">
        <f aca="false" t="array" ref="K375:K375">ROUND(INDEX('0.0.1 Pokémon Dex Data'!$S$3:$S951,MATCH($E375,'0.0.1 Pokémon Dex Data'!$B$3:$B951,0))*INDEX('0.0.1 Pokémon Dex Data'!U$3:U951,MATCH($E375,'0.0.1 Pokémon Dex Data'!$B$3:$B951,0)),0)</f>
        <v>203</v>
      </c>
      <c r="L375" s="260" t="n">
        <f aca="false" t="array" ref="L375:L375">ROUND(INDEX('0.0.1 Pokémon Dex Data'!$S$3:$S951,MATCH($E375,'0.0.1 Pokémon Dex Data'!$B$3:$B951,0))*INDEX('0.0.1 Pokémon Dex Data'!V$3:V951,MATCH($E375,'0.0.1 Pokémon Dex Data'!$B$3:$B951,0)),0)</f>
        <v>172</v>
      </c>
      <c r="M375" s="260" t="n">
        <f aca="false" t="array" ref="M375:M375">INDEX('0.0.1 Pokémon Dex Data'!$J$3:$J951,MATCH(E375,'0.0.1 Pokémon Dex Data'!$B$3:$B951,0))</f>
        <v>1</v>
      </c>
      <c r="O375" s="490"/>
      <c r="Q375" s="367" t="n">
        <f aca="false">IF('Reverse Search'!$F$4="All (including temporary formes)",1,IF('Reverse Search'!$F$4="Base Pokémon and permanent formes only",IF(F375&lt;=1,1,0),IF(F375=0,1,0)))</f>
        <v>1</v>
      </c>
      <c r="R375" s="0" t="n">
        <f aca="false">IF('Reverse Search'!$C$7="Disable",1,IF('Reverse Search'!$D$9="Disable",1,IF(OR('Reverse Search'!$F$9=H375,'Reverse Search'!$F$9=I375),1,0)))</f>
        <v>1</v>
      </c>
      <c r="S375" s="0" t="n">
        <f aca="false">IF('Reverse Search'!$C$7="Disable",1,IF('Reverse Search'!$D$10="Disable",1,IF(OR('Reverse Search'!$F$10=H375,'Reverse Search'!$F$10=I375),1,0)))</f>
        <v>1</v>
      </c>
      <c r="T375" s="0" t="n">
        <f aca="false">INDEX($B$4:$B$22,MATCH(H375,$A$4:$A$22,0))</f>
        <v>1</v>
      </c>
      <c r="U375" s="0" t="e">
        <f aca="false">IF(ISBLANK(I375),1,INDEX($B$4:$B$22,MATCH(I375,$A$4:$A$22,0)))</f>
        <v>#N/A</v>
      </c>
      <c r="V375" s="367" t="n">
        <f aca="false">IF('Reverse Search'!$C$7="Disable",1,IF('Reverse Search'!$D$11="Disable",1,IF('Reverse Search'!$E$11="Neutral to:",IF(ROUND(T375*U375,2)&lt;=1,1,0),IF(ROUND(T375*U375,2)&lt;1,1,0))))</f>
        <v>1</v>
      </c>
      <c r="W375" s="0" t="n">
        <f aca="false">IF('Reverse Search'!$N$7="Disable",1,IF('Reverse Search'!$I$9="Disable",1,IF('Reverse Search'!$K$9="≥",IF(J375&gt;='Reverse Search'!$L$9,1,0),IF('Reverse Search'!$K$9="≤",IF(J375&lt;='Reverse Search'!$L$9,1,0),IF(J375='Reverse Search'!$L$9,1,0)))))</f>
        <v>1</v>
      </c>
      <c r="X375" s="0" t="n">
        <f aca="false">IF('Reverse Search'!$N$7="Disable",1,IF('Reverse Search'!$I$10="Disable",1,IF('Reverse Search'!$K$10="≥",IF(K375&gt;='Reverse Search'!$L$10,1,0),IF('Reverse Search'!$K$10="≤",IF(K375&lt;='Reverse Search'!$L$10,1,0),IF(K375='Reverse Search'!$L$10,1,0)))))</f>
        <v>1</v>
      </c>
      <c r="Y375" s="367" t="n">
        <f aca="false">IF('Reverse Search'!$N$7="Disable",1,IF('Reverse Search'!$I$11="Disable",1,IF('Reverse Search'!$K$11="≥",IF(L375&gt;='Reverse Search'!$L$11,1,0),IF('Reverse Search'!$K$11="≤",IF(L375&lt;='Reverse Search'!$L$11,1,0),IF(L375='Reverse Search'!$L$11,1,0)))))</f>
        <v>1</v>
      </c>
      <c r="Z375" s="0" t="n">
        <f aca="true">IF('Reverse Search'!$C$14="Disable",1,IF('Reverse Search'!$D$16="Disable",1,IF($C$2=3,IF($M375=0,0,COUNTIF(INDIRECT("'0.0.2 Pokémon Learnset (Core)'!$D$"&amp;MATCH($E375,'0.0.2 Pokémon Learnset (Core)'!$A$1:$A951,0)&amp;":$FK$"&amp;MATCH($E375,'0.0.2 Pokémon Learnset (Core)'!$A$1:$A951,0)),'Reverse Search'!$E$21)),IF($C$2=2,COUNTIF(INDIRECT("'0.1.1 Pokémon GO Moves'!$B$"&amp;MATCH($E375,'0.1.1 Pokémon GO Moves'!$A$1:$A951,0)&amp;":$R$"&amp;MATCH($E375,'0.1.1 Pokémon GO Moves'!$A$1:$A951,0)),'Reverse Search'!$E$21),COUNTIF(INDIRECT("'0.1.1 Pokémon GO Moves'!$B$"&amp;MATCH($E375,'0.1.1 Pokémon GO Moves'!$A$1:$A951,0)&amp;":$L$"&amp;MATCH($E375,'0.1.1 Pokémon GO Moves'!$A$1:$A951,0)),'Reverse Search'!$E$21)))))</f>
        <v>1</v>
      </c>
      <c r="AA375" s="0" t="n">
        <f aca="true">IF('Reverse Search'!$C$14="Disable",1,IF('Reverse Search'!$I$16="Disable",1,IF($D$2=3,IF($M375=0,0,COUNTIF(INDIRECT("'0.0.2 Pokémon Learnset (Core)'!$D$"&amp;MATCH($E375,'0.0.2 Pokémon Learnset (Core)'!$A$1:$A951,0)&amp;":$FK$"&amp;MATCH($E375,'0.0.2 Pokémon Learnset (Core)'!$A$1:$A951,0)),'Reverse Search'!$J$21)),IF($D$2=2,COUNTIF(INDIRECT("'0.1.1 Pokémon GO Moves'!$B$"&amp;MATCH($E375,'0.1.1 Pokémon GO Moves'!$A$1:$A951,0)&amp;":$R$"&amp;MATCH($E375,'0.1.1 Pokémon GO Moves'!$A$1:$A951,0)),'Reverse Search'!$J$21),COUNTIF(INDIRECT("'0.1.1 Pokémon GO Moves'!$B$"&amp;MATCH($E375,'0.1.1 Pokémon GO Moves'!$A$1:$A951,0)&amp;":$L$"&amp;MATCH($E375,'0.1.1 Pokémon GO Moves'!$A$1:$A951,0)),'Reverse Search'!$J$21)))))</f>
        <v>0</v>
      </c>
      <c r="AB375" s="490"/>
      <c r="AC375" s="260" t="n">
        <f aca="false">IF((Q375+R375+S375+V375+W375+X375+Y375+IF(Z375&gt;=1,1,0)+IF(AA375&gt;=1,1,0))=9,G375&amp;", ",)</f>
        <v>0</v>
      </c>
    </row>
    <row r="376" customFormat="false" ht="15.75" hidden="false" customHeight="false" outlineLevel="0" collapsed="false">
      <c r="A376" s="260"/>
      <c r="B376" s="358"/>
      <c r="C376" s="260"/>
      <c r="D376" s="358"/>
      <c r="E376" s="260" t="n">
        <v>375</v>
      </c>
      <c r="F376" s="260" t="n">
        <f aca="false" t="array" ref="F376:F376">INDEX('0.0.1 Pokémon Dex Data'!$H$3:$H951,MATCH(E376,'0.0.1 Pokémon Dex Data'!$B$3:$B951,0))</f>
        <v>0</v>
      </c>
      <c r="G376" s="0" t="str">
        <f aca="false" t="array" ref="G376:G376">INDEX('0.0.1 Pokémon Dex Data'!$E$3:$E951,MATCH(E376,'0.0.1 Pokémon Dex Data'!$B$3:$B951,0))</f>
        <v>Spoink</v>
      </c>
      <c r="H376" s="0" t="str">
        <f aca="false" t="array" ref="H376:H376">INDEX('0.0.1 Pokémon Dex Data'!$Q$3:$Q951,MATCH(E376,'0.0.1 Pokémon Dex Data'!$B$3:$B951,0))</f>
        <v>Psychic</v>
      </c>
      <c r="I376" s="0" t="n">
        <f aca="false">INDEX('0.0.1 Pokémon Dex Data'!$R$3:$R951,MATCH(E376,'0.0.1 Pokémon Dex Data'!$B$3:$B951,0))</f>
        <v>0</v>
      </c>
      <c r="J376" s="260" t="n">
        <f aca="false" t="array" ref="J376:J376">ROUND(INDEX('0.0.1 Pokémon Dex Data'!$S$3:$S951,MATCH($E376,'0.0.1 Pokémon Dex Data'!$B$3:$B951,0))*INDEX('0.0.1 Pokémon Dex Data'!T$3:T951,MATCH($E376,'0.0.1 Pokémon Dex Data'!$B$3:$B951,0)),0)</f>
        <v>125</v>
      </c>
      <c r="K376" s="260" t="n">
        <f aca="false" t="array" ref="K376:K376">ROUND(INDEX('0.0.1 Pokémon Dex Data'!$S$3:$S951,MATCH($E376,'0.0.1 Pokémon Dex Data'!$B$3:$B951,0))*INDEX('0.0.1 Pokémon Dex Data'!U$3:U951,MATCH($E376,'0.0.1 Pokémon Dex Data'!$B$3:$B951,0)),0)</f>
        <v>122</v>
      </c>
      <c r="L376" s="260" t="n">
        <f aca="false" t="array" ref="L376:L376">ROUND(INDEX('0.0.1 Pokémon Dex Data'!$S$3:$S951,MATCH($E376,'0.0.1 Pokémon Dex Data'!$B$3:$B951,0))*INDEX('0.0.1 Pokémon Dex Data'!V$3:V951,MATCH($E376,'0.0.1 Pokémon Dex Data'!$B$3:$B951,0)),0)</f>
        <v>155</v>
      </c>
      <c r="M376" s="260" t="n">
        <f aca="false" t="array" ref="M376:M376">INDEX('0.0.1 Pokémon Dex Data'!$J$3:$J951,MATCH(E376,'0.0.1 Pokémon Dex Data'!$B$3:$B951,0))</f>
        <v>0</v>
      </c>
      <c r="O376" s="490"/>
      <c r="Q376" s="367" t="n">
        <f aca="false">IF('Reverse Search'!$F$4="All (including temporary formes)",1,IF('Reverse Search'!$F$4="Base Pokémon and permanent formes only",IF(F376&lt;=1,1,0),IF(F376=0,1,0)))</f>
        <v>1</v>
      </c>
      <c r="R376" s="0" t="n">
        <f aca="false">IF('Reverse Search'!$C$7="Disable",1,IF('Reverse Search'!$D$9="Disable",1,IF(OR('Reverse Search'!$F$9=H376,'Reverse Search'!$F$9=I376),1,0)))</f>
        <v>1</v>
      </c>
      <c r="S376" s="0" t="n">
        <f aca="false">IF('Reverse Search'!$C$7="Disable",1,IF('Reverse Search'!$D$10="Disable",1,IF(OR('Reverse Search'!$F$10=H376,'Reverse Search'!$F$10=I376),1,0)))</f>
        <v>1</v>
      </c>
      <c r="T376" s="0" t="n">
        <f aca="false">INDEX($B$4:$B$22,MATCH(H376,$A$4:$A$22,0))</f>
        <v>1</v>
      </c>
      <c r="U376" s="0" t="e">
        <f aca="false">IF(ISBLANK(I376),1,INDEX($B$4:$B$22,MATCH(I376,$A$4:$A$22,0)))</f>
        <v>#N/A</v>
      </c>
      <c r="V376" s="367" t="n">
        <f aca="false">IF('Reverse Search'!$C$7="Disable",1,IF('Reverse Search'!$D$11="Disable",1,IF('Reverse Search'!$E$11="Neutral to:",IF(ROUND(T376*U376,2)&lt;=1,1,0),IF(ROUND(T376*U376,2)&lt;1,1,0))))</f>
        <v>1</v>
      </c>
      <c r="W376" s="0" t="n">
        <f aca="false">IF('Reverse Search'!$N$7="Disable",1,IF('Reverse Search'!$I$9="Disable",1,IF('Reverse Search'!$K$9="≥",IF(J376&gt;='Reverse Search'!$L$9,1,0),IF('Reverse Search'!$K$9="≤",IF(J376&lt;='Reverse Search'!$L$9,1,0),IF(J376='Reverse Search'!$L$9,1,0)))))</f>
        <v>1</v>
      </c>
      <c r="X376" s="0" t="n">
        <f aca="false">IF('Reverse Search'!$N$7="Disable",1,IF('Reverse Search'!$I$10="Disable",1,IF('Reverse Search'!$K$10="≥",IF(K376&gt;='Reverse Search'!$L$10,1,0),IF('Reverse Search'!$K$10="≤",IF(K376&lt;='Reverse Search'!$L$10,1,0),IF(K376='Reverse Search'!$L$10,1,0)))))</f>
        <v>1</v>
      </c>
      <c r="Y376" s="367" t="n">
        <f aca="false">IF('Reverse Search'!$N$7="Disable",1,IF('Reverse Search'!$I$11="Disable",1,IF('Reverse Search'!$K$11="≥",IF(L376&gt;='Reverse Search'!$L$11,1,0),IF('Reverse Search'!$K$11="≤",IF(L376&lt;='Reverse Search'!$L$11,1,0),IF(L376='Reverse Search'!$L$11,1,0)))))</f>
        <v>1</v>
      </c>
      <c r="Z376" s="0" t="n">
        <f aca="true">IF('Reverse Search'!$C$14="Disable",1,IF('Reverse Search'!$D$16="Disable",1,IF($C$2=3,IF($M376=0,0,COUNTIF(INDIRECT("'0.0.2 Pokémon Learnset (Core)'!$D$"&amp;MATCH($E376,'0.0.2 Pokémon Learnset (Core)'!$A$1:$A951,0)&amp;":$FK$"&amp;MATCH($E376,'0.0.2 Pokémon Learnset (Core)'!$A$1:$A951,0)),'Reverse Search'!$E$21)),IF($C$2=2,COUNTIF(INDIRECT("'0.1.1 Pokémon GO Moves'!$B$"&amp;MATCH($E376,'0.1.1 Pokémon GO Moves'!$A$1:$A951,0)&amp;":$R$"&amp;MATCH($E376,'0.1.1 Pokémon GO Moves'!$A$1:$A951,0)),'Reverse Search'!$E$21),COUNTIF(INDIRECT("'0.1.1 Pokémon GO Moves'!$B$"&amp;MATCH($E376,'0.1.1 Pokémon GO Moves'!$A$1:$A951,0)&amp;":$L$"&amp;MATCH($E376,'0.1.1 Pokémon GO Moves'!$A$1:$A951,0)),'Reverse Search'!$E$21)))))</f>
        <v>1</v>
      </c>
      <c r="AA376" s="0" t="n">
        <f aca="true">IF('Reverse Search'!$C$14="Disable",1,IF('Reverse Search'!$I$16="Disable",1,IF($D$2=3,IF($M376=0,0,COUNTIF(INDIRECT("'0.0.2 Pokémon Learnset (Core)'!$D$"&amp;MATCH($E376,'0.0.2 Pokémon Learnset (Core)'!$A$1:$A951,0)&amp;":$FK$"&amp;MATCH($E376,'0.0.2 Pokémon Learnset (Core)'!$A$1:$A951,0)),'Reverse Search'!$J$21)),IF($D$2=2,COUNTIF(INDIRECT("'0.1.1 Pokémon GO Moves'!$B$"&amp;MATCH($E376,'0.1.1 Pokémon GO Moves'!$A$1:$A951,0)&amp;":$R$"&amp;MATCH($E376,'0.1.1 Pokémon GO Moves'!$A$1:$A951,0)),'Reverse Search'!$J$21),COUNTIF(INDIRECT("'0.1.1 Pokémon GO Moves'!$B$"&amp;MATCH($E376,'0.1.1 Pokémon GO Moves'!$A$1:$A951,0)&amp;":$L$"&amp;MATCH($E376,'0.1.1 Pokémon GO Moves'!$A$1:$A951,0)),'Reverse Search'!$J$21)))))</f>
        <v>0</v>
      </c>
      <c r="AB376" s="490"/>
      <c r="AC376" s="260" t="n">
        <f aca="false">IF((Q376+R376+S376+V376+W376+X376+Y376+IF(Z376&gt;=1,1,0)+IF(AA376&gt;=1,1,0))=9,G376&amp;", ",)</f>
        <v>0</v>
      </c>
    </row>
    <row r="377" customFormat="false" ht="15.75" hidden="false" customHeight="false" outlineLevel="0" collapsed="false">
      <c r="A377" s="260"/>
      <c r="B377" s="358"/>
      <c r="C377" s="260"/>
      <c r="D377" s="358"/>
      <c r="E377" s="260" t="n">
        <v>376</v>
      </c>
      <c r="F377" s="260" t="n">
        <f aca="false" t="array" ref="F377:F377">INDEX('0.0.1 Pokémon Dex Data'!$H$3:$H951,MATCH(E377,'0.0.1 Pokémon Dex Data'!$B$3:$B951,0))</f>
        <v>0</v>
      </c>
      <c r="G377" s="0" t="str">
        <f aca="false" t="array" ref="G377:G377">INDEX('0.0.1 Pokémon Dex Data'!$E$3:$E951,MATCH(E377,'0.0.1 Pokémon Dex Data'!$B$3:$B951,0))</f>
        <v>Grumpig</v>
      </c>
      <c r="H377" s="0" t="str">
        <f aca="false" t="array" ref="H377:H377">INDEX('0.0.1 Pokémon Dex Data'!$Q$3:$Q951,MATCH(E377,'0.0.1 Pokémon Dex Data'!$B$3:$B951,0))</f>
        <v>Psychic</v>
      </c>
      <c r="I377" s="0" t="n">
        <f aca="false">INDEX('0.0.1 Pokémon Dex Data'!$R$3:$R951,MATCH(E377,'0.0.1 Pokémon Dex Data'!$B$3:$B951,0))</f>
        <v>0</v>
      </c>
      <c r="J377" s="260" t="n">
        <f aca="false" t="array" ref="J377:J377">ROUND(INDEX('0.0.1 Pokémon Dex Data'!$S$3:$S951,MATCH($E377,'0.0.1 Pokémon Dex Data'!$B$3:$B951,0))*INDEX('0.0.1 Pokémon Dex Data'!T$3:T951,MATCH($E377,'0.0.1 Pokémon Dex Data'!$B$3:$B951,0)),0)</f>
        <v>171</v>
      </c>
      <c r="K377" s="260" t="n">
        <f aca="false" t="array" ref="K377:K377">ROUND(INDEX('0.0.1 Pokémon Dex Data'!$S$3:$S951,MATCH($E377,'0.0.1 Pokémon Dex Data'!$B$3:$B951,0))*INDEX('0.0.1 Pokémon Dex Data'!U$3:U951,MATCH($E377,'0.0.1 Pokémon Dex Data'!$B$3:$B951,0)),0)</f>
        <v>188</v>
      </c>
      <c r="L377" s="260" t="n">
        <f aca="false" t="array" ref="L377:L377">ROUND(INDEX('0.0.1 Pokémon Dex Data'!$S$3:$S951,MATCH($E377,'0.0.1 Pokémon Dex Data'!$B$3:$B951,0))*INDEX('0.0.1 Pokémon Dex Data'!V$3:V951,MATCH($E377,'0.0.1 Pokémon Dex Data'!$B$3:$B951,0)),0)</f>
        <v>190</v>
      </c>
      <c r="M377" s="260" t="n">
        <f aca="false" t="array" ref="M377:M377">INDEX('0.0.1 Pokémon Dex Data'!$J$3:$J951,MATCH(E377,'0.0.1 Pokémon Dex Data'!$B$3:$B951,0))</f>
        <v>1</v>
      </c>
      <c r="O377" s="490"/>
      <c r="Q377" s="367" t="n">
        <f aca="false">IF('Reverse Search'!$F$4="All (including temporary formes)",1,IF('Reverse Search'!$F$4="Base Pokémon and permanent formes only",IF(F377&lt;=1,1,0),IF(F377=0,1,0)))</f>
        <v>1</v>
      </c>
      <c r="R377" s="0" t="n">
        <f aca="false">IF('Reverse Search'!$C$7="Disable",1,IF('Reverse Search'!$D$9="Disable",1,IF(OR('Reverse Search'!$F$9=H377,'Reverse Search'!$F$9=I377),1,0)))</f>
        <v>1</v>
      </c>
      <c r="S377" s="0" t="n">
        <f aca="false">IF('Reverse Search'!$C$7="Disable",1,IF('Reverse Search'!$D$10="Disable",1,IF(OR('Reverse Search'!$F$10=H377,'Reverse Search'!$F$10=I377),1,0)))</f>
        <v>1</v>
      </c>
      <c r="T377" s="0" t="n">
        <f aca="false">INDEX($B$4:$B$22,MATCH(H377,$A$4:$A$22,0))</f>
        <v>1</v>
      </c>
      <c r="U377" s="0" t="e">
        <f aca="false">IF(ISBLANK(I377),1,INDEX($B$4:$B$22,MATCH(I377,$A$4:$A$22,0)))</f>
        <v>#N/A</v>
      </c>
      <c r="V377" s="367" t="n">
        <f aca="false">IF('Reverse Search'!$C$7="Disable",1,IF('Reverse Search'!$D$11="Disable",1,IF('Reverse Search'!$E$11="Neutral to:",IF(ROUND(T377*U377,2)&lt;=1,1,0),IF(ROUND(T377*U377,2)&lt;1,1,0))))</f>
        <v>1</v>
      </c>
      <c r="W377" s="0" t="n">
        <f aca="false">IF('Reverse Search'!$N$7="Disable",1,IF('Reverse Search'!$I$9="Disable",1,IF('Reverse Search'!$K$9="≥",IF(J377&gt;='Reverse Search'!$L$9,1,0),IF('Reverse Search'!$K$9="≤",IF(J377&lt;='Reverse Search'!$L$9,1,0),IF(J377='Reverse Search'!$L$9,1,0)))))</f>
        <v>1</v>
      </c>
      <c r="X377" s="0" t="n">
        <f aca="false">IF('Reverse Search'!$N$7="Disable",1,IF('Reverse Search'!$I$10="Disable",1,IF('Reverse Search'!$K$10="≥",IF(K377&gt;='Reverse Search'!$L$10,1,0),IF('Reverse Search'!$K$10="≤",IF(K377&lt;='Reverse Search'!$L$10,1,0),IF(K377='Reverse Search'!$L$10,1,0)))))</f>
        <v>1</v>
      </c>
      <c r="Y377" s="367" t="n">
        <f aca="false">IF('Reverse Search'!$N$7="Disable",1,IF('Reverse Search'!$I$11="Disable",1,IF('Reverse Search'!$K$11="≥",IF(L377&gt;='Reverse Search'!$L$11,1,0),IF('Reverse Search'!$K$11="≤",IF(L377&lt;='Reverse Search'!$L$11,1,0),IF(L377='Reverse Search'!$L$11,1,0)))))</f>
        <v>1</v>
      </c>
      <c r="Z377" s="0" t="n">
        <f aca="true">IF('Reverse Search'!$C$14="Disable",1,IF('Reverse Search'!$D$16="Disable",1,IF($C$2=3,IF($M377=0,0,COUNTIF(INDIRECT("'0.0.2 Pokémon Learnset (Core)'!$D$"&amp;MATCH($E377,'0.0.2 Pokémon Learnset (Core)'!$A$1:$A951,0)&amp;":$FK$"&amp;MATCH($E377,'0.0.2 Pokémon Learnset (Core)'!$A$1:$A951,0)),'Reverse Search'!$E$21)),IF($C$2=2,COUNTIF(INDIRECT("'0.1.1 Pokémon GO Moves'!$B$"&amp;MATCH($E377,'0.1.1 Pokémon GO Moves'!$A$1:$A951,0)&amp;":$R$"&amp;MATCH($E377,'0.1.1 Pokémon GO Moves'!$A$1:$A951,0)),'Reverse Search'!$E$21),COUNTIF(INDIRECT("'0.1.1 Pokémon GO Moves'!$B$"&amp;MATCH($E377,'0.1.1 Pokémon GO Moves'!$A$1:$A951,0)&amp;":$L$"&amp;MATCH($E377,'0.1.1 Pokémon GO Moves'!$A$1:$A951,0)),'Reverse Search'!$E$21)))))</f>
        <v>1</v>
      </c>
      <c r="AA377" s="0" t="n">
        <f aca="true">IF('Reverse Search'!$C$14="Disable",1,IF('Reverse Search'!$I$16="Disable",1,IF($D$2=3,IF($M377=0,0,COUNTIF(INDIRECT("'0.0.2 Pokémon Learnset (Core)'!$D$"&amp;MATCH($E377,'0.0.2 Pokémon Learnset (Core)'!$A$1:$A951,0)&amp;":$FK$"&amp;MATCH($E377,'0.0.2 Pokémon Learnset (Core)'!$A$1:$A951,0)),'Reverse Search'!$J$21)),IF($D$2=2,COUNTIF(INDIRECT("'0.1.1 Pokémon GO Moves'!$B$"&amp;MATCH($E377,'0.1.1 Pokémon GO Moves'!$A$1:$A951,0)&amp;":$R$"&amp;MATCH($E377,'0.1.1 Pokémon GO Moves'!$A$1:$A951,0)),'Reverse Search'!$J$21),COUNTIF(INDIRECT("'0.1.1 Pokémon GO Moves'!$B$"&amp;MATCH($E377,'0.1.1 Pokémon GO Moves'!$A$1:$A951,0)&amp;":$L$"&amp;MATCH($E377,'0.1.1 Pokémon GO Moves'!$A$1:$A951,0)),'Reverse Search'!$J$21)))))</f>
        <v>0</v>
      </c>
      <c r="AB377" s="490"/>
      <c r="AC377" s="260" t="n">
        <f aca="false">IF((Q377+R377+S377+V377+W377+X377+Y377+IF(Z377&gt;=1,1,0)+IF(AA377&gt;=1,1,0))=9,G377&amp;", ",)</f>
        <v>0</v>
      </c>
    </row>
    <row r="378" customFormat="false" ht="15.75" hidden="false" customHeight="false" outlineLevel="0" collapsed="false">
      <c r="A378" s="260"/>
      <c r="B378" s="358"/>
      <c r="C378" s="260"/>
      <c r="D378" s="358"/>
      <c r="E378" s="260" t="n">
        <v>377</v>
      </c>
      <c r="F378" s="260" t="n">
        <f aca="false" t="array" ref="F378:F378">INDEX('0.0.1 Pokémon Dex Data'!$H$3:$H951,MATCH(E378,'0.0.1 Pokémon Dex Data'!$B$3:$B951,0))</f>
        <v>0</v>
      </c>
      <c r="G378" s="0" t="str">
        <f aca="false" t="array" ref="G378:G378">INDEX('0.0.1 Pokémon Dex Data'!$E$3:$E951,MATCH(E378,'0.0.1 Pokémon Dex Data'!$B$3:$B951,0))</f>
        <v>Spinda</v>
      </c>
      <c r="H378" s="0" t="str">
        <f aca="false" t="array" ref="H378:H378">INDEX('0.0.1 Pokémon Dex Data'!$Q$3:$Q951,MATCH(E378,'0.0.1 Pokémon Dex Data'!$B$3:$B951,0))</f>
        <v>Normal</v>
      </c>
      <c r="I378" s="0" t="n">
        <f aca="false">INDEX('0.0.1 Pokémon Dex Data'!$R$3:$R951,MATCH(E378,'0.0.1 Pokémon Dex Data'!$B$3:$B951,0))</f>
        <v>0</v>
      </c>
      <c r="J378" s="260" t="n">
        <f aca="false" t="array" ref="J378:J378">ROUND(INDEX('0.0.1 Pokémon Dex Data'!$S$3:$S951,MATCH($E378,'0.0.1 Pokémon Dex Data'!$B$3:$B951,0))*INDEX('0.0.1 Pokémon Dex Data'!T$3:T951,MATCH($E378,'0.0.1 Pokémon Dex Data'!$B$3:$B951,0)),0)</f>
        <v>116</v>
      </c>
      <c r="K378" s="260" t="n">
        <f aca="false" t="array" ref="K378:K378">ROUND(INDEX('0.0.1 Pokémon Dex Data'!$S$3:$S951,MATCH($E378,'0.0.1 Pokémon Dex Data'!$B$3:$B951,0))*INDEX('0.0.1 Pokémon Dex Data'!U$3:U951,MATCH($E378,'0.0.1 Pokémon Dex Data'!$B$3:$B951,0)),0)</f>
        <v>116</v>
      </c>
      <c r="L378" s="260" t="n">
        <f aca="false" t="array" ref="L378:L378">ROUND(INDEX('0.0.1 Pokémon Dex Data'!$S$3:$S951,MATCH($E378,'0.0.1 Pokémon Dex Data'!$B$3:$B951,0))*INDEX('0.0.1 Pokémon Dex Data'!V$3:V951,MATCH($E378,'0.0.1 Pokémon Dex Data'!$B$3:$B951,0)),0)</f>
        <v>155</v>
      </c>
      <c r="M378" s="260" t="n">
        <f aca="false" t="array" ref="M378:M378">INDEX('0.0.1 Pokémon Dex Data'!$J$3:$J951,MATCH(E378,'0.0.1 Pokémon Dex Data'!$B$3:$B951,0))</f>
        <v>1</v>
      </c>
      <c r="O378" s="490"/>
      <c r="Q378" s="367" t="n">
        <f aca="false">IF('Reverse Search'!$F$4="All (including temporary formes)",1,IF('Reverse Search'!$F$4="Base Pokémon and permanent formes only",IF(F378&lt;=1,1,0),IF(F378=0,1,0)))</f>
        <v>1</v>
      </c>
      <c r="R378" s="0" t="n">
        <f aca="false">IF('Reverse Search'!$C$7="Disable",1,IF('Reverse Search'!$D$9="Disable",1,IF(OR('Reverse Search'!$F$9=H378,'Reverse Search'!$F$9=I378),1,0)))</f>
        <v>1</v>
      </c>
      <c r="S378" s="0" t="n">
        <f aca="false">IF('Reverse Search'!$C$7="Disable",1,IF('Reverse Search'!$D$10="Disable",1,IF(OR('Reverse Search'!$F$10=H378,'Reverse Search'!$F$10=I378),1,0)))</f>
        <v>1</v>
      </c>
      <c r="T378" s="0" t="n">
        <f aca="false">INDEX($B$4:$B$22,MATCH(H378,$A$4:$A$22,0))</f>
        <v>1</v>
      </c>
      <c r="U378" s="0" t="e">
        <f aca="false">IF(ISBLANK(I378),1,INDEX($B$4:$B$22,MATCH(I378,$A$4:$A$22,0)))</f>
        <v>#N/A</v>
      </c>
      <c r="V378" s="367" t="n">
        <f aca="false">IF('Reverse Search'!$C$7="Disable",1,IF('Reverse Search'!$D$11="Disable",1,IF('Reverse Search'!$E$11="Neutral to:",IF(ROUND(T378*U378,2)&lt;=1,1,0),IF(ROUND(T378*U378,2)&lt;1,1,0))))</f>
        <v>1</v>
      </c>
      <c r="W378" s="0" t="n">
        <f aca="false">IF('Reverse Search'!$N$7="Disable",1,IF('Reverse Search'!$I$9="Disable",1,IF('Reverse Search'!$K$9="≥",IF(J378&gt;='Reverse Search'!$L$9,1,0),IF('Reverse Search'!$K$9="≤",IF(J378&lt;='Reverse Search'!$L$9,1,0),IF(J378='Reverse Search'!$L$9,1,0)))))</f>
        <v>1</v>
      </c>
      <c r="X378" s="0" t="n">
        <f aca="false">IF('Reverse Search'!$N$7="Disable",1,IF('Reverse Search'!$I$10="Disable",1,IF('Reverse Search'!$K$10="≥",IF(K378&gt;='Reverse Search'!$L$10,1,0),IF('Reverse Search'!$K$10="≤",IF(K378&lt;='Reverse Search'!$L$10,1,0),IF(K378='Reverse Search'!$L$10,1,0)))))</f>
        <v>1</v>
      </c>
      <c r="Y378" s="367" t="n">
        <f aca="false">IF('Reverse Search'!$N$7="Disable",1,IF('Reverse Search'!$I$11="Disable",1,IF('Reverse Search'!$K$11="≥",IF(L378&gt;='Reverse Search'!$L$11,1,0),IF('Reverse Search'!$K$11="≤",IF(L378&lt;='Reverse Search'!$L$11,1,0),IF(L378='Reverse Search'!$L$11,1,0)))))</f>
        <v>1</v>
      </c>
      <c r="Z378" s="0" t="n">
        <f aca="true">IF('Reverse Search'!$C$14="Disable",1,IF('Reverse Search'!$D$16="Disable",1,IF($C$2=3,IF($M378=0,0,COUNTIF(INDIRECT("'0.0.2 Pokémon Learnset (Core)'!$D$"&amp;MATCH($E378,'0.0.2 Pokémon Learnset (Core)'!$A$1:$A951,0)&amp;":$FK$"&amp;MATCH($E378,'0.0.2 Pokémon Learnset (Core)'!$A$1:$A951,0)),'Reverse Search'!$E$21)),IF($C$2=2,COUNTIF(INDIRECT("'0.1.1 Pokémon GO Moves'!$B$"&amp;MATCH($E378,'0.1.1 Pokémon GO Moves'!$A$1:$A951,0)&amp;":$R$"&amp;MATCH($E378,'0.1.1 Pokémon GO Moves'!$A$1:$A951,0)),'Reverse Search'!$E$21),COUNTIF(INDIRECT("'0.1.1 Pokémon GO Moves'!$B$"&amp;MATCH($E378,'0.1.1 Pokémon GO Moves'!$A$1:$A951,0)&amp;":$L$"&amp;MATCH($E378,'0.1.1 Pokémon GO Moves'!$A$1:$A951,0)),'Reverse Search'!$E$21)))))</f>
        <v>1</v>
      </c>
      <c r="AA378" s="0" t="n">
        <f aca="true">IF('Reverse Search'!$C$14="Disable",1,IF('Reverse Search'!$I$16="Disable",1,IF($D$2=3,IF($M378=0,0,COUNTIF(INDIRECT("'0.0.2 Pokémon Learnset (Core)'!$D$"&amp;MATCH($E378,'0.0.2 Pokémon Learnset (Core)'!$A$1:$A951,0)&amp;":$FK$"&amp;MATCH($E378,'0.0.2 Pokémon Learnset (Core)'!$A$1:$A951,0)),'Reverse Search'!$J$21)),IF($D$2=2,COUNTIF(INDIRECT("'0.1.1 Pokémon GO Moves'!$B$"&amp;MATCH($E378,'0.1.1 Pokémon GO Moves'!$A$1:$A951,0)&amp;":$R$"&amp;MATCH($E378,'0.1.1 Pokémon GO Moves'!$A$1:$A951,0)),'Reverse Search'!$J$21),COUNTIF(INDIRECT("'0.1.1 Pokémon GO Moves'!$B$"&amp;MATCH($E378,'0.1.1 Pokémon GO Moves'!$A$1:$A951,0)&amp;":$L$"&amp;MATCH($E378,'0.1.1 Pokémon GO Moves'!$A$1:$A951,0)),'Reverse Search'!$J$21)))))</f>
        <v>0</v>
      </c>
      <c r="AB378" s="490"/>
      <c r="AC378" s="260" t="n">
        <f aca="false">IF((Q378+R378+S378+V378+W378+X378+Y378+IF(Z378&gt;=1,1,0)+IF(AA378&gt;=1,1,0))=9,G378&amp;", ",)</f>
        <v>0</v>
      </c>
    </row>
    <row r="379" customFormat="false" ht="15.75" hidden="false" customHeight="false" outlineLevel="0" collapsed="false">
      <c r="A379" s="260"/>
      <c r="B379" s="358"/>
      <c r="C379" s="260"/>
      <c r="D379" s="358"/>
      <c r="E379" s="260" t="n">
        <v>378</v>
      </c>
      <c r="F379" s="260" t="n">
        <f aca="false" t="array" ref="F379:F379">INDEX('0.0.1 Pokémon Dex Data'!$H$3:$H951,MATCH(E379,'0.0.1 Pokémon Dex Data'!$B$3:$B951,0))</f>
        <v>0</v>
      </c>
      <c r="G379" s="0" t="str">
        <f aca="false" t="array" ref="G379:G379">INDEX('0.0.1 Pokémon Dex Data'!$E$3:$E951,MATCH(E379,'0.0.1 Pokémon Dex Data'!$B$3:$B951,0))</f>
        <v>Trapinch</v>
      </c>
      <c r="H379" s="0" t="str">
        <f aca="false" t="array" ref="H379:H379">INDEX('0.0.1 Pokémon Dex Data'!$Q$3:$Q951,MATCH(E379,'0.0.1 Pokémon Dex Data'!$B$3:$B951,0))</f>
        <v>Ground</v>
      </c>
      <c r="I379" s="0" t="n">
        <f aca="false">INDEX('0.0.1 Pokémon Dex Data'!$R$3:$R951,MATCH(E379,'0.0.1 Pokémon Dex Data'!$B$3:$B951,0))</f>
        <v>0</v>
      </c>
      <c r="J379" s="260" t="n">
        <f aca="false" t="array" ref="J379:J379">ROUND(INDEX('0.0.1 Pokémon Dex Data'!$S$3:$S951,MATCH($E379,'0.0.1 Pokémon Dex Data'!$B$3:$B951,0))*INDEX('0.0.1 Pokémon Dex Data'!T$3:T951,MATCH($E379,'0.0.1 Pokémon Dex Data'!$B$3:$B951,0)),0)</f>
        <v>162</v>
      </c>
      <c r="K379" s="260" t="n">
        <f aca="false" t="array" ref="K379:K379">ROUND(INDEX('0.0.1 Pokémon Dex Data'!$S$3:$S951,MATCH($E379,'0.0.1 Pokémon Dex Data'!$B$3:$B951,0))*INDEX('0.0.1 Pokémon Dex Data'!U$3:U951,MATCH($E379,'0.0.1 Pokémon Dex Data'!$B$3:$B951,0)),0)</f>
        <v>78</v>
      </c>
      <c r="L379" s="260" t="n">
        <f aca="false" t="array" ref="L379:L379">ROUND(INDEX('0.0.1 Pokémon Dex Data'!$S$3:$S951,MATCH($E379,'0.0.1 Pokémon Dex Data'!$B$3:$B951,0))*INDEX('0.0.1 Pokémon Dex Data'!V$3:V951,MATCH($E379,'0.0.1 Pokémon Dex Data'!$B$3:$B951,0)),0)</f>
        <v>128</v>
      </c>
      <c r="M379" s="260" t="n">
        <f aca="false" t="array" ref="M379:M379">INDEX('0.0.1 Pokémon Dex Data'!$J$3:$J951,MATCH(E379,'0.0.1 Pokémon Dex Data'!$B$3:$B951,0))</f>
        <v>0</v>
      </c>
      <c r="O379" s="490"/>
      <c r="Q379" s="367" t="n">
        <f aca="false">IF('Reverse Search'!$F$4="All (including temporary formes)",1,IF('Reverse Search'!$F$4="Base Pokémon and permanent formes only",IF(F379&lt;=1,1,0),IF(F379=0,1,0)))</f>
        <v>1</v>
      </c>
      <c r="R379" s="0" t="n">
        <f aca="false">IF('Reverse Search'!$C$7="Disable",1,IF('Reverse Search'!$D$9="Disable",1,IF(OR('Reverse Search'!$F$9=H379,'Reverse Search'!$F$9=I379),1,0)))</f>
        <v>1</v>
      </c>
      <c r="S379" s="0" t="n">
        <f aca="false">IF('Reverse Search'!$C$7="Disable",1,IF('Reverse Search'!$D$10="Disable",1,IF(OR('Reverse Search'!$F$10=H379,'Reverse Search'!$F$10=I379),1,0)))</f>
        <v>1</v>
      </c>
      <c r="T379" s="0" t="n">
        <f aca="false">INDEX($B$4:$B$22,MATCH(H379,$A$4:$A$22,0))</f>
        <v>1</v>
      </c>
      <c r="U379" s="0" t="e">
        <f aca="false">IF(ISBLANK(I379),1,INDEX($B$4:$B$22,MATCH(I379,$A$4:$A$22,0)))</f>
        <v>#N/A</v>
      </c>
      <c r="V379" s="367" t="n">
        <f aca="false">IF('Reverse Search'!$C$7="Disable",1,IF('Reverse Search'!$D$11="Disable",1,IF('Reverse Search'!$E$11="Neutral to:",IF(ROUND(T379*U379,2)&lt;=1,1,0),IF(ROUND(T379*U379,2)&lt;1,1,0))))</f>
        <v>1</v>
      </c>
      <c r="W379" s="0" t="n">
        <f aca="false">IF('Reverse Search'!$N$7="Disable",1,IF('Reverse Search'!$I$9="Disable",1,IF('Reverse Search'!$K$9="≥",IF(J379&gt;='Reverse Search'!$L$9,1,0),IF('Reverse Search'!$K$9="≤",IF(J379&lt;='Reverse Search'!$L$9,1,0),IF(J379='Reverse Search'!$L$9,1,0)))))</f>
        <v>1</v>
      </c>
      <c r="X379" s="0" t="n">
        <f aca="false">IF('Reverse Search'!$N$7="Disable",1,IF('Reverse Search'!$I$10="Disable",1,IF('Reverse Search'!$K$10="≥",IF(K379&gt;='Reverse Search'!$L$10,1,0),IF('Reverse Search'!$K$10="≤",IF(K379&lt;='Reverse Search'!$L$10,1,0),IF(K379='Reverse Search'!$L$10,1,0)))))</f>
        <v>1</v>
      </c>
      <c r="Y379" s="367" t="n">
        <f aca="false">IF('Reverse Search'!$N$7="Disable",1,IF('Reverse Search'!$I$11="Disable",1,IF('Reverse Search'!$K$11="≥",IF(L379&gt;='Reverse Search'!$L$11,1,0),IF('Reverse Search'!$K$11="≤",IF(L379&lt;='Reverse Search'!$L$11,1,0),IF(L379='Reverse Search'!$L$11,1,0)))))</f>
        <v>1</v>
      </c>
      <c r="Z379" s="0" t="n">
        <f aca="true">IF('Reverse Search'!$C$14="Disable",1,IF('Reverse Search'!$D$16="Disable",1,IF($C$2=3,IF($M379=0,0,COUNTIF(INDIRECT("'0.0.2 Pokémon Learnset (Core)'!$D$"&amp;MATCH($E379,'0.0.2 Pokémon Learnset (Core)'!$A$1:$A951,0)&amp;":$FK$"&amp;MATCH($E379,'0.0.2 Pokémon Learnset (Core)'!$A$1:$A951,0)),'Reverse Search'!$E$21)),IF($C$2=2,COUNTIF(INDIRECT("'0.1.1 Pokémon GO Moves'!$B$"&amp;MATCH($E379,'0.1.1 Pokémon GO Moves'!$A$1:$A951,0)&amp;":$R$"&amp;MATCH($E379,'0.1.1 Pokémon GO Moves'!$A$1:$A951,0)),'Reverse Search'!$E$21),COUNTIF(INDIRECT("'0.1.1 Pokémon GO Moves'!$B$"&amp;MATCH($E379,'0.1.1 Pokémon GO Moves'!$A$1:$A951,0)&amp;":$L$"&amp;MATCH($E379,'0.1.1 Pokémon GO Moves'!$A$1:$A951,0)),'Reverse Search'!$E$21)))))</f>
        <v>1</v>
      </c>
      <c r="AA379" s="0" t="n">
        <f aca="true">IF('Reverse Search'!$C$14="Disable",1,IF('Reverse Search'!$I$16="Disable",1,IF($D$2=3,IF($M379=0,0,COUNTIF(INDIRECT("'0.0.2 Pokémon Learnset (Core)'!$D$"&amp;MATCH($E379,'0.0.2 Pokémon Learnset (Core)'!$A$1:$A951,0)&amp;":$FK$"&amp;MATCH($E379,'0.0.2 Pokémon Learnset (Core)'!$A$1:$A951,0)),'Reverse Search'!$J$21)),IF($D$2=2,COUNTIF(INDIRECT("'0.1.1 Pokémon GO Moves'!$B$"&amp;MATCH($E379,'0.1.1 Pokémon GO Moves'!$A$1:$A951,0)&amp;":$R$"&amp;MATCH($E379,'0.1.1 Pokémon GO Moves'!$A$1:$A951,0)),'Reverse Search'!$J$21),COUNTIF(INDIRECT("'0.1.1 Pokémon GO Moves'!$B$"&amp;MATCH($E379,'0.1.1 Pokémon GO Moves'!$A$1:$A951,0)&amp;":$L$"&amp;MATCH($E379,'0.1.1 Pokémon GO Moves'!$A$1:$A951,0)),'Reverse Search'!$J$21)))))</f>
        <v>0</v>
      </c>
      <c r="AB379" s="490"/>
      <c r="AC379" s="260" t="n">
        <f aca="false">IF((Q379+R379+S379+V379+W379+X379+Y379+IF(Z379&gt;=1,1,0)+IF(AA379&gt;=1,1,0))=9,G379&amp;", ",)</f>
        <v>0</v>
      </c>
    </row>
    <row r="380" customFormat="false" ht="15.75" hidden="false" customHeight="false" outlineLevel="0" collapsed="false">
      <c r="A380" s="260"/>
      <c r="B380" s="358"/>
      <c r="C380" s="260"/>
      <c r="D380" s="358"/>
      <c r="E380" s="260" t="n">
        <v>379</v>
      </c>
      <c r="F380" s="260" t="n">
        <f aca="false" t="array" ref="F380:F380">INDEX('0.0.1 Pokémon Dex Data'!$H$3:$H951,MATCH(E380,'0.0.1 Pokémon Dex Data'!$B$3:$B951,0))</f>
        <v>0</v>
      </c>
      <c r="G380" s="0" t="str">
        <f aca="false" t="array" ref="G380:G380">INDEX('0.0.1 Pokémon Dex Data'!$E$3:$E951,MATCH(E380,'0.0.1 Pokémon Dex Data'!$B$3:$B951,0))</f>
        <v>Vibrava</v>
      </c>
      <c r="H380" s="0" t="str">
        <f aca="false" t="array" ref="H380:H380">INDEX('0.0.1 Pokémon Dex Data'!$Q$3:$Q951,MATCH(E380,'0.0.1 Pokémon Dex Data'!$B$3:$B951,0))</f>
        <v>Ground</v>
      </c>
      <c r="I380" s="0" t="str">
        <f aca="false" t="array" ref="I380:I380">INDEX('0.0.1 Pokémon Dex Data'!$R$3:$R951,MATCH(E380,'0.0.1 Pokémon Dex Data'!$B$3:$B951,0))</f>
        <v>Dragon</v>
      </c>
      <c r="J380" s="260" t="n">
        <f aca="false" t="array" ref="J380:J380">ROUND(INDEX('0.0.1 Pokémon Dex Data'!$S$3:$S951,MATCH($E380,'0.0.1 Pokémon Dex Data'!$B$3:$B951,0))*INDEX('0.0.1 Pokémon Dex Data'!T$3:T951,MATCH($E380,'0.0.1 Pokémon Dex Data'!$B$3:$B951,0)),0)</f>
        <v>134</v>
      </c>
      <c r="K380" s="260" t="n">
        <f aca="false" t="array" ref="K380:K380">ROUND(INDEX('0.0.1 Pokémon Dex Data'!$S$3:$S951,MATCH($E380,'0.0.1 Pokémon Dex Data'!$B$3:$B951,0))*INDEX('0.0.1 Pokémon Dex Data'!U$3:U951,MATCH($E380,'0.0.1 Pokémon Dex Data'!$B$3:$B951,0)),0)</f>
        <v>99</v>
      </c>
      <c r="L380" s="260" t="n">
        <f aca="false" t="array" ref="L380:L380">ROUND(INDEX('0.0.1 Pokémon Dex Data'!$S$3:$S951,MATCH($E380,'0.0.1 Pokémon Dex Data'!$B$3:$B951,0))*INDEX('0.0.1 Pokémon Dex Data'!V$3:V951,MATCH($E380,'0.0.1 Pokémon Dex Data'!$B$3:$B951,0)),0)</f>
        <v>137</v>
      </c>
      <c r="M380" s="260" t="n">
        <f aca="false" t="array" ref="M380:M380">INDEX('0.0.1 Pokémon Dex Data'!$J$3:$J951,MATCH(E380,'0.0.1 Pokémon Dex Data'!$B$3:$B951,0))</f>
        <v>0</v>
      </c>
      <c r="O380" s="490"/>
      <c r="Q380" s="367" t="n">
        <f aca="false">IF('Reverse Search'!$F$4="All (including temporary formes)",1,IF('Reverse Search'!$F$4="Base Pokémon and permanent formes only",IF(F380&lt;=1,1,0),IF(F380=0,1,0)))</f>
        <v>1</v>
      </c>
      <c r="R380" s="0" t="n">
        <f aca="false">IF('Reverse Search'!$C$7="Disable",1,IF('Reverse Search'!$D$9="Disable",1,IF(OR('Reverse Search'!$F$9=H380,'Reverse Search'!$F$9=I380),1,0)))</f>
        <v>1</v>
      </c>
      <c r="S380" s="0" t="n">
        <f aca="false">IF('Reverse Search'!$C$7="Disable",1,IF('Reverse Search'!$D$10="Disable",1,IF(OR('Reverse Search'!$F$10=H380,'Reverse Search'!$F$10=I380),1,0)))</f>
        <v>1</v>
      </c>
      <c r="T380" s="0" t="n">
        <f aca="false">INDEX($B$4:$B$22,MATCH(H380,$A$4:$A$22,0))</f>
        <v>1</v>
      </c>
      <c r="U380" s="0" t="n">
        <f aca="false">IF(ISBLANK(I380),1,INDEX($B$4:$B$22,MATCH(I380,$A$4:$A$22,0)))</f>
        <v>1</v>
      </c>
      <c r="V380" s="367" t="n">
        <f aca="false">IF('Reverse Search'!$C$7="Disable",1,IF('Reverse Search'!$D$11="Disable",1,IF('Reverse Search'!$E$11="Neutral to:",IF(ROUND(T380*U380,2)&lt;=1,1,0),IF(ROUND(T380*U380,2)&lt;1,1,0))))</f>
        <v>1</v>
      </c>
      <c r="W380" s="0" t="n">
        <f aca="false">IF('Reverse Search'!$N$7="Disable",1,IF('Reverse Search'!$I$9="Disable",1,IF('Reverse Search'!$K$9="≥",IF(J380&gt;='Reverse Search'!$L$9,1,0),IF('Reverse Search'!$K$9="≤",IF(J380&lt;='Reverse Search'!$L$9,1,0),IF(J380='Reverse Search'!$L$9,1,0)))))</f>
        <v>1</v>
      </c>
      <c r="X380" s="0" t="n">
        <f aca="false">IF('Reverse Search'!$N$7="Disable",1,IF('Reverse Search'!$I$10="Disable",1,IF('Reverse Search'!$K$10="≥",IF(K380&gt;='Reverse Search'!$L$10,1,0),IF('Reverse Search'!$K$10="≤",IF(K380&lt;='Reverse Search'!$L$10,1,0),IF(K380='Reverse Search'!$L$10,1,0)))))</f>
        <v>1</v>
      </c>
      <c r="Y380" s="367" t="n">
        <f aca="false">IF('Reverse Search'!$N$7="Disable",1,IF('Reverse Search'!$I$11="Disable",1,IF('Reverse Search'!$K$11="≥",IF(L380&gt;='Reverse Search'!$L$11,1,0),IF('Reverse Search'!$K$11="≤",IF(L380&lt;='Reverse Search'!$L$11,1,0),IF(L380='Reverse Search'!$L$11,1,0)))))</f>
        <v>1</v>
      </c>
      <c r="Z380" s="0" t="n">
        <f aca="true">IF('Reverse Search'!$C$14="Disable",1,IF('Reverse Search'!$D$16="Disable",1,IF($C$2=3,IF($M380=0,0,COUNTIF(INDIRECT("'0.0.2 Pokémon Learnset (Core)'!$D$"&amp;MATCH($E380,'0.0.2 Pokémon Learnset (Core)'!$A$1:$A951,0)&amp;":$FK$"&amp;MATCH($E380,'0.0.2 Pokémon Learnset (Core)'!$A$1:$A951,0)),'Reverse Search'!$E$21)),IF($C$2=2,COUNTIF(INDIRECT("'0.1.1 Pokémon GO Moves'!$B$"&amp;MATCH($E380,'0.1.1 Pokémon GO Moves'!$A$1:$A951,0)&amp;":$R$"&amp;MATCH($E380,'0.1.1 Pokémon GO Moves'!$A$1:$A951,0)),'Reverse Search'!$E$21),COUNTIF(INDIRECT("'0.1.1 Pokémon GO Moves'!$B$"&amp;MATCH($E380,'0.1.1 Pokémon GO Moves'!$A$1:$A951,0)&amp;":$L$"&amp;MATCH($E380,'0.1.1 Pokémon GO Moves'!$A$1:$A951,0)),'Reverse Search'!$E$21)))))</f>
        <v>1</v>
      </c>
      <c r="AA380" s="0" t="n">
        <f aca="true">IF('Reverse Search'!$C$14="Disable",1,IF('Reverse Search'!$I$16="Disable",1,IF($D$2=3,IF($M380=0,0,COUNTIF(INDIRECT("'0.0.2 Pokémon Learnset (Core)'!$D$"&amp;MATCH($E380,'0.0.2 Pokémon Learnset (Core)'!$A$1:$A951,0)&amp;":$FK$"&amp;MATCH($E380,'0.0.2 Pokémon Learnset (Core)'!$A$1:$A951,0)),'Reverse Search'!$J$21)),IF($D$2=2,COUNTIF(INDIRECT("'0.1.1 Pokémon GO Moves'!$B$"&amp;MATCH($E380,'0.1.1 Pokémon GO Moves'!$A$1:$A951,0)&amp;":$R$"&amp;MATCH($E380,'0.1.1 Pokémon GO Moves'!$A$1:$A951,0)),'Reverse Search'!$J$21),COUNTIF(INDIRECT("'0.1.1 Pokémon GO Moves'!$B$"&amp;MATCH($E380,'0.1.1 Pokémon GO Moves'!$A$1:$A951,0)&amp;":$L$"&amp;MATCH($E380,'0.1.1 Pokémon GO Moves'!$A$1:$A951,0)),'Reverse Search'!$J$21)))))</f>
        <v>0</v>
      </c>
      <c r="AB380" s="490"/>
      <c r="AC380" s="260" t="n">
        <f aca="false">IF((Q380+R380+S380+V380+W380+X380+Y380+IF(Z380&gt;=1,1,0)+IF(AA380&gt;=1,1,0))=9,G380&amp;", ",)</f>
        <v>0</v>
      </c>
    </row>
    <row r="381" customFormat="false" ht="15.75" hidden="false" customHeight="false" outlineLevel="0" collapsed="false">
      <c r="A381" s="260"/>
      <c r="B381" s="358"/>
      <c r="C381" s="260"/>
      <c r="D381" s="358"/>
      <c r="E381" s="260" t="n">
        <v>380</v>
      </c>
      <c r="F381" s="260" t="n">
        <f aca="false" t="array" ref="F381:F381">INDEX('0.0.1 Pokémon Dex Data'!$H$3:$H951,MATCH(E381,'0.0.1 Pokémon Dex Data'!$B$3:$B951,0))</f>
        <v>0</v>
      </c>
      <c r="G381" s="0" t="str">
        <f aca="false" t="array" ref="G381:G381">INDEX('0.0.1 Pokémon Dex Data'!$E$3:$E951,MATCH(E381,'0.0.1 Pokémon Dex Data'!$B$3:$B951,0))</f>
        <v>Flygon</v>
      </c>
      <c r="H381" s="0" t="str">
        <f aca="false" t="array" ref="H381:H381">INDEX('0.0.1 Pokémon Dex Data'!$Q$3:$Q951,MATCH(E381,'0.0.1 Pokémon Dex Data'!$B$3:$B951,0))</f>
        <v>Ground</v>
      </c>
      <c r="I381" s="0" t="str">
        <f aca="false" t="array" ref="I381:I381">INDEX('0.0.1 Pokémon Dex Data'!$R$3:$R951,MATCH(E381,'0.0.1 Pokémon Dex Data'!$B$3:$B951,0))</f>
        <v>Dragon</v>
      </c>
      <c r="J381" s="260" t="n">
        <f aca="false" t="array" ref="J381:J381">ROUND(INDEX('0.0.1 Pokémon Dex Data'!$S$3:$S951,MATCH($E381,'0.0.1 Pokémon Dex Data'!$B$3:$B951,0))*INDEX('0.0.1 Pokémon Dex Data'!T$3:T951,MATCH($E381,'0.0.1 Pokémon Dex Data'!$B$3:$B951,0)),0)</f>
        <v>205</v>
      </c>
      <c r="K381" s="260" t="n">
        <f aca="false" t="array" ref="K381:K381">ROUND(INDEX('0.0.1 Pokémon Dex Data'!$S$3:$S951,MATCH($E381,'0.0.1 Pokémon Dex Data'!$B$3:$B951,0))*INDEX('0.0.1 Pokémon Dex Data'!U$3:U951,MATCH($E381,'0.0.1 Pokémon Dex Data'!$B$3:$B951,0)),0)</f>
        <v>168</v>
      </c>
      <c r="L381" s="260" t="n">
        <f aca="false" t="array" ref="L381:L381">ROUND(INDEX('0.0.1 Pokémon Dex Data'!$S$3:$S951,MATCH($E381,'0.0.1 Pokémon Dex Data'!$B$3:$B951,0))*INDEX('0.0.1 Pokémon Dex Data'!V$3:V951,MATCH($E381,'0.0.1 Pokémon Dex Data'!$B$3:$B951,0)),0)</f>
        <v>190</v>
      </c>
      <c r="M381" s="260" t="n">
        <f aca="false" t="array" ref="M381:M381">INDEX('0.0.1 Pokémon Dex Data'!$J$3:$J951,MATCH(E381,'0.0.1 Pokémon Dex Data'!$B$3:$B951,0))</f>
        <v>1</v>
      </c>
      <c r="O381" s="490"/>
      <c r="Q381" s="367" t="n">
        <f aca="false">IF('Reverse Search'!$F$4="All (including temporary formes)",1,IF('Reverse Search'!$F$4="Base Pokémon and permanent formes only",IF(F381&lt;=1,1,0),IF(F381=0,1,0)))</f>
        <v>1</v>
      </c>
      <c r="R381" s="0" t="n">
        <f aca="false">IF('Reverse Search'!$C$7="Disable",1,IF('Reverse Search'!$D$9="Disable",1,IF(OR('Reverse Search'!$F$9=H381,'Reverse Search'!$F$9=I381),1,0)))</f>
        <v>1</v>
      </c>
      <c r="S381" s="0" t="n">
        <f aca="false">IF('Reverse Search'!$C$7="Disable",1,IF('Reverse Search'!$D$10="Disable",1,IF(OR('Reverse Search'!$F$10=H381,'Reverse Search'!$F$10=I381),1,0)))</f>
        <v>1</v>
      </c>
      <c r="T381" s="0" t="n">
        <f aca="false">INDEX($B$4:$B$22,MATCH(H381,$A$4:$A$22,0))</f>
        <v>1</v>
      </c>
      <c r="U381" s="0" t="n">
        <f aca="false">IF(ISBLANK(I381),1,INDEX($B$4:$B$22,MATCH(I381,$A$4:$A$22,0)))</f>
        <v>1</v>
      </c>
      <c r="V381" s="367" t="n">
        <f aca="false">IF('Reverse Search'!$C$7="Disable",1,IF('Reverse Search'!$D$11="Disable",1,IF('Reverse Search'!$E$11="Neutral to:",IF(ROUND(T381*U381,2)&lt;=1,1,0),IF(ROUND(T381*U381,2)&lt;1,1,0))))</f>
        <v>1</v>
      </c>
      <c r="W381" s="0" t="n">
        <f aca="false">IF('Reverse Search'!$N$7="Disable",1,IF('Reverse Search'!$I$9="Disable",1,IF('Reverse Search'!$K$9="≥",IF(J381&gt;='Reverse Search'!$L$9,1,0),IF('Reverse Search'!$K$9="≤",IF(J381&lt;='Reverse Search'!$L$9,1,0),IF(J381='Reverse Search'!$L$9,1,0)))))</f>
        <v>1</v>
      </c>
      <c r="X381" s="0" t="n">
        <f aca="false">IF('Reverse Search'!$N$7="Disable",1,IF('Reverse Search'!$I$10="Disable",1,IF('Reverse Search'!$K$10="≥",IF(K381&gt;='Reverse Search'!$L$10,1,0),IF('Reverse Search'!$K$10="≤",IF(K381&lt;='Reverse Search'!$L$10,1,0),IF(K381='Reverse Search'!$L$10,1,0)))))</f>
        <v>1</v>
      </c>
      <c r="Y381" s="367" t="n">
        <f aca="false">IF('Reverse Search'!$N$7="Disable",1,IF('Reverse Search'!$I$11="Disable",1,IF('Reverse Search'!$K$11="≥",IF(L381&gt;='Reverse Search'!$L$11,1,0),IF('Reverse Search'!$K$11="≤",IF(L381&lt;='Reverse Search'!$L$11,1,0),IF(L381='Reverse Search'!$L$11,1,0)))))</f>
        <v>1</v>
      </c>
      <c r="Z381" s="0" t="n">
        <f aca="true">IF('Reverse Search'!$C$14="Disable",1,IF('Reverse Search'!$D$16="Disable",1,IF($C$2=3,IF($M381=0,0,COUNTIF(INDIRECT("'0.0.2 Pokémon Learnset (Core)'!$D$"&amp;MATCH($E381,'0.0.2 Pokémon Learnset (Core)'!$A$1:$A951,0)&amp;":$FK$"&amp;MATCH($E381,'0.0.2 Pokémon Learnset (Core)'!$A$1:$A951,0)),'Reverse Search'!$E$21)),IF($C$2=2,COUNTIF(INDIRECT("'0.1.1 Pokémon GO Moves'!$B$"&amp;MATCH($E381,'0.1.1 Pokémon GO Moves'!$A$1:$A951,0)&amp;":$R$"&amp;MATCH($E381,'0.1.1 Pokémon GO Moves'!$A$1:$A951,0)),'Reverse Search'!$E$21),COUNTIF(INDIRECT("'0.1.1 Pokémon GO Moves'!$B$"&amp;MATCH($E381,'0.1.1 Pokémon GO Moves'!$A$1:$A951,0)&amp;":$L$"&amp;MATCH($E381,'0.1.1 Pokémon GO Moves'!$A$1:$A951,0)),'Reverse Search'!$E$21)))))</f>
        <v>1</v>
      </c>
      <c r="AA381" s="0" t="n">
        <f aca="true">IF('Reverse Search'!$C$14="Disable",1,IF('Reverse Search'!$I$16="Disable",1,IF($D$2=3,IF($M381=0,0,COUNTIF(INDIRECT("'0.0.2 Pokémon Learnset (Core)'!$D$"&amp;MATCH($E381,'0.0.2 Pokémon Learnset (Core)'!$A$1:$A951,0)&amp;":$FK$"&amp;MATCH($E381,'0.0.2 Pokémon Learnset (Core)'!$A$1:$A951,0)),'Reverse Search'!$J$21)),IF($D$2=2,COUNTIF(INDIRECT("'0.1.1 Pokémon GO Moves'!$B$"&amp;MATCH($E381,'0.1.1 Pokémon GO Moves'!$A$1:$A951,0)&amp;":$R$"&amp;MATCH($E381,'0.1.1 Pokémon GO Moves'!$A$1:$A951,0)),'Reverse Search'!$J$21),COUNTIF(INDIRECT("'0.1.1 Pokémon GO Moves'!$B$"&amp;MATCH($E381,'0.1.1 Pokémon GO Moves'!$A$1:$A951,0)&amp;":$L$"&amp;MATCH($E381,'0.1.1 Pokémon GO Moves'!$A$1:$A951,0)),'Reverse Search'!$J$21)))))</f>
        <v>0</v>
      </c>
      <c r="AB381" s="490"/>
      <c r="AC381" s="260" t="n">
        <f aca="false">IF((Q381+R381+S381+V381+W381+X381+Y381+IF(Z381&gt;=1,1,0)+IF(AA381&gt;=1,1,0))=9,G381&amp;", ",)</f>
        <v>0</v>
      </c>
    </row>
    <row r="382" customFormat="false" ht="15.75" hidden="false" customHeight="false" outlineLevel="0" collapsed="false">
      <c r="A382" s="260"/>
      <c r="B382" s="358"/>
      <c r="C382" s="260"/>
      <c r="D382" s="358"/>
      <c r="E382" s="260" t="n">
        <v>381</v>
      </c>
      <c r="F382" s="260" t="n">
        <f aca="false" t="array" ref="F382:F382">INDEX('0.0.1 Pokémon Dex Data'!$H$3:$H951,MATCH(E382,'0.0.1 Pokémon Dex Data'!$B$3:$B951,0))</f>
        <v>0</v>
      </c>
      <c r="G382" s="0" t="str">
        <f aca="false" t="array" ref="G382:G382">INDEX('0.0.1 Pokémon Dex Data'!$E$3:$E951,MATCH(E382,'0.0.1 Pokémon Dex Data'!$B$3:$B951,0))</f>
        <v>Cacnea</v>
      </c>
      <c r="H382" s="0" t="str">
        <f aca="false" t="array" ref="H382:H382">INDEX('0.0.1 Pokémon Dex Data'!$Q$3:$Q951,MATCH(E382,'0.0.1 Pokémon Dex Data'!$B$3:$B951,0))</f>
        <v>Grass</v>
      </c>
      <c r="I382" s="0" t="n">
        <f aca="false">INDEX('0.0.1 Pokémon Dex Data'!$R$3:$R951,MATCH(E382,'0.0.1 Pokémon Dex Data'!$B$3:$B951,0))</f>
        <v>0</v>
      </c>
      <c r="J382" s="260" t="n">
        <f aca="false" t="array" ref="J382:J382">ROUND(INDEX('0.0.1 Pokémon Dex Data'!$S$3:$S951,MATCH($E382,'0.0.1 Pokémon Dex Data'!$B$3:$B951,0))*INDEX('0.0.1 Pokémon Dex Data'!T$3:T951,MATCH($E382,'0.0.1 Pokémon Dex Data'!$B$3:$B951,0)),0)</f>
        <v>156</v>
      </c>
      <c r="K382" s="260" t="n">
        <f aca="false" t="array" ref="K382:K382">ROUND(INDEX('0.0.1 Pokémon Dex Data'!$S$3:$S951,MATCH($E382,'0.0.1 Pokémon Dex Data'!$B$3:$B951,0))*INDEX('0.0.1 Pokémon Dex Data'!U$3:U951,MATCH($E382,'0.0.1 Pokémon Dex Data'!$B$3:$B951,0)),0)</f>
        <v>74</v>
      </c>
      <c r="L382" s="260" t="n">
        <f aca="false" t="array" ref="L382:L382">ROUND(INDEX('0.0.1 Pokémon Dex Data'!$S$3:$S951,MATCH($E382,'0.0.1 Pokémon Dex Data'!$B$3:$B951,0))*INDEX('0.0.1 Pokémon Dex Data'!V$3:V951,MATCH($E382,'0.0.1 Pokémon Dex Data'!$B$3:$B951,0)),0)</f>
        <v>137</v>
      </c>
      <c r="M382" s="260" t="n">
        <f aca="false" t="array" ref="M382:M382">INDEX('0.0.1 Pokémon Dex Data'!$J$3:$J951,MATCH(E382,'0.0.1 Pokémon Dex Data'!$B$3:$B951,0))</f>
        <v>0</v>
      </c>
      <c r="O382" s="490"/>
      <c r="Q382" s="367" t="n">
        <f aca="false">IF('Reverse Search'!$F$4="All (including temporary formes)",1,IF('Reverse Search'!$F$4="Base Pokémon and permanent formes only",IF(F382&lt;=1,1,0),IF(F382=0,1,0)))</f>
        <v>1</v>
      </c>
      <c r="R382" s="0" t="n">
        <f aca="false">IF('Reverse Search'!$C$7="Disable",1,IF('Reverse Search'!$D$9="Disable",1,IF(OR('Reverse Search'!$F$9=H382,'Reverse Search'!$F$9=I382),1,0)))</f>
        <v>1</v>
      </c>
      <c r="S382" s="0" t="n">
        <f aca="false">IF('Reverse Search'!$C$7="Disable",1,IF('Reverse Search'!$D$10="Disable",1,IF(OR('Reverse Search'!$F$10=H382,'Reverse Search'!$F$10=I382),1,0)))</f>
        <v>1</v>
      </c>
      <c r="T382" s="0" t="n">
        <f aca="false">INDEX($B$4:$B$22,MATCH(H382,$A$4:$A$22,0))</f>
        <v>1</v>
      </c>
      <c r="U382" s="0" t="e">
        <f aca="false">IF(ISBLANK(I382),1,INDEX($B$4:$B$22,MATCH(I382,$A$4:$A$22,0)))</f>
        <v>#N/A</v>
      </c>
      <c r="V382" s="367" t="n">
        <f aca="false">IF('Reverse Search'!$C$7="Disable",1,IF('Reverse Search'!$D$11="Disable",1,IF('Reverse Search'!$E$11="Neutral to:",IF(ROUND(T382*U382,2)&lt;=1,1,0),IF(ROUND(T382*U382,2)&lt;1,1,0))))</f>
        <v>1</v>
      </c>
      <c r="W382" s="0" t="n">
        <f aca="false">IF('Reverse Search'!$N$7="Disable",1,IF('Reverse Search'!$I$9="Disable",1,IF('Reverse Search'!$K$9="≥",IF(J382&gt;='Reverse Search'!$L$9,1,0),IF('Reverse Search'!$K$9="≤",IF(J382&lt;='Reverse Search'!$L$9,1,0),IF(J382='Reverse Search'!$L$9,1,0)))))</f>
        <v>1</v>
      </c>
      <c r="X382" s="0" t="n">
        <f aca="false">IF('Reverse Search'!$N$7="Disable",1,IF('Reverse Search'!$I$10="Disable",1,IF('Reverse Search'!$K$10="≥",IF(K382&gt;='Reverse Search'!$L$10,1,0),IF('Reverse Search'!$K$10="≤",IF(K382&lt;='Reverse Search'!$L$10,1,0),IF(K382='Reverse Search'!$L$10,1,0)))))</f>
        <v>1</v>
      </c>
      <c r="Y382" s="367" t="n">
        <f aca="false">IF('Reverse Search'!$N$7="Disable",1,IF('Reverse Search'!$I$11="Disable",1,IF('Reverse Search'!$K$11="≥",IF(L382&gt;='Reverse Search'!$L$11,1,0),IF('Reverse Search'!$K$11="≤",IF(L382&lt;='Reverse Search'!$L$11,1,0),IF(L382='Reverse Search'!$L$11,1,0)))))</f>
        <v>1</v>
      </c>
      <c r="Z382" s="0" t="n">
        <f aca="true">IF('Reverse Search'!$C$14="Disable",1,IF('Reverse Search'!$D$16="Disable",1,IF($C$2=3,IF($M382=0,0,COUNTIF(INDIRECT("'0.0.2 Pokémon Learnset (Core)'!$D$"&amp;MATCH($E382,'0.0.2 Pokémon Learnset (Core)'!$A$1:$A951,0)&amp;":$FK$"&amp;MATCH($E382,'0.0.2 Pokémon Learnset (Core)'!$A$1:$A951,0)),'Reverse Search'!$E$21)),IF($C$2=2,COUNTIF(INDIRECT("'0.1.1 Pokémon GO Moves'!$B$"&amp;MATCH($E382,'0.1.1 Pokémon GO Moves'!$A$1:$A951,0)&amp;":$R$"&amp;MATCH($E382,'0.1.1 Pokémon GO Moves'!$A$1:$A951,0)),'Reverse Search'!$E$21),COUNTIF(INDIRECT("'0.1.1 Pokémon GO Moves'!$B$"&amp;MATCH($E382,'0.1.1 Pokémon GO Moves'!$A$1:$A951,0)&amp;":$L$"&amp;MATCH($E382,'0.1.1 Pokémon GO Moves'!$A$1:$A951,0)),'Reverse Search'!$E$21)))))</f>
        <v>1</v>
      </c>
      <c r="AA382" s="0" t="n">
        <f aca="true">IF('Reverse Search'!$C$14="Disable",1,IF('Reverse Search'!$I$16="Disable",1,IF($D$2=3,IF($M382=0,0,COUNTIF(INDIRECT("'0.0.2 Pokémon Learnset (Core)'!$D$"&amp;MATCH($E382,'0.0.2 Pokémon Learnset (Core)'!$A$1:$A951,0)&amp;":$FK$"&amp;MATCH($E382,'0.0.2 Pokémon Learnset (Core)'!$A$1:$A951,0)),'Reverse Search'!$J$21)),IF($D$2=2,COUNTIF(INDIRECT("'0.1.1 Pokémon GO Moves'!$B$"&amp;MATCH($E382,'0.1.1 Pokémon GO Moves'!$A$1:$A951,0)&amp;":$R$"&amp;MATCH($E382,'0.1.1 Pokémon GO Moves'!$A$1:$A951,0)),'Reverse Search'!$J$21),COUNTIF(INDIRECT("'0.1.1 Pokémon GO Moves'!$B$"&amp;MATCH($E382,'0.1.1 Pokémon GO Moves'!$A$1:$A951,0)&amp;":$L$"&amp;MATCH($E382,'0.1.1 Pokémon GO Moves'!$A$1:$A951,0)),'Reverse Search'!$J$21)))))</f>
        <v>0</v>
      </c>
      <c r="AB382" s="490"/>
      <c r="AC382" s="260" t="n">
        <f aca="false">IF((Q382+R382+S382+V382+W382+X382+Y382+IF(Z382&gt;=1,1,0)+IF(AA382&gt;=1,1,0))=9,G382&amp;", ",)</f>
        <v>0</v>
      </c>
    </row>
    <row r="383" customFormat="false" ht="15.75" hidden="false" customHeight="false" outlineLevel="0" collapsed="false">
      <c r="A383" s="260"/>
      <c r="B383" s="358"/>
      <c r="C383" s="260"/>
      <c r="D383" s="358"/>
      <c r="E383" s="260" t="n">
        <v>382</v>
      </c>
      <c r="F383" s="260" t="n">
        <f aca="false" t="array" ref="F383:F383">INDEX('0.0.1 Pokémon Dex Data'!$H$3:$H951,MATCH(E383,'0.0.1 Pokémon Dex Data'!$B$3:$B951,0))</f>
        <v>0</v>
      </c>
      <c r="G383" s="0" t="str">
        <f aca="false" t="array" ref="G383:G383">INDEX('0.0.1 Pokémon Dex Data'!$E$3:$E951,MATCH(E383,'0.0.1 Pokémon Dex Data'!$B$3:$B951,0))</f>
        <v>Cacturne</v>
      </c>
      <c r="H383" s="0" t="str">
        <f aca="false" t="array" ref="H383:H383">INDEX('0.0.1 Pokémon Dex Data'!$Q$3:$Q951,MATCH(E383,'0.0.1 Pokémon Dex Data'!$B$3:$B951,0))</f>
        <v>Grass</v>
      </c>
      <c r="I383" s="0" t="str">
        <f aca="false" t="array" ref="I383:I383">INDEX('0.0.1 Pokémon Dex Data'!$R$3:$R951,MATCH(E383,'0.0.1 Pokémon Dex Data'!$B$3:$B951,0))</f>
        <v>Dark</v>
      </c>
      <c r="J383" s="260" t="n">
        <f aca="false" t="array" ref="J383:J383">ROUND(INDEX('0.0.1 Pokémon Dex Data'!$S$3:$S951,MATCH($E383,'0.0.1 Pokémon Dex Data'!$B$3:$B951,0))*INDEX('0.0.1 Pokémon Dex Data'!T$3:T951,MATCH($E383,'0.0.1 Pokémon Dex Data'!$B$3:$B951,0)),0)</f>
        <v>221</v>
      </c>
      <c r="K383" s="260" t="n">
        <f aca="false" t="array" ref="K383:K383">ROUND(INDEX('0.0.1 Pokémon Dex Data'!$S$3:$S951,MATCH($E383,'0.0.1 Pokémon Dex Data'!$B$3:$B951,0))*INDEX('0.0.1 Pokémon Dex Data'!U$3:U951,MATCH($E383,'0.0.1 Pokémon Dex Data'!$B$3:$B951,0)),0)</f>
        <v>115</v>
      </c>
      <c r="L383" s="260" t="n">
        <f aca="false" t="array" ref="L383:L383">ROUND(INDEX('0.0.1 Pokémon Dex Data'!$S$3:$S951,MATCH($E383,'0.0.1 Pokémon Dex Data'!$B$3:$B951,0))*INDEX('0.0.1 Pokémon Dex Data'!V$3:V951,MATCH($E383,'0.0.1 Pokémon Dex Data'!$B$3:$B951,0)),0)</f>
        <v>172</v>
      </c>
      <c r="M383" s="260" t="n">
        <f aca="false" t="array" ref="M383:M383">INDEX('0.0.1 Pokémon Dex Data'!$J$3:$J951,MATCH(E383,'0.0.1 Pokémon Dex Data'!$B$3:$B951,0))</f>
        <v>1</v>
      </c>
      <c r="O383" s="490"/>
      <c r="Q383" s="367" t="n">
        <f aca="false">IF('Reverse Search'!$F$4="All (including temporary formes)",1,IF('Reverse Search'!$F$4="Base Pokémon and permanent formes only",IF(F383&lt;=1,1,0),IF(F383=0,1,0)))</f>
        <v>1</v>
      </c>
      <c r="R383" s="0" t="n">
        <f aca="false">IF('Reverse Search'!$C$7="Disable",1,IF('Reverse Search'!$D$9="Disable",1,IF(OR('Reverse Search'!$F$9=H383,'Reverse Search'!$F$9=I383),1,0)))</f>
        <v>1</v>
      </c>
      <c r="S383" s="0" t="n">
        <f aca="false">IF('Reverse Search'!$C$7="Disable",1,IF('Reverse Search'!$D$10="Disable",1,IF(OR('Reverse Search'!$F$10=H383,'Reverse Search'!$F$10=I383),1,0)))</f>
        <v>1</v>
      </c>
      <c r="T383" s="0" t="n">
        <f aca="false">INDEX($B$4:$B$22,MATCH(H383,$A$4:$A$22,0))</f>
        <v>1</v>
      </c>
      <c r="U383" s="0" t="n">
        <f aca="false">IF(ISBLANK(I383),1,INDEX($B$4:$B$22,MATCH(I383,$A$4:$A$22,0)))</f>
        <v>1</v>
      </c>
      <c r="V383" s="367" t="n">
        <f aca="false">IF('Reverse Search'!$C$7="Disable",1,IF('Reverse Search'!$D$11="Disable",1,IF('Reverse Search'!$E$11="Neutral to:",IF(ROUND(T383*U383,2)&lt;=1,1,0),IF(ROUND(T383*U383,2)&lt;1,1,0))))</f>
        <v>1</v>
      </c>
      <c r="W383" s="0" t="n">
        <f aca="false">IF('Reverse Search'!$N$7="Disable",1,IF('Reverse Search'!$I$9="Disable",1,IF('Reverse Search'!$K$9="≥",IF(J383&gt;='Reverse Search'!$L$9,1,0),IF('Reverse Search'!$K$9="≤",IF(J383&lt;='Reverse Search'!$L$9,1,0),IF(J383='Reverse Search'!$L$9,1,0)))))</f>
        <v>1</v>
      </c>
      <c r="X383" s="0" t="n">
        <f aca="false">IF('Reverse Search'!$N$7="Disable",1,IF('Reverse Search'!$I$10="Disable",1,IF('Reverse Search'!$K$10="≥",IF(K383&gt;='Reverse Search'!$L$10,1,0),IF('Reverse Search'!$K$10="≤",IF(K383&lt;='Reverse Search'!$L$10,1,0),IF(K383='Reverse Search'!$L$10,1,0)))))</f>
        <v>1</v>
      </c>
      <c r="Y383" s="367" t="n">
        <f aca="false">IF('Reverse Search'!$N$7="Disable",1,IF('Reverse Search'!$I$11="Disable",1,IF('Reverse Search'!$K$11="≥",IF(L383&gt;='Reverse Search'!$L$11,1,0),IF('Reverse Search'!$K$11="≤",IF(L383&lt;='Reverse Search'!$L$11,1,0),IF(L383='Reverse Search'!$L$11,1,0)))))</f>
        <v>1</v>
      </c>
      <c r="Z383" s="0" t="n">
        <f aca="true">IF('Reverse Search'!$C$14="Disable",1,IF('Reverse Search'!$D$16="Disable",1,IF($C$2=3,IF($M383=0,0,COUNTIF(INDIRECT("'0.0.2 Pokémon Learnset (Core)'!$D$"&amp;MATCH($E383,'0.0.2 Pokémon Learnset (Core)'!$A$1:$A951,0)&amp;":$FK$"&amp;MATCH($E383,'0.0.2 Pokémon Learnset (Core)'!$A$1:$A951,0)),'Reverse Search'!$E$21)),IF($C$2=2,COUNTIF(INDIRECT("'0.1.1 Pokémon GO Moves'!$B$"&amp;MATCH($E383,'0.1.1 Pokémon GO Moves'!$A$1:$A951,0)&amp;":$R$"&amp;MATCH($E383,'0.1.1 Pokémon GO Moves'!$A$1:$A951,0)),'Reverse Search'!$E$21),COUNTIF(INDIRECT("'0.1.1 Pokémon GO Moves'!$B$"&amp;MATCH($E383,'0.1.1 Pokémon GO Moves'!$A$1:$A951,0)&amp;":$L$"&amp;MATCH($E383,'0.1.1 Pokémon GO Moves'!$A$1:$A951,0)),'Reverse Search'!$E$21)))))</f>
        <v>1</v>
      </c>
      <c r="AA383" s="0" t="n">
        <f aca="true">IF('Reverse Search'!$C$14="Disable",1,IF('Reverse Search'!$I$16="Disable",1,IF($D$2=3,IF($M383=0,0,COUNTIF(INDIRECT("'0.0.2 Pokémon Learnset (Core)'!$D$"&amp;MATCH($E383,'0.0.2 Pokémon Learnset (Core)'!$A$1:$A951,0)&amp;":$FK$"&amp;MATCH($E383,'0.0.2 Pokémon Learnset (Core)'!$A$1:$A951,0)),'Reverse Search'!$J$21)),IF($D$2=2,COUNTIF(INDIRECT("'0.1.1 Pokémon GO Moves'!$B$"&amp;MATCH($E383,'0.1.1 Pokémon GO Moves'!$A$1:$A951,0)&amp;":$R$"&amp;MATCH($E383,'0.1.1 Pokémon GO Moves'!$A$1:$A951,0)),'Reverse Search'!$J$21),COUNTIF(INDIRECT("'0.1.1 Pokémon GO Moves'!$B$"&amp;MATCH($E383,'0.1.1 Pokémon GO Moves'!$A$1:$A951,0)&amp;":$L$"&amp;MATCH($E383,'0.1.1 Pokémon GO Moves'!$A$1:$A951,0)),'Reverse Search'!$J$21)))))</f>
        <v>0</v>
      </c>
      <c r="AB383" s="490"/>
      <c r="AC383" s="260" t="n">
        <f aca="false">IF((Q383+R383+S383+V383+W383+X383+Y383+IF(Z383&gt;=1,1,0)+IF(AA383&gt;=1,1,0))=9,G383&amp;", ",)</f>
        <v>0</v>
      </c>
    </row>
    <row r="384" customFormat="false" ht="15.75" hidden="false" customHeight="false" outlineLevel="0" collapsed="false">
      <c r="A384" s="260"/>
      <c r="B384" s="358"/>
      <c r="C384" s="260"/>
      <c r="D384" s="358"/>
      <c r="E384" s="260" t="n">
        <v>383</v>
      </c>
      <c r="F384" s="260" t="n">
        <f aca="false" t="array" ref="F384:F384">INDEX('0.0.1 Pokémon Dex Data'!$H$3:$H951,MATCH(E384,'0.0.1 Pokémon Dex Data'!$B$3:$B951,0))</f>
        <v>0</v>
      </c>
      <c r="G384" s="0" t="str">
        <f aca="false" t="array" ref="G384:G384">INDEX('0.0.1 Pokémon Dex Data'!$E$3:$E951,MATCH(E384,'0.0.1 Pokémon Dex Data'!$B$3:$B951,0))</f>
        <v>Swablu</v>
      </c>
      <c r="H384" s="0" t="str">
        <f aca="false" t="array" ref="H384:H384">INDEX('0.0.1 Pokémon Dex Data'!$Q$3:$Q951,MATCH(E384,'0.0.1 Pokémon Dex Data'!$B$3:$B951,0))</f>
        <v>Normal</v>
      </c>
      <c r="I384" s="0" t="str">
        <f aca="false" t="array" ref="I384:I384">INDEX('0.0.1 Pokémon Dex Data'!$R$3:$R951,MATCH(E384,'0.0.1 Pokémon Dex Data'!$B$3:$B951,0))</f>
        <v>Flying</v>
      </c>
      <c r="J384" s="260" t="n">
        <f aca="false" t="array" ref="J384:J384">ROUND(INDEX('0.0.1 Pokémon Dex Data'!$S$3:$S951,MATCH($E384,'0.0.1 Pokémon Dex Data'!$B$3:$B951,0))*INDEX('0.0.1 Pokémon Dex Data'!T$3:T951,MATCH($E384,'0.0.1 Pokémon Dex Data'!$B$3:$B951,0)),0)</f>
        <v>76</v>
      </c>
      <c r="K384" s="260" t="n">
        <f aca="false" t="array" ref="K384:K384">ROUND(INDEX('0.0.1 Pokémon Dex Data'!$S$3:$S951,MATCH($E384,'0.0.1 Pokémon Dex Data'!$B$3:$B951,0))*INDEX('0.0.1 Pokémon Dex Data'!U$3:U951,MATCH($E384,'0.0.1 Pokémon Dex Data'!$B$3:$B951,0)),0)</f>
        <v>132</v>
      </c>
      <c r="L384" s="260" t="n">
        <f aca="false" t="array" ref="L384:L384">ROUND(INDEX('0.0.1 Pokémon Dex Data'!$S$3:$S951,MATCH($E384,'0.0.1 Pokémon Dex Data'!$B$3:$B951,0))*INDEX('0.0.1 Pokémon Dex Data'!V$3:V951,MATCH($E384,'0.0.1 Pokémon Dex Data'!$B$3:$B951,0)),0)</f>
        <v>128</v>
      </c>
      <c r="M384" s="260" t="n">
        <f aca="false" t="array" ref="M384:M384">INDEX('0.0.1 Pokémon Dex Data'!$J$3:$J951,MATCH(E384,'0.0.1 Pokémon Dex Data'!$B$3:$B951,0))</f>
        <v>0</v>
      </c>
      <c r="O384" s="490"/>
      <c r="Q384" s="367" t="n">
        <f aca="false">IF('Reverse Search'!$F$4="All (including temporary formes)",1,IF('Reverse Search'!$F$4="Base Pokémon and permanent formes only",IF(F384&lt;=1,1,0),IF(F384=0,1,0)))</f>
        <v>1</v>
      </c>
      <c r="R384" s="0" t="n">
        <f aca="false">IF('Reverse Search'!$C$7="Disable",1,IF('Reverse Search'!$D$9="Disable",1,IF(OR('Reverse Search'!$F$9=H384,'Reverse Search'!$F$9=I384),1,0)))</f>
        <v>1</v>
      </c>
      <c r="S384" s="0" t="n">
        <f aca="false">IF('Reverse Search'!$C$7="Disable",1,IF('Reverse Search'!$D$10="Disable",1,IF(OR('Reverse Search'!$F$10=H384,'Reverse Search'!$F$10=I384),1,0)))</f>
        <v>1</v>
      </c>
      <c r="T384" s="0" t="n">
        <f aca="false">INDEX($B$4:$B$22,MATCH(H384,$A$4:$A$22,0))</f>
        <v>1</v>
      </c>
      <c r="U384" s="0" t="n">
        <f aca="false">IF(ISBLANK(I384),1,INDEX($B$4:$B$22,MATCH(I384,$A$4:$A$22,0)))</f>
        <v>1</v>
      </c>
      <c r="V384" s="367" t="n">
        <f aca="false">IF('Reverse Search'!$C$7="Disable",1,IF('Reverse Search'!$D$11="Disable",1,IF('Reverse Search'!$E$11="Neutral to:",IF(ROUND(T384*U384,2)&lt;=1,1,0),IF(ROUND(T384*U384,2)&lt;1,1,0))))</f>
        <v>1</v>
      </c>
      <c r="W384" s="0" t="n">
        <f aca="false">IF('Reverse Search'!$N$7="Disable",1,IF('Reverse Search'!$I$9="Disable",1,IF('Reverse Search'!$K$9="≥",IF(J384&gt;='Reverse Search'!$L$9,1,0),IF('Reverse Search'!$K$9="≤",IF(J384&lt;='Reverse Search'!$L$9,1,0),IF(J384='Reverse Search'!$L$9,1,0)))))</f>
        <v>1</v>
      </c>
      <c r="X384" s="0" t="n">
        <f aca="false">IF('Reverse Search'!$N$7="Disable",1,IF('Reverse Search'!$I$10="Disable",1,IF('Reverse Search'!$K$10="≥",IF(K384&gt;='Reverse Search'!$L$10,1,0),IF('Reverse Search'!$K$10="≤",IF(K384&lt;='Reverse Search'!$L$10,1,0),IF(K384='Reverse Search'!$L$10,1,0)))))</f>
        <v>1</v>
      </c>
      <c r="Y384" s="367" t="n">
        <f aca="false">IF('Reverse Search'!$N$7="Disable",1,IF('Reverse Search'!$I$11="Disable",1,IF('Reverse Search'!$K$11="≥",IF(L384&gt;='Reverse Search'!$L$11,1,0),IF('Reverse Search'!$K$11="≤",IF(L384&lt;='Reverse Search'!$L$11,1,0),IF(L384='Reverse Search'!$L$11,1,0)))))</f>
        <v>1</v>
      </c>
      <c r="Z384" s="0" t="n">
        <f aca="true">IF('Reverse Search'!$C$14="Disable",1,IF('Reverse Search'!$D$16="Disable",1,IF($C$2=3,IF($M384=0,0,COUNTIF(INDIRECT("'0.0.2 Pokémon Learnset (Core)'!$D$"&amp;MATCH($E384,'0.0.2 Pokémon Learnset (Core)'!$A$1:$A951,0)&amp;":$FK$"&amp;MATCH($E384,'0.0.2 Pokémon Learnset (Core)'!$A$1:$A951,0)),'Reverse Search'!$E$21)),IF($C$2=2,COUNTIF(INDIRECT("'0.1.1 Pokémon GO Moves'!$B$"&amp;MATCH($E384,'0.1.1 Pokémon GO Moves'!$A$1:$A951,0)&amp;":$R$"&amp;MATCH($E384,'0.1.1 Pokémon GO Moves'!$A$1:$A951,0)),'Reverse Search'!$E$21),COUNTIF(INDIRECT("'0.1.1 Pokémon GO Moves'!$B$"&amp;MATCH($E384,'0.1.1 Pokémon GO Moves'!$A$1:$A951,0)&amp;":$L$"&amp;MATCH($E384,'0.1.1 Pokémon GO Moves'!$A$1:$A951,0)),'Reverse Search'!$E$21)))))</f>
        <v>1</v>
      </c>
      <c r="AA384" s="0" t="n">
        <f aca="true">IF('Reverse Search'!$C$14="Disable",1,IF('Reverse Search'!$I$16="Disable",1,IF($D$2=3,IF($M384=0,0,COUNTIF(INDIRECT("'0.0.2 Pokémon Learnset (Core)'!$D$"&amp;MATCH($E384,'0.0.2 Pokémon Learnset (Core)'!$A$1:$A951,0)&amp;":$FK$"&amp;MATCH($E384,'0.0.2 Pokémon Learnset (Core)'!$A$1:$A951,0)),'Reverse Search'!$J$21)),IF($D$2=2,COUNTIF(INDIRECT("'0.1.1 Pokémon GO Moves'!$B$"&amp;MATCH($E384,'0.1.1 Pokémon GO Moves'!$A$1:$A951,0)&amp;":$R$"&amp;MATCH($E384,'0.1.1 Pokémon GO Moves'!$A$1:$A951,0)),'Reverse Search'!$J$21),COUNTIF(INDIRECT("'0.1.1 Pokémon GO Moves'!$B$"&amp;MATCH($E384,'0.1.1 Pokémon GO Moves'!$A$1:$A951,0)&amp;":$L$"&amp;MATCH($E384,'0.1.1 Pokémon GO Moves'!$A$1:$A951,0)),'Reverse Search'!$J$21)))))</f>
        <v>0</v>
      </c>
      <c r="AB384" s="490"/>
      <c r="AC384" s="260" t="n">
        <f aca="false">IF((Q384+R384+S384+V384+W384+X384+Y384+IF(Z384&gt;=1,1,0)+IF(AA384&gt;=1,1,0))=9,G384&amp;", ",)</f>
        <v>0</v>
      </c>
    </row>
    <row r="385" customFormat="false" ht="15.75" hidden="false" customHeight="false" outlineLevel="0" collapsed="false">
      <c r="A385" s="260"/>
      <c r="B385" s="358"/>
      <c r="C385" s="260"/>
      <c r="D385" s="358"/>
      <c r="E385" s="260" t="n">
        <v>384</v>
      </c>
      <c r="F385" s="260" t="n">
        <f aca="false" t="array" ref="F385:F385">INDEX('0.0.1 Pokémon Dex Data'!$H$3:$H951,MATCH(E385,'0.0.1 Pokémon Dex Data'!$B$3:$B951,0))</f>
        <v>0</v>
      </c>
      <c r="G385" s="0" t="str">
        <f aca="false" t="array" ref="G385:G385">INDEX('0.0.1 Pokémon Dex Data'!$E$3:$E951,MATCH(E385,'0.0.1 Pokémon Dex Data'!$B$3:$B951,0))</f>
        <v>Altaria</v>
      </c>
      <c r="H385" s="0" t="str">
        <f aca="false" t="array" ref="H385:H385">INDEX('0.0.1 Pokémon Dex Data'!$Q$3:$Q951,MATCH(E385,'0.0.1 Pokémon Dex Data'!$B$3:$B951,0))</f>
        <v>Dragon</v>
      </c>
      <c r="I385" s="0" t="str">
        <f aca="false" t="array" ref="I385:I385">INDEX('0.0.1 Pokémon Dex Data'!$R$3:$R951,MATCH(E385,'0.0.1 Pokémon Dex Data'!$B$3:$B951,0))</f>
        <v>Flying</v>
      </c>
      <c r="J385" s="260" t="n">
        <f aca="false" t="array" ref="J385:J385">ROUND(INDEX('0.0.1 Pokémon Dex Data'!$S$3:$S951,MATCH($E385,'0.0.1 Pokémon Dex Data'!$B$3:$B951,0))*INDEX('0.0.1 Pokémon Dex Data'!T$3:T951,MATCH($E385,'0.0.1 Pokémon Dex Data'!$B$3:$B951,0)),0)</f>
        <v>141</v>
      </c>
      <c r="K385" s="260" t="n">
        <f aca="false" t="array" ref="K385:K385">ROUND(INDEX('0.0.1 Pokémon Dex Data'!$S$3:$S951,MATCH($E385,'0.0.1 Pokémon Dex Data'!$B$3:$B951,0))*INDEX('0.0.1 Pokémon Dex Data'!U$3:U951,MATCH($E385,'0.0.1 Pokémon Dex Data'!$B$3:$B951,0)),0)</f>
        <v>201</v>
      </c>
      <c r="L385" s="260" t="n">
        <f aca="false" t="array" ref="L385:L385">ROUND(INDEX('0.0.1 Pokémon Dex Data'!$S$3:$S951,MATCH($E385,'0.0.1 Pokémon Dex Data'!$B$3:$B951,0))*INDEX('0.0.1 Pokémon Dex Data'!V$3:V951,MATCH($E385,'0.0.1 Pokémon Dex Data'!$B$3:$B951,0)),0)</f>
        <v>181</v>
      </c>
      <c r="M385" s="260" t="n">
        <f aca="false" t="array" ref="M385:M385">INDEX('0.0.1 Pokémon Dex Data'!$J$3:$J951,MATCH(E385,'0.0.1 Pokémon Dex Data'!$B$3:$B951,0))</f>
        <v>1</v>
      </c>
      <c r="O385" s="490"/>
      <c r="Q385" s="367" t="n">
        <f aca="false">IF('Reverse Search'!$F$4="All (including temporary formes)",1,IF('Reverse Search'!$F$4="Base Pokémon and permanent formes only",IF(F385&lt;=1,1,0),IF(F385=0,1,0)))</f>
        <v>1</v>
      </c>
      <c r="R385" s="0" t="n">
        <f aca="false">IF('Reverse Search'!$C$7="Disable",1,IF('Reverse Search'!$D$9="Disable",1,IF(OR('Reverse Search'!$F$9=H385,'Reverse Search'!$F$9=I385),1,0)))</f>
        <v>1</v>
      </c>
      <c r="S385" s="0" t="n">
        <f aca="false">IF('Reverse Search'!$C$7="Disable",1,IF('Reverse Search'!$D$10="Disable",1,IF(OR('Reverse Search'!$F$10=H385,'Reverse Search'!$F$10=I385),1,0)))</f>
        <v>1</v>
      </c>
      <c r="T385" s="0" t="n">
        <f aca="false">INDEX($B$4:$B$22,MATCH(H385,$A$4:$A$22,0))</f>
        <v>1</v>
      </c>
      <c r="U385" s="0" t="n">
        <f aca="false">IF(ISBLANK(I385),1,INDEX($B$4:$B$22,MATCH(I385,$A$4:$A$22,0)))</f>
        <v>1</v>
      </c>
      <c r="V385" s="367" t="n">
        <f aca="false">IF('Reverse Search'!$C$7="Disable",1,IF('Reverse Search'!$D$11="Disable",1,IF('Reverse Search'!$E$11="Neutral to:",IF(ROUND(T385*U385,2)&lt;=1,1,0),IF(ROUND(T385*U385,2)&lt;1,1,0))))</f>
        <v>1</v>
      </c>
      <c r="W385" s="0" t="n">
        <f aca="false">IF('Reverse Search'!$N$7="Disable",1,IF('Reverse Search'!$I$9="Disable",1,IF('Reverse Search'!$K$9="≥",IF(J385&gt;='Reverse Search'!$L$9,1,0),IF('Reverse Search'!$K$9="≤",IF(J385&lt;='Reverse Search'!$L$9,1,0),IF(J385='Reverse Search'!$L$9,1,0)))))</f>
        <v>1</v>
      </c>
      <c r="X385" s="0" t="n">
        <f aca="false">IF('Reverse Search'!$N$7="Disable",1,IF('Reverse Search'!$I$10="Disable",1,IF('Reverse Search'!$K$10="≥",IF(K385&gt;='Reverse Search'!$L$10,1,0),IF('Reverse Search'!$K$10="≤",IF(K385&lt;='Reverse Search'!$L$10,1,0),IF(K385='Reverse Search'!$L$10,1,0)))))</f>
        <v>1</v>
      </c>
      <c r="Y385" s="367" t="n">
        <f aca="false">IF('Reverse Search'!$N$7="Disable",1,IF('Reverse Search'!$I$11="Disable",1,IF('Reverse Search'!$K$11="≥",IF(L385&gt;='Reverse Search'!$L$11,1,0),IF('Reverse Search'!$K$11="≤",IF(L385&lt;='Reverse Search'!$L$11,1,0),IF(L385='Reverse Search'!$L$11,1,0)))))</f>
        <v>1</v>
      </c>
      <c r="Z385" s="0" t="n">
        <f aca="true">IF('Reverse Search'!$C$14="Disable",1,IF('Reverse Search'!$D$16="Disable",1,IF($C$2=3,IF($M385=0,0,COUNTIF(INDIRECT("'0.0.2 Pokémon Learnset (Core)'!$D$"&amp;MATCH($E385,'0.0.2 Pokémon Learnset (Core)'!$A$1:$A951,0)&amp;":$FK$"&amp;MATCH($E385,'0.0.2 Pokémon Learnset (Core)'!$A$1:$A951,0)),'Reverse Search'!$E$21)),IF($C$2=2,COUNTIF(INDIRECT("'0.1.1 Pokémon GO Moves'!$B$"&amp;MATCH($E385,'0.1.1 Pokémon GO Moves'!$A$1:$A951,0)&amp;":$R$"&amp;MATCH($E385,'0.1.1 Pokémon GO Moves'!$A$1:$A951,0)),'Reverse Search'!$E$21),COUNTIF(INDIRECT("'0.1.1 Pokémon GO Moves'!$B$"&amp;MATCH($E385,'0.1.1 Pokémon GO Moves'!$A$1:$A951,0)&amp;":$L$"&amp;MATCH($E385,'0.1.1 Pokémon GO Moves'!$A$1:$A951,0)),'Reverse Search'!$E$21)))))</f>
        <v>1</v>
      </c>
      <c r="AA385" s="0" t="n">
        <f aca="true">IF('Reverse Search'!$C$14="Disable",1,IF('Reverse Search'!$I$16="Disable",1,IF($D$2=3,IF($M385=0,0,COUNTIF(INDIRECT("'0.0.2 Pokémon Learnset (Core)'!$D$"&amp;MATCH($E385,'0.0.2 Pokémon Learnset (Core)'!$A$1:$A951,0)&amp;":$FK$"&amp;MATCH($E385,'0.0.2 Pokémon Learnset (Core)'!$A$1:$A951,0)),'Reverse Search'!$J$21)),IF($D$2=2,COUNTIF(INDIRECT("'0.1.1 Pokémon GO Moves'!$B$"&amp;MATCH($E385,'0.1.1 Pokémon GO Moves'!$A$1:$A951,0)&amp;":$R$"&amp;MATCH($E385,'0.1.1 Pokémon GO Moves'!$A$1:$A951,0)),'Reverse Search'!$J$21),COUNTIF(INDIRECT("'0.1.1 Pokémon GO Moves'!$B$"&amp;MATCH($E385,'0.1.1 Pokémon GO Moves'!$A$1:$A951,0)&amp;":$L$"&amp;MATCH($E385,'0.1.1 Pokémon GO Moves'!$A$1:$A951,0)),'Reverse Search'!$J$21)))))</f>
        <v>0</v>
      </c>
      <c r="AB385" s="490"/>
      <c r="AC385" s="260" t="n">
        <f aca="false">IF((Q385+R385+S385+V385+W385+X385+Y385+IF(Z385&gt;=1,1,0)+IF(AA385&gt;=1,1,0))=9,G385&amp;", ",)</f>
        <v>0</v>
      </c>
    </row>
    <row r="386" customFormat="false" ht="15.75" hidden="false" customHeight="false" outlineLevel="0" collapsed="false">
      <c r="A386" s="260"/>
      <c r="B386" s="358"/>
      <c r="C386" s="260"/>
      <c r="D386" s="358"/>
      <c r="E386" s="260" t="n">
        <v>385</v>
      </c>
      <c r="F386" s="260" t="n">
        <f aca="false" t="array" ref="F386:F386">INDEX('0.0.1 Pokémon Dex Data'!$H$3:$H951,MATCH(E386,'0.0.1 Pokémon Dex Data'!$B$3:$B951,0))</f>
        <v>2</v>
      </c>
      <c r="G386" s="0" t="str">
        <f aca="false" t="array" ref="G386:G386">INDEX('0.0.1 Pokémon Dex Data'!$E$3:$E951,MATCH(E386,'0.0.1 Pokémon Dex Data'!$B$3:$B951,0))</f>
        <v>Altaria-Mega</v>
      </c>
      <c r="H386" s="0" t="str">
        <f aca="false" t="array" ref="H386:H386">INDEX('0.0.1 Pokémon Dex Data'!$Q$3:$Q951,MATCH(E386,'0.0.1 Pokémon Dex Data'!$B$3:$B951,0))</f>
        <v>Dragon</v>
      </c>
      <c r="I386" s="0" t="str">
        <f aca="false" t="array" ref="I386:I386">INDEX('0.0.1 Pokémon Dex Data'!$R$3:$R951,MATCH(E386,'0.0.1 Pokémon Dex Data'!$B$3:$B951,0))</f>
        <v>Fairy</v>
      </c>
      <c r="J386" s="260" t="n">
        <f aca="false" t="array" ref="J386:J386">ROUND(INDEX('0.0.1 Pokémon Dex Data'!$S$3:$S951,MATCH($E386,'0.0.1 Pokémon Dex Data'!$B$3:$B951,0))*INDEX('0.0.1 Pokémon Dex Data'!T$3:T951,MATCH($E386,'0.0.1 Pokémon Dex Data'!$B$3:$B951,0)),0)</f>
        <v>222</v>
      </c>
      <c r="K386" s="260" t="n">
        <f aca="false" t="array" ref="K386:K386">ROUND(INDEX('0.0.1 Pokémon Dex Data'!$S$3:$S951,MATCH($E386,'0.0.1 Pokémon Dex Data'!$B$3:$B951,0))*INDEX('0.0.1 Pokémon Dex Data'!U$3:U951,MATCH($E386,'0.0.1 Pokémon Dex Data'!$B$3:$B951,0)),0)</f>
        <v>218</v>
      </c>
      <c r="L386" s="260" t="n">
        <f aca="false" t="array" ref="L386:L386">ROUND(INDEX('0.0.1 Pokémon Dex Data'!$S$3:$S951,MATCH($E386,'0.0.1 Pokémon Dex Data'!$B$3:$B951,0))*INDEX('0.0.1 Pokémon Dex Data'!V$3:V951,MATCH($E386,'0.0.1 Pokémon Dex Data'!$B$3:$B951,0)),0)</f>
        <v>181</v>
      </c>
      <c r="M386" s="260" t="n">
        <f aca="false" t="array" ref="M386:M386">INDEX('0.0.1 Pokémon Dex Data'!$J$3:$J951,MATCH(E386,'0.0.1 Pokémon Dex Data'!$B$3:$B951,0))</f>
        <v>1</v>
      </c>
      <c r="O386" s="490"/>
      <c r="Q386" s="367" t="n">
        <f aca="false">IF('Reverse Search'!$F$4="All (including temporary formes)",1,IF('Reverse Search'!$F$4="Base Pokémon and permanent formes only",IF(F386&lt;=1,1,0),IF(F386=0,1,0)))</f>
        <v>0</v>
      </c>
      <c r="R386" s="0" t="n">
        <f aca="false">IF('Reverse Search'!$C$7="Disable",1,IF('Reverse Search'!$D$9="Disable",1,IF(OR('Reverse Search'!$F$9=H386,'Reverse Search'!$F$9=I386),1,0)))</f>
        <v>1</v>
      </c>
      <c r="S386" s="0" t="n">
        <f aca="false">IF('Reverse Search'!$C$7="Disable",1,IF('Reverse Search'!$D$10="Disable",1,IF(OR('Reverse Search'!$F$10=H386,'Reverse Search'!$F$10=I386),1,0)))</f>
        <v>1</v>
      </c>
      <c r="T386" s="0" t="n">
        <f aca="false">INDEX($B$4:$B$22,MATCH(H386,$A$4:$A$22,0))</f>
        <v>1</v>
      </c>
      <c r="U386" s="0" t="n">
        <f aca="false">IF(ISBLANK(I386),1,INDEX($B$4:$B$22,MATCH(I386,$A$4:$A$22,0)))</f>
        <v>1</v>
      </c>
      <c r="V386" s="367" t="n">
        <f aca="false">IF('Reverse Search'!$C$7="Disable",1,IF('Reverse Search'!$D$11="Disable",1,IF('Reverse Search'!$E$11="Neutral to:",IF(ROUND(T386*U386,2)&lt;=1,1,0),IF(ROUND(T386*U386,2)&lt;1,1,0))))</f>
        <v>1</v>
      </c>
      <c r="W386" s="0" t="n">
        <f aca="false">IF('Reverse Search'!$N$7="Disable",1,IF('Reverse Search'!$I$9="Disable",1,IF('Reverse Search'!$K$9="≥",IF(J386&gt;='Reverse Search'!$L$9,1,0),IF('Reverse Search'!$K$9="≤",IF(J386&lt;='Reverse Search'!$L$9,1,0),IF(J386='Reverse Search'!$L$9,1,0)))))</f>
        <v>1</v>
      </c>
      <c r="X386" s="0" t="n">
        <f aca="false">IF('Reverse Search'!$N$7="Disable",1,IF('Reverse Search'!$I$10="Disable",1,IF('Reverse Search'!$K$10="≥",IF(K386&gt;='Reverse Search'!$L$10,1,0),IF('Reverse Search'!$K$10="≤",IF(K386&lt;='Reverse Search'!$L$10,1,0),IF(K386='Reverse Search'!$L$10,1,0)))))</f>
        <v>1</v>
      </c>
      <c r="Y386" s="367" t="n">
        <f aca="false">IF('Reverse Search'!$N$7="Disable",1,IF('Reverse Search'!$I$11="Disable",1,IF('Reverse Search'!$K$11="≥",IF(L386&gt;='Reverse Search'!$L$11,1,0),IF('Reverse Search'!$K$11="≤",IF(L386&lt;='Reverse Search'!$L$11,1,0),IF(L386='Reverse Search'!$L$11,1,0)))))</f>
        <v>1</v>
      </c>
      <c r="Z386" s="0" t="n">
        <f aca="true">IF('Reverse Search'!$C$14="Disable",1,IF('Reverse Search'!$D$16="Disable",1,IF($C$2=3,IF($M386=0,0,COUNTIF(INDIRECT("'0.0.2 Pokémon Learnset (Core)'!$D$"&amp;MATCH($E386,'0.0.2 Pokémon Learnset (Core)'!$A$1:$A951,0)&amp;":$FK$"&amp;MATCH($E386,'0.0.2 Pokémon Learnset (Core)'!$A$1:$A951,0)),'Reverse Search'!$E$21)),IF($C$2=2,COUNTIF(INDIRECT("'0.1.1 Pokémon GO Moves'!$B$"&amp;MATCH($E386,'0.1.1 Pokémon GO Moves'!$A$1:$A951,0)&amp;":$R$"&amp;MATCH($E386,'0.1.1 Pokémon GO Moves'!$A$1:$A951,0)),'Reverse Search'!$E$21),COUNTIF(INDIRECT("'0.1.1 Pokémon GO Moves'!$B$"&amp;MATCH($E386,'0.1.1 Pokémon GO Moves'!$A$1:$A951,0)&amp;":$L$"&amp;MATCH($E386,'0.1.1 Pokémon GO Moves'!$A$1:$A951,0)),'Reverse Search'!$E$21)))))</f>
        <v>1</v>
      </c>
      <c r="AA386" s="0" t="e">
        <f aca="true">IF('Reverse Search'!$C$14="Disable",1,IF('Reverse Search'!$I$16="Disable",1,IF($D$2=3,IF($M386=0,0,COUNTIF(INDIRECT("'0.0.2 Pokémon Learnset (Core)'!$D$"&amp;MATCH($E386,'0.0.2 Pokémon Learnset (Core)'!$A$1:$A951,0)&amp;":$FK$"&amp;MATCH($E386,'0.0.2 Pokémon Learnset (Core)'!$A$1:$A951,0)),'Reverse Search'!$J$21)),IF($D$2=2,COUNTIF(INDIRECT("'0.1.1 Pokémon GO Moves'!$B$"&amp;MATCH($E386,'0.1.1 Pokémon GO Moves'!$A$1:$A951,0)&amp;":$R$"&amp;MATCH($E386,'0.1.1 Pokémon GO Moves'!$A$1:$A951,0)),'Reverse Search'!$J$21),COUNTIF(INDIRECT("'0.1.1 Pokémon GO Moves'!$B$"&amp;MATCH($E386,'0.1.1 Pokémon GO Moves'!$A$1:$A951,0)&amp;":$L$"&amp;MATCH($E386,'0.1.1 Pokémon GO Moves'!$A$1:$A951,0)),'Reverse Search'!$J$21)))))</f>
        <v>#N/A</v>
      </c>
      <c r="AB386" s="490"/>
      <c r="AC386" s="260" t="e">
        <f aca="false">IF((Q386+R386+S386+V386+W386+X386+Y386+IF(Z386&gt;=1,1,0)+IF(AA386&gt;=1,1,0))=9,G386&amp;", ",)</f>
        <v>#N/A</v>
      </c>
    </row>
    <row r="387" customFormat="false" ht="15.75" hidden="false" customHeight="false" outlineLevel="0" collapsed="false">
      <c r="A387" s="260"/>
      <c r="B387" s="358"/>
      <c r="C387" s="260"/>
      <c r="D387" s="358"/>
      <c r="E387" s="260" t="n">
        <v>386</v>
      </c>
      <c r="F387" s="260" t="n">
        <f aca="false" t="array" ref="F387:F387">INDEX('0.0.1 Pokémon Dex Data'!$H$3:$H951,MATCH(E387,'0.0.1 Pokémon Dex Data'!$B$3:$B951,0))</f>
        <v>0</v>
      </c>
      <c r="G387" s="0" t="str">
        <f aca="false" t="array" ref="G387:G387">INDEX('0.0.1 Pokémon Dex Data'!$E$3:$E951,MATCH(E387,'0.0.1 Pokémon Dex Data'!$B$3:$B951,0))</f>
        <v>Zangoose</v>
      </c>
      <c r="H387" s="0" t="str">
        <f aca="false" t="array" ref="H387:H387">INDEX('0.0.1 Pokémon Dex Data'!$Q$3:$Q951,MATCH(E387,'0.0.1 Pokémon Dex Data'!$B$3:$B951,0))</f>
        <v>Normal</v>
      </c>
      <c r="I387" s="0" t="n">
        <f aca="false">INDEX('0.0.1 Pokémon Dex Data'!$R$3:$R951,MATCH(E387,'0.0.1 Pokémon Dex Data'!$B$3:$B951,0))</f>
        <v>0</v>
      </c>
      <c r="J387" s="260" t="n">
        <f aca="false" t="array" ref="J387:J387">ROUND(INDEX('0.0.1 Pokémon Dex Data'!$S$3:$S951,MATCH($E387,'0.0.1 Pokémon Dex Data'!$B$3:$B951,0))*INDEX('0.0.1 Pokémon Dex Data'!T$3:T951,MATCH($E387,'0.0.1 Pokémon Dex Data'!$B$3:$B951,0)),0)</f>
        <v>222</v>
      </c>
      <c r="K387" s="260" t="n">
        <f aca="false" t="array" ref="K387:K387">ROUND(INDEX('0.0.1 Pokémon Dex Data'!$S$3:$S951,MATCH($E387,'0.0.1 Pokémon Dex Data'!$B$3:$B951,0))*INDEX('0.0.1 Pokémon Dex Data'!U$3:U951,MATCH($E387,'0.0.1 Pokémon Dex Data'!$B$3:$B951,0)),0)</f>
        <v>124</v>
      </c>
      <c r="L387" s="260" t="n">
        <f aca="false" t="array" ref="L387:L387">ROUND(INDEX('0.0.1 Pokémon Dex Data'!$S$3:$S951,MATCH($E387,'0.0.1 Pokémon Dex Data'!$B$3:$B951,0))*INDEX('0.0.1 Pokémon Dex Data'!V$3:V951,MATCH($E387,'0.0.1 Pokémon Dex Data'!$B$3:$B951,0)),0)</f>
        <v>177</v>
      </c>
      <c r="M387" s="260" t="n">
        <f aca="false" t="array" ref="M387:M387">INDEX('0.0.1 Pokémon Dex Data'!$J$3:$J951,MATCH(E387,'0.0.1 Pokémon Dex Data'!$B$3:$B951,0))</f>
        <v>1</v>
      </c>
      <c r="O387" s="490"/>
      <c r="Q387" s="367" t="n">
        <f aca="false">IF('Reverse Search'!$F$4="All (including temporary formes)",1,IF('Reverse Search'!$F$4="Base Pokémon and permanent formes only",IF(F387&lt;=1,1,0),IF(F387=0,1,0)))</f>
        <v>1</v>
      </c>
      <c r="R387" s="0" t="n">
        <f aca="false">IF('Reverse Search'!$C$7="Disable",1,IF('Reverse Search'!$D$9="Disable",1,IF(OR('Reverse Search'!$F$9=H387,'Reverse Search'!$F$9=I387),1,0)))</f>
        <v>1</v>
      </c>
      <c r="S387" s="0" t="n">
        <f aca="false">IF('Reverse Search'!$C$7="Disable",1,IF('Reverse Search'!$D$10="Disable",1,IF(OR('Reverse Search'!$F$10=H387,'Reverse Search'!$F$10=I387),1,0)))</f>
        <v>1</v>
      </c>
      <c r="T387" s="0" t="n">
        <f aca="false">INDEX($B$4:$B$22,MATCH(H387,$A$4:$A$22,0))</f>
        <v>1</v>
      </c>
      <c r="U387" s="0" t="e">
        <f aca="false">IF(ISBLANK(I387),1,INDEX($B$4:$B$22,MATCH(I387,$A$4:$A$22,0)))</f>
        <v>#N/A</v>
      </c>
      <c r="V387" s="367" t="n">
        <f aca="false">IF('Reverse Search'!$C$7="Disable",1,IF('Reverse Search'!$D$11="Disable",1,IF('Reverse Search'!$E$11="Neutral to:",IF(ROUND(T387*U387,2)&lt;=1,1,0),IF(ROUND(T387*U387,2)&lt;1,1,0))))</f>
        <v>1</v>
      </c>
      <c r="W387" s="0" t="n">
        <f aca="false">IF('Reverse Search'!$N$7="Disable",1,IF('Reverse Search'!$I$9="Disable",1,IF('Reverse Search'!$K$9="≥",IF(J387&gt;='Reverse Search'!$L$9,1,0),IF('Reverse Search'!$K$9="≤",IF(J387&lt;='Reverse Search'!$L$9,1,0),IF(J387='Reverse Search'!$L$9,1,0)))))</f>
        <v>1</v>
      </c>
      <c r="X387" s="0" t="n">
        <f aca="false">IF('Reverse Search'!$N$7="Disable",1,IF('Reverse Search'!$I$10="Disable",1,IF('Reverse Search'!$K$10="≥",IF(K387&gt;='Reverse Search'!$L$10,1,0),IF('Reverse Search'!$K$10="≤",IF(K387&lt;='Reverse Search'!$L$10,1,0),IF(K387='Reverse Search'!$L$10,1,0)))))</f>
        <v>1</v>
      </c>
      <c r="Y387" s="367" t="n">
        <f aca="false">IF('Reverse Search'!$N$7="Disable",1,IF('Reverse Search'!$I$11="Disable",1,IF('Reverse Search'!$K$11="≥",IF(L387&gt;='Reverse Search'!$L$11,1,0),IF('Reverse Search'!$K$11="≤",IF(L387&lt;='Reverse Search'!$L$11,1,0),IF(L387='Reverse Search'!$L$11,1,0)))))</f>
        <v>1</v>
      </c>
      <c r="Z387" s="0" t="n">
        <f aca="true">IF('Reverse Search'!$C$14="Disable",1,IF('Reverse Search'!$D$16="Disable",1,IF($C$2=3,IF($M387=0,0,COUNTIF(INDIRECT("'0.0.2 Pokémon Learnset (Core)'!$D$"&amp;MATCH($E387,'0.0.2 Pokémon Learnset (Core)'!$A$1:$A951,0)&amp;":$FK$"&amp;MATCH($E387,'0.0.2 Pokémon Learnset (Core)'!$A$1:$A951,0)),'Reverse Search'!$E$21)),IF($C$2=2,COUNTIF(INDIRECT("'0.1.1 Pokémon GO Moves'!$B$"&amp;MATCH($E387,'0.1.1 Pokémon GO Moves'!$A$1:$A951,0)&amp;":$R$"&amp;MATCH($E387,'0.1.1 Pokémon GO Moves'!$A$1:$A951,0)),'Reverse Search'!$E$21),COUNTIF(INDIRECT("'0.1.1 Pokémon GO Moves'!$B$"&amp;MATCH($E387,'0.1.1 Pokémon GO Moves'!$A$1:$A951,0)&amp;":$L$"&amp;MATCH($E387,'0.1.1 Pokémon GO Moves'!$A$1:$A951,0)),'Reverse Search'!$E$21)))))</f>
        <v>1</v>
      </c>
      <c r="AA387" s="0" t="n">
        <f aca="true">IF('Reverse Search'!$C$14="Disable",1,IF('Reverse Search'!$I$16="Disable",1,IF($D$2=3,IF($M387=0,0,COUNTIF(INDIRECT("'0.0.2 Pokémon Learnset (Core)'!$D$"&amp;MATCH($E387,'0.0.2 Pokémon Learnset (Core)'!$A$1:$A951,0)&amp;":$FK$"&amp;MATCH($E387,'0.0.2 Pokémon Learnset (Core)'!$A$1:$A951,0)),'Reverse Search'!$J$21)),IF($D$2=2,COUNTIF(INDIRECT("'0.1.1 Pokémon GO Moves'!$B$"&amp;MATCH($E387,'0.1.1 Pokémon GO Moves'!$A$1:$A951,0)&amp;":$R$"&amp;MATCH($E387,'0.1.1 Pokémon GO Moves'!$A$1:$A951,0)),'Reverse Search'!$J$21),COUNTIF(INDIRECT("'0.1.1 Pokémon GO Moves'!$B$"&amp;MATCH($E387,'0.1.1 Pokémon GO Moves'!$A$1:$A951,0)&amp;":$L$"&amp;MATCH($E387,'0.1.1 Pokémon GO Moves'!$A$1:$A951,0)),'Reverse Search'!$J$21)))))</f>
        <v>0</v>
      </c>
      <c r="AB387" s="490"/>
      <c r="AC387" s="260" t="n">
        <f aca="false">IF((Q387+R387+S387+V387+W387+X387+Y387+IF(Z387&gt;=1,1,0)+IF(AA387&gt;=1,1,0))=9,G387&amp;", ",)</f>
        <v>0</v>
      </c>
    </row>
    <row r="388" customFormat="false" ht="15.75" hidden="false" customHeight="false" outlineLevel="0" collapsed="false">
      <c r="A388" s="260"/>
      <c r="B388" s="358"/>
      <c r="C388" s="260"/>
      <c r="D388" s="358"/>
      <c r="E388" s="260" t="n">
        <v>387</v>
      </c>
      <c r="F388" s="260" t="n">
        <f aca="false" t="array" ref="F388:F388">INDEX('0.0.1 Pokémon Dex Data'!$H$3:$H951,MATCH(E388,'0.0.1 Pokémon Dex Data'!$B$3:$B951,0))</f>
        <v>0</v>
      </c>
      <c r="G388" s="0" t="str">
        <f aca="false" t="array" ref="G388:G388">INDEX('0.0.1 Pokémon Dex Data'!$E$3:$E951,MATCH(E388,'0.0.1 Pokémon Dex Data'!$B$3:$B951,0))</f>
        <v>Seviper</v>
      </c>
      <c r="H388" s="0" t="str">
        <f aca="false" t="array" ref="H388:H388">INDEX('0.0.1 Pokémon Dex Data'!$Q$3:$Q951,MATCH(E388,'0.0.1 Pokémon Dex Data'!$B$3:$B951,0))</f>
        <v>Poison</v>
      </c>
      <c r="I388" s="0" t="n">
        <f aca="false">INDEX('0.0.1 Pokémon Dex Data'!$R$3:$R951,MATCH(E388,'0.0.1 Pokémon Dex Data'!$B$3:$B951,0))</f>
        <v>0</v>
      </c>
      <c r="J388" s="260" t="n">
        <f aca="false" t="array" ref="J388:J388">ROUND(INDEX('0.0.1 Pokémon Dex Data'!$S$3:$S951,MATCH($E388,'0.0.1 Pokémon Dex Data'!$B$3:$B951,0))*INDEX('0.0.1 Pokémon Dex Data'!T$3:T951,MATCH($E388,'0.0.1 Pokémon Dex Data'!$B$3:$B951,0)),0)</f>
        <v>196</v>
      </c>
      <c r="K388" s="260" t="n">
        <f aca="false" t="array" ref="K388:K388">ROUND(INDEX('0.0.1 Pokémon Dex Data'!$S$3:$S951,MATCH($E388,'0.0.1 Pokémon Dex Data'!$B$3:$B951,0))*INDEX('0.0.1 Pokémon Dex Data'!U$3:U951,MATCH($E388,'0.0.1 Pokémon Dex Data'!$B$3:$B951,0)),0)</f>
        <v>118</v>
      </c>
      <c r="L388" s="260" t="n">
        <f aca="false" t="array" ref="L388:L388">ROUND(INDEX('0.0.1 Pokémon Dex Data'!$S$3:$S951,MATCH($E388,'0.0.1 Pokémon Dex Data'!$B$3:$B951,0))*INDEX('0.0.1 Pokémon Dex Data'!V$3:V951,MATCH($E388,'0.0.1 Pokémon Dex Data'!$B$3:$B951,0)),0)</f>
        <v>177</v>
      </c>
      <c r="M388" s="260" t="n">
        <f aca="false" t="array" ref="M388:M388">INDEX('0.0.1 Pokémon Dex Data'!$J$3:$J951,MATCH(E388,'0.0.1 Pokémon Dex Data'!$B$3:$B951,0))</f>
        <v>1</v>
      </c>
      <c r="O388" s="490"/>
      <c r="Q388" s="367" t="n">
        <f aca="false">IF('Reverse Search'!$F$4="All (including temporary formes)",1,IF('Reverse Search'!$F$4="Base Pokémon and permanent formes only",IF(F388&lt;=1,1,0),IF(F388=0,1,0)))</f>
        <v>1</v>
      </c>
      <c r="R388" s="0" t="n">
        <f aca="false">IF('Reverse Search'!$C$7="Disable",1,IF('Reverse Search'!$D$9="Disable",1,IF(OR('Reverse Search'!$F$9=H388,'Reverse Search'!$F$9=I388),1,0)))</f>
        <v>1</v>
      </c>
      <c r="S388" s="0" t="n">
        <f aca="false">IF('Reverse Search'!$C$7="Disable",1,IF('Reverse Search'!$D$10="Disable",1,IF(OR('Reverse Search'!$F$10=H388,'Reverse Search'!$F$10=I388),1,0)))</f>
        <v>1</v>
      </c>
      <c r="T388" s="0" t="n">
        <f aca="false">INDEX($B$4:$B$22,MATCH(H388,$A$4:$A$22,0))</f>
        <v>1</v>
      </c>
      <c r="U388" s="0" t="e">
        <f aca="false">IF(ISBLANK(I388),1,INDEX($B$4:$B$22,MATCH(I388,$A$4:$A$22,0)))</f>
        <v>#N/A</v>
      </c>
      <c r="V388" s="367" t="n">
        <f aca="false">IF('Reverse Search'!$C$7="Disable",1,IF('Reverse Search'!$D$11="Disable",1,IF('Reverse Search'!$E$11="Neutral to:",IF(ROUND(T388*U388,2)&lt;=1,1,0),IF(ROUND(T388*U388,2)&lt;1,1,0))))</f>
        <v>1</v>
      </c>
      <c r="W388" s="0" t="n">
        <f aca="false">IF('Reverse Search'!$N$7="Disable",1,IF('Reverse Search'!$I$9="Disable",1,IF('Reverse Search'!$K$9="≥",IF(J388&gt;='Reverse Search'!$L$9,1,0),IF('Reverse Search'!$K$9="≤",IF(J388&lt;='Reverse Search'!$L$9,1,0),IF(J388='Reverse Search'!$L$9,1,0)))))</f>
        <v>1</v>
      </c>
      <c r="X388" s="0" t="n">
        <f aca="false">IF('Reverse Search'!$N$7="Disable",1,IF('Reverse Search'!$I$10="Disable",1,IF('Reverse Search'!$K$10="≥",IF(K388&gt;='Reverse Search'!$L$10,1,0),IF('Reverse Search'!$K$10="≤",IF(K388&lt;='Reverse Search'!$L$10,1,0),IF(K388='Reverse Search'!$L$10,1,0)))))</f>
        <v>1</v>
      </c>
      <c r="Y388" s="367" t="n">
        <f aca="false">IF('Reverse Search'!$N$7="Disable",1,IF('Reverse Search'!$I$11="Disable",1,IF('Reverse Search'!$K$11="≥",IF(L388&gt;='Reverse Search'!$L$11,1,0),IF('Reverse Search'!$K$11="≤",IF(L388&lt;='Reverse Search'!$L$11,1,0),IF(L388='Reverse Search'!$L$11,1,0)))))</f>
        <v>1</v>
      </c>
      <c r="Z388" s="0" t="n">
        <f aca="true">IF('Reverse Search'!$C$14="Disable",1,IF('Reverse Search'!$D$16="Disable",1,IF($C$2=3,IF($M388=0,0,COUNTIF(INDIRECT("'0.0.2 Pokémon Learnset (Core)'!$D$"&amp;MATCH($E388,'0.0.2 Pokémon Learnset (Core)'!$A$1:$A951,0)&amp;":$FK$"&amp;MATCH($E388,'0.0.2 Pokémon Learnset (Core)'!$A$1:$A951,0)),'Reverse Search'!$E$21)),IF($C$2=2,COUNTIF(INDIRECT("'0.1.1 Pokémon GO Moves'!$B$"&amp;MATCH($E388,'0.1.1 Pokémon GO Moves'!$A$1:$A951,0)&amp;":$R$"&amp;MATCH($E388,'0.1.1 Pokémon GO Moves'!$A$1:$A951,0)),'Reverse Search'!$E$21),COUNTIF(INDIRECT("'0.1.1 Pokémon GO Moves'!$B$"&amp;MATCH($E388,'0.1.1 Pokémon GO Moves'!$A$1:$A951,0)&amp;":$L$"&amp;MATCH($E388,'0.1.1 Pokémon GO Moves'!$A$1:$A951,0)),'Reverse Search'!$E$21)))))</f>
        <v>1</v>
      </c>
      <c r="AA388" s="0" t="n">
        <f aca="true">IF('Reverse Search'!$C$14="Disable",1,IF('Reverse Search'!$I$16="Disable",1,IF($D$2=3,IF($M388=0,0,COUNTIF(INDIRECT("'0.0.2 Pokémon Learnset (Core)'!$D$"&amp;MATCH($E388,'0.0.2 Pokémon Learnset (Core)'!$A$1:$A951,0)&amp;":$FK$"&amp;MATCH($E388,'0.0.2 Pokémon Learnset (Core)'!$A$1:$A951,0)),'Reverse Search'!$J$21)),IF($D$2=2,COUNTIF(INDIRECT("'0.1.1 Pokémon GO Moves'!$B$"&amp;MATCH($E388,'0.1.1 Pokémon GO Moves'!$A$1:$A951,0)&amp;":$R$"&amp;MATCH($E388,'0.1.1 Pokémon GO Moves'!$A$1:$A951,0)),'Reverse Search'!$J$21),COUNTIF(INDIRECT("'0.1.1 Pokémon GO Moves'!$B$"&amp;MATCH($E388,'0.1.1 Pokémon GO Moves'!$A$1:$A951,0)&amp;":$L$"&amp;MATCH($E388,'0.1.1 Pokémon GO Moves'!$A$1:$A951,0)),'Reverse Search'!$J$21)))))</f>
        <v>0</v>
      </c>
      <c r="AB388" s="490"/>
      <c r="AC388" s="260" t="n">
        <f aca="false">IF((Q388+R388+S388+V388+W388+X388+Y388+IF(Z388&gt;=1,1,0)+IF(AA388&gt;=1,1,0))=9,G388&amp;", ",)</f>
        <v>0</v>
      </c>
    </row>
    <row r="389" customFormat="false" ht="15.75" hidden="false" customHeight="false" outlineLevel="0" collapsed="false">
      <c r="A389" s="260"/>
      <c r="B389" s="358"/>
      <c r="C389" s="260"/>
      <c r="D389" s="358"/>
      <c r="E389" s="260" t="n">
        <v>388</v>
      </c>
      <c r="F389" s="260" t="n">
        <f aca="false" t="array" ref="F389:F389">INDEX('0.0.1 Pokémon Dex Data'!$H$3:$H951,MATCH(E389,'0.0.1 Pokémon Dex Data'!$B$3:$B951,0))</f>
        <v>0</v>
      </c>
      <c r="G389" s="0" t="str">
        <f aca="false" t="array" ref="G389:G389">INDEX('0.0.1 Pokémon Dex Data'!$E$3:$E951,MATCH(E389,'0.0.1 Pokémon Dex Data'!$B$3:$B951,0))</f>
        <v>Lunatone</v>
      </c>
      <c r="H389" s="0" t="str">
        <f aca="false" t="array" ref="H389:H389">INDEX('0.0.1 Pokémon Dex Data'!$Q$3:$Q951,MATCH(E389,'0.0.1 Pokémon Dex Data'!$B$3:$B951,0))</f>
        <v>Rock</v>
      </c>
      <c r="I389" s="0" t="str">
        <f aca="false" t="array" ref="I389:I389">INDEX('0.0.1 Pokémon Dex Data'!$R$3:$R951,MATCH(E389,'0.0.1 Pokémon Dex Data'!$B$3:$B951,0))</f>
        <v>Psychic</v>
      </c>
      <c r="J389" s="260" t="n">
        <f aca="false" t="array" ref="J389:J389">ROUND(INDEX('0.0.1 Pokémon Dex Data'!$S$3:$S951,MATCH($E389,'0.0.1 Pokémon Dex Data'!$B$3:$B951,0))*INDEX('0.0.1 Pokémon Dex Data'!T$3:T951,MATCH($E389,'0.0.1 Pokémon Dex Data'!$B$3:$B951,0)),0)</f>
        <v>178</v>
      </c>
      <c r="K389" s="260" t="n">
        <f aca="false" t="array" ref="K389:K389">ROUND(INDEX('0.0.1 Pokémon Dex Data'!$S$3:$S951,MATCH($E389,'0.0.1 Pokémon Dex Data'!$B$3:$B951,0))*INDEX('0.0.1 Pokémon Dex Data'!U$3:U951,MATCH($E389,'0.0.1 Pokémon Dex Data'!$B$3:$B951,0)),0)</f>
        <v>153</v>
      </c>
      <c r="L389" s="260" t="n">
        <f aca="false" t="array" ref="L389:L389">ROUND(INDEX('0.0.1 Pokémon Dex Data'!$S$3:$S951,MATCH($E389,'0.0.1 Pokémon Dex Data'!$B$3:$B951,0))*INDEX('0.0.1 Pokémon Dex Data'!V$3:V951,MATCH($E389,'0.0.1 Pokémon Dex Data'!$B$3:$B951,0)),0)</f>
        <v>207</v>
      </c>
      <c r="M389" s="260" t="n">
        <f aca="false" t="array" ref="M389:M389">INDEX('0.0.1 Pokémon Dex Data'!$J$3:$J951,MATCH(E389,'0.0.1 Pokémon Dex Data'!$B$3:$B951,0))</f>
        <v>1</v>
      </c>
      <c r="O389" s="490"/>
      <c r="Q389" s="367" t="n">
        <f aca="false">IF('Reverse Search'!$F$4="All (including temporary formes)",1,IF('Reverse Search'!$F$4="Base Pokémon and permanent formes only",IF(F389&lt;=1,1,0),IF(F389=0,1,0)))</f>
        <v>1</v>
      </c>
      <c r="R389" s="0" t="n">
        <f aca="false">IF('Reverse Search'!$C$7="Disable",1,IF('Reverse Search'!$D$9="Disable",1,IF(OR('Reverse Search'!$F$9=H389,'Reverse Search'!$F$9=I389),1,0)))</f>
        <v>1</v>
      </c>
      <c r="S389" s="0" t="n">
        <f aca="false">IF('Reverse Search'!$C$7="Disable",1,IF('Reverse Search'!$D$10="Disable",1,IF(OR('Reverse Search'!$F$10=H389,'Reverse Search'!$F$10=I389),1,0)))</f>
        <v>1</v>
      </c>
      <c r="T389" s="0" t="n">
        <f aca="false">INDEX($B$4:$B$22,MATCH(H389,$A$4:$A$22,0))</f>
        <v>0.714</v>
      </c>
      <c r="U389" s="0" t="n">
        <f aca="false">IF(ISBLANK(I389),1,INDEX($B$4:$B$22,MATCH(I389,$A$4:$A$22,0)))</f>
        <v>1</v>
      </c>
      <c r="V389" s="367" t="n">
        <f aca="false">IF('Reverse Search'!$C$7="Disable",1,IF('Reverse Search'!$D$11="Disable",1,IF('Reverse Search'!$E$11="Neutral to:",IF(ROUND(T389*U389,2)&lt;=1,1,0),IF(ROUND(T389*U389,2)&lt;1,1,0))))</f>
        <v>1</v>
      </c>
      <c r="W389" s="0" t="n">
        <f aca="false">IF('Reverse Search'!$N$7="Disable",1,IF('Reverse Search'!$I$9="Disable",1,IF('Reverse Search'!$K$9="≥",IF(J389&gt;='Reverse Search'!$L$9,1,0),IF('Reverse Search'!$K$9="≤",IF(J389&lt;='Reverse Search'!$L$9,1,0),IF(J389='Reverse Search'!$L$9,1,0)))))</f>
        <v>1</v>
      </c>
      <c r="X389" s="0" t="n">
        <f aca="false">IF('Reverse Search'!$N$7="Disable",1,IF('Reverse Search'!$I$10="Disable",1,IF('Reverse Search'!$K$10="≥",IF(K389&gt;='Reverse Search'!$L$10,1,0),IF('Reverse Search'!$K$10="≤",IF(K389&lt;='Reverse Search'!$L$10,1,0),IF(K389='Reverse Search'!$L$10,1,0)))))</f>
        <v>1</v>
      </c>
      <c r="Y389" s="367" t="n">
        <f aca="false">IF('Reverse Search'!$N$7="Disable",1,IF('Reverse Search'!$I$11="Disable",1,IF('Reverse Search'!$K$11="≥",IF(L389&gt;='Reverse Search'!$L$11,1,0),IF('Reverse Search'!$K$11="≤",IF(L389&lt;='Reverse Search'!$L$11,1,0),IF(L389='Reverse Search'!$L$11,1,0)))))</f>
        <v>1</v>
      </c>
      <c r="Z389" s="0" t="n">
        <f aca="true">IF('Reverse Search'!$C$14="Disable",1,IF('Reverse Search'!$D$16="Disable",1,IF($C$2=3,IF($M389=0,0,COUNTIF(INDIRECT("'0.0.2 Pokémon Learnset (Core)'!$D$"&amp;MATCH($E389,'0.0.2 Pokémon Learnset (Core)'!$A$1:$A951,0)&amp;":$FK$"&amp;MATCH($E389,'0.0.2 Pokémon Learnset (Core)'!$A$1:$A951,0)),'Reverse Search'!$E$21)),IF($C$2=2,COUNTIF(INDIRECT("'0.1.1 Pokémon GO Moves'!$B$"&amp;MATCH($E389,'0.1.1 Pokémon GO Moves'!$A$1:$A951,0)&amp;":$R$"&amp;MATCH($E389,'0.1.1 Pokémon GO Moves'!$A$1:$A951,0)),'Reverse Search'!$E$21),COUNTIF(INDIRECT("'0.1.1 Pokémon GO Moves'!$B$"&amp;MATCH($E389,'0.1.1 Pokémon GO Moves'!$A$1:$A951,0)&amp;":$L$"&amp;MATCH($E389,'0.1.1 Pokémon GO Moves'!$A$1:$A951,0)),'Reverse Search'!$E$21)))))</f>
        <v>1</v>
      </c>
      <c r="AA389" s="0" t="n">
        <f aca="true">IF('Reverse Search'!$C$14="Disable",1,IF('Reverse Search'!$I$16="Disable",1,IF($D$2=3,IF($M389=0,0,COUNTIF(INDIRECT("'0.0.2 Pokémon Learnset (Core)'!$D$"&amp;MATCH($E389,'0.0.2 Pokémon Learnset (Core)'!$A$1:$A951,0)&amp;":$FK$"&amp;MATCH($E389,'0.0.2 Pokémon Learnset (Core)'!$A$1:$A951,0)),'Reverse Search'!$J$21)),IF($D$2=2,COUNTIF(INDIRECT("'0.1.1 Pokémon GO Moves'!$B$"&amp;MATCH($E389,'0.1.1 Pokémon GO Moves'!$A$1:$A951,0)&amp;":$R$"&amp;MATCH($E389,'0.1.1 Pokémon GO Moves'!$A$1:$A951,0)),'Reverse Search'!$J$21),COUNTIF(INDIRECT("'0.1.1 Pokémon GO Moves'!$B$"&amp;MATCH($E389,'0.1.1 Pokémon GO Moves'!$A$1:$A951,0)&amp;":$L$"&amp;MATCH($E389,'0.1.1 Pokémon GO Moves'!$A$1:$A951,0)),'Reverse Search'!$J$21)))))</f>
        <v>0</v>
      </c>
      <c r="AB389" s="490"/>
      <c r="AC389" s="260" t="n">
        <f aca="false">IF((Q389+R389+S389+V389+W389+X389+Y389+IF(Z389&gt;=1,1,0)+IF(AA389&gt;=1,1,0))=9,G389&amp;", ",)</f>
        <v>0</v>
      </c>
    </row>
    <row r="390" customFormat="false" ht="15.75" hidden="false" customHeight="false" outlineLevel="0" collapsed="false">
      <c r="A390" s="260"/>
      <c r="B390" s="358"/>
      <c r="C390" s="260"/>
      <c r="D390" s="358"/>
      <c r="E390" s="260" t="n">
        <v>389</v>
      </c>
      <c r="F390" s="260" t="n">
        <f aca="false" t="array" ref="F390:F390">INDEX('0.0.1 Pokémon Dex Data'!$H$3:$H951,MATCH(E390,'0.0.1 Pokémon Dex Data'!$B$3:$B951,0))</f>
        <v>0</v>
      </c>
      <c r="G390" s="0" t="str">
        <f aca="false" t="array" ref="G390:G390">INDEX('0.0.1 Pokémon Dex Data'!$E$3:$E951,MATCH(E390,'0.0.1 Pokémon Dex Data'!$B$3:$B951,0))</f>
        <v>Solrock</v>
      </c>
      <c r="H390" s="0" t="str">
        <f aca="false" t="array" ref="H390:H390">INDEX('0.0.1 Pokémon Dex Data'!$Q$3:$Q951,MATCH(E390,'0.0.1 Pokémon Dex Data'!$B$3:$B951,0))</f>
        <v>Rock</v>
      </c>
      <c r="I390" s="0" t="str">
        <f aca="false" t="array" ref="I390:I390">INDEX('0.0.1 Pokémon Dex Data'!$R$3:$R951,MATCH(E390,'0.0.1 Pokémon Dex Data'!$B$3:$B951,0))</f>
        <v>Psychic</v>
      </c>
      <c r="J390" s="260" t="n">
        <f aca="false" t="array" ref="J390:J390">ROUND(INDEX('0.0.1 Pokémon Dex Data'!$S$3:$S951,MATCH($E390,'0.0.1 Pokémon Dex Data'!$B$3:$B951,0))*INDEX('0.0.1 Pokémon Dex Data'!T$3:T951,MATCH($E390,'0.0.1 Pokémon Dex Data'!$B$3:$B951,0)),0)</f>
        <v>178</v>
      </c>
      <c r="K390" s="260" t="n">
        <f aca="false" t="array" ref="K390:K390">ROUND(INDEX('0.0.1 Pokémon Dex Data'!$S$3:$S951,MATCH($E390,'0.0.1 Pokémon Dex Data'!$B$3:$B951,0))*INDEX('0.0.1 Pokémon Dex Data'!U$3:U951,MATCH($E390,'0.0.1 Pokémon Dex Data'!$B$3:$B951,0)),0)</f>
        <v>153</v>
      </c>
      <c r="L390" s="260" t="n">
        <f aca="false" t="array" ref="L390:L390">ROUND(INDEX('0.0.1 Pokémon Dex Data'!$S$3:$S951,MATCH($E390,'0.0.1 Pokémon Dex Data'!$B$3:$B951,0))*INDEX('0.0.1 Pokémon Dex Data'!V$3:V951,MATCH($E390,'0.0.1 Pokémon Dex Data'!$B$3:$B951,0)),0)</f>
        <v>207</v>
      </c>
      <c r="M390" s="260" t="n">
        <f aca="false" t="array" ref="M390:M390">INDEX('0.0.1 Pokémon Dex Data'!$J$3:$J951,MATCH(E390,'0.0.1 Pokémon Dex Data'!$B$3:$B951,0))</f>
        <v>1</v>
      </c>
      <c r="O390" s="490"/>
      <c r="Q390" s="367" t="n">
        <f aca="false">IF('Reverse Search'!$F$4="All (including temporary formes)",1,IF('Reverse Search'!$F$4="Base Pokémon and permanent formes only",IF(F390&lt;=1,1,0),IF(F390=0,1,0)))</f>
        <v>1</v>
      </c>
      <c r="R390" s="0" t="n">
        <f aca="false">IF('Reverse Search'!$C$7="Disable",1,IF('Reverse Search'!$D$9="Disable",1,IF(OR('Reverse Search'!$F$9=H390,'Reverse Search'!$F$9=I390),1,0)))</f>
        <v>1</v>
      </c>
      <c r="S390" s="0" t="n">
        <f aca="false">IF('Reverse Search'!$C$7="Disable",1,IF('Reverse Search'!$D$10="Disable",1,IF(OR('Reverse Search'!$F$10=H390,'Reverse Search'!$F$10=I390),1,0)))</f>
        <v>1</v>
      </c>
      <c r="T390" s="0" t="n">
        <f aca="false">INDEX($B$4:$B$22,MATCH(H390,$A$4:$A$22,0))</f>
        <v>0.714</v>
      </c>
      <c r="U390" s="0" t="n">
        <f aca="false">IF(ISBLANK(I390),1,INDEX($B$4:$B$22,MATCH(I390,$A$4:$A$22,0)))</f>
        <v>1</v>
      </c>
      <c r="V390" s="367" t="n">
        <f aca="false">IF('Reverse Search'!$C$7="Disable",1,IF('Reverse Search'!$D$11="Disable",1,IF('Reverse Search'!$E$11="Neutral to:",IF(ROUND(T390*U390,2)&lt;=1,1,0),IF(ROUND(T390*U390,2)&lt;1,1,0))))</f>
        <v>1</v>
      </c>
      <c r="W390" s="0" t="n">
        <f aca="false">IF('Reverse Search'!$N$7="Disable",1,IF('Reverse Search'!$I$9="Disable",1,IF('Reverse Search'!$K$9="≥",IF(J390&gt;='Reverse Search'!$L$9,1,0),IF('Reverse Search'!$K$9="≤",IF(J390&lt;='Reverse Search'!$L$9,1,0),IF(J390='Reverse Search'!$L$9,1,0)))))</f>
        <v>1</v>
      </c>
      <c r="X390" s="0" t="n">
        <f aca="false">IF('Reverse Search'!$N$7="Disable",1,IF('Reverse Search'!$I$10="Disable",1,IF('Reverse Search'!$K$10="≥",IF(K390&gt;='Reverse Search'!$L$10,1,0),IF('Reverse Search'!$K$10="≤",IF(K390&lt;='Reverse Search'!$L$10,1,0),IF(K390='Reverse Search'!$L$10,1,0)))))</f>
        <v>1</v>
      </c>
      <c r="Y390" s="367" t="n">
        <f aca="false">IF('Reverse Search'!$N$7="Disable",1,IF('Reverse Search'!$I$11="Disable",1,IF('Reverse Search'!$K$11="≥",IF(L390&gt;='Reverse Search'!$L$11,1,0),IF('Reverse Search'!$K$11="≤",IF(L390&lt;='Reverse Search'!$L$11,1,0),IF(L390='Reverse Search'!$L$11,1,0)))))</f>
        <v>1</v>
      </c>
      <c r="Z390" s="0" t="n">
        <f aca="true">IF('Reverse Search'!$C$14="Disable",1,IF('Reverse Search'!$D$16="Disable",1,IF($C$2=3,IF($M390=0,0,COUNTIF(INDIRECT("'0.0.2 Pokémon Learnset (Core)'!$D$"&amp;MATCH($E390,'0.0.2 Pokémon Learnset (Core)'!$A$1:$A951,0)&amp;":$FK$"&amp;MATCH($E390,'0.0.2 Pokémon Learnset (Core)'!$A$1:$A951,0)),'Reverse Search'!$E$21)),IF($C$2=2,COUNTIF(INDIRECT("'0.1.1 Pokémon GO Moves'!$B$"&amp;MATCH($E390,'0.1.1 Pokémon GO Moves'!$A$1:$A951,0)&amp;":$R$"&amp;MATCH($E390,'0.1.1 Pokémon GO Moves'!$A$1:$A951,0)),'Reverse Search'!$E$21),COUNTIF(INDIRECT("'0.1.1 Pokémon GO Moves'!$B$"&amp;MATCH($E390,'0.1.1 Pokémon GO Moves'!$A$1:$A951,0)&amp;":$L$"&amp;MATCH($E390,'0.1.1 Pokémon GO Moves'!$A$1:$A951,0)),'Reverse Search'!$E$21)))))</f>
        <v>1</v>
      </c>
      <c r="AA390" s="0" t="n">
        <f aca="true">IF('Reverse Search'!$C$14="Disable",1,IF('Reverse Search'!$I$16="Disable",1,IF($D$2=3,IF($M390=0,0,COUNTIF(INDIRECT("'0.0.2 Pokémon Learnset (Core)'!$D$"&amp;MATCH($E390,'0.0.2 Pokémon Learnset (Core)'!$A$1:$A951,0)&amp;":$FK$"&amp;MATCH($E390,'0.0.2 Pokémon Learnset (Core)'!$A$1:$A951,0)),'Reverse Search'!$J$21)),IF($D$2=2,COUNTIF(INDIRECT("'0.1.1 Pokémon GO Moves'!$B$"&amp;MATCH($E390,'0.1.1 Pokémon GO Moves'!$A$1:$A951,0)&amp;":$R$"&amp;MATCH($E390,'0.1.1 Pokémon GO Moves'!$A$1:$A951,0)),'Reverse Search'!$J$21),COUNTIF(INDIRECT("'0.1.1 Pokémon GO Moves'!$B$"&amp;MATCH($E390,'0.1.1 Pokémon GO Moves'!$A$1:$A951,0)&amp;":$L$"&amp;MATCH($E390,'0.1.1 Pokémon GO Moves'!$A$1:$A951,0)),'Reverse Search'!$J$21)))))</f>
        <v>0</v>
      </c>
      <c r="AB390" s="490"/>
      <c r="AC390" s="260" t="n">
        <f aca="false">IF((Q390+R390+S390+V390+W390+X390+Y390+IF(Z390&gt;=1,1,0)+IF(AA390&gt;=1,1,0))=9,G390&amp;", ",)</f>
        <v>0</v>
      </c>
    </row>
    <row r="391" customFormat="false" ht="15.75" hidden="false" customHeight="false" outlineLevel="0" collapsed="false">
      <c r="A391" s="260"/>
      <c r="B391" s="358"/>
      <c r="C391" s="260"/>
      <c r="D391" s="358"/>
      <c r="E391" s="260" t="n">
        <v>390</v>
      </c>
      <c r="F391" s="260" t="n">
        <f aca="false" t="array" ref="F391:F391">INDEX('0.0.1 Pokémon Dex Data'!$H$3:$H951,MATCH(E391,'0.0.1 Pokémon Dex Data'!$B$3:$B951,0))</f>
        <v>0</v>
      </c>
      <c r="G391" s="0" t="str">
        <f aca="false" t="array" ref="G391:G391">INDEX('0.0.1 Pokémon Dex Data'!$E$3:$E951,MATCH(E391,'0.0.1 Pokémon Dex Data'!$B$3:$B951,0))</f>
        <v>Barboach</v>
      </c>
      <c r="H391" s="0" t="str">
        <f aca="false" t="array" ref="H391:H391">INDEX('0.0.1 Pokémon Dex Data'!$Q$3:$Q951,MATCH(E391,'0.0.1 Pokémon Dex Data'!$B$3:$B951,0))</f>
        <v>Water</v>
      </c>
      <c r="I391" s="0" t="str">
        <f aca="false" t="array" ref="I391:I391">INDEX('0.0.1 Pokémon Dex Data'!$R$3:$R951,MATCH(E391,'0.0.1 Pokémon Dex Data'!$B$3:$B951,0))</f>
        <v>Ground</v>
      </c>
      <c r="J391" s="260" t="n">
        <f aca="false" t="array" ref="J391:J391">ROUND(INDEX('0.0.1 Pokémon Dex Data'!$S$3:$S951,MATCH($E391,'0.0.1 Pokémon Dex Data'!$B$3:$B951,0))*INDEX('0.0.1 Pokémon Dex Data'!T$3:T951,MATCH($E391,'0.0.1 Pokémon Dex Data'!$B$3:$B951,0)),0)</f>
        <v>93</v>
      </c>
      <c r="K391" s="260" t="n">
        <f aca="false" t="array" ref="K391:K391">ROUND(INDEX('0.0.1 Pokémon Dex Data'!$S$3:$S951,MATCH($E391,'0.0.1 Pokémon Dex Data'!$B$3:$B951,0))*INDEX('0.0.1 Pokémon Dex Data'!U$3:U951,MATCH($E391,'0.0.1 Pokémon Dex Data'!$B$3:$B951,0)),0)</f>
        <v>82</v>
      </c>
      <c r="L391" s="260" t="n">
        <f aca="false" t="array" ref="L391:L391">ROUND(INDEX('0.0.1 Pokémon Dex Data'!$S$3:$S951,MATCH($E391,'0.0.1 Pokémon Dex Data'!$B$3:$B951,0))*INDEX('0.0.1 Pokémon Dex Data'!V$3:V951,MATCH($E391,'0.0.1 Pokémon Dex Data'!$B$3:$B951,0)),0)</f>
        <v>137</v>
      </c>
      <c r="M391" s="260" t="n">
        <f aca="false" t="array" ref="M391:M391">INDEX('0.0.1 Pokémon Dex Data'!$J$3:$J951,MATCH(E391,'0.0.1 Pokémon Dex Data'!$B$3:$B951,0))</f>
        <v>0</v>
      </c>
      <c r="O391" s="490"/>
      <c r="Q391" s="367" t="n">
        <f aca="false">IF('Reverse Search'!$F$4="All (including temporary formes)",1,IF('Reverse Search'!$F$4="Base Pokémon and permanent formes only",IF(F391&lt;=1,1,0),IF(F391=0,1,0)))</f>
        <v>1</v>
      </c>
      <c r="R391" s="0" t="n">
        <f aca="false">IF('Reverse Search'!$C$7="Disable",1,IF('Reverse Search'!$D$9="Disable",1,IF(OR('Reverse Search'!$F$9=H391,'Reverse Search'!$F$9=I391),1,0)))</f>
        <v>1</v>
      </c>
      <c r="S391" s="0" t="n">
        <f aca="false">IF('Reverse Search'!$C$7="Disable",1,IF('Reverse Search'!$D$10="Disable",1,IF(OR('Reverse Search'!$F$10=H391,'Reverse Search'!$F$10=I391),1,0)))</f>
        <v>1</v>
      </c>
      <c r="T391" s="0" t="n">
        <f aca="false">INDEX($B$4:$B$22,MATCH(H391,$A$4:$A$22,0))</f>
        <v>1</v>
      </c>
      <c r="U391" s="0" t="n">
        <f aca="false">IF(ISBLANK(I391),1,INDEX($B$4:$B$22,MATCH(I391,$A$4:$A$22,0)))</f>
        <v>1</v>
      </c>
      <c r="V391" s="367" t="n">
        <f aca="false">IF('Reverse Search'!$C$7="Disable",1,IF('Reverse Search'!$D$11="Disable",1,IF('Reverse Search'!$E$11="Neutral to:",IF(ROUND(T391*U391,2)&lt;=1,1,0),IF(ROUND(T391*U391,2)&lt;1,1,0))))</f>
        <v>1</v>
      </c>
      <c r="W391" s="0" t="n">
        <f aca="false">IF('Reverse Search'!$N$7="Disable",1,IF('Reverse Search'!$I$9="Disable",1,IF('Reverse Search'!$K$9="≥",IF(J391&gt;='Reverse Search'!$L$9,1,0),IF('Reverse Search'!$K$9="≤",IF(J391&lt;='Reverse Search'!$L$9,1,0),IF(J391='Reverse Search'!$L$9,1,0)))))</f>
        <v>1</v>
      </c>
      <c r="X391" s="0" t="n">
        <f aca="false">IF('Reverse Search'!$N$7="Disable",1,IF('Reverse Search'!$I$10="Disable",1,IF('Reverse Search'!$K$10="≥",IF(K391&gt;='Reverse Search'!$L$10,1,0),IF('Reverse Search'!$K$10="≤",IF(K391&lt;='Reverse Search'!$L$10,1,0),IF(K391='Reverse Search'!$L$10,1,0)))))</f>
        <v>1</v>
      </c>
      <c r="Y391" s="367" t="n">
        <f aca="false">IF('Reverse Search'!$N$7="Disable",1,IF('Reverse Search'!$I$11="Disable",1,IF('Reverse Search'!$K$11="≥",IF(L391&gt;='Reverse Search'!$L$11,1,0),IF('Reverse Search'!$K$11="≤",IF(L391&lt;='Reverse Search'!$L$11,1,0),IF(L391='Reverse Search'!$L$11,1,0)))))</f>
        <v>1</v>
      </c>
      <c r="Z391" s="0" t="n">
        <f aca="true">IF('Reverse Search'!$C$14="Disable",1,IF('Reverse Search'!$D$16="Disable",1,IF($C$2=3,IF($M391=0,0,COUNTIF(INDIRECT("'0.0.2 Pokémon Learnset (Core)'!$D$"&amp;MATCH($E391,'0.0.2 Pokémon Learnset (Core)'!$A$1:$A951,0)&amp;":$FK$"&amp;MATCH($E391,'0.0.2 Pokémon Learnset (Core)'!$A$1:$A951,0)),'Reverse Search'!$E$21)),IF($C$2=2,COUNTIF(INDIRECT("'0.1.1 Pokémon GO Moves'!$B$"&amp;MATCH($E391,'0.1.1 Pokémon GO Moves'!$A$1:$A951,0)&amp;":$R$"&amp;MATCH($E391,'0.1.1 Pokémon GO Moves'!$A$1:$A951,0)),'Reverse Search'!$E$21),COUNTIF(INDIRECT("'0.1.1 Pokémon GO Moves'!$B$"&amp;MATCH($E391,'0.1.1 Pokémon GO Moves'!$A$1:$A951,0)&amp;":$L$"&amp;MATCH($E391,'0.1.1 Pokémon GO Moves'!$A$1:$A951,0)),'Reverse Search'!$E$21)))))</f>
        <v>1</v>
      </c>
      <c r="AA391" s="0" t="n">
        <f aca="true">IF('Reverse Search'!$C$14="Disable",1,IF('Reverse Search'!$I$16="Disable",1,IF($D$2=3,IF($M391=0,0,COUNTIF(INDIRECT("'0.0.2 Pokémon Learnset (Core)'!$D$"&amp;MATCH($E391,'0.0.2 Pokémon Learnset (Core)'!$A$1:$A951,0)&amp;":$FK$"&amp;MATCH($E391,'0.0.2 Pokémon Learnset (Core)'!$A$1:$A951,0)),'Reverse Search'!$J$21)),IF($D$2=2,COUNTIF(INDIRECT("'0.1.1 Pokémon GO Moves'!$B$"&amp;MATCH($E391,'0.1.1 Pokémon GO Moves'!$A$1:$A951,0)&amp;":$R$"&amp;MATCH($E391,'0.1.1 Pokémon GO Moves'!$A$1:$A951,0)),'Reverse Search'!$J$21),COUNTIF(INDIRECT("'0.1.1 Pokémon GO Moves'!$B$"&amp;MATCH($E391,'0.1.1 Pokémon GO Moves'!$A$1:$A951,0)&amp;":$L$"&amp;MATCH($E391,'0.1.1 Pokémon GO Moves'!$A$1:$A951,0)),'Reverse Search'!$J$21)))))</f>
        <v>0</v>
      </c>
      <c r="AB391" s="490"/>
      <c r="AC391" s="260" t="n">
        <f aca="false">IF((Q391+R391+S391+V391+W391+X391+Y391+IF(Z391&gt;=1,1,0)+IF(AA391&gt;=1,1,0))=9,G391&amp;", ",)</f>
        <v>0</v>
      </c>
    </row>
    <row r="392" customFormat="false" ht="15.75" hidden="false" customHeight="false" outlineLevel="0" collapsed="false">
      <c r="A392" s="260"/>
      <c r="B392" s="358"/>
      <c r="C392" s="260"/>
      <c r="D392" s="358"/>
      <c r="E392" s="260" t="n">
        <v>391</v>
      </c>
      <c r="F392" s="260" t="n">
        <f aca="false" t="array" ref="F392:F392">INDEX('0.0.1 Pokémon Dex Data'!$H$3:$H951,MATCH(E392,'0.0.1 Pokémon Dex Data'!$B$3:$B951,0))</f>
        <v>0</v>
      </c>
      <c r="G392" s="0" t="str">
        <f aca="false" t="array" ref="G392:G392">INDEX('0.0.1 Pokémon Dex Data'!$E$3:$E951,MATCH(E392,'0.0.1 Pokémon Dex Data'!$B$3:$B951,0))</f>
        <v>Whiscash</v>
      </c>
      <c r="H392" s="0" t="str">
        <f aca="false" t="array" ref="H392:H392">INDEX('0.0.1 Pokémon Dex Data'!$Q$3:$Q951,MATCH(E392,'0.0.1 Pokémon Dex Data'!$B$3:$B951,0))</f>
        <v>Water</v>
      </c>
      <c r="I392" s="0" t="str">
        <f aca="false" t="array" ref="I392:I392">INDEX('0.0.1 Pokémon Dex Data'!$R$3:$R951,MATCH(E392,'0.0.1 Pokémon Dex Data'!$B$3:$B951,0))</f>
        <v>Ground</v>
      </c>
      <c r="J392" s="260" t="n">
        <f aca="false" t="array" ref="J392:J392">ROUND(INDEX('0.0.1 Pokémon Dex Data'!$S$3:$S951,MATCH($E392,'0.0.1 Pokémon Dex Data'!$B$3:$B951,0))*INDEX('0.0.1 Pokémon Dex Data'!T$3:T951,MATCH($E392,'0.0.1 Pokémon Dex Data'!$B$3:$B951,0)),0)</f>
        <v>151</v>
      </c>
      <c r="K392" s="260" t="n">
        <f aca="false" t="array" ref="K392:K392">ROUND(INDEX('0.0.1 Pokémon Dex Data'!$S$3:$S951,MATCH($E392,'0.0.1 Pokémon Dex Data'!$B$3:$B951,0))*INDEX('0.0.1 Pokémon Dex Data'!U$3:U951,MATCH($E392,'0.0.1 Pokémon Dex Data'!$B$3:$B951,0)),0)</f>
        <v>141</v>
      </c>
      <c r="L392" s="260" t="n">
        <f aca="false" t="array" ref="L392:L392">ROUND(INDEX('0.0.1 Pokémon Dex Data'!$S$3:$S951,MATCH($E392,'0.0.1 Pokémon Dex Data'!$B$3:$B951,0))*INDEX('0.0.1 Pokémon Dex Data'!V$3:V951,MATCH($E392,'0.0.1 Pokémon Dex Data'!$B$3:$B951,0)),0)</f>
        <v>242</v>
      </c>
      <c r="M392" s="260" t="n">
        <f aca="false" t="array" ref="M392:M392">INDEX('0.0.1 Pokémon Dex Data'!$J$3:$J951,MATCH(E392,'0.0.1 Pokémon Dex Data'!$B$3:$B951,0))</f>
        <v>1</v>
      </c>
      <c r="O392" s="490"/>
      <c r="Q392" s="367" t="n">
        <f aca="false">IF('Reverse Search'!$F$4="All (including temporary formes)",1,IF('Reverse Search'!$F$4="Base Pokémon and permanent formes only",IF(F392&lt;=1,1,0),IF(F392=0,1,0)))</f>
        <v>1</v>
      </c>
      <c r="R392" s="0" t="n">
        <f aca="false">IF('Reverse Search'!$C$7="Disable",1,IF('Reverse Search'!$D$9="Disable",1,IF(OR('Reverse Search'!$F$9=H392,'Reverse Search'!$F$9=I392),1,0)))</f>
        <v>1</v>
      </c>
      <c r="S392" s="0" t="n">
        <f aca="false">IF('Reverse Search'!$C$7="Disable",1,IF('Reverse Search'!$D$10="Disable",1,IF(OR('Reverse Search'!$F$10=H392,'Reverse Search'!$F$10=I392),1,0)))</f>
        <v>1</v>
      </c>
      <c r="T392" s="0" t="n">
        <f aca="false">INDEX($B$4:$B$22,MATCH(H392,$A$4:$A$22,0))</f>
        <v>1</v>
      </c>
      <c r="U392" s="0" t="n">
        <f aca="false">IF(ISBLANK(I392),1,INDEX($B$4:$B$22,MATCH(I392,$A$4:$A$22,0)))</f>
        <v>1</v>
      </c>
      <c r="V392" s="367" t="n">
        <f aca="false">IF('Reverse Search'!$C$7="Disable",1,IF('Reverse Search'!$D$11="Disable",1,IF('Reverse Search'!$E$11="Neutral to:",IF(ROUND(T392*U392,2)&lt;=1,1,0),IF(ROUND(T392*U392,2)&lt;1,1,0))))</f>
        <v>1</v>
      </c>
      <c r="W392" s="0" t="n">
        <f aca="false">IF('Reverse Search'!$N$7="Disable",1,IF('Reverse Search'!$I$9="Disable",1,IF('Reverse Search'!$K$9="≥",IF(J392&gt;='Reverse Search'!$L$9,1,0),IF('Reverse Search'!$K$9="≤",IF(J392&lt;='Reverse Search'!$L$9,1,0),IF(J392='Reverse Search'!$L$9,1,0)))))</f>
        <v>1</v>
      </c>
      <c r="X392" s="0" t="n">
        <f aca="false">IF('Reverse Search'!$N$7="Disable",1,IF('Reverse Search'!$I$10="Disable",1,IF('Reverse Search'!$K$10="≥",IF(K392&gt;='Reverse Search'!$L$10,1,0),IF('Reverse Search'!$K$10="≤",IF(K392&lt;='Reverse Search'!$L$10,1,0),IF(K392='Reverse Search'!$L$10,1,0)))))</f>
        <v>1</v>
      </c>
      <c r="Y392" s="367" t="n">
        <f aca="false">IF('Reverse Search'!$N$7="Disable",1,IF('Reverse Search'!$I$11="Disable",1,IF('Reverse Search'!$K$11="≥",IF(L392&gt;='Reverse Search'!$L$11,1,0),IF('Reverse Search'!$K$11="≤",IF(L392&lt;='Reverse Search'!$L$11,1,0),IF(L392='Reverse Search'!$L$11,1,0)))))</f>
        <v>1</v>
      </c>
      <c r="Z392" s="0" t="n">
        <f aca="true">IF('Reverse Search'!$C$14="Disable",1,IF('Reverse Search'!$D$16="Disable",1,IF($C$2=3,IF($M392=0,0,COUNTIF(INDIRECT("'0.0.2 Pokémon Learnset (Core)'!$D$"&amp;MATCH($E392,'0.0.2 Pokémon Learnset (Core)'!$A$1:$A951,0)&amp;":$FK$"&amp;MATCH($E392,'0.0.2 Pokémon Learnset (Core)'!$A$1:$A951,0)),'Reverse Search'!$E$21)),IF($C$2=2,COUNTIF(INDIRECT("'0.1.1 Pokémon GO Moves'!$B$"&amp;MATCH($E392,'0.1.1 Pokémon GO Moves'!$A$1:$A951,0)&amp;":$R$"&amp;MATCH($E392,'0.1.1 Pokémon GO Moves'!$A$1:$A951,0)),'Reverse Search'!$E$21),COUNTIF(INDIRECT("'0.1.1 Pokémon GO Moves'!$B$"&amp;MATCH($E392,'0.1.1 Pokémon GO Moves'!$A$1:$A951,0)&amp;":$L$"&amp;MATCH($E392,'0.1.1 Pokémon GO Moves'!$A$1:$A951,0)),'Reverse Search'!$E$21)))))</f>
        <v>1</v>
      </c>
      <c r="AA392" s="0" t="n">
        <f aca="true">IF('Reverse Search'!$C$14="Disable",1,IF('Reverse Search'!$I$16="Disable",1,IF($D$2=3,IF($M392=0,0,COUNTIF(INDIRECT("'0.0.2 Pokémon Learnset (Core)'!$D$"&amp;MATCH($E392,'0.0.2 Pokémon Learnset (Core)'!$A$1:$A951,0)&amp;":$FK$"&amp;MATCH($E392,'0.0.2 Pokémon Learnset (Core)'!$A$1:$A951,0)),'Reverse Search'!$J$21)),IF($D$2=2,COUNTIF(INDIRECT("'0.1.1 Pokémon GO Moves'!$B$"&amp;MATCH($E392,'0.1.1 Pokémon GO Moves'!$A$1:$A951,0)&amp;":$R$"&amp;MATCH($E392,'0.1.1 Pokémon GO Moves'!$A$1:$A951,0)),'Reverse Search'!$J$21),COUNTIF(INDIRECT("'0.1.1 Pokémon GO Moves'!$B$"&amp;MATCH($E392,'0.1.1 Pokémon GO Moves'!$A$1:$A951,0)&amp;":$L$"&amp;MATCH($E392,'0.1.1 Pokémon GO Moves'!$A$1:$A951,0)),'Reverse Search'!$J$21)))))</f>
        <v>0</v>
      </c>
      <c r="AB392" s="490"/>
      <c r="AC392" s="260" t="n">
        <f aca="false">IF((Q392+R392+S392+V392+W392+X392+Y392+IF(Z392&gt;=1,1,0)+IF(AA392&gt;=1,1,0))=9,G392&amp;", ",)</f>
        <v>0</v>
      </c>
    </row>
    <row r="393" customFormat="false" ht="15.75" hidden="false" customHeight="false" outlineLevel="0" collapsed="false">
      <c r="A393" s="260"/>
      <c r="B393" s="358"/>
      <c r="C393" s="260"/>
      <c r="D393" s="358"/>
      <c r="E393" s="260" t="n">
        <v>392</v>
      </c>
      <c r="F393" s="260" t="n">
        <f aca="false" t="array" ref="F393:F393">INDEX('0.0.1 Pokémon Dex Data'!$H$3:$H951,MATCH(E393,'0.0.1 Pokémon Dex Data'!$B$3:$B951,0))</f>
        <v>0</v>
      </c>
      <c r="G393" s="0" t="str">
        <f aca="false" t="array" ref="G393:G393">INDEX('0.0.1 Pokémon Dex Data'!$E$3:$E951,MATCH(E393,'0.0.1 Pokémon Dex Data'!$B$3:$B951,0))</f>
        <v>Corphish</v>
      </c>
      <c r="H393" s="0" t="str">
        <f aca="false" t="array" ref="H393:H393">INDEX('0.0.1 Pokémon Dex Data'!$Q$3:$Q951,MATCH(E393,'0.0.1 Pokémon Dex Data'!$B$3:$B951,0))</f>
        <v>Water</v>
      </c>
      <c r="I393" s="0" t="n">
        <f aca="false">INDEX('0.0.1 Pokémon Dex Data'!$R$3:$R951,MATCH(E393,'0.0.1 Pokémon Dex Data'!$B$3:$B951,0))</f>
        <v>0</v>
      </c>
      <c r="J393" s="260" t="n">
        <f aca="false" t="array" ref="J393:J393">ROUND(INDEX('0.0.1 Pokémon Dex Data'!$S$3:$S951,MATCH($E393,'0.0.1 Pokémon Dex Data'!$B$3:$B951,0))*INDEX('0.0.1 Pokémon Dex Data'!T$3:T951,MATCH($E393,'0.0.1 Pokémon Dex Data'!$B$3:$B951,0)),0)</f>
        <v>141</v>
      </c>
      <c r="K393" s="260" t="n">
        <f aca="false" t="array" ref="K393:K393">ROUND(INDEX('0.0.1 Pokémon Dex Data'!$S$3:$S951,MATCH($E393,'0.0.1 Pokémon Dex Data'!$B$3:$B951,0))*INDEX('0.0.1 Pokémon Dex Data'!U$3:U951,MATCH($E393,'0.0.1 Pokémon Dex Data'!$B$3:$B951,0)),0)</f>
        <v>99</v>
      </c>
      <c r="L393" s="260" t="n">
        <f aca="false" t="array" ref="L393:L393">ROUND(INDEX('0.0.1 Pokémon Dex Data'!$S$3:$S951,MATCH($E393,'0.0.1 Pokémon Dex Data'!$B$3:$B951,0))*INDEX('0.0.1 Pokémon Dex Data'!V$3:V951,MATCH($E393,'0.0.1 Pokémon Dex Data'!$B$3:$B951,0)),0)</f>
        <v>125</v>
      </c>
      <c r="M393" s="260" t="n">
        <f aca="false" t="array" ref="M393:M393">INDEX('0.0.1 Pokémon Dex Data'!$J$3:$J951,MATCH(E393,'0.0.1 Pokémon Dex Data'!$B$3:$B951,0))</f>
        <v>0</v>
      </c>
      <c r="O393" s="490"/>
      <c r="Q393" s="367" t="n">
        <f aca="false">IF('Reverse Search'!$F$4="All (including temporary formes)",1,IF('Reverse Search'!$F$4="Base Pokémon and permanent formes only",IF(F393&lt;=1,1,0),IF(F393=0,1,0)))</f>
        <v>1</v>
      </c>
      <c r="R393" s="0" t="n">
        <f aca="false">IF('Reverse Search'!$C$7="Disable",1,IF('Reverse Search'!$D$9="Disable",1,IF(OR('Reverse Search'!$F$9=H393,'Reverse Search'!$F$9=I393),1,0)))</f>
        <v>1</v>
      </c>
      <c r="S393" s="0" t="n">
        <f aca="false">IF('Reverse Search'!$C$7="Disable",1,IF('Reverse Search'!$D$10="Disable",1,IF(OR('Reverse Search'!$F$10=H393,'Reverse Search'!$F$10=I393),1,0)))</f>
        <v>1</v>
      </c>
      <c r="T393" s="0" t="n">
        <f aca="false">INDEX($B$4:$B$22,MATCH(H393,$A$4:$A$22,0))</f>
        <v>1</v>
      </c>
      <c r="U393" s="0" t="e">
        <f aca="false">IF(ISBLANK(I393),1,INDEX($B$4:$B$22,MATCH(I393,$A$4:$A$22,0)))</f>
        <v>#N/A</v>
      </c>
      <c r="V393" s="367" t="n">
        <f aca="false">IF('Reverse Search'!$C$7="Disable",1,IF('Reverse Search'!$D$11="Disable",1,IF('Reverse Search'!$E$11="Neutral to:",IF(ROUND(T393*U393,2)&lt;=1,1,0),IF(ROUND(T393*U393,2)&lt;1,1,0))))</f>
        <v>1</v>
      </c>
      <c r="W393" s="0" t="n">
        <f aca="false">IF('Reverse Search'!$N$7="Disable",1,IF('Reverse Search'!$I$9="Disable",1,IF('Reverse Search'!$K$9="≥",IF(J393&gt;='Reverse Search'!$L$9,1,0),IF('Reverse Search'!$K$9="≤",IF(J393&lt;='Reverse Search'!$L$9,1,0),IF(J393='Reverse Search'!$L$9,1,0)))))</f>
        <v>1</v>
      </c>
      <c r="X393" s="0" t="n">
        <f aca="false">IF('Reverse Search'!$N$7="Disable",1,IF('Reverse Search'!$I$10="Disable",1,IF('Reverse Search'!$K$10="≥",IF(K393&gt;='Reverse Search'!$L$10,1,0),IF('Reverse Search'!$K$10="≤",IF(K393&lt;='Reverse Search'!$L$10,1,0),IF(K393='Reverse Search'!$L$10,1,0)))))</f>
        <v>1</v>
      </c>
      <c r="Y393" s="367" t="n">
        <f aca="false">IF('Reverse Search'!$N$7="Disable",1,IF('Reverse Search'!$I$11="Disable",1,IF('Reverse Search'!$K$11="≥",IF(L393&gt;='Reverse Search'!$L$11,1,0),IF('Reverse Search'!$K$11="≤",IF(L393&lt;='Reverse Search'!$L$11,1,0),IF(L393='Reverse Search'!$L$11,1,0)))))</f>
        <v>1</v>
      </c>
      <c r="Z393" s="0" t="n">
        <f aca="true">IF('Reverse Search'!$C$14="Disable",1,IF('Reverse Search'!$D$16="Disable",1,IF($C$2=3,IF($M393=0,0,COUNTIF(INDIRECT("'0.0.2 Pokémon Learnset (Core)'!$D$"&amp;MATCH($E393,'0.0.2 Pokémon Learnset (Core)'!$A$1:$A951,0)&amp;":$FK$"&amp;MATCH($E393,'0.0.2 Pokémon Learnset (Core)'!$A$1:$A951,0)),'Reverse Search'!$E$21)),IF($C$2=2,COUNTIF(INDIRECT("'0.1.1 Pokémon GO Moves'!$B$"&amp;MATCH($E393,'0.1.1 Pokémon GO Moves'!$A$1:$A951,0)&amp;":$R$"&amp;MATCH($E393,'0.1.1 Pokémon GO Moves'!$A$1:$A951,0)),'Reverse Search'!$E$21),COUNTIF(INDIRECT("'0.1.1 Pokémon GO Moves'!$B$"&amp;MATCH($E393,'0.1.1 Pokémon GO Moves'!$A$1:$A951,0)&amp;":$L$"&amp;MATCH($E393,'0.1.1 Pokémon GO Moves'!$A$1:$A951,0)),'Reverse Search'!$E$21)))))</f>
        <v>1</v>
      </c>
      <c r="AA393" s="0" t="n">
        <f aca="true">IF('Reverse Search'!$C$14="Disable",1,IF('Reverse Search'!$I$16="Disable",1,IF($D$2=3,IF($M393=0,0,COUNTIF(INDIRECT("'0.0.2 Pokémon Learnset (Core)'!$D$"&amp;MATCH($E393,'0.0.2 Pokémon Learnset (Core)'!$A$1:$A951,0)&amp;":$FK$"&amp;MATCH($E393,'0.0.2 Pokémon Learnset (Core)'!$A$1:$A951,0)),'Reverse Search'!$J$21)),IF($D$2=2,COUNTIF(INDIRECT("'0.1.1 Pokémon GO Moves'!$B$"&amp;MATCH($E393,'0.1.1 Pokémon GO Moves'!$A$1:$A951,0)&amp;":$R$"&amp;MATCH($E393,'0.1.1 Pokémon GO Moves'!$A$1:$A951,0)),'Reverse Search'!$J$21),COUNTIF(INDIRECT("'0.1.1 Pokémon GO Moves'!$B$"&amp;MATCH($E393,'0.1.1 Pokémon GO Moves'!$A$1:$A951,0)&amp;":$L$"&amp;MATCH($E393,'0.1.1 Pokémon GO Moves'!$A$1:$A951,0)),'Reverse Search'!$J$21)))))</f>
        <v>0</v>
      </c>
      <c r="AB393" s="490"/>
      <c r="AC393" s="260" t="n">
        <f aca="false">IF((Q393+R393+S393+V393+W393+X393+Y393+IF(Z393&gt;=1,1,0)+IF(AA393&gt;=1,1,0))=9,G393&amp;", ",)</f>
        <v>0</v>
      </c>
    </row>
    <row r="394" customFormat="false" ht="15.75" hidden="false" customHeight="false" outlineLevel="0" collapsed="false">
      <c r="A394" s="260"/>
      <c r="B394" s="358"/>
      <c r="C394" s="260"/>
      <c r="D394" s="358"/>
      <c r="E394" s="260" t="n">
        <v>393</v>
      </c>
      <c r="F394" s="260" t="n">
        <f aca="false" t="array" ref="F394:F394">INDEX('0.0.1 Pokémon Dex Data'!$H$3:$H951,MATCH(E394,'0.0.1 Pokémon Dex Data'!$B$3:$B951,0))</f>
        <v>0</v>
      </c>
      <c r="G394" s="0" t="str">
        <f aca="false" t="array" ref="G394:G394">INDEX('0.0.1 Pokémon Dex Data'!$E$3:$E951,MATCH(E394,'0.0.1 Pokémon Dex Data'!$B$3:$B951,0))</f>
        <v>Crawdaunt</v>
      </c>
      <c r="H394" s="0" t="str">
        <f aca="false" t="array" ref="H394:H394">INDEX('0.0.1 Pokémon Dex Data'!$Q$3:$Q951,MATCH(E394,'0.0.1 Pokémon Dex Data'!$B$3:$B951,0))</f>
        <v>Water</v>
      </c>
      <c r="I394" s="0" t="str">
        <f aca="false" t="array" ref="I394:I394">INDEX('0.0.1 Pokémon Dex Data'!$R$3:$R951,MATCH(E394,'0.0.1 Pokémon Dex Data'!$B$3:$B951,0))</f>
        <v>Dark</v>
      </c>
      <c r="J394" s="260" t="n">
        <f aca="false" t="array" ref="J394:J394">ROUND(INDEX('0.0.1 Pokémon Dex Data'!$S$3:$S951,MATCH($E394,'0.0.1 Pokémon Dex Data'!$B$3:$B951,0))*INDEX('0.0.1 Pokémon Dex Data'!T$3:T951,MATCH($E394,'0.0.1 Pokémon Dex Data'!$B$3:$B951,0)),0)</f>
        <v>224</v>
      </c>
      <c r="K394" s="260" t="n">
        <f aca="false" t="array" ref="K394:K394">ROUND(INDEX('0.0.1 Pokémon Dex Data'!$S$3:$S951,MATCH($E394,'0.0.1 Pokémon Dex Data'!$B$3:$B951,0))*INDEX('0.0.1 Pokémon Dex Data'!U$3:U951,MATCH($E394,'0.0.1 Pokémon Dex Data'!$B$3:$B951,0)),0)</f>
        <v>142</v>
      </c>
      <c r="L394" s="260" t="n">
        <f aca="false" t="array" ref="L394:L394">ROUND(INDEX('0.0.1 Pokémon Dex Data'!$S$3:$S951,MATCH($E394,'0.0.1 Pokémon Dex Data'!$B$3:$B951,0))*INDEX('0.0.1 Pokémon Dex Data'!V$3:V951,MATCH($E394,'0.0.1 Pokémon Dex Data'!$B$3:$B951,0)),0)</f>
        <v>160</v>
      </c>
      <c r="M394" s="260" t="n">
        <f aca="false" t="array" ref="M394:M394">INDEX('0.0.1 Pokémon Dex Data'!$J$3:$J951,MATCH(E394,'0.0.1 Pokémon Dex Data'!$B$3:$B951,0))</f>
        <v>1</v>
      </c>
      <c r="O394" s="490"/>
      <c r="Q394" s="367" t="n">
        <f aca="false">IF('Reverse Search'!$F$4="All (including temporary formes)",1,IF('Reverse Search'!$F$4="Base Pokémon and permanent formes only",IF(F394&lt;=1,1,0),IF(F394=0,1,0)))</f>
        <v>1</v>
      </c>
      <c r="R394" s="0" t="n">
        <f aca="false">IF('Reverse Search'!$C$7="Disable",1,IF('Reverse Search'!$D$9="Disable",1,IF(OR('Reverse Search'!$F$9=H394,'Reverse Search'!$F$9=I394),1,0)))</f>
        <v>1</v>
      </c>
      <c r="S394" s="0" t="n">
        <f aca="false">IF('Reverse Search'!$C$7="Disable",1,IF('Reverse Search'!$D$10="Disable",1,IF(OR('Reverse Search'!$F$10=H394,'Reverse Search'!$F$10=I394),1,0)))</f>
        <v>1</v>
      </c>
      <c r="T394" s="0" t="n">
        <f aca="false">INDEX($B$4:$B$22,MATCH(H394,$A$4:$A$22,0))</f>
        <v>1</v>
      </c>
      <c r="U394" s="0" t="n">
        <f aca="false">IF(ISBLANK(I394),1,INDEX($B$4:$B$22,MATCH(I394,$A$4:$A$22,0)))</f>
        <v>1</v>
      </c>
      <c r="V394" s="367" t="n">
        <f aca="false">IF('Reverse Search'!$C$7="Disable",1,IF('Reverse Search'!$D$11="Disable",1,IF('Reverse Search'!$E$11="Neutral to:",IF(ROUND(T394*U394,2)&lt;=1,1,0),IF(ROUND(T394*U394,2)&lt;1,1,0))))</f>
        <v>1</v>
      </c>
      <c r="W394" s="0" t="n">
        <f aca="false">IF('Reverse Search'!$N$7="Disable",1,IF('Reverse Search'!$I$9="Disable",1,IF('Reverse Search'!$K$9="≥",IF(J394&gt;='Reverse Search'!$L$9,1,0),IF('Reverse Search'!$K$9="≤",IF(J394&lt;='Reverse Search'!$L$9,1,0),IF(J394='Reverse Search'!$L$9,1,0)))))</f>
        <v>1</v>
      </c>
      <c r="X394" s="0" t="n">
        <f aca="false">IF('Reverse Search'!$N$7="Disable",1,IF('Reverse Search'!$I$10="Disable",1,IF('Reverse Search'!$K$10="≥",IF(K394&gt;='Reverse Search'!$L$10,1,0),IF('Reverse Search'!$K$10="≤",IF(K394&lt;='Reverse Search'!$L$10,1,0),IF(K394='Reverse Search'!$L$10,1,0)))))</f>
        <v>1</v>
      </c>
      <c r="Y394" s="367" t="n">
        <f aca="false">IF('Reverse Search'!$N$7="Disable",1,IF('Reverse Search'!$I$11="Disable",1,IF('Reverse Search'!$K$11="≥",IF(L394&gt;='Reverse Search'!$L$11,1,0),IF('Reverse Search'!$K$11="≤",IF(L394&lt;='Reverse Search'!$L$11,1,0),IF(L394='Reverse Search'!$L$11,1,0)))))</f>
        <v>1</v>
      </c>
      <c r="Z394" s="0" t="n">
        <f aca="true">IF('Reverse Search'!$C$14="Disable",1,IF('Reverse Search'!$D$16="Disable",1,IF($C$2=3,IF($M394=0,0,COUNTIF(INDIRECT("'0.0.2 Pokémon Learnset (Core)'!$D$"&amp;MATCH($E394,'0.0.2 Pokémon Learnset (Core)'!$A$1:$A951,0)&amp;":$FK$"&amp;MATCH($E394,'0.0.2 Pokémon Learnset (Core)'!$A$1:$A951,0)),'Reverse Search'!$E$21)),IF($C$2=2,COUNTIF(INDIRECT("'0.1.1 Pokémon GO Moves'!$B$"&amp;MATCH($E394,'0.1.1 Pokémon GO Moves'!$A$1:$A951,0)&amp;":$R$"&amp;MATCH($E394,'0.1.1 Pokémon GO Moves'!$A$1:$A951,0)),'Reverse Search'!$E$21),COUNTIF(INDIRECT("'0.1.1 Pokémon GO Moves'!$B$"&amp;MATCH($E394,'0.1.1 Pokémon GO Moves'!$A$1:$A951,0)&amp;":$L$"&amp;MATCH($E394,'0.1.1 Pokémon GO Moves'!$A$1:$A951,0)),'Reverse Search'!$E$21)))))</f>
        <v>1</v>
      </c>
      <c r="AA394" s="0" t="n">
        <f aca="true">IF('Reverse Search'!$C$14="Disable",1,IF('Reverse Search'!$I$16="Disable",1,IF($D$2=3,IF($M394=0,0,COUNTIF(INDIRECT("'0.0.2 Pokémon Learnset (Core)'!$D$"&amp;MATCH($E394,'0.0.2 Pokémon Learnset (Core)'!$A$1:$A951,0)&amp;":$FK$"&amp;MATCH($E394,'0.0.2 Pokémon Learnset (Core)'!$A$1:$A951,0)),'Reverse Search'!$J$21)),IF($D$2=2,COUNTIF(INDIRECT("'0.1.1 Pokémon GO Moves'!$B$"&amp;MATCH($E394,'0.1.1 Pokémon GO Moves'!$A$1:$A951,0)&amp;":$R$"&amp;MATCH($E394,'0.1.1 Pokémon GO Moves'!$A$1:$A951,0)),'Reverse Search'!$J$21),COUNTIF(INDIRECT("'0.1.1 Pokémon GO Moves'!$B$"&amp;MATCH($E394,'0.1.1 Pokémon GO Moves'!$A$1:$A951,0)&amp;":$L$"&amp;MATCH($E394,'0.1.1 Pokémon GO Moves'!$A$1:$A951,0)),'Reverse Search'!$J$21)))))</f>
        <v>0</v>
      </c>
      <c r="AB394" s="490"/>
      <c r="AC394" s="260" t="n">
        <f aca="false">IF((Q394+R394+S394+V394+W394+X394+Y394+IF(Z394&gt;=1,1,0)+IF(AA394&gt;=1,1,0))=9,G394&amp;", ",)</f>
        <v>0</v>
      </c>
    </row>
    <row r="395" customFormat="false" ht="15.75" hidden="false" customHeight="false" outlineLevel="0" collapsed="false">
      <c r="A395" s="260"/>
      <c r="B395" s="358"/>
      <c r="C395" s="260"/>
      <c r="D395" s="358"/>
      <c r="E395" s="260" t="n">
        <v>394</v>
      </c>
      <c r="F395" s="260" t="n">
        <f aca="false" t="array" ref="F395:F395">INDEX('0.0.1 Pokémon Dex Data'!$H$3:$H951,MATCH(E395,'0.0.1 Pokémon Dex Data'!$B$3:$B951,0))</f>
        <v>0</v>
      </c>
      <c r="G395" s="0" t="str">
        <f aca="false" t="array" ref="G395:G395">INDEX('0.0.1 Pokémon Dex Data'!$E$3:$E951,MATCH(E395,'0.0.1 Pokémon Dex Data'!$B$3:$B951,0))</f>
        <v>Baltoy</v>
      </c>
      <c r="H395" s="0" t="str">
        <f aca="false" t="array" ref="H395:H395">INDEX('0.0.1 Pokémon Dex Data'!$Q$3:$Q951,MATCH(E395,'0.0.1 Pokémon Dex Data'!$B$3:$B951,0))</f>
        <v>Ground</v>
      </c>
      <c r="I395" s="0" t="str">
        <f aca="false" t="array" ref="I395:I395">INDEX('0.0.1 Pokémon Dex Data'!$R$3:$R951,MATCH(E395,'0.0.1 Pokémon Dex Data'!$B$3:$B951,0))</f>
        <v>Psychic</v>
      </c>
      <c r="J395" s="260" t="n">
        <f aca="false" t="array" ref="J395:J395">ROUND(INDEX('0.0.1 Pokémon Dex Data'!$S$3:$S951,MATCH($E395,'0.0.1 Pokémon Dex Data'!$B$3:$B951,0))*INDEX('0.0.1 Pokémon Dex Data'!T$3:T951,MATCH($E395,'0.0.1 Pokémon Dex Data'!$B$3:$B951,0)),0)</f>
        <v>77</v>
      </c>
      <c r="K395" s="260" t="n">
        <f aca="false" t="array" ref="K395:K395">ROUND(INDEX('0.0.1 Pokémon Dex Data'!$S$3:$S951,MATCH($E395,'0.0.1 Pokémon Dex Data'!$B$3:$B951,0))*INDEX('0.0.1 Pokémon Dex Data'!U$3:U951,MATCH($E395,'0.0.1 Pokémon Dex Data'!$B$3:$B951,0)),0)</f>
        <v>124</v>
      </c>
      <c r="L395" s="260" t="n">
        <f aca="false" t="array" ref="L395:L395">ROUND(INDEX('0.0.1 Pokémon Dex Data'!$S$3:$S951,MATCH($E395,'0.0.1 Pokémon Dex Data'!$B$3:$B951,0))*INDEX('0.0.1 Pokémon Dex Data'!V$3:V951,MATCH($E395,'0.0.1 Pokémon Dex Data'!$B$3:$B951,0)),0)</f>
        <v>120</v>
      </c>
      <c r="M395" s="260" t="n">
        <f aca="false" t="array" ref="M395:M395">INDEX('0.0.1 Pokémon Dex Data'!$J$3:$J951,MATCH(E395,'0.0.1 Pokémon Dex Data'!$B$3:$B951,0))</f>
        <v>0</v>
      </c>
      <c r="O395" s="490"/>
      <c r="Q395" s="367" t="n">
        <f aca="false">IF('Reverse Search'!$F$4="All (including temporary formes)",1,IF('Reverse Search'!$F$4="Base Pokémon and permanent formes only",IF(F395&lt;=1,1,0),IF(F395=0,1,0)))</f>
        <v>1</v>
      </c>
      <c r="R395" s="0" t="n">
        <f aca="false">IF('Reverse Search'!$C$7="Disable",1,IF('Reverse Search'!$D$9="Disable",1,IF(OR('Reverse Search'!$F$9=H395,'Reverse Search'!$F$9=I395),1,0)))</f>
        <v>1</v>
      </c>
      <c r="S395" s="0" t="n">
        <f aca="false">IF('Reverse Search'!$C$7="Disable",1,IF('Reverse Search'!$D$10="Disable",1,IF(OR('Reverse Search'!$F$10=H395,'Reverse Search'!$F$10=I395),1,0)))</f>
        <v>1</v>
      </c>
      <c r="T395" s="0" t="n">
        <f aca="false">INDEX($B$4:$B$22,MATCH(H395,$A$4:$A$22,0))</f>
        <v>1</v>
      </c>
      <c r="U395" s="0" t="n">
        <f aca="false">IF(ISBLANK(I395),1,INDEX($B$4:$B$22,MATCH(I395,$A$4:$A$22,0)))</f>
        <v>1</v>
      </c>
      <c r="V395" s="367" t="n">
        <f aca="false">IF('Reverse Search'!$C$7="Disable",1,IF('Reverse Search'!$D$11="Disable",1,IF('Reverse Search'!$E$11="Neutral to:",IF(ROUND(T395*U395,2)&lt;=1,1,0),IF(ROUND(T395*U395,2)&lt;1,1,0))))</f>
        <v>1</v>
      </c>
      <c r="W395" s="0" t="n">
        <f aca="false">IF('Reverse Search'!$N$7="Disable",1,IF('Reverse Search'!$I$9="Disable",1,IF('Reverse Search'!$K$9="≥",IF(J395&gt;='Reverse Search'!$L$9,1,0),IF('Reverse Search'!$K$9="≤",IF(J395&lt;='Reverse Search'!$L$9,1,0),IF(J395='Reverse Search'!$L$9,1,0)))))</f>
        <v>1</v>
      </c>
      <c r="X395" s="0" t="n">
        <f aca="false">IF('Reverse Search'!$N$7="Disable",1,IF('Reverse Search'!$I$10="Disable",1,IF('Reverse Search'!$K$10="≥",IF(K395&gt;='Reverse Search'!$L$10,1,0),IF('Reverse Search'!$K$10="≤",IF(K395&lt;='Reverse Search'!$L$10,1,0),IF(K395='Reverse Search'!$L$10,1,0)))))</f>
        <v>1</v>
      </c>
      <c r="Y395" s="367" t="n">
        <f aca="false">IF('Reverse Search'!$N$7="Disable",1,IF('Reverse Search'!$I$11="Disable",1,IF('Reverse Search'!$K$11="≥",IF(L395&gt;='Reverse Search'!$L$11,1,0),IF('Reverse Search'!$K$11="≤",IF(L395&lt;='Reverse Search'!$L$11,1,0),IF(L395='Reverse Search'!$L$11,1,0)))))</f>
        <v>1</v>
      </c>
      <c r="Z395" s="0" t="n">
        <f aca="true">IF('Reverse Search'!$C$14="Disable",1,IF('Reverse Search'!$D$16="Disable",1,IF($C$2=3,IF($M395=0,0,COUNTIF(INDIRECT("'0.0.2 Pokémon Learnset (Core)'!$D$"&amp;MATCH($E395,'0.0.2 Pokémon Learnset (Core)'!$A$1:$A951,0)&amp;":$FK$"&amp;MATCH($E395,'0.0.2 Pokémon Learnset (Core)'!$A$1:$A951,0)),'Reverse Search'!$E$21)),IF($C$2=2,COUNTIF(INDIRECT("'0.1.1 Pokémon GO Moves'!$B$"&amp;MATCH($E395,'0.1.1 Pokémon GO Moves'!$A$1:$A951,0)&amp;":$R$"&amp;MATCH($E395,'0.1.1 Pokémon GO Moves'!$A$1:$A951,0)),'Reverse Search'!$E$21),COUNTIF(INDIRECT("'0.1.1 Pokémon GO Moves'!$B$"&amp;MATCH($E395,'0.1.1 Pokémon GO Moves'!$A$1:$A951,0)&amp;":$L$"&amp;MATCH($E395,'0.1.1 Pokémon GO Moves'!$A$1:$A951,0)),'Reverse Search'!$E$21)))))</f>
        <v>1</v>
      </c>
      <c r="AA395" s="0" t="n">
        <f aca="true">IF('Reverse Search'!$C$14="Disable",1,IF('Reverse Search'!$I$16="Disable",1,IF($D$2=3,IF($M395=0,0,COUNTIF(INDIRECT("'0.0.2 Pokémon Learnset (Core)'!$D$"&amp;MATCH($E395,'0.0.2 Pokémon Learnset (Core)'!$A$1:$A951,0)&amp;":$FK$"&amp;MATCH($E395,'0.0.2 Pokémon Learnset (Core)'!$A$1:$A951,0)),'Reverse Search'!$J$21)),IF($D$2=2,COUNTIF(INDIRECT("'0.1.1 Pokémon GO Moves'!$B$"&amp;MATCH($E395,'0.1.1 Pokémon GO Moves'!$A$1:$A951,0)&amp;":$R$"&amp;MATCH($E395,'0.1.1 Pokémon GO Moves'!$A$1:$A951,0)),'Reverse Search'!$J$21),COUNTIF(INDIRECT("'0.1.1 Pokémon GO Moves'!$B$"&amp;MATCH($E395,'0.1.1 Pokémon GO Moves'!$A$1:$A951,0)&amp;":$L$"&amp;MATCH($E395,'0.1.1 Pokémon GO Moves'!$A$1:$A951,0)),'Reverse Search'!$J$21)))))</f>
        <v>0</v>
      </c>
      <c r="AB395" s="490"/>
      <c r="AC395" s="260" t="n">
        <f aca="false">IF((Q395+R395+S395+V395+W395+X395+Y395+IF(Z395&gt;=1,1,0)+IF(AA395&gt;=1,1,0))=9,G395&amp;", ",)</f>
        <v>0</v>
      </c>
    </row>
    <row r="396" customFormat="false" ht="15.75" hidden="false" customHeight="false" outlineLevel="0" collapsed="false">
      <c r="A396" s="260"/>
      <c r="B396" s="358"/>
      <c r="C396" s="260"/>
      <c r="D396" s="358"/>
      <c r="E396" s="260" t="n">
        <v>395</v>
      </c>
      <c r="F396" s="260" t="n">
        <f aca="false" t="array" ref="F396:F396">INDEX('0.0.1 Pokémon Dex Data'!$H$3:$H951,MATCH(E396,'0.0.1 Pokémon Dex Data'!$B$3:$B951,0))</f>
        <v>0</v>
      </c>
      <c r="G396" s="0" t="str">
        <f aca="false" t="array" ref="G396:G396">INDEX('0.0.1 Pokémon Dex Data'!$E$3:$E951,MATCH(E396,'0.0.1 Pokémon Dex Data'!$B$3:$B951,0))</f>
        <v>Claydol</v>
      </c>
      <c r="H396" s="0" t="str">
        <f aca="false" t="array" ref="H396:H396">INDEX('0.0.1 Pokémon Dex Data'!$Q$3:$Q951,MATCH(E396,'0.0.1 Pokémon Dex Data'!$B$3:$B951,0))</f>
        <v>Ground</v>
      </c>
      <c r="I396" s="0" t="str">
        <f aca="false" t="array" ref="I396:I396">INDEX('0.0.1 Pokémon Dex Data'!$R$3:$R951,MATCH(E396,'0.0.1 Pokémon Dex Data'!$B$3:$B951,0))</f>
        <v>Psychic</v>
      </c>
      <c r="J396" s="260" t="n">
        <f aca="false" t="array" ref="J396:J396">ROUND(INDEX('0.0.1 Pokémon Dex Data'!$S$3:$S951,MATCH($E396,'0.0.1 Pokémon Dex Data'!$B$3:$B951,0))*INDEX('0.0.1 Pokémon Dex Data'!T$3:T951,MATCH($E396,'0.0.1 Pokémon Dex Data'!$B$3:$B951,0)),0)</f>
        <v>140</v>
      </c>
      <c r="K396" s="260" t="n">
        <f aca="false" t="array" ref="K396:K396">ROUND(INDEX('0.0.1 Pokémon Dex Data'!$S$3:$S951,MATCH($E396,'0.0.1 Pokémon Dex Data'!$B$3:$B951,0))*INDEX('0.0.1 Pokémon Dex Data'!U$3:U951,MATCH($E396,'0.0.1 Pokémon Dex Data'!$B$3:$B951,0)),0)</f>
        <v>229</v>
      </c>
      <c r="L396" s="260" t="n">
        <f aca="false" t="array" ref="L396:L396">ROUND(INDEX('0.0.1 Pokémon Dex Data'!$S$3:$S951,MATCH($E396,'0.0.1 Pokémon Dex Data'!$B$3:$B951,0))*INDEX('0.0.1 Pokémon Dex Data'!V$3:V951,MATCH($E396,'0.0.1 Pokémon Dex Data'!$B$3:$B951,0)),0)</f>
        <v>155</v>
      </c>
      <c r="M396" s="260" t="n">
        <f aca="false" t="array" ref="M396:M396">INDEX('0.0.1 Pokémon Dex Data'!$J$3:$J951,MATCH(E396,'0.0.1 Pokémon Dex Data'!$B$3:$B951,0))</f>
        <v>1</v>
      </c>
      <c r="O396" s="490"/>
      <c r="Q396" s="367" t="n">
        <f aca="false">IF('Reverse Search'!$F$4="All (including temporary formes)",1,IF('Reverse Search'!$F$4="Base Pokémon and permanent formes only",IF(F396&lt;=1,1,0),IF(F396=0,1,0)))</f>
        <v>1</v>
      </c>
      <c r="R396" s="0" t="n">
        <f aca="false">IF('Reverse Search'!$C$7="Disable",1,IF('Reverse Search'!$D$9="Disable",1,IF(OR('Reverse Search'!$F$9=H396,'Reverse Search'!$F$9=I396),1,0)))</f>
        <v>1</v>
      </c>
      <c r="S396" s="0" t="n">
        <f aca="false">IF('Reverse Search'!$C$7="Disable",1,IF('Reverse Search'!$D$10="Disable",1,IF(OR('Reverse Search'!$F$10=H396,'Reverse Search'!$F$10=I396),1,0)))</f>
        <v>1</v>
      </c>
      <c r="T396" s="0" t="n">
        <f aca="false">INDEX($B$4:$B$22,MATCH(H396,$A$4:$A$22,0))</f>
        <v>1</v>
      </c>
      <c r="U396" s="0" t="n">
        <f aca="false">IF(ISBLANK(I396),1,INDEX($B$4:$B$22,MATCH(I396,$A$4:$A$22,0)))</f>
        <v>1</v>
      </c>
      <c r="V396" s="367" t="n">
        <f aca="false">IF('Reverse Search'!$C$7="Disable",1,IF('Reverse Search'!$D$11="Disable",1,IF('Reverse Search'!$E$11="Neutral to:",IF(ROUND(T396*U396,2)&lt;=1,1,0),IF(ROUND(T396*U396,2)&lt;1,1,0))))</f>
        <v>1</v>
      </c>
      <c r="W396" s="0" t="n">
        <f aca="false">IF('Reverse Search'!$N$7="Disable",1,IF('Reverse Search'!$I$9="Disable",1,IF('Reverse Search'!$K$9="≥",IF(J396&gt;='Reverse Search'!$L$9,1,0),IF('Reverse Search'!$K$9="≤",IF(J396&lt;='Reverse Search'!$L$9,1,0),IF(J396='Reverse Search'!$L$9,1,0)))))</f>
        <v>1</v>
      </c>
      <c r="X396" s="0" t="n">
        <f aca="false">IF('Reverse Search'!$N$7="Disable",1,IF('Reverse Search'!$I$10="Disable",1,IF('Reverse Search'!$K$10="≥",IF(K396&gt;='Reverse Search'!$L$10,1,0),IF('Reverse Search'!$K$10="≤",IF(K396&lt;='Reverse Search'!$L$10,1,0),IF(K396='Reverse Search'!$L$10,1,0)))))</f>
        <v>1</v>
      </c>
      <c r="Y396" s="367" t="n">
        <f aca="false">IF('Reverse Search'!$N$7="Disable",1,IF('Reverse Search'!$I$11="Disable",1,IF('Reverse Search'!$K$11="≥",IF(L396&gt;='Reverse Search'!$L$11,1,0),IF('Reverse Search'!$K$11="≤",IF(L396&lt;='Reverse Search'!$L$11,1,0),IF(L396='Reverse Search'!$L$11,1,0)))))</f>
        <v>1</v>
      </c>
      <c r="Z396" s="0" t="n">
        <f aca="true">IF('Reverse Search'!$C$14="Disable",1,IF('Reverse Search'!$D$16="Disable",1,IF($C$2=3,IF($M396=0,0,COUNTIF(INDIRECT("'0.0.2 Pokémon Learnset (Core)'!$D$"&amp;MATCH($E396,'0.0.2 Pokémon Learnset (Core)'!$A$1:$A951,0)&amp;":$FK$"&amp;MATCH($E396,'0.0.2 Pokémon Learnset (Core)'!$A$1:$A951,0)),'Reverse Search'!$E$21)),IF($C$2=2,COUNTIF(INDIRECT("'0.1.1 Pokémon GO Moves'!$B$"&amp;MATCH($E396,'0.1.1 Pokémon GO Moves'!$A$1:$A951,0)&amp;":$R$"&amp;MATCH($E396,'0.1.1 Pokémon GO Moves'!$A$1:$A951,0)),'Reverse Search'!$E$21),COUNTIF(INDIRECT("'0.1.1 Pokémon GO Moves'!$B$"&amp;MATCH($E396,'0.1.1 Pokémon GO Moves'!$A$1:$A951,0)&amp;":$L$"&amp;MATCH($E396,'0.1.1 Pokémon GO Moves'!$A$1:$A951,0)),'Reverse Search'!$E$21)))))</f>
        <v>1</v>
      </c>
      <c r="AA396" s="0" t="n">
        <f aca="true">IF('Reverse Search'!$C$14="Disable",1,IF('Reverse Search'!$I$16="Disable",1,IF($D$2=3,IF($M396=0,0,COUNTIF(INDIRECT("'0.0.2 Pokémon Learnset (Core)'!$D$"&amp;MATCH($E396,'0.0.2 Pokémon Learnset (Core)'!$A$1:$A951,0)&amp;":$FK$"&amp;MATCH($E396,'0.0.2 Pokémon Learnset (Core)'!$A$1:$A951,0)),'Reverse Search'!$J$21)),IF($D$2=2,COUNTIF(INDIRECT("'0.1.1 Pokémon GO Moves'!$B$"&amp;MATCH($E396,'0.1.1 Pokémon GO Moves'!$A$1:$A951,0)&amp;":$R$"&amp;MATCH($E396,'0.1.1 Pokémon GO Moves'!$A$1:$A951,0)),'Reverse Search'!$J$21),COUNTIF(INDIRECT("'0.1.1 Pokémon GO Moves'!$B$"&amp;MATCH($E396,'0.1.1 Pokémon GO Moves'!$A$1:$A951,0)&amp;":$L$"&amp;MATCH($E396,'0.1.1 Pokémon GO Moves'!$A$1:$A951,0)),'Reverse Search'!$J$21)))))</f>
        <v>0</v>
      </c>
      <c r="AB396" s="490"/>
      <c r="AC396" s="260" t="n">
        <f aca="false">IF((Q396+R396+S396+V396+W396+X396+Y396+IF(Z396&gt;=1,1,0)+IF(AA396&gt;=1,1,0))=9,G396&amp;", ",)</f>
        <v>0</v>
      </c>
    </row>
    <row r="397" customFormat="false" ht="15.75" hidden="false" customHeight="false" outlineLevel="0" collapsed="false">
      <c r="A397" s="260"/>
      <c r="B397" s="358"/>
      <c r="C397" s="260"/>
      <c r="D397" s="358"/>
      <c r="E397" s="260" t="n">
        <v>396</v>
      </c>
      <c r="F397" s="260" t="n">
        <f aca="false" t="array" ref="F397:F397">INDEX('0.0.1 Pokémon Dex Data'!$H$3:$H951,MATCH(E397,'0.0.1 Pokémon Dex Data'!$B$3:$B951,0))</f>
        <v>0</v>
      </c>
      <c r="G397" s="0" t="str">
        <f aca="false" t="array" ref="G397:G397">INDEX('0.0.1 Pokémon Dex Data'!$E$3:$E951,MATCH(E397,'0.0.1 Pokémon Dex Data'!$B$3:$B951,0))</f>
        <v>Lileep</v>
      </c>
      <c r="H397" s="0" t="str">
        <f aca="false" t="array" ref="H397:H397">INDEX('0.0.1 Pokémon Dex Data'!$Q$3:$Q951,MATCH(E397,'0.0.1 Pokémon Dex Data'!$B$3:$B951,0))</f>
        <v>Rock</v>
      </c>
      <c r="I397" s="0" t="str">
        <f aca="false" t="array" ref="I397:I397">INDEX('0.0.1 Pokémon Dex Data'!$R$3:$R951,MATCH(E397,'0.0.1 Pokémon Dex Data'!$B$3:$B951,0))</f>
        <v>Grass</v>
      </c>
      <c r="J397" s="260" t="n">
        <f aca="false" t="array" ref="J397:J397">ROUND(INDEX('0.0.1 Pokémon Dex Data'!$S$3:$S951,MATCH($E397,'0.0.1 Pokémon Dex Data'!$B$3:$B951,0))*INDEX('0.0.1 Pokémon Dex Data'!T$3:T951,MATCH($E397,'0.0.1 Pokémon Dex Data'!$B$3:$B951,0)),0)</f>
        <v>105</v>
      </c>
      <c r="K397" s="260" t="n">
        <f aca="false" t="array" ref="K397:K397">ROUND(INDEX('0.0.1 Pokémon Dex Data'!$S$3:$S951,MATCH($E397,'0.0.1 Pokémon Dex Data'!$B$3:$B951,0))*INDEX('0.0.1 Pokémon Dex Data'!U$3:U951,MATCH($E397,'0.0.1 Pokémon Dex Data'!$B$3:$B951,0)),0)</f>
        <v>150</v>
      </c>
      <c r="L397" s="260" t="n">
        <f aca="false" t="array" ref="L397:L397">ROUND(INDEX('0.0.1 Pokémon Dex Data'!$S$3:$S951,MATCH($E397,'0.0.1 Pokémon Dex Data'!$B$3:$B951,0))*INDEX('0.0.1 Pokémon Dex Data'!V$3:V951,MATCH($E397,'0.0.1 Pokémon Dex Data'!$B$3:$B951,0)),0)</f>
        <v>165</v>
      </c>
      <c r="M397" s="260" t="n">
        <f aca="false" t="array" ref="M397:M397">INDEX('0.0.1 Pokémon Dex Data'!$J$3:$J951,MATCH(E397,'0.0.1 Pokémon Dex Data'!$B$3:$B951,0))</f>
        <v>0</v>
      </c>
      <c r="O397" s="490"/>
      <c r="Q397" s="367" t="n">
        <f aca="false">IF('Reverse Search'!$F$4="All (including temporary formes)",1,IF('Reverse Search'!$F$4="Base Pokémon and permanent formes only",IF(F397&lt;=1,1,0),IF(F397=0,1,0)))</f>
        <v>1</v>
      </c>
      <c r="R397" s="0" t="n">
        <f aca="false">IF('Reverse Search'!$C$7="Disable",1,IF('Reverse Search'!$D$9="Disable",1,IF(OR('Reverse Search'!$F$9=H397,'Reverse Search'!$F$9=I397),1,0)))</f>
        <v>1</v>
      </c>
      <c r="S397" s="0" t="n">
        <f aca="false">IF('Reverse Search'!$C$7="Disable",1,IF('Reverse Search'!$D$10="Disable",1,IF(OR('Reverse Search'!$F$10=H397,'Reverse Search'!$F$10=I397),1,0)))</f>
        <v>1</v>
      </c>
      <c r="T397" s="0" t="n">
        <f aca="false">INDEX($B$4:$B$22,MATCH(H397,$A$4:$A$22,0))</f>
        <v>0.714</v>
      </c>
      <c r="U397" s="0" t="n">
        <f aca="false">IF(ISBLANK(I397),1,INDEX($B$4:$B$22,MATCH(I397,$A$4:$A$22,0)))</f>
        <v>1</v>
      </c>
      <c r="V397" s="367" t="n">
        <f aca="false">IF('Reverse Search'!$C$7="Disable",1,IF('Reverse Search'!$D$11="Disable",1,IF('Reverse Search'!$E$11="Neutral to:",IF(ROUND(T397*U397,2)&lt;=1,1,0),IF(ROUND(T397*U397,2)&lt;1,1,0))))</f>
        <v>1</v>
      </c>
      <c r="W397" s="0" t="n">
        <f aca="false">IF('Reverse Search'!$N$7="Disable",1,IF('Reverse Search'!$I$9="Disable",1,IF('Reverse Search'!$K$9="≥",IF(J397&gt;='Reverse Search'!$L$9,1,0),IF('Reverse Search'!$K$9="≤",IF(J397&lt;='Reverse Search'!$L$9,1,0),IF(J397='Reverse Search'!$L$9,1,0)))))</f>
        <v>1</v>
      </c>
      <c r="X397" s="0" t="n">
        <f aca="false">IF('Reverse Search'!$N$7="Disable",1,IF('Reverse Search'!$I$10="Disable",1,IF('Reverse Search'!$K$10="≥",IF(K397&gt;='Reverse Search'!$L$10,1,0),IF('Reverse Search'!$K$10="≤",IF(K397&lt;='Reverse Search'!$L$10,1,0),IF(K397='Reverse Search'!$L$10,1,0)))))</f>
        <v>1</v>
      </c>
      <c r="Y397" s="367" t="n">
        <f aca="false">IF('Reverse Search'!$N$7="Disable",1,IF('Reverse Search'!$I$11="Disable",1,IF('Reverse Search'!$K$11="≥",IF(L397&gt;='Reverse Search'!$L$11,1,0),IF('Reverse Search'!$K$11="≤",IF(L397&lt;='Reverse Search'!$L$11,1,0),IF(L397='Reverse Search'!$L$11,1,0)))))</f>
        <v>1</v>
      </c>
      <c r="Z397" s="0" t="n">
        <f aca="true">IF('Reverse Search'!$C$14="Disable",1,IF('Reverse Search'!$D$16="Disable",1,IF($C$2=3,IF($M397=0,0,COUNTIF(INDIRECT("'0.0.2 Pokémon Learnset (Core)'!$D$"&amp;MATCH($E397,'0.0.2 Pokémon Learnset (Core)'!$A$1:$A951,0)&amp;":$FK$"&amp;MATCH($E397,'0.0.2 Pokémon Learnset (Core)'!$A$1:$A951,0)),'Reverse Search'!$E$21)),IF($C$2=2,COUNTIF(INDIRECT("'0.1.1 Pokémon GO Moves'!$B$"&amp;MATCH($E397,'0.1.1 Pokémon GO Moves'!$A$1:$A951,0)&amp;":$R$"&amp;MATCH($E397,'0.1.1 Pokémon GO Moves'!$A$1:$A951,0)),'Reverse Search'!$E$21),COUNTIF(INDIRECT("'0.1.1 Pokémon GO Moves'!$B$"&amp;MATCH($E397,'0.1.1 Pokémon GO Moves'!$A$1:$A951,0)&amp;":$L$"&amp;MATCH($E397,'0.1.1 Pokémon GO Moves'!$A$1:$A951,0)),'Reverse Search'!$E$21)))))</f>
        <v>1</v>
      </c>
      <c r="AA397" s="0" t="n">
        <f aca="true">IF('Reverse Search'!$C$14="Disable",1,IF('Reverse Search'!$I$16="Disable",1,IF($D$2=3,IF($M397=0,0,COUNTIF(INDIRECT("'0.0.2 Pokémon Learnset (Core)'!$D$"&amp;MATCH($E397,'0.0.2 Pokémon Learnset (Core)'!$A$1:$A951,0)&amp;":$FK$"&amp;MATCH($E397,'0.0.2 Pokémon Learnset (Core)'!$A$1:$A951,0)),'Reverse Search'!$J$21)),IF($D$2=2,COUNTIF(INDIRECT("'0.1.1 Pokémon GO Moves'!$B$"&amp;MATCH($E397,'0.1.1 Pokémon GO Moves'!$A$1:$A951,0)&amp;":$R$"&amp;MATCH($E397,'0.1.1 Pokémon GO Moves'!$A$1:$A951,0)),'Reverse Search'!$J$21),COUNTIF(INDIRECT("'0.1.1 Pokémon GO Moves'!$B$"&amp;MATCH($E397,'0.1.1 Pokémon GO Moves'!$A$1:$A951,0)&amp;":$L$"&amp;MATCH($E397,'0.1.1 Pokémon GO Moves'!$A$1:$A951,0)),'Reverse Search'!$J$21)))))</f>
        <v>0</v>
      </c>
      <c r="AB397" s="490"/>
      <c r="AC397" s="260" t="n">
        <f aca="false">IF((Q397+R397+S397+V397+W397+X397+Y397+IF(Z397&gt;=1,1,0)+IF(AA397&gt;=1,1,0))=9,G397&amp;", ",)</f>
        <v>0</v>
      </c>
    </row>
    <row r="398" customFormat="false" ht="15.75" hidden="false" customHeight="false" outlineLevel="0" collapsed="false">
      <c r="A398" s="260"/>
      <c r="B398" s="358"/>
      <c r="C398" s="260"/>
      <c r="D398" s="358"/>
      <c r="E398" s="260" t="n">
        <v>397</v>
      </c>
      <c r="F398" s="260" t="n">
        <f aca="false" t="array" ref="F398:F398">INDEX('0.0.1 Pokémon Dex Data'!$H$3:$H951,MATCH(E398,'0.0.1 Pokémon Dex Data'!$B$3:$B951,0))</f>
        <v>0</v>
      </c>
      <c r="G398" s="0" t="str">
        <f aca="false" t="array" ref="G398:G398">INDEX('0.0.1 Pokémon Dex Data'!$E$3:$E951,MATCH(E398,'0.0.1 Pokémon Dex Data'!$B$3:$B951,0))</f>
        <v>Cradily</v>
      </c>
      <c r="H398" s="0" t="str">
        <f aca="false" t="array" ref="H398:H398">INDEX('0.0.1 Pokémon Dex Data'!$Q$3:$Q951,MATCH(E398,'0.0.1 Pokémon Dex Data'!$B$3:$B951,0))</f>
        <v>Rock</v>
      </c>
      <c r="I398" s="0" t="str">
        <f aca="false" t="array" ref="I398:I398">INDEX('0.0.1 Pokémon Dex Data'!$R$3:$R951,MATCH(E398,'0.0.1 Pokémon Dex Data'!$B$3:$B951,0))</f>
        <v>Grass</v>
      </c>
      <c r="J398" s="260" t="n">
        <f aca="false" t="array" ref="J398:J398">ROUND(INDEX('0.0.1 Pokémon Dex Data'!$S$3:$S951,MATCH($E398,'0.0.1 Pokémon Dex Data'!$B$3:$B951,0))*INDEX('0.0.1 Pokémon Dex Data'!T$3:T951,MATCH($E398,'0.0.1 Pokémon Dex Data'!$B$3:$B951,0)),0)</f>
        <v>152</v>
      </c>
      <c r="K398" s="260" t="n">
        <f aca="false" t="array" ref="K398:K398">ROUND(INDEX('0.0.1 Pokémon Dex Data'!$S$3:$S951,MATCH($E398,'0.0.1 Pokémon Dex Data'!$B$3:$B951,0))*INDEX('0.0.1 Pokémon Dex Data'!U$3:U951,MATCH($E398,'0.0.1 Pokémon Dex Data'!$B$3:$B951,0)),0)</f>
        <v>194</v>
      </c>
      <c r="L398" s="260" t="n">
        <f aca="false" t="array" ref="L398:L398">ROUND(INDEX('0.0.1 Pokémon Dex Data'!$S$3:$S951,MATCH($E398,'0.0.1 Pokémon Dex Data'!$B$3:$B951,0))*INDEX('0.0.1 Pokémon Dex Data'!V$3:V951,MATCH($E398,'0.0.1 Pokémon Dex Data'!$B$3:$B951,0)),0)</f>
        <v>200</v>
      </c>
      <c r="M398" s="260" t="n">
        <f aca="false" t="array" ref="M398:M398">INDEX('0.0.1 Pokémon Dex Data'!$J$3:$J951,MATCH(E398,'0.0.1 Pokémon Dex Data'!$B$3:$B951,0))</f>
        <v>1</v>
      </c>
      <c r="O398" s="490"/>
      <c r="Q398" s="367" t="n">
        <f aca="false">IF('Reverse Search'!$F$4="All (including temporary formes)",1,IF('Reverse Search'!$F$4="Base Pokémon and permanent formes only",IF(F398&lt;=1,1,0),IF(F398=0,1,0)))</f>
        <v>1</v>
      </c>
      <c r="R398" s="0" t="n">
        <f aca="false">IF('Reverse Search'!$C$7="Disable",1,IF('Reverse Search'!$D$9="Disable",1,IF(OR('Reverse Search'!$F$9=H398,'Reverse Search'!$F$9=I398),1,0)))</f>
        <v>1</v>
      </c>
      <c r="S398" s="0" t="n">
        <f aca="false">IF('Reverse Search'!$C$7="Disable",1,IF('Reverse Search'!$D$10="Disable",1,IF(OR('Reverse Search'!$F$10=H398,'Reverse Search'!$F$10=I398),1,0)))</f>
        <v>1</v>
      </c>
      <c r="T398" s="0" t="n">
        <f aca="false">INDEX($B$4:$B$22,MATCH(H398,$A$4:$A$22,0))</f>
        <v>0.714</v>
      </c>
      <c r="U398" s="0" t="n">
        <f aca="false">IF(ISBLANK(I398),1,INDEX($B$4:$B$22,MATCH(I398,$A$4:$A$22,0)))</f>
        <v>1</v>
      </c>
      <c r="V398" s="367" t="n">
        <f aca="false">IF('Reverse Search'!$C$7="Disable",1,IF('Reverse Search'!$D$11="Disable",1,IF('Reverse Search'!$E$11="Neutral to:",IF(ROUND(T398*U398,2)&lt;=1,1,0),IF(ROUND(T398*U398,2)&lt;1,1,0))))</f>
        <v>1</v>
      </c>
      <c r="W398" s="0" t="n">
        <f aca="false">IF('Reverse Search'!$N$7="Disable",1,IF('Reverse Search'!$I$9="Disable",1,IF('Reverse Search'!$K$9="≥",IF(J398&gt;='Reverse Search'!$L$9,1,0),IF('Reverse Search'!$K$9="≤",IF(J398&lt;='Reverse Search'!$L$9,1,0),IF(J398='Reverse Search'!$L$9,1,0)))))</f>
        <v>1</v>
      </c>
      <c r="X398" s="0" t="n">
        <f aca="false">IF('Reverse Search'!$N$7="Disable",1,IF('Reverse Search'!$I$10="Disable",1,IF('Reverse Search'!$K$10="≥",IF(K398&gt;='Reverse Search'!$L$10,1,0),IF('Reverse Search'!$K$10="≤",IF(K398&lt;='Reverse Search'!$L$10,1,0),IF(K398='Reverse Search'!$L$10,1,0)))))</f>
        <v>1</v>
      </c>
      <c r="Y398" s="367" t="n">
        <f aca="false">IF('Reverse Search'!$N$7="Disable",1,IF('Reverse Search'!$I$11="Disable",1,IF('Reverse Search'!$K$11="≥",IF(L398&gt;='Reverse Search'!$L$11,1,0),IF('Reverse Search'!$K$11="≤",IF(L398&lt;='Reverse Search'!$L$11,1,0),IF(L398='Reverse Search'!$L$11,1,0)))))</f>
        <v>1</v>
      </c>
      <c r="Z398" s="0" t="n">
        <f aca="true">IF('Reverse Search'!$C$14="Disable",1,IF('Reverse Search'!$D$16="Disable",1,IF($C$2=3,IF($M398=0,0,COUNTIF(INDIRECT("'0.0.2 Pokémon Learnset (Core)'!$D$"&amp;MATCH($E398,'0.0.2 Pokémon Learnset (Core)'!$A$1:$A951,0)&amp;":$FK$"&amp;MATCH($E398,'0.0.2 Pokémon Learnset (Core)'!$A$1:$A951,0)),'Reverse Search'!$E$21)),IF($C$2=2,COUNTIF(INDIRECT("'0.1.1 Pokémon GO Moves'!$B$"&amp;MATCH($E398,'0.1.1 Pokémon GO Moves'!$A$1:$A951,0)&amp;":$R$"&amp;MATCH($E398,'0.1.1 Pokémon GO Moves'!$A$1:$A951,0)),'Reverse Search'!$E$21),COUNTIF(INDIRECT("'0.1.1 Pokémon GO Moves'!$B$"&amp;MATCH($E398,'0.1.1 Pokémon GO Moves'!$A$1:$A951,0)&amp;":$L$"&amp;MATCH($E398,'0.1.1 Pokémon GO Moves'!$A$1:$A951,0)),'Reverse Search'!$E$21)))))</f>
        <v>1</v>
      </c>
      <c r="AA398" s="0" t="n">
        <f aca="true">IF('Reverse Search'!$C$14="Disable",1,IF('Reverse Search'!$I$16="Disable",1,IF($D$2=3,IF($M398=0,0,COUNTIF(INDIRECT("'0.0.2 Pokémon Learnset (Core)'!$D$"&amp;MATCH($E398,'0.0.2 Pokémon Learnset (Core)'!$A$1:$A951,0)&amp;":$FK$"&amp;MATCH($E398,'0.0.2 Pokémon Learnset (Core)'!$A$1:$A951,0)),'Reverse Search'!$J$21)),IF($D$2=2,COUNTIF(INDIRECT("'0.1.1 Pokémon GO Moves'!$B$"&amp;MATCH($E398,'0.1.1 Pokémon GO Moves'!$A$1:$A951,0)&amp;":$R$"&amp;MATCH($E398,'0.1.1 Pokémon GO Moves'!$A$1:$A951,0)),'Reverse Search'!$J$21),COUNTIF(INDIRECT("'0.1.1 Pokémon GO Moves'!$B$"&amp;MATCH($E398,'0.1.1 Pokémon GO Moves'!$A$1:$A951,0)&amp;":$L$"&amp;MATCH($E398,'0.1.1 Pokémon GO Moves'!$A$1:$A951,0)),'Reverse Search'!$J$21)))))</f>
        <v>0</v>
      </c>
      <c r="AB398" s="490"/>
      <c r="AC398" s="260" t="n">
        <f aca="false">IF((Q398+R398+S398+V398+W398+X398+Y398+IF(Z398&gt;=1,1,0)+IF(AA398&gt;=1,1,0))=9,G398&amp;", ",)</f>
        <v>0</v>
      </c>
    </row>
    <row r="399" customFormat="false" ht="15.75" hidden="false" customHeight="false" outlineLevel="0" collapsed="false">
      <c r="A399" s="260"/>
      <c r="B399" s="358"/>
      <c r="C399" s="260"/>
      <c r="D399" s="358"/>
      <c r="E399" s="260" t="n">
        <v>398</v>
      </c>
      <c r="F399" s="260" t="n">
        <f aca="false" t="array" ref="F399:F399">INDEX('0.0.1 Pokémon Dex Data'!$H$3:$H951,MATCH(E399,'0.0.1 Pokémon Dex Data'!$B$3:$B951,0))</f>
        <v>0</v>
      </c>
      <c r="G399" s="0" t="str">
        <f aca="false" t="array" ref="G399:G399">INDEX('0.0.1 Pokémon Dex Data'!$E$3:$E951,MATCH(E399,'0.0.1 Pokémon Dex Data'!$B$3:$B951,0))</f>
        <v>Anorith</v>
      </c>
      <c r="H399" s="0" t="str">
        <f aca="false" t="array" ref="H399:H399">INDEX('0.0.1 Pokémon Dex Data'!$Q$3:$Q951,MATCH(E399,'0.0.1 Pokémon Dex Data'!$B$3:$B951,0))</f>
        <v>Rock</v>
      </c>
      <c r="I399" s="0" t="str">
        <f aca="false" t="array" ref="I399:I399">INDEX('0.0.1 Pokémon Dex Data'!$R$3:$R951,MATCH(E399,'0.0.1 Pokémon Dex Data'!$B$3:$B951,0))</f>
        <v>Bug</v>
      </c>
      <c r="J399" s="260" t="n">
        <f aca="false" t="array" ref="J399:J399">ROUND(INDEX('0.0.1 Pokémon Dex Data'!$S$3:$S951,MATCH($E399,'0.0.1 Pokémon Dex Data'!$B$3:$B951,0))*INDEX('0.0.1 Pokémon Dex Data'!T$3:T951,MATCH($E399,'0.0.1 Pokémon Dex Data'!$B$3:$B951,0)),0)</f>
        <v>176</v>
      </c>
      <c r="K399" s="260" t="n">
        <f aca="false" t="array" ref="K399:K399">ROUND(INDEX('0.0.1 Pokémon Dex Data'!$S$3:$S951,MATCH($E399,'0.0.1 Pokémon Dex Data'!$B$3:$B951,0))*INDEX('0.0.1 Pokémon Dex Data'!U$3:U951,MATCH($E399,'0.0.1 Pokémon Dex Data'!$B$3:$B951,0)),0)</f>
        <v>100</v>
      </c>
      <c r="L399" s="260" t="n">
        <f aca="false" t="array" ref="L399:L399">ROUND(INDEX('0.0.1 Pokémon Dex Data'!$S$3:$S951,MATCH($E399,'0.0.1 Pokémon Dex Data'!$B$3:$B951,0))*INDEX('0.0.1 Pokémon Dex Data'!V$3:V951,MATCH($E399,'0.0.1 Pokémon Dex Data'!$B$3:$B951,0)),0)</f>
        <v>128</v>
      </c>
      <c r="M399" s="260" t="n">
        <f aca="false" t="array" ref="M399:M399">INDEX('0.0.1 Pokémon Dex Data'!$J$3:$J951,MATCH(E399,'0.0.1 Pokémon Dex Data'!$B$3:$B951,0))</f>
        <v>0</v>
      </c>
      <c r="O399" s="490"/>
      <c r="Q399" s="367" t="n">
        <f aca="false">IF('Reverse Search'!$F$4="All (including temporary formes)",1,IF('Reverse Search'!$F$4="Base Pokémon and permanent formes only",IF(F399&lt;=1,1,0),IF(F399=0,1,0)))</f>
        <v>1</v>
      </c>
      <c r="R399" s="0" t="n">
        <f aca="false">IF('Reverse Search'!$C$7="Disable",1,IF('Reverse Search'!$D$9="Disable",1,IF(OR('Reverse Search'!$F$9=H399,'Reverse Search'!$F$9=I399),1,0)))</f>
        <v>1</v>
      </c>
      <c r="S399" s="0" t="n">
        <f aca="false">IF('Reverse Search'!$C$7="Disable",1,IF('Reverse Search'!$D$10="Disable",1,IF(OR('Reverse Search'!$F$10=H399,'Reverse Search'!$F$10=I399),1,0)))</f>
        <v>1</v>
      </c>
      <c r="T399" s="0" t="n">
        <f aca="false">INDEX($B$4:$B$22,MATCH(H399,$A$4:$A$22,0))</f>
        <v>0.714</v>
      </c>
      <c r="U399" s="0" t="n">
        <f aca="false">IF(ISBLANK(I399),1,INDEX($B$4:$B$22,MATCH(I399,$A$4:$A$22,0)))</f>
        <v>1</v>
      </c>
      <c r="V399" s="367" t="n">
        <f aca="false">IF('Reverse Search'!$C$7="Disable",1,IF('Reverse Search'!$D$11="Disable",1,IF('Reverse Search'!$E$11="Neutral to:",IF(ROUND(T399*U399,2)&lt;=1,1,0),IF(ROUND(T399*U399,2)&lt;1,1,0))))</f>
        <v>1</v>
      </c>
      <c r="W399" s="0" t="n">
        <f aca="false">IF('Reverse Search'!$N$7="Disable",1,IF('Reverse Search'!$I$9="Disable",1,IF('Reverse Search'!$K$9="≥",IF(J399&gt;='Reverse Search'!$L$9,1,0),IF('Reverse Search'!$K$9="≤",IF(J399&lt;='Reverse Search'!$L$9,1,0),IF(J399='Reverse Search'!$L$9,1,0)))))</f>
        <v>1</v>
      </c>
      <c r="X399" s="0" t="n">
        <f aca="false">IF('Reverse Search'!$N$7="Disable",1,IF('Reverse Search'!$I$10="Disable",1,IF('Reverse Search'!$K$10="≥",IF(K399&gt;='Reverse Search'!$L$10,1,0),IF('Reverse Search'!$K$10="≤",IF(K399&lt;='Reverse Search'!$L$10,1,0),IF(K399='Reverse Search'!$L$10,1,0)))))</f>
        <v>1</v>
      </c>
      <c r="Y399" s="367" t="n">
        <f aca="false">IF('Reverse Search'!$N$7="Disable",1,IF('Reverse Search'!$I$11="Disable",1,IF('Reverse Search'!$K$11="≥",IF(L399&gt;='Reverse Search'!$L$11,1,0),IF('Reverse Search'!$K$11="≤",IF(L399&lt;='Reverse Search'!$L$11,1,0),IF(L399='Reverse Search'!$L$11,1,0)))))</f>
        <v>1</v>
      </c>
      <c r="Z399" s="0" t="n">
        <f aca="true">IF('Reverse Search'!$C$14="Disable",1,IF('Reverse Search'!$D$16="Disable",1,IF($C$2=3,IF($M399=0,0,COUNTIF(INDIRECT("'0.0.2 Pokémon Learnset (Core)'!$D$"&amp;MATCH($E399,'0.0.2 Pokémon Learnset (Core)'!$A$1:$A951,0)&amp;":$FK$"&amp;MATCH($E399,'0.0.2 Pokémon Learnset (Core)'!$A$1:$A951,0)),'Reverse Search'!$E$21)),IF($C$2=2,COUNTIF(INDIRECT("'0.1.1 Pokémon GO Moves'!$B$"&amp;MATCH($E399,'0.1.1 Pokémon GO Moves'!$A$1:$A951,0)&amp;":$R$"&amp;MATCH($E399,'0.1.1 Pokémon GO Moves'!$A$1:$A951,0)),'Reverse Search'!$E$21),COUNTIF(INDIRECT("'0.1.1 Pokémon GO Moves'!$B$"&amp;MATCH($E399,'0.1.1 Pokémon GO Moves'!$A$1:$A951,0)&amp;":$L$"&amp;MATCH($E399,'0.1.1 Pokémon GO Moves'!$A$1:$A951,0)),'Reverse Search'!$E$21)))))</f>
        <v>1</v>
      </c>
      <c r="AA399" s="0" t="n">
        <f aca="true">IF('Reverse Search'!$C$14="Disable",1,IF('Reverse Search'!$I$16="Disable",1,IF($D$2=3,IF($M399=0,0,COUNTIF(INDIRECT("'0.0.2 Pokémon Learnset (Core)'!$D$"&amp;MATCH($E399,'0.0.2 Pokémon Learnset (Core)'!$A$1:$A951,0)&amp;":$FK$"&amp;MATCH($E399,'0.0.2 Pokémon Learnset (Core)'!$A$1:$A951,0)),'Reverse Search'!$J$21)),IF($D$2=2,COUNTIF(INDIRECT("'0.1.1 Pokémon GO Moves'!$B$"&amp;MATCH($E399,'0.1.1 Pokémon GO Moves'!$A$1:$A951,0)&amp;":$R$"&amp;MATCH($E399,'0.1.1 Pokémon GO Moves'!$A$1:$A951,0)),'Reverse Search'!$J$21),COUNTIF(INDIRECT("'0.1.1 Pokémon GO Moves'!$B$"&amp;MATCH($E399,'0.1.1 Pokémon GO Moves'!$A$1:$A951,0)&amp;":$L$"&amp;MATCH($E399,'0.1.1 Pokémon GO Moves'!$A$1:$A951,0)),'Reverse Search'!$J$21)))))</f>
        <v>0</v>
      </c>
      <c r="AB399" s="490"/>
      <c r="AC399" s="260" t="n">
        <f aca="false">IF((Q399+R399+S399+V399+W399+X399+Y399+IF(Z399&gt;=1,1,0)+IF(AA399&gt;=1,1,0))=9,G399&amp;", ",)</f>
        <v>0</v>
      </c>
    </row>
    <row r="400" customFormat="false" ht="15.75" hidden="false" customHeight="false" outlineLevel="0" collapsed="false">
      <c r="A400" s="260"/>
      <c r="B400" s="358"/>
      <c r="C400" s="260"/>
      <c r="D400" s="358"/>
      <c r="E400" s="260" t="n">
        <v>399</v>
      </c>
      <c r="F400" s="260" t="n">
        <f aca="false" t="array" ref="F400:F400">INDEX('0.0.1 Pokémon Dex Data'!$H$3:$H951,MATCH(E400,'0.0.1 Pokémon Dex Data'!$B$3:$B951,0))</f>
        <v>0</v>
      </c>
      <c r="G400" s="0" t="str">
        <f aca="false" t="array" ref="G400:G400">INDEX('0.0.1 Pokémon Dex Data'!$E$3:$E951,MATCH(E400,'0.0.1 Pokémon Dex Data'!$B$3:$B951,0))</f>
        <v>Armaldo</v>
      </c>
      <c r="H400" s="0" t="str">
        <f aca="false" t="array" ref="H400:H400">INDEX('0.0.1 Pokémon Dex Data'!$Q$3:$Q951,MATCH(E400,'0.0.1 Pokémon Dex Data'!$B$3:$B951,0))</f>
        <v>Rock</v>
      </c>
      <c r="I400" s="0" t="str">
        <f aca="false" t="array" ref="I400:I400">INDEX('0.0.1 Pokémon Dex Data'!$R$3:$R951,MATCH(E400,'0.0.1 Pokémon Dex Data'!$B$3:$B951,0))</f>
        <v>Bug</v>
      </c>
      <c r="J400" s="260" t="n">
        <f aca="false" t="array" ref="J400:J400">ROUND(INDEX('0.0.1 Pokémon Dex Data'!$S$3:$S951,MATCH($E400,'0.0.1 Pokémon Dex Data'!$B$3:$B951,0))*INDEX('0.0.1 Pokémon Dex Data'!T$3:T951,MATCH($E400,'0.0.1 Pokémon Dex Data'!$B$3:$B951,0)),0)</f>
        <v>222</v>
      </c>
      <c r="K400" s="260" t="n">
        <f aca="false" t="array" ref="K400:K400">ROUND(INDEX('0.0.1 Pokémon Dex Data'!$S$3:$S951,MATCH($E400,'0.0.1 Pokémon Dex Data'!$B$3:$B951,0))*INDEX('0.0.1 Pokémon Dex Data'!U$3:U951,MATCH($E400,'0.0.1 Pokémon Dex Data'!$B$3:$B951,0)),0)</f>
        <v>174</v>
      </c>
      <c r="L400" s="260" t="n">
        <f aca="false" t="array" ref="L400:L400">ROUND(INDEX('0.0.1 Pokémon Dex Data'!$S$3:$S951,MATCH($E400,'0.0.1 Pokémon Dex Data'!$B$3:$B951,0))*INDEX('0.0.1 Pokémon Dex Data'!V$3:V951,MATCH($E400,'0.0.1 Pokémon Dex Data'!$B$3:$B951,0)),0)</f>
        <v>181</v>
      </c>
      <c r="M400" s="260" t="n">
        <f aca="false" t="array" ref="M400:M400">INDEX('0.0.1 Pokémon Dex Data'!$J$3:$J951,MATCH(E400,'0.0.1 Pokémon Dex Data'!$B$3:$B951,0))</f>
        <v>1</v>
      </c>
      <c r="O400" s="490"/>
      <c r="Q400" s="367" t="n">
        <f aca="false">IF('Reverse Search'!$F$4="All (including temporary formes)",1,IF('Reverse Search'!$F$4="Base Pokémon and permanent formes only",IF(F400&lt;=1,1,0),IF(F400=0,1,0)))</f>
        <v>1</v>
      </c>
      <c r="R400" s="0" t="n">
        <f aca="false">IF('Reverse Search'!$C$7="Disable",1,IF('Reverse Search'!$D$9="Disable",1,IF(OR('Reverse Search'!$F$9=H400,'Reverse Search'!$F$9=I400),1,0)))</f>
        <v>1</v>
      </c>
      <c r="S400" s="0" t="n">
        <f aca="false">IF('Reverse Search'!$C$7="Disable",1,IF('Reverse Search'!$D$10="Disable",1,IF(OR('Reverse Search'!$F$10=H400,'Reverse Search'!$F$10=I400),1,0)))</f>
        <v>1</v>
      </c>
      <c r="T400" s="0" t="n">
        <f aca="false">INDEX($B$4:$B$22,MATCH(H400,$A$4:$A$22,0))</f>
        <v>0.714</v>
      </c>
      <c r="U400" s="0" t="n">
        <f aca="false">IF(ISBLANK(I400),1,INDEX($B$4:$B$22,MATCH(I400,$A$4:$A$22,0)))</f>
        <v>1</v>
      </c>
      <c r="V400" s="367" t="n">
        <f aca="false">IF('Reverse Search'!$C$7="Disable",1,IF('Reverse Search'!$D$11="Disable",1,IF('Reverse Search'!$E$11="Neutral to:",IF(ROUND(T400*U400,2)&lt;=1,1,0),IF(ROUND(T400*U400,2)&lt;1,1,0))))</f>
        <v>1</v>
      </c>
      <c r="W400" s="0" t="n">
        <f aca="false">IF('Reverse Search'!$N$7="Disable",1,IF('Reverse Search'!$I$9="Disable",1,IF('Reverse Search'!$K$9="≥",IF(J400&gt;='Reverse Search'!$L$9,1,0),IF('Reverse Search'!$K$9="≤",IF(J400&lt;='Reverse Search'!$L$9,1,0),IF(J400='Reverse Search'!$L$9,1,0)))))</f>
        <v>1</v>
      </c>
      <c r="X400" s="0" t="n">
        <f aca="false">IF('Reverse Search'!$N$7="Disable",1,IF('Reverse Search'!$I$10="Disable",1,IF('Reverse Search'!$K$10="≥",IF(K400&gt;='Reverse Search'!$L$10,1,0),IF('Reverse Search'!$K$10="≤",IF(K400&lt;='Reverse Search'!$L$10,1,0),IF(K400='Reverse Search'!$L$10,1,0)))))</f>
        <v>1</v>
      </c>
      <c r="Y400" s="367" t="n">
        <f aca="false">IF('Reverse Search'!$N$7="Disable",1,IF('Reverse Search'!$I$11="Disable",1,IF('Reverse Search'!$K$11="≥",IF(L400&gt;='Reverse Search'!$L$11,1,0),IF('Reverse Search'!$K$11="≤",IF(L400&lt;='Reverse Search'!$L$11,1,0),IF(L400='Reverse Search'!$L$11,1,0)))))</f>
        <v>1</v>
      </c>
      <c r="Z400" s="0" t="n">
        <f aca="true">IF('Reverse Search'!$C$14="Disable",1,IF('Reverse Search'!$D$16="Disable",1,IF($C$2=3,IF($M400=0,0,COUNTIF(INDIRECT("'0.0.2 Pokémon Learnset (Core)'!$D$"&amp;MATCH($E400,'0.0.2 Pokémon Learnset (Core)'!$A$1:$A951,0)&amp;":$FK$"&amp;MATCH($E400,'0.0.2 Pokémon Learnset (Core)'!$A$1:$A951,0)),'Reverse Search'!$E$21)),IF($C$2=2,COUNTIF(INDIRECT("'0.1.1 Pokémon GO Moves'!$B$"&amp;MATCH($E400,'0.1.1 Pokémon GO Moves'!$A$1:$A951,0)&amp;":$R$"&amp;MATCH($E400,'0.1.1 Pokémon GO Moves'!$A$1:$A951,0)),'Reverse Search'!$E$21),COUNTIF(INDIRECT("'0.1.1 Pokémon GO Moves'!$B$"&amp;MATCH($E400,'0.1.1 Pokémon GO Moves'!$A$1:$A951,0)&amp;":$L$"&amp;MATCH($E400,'0.1.1 Pokémon GO Moves'!$A$1:$A951,0)),'Reverse Search'!$E$21)))))</f>
        <v>1</v>
      </c>
      <c r="AA400" s="0" t="n">
        <f aca="true">IF('Reverse Search'!$C$14="Disable",1,IF('Reverse Search'!$I$16="Disable",1,IF($D$2=3,IF($M400=0,0,COUNTIF(INDIRECT("'0.0.2 Pokémon Learnset (Core)'!$D$"&amp;MATCH($E400,'0.0.2 Pokémon Learnset (Core)'!$A$1:$A951,0)&amp;":$FK$"&amp;MATCH($E400,'0.0.2 Pokémon Learnset (Core)'!$A$1:$A951,0)),'Reverse Search'!$J$21)),IF($D$2=2,COUNTIF(INDIRECT("'0.1.1 Pokémon GO Moves'!$B$"&amp;MATCH($E400,'0.1.1 Pokémon GO Moves'!$A$1:$A951,0)&amp;":$R$"&amp;MATCH($E400,'0.1.1 Pokémon GO Moves'!$A$1:$A951,0)),'Reverse Search'!$J$21),COUNTIF(INDIRECT("'0.1.1 Pokémon GO Moves'!$B$"&amp;MATCH($E400,'0.1.1 Pokémon GO Moves'!$A$1:$A951,0)&amp;":$L$"&amp;MATCH($E400,'0.1.1 Pokémon GO Moves'!$A$1:$A951,0)),'Reverse Search'!$J$21)))))</f>
        <v>0</v>
      </c>
      <c r="AB400" s="490"/>
      <c r="AC400" s="260" t="n">
        <f aca="false">IF((Q400+R400+S400+V400+W400+X400+Y400+IF(Z400&gt;=1,1,0)+IF(AA400&gt;=1,1,0))=9,G400&amp;", ",)</f>
        <v>0</v>
      </c>
    </row>
    <row r="401" customFormat="false" ht="15.75" hidden="false" customHeight="false" outlineLevel="0" collapsed="false">
      <c r="A401" s="260"/>
      <c r="B401" s="358"/>
      <c r="C401" s="260"/>
      <c r="D401" s="358"/>
      <c r="E401" s="260" t="n">
        <v>400</v>
      </c>
      <c r="F401" s="260" t="n">
        <f aca="false" t="array" ref="F401:F401">INDEX('0.0.1 Pokémon Dex Data'!$H$3:$H951,MATCH(E401,'0.0.1 Pokémon Dex Data'!$B$3:$B951,0))</f>
        <v>0</v>
      </c>
      <c r="G401" s="0" t="str">
        <f aca="false" t="array" ref="G401:G401">INDEX('0.0.1 Pokémon Dex Data'!$E$3:$E951,MATCH(E401,'0.0.1 Pokémon Dex Data'!$B$3:$B951,0))</f>
        <v>Feebas</v>
      </c>
      <c r="H401" s="0" t="str">
        <f aca="false" t="array" ref="H401:H401">INDEX('0.0.1 Pokémon Dex Data'!$Q$3:$Q951,MATCH(E401,'0.0.1 Pokémon Dex Data'!$B$3:$B951,0))</f>
        <v>Water</v>
      </c>
      <c r="I401" s="0" t="n">
        <f aca="false">INDEX('0.0.1 Pokémon Dex Data'!$R$3:$R951,MATCH(E401,'0.0.1 Pokémon Dex Data'!$B$3:$B951,0))</f>
        <v>0</v>
      </c>
      <c r="J401" s="260" t="n">
        <f aca="false" t="array" ref="J401:J401">ROUND(INDEX('0.0.1 Pokémon Dex Data'!$S$3:$S951,MATCH($E401,'0.0.1 Pokémon Dex Data'!$B$3:$B951,0))*INDEX('0.0.1 Pokémon Dex Data'!T$3:T951,MATCH($E401,'0.0.1 Pokémon Dex Data'!$B$3:$B951,0)),0)</f>
        <v>29</v>
      </c>
      <c r="K401" s="260" t="n">
        <f aca="false" t="array" ref="K401:K401">ROUND(INDEX('0.0.1 Pokémon Dex Data'!$S$3:$S951,MATCH($E401,'0.0.1 Pokémon Dex Data'!$B$3:$B951,0))*INDEX('0.0.1 Pokémon Dex Data'!U$3:U951,MATCH($E401,'0.0.1 Pokémon Dex Data'!$B$3:$B951,0)),0)</f>
        <v>85</v>
      </c>
      <c r="L401" s="260" t="n">
        <f aca="false" t="array" ref="L401:L401">ROUND(INDEX('0.0.1 Pokémon Dex Data'!$S$3:$S951,MATCH($E401,'0.0.1 Pokémon Dex Data'!$B$3:$B951,0))*INDEX('0.0.1 Pokémon Dex Data'!V$3:V951,MATCH($E401,'0.0.1 Pokémon Dex Data'!$B$3:$B951,0)),0)</f>
        <v>85</v>
      </c>
      <c r="M401" s="260" t="n">
        <f aca="false" t="array" ref="M401:M401">INDEX('0.0.1 Pokémon Dex Data'!$J$3:$J951,MATCH(E401,'0.0.1 Pokémon Dex Data'!$B$3:$B951,0))</f>
        <v>0</v>
      </c>
      <c r="O401" s="490"/>
      <c r="Q401" s="367" t="n">
        <f aca="false">IF('Reverse Search'!$F$4="All (including temporary formes)",1,IF('Reverse Search'!$F$4="Base Pokémon and permanent formes only",IF(F401&lt;=1,1,0),IF(F401=0,1,0)))</f>
        <v>1</v>
      </c>
      <c r="R401" s="0" t="n">
        <f aca="false">IF('Reverse Search'!$C$7="Disable",1,IF('Reverse Search'!$D$9="Disable",1,IF(OR('Reverse Search'!$F$9=H401,'Reverse Search'!$F$9=I401),1,0)))</f>
        <v>1</v>
      </c>
      <c r="S401" s="0" t="n">
        <f aca="false">IF('Reverse Search'!$C$7="Disable",1,IF('Reverse Search'!$D$10="Disable",1,IF(OR('Reverse Search'!$F$10=H401,'Reverse Search'!$F$10=I401),1,0)))</f>
        <v>1</v>
      </c>
      <c r="T401" s="0" t="n">
        <f aca="false">INDEX($B$4:$B$22,MATCH(H401,$A$4:$A$22,0))</f>
        <v>1</v>
      </c>
      <c r="U401" s="0" t="e">
        <f aca="false">IF(ISBLANK(I401),1,INDEX($B$4:$B$22,MATCH(I401,$A$4:$A$22,0)))</f>
        <v>#N/A</v>
      </c>
      <c r="V401" s="367" t="n">
        <f aca="false">IF('Reverse Search'!$C$7="Disable",1,IF('Reverse Search'!$D$11="Disable",1,IF('Reverse Search'!$E$11="Neutral to:",IF(ROUND(T401*U401,2)&lt;=1,1,0),IF(ROUND(T401*U401,2)&lt;1,1,0))))</f>
        <v>1</v>
      </c>
      <c r="W401" s="0" t="n">
        <f aca="false">IF('Reverse Search'!$N$7="Disable",1,IF('Reverse Search'!$I$9="Disable",1,IF('Reverse Search'!$K$9="≥",IF(J401&gt;='Reverse Search'!$L$9,1,0),IF('Reverse Search'!$K$9="≤",IF(J401&lt;='Reverse Search'!$L$9,1,0),IF(J401='Reverse Search'!$L$9,1,0)))))</f>
        <v>1</v>
      </c>
      <c r="X401" s="0" t="n">
        <f aca="false">IF('Reverse Search'!$N$7="Disable",1,IF('Reverse Search'!$I$10="Disable",1,IF('Reverse Search'!$K$10="≥",IF(K401&gt;='Reverse Search'!$L$10,1,0),IF('Reverse Search'!$K$10="≤",IF(K401&lt;='Reverse Search'!$L$10,1,0),IF(K401='Reverse Search'!$L$10,1,0)))))</f>
        <v>1</v>
      </c>
      <c r="Y401" s="367" t="n">
        <f aca="false">IF('Reverse Search'!$N$7="Disable",1,IF('Reverse Search'!$I$11="Disable",1,IF('Reverse Search'!$K$11="≥",IF(L401&gt;='Reverse Search'!$L$11,1,0),IF('Reverse Search'!$K$11="≤",IF(L401&lt;='Reverse Search'!$L$11,1,0),IF(L401='Reverse Search'!$L$11,1,0)))))</f>
        <v>1</v>
      </c>
      <c r="Z401" s="0" t="n">
        <f aca="true">IF('Reverse Search'!$C$14="Disable",1,IF('Reverse Search'!$D$16="Disable",1,IF($C$2=3,IF($M401=0,0,COUNTIF(INDIRECT("'0.0.2 Pokémon Learnset (Core)'!$D$"&amp;MATCH($E401,'0.0.2 Pokémon Learnset (Core)'!$A$1:$A951,0)&amp;":$FK$"&amp;MATCH($E401,'0.0.2 Pokémon Learnset (Core)'!$A$1:$A951,0)),'Reverse Search'!$E$21)),IF($C$2=2,COUNTIF(INDIRECT("'0.1.1 Pokémon GO Moves'!$B$"&amp;MATCH($E401,'0.1.1 Pokémon GO Moves'!$A$1:$A951,0)&amp;":$R$"&amp;MATCH($E401,'0.1.1 Pokémon GO Moves'!$A$1:$A951,0)),'Reverse Search'!$E$21),COUNTIF(INDIRECT("'0.1.1 Pokémon GO Moves'!$B$"&amp;MATCH($E401,'0.1.1 Pokémon GO Moves'!$A$1:$A951,0)&amp;":$L$"&amp;MATCH($E401,'0.1.1 Pokémon GO Moves'!$A$1:$A951,0)),'Reverse Search'!$E$21)))))</f>
        <v>1</v>
      </c>
      <c r="AA401" s="0" t="n">
        <f aca="true">IF('Reverse Search'!$C$14="Disable",1,IF('Reverse Search'!$I$16="Disable",1,IF($D$2=3,IF($M401=0,0,COUNTIF(INDIRECT("'0.0.2 Pokémon Learnset (Core)'!$D$"&amp;MATCH($E401,'0.0.2 Pokémon Learnset (Core)'!$A$1:$A951,0)&amp;":$FK$"&amp;MATCH($E401,'0.0.2 Pokémon Learnset (Core)'!$A$1:$A951,0)),'Reverse Search'!$J$21)),IF($D$2=2,COUNTIF(INDIRECT("'0.1.1 Pokémon GO Moves'!$B$"&amp;MATCH($E401,'0.1.1 Pokémon GO Moves'!$A$1:$A951,0)&amp;":$R$"&amp;MATCH($E401,'0.1.1 Pokémon GO Moves'!$A$1:$A951,0)),'Reverse Search'!$J$21),COUNTIF(INDIRECT("'0.1.1 Pokémon GO Moves'!$B$"&amp;MATCH($E401,'0.1.1 Pokémon GO Moves'!$A$1:$A951,0)&amp;":$L$"&amp;MATCH($E401,'0.1.1 Pokémon GO Moves'!$A$1:$A951,0)),'Reverse Search'!$J$21)))))</f>
        <v>0</v>
      </c>
      <c r="AB401" s="490"/>
      <c r="AC401" s="260" t="n">
        <f aca="false">IF((Q401+R401+S401+V401+W401+X401+Y401+IF(Z401&gt;=1,1,0)+IF(AA401&gt;=1,1,0))=9,G401&amp;", ",)</f>
        <v>0</v>
      </c>
    </row>
    <row r="402" customFormat="false" ht="15.75" hidden="false" customHeight="false" outlineLevel="0" collapsed="false">
      <c r="A402" s="260"/>
      <c r="B402" s="358"/>
      <c r="C402" s="260"/>
      <c r="D402" s="358"/>
      <c r="E402" s="260" t="n">
        <v>401</v>
      </c>
      <c r="F402" s="260" t="n">
        <f aca="false" t="array" ref="F402:F402">INDEX('0.0.1 Pokémon Dex Data'!$H$3:$H951,MATCH(E402,'0.0.1 Pokémon Dex Data'!$B$3:$B951,0))</f>
        <v>0</v>
      </c>
      <c r="G402" s="0" t="str">
        <f aca="false" t="array" ref="G402:G402">INDEX('0.0.1 Pokémon Dex Data'!$E$3:$E951,MATCH(E402,'0.0.1 Pokémon Dex Data'!$B$3:$B951,0))</f>
        <v>Milotic</v>
      </c>
      <c r="H402" s="0" t="str">
        <f aca="false" t="array" ref="H402:H402">INDEX('0.0.1 Pokémon Dex Data'!$Q$3:$Q951,MATCH(E402,'0.0.1 Pokémon Dex Data'!$B$3:$B951,0))</f>
        <v>Water</v>
      </c>
      <c r="I402" s="0" t="n">
        <f aca="false">INDEX('0.0.1 Pokémon Dex Data'!$R$3:$R951,MATCH(E402,'0.0.1 Pokémon Dex Data'!$B$3:$B951,0))</f>
        <v>0</v>
      </c>
      <c r="J402" s="260" t="n">
        <f aca="false" t="array" ref="J402:J402">ROUND(INDEX('0.0.1 Pokémon Dex Data'!$S$3:$S951,MATCH($E402,'0.0.1 Pokémon Dex Data'!$B$3:$B951,0))*INDEX('0.0.1 Pokémon Dex Data'!T$3:T951,MATCH($E402,'0.0.1 Pokémon Dex Data'!$B$3:$B951,0)),0)</f>
        <v>192</v>
      </c>
      <c r="K402" s="260" t="n">
        <f aca="false" t="array" ref="K402:K402">ROUND(INDEX('0.0.1 Pokémon Dex Data'!$S$3:$S951,MATCH($E402,'0.0.1 Pokémon Dex Data'!$B$3:$B951,0))*INDEX('0.0.1 Pokémon Dex Data'!U$3:U951,MATCH($E402,'0.0.1 Pokémon Dex Data'!$B$3:$B951,0)),0)</f>
        <v>219</v>
      </c>
      <c r="L402" s="260" t="n">
        <f aca="false" t="array" ref="L402:L402">ROUND(INDEX('0.0.1 Pokémon Dex Data'!$S$3:$S951,MATCH($E402,'0.0.1 Pokémon Dex Data'!$B$3:$B951,0))*INDEX('0.0.1 Pokémon Dex Data'!V$3:V951,MATCH($E402,'0.0.1 Pokémon Dex Data'!$B$3:$B951,0)),0)</f>
        <v>216</v>
      </c>
      <c r="M402" s="260" t="n">
        <f aca="false" t="array" ref="M402:M402">INDEX('0.0.1 Pokémon Dex Data'!$J$3:$J951,MATCH(E402,'0.0.1 Pokémon Dex Data'!$B$3:$B951,0))</f>
        <v>1</v>
      </c>
      <c r="O402" s="490"/>
      <c r="Q402" s="367" t="n">
        <f aca="false">IF('Reverse Search'!$F$4="All (including temporary formes)",1,IF('Reverse Search'!$F$4="Base Pokémon and permanent formes only",IF(F402&lt;=1,1,0),IF(F402=0,1,0)))</f>
        <v>1</v>
      </c>
      <c r="R402" s="0" t="n">
        <f aca="false">IF('Reverse Search'!$C$7="Disable",1,IF('Reverse Search'!$D$9="Disable",1,IF(OR('Reverse Search'!$F$9=H402,'Reverse Search'!$F$9=I402),1,0)))</f>
        <v>1</v>
      </c>
      <c r="S402" s="0" t="n">
        <f aca="false">IF('Reverse Search'!$C$7="Disable",1,IF('Reverse Search'!$D$10="Disable",1,IF(OR('Reverse Search'!$F$10=H402,'Reverse Search'!$F$10=I402),1,0)))</f>
        <v>1</v>
      </c>
      <c r="T402" s="0" t="n">
        <f aca="false">INDEX($B$4:$B$22,MATCH(H402,$A$4:$A$22,0))</f>
        <v>1</v>
      </c>
      <c r="U402" s="0" t="e">
        <f aca="false">IF(ISBLANK(I402),1,INDEX($B$4:$B$22,MATCH(I402,$A$4:$A$22,0)))</f>
        <v>#N/A</v>
      </c>
      <c r="V402" s="367" t="n">
        <f aca="false">IF('Reverse Search'!$C$7="Disable",1,IF('Reverse Search'!$D$11="Disable",1,IF('Reverse Search'!$E$11="Neutral to:",IF(ROUND(T402*U402,2)&lt;=1,1,0),IF(ROUND(T402*U402,2)&lt;1,1,0))))</f>
        <v>1</v>
      </c>
      <c r="W402" s="0" t="n">
        <f aca="false">IF('Reverse Search'!$N$7="Disable",1,IF('Reverse Search'!$I$9="Disable",1,IF('Reverse Search'!$K$9="≥",IF(J402&gt;='Reverse Search'!$L$9,1,0),IF('Reverse Search'!$K$9="≤",IF(J402&lt;='Reverse Search'!$L$9,1,0),IF(J402='Reverse Search'!$L$9,1,0)))))</f>
        <v>1</v>
      </c>
      <c r="X402" s="0" t="n">
        <f aca="false">IF('Reverse Search'!$N$7="Disable",1,IF('Reverse Search'!$I$10="Disable",1,IF('Reverse Search'!$K$10="≥",IF(K402&gt;='Reverse Search'!$L$10,1,0),IF('Reverse Search'!$K$10="≤",IF(K402&lt;='Reverse Search'!$L$10,1,0),IF(K402='Reverse Search'!$L$10,1,0)))))</f>
        <v>1</v>
      </c>
      <c r="Y402" s="367" t="n">
        <f aca="false">IF('Reverse Search'!$N$7="Disable",1,IF('Reverse Search'!$I$11="Disable",1,IF('Reverse Search'!$K$11="≥",IF(L402&gt;='Reverse Search'!$L$11,1,0),IF('Reverse Search'!$K$11="≤",IF(L402&lt;='Reverse Search'!$L$11,1,0),IF(L402='Reverse Search'!$L$11,1,0)))))</f>
        <v>1</v>
      </c>
      <c r="Z402" s="0" t="n">
        <f aca="true">IF('Reverse Search'!$C$14="Disable",1,IF('Reverse Search'!$D$16="Disable",1,IF($C$2=3,IF($M402=0,0,COUNTIF(INDIRECT("'0.0.2 Pokémon Learnset (Core)'!$D$"&amp;MATCH($E402,'0.0.2 Pokémon Learnset (Core)'!$A$1:$A951,0)&amp;":$FK$"&amp;MATCH($E402,'0.0.2 Pokémon Learnset (Core)'!$A$1:$A951,0)),'Reverse Search'!$E$21)),IF($C$2=2,COUNTIF(INDIRECT("'0.1.1 Pokémon GO Moves'!$B$"&amp;MATCH($E402,'0.1.1 Pokémon GO Moves'!$A$1:$A951,0)&amp;":$R$"&amp;MATCH($E402,'0.1.1 Pokémon GO Moves'!$A$1:$A951,0)),'Reverse Search'!$E$21),COUNTIF(INDIRECT("'0.1.1 Pokémon GO Moves'!$B$"&amp;MATCH($E402,'0.1.1 Pokémon GO Moves'!$A$1:$A951,0)&amp;":$L$"&amp;MATCH($E402,'0.1.1 Pokémon GO Moves'!$A$1:$A951,0)),'Reverse Search'!$E$21)))))</f>
        <v>1</v>
      </c>
      <c r="AA402" s="0" t="n">
        <f aca="true">IF('Reverse Search'!$C$14="Disable",1,IF('Reverse Search'!$I$16="Disable",1,IF($D$2=3,IF($M402=0,0,COUNTIF(INDIRECT("'0.0.2 Pokémon Learnset (Core)'!$D$"&amp;MATCH($E402,'0.0.2 Pokémon Learnset (Core)'!$A$1:$A951,0)&amp;":$FK$"&amp;MATCH($E402,'0.0.2 Pokémon Learnset (Core)'!$A$1:$A951,0)),'Reverse Search'!$J$21)),IF($D$2=2,COUNTIF(INDIRECT("'0.1.1 Pokémon GO Moves'!$B$"&amp;MATCH($E402,'0.1.1 Pokémon GO Moves'!$A$1:$A951,0)&amp;":$R$"&amp;MATCH($E402,'0.1.1 Pokémon GO Moves'!$A$1:$A951,0)),'Reverse Search'!$J$21),COUNTIF(INDIRECT("'0.1.1 Pokémon GO Moves'!$B$"&amp;MATCH($E402,'0.1.1 Pokémon GO Moves'!$A$1:$A951,0)&amp;":$L$"&amp;MATCH($E402,'0.1.1 Pokémon GO Moves'!$A$1:$A951,0)),'Reverse Search'!$J$21)))))</f>
        <v>0</v>
      </c>
      <c r="AB402" s="490"/>
      <c r="AC402" s="260" t="n">
        <f aca="false">IF((Q402+R402+S402+V402+W402+X402+Y402+IF(Z402&gt;=1,1,0)+IF(AA402&gt;=1,1,0))=9,G402&amp;", ",)</f>
        <v>0</v>
      </c>
    </row>
    <row r="403" customFormat="false" ht="15.75" hidden="false" customHeight="false" outlineLevel="0" collapsed="false">
      <c r="A403" s="260"/>
      <c r="B403" s="358"/>
      <c r="C403" s="260"/>
      <c r="D403" s="358"/>
      <c r="E403" s="260" t="n">
        <v>402</v>
      </c>
      <c r="F403" s="260" t="n">
        <f aca="false" t="array" ref="F403:F403">INDEX('0.0.1 Pokémon Dex Data'!$H$3:$H951,MATCH(E403,'0.0.1 Pokémon Dex Data'!$B$3:$B951,0))</f>
        <v>0</v>
      </c>
      <c r="G403" s="0" t="str">
        <f aca="false" t="array" ref="G403:G403">INDEX('0.0.1 Pokémon Dex Data'!$E$3:$E951,MATCH(E403,'0.0.1 Pokémon Dex Data'!$B$3:$B951,0))</f>
        <v>Castform</v>
      </c>
      <c r="H403" s="0" t="str">
        <f aca="false" t="array" ref="H403:H403">INDEX('0.0.1 Pokémon Dex Data'!$Q$3:$Q951,MATCH(E403,'0.0.1 Pokémon Dex Data'!$B$3:$B951,0))</f>
        <v>Normal</v>
      </c>
      <c r="I403" s="0" t="n">
        <f aca="false">INDEX('0.0.1 Pokémon Dex Data'!$R$3:$R951,MATCH(E403,'0.0.1 Pokémon Dex Data'!$B$3:$B951,0))</f>
        <v>0</v>
      </c>
      <c r="J403" s="260" t="n">
        <f aca="false" t="array" ref="J403:J403">ROUND(INDEX('0.0.1 Pokémon Dex Data'!$S$3:$S951,MATCH($E403,'0.0.1 Pokémon Dex Data'!$B$3:$B951,0))*INDEX('0.0.1 Pokémon Dex Data'!T$3:T951,MATCH($E403,'0.0.1 Pokémon Dex Data'!$B$3:$B951,0)),0)</f>
        <v>139</v>
      </c>
      <c r="K403" s="260" t="n">
        <f aca="false" t="array" ref="K403:K403">ROUND(INDEX('0.0.1 Pokémon Dex Data'!$S$3:$S951,MATCH($E403,'0.0.1 Pokémon Dex Data'!$B$3:$B951,0))*INDEX('0.0.1 Pokémon Dex Data'!U$3:U951,MATCH($E403,'0.0.1 Pokémon Dex Data'!$B$3:$B951,0)),0)</f>
        <v>139</v>
      </c>
      <c r="L403" s="260" t="n">
        <f aca="false" t="array" ref="L403:L403">ROUND(INDEX('0.0.1 Pokémon Dex Data'!$S$3:$S951,MATCH($E403,'0.0.1 Pokémon Dex Data'!$B$3:$B951,0))*INDEX('0.0.1 Pokémon Dex Data'!V$3:V951,MATCH($E403,'0.0.1 Pokémon Dex Data'!$B$3:$B951,0)),0)</f>
        <v>172</v>
      </c>
      <c r="M403" s="260" t="n">
        <f aca="false" t="array" ref="M403:M403">INDEX('0.0.1 Pokémon Dex Data'!$J$3:$J951,MATCH(E403,'0.0.1 Pokémon Dex Data'!$B$3:$B951,0))</f>
        <v>1</v>
      </c>
      <c r="O403" s="490"/>
      <c r="Q403" s="367" t="n">
        <f aca="false">IF('Reverse Search'!$F$4="All (including temporary formes)",1,IF('Reverse Search'!$F$4="Base Pokémon and permanent formes only",IF(F403&lt;=1,1,0),IF(F403=0,1,0)))</f>
        <v>1</v>
      </c>
      <c r="R403" s="0" t="n">
        <f aca="false">IF('Reverse Search'!$C$7="Disable",1,IF('Reverse Search'!$D$9="Disable",1,IF(OR('Reverse Search'!$F$9=H403,'Reverse Search'!$F$9=I403),1,0)))</f>
        <v>1</v>
      </c>
      <c r="S403" s="0" t="n">
        <f aca="false">IF('Reverse Search'!$C$7="Disable",1,IF('Reverse Search'!$D$10="Disable",1,IF(OR('Reverse Search'!$F$10=H403,'Reverse Search'!$F$10=I403),1,0)))</f>
        <v>1</v>
      </c>
      <c r="T403" s="0" t="n">
        <f aca="false">INDEX($B$4:$B$22,MATCH(H403,$A$4:$A$22,0))</f>
        <v>1</v>
      </c>
      <c r="U403" s="0" t="e">
        <f aca="false">IF(ISBLANK(I403),1,INDEX($B$4:$B$22,MATCH(I403,$A$4:$A$22,0)))</f>
        <v>#N/A</v>
      </c>
      <c r="V403" s="367" t="n">
        <f aca="false">IF('Reverse Search'!$C$7="Disable",1,IF('Reverse Search'!$D$11="Disable",1,IF('Reverse Search'!$E$11="Neutral to:",IF(ROUND(T403*U403,2)&lt;=1,1,0),IF(ROUND(T403*U403,2)&lt;1,1,0))))</f>
        <v>1</v>
      </c>
      <c r="W403" s="0" t="n">
        <f aca="false">IF('Reverse Search'!$N$7="Disable",1,IF('Reverse Search'!$I$9="Disable",1,IF('Reverse Search'!$K$9="≥",IF(J403&gt;='Reverse Search'!$L$9,1,0),IF('Reverse Search'!$K$9="≤",IF(J403&lt;='Reverse Search'!$L$9,1,0),IF(J403='Reverse Search'!$L$9,1,0)))))</f>
        <v>1</v>
      </c>
      <c r="X403" s="0" t="n">
        <f aca="false">IF('Reverse Search'!$N$7="Disable",1,IF('Reverse Search'!$I$10="Disable",1,IF('Reverse Search'!$K$10="≥",IF(K403&gt;='Reverse Search'!$L$10,1,0),IF('Reverse Search'!$K$10="≤",IF(K403&lt;='Reverse Search'!$L$10,1,0),IF(K403='Reverse Search'!$L$10,1,0)))))</f>
        <v>1</v>
      </c>
      <c r="Y403" s="367" t="n">
        <f aca="false">IF('Reverse Search'!$N$7="Disable",1,IF('Reverse Search'!$I$11="Disable",1,IF('Reverse Search'!$K$11="≥",IF(L403&gt;='Reverse Search'!$L$11,1,0),IF('Reverse Search'!$K$11="≤",IF(L403&lt;='Reverse Search'!$L$11,1,0),IF(L403='Reverse Search'!$L$11,1,0)))))</f>
        <v>1</v>
      </c>
      <c r="Z403" s="0" t="n">
        <f aca="true">IF('Reverse Search'!$C$14="Disable",1,IF('Reverse Search'!$D$16="Disable",1,IF($C$2=3,IF($M403=0,0,COUNTIF(INDIRECT("'0.0.2 Pokémon Learnset (Core)'!$D$"&amp;MATCH($E403,'0.0.2 Pokémon Learnset (Core)'!$A$1:$A951,0)&amp;":$FK$"&amp;MATCH($E403,'0.0.2 Pokémon Learnset (Core)'!$A$1:$A951,0)),'Reverse Search'!$E$21)),IF($C$2=2,COUNTIF(INDIRECT("'0.1.1 Pokémon GO Moves'!$B$"&amp;MATCH($E403,'0.1.1 Pokémon GO Moves'!$A$1:$A951,0)&amp;":$R$"&amp;MATCH($E403,'0.1.1 Pokémon GO Moves'!$A$1:$A951,0)),'Reverse Search'!$E$21),COUNTIF(INDIRECT("'0.1.1 Pokémon GO Moves'!$B$"&amp;MATCH($E403,'0.1.1 Pokémon GO Moves'!$A$1:$A951,0)&amp;":$L$"&amp;MATCH($E403,'0.1.1 Pokémon GO Moves'!$A$1:$A951,0)),'Reverse Search'!$E$21)))))</f>
        <v>1</v>
      </c>
      <c r="AA403" s="0" t="n">
        <f aca="true">IF('Reverse Search'!$C$14="Disable",1,IF('Reverse Search'!$I$16="Disable",1,IF($D$2=3,IF($M403=0,0,COUNTIF(INDIRECT("'0.0.2 Pokémon Learnset (Core)'!$D$"&amp;MATCH($E403,'0.0.2 Pokémon Learnset (Core)'!$A$1:$A951,0)&amp;":$FK$"&amp;MATCH($E403,'0.0.2 Pokémon Learnset (Core)'!$A$1:$A951,0)),'Reverse Search'!$J$21)),IF($D$2=2,COUNTIF(INDIRECT("'0.1.1 Pokémon GO Moves'!$B$"&amp;MATCH($E403,'0.1.1 Pokémon GO Moves'!$A$1:$A951,0)&amp;":$R$"&amp;MATCH($E403,'0.1.1 Pokémon GO Moves'!$A$1:$A951,0)),'Reverse Search'!$J$21),COUNTIF(INDIRECT("'0.1.1 Pokémon GO Moves'!$B$"&amp;MATCH($E403,'0.1.1 Pokémon GO Moves'!$A$1:$A951,0)&amp;":$L$"&amp;MATCH($E403,'0.1.1 Pokémon GO Moves'!$A$1:$A951,0)),'Reverse Search'!$J$21)))))</f>
        <v>0</v>
      </c>
      <c r="AB403" s="490"/>
      <c r="AC403" s="260" t="n">
        <f aca="false">IF((Q403+R403+S403+V403+W403+X403+Y403+IF(Z403&gt;=1,1,0)+IF(AA403&gt;=1,1,0))=9,G403&amp;", ",)</f>
        <v>0</v>
      </c>
    </row>
    <row r="404" customFormat="false" ht="15.75" hidden="false" customHeight="false" outlineLevel="0" collapsed="false">
      <c r="A404" s="260"/>
      <c r="B404" s="358"/>
      <c r="C404" s="260"/>
      <c r="D404" s="358"/>
      <c r="E404" s="260" t="n">
        <v>403</v>
      </c>
      <c r="F404" s="260" t="n">
        <f aca="false" t="array" ref="F404:F404">INDEX('0.0.1 Pokémon Dex Data'!$H$3:$H951,MATCH(E404,'0.0.1 Pokémon Dex Data'!$B$3:$B951,0))</f>
        <v>1</v>
      </c>
      <c r="G404" s="0" t="str">
        <f aca="false" t="array" ref="G404:G404">INDEX('0.0.1 Pokémon Dex Data'!$E$3:$E951,MATCH(E404,'0.0.1 Pokémon Dex Data'!$B$3:$B951,0))</f>
        <v>Castform-Sunny</v>
      </c>
      <c r="H404" s="0" t="str">
        <f aca="false" t="array" ref="H404:H404">INDEX('0.0.1 Pokémon Dex Data'!$Q$3:$Q951,MATCH(E404,'0.0.1 Pokémon Dex Data'!$B$3:$B951,0))</f>
        <v>Fire</v>
      </c>
      <c r="I404" s="0" t="n">
        <f aca="false">INDEX('0.0.1 Pokémon Dex Data'!$R$3:$R951,MATCH(E404,'0.0.1 Pokémon Dex Data'!$B$3:$B951,0))</f>
        <v>0</v>
      </c>
      <c r="J404" s="260" t="n">
        <f aca="false" t="array" ref="J404:J404">ROUND(INDEX('0.0.1 Pokémon Dex Data'!$S$3:$S951,MATCH($E404,'0.0.1 Pokémon Dex Data'!$B$3:$B951,0))*INDEX('0.0.1 Pokémon Dex Data'!T$3:T951,MATCH($E404,'0.0.1 Pokémon Dex Data'!$B$3:$B951,0)),0)</f>
        <v>139</v>
      </c>
      <c r="K404" s="260" t="n">
        <f aca="false" t="array" ref="K404:K404">ROUND(INDEX('0.0.1 Pokémon Dex Data'!$S$3:$S951,MATCH($E404,'0.0.1 Pokémon Dex Data'!$B$3:$B951,0))*INDEX('0.0.1 Pokémon Dex Data'!U$3:U951,MATCH($E404,'0.0.1 Pokémon Dex Data'!$B$3:$B951,0)),0)</f>
        <v>139</v>
      </c>
      <c r="L404" s="260" t="n">
        <f aca="false" t="array" ref="L404:L404">ROUND(INDEX('0.0.1 Pokémon Dex Data'!$S$3:$S951,MATCH($E404,'0.0.1 Pokémon Dex Data'!$B$3:$B951,0))*INDEX('0.0.1 Pokémon Dex Data'!V$3:V951,MATCH($E404,'0.0.1 Pokémon Dex Data'!$B$3:$B951,0)),0)</f>
        <v>172</v>
      </c>
      <c r="M404" s="260" t="n">
        <f aca="false" t="array" ref="M404:M404">INDEX('0.0.1 Pokémon Dex Data'!$J$3:$J951,MATCH(E404,'0.0.1 Pokémon Dex Data'!$B$3:$B951,0))</f>
        <v>1</v>
      </c>
      <c r="O404" s="490"/>
      <c r="Q404" s="367" t="n">
        <f aca="false">IF('Reverse Search'!$F$4="All (including temporary formes)",1,IF('Reverse Search'!$F$4="Base Pokémon and permanent formes only",IF(F404&lt;=1,1,0),IF(F404=0,1,0)))</f>
        <v>0</v>
      </c>
      <c r="R404" s="0" t="n">
        <f aca="false">IF('Reverse Search'!$C$7="Disable",1,IF('Reverse Search'!$D$9="Disable",1,IF(OR('Reverse Search'!$F$9=H404,'Reverse Search'!$F$9=I404),1,0)))</f>
        <v>1</v>
      </c>
      <c r="S404" s="0" t="n">
        <f aca="false">IF('Reverse Search'!$C$7="Disable",1,IF('Reverse Search'!$D$10="Disable",1,IF(OR('Reverse Search'!$F$10=H404,'Reverse Search'!$F$10=I404),1,0)))</f>
        <v>1</v>
      </c>
      <c r="T404" s="0" t="n">
        <f aca="false">INDEX($B$4:$B$22,MATCH(H404,$A$4:$A$22,0))</f>
        <v>1</v>
      </c>
      <c r="U404" s="0" t="e">
        <f aca="false">IF(ISBLANK(I404),1,INDEX($B$4:$B$22,MATCH(I404,$A$4:$A$22,0)))</f>
        <v>#N/A</v>
      </c>
      <c r="V404" s="367" t="n">
        <f aca="false">IF('Reverse Search'!$C$7="Disable",1,IF('Reverse Search'!$D$11="Disable",1,IF('Reverse Search'!$E$11="Neutral to:",IF(ROUND(T404*U404,2)&lt;=1,1,0),IF(ROUND(T404*U404,2)&lt;1,1,0))))</f>
        <v>1</v>
      </c>
      <c r="W404" s="0" t="n">
        <f aca="false">IF('Reverse Search'!$N$7="Disable",1,IF('Reverse Search'!$I$9="Disable",1,IF('Reverse Search'!$K$9="≥",IF(J404&gt;='Reverse Search'!$L$9,1,0),IF('Reverse Search'!$K$9="≤",IF(J404&lt;='Reverse Search'!$L$9,1,0),IF(J404='Reverse Search'!$L$9,1,0)))))</f>
        <v>1</v>
      </c>
      <c r="X404" s="0" t="n">
        <f aca="false">IF('Reverse Search'!$N$7="Disable",1,IF('Reverse Search'!$I$10="Disable",1,IF('Reverse Search'!$K$10="≥",IF(K404&gt;='Reverse Search'!$L$10,1,0),IF('Reverse Search'!$K$10="≤",IF(K404&lt;='Reverse Search'!$L$10,1,0),IF(K404='Reverse Search'!$L$10,1,0)))))</f>
        <v>1</v>
      </c>
      <c r="Y404" s="367" t="n">
        <f aca="false">IF('Reverse Search'!$N$7="Disable",1,IF('Reverse Search'!$I$11="Disable",1,IF('Reverse Search'!$K$11="≥",IF(L404&gt;='Reverse Search'!$L$11,1,0),IF('Reverse Search'!$K$11="≤",IF(L404&lt;='Reverse Search'!$L$11,1,0),IF(L404='Reverse Search'!$L$11,1,0)))))</f>
        <v>1</v>
      </c>
      <c r="Z404" s="0" t="n">
        <f aca="true">IF('Reverse Search'!$C$14="Disable",1,IF('Reverse Search'!$D$16="Disable",1,IF($C$2=3,IF($M404=0,0,COUNTIF(INDIRECT("'0.0.2 Pokémon Learnset (Core)'!$D$"&amp;MATCH($E404,'0.0.2 Pokémon Learnset (Core)'!$A$1:$A951,0)&amp;":$FK$"&amp;MATCH($E404,'0.0.2 Pokémon Learnset (Core)'!$A$1:$A951,0)),'Reverse Search'!$E$21)),IF($C$2=2,COUNTIF(INDIRECT("'0.1.1 Pokémon GO Moves'!$B$"&amp;MATCH($E404,'0.1.1 Pokémon GO Moves'!$A$1:$A951,0)&amp;":$R$"&amp;MATCH($E404,'0.1.1 Pokémon GO Moves'!$A$1:$A951,0)),'Reverse Search'!$E$21),COUNTIF(INDIRECT("'0.1.1 Pokémon GO Moves'!$B$"&amp;MATCH($E404,'0.1.1 Pokémon GO Moves'!$A$1:$A951,0)&amp;":$L$"&amp;MATCH($E404,'0.1.1 Pokémon GO Moves'!$A$1:$A951,0)),'Reverse Search'!$E$21)))))</f>
        <v>1</v>
      </c>
      <c r="AA404" s="0" t="n">
        <f aca="true">IF('Reverse Search'!$C$14="Disable",1,IF('Reverse Search'!$I$16="Disable",1,IF($D$2=3,IF($M404=0,0,COUNTIF(INDIRECT("'0.0.2 Pokémon Learnset (Core)'!$D$"&amp;MATCH($E404,'0.0.2 Pokémon Learnset (Core)'!$A$1:$A951,0)&amp;":$FK$"&amp;MATCH($E404,'0.0.2 Pokémon Learnset (Core)'!$A$1:$A951,0)),'Reverse Search'!$J$21)),IF($D$2=2,COUNTIF(INDIRECT("'0.1.1 Pokémon GO Moves'!$B$"&amp;MATCH($E404,'0.1.1 Pokémon GO Moves'!$A$1:$A951,0)&amp;":$R$"&amp;MATCH($E404,'0.1.1 Pokémon GO Moves'!$A$1:$A951,0)),'Reverse Search'!$J$21),COUNTIF(INDIRECT("'0.1.1 Pokémon GO Moves'!$B$"&amp;MATCH($E404,'0.1.1 Pokémon GO Moves'!$A$1:$A951,0)&amp;":$L$"&amp;MATCH($E404,'0.1.1 Pokémon GO Moves'!$A$1:$A951,0)),'Reverse Search'!$J$21)))))</f>
        <v>0</v>
      </c>
      <c r="AB404" s="490"/>
      <c r="AC404" s="260" t="n">
        <f aca="false">IF((Q404+R404+S404+V404+W404+X404+Y404+IF(Z404&gt;=1,1,0)+IF(AA404&gt;=1,1,0))=9,G404&amp;", ",)</f>
        <v>0</v>
      </c>
    </row>
    <row r="405" customFormat="false" ht="15.75" hidden="false" customHeight="false" outlineLevel="0" collapsed="false">
      <c r="A405" s="260"/>
      <c r="B405" s="358"/>
      <c r="C405" s="260"/>
      <c r="D405" s="358"/>
      <c r="E405" s="260" t="n">
        <v>404</v>
      </c>
      <c r="F405" s="260" t="n">
        <f aca="false" t="array" ref="F405:F405">INDEX('0.0.1 Pokémon Dex Data'!$H$3:$H951,MATCH(E405,'0.0.1 Pokémon Dex Data'!$B$3:$B951,0))</f>
        <v>1</v>
      </c>
      <c r="G405" s="0" t="str">
        <f aca="false" t="array" ref="G405:G405">INDEX('0.0.1 Pokémon Dex Data'!$E$3:$E951,MATCH(E405,'0.0.1 Pokémon Dex Data'!$B$3:$B951,0))</f>
        <v>Castform-Rainy</v>
      </c>
      <c r="H405" s="0" t="str">
        <f aca="false" t="array" ref="H405:H405">INDEX('0.0.1 Pokémon Dex Data'!$Q$3:$Q951,MATCH(E405,'0.0.1 Pokémon Dex Data'!$B$3:$B951,0))</f>
        <v>Water</v>
      </c>
      <c r="I405" s="0" t="n">
        <f aca="false">INDEX('0.0.1 Pokémon Dex Data'!$R$3:$R951,MATCH(E405,'0.0.1 Pokémon Dex Data'!$B$3:$B951,0))</f>
        <v>0</v>
      </c>
      <c r="J405" s="260" t="n">
        <f aca="false" t="array" ref="J405:J405">ROUND(INDEX('0.0.1 Pokémon Dex Data'!$S$3:$S951,MATCH($E405,'0.0.1 Pokémon Dex Data'!$B$3:$B951,0))*INDEX('0.0.1 Pokémon Dex Data'!T$3:T951,MATCH($E405,'0.0.1 Pokémon Dex Data'!$B$3:$B951,0)),0)</f>
        <v>139</v>
      </c>
      <c r="K405" s="260" t="n">
        <f aca="false" t="array" ref="K405:K405">ROUND(INDEX('0.0.1 Pokémon Dex Data'!$S$3:$S951,MATCH($E405,'0.0.1 Pokémon Dex Data'!$B$3:$B951,0))*INDEX('0.0.1 Pokémon Dex Data'!U$3:U951,MATCH($E405,'0.0.1 Pokémon Dex Data'!$B$3:$B951,0)),0)</f>
        <v>139</v>
      </c>
      <c r="L405" s="260" t="n">
        <f aca="false" t="array" ref="L405:L405">ROUND(INDEX('0.0.1 Pokémon Dex Data'!$S$3:$S951,MATCH($E405,'0.0.1 Pokémon Dex Data'!$B$3:$B951,0))*INDEX('0.0.1 Pokémon Dex Data'!V$3:V951,MATCH($E405,'0.0.1 Pokémon Dex Data'!$B$3:$B951,0)),0)</f>
        <v>172</v>
      </c>
      <c r="M405" s="260" t="n">
        <f aca="false" t="array" ref="M405:M405">INDEX('0.0.1 Pokémon Dex Data'!$J$3:$J951,MATCH(E405,'0.0.1 Pokémon Dex Data'!$B$3:$B951,0))</f>
        <v>1</v>
      </c>
      <c r="O405" s="490"/>
      <c r="Q405" s="367" t="n">
        <f aca="false">IF('Reverse Search'!$F$4="All (including temporary formes)",1,IF('Reverse Search'!$F$4="Base Pokémon and permanent formes only",IF(F405&lt;=1,1,0),IF(F405=0,1,0)))</f>
        <v>0</v>
      </c>
      <c r="R405" s="0" t="n">
        <f aca="false">IF('Reverse Search'!$C$7="Disable",1,IF('Reverse Search'!$D$9="Disable",1,IF(OR('Reverse Search'!$F$9=H405,'Reverse Search'!$F$9=I405),1,0)))</f>
        <v>1</v>
      </c>
      <c r="S405" s="0" t="n">
        <f aca="false">IF('Reverse Search'!$C$7="Disable",1,IF('Reverse Search'!$D$10="Disable",1,IF(OR('Reverse Search'!$F$10=H405,'Reverse Search'!$F$10=I405),1,0)))</f>
        <v>1</v>
      </c>
      <c r="T405" s="0" t="n">
        <f aca="false">INDEX($B$4:$B$22,MATCH(H405,$A$4:$A$22,0))</f>
        <v>1</v>
      </c>
      <c r="U405" s="0" t="e">
        <f aca="false">IF(ISBLANK(I405),1,INDEX($B$4:$B$22,MATCH(I405,$A$4:$A$22,0)))</f>
        <v>#N/A</v>
      </c>
      <c r="V405" s="367" t="n">
        <f aca="false">IF('Reverse Search'!$C$7="Disable",1,IF('Reverse Search'!$D$11="Disable",1,IF('Reverse Search'!$E$11="Neutral to:",IF(ROUND(T405*U405,2)&lt;=1,1,0),IF(ROUND(T405*U405,2)&lt;1,1,0))))</f>
        <v>1</v>
      </c>
      <c r="W405" s="0" t="n">
        <f aca="false">IF('Reverse Search'!$N$7="Disable",1,IF('Reverse Search'!$I$9="Disable",1,IF('Reverse Search'!$K$9="≥",IF(J405&gt;='Reverse Search'!$L$9,1,0),IF('Reverse Search'!$K$9="≤",IF(J405&lt;='Reverse Search'!$L$9,1,0),IF(J405='Reverse Search'!$L$9,1,0)))))</f>
        <v>1</v>
      </c>
      <c r="X405" s="0" t="n">
        <f aca="false">IF('Reverse Search'!$N$7="Disable",1,IF('Reverse Search'!$I$10="Disable",1,IF('Reverse Search'!$K$10="≥",IF(K405&gt;='Reverse Search'!$L$10,1,0),IF('Reverse Search'!$K$10="≤",IF(K405&lt;='Reverse Search'!$L$10,1,0),IF(K405='Reverse Search'!$L$10,1,0)))))</f>
        <v>1</v>
      </c>
      <c r="Y405" s="367" t="n">
        <f aca="false">IF('Reverse Search'!$N$7="Disable",1,IF('Reverse Search'!$I$11="Disable",1,IF('Reverse Search'!$K$11="≥",IF(L405&gt;='Reverse Search'!$L$11,1,0),IF('Reverse Search'!$K$11="≤",IF(L405&lt;='Reverse Search'!$L$11,1,0),IF(L405='Reverse Search'!$L$11,1,0)))))</f>
        <v>1</v>
      </c>
      <c r="Z405" s="0" t="n">
        <f aca="true">IF('Reverse Search'!$C$14="Disable",1,IF('Reverse Search'!$D$16="Disable",1,IF($C$2=3,IF($M405=0,0,COUNTIF(INDIRECT("'0.0.2 Pokémon Learnset (Core)'!$D$"&amp;MATCH($E405,'0.0.2 Pokémon Learnset (Core)'!$A$1:$A951,0)&amp;":$FK$"&amp;MATCH($E405,'0.0.2 Pokémon Learnset (Core)'!$A$1:$A951,0)),'Reverse Search'!$E$21)),IF($C$2=2,COUNTIF(INDIRECT("'0.1.1 Pokémon GO Moves'!$B$"&amp;MATCH($E405,'0.1.1 Pokémon GO Moves'!$A$1:$A951,0)&amp;":$R$"&amp;MATCH($E405,'0.1.1 Pokémon GO Moves'!$A$1:$A951,0)),'Reverse Search'!$E$21),COUNTIF(INDIRECT("'0.1.1 Pokémon GO Moves'!$B$"&amp;MATCH($E405,'0.1.1 Pokémon GO Moves'!$A$1:$A951,0)&amp;":$L$"&amp;MATCH($E405,'0.1.1 Pokémon GO Moves'!$A$1:$A951,0)),'Reverse Search'!$E$21)))))</f>
        <v>1</v>
      </c>
      <c r="AA405" s="0" t="n">
        <f aca="true">IF('Reverse Search'!$C$14="Disable",1,IF('Reverse Search'!$I$16="Disable",1,IF($D$2=3,IF($M405=0,0,COUNTIF(INDIRECT("'0.0.2 Pokémon Learnset (Core)'!$D$"&amp;MATCH($E405,'0.0.2 Pokémon Learnset (Core)'!$A$1:$A951,0)&amp;":$FK$"&amp;MATCH($E405,'0.0.2 Pokémon Learnset (Core)'!$A$1:$A951,0)),'Reverse Search'!$J$21)),IF($D$2=2,COUNTIF(INDIRECT("'0.1.1 Pokémon GO Moves'!$B$"&amp;MATCH($E405,'0.1.1 Pokémon GO Moves'!$A$1:$A951,0)&amp;":$R$"&amp;MATCH($E405,'0.1.1 Pokémon GO Moves'!$A$1:$A951,0)),'Reverse Search'!$J$21),COUNTIF(INDIRECT("'0.1.1 Pokémon GO Moves'!$B$"&amp;MATCH($E405,'0.1.1 Pokémon GO Moves'!$A$1:$A951,0)&amp;":$L$"&amp;MATCH($E405,'0.1.1 Pokémon GO Moves'!$A$1:$A951,0)),'Reverse Search'!$J$21)))))</f>
        <v>0</v>
      </c>
      <c r="AB405" s="490"/>
      <c r="AC405" s="260" t="n">
        <f aca="false">IF((Q405+R405+S405+V405+W405+X405+Y405+IF(Z405&gt;=1,1,0)+IF(AA405&gt;=1,1,0))=9,G405&amp;", ",)</f>
        <v>0</v>
      </c>
    </row>
    <row r="406" customFormat="false" ht="15.75" hidden="false" customHeight="false" outlineLevel="0" collapsed="false">
      <c r="A406" s="260"/>
      <c r="B406" s="358"/>
      <c r="C406" s="260"/>
      <c r="D406" s="358"/>
      <c r="E406" s="260" t="n">
        <v>405</v>
      </c>
      <c r="F406" s="260" t="n">
        <f aca="false" t="array" ref="F406:F406">INDEX('0.0.1 Pokémon Dex Data'!$H$3:$H951,MATCH(E406,'0.0.1 Pokémon Dex Data'!$B$3:$B951,0))</f>
        <v>1</v>
      </c>
      <c r="G406" s="0" t="str">
        <f aca="false" t="array" ref="G406:G406">INDEX('0.0.1 Pokémon Dex Data'!$E$3:$E951,MATCH(E406,'0.0.1 Pokémon Dex Data'!$B$3:$B951,0))</f>
        <v>Castform-Snowy</v>
      </c>
      <c r="H406" s="0" t="str">
        <f aca="false" t="array" ref="H406:H406">INDEX('0.0.1 Pokémon Dex Data'!$Q$3:$Q951,MATCH(E406,'0.0.1 Pokémon Dex Data'!$B$3:$B951,0))</f>
        <v>Ice</v>
      </c>
      <c r="I406" s="0" t="n">
        <f aca="false">INDEX('0.0.1 Pokémon Dex Data'!$R$3:$R951,MATCH(E406,'0.0.1 Pokémon Dex Data'!$B$3:$B951,0))</f>
        <v>0</v>
      </c>
      <c r="J406" s="260" t="n">
        <f aca="false" t="array" ref="J406:J406">ROUND(INDEX('0.0.1 Pokémon Dex Data'!$S$3:$S951,MATCH($E406,'0.0.1 Pokémon Dex Data'!$B$3:$B951,0))*INDEX('0.0.1 Pokémon Dex Data'!T$3:T951,MATCH($E406,'0.0.1 Pokémon Dex Data'!$B$3:$B951,0)),0)</f>
        <v>139</v>
      </c>
      <c r="K406" s="260" t="n">
        <f aca="false" t="array" ref="K406:K406">ROUND(INDEX('0.0.1 Pokémon Dex Data'!$S$3:$S951,MATCH($E406,'0.0.1 Pokémon Dex Data'!$B$3:$B951,0))*INDEX('0.0.1 Pokémon Dex Data'!U$3:U951,MATCH($E406,'0.0.1 Pokémon Dex Data'!$B$3:$B951,0)),0)</f>
        <v>139</v>
      </c>
      <c r="L406" s="260" t="n">
        <f aca="false" t="array" ref="L406:L406">ROUND(INDEX('0.0.1 Pokémon Dex Data'!$S$3:$S951,MATCH($E406,'0.0.1 Pokémon Dex Data'!$B$3:$B951,0))*INDEX('0.0.1 Pokémon Dex Data'!V$3:V951,MATCH($E406,'0.0.1 Pokémon Dex Data'!$B$3:$B951,0)),0)</f>
        <v>172</v>
      </c>
      <c r="M406" s="260" t="n">
        <f aca="false" t="array" ref="M406:M406">INDEX('0.0.1 Pokémon Dex Data'!$J$3:$J951,MATCH(E406,'0.0.1 Pokémon Dex Data'!$B$3:$B951,0))</f>
        <v>1</v>
      </c>
      <c r="O406" s="490"/>
      <c r="Q406" s="367" t="n">
        <f aca="false">IF('Reverse Search'!$F$4="All (including temporary formes)",1,IF('Reverse Search'!$F$4="Base Pokémon and permanent formes only",IF(F406&lt;=1,1,0),IF(F406=0,1,0)))</f>
        <v>0</v>
      </c>
      <c r="R406" s="0" t="n">
        <f aca="false">IF('Reverse Search'!$C$7="Disable",1,IF('Reverse Search'!$D$9="Disable",1,IF(OR('Reverse Search'!$F$9=H406,'Reverse Search'!$F$9=I406),1,0)))</f>
        <v>1</v>
      </c>
      <c r="S406" s="0" t="n">
        <f aca="false">IF('Reverse Search'!$C$7="Disable",1,IF('Reverse Search'!$D$10="Disable",1,IF(OR('Reverse Search'!$F$10=H406,'Reverse Search'!$F$10=I406),1,0)))</f>
        <v>1</v>
      </c>
      <c r="T406" s="0" t="n">
        <f aca="false">INDEX($B$4:$B$22,MATCH(H406,$A$4:$A$22,0))</f>
        <v>1</v>
      </c>
      <c r="U406" s="0" t="e">
        <f aca="false">IF(ISBLANK(I406),1,INDEX($B$4:$B$22,MATCH(I406,$A$4:$A$22,0)))</f>
        <v>#N/A</v>
      </c>
      <c r="V406" s="367" t="n">
        <f aca="false">IF('Reverse Search'!$C$7="Disable",1,IF('Reverse Search'!$D$11="Disable",1,IF('Reverse Search'!$E$11="Neutral to:",IF(ROUND(T406*U406,2)&lt;=1,1,0),IF(ROUND(T406*U406,2)&lt;1,1,0))))</f>
        <v>1</v>
      </c>
      <c r="W406" s="0" t="n">
        <f aca="false">IF('Reverse Search'!$N$7="Disable",1,IF('Reverse Search'!$I$9="Disable",1,IF('Reverse Search'!$K$9="≥",IF(J406&gt;='Reverse Search'!$L$9,1,0),IF('Reverse Search'!$K$9="≤",IF(J406&lt;='Reverse Search'!$L$9,1,0),IF(J406='Reverse Search'!$L$9,1,0)))))</f>
        <v>1</v>
      </c>
      <c r="X406" s="0" t="n">
        <f aca="false">IF('Reverse Search'!$N$7="Disable",1,IF('Reverse Search'!$I$10="Disable",1,IF('Reverse Search'!$K$10="≥",IF(K406&gt;='Reverse Search'!$L$10,1,0),IF('Reverse Search'!$K$10="≤",IF(K406&lt;='Reverse Search'!$L$10,1,0),IF(K406='Reverse Search'!$L$10,1,0)))))</f>
        <v>1</v>
      </c>
      <c r="Y406" s="367" t="n">
        <f aca="false">IF('Reverse Search'!$N$7="Disable",1,IF('Reverse Search'!$I$11="Disable",1,IF('Reverse Search'!$K$11="≥",IF(L406&gt;='Reverse Search'!$L$11,1,0),IF('Reverse Search'!$K$11="≤",IF(L406&lt;='Reverse Search'!$L$11,1,0),IF(L406='Reverse Search'!$L$11,1,0)))))</f>
        <v>1</v>
      </c>
      <c r="Z406" s="0" t="n">
        <f aca="true">IF('Reverse Search'!$C$14="Disable",1,IF('Reverse Search'!$D$16="Disable",1,IF($C$2=3,IF($M406=0,0,COUNTIF(INDIRECT("'0.0.2 Pokémon Learnset (Core)'!$D$"&amp;MATCH($E406,'0.0.2 Pokémon Learnset (Core)'!$A$1:$A951,0)&amp;":$FK$"&amp;MATCH($E406,'0.0.2 Pokémon Learnset (Core)'!$A$1:$A951,0)),'Reverse Search'!$E$21)),IF($C$2=2,COUNTIF(INDIRECT("'0.1.1 Pokémon GO Moves'!$B$"&amp;MATCH($E406,'0.1.1 Pokémon GO Moves'!$A$1:$A951,0)&amp;":$R$"&amp;MATCH($E406,'0.1.1 Pokémon GO Moves'!$A$1:$A951,0)),'Reverse Search'!$E$21),COUNTIF(INDIRECT("'0.1.1 Pokémon GO Moves'!$B$"&amp;MATCH($E406,'0.1.1 Pokémon GO Moves'!$A$1:$A951,0)&amp;":$L$"&amp;MATCH($E406,'0.1.1 Pokémon GO Moves'!$A$1:$A951,0)),'Reverse Search'!$E$21)))))</f>
        <v>1</v>
      </c>
      <c r="AA406" s="0" t="n">
        <f aca="true">IF('Reverse Search'!$C$14="Disable",1,IF('Reverse Search'!$I$16="Disable",1,IF($D$2=3,IF($M406=0,0,COUNTIF(INDIRECT("'0.0.2 Pokémon Learnset (Core)'!$D$"&amp;MATCH($E406,'0.0.2 Pokémon Learnset (Core)'!$A$1:$A951,0)&amp;":$FK$"&amp;MATCH($E406,'0.0.2 Pokémon Learnset (Core)'!$A$1:$A951,0)),'Reverse Search'!$J$21)),IF($D$2=2,COUNTIF(INDIRECT("'0.1.1 Pokémon GO Moves'!$B$"&amp;MATCH($E406,'0.1.1 Pokémon GO Moves'!$A$1:$A951,0)&amp;":$R$"&amp;MATCH($E406,'0.1.1 Pokémon GO Moves'!$A$1:$A951,0)),'Reverse Search'!$J$21),COUNTIF(INDIRECT("'0.1.1 Pokémon GO Moves'!$B$"&amp;MATCH($E406,'0.1.1 Pokémon GO Moves'!$A$1:$A951,0)&amp;":$L$"&amp;MATCH($E406,'0.1.1 Pokémon GO Moves'!$A$1:$A951,0)),'Reverse Search'!$J$21)))))</f>
        <v>0</v>
      </c>
      <c r="AB406" s="490"/>
      <c r="AC406" s="260" t="n">
        <f aca="false">IF((Q406+R406+S406+V406+W406+X406+Y406+IF(Z406&gt;=1,1,0)+IF(AA406&gt;=1,1,0))=9,G406&amp;", ",)</f>
        <v>0</v>
      </c>
    </row>
    <row r="407" customFormat="false" ht="15.75" hidden="false" customHeight="false" outlineLevel="0" collapsed="false">
      <c r="A407" s="260"/>
      <c r="B407" s="358"/>
      <c r="C407" s="260"/>
      <c r="D407" s="358"/>
      <c r="E407" s="260" t="n">
        <v>406</v>
      </c>
      <c r="F407" s="260" t="n">
        <f aca="false" t="array" ref="F407:F407">INDEX('0.0.1 Pokémon Dex Data'!$H$3:$H951,MATCH(E407,'0.0.1 Pokémon Dex Data'!$B$3:$B951,0))</f>
        <v>0</v>
      </c>
      <c r="G407" s="0" t="str">
        <f aca="false" t="array" ref="G407:G407">INDEX('0.0.1 Pokémon Dex Data'!$E$3:$E951,MATCH(E407,'0.0.1 Pokémon Dex Data'!$B$3:$B951,0))</f>
        <v>Kecleon</v>
      </c>
      <c r="H407" s="0" t="str">
        <f aca="false" t="array" ref="H407:H407">INDEX('0.0.1 Pokémon Dex Data'!$Q$3:$Q951,MATCH(E407,'0.0.1 Pokémon Dex Data'!$B$3:$B951,0))</f>
        <v>Normal</v>
      </c>
      <c r="I407" s="0" t="n">
        <f aca="false">INDEX('0.0.1 Pokémon Dex Data'!$R$3:$R951,MATCH(E407,'0.0.1 Pokémon Dex Data'!$B$3:$B951,0))</f>
        <v>0</v>
      </c>
      <c r="J407" s="260" t="n">
        <f aca="false" t="array" ref="J407:J407">ROUND(INDEX('0.0.1 Pokémon Dex Data'!$S$3:$S951,MATCH($E407,'0.0.1 Pokémon Dex Data'!$B$3:$B951,0))*INDEX('0.0.1 Pokémon Dex Data'!T$3:T951,MATCH($E407,'0.0.1 Pokémon Dex Data'!$B$3:$B951,0)),0)</f>
        <v>161</v>
      </c>
      <c r="K407" s="260" t="n">
        <f aca="false" t="array" ref="K407:K407">ROUND(INDEX('0.0.1 Pokémon Dex Data'!$S$3:$S951,MATCH($E407,'0.0.1 Pokémon Dex Data'!$B$3:$B951,0))*INDEX('0.0.1 Pokémon Dex Data'!U$3:U951,MATCH($E407,'0.0.1 Pokémon Dex Data'!$B$3:$B951,0)),0)</f>
        <v>189</v>
      </c>
      <c r="L407" s="260" t="n">
        <f aca="false" t="array" ref="L407:L407">ROUND(INDEX('0.0.1 Pokémon Dex Data'!$S$3:$S951,MATCH($E407,'0.0.1 Pokémon Dex Data'!$B$3:$B951,0))*INDEX('0.0.1 Pokémon Dex Data'!V$3:V951,MATCH($E407,'0.0.1 Pokémon Dex Data'!$B$3:$B951,0)),0)</f>
        <v>155</v>
      </c>
      <c r="M407" s="260" t="n">
        <f aca="false" t="array" ref="M407:M407">INDEX('0.0.1 Pokémon Dex Data'!$J$3:$J951,MATCH(E407,'0.0.1 Pokémon Dex Data'!$B$3:$B951,0))</f>
        <v>1</v>
      </c>
      <c r="O407" s="490"/>
      <c r="Q407" s="367" t="n">
        <f aca="false">IF('Reverse Search'!$F$4="All (including temporary formes)",1,IF('Reverse Search'!$F$4="Base Pokémon and permanent formes only",IF(F407&lt;=1,1,0),IF(F407=0,1,0)))</f>
        <v>1</v>
      </c>
      <c r="R407" s="0" t="n">
        <f aca="false">IF('Reverse Search'!$C$7="Disable",1,IF('Reverse Search'!$D$9="Disable",1,IF(OR('Reverse Search'!$F$9=H407,'Reverse Search'!$F$9=I407),1,0)))</f>
        <v>1</v>
      </c>
      <c r="S407" s="0" t="n">
        <f aca="false">IF('Reverse Search'!$C$7="Disable",1,IF('Reverse Search'!$D$10="Disable",1,IF(OR('Reverse Search'!$F$10=H407,'Reverse Search'!$F$10=I407),1,0)))</f>
        <v>1</v>
      </c>
      <c r="T407" s="0" t="n">
        <f aca="false">INDEX($B$4:$B$22,MATCH(H407,$A$4:$A$22,0))</f>
        <v>1</v>
      </c>
      <c r="U407" s="0" t="e">
        <f aca="false">IF(ISBLANK(I407),1,INDEX($B$4:$B$22,MATCH(I407,$A$4:$A$22,0)))</f>
        <v>#N/A</v>
      </c>
      <c r="V407" s="367" t="n">
        <f aca="false">IF('Reverse Search'!$C$7="Disable",1,IF('Reverse Search'!$D$11="Disable",1,IF('Reverse Search'!$E$11="Neutral to:",IF(ROUND(T407*U407,2)&lt;=1,1,0),IF(ROUND(T407*U407,2)&lt;1,1,0))))</f>
        <v>1</v>
      </c>
      <c r="W407" s="0" t="n">
        <f aca="false">IF('Reverse Search'!$N$7="Disable",1,IF('Reverse Search'!$I$9="Disable",1,IF('Reverse Search'!$K$9="≥",IF(J407&gt;='Reverse Search'!$L$9,1,0),IF('Reverse Search'!$K$9="≤",IF(J407&lt;='Reverse Search'!$L$9,1,0),IF(J407='Reverse Search'!$L$9,1,0)))))</f>
        <v>1</v>
      </c>
      <c r="X407" s="0" t="n">
        <f aca="false">IF('Reverse Search'!$N$7="Disable",1,IF('Reverse Search'!$I$10="Disable",1,IF('Reverse Search'!$K$10="≥",IF(K407&gt;='Reverse Search'!$L$10,1,0),IF('Reverse Search'!$K$10="≤",IF(K407&lt;='Reverse Search'!$L$10,1,0),IF(K407='Reverse Search'!$L$10,1,0)))))</f>
        <v>1</v>
      </c>
      <c r="Y407" s="367" t="n">
        <f aca="false">IF('Reverse Search'!$N$7="Disable",1,IF('Reverse Search'!$I$11="Disable",1,IF('Reverse Search'!$K$11="≥",IF(L407&gt;='Reverse Search'!$L$11,1,0),IF('Reverse Search'!$K$11="≤",IF(L407&lt;='Reverse Search'!$L$11,1,0),IF(L407='Reverse Search'!$L$11,1,0)))))</f>
        <v>1</v>
      </c>
      <c r="Z407" s="0" t="n">
        <f aca="true">IF('Reverse Search'!$C$14="Disable",1,IF('Reverse Search'!$D$16="Disable",1,IF($C$2=3,IF($M407=0,0,COUNTIF(INDIRECT("'0.0.2 Pokémon Learnset (Core)'!$D$"&amp;MATCH($E407,'0.0.2 Pokémon Learnset (Core)'!$A$1:$A951,0)&amp;":$FK$"&amp;MATCH($E407,'0.0.2 Pokémon Learnset (Core)'!$A$1:$A951,0)),'Reverse Search'!$E$21)),IF($C$2=2,COUNTIF(INDIRECT("'0.1.1 Pokémon GO Moves'!$B$"&amp;MATCH($E407,'0.1.1 Pokémon GO Moves'!$A$1:$A951,0)&amp;":$R$"&amp;MATCH($E407,'0.1.1 Pokémon GO Moves'!$A$1:$A951,0)),'Reverse Search'!$E$21),COUNTIF(INDIRECT("'0.1.1 Pokémon GO Moves'!$B$"&amp;MATCH($E407,'0.1.1 Pokémon GO Moves'!$A$1:$A951,0)&amp;":$L$"&amp;MATCH($E407,'0.1.1 Pokémon GO Moves'!$A$1:$A951,0)),'Reverse Search'!$E$21)))))</f>
        <v>1</v>
      </c>
      <c r="AA407" s="0" t="n">
        <f aca="true">IF('Reverse Search'!$C$14="Disable",1,IF('Reverse Search'!$I$16="Disable",1,IF($D$2=3,IF($M407=0,0,COUNTIF(INDIRECT("'0.0.2 Pokémon Learnset (Core)'!$D$"&amp;MATCH($E407,'0.0.2 Pokémon Learnset (Core)'!$A$1:$A951,0)&amp;":$FK$"&amp;MATCH($E407,'0.0.2 Pokémon Learnset (Core)'!$A$1:$A951,0)),'Reverse Search'!$J$21)),IF($D$2=2,COUNTIF(INDIRECT("'0.1.1 Pokémon GO Moves'!$B$"&amp;MATCH($E407,'0.1.1 Pokémon GO Moves'!$A$1:$A951,0)&amp;":$R$"&amp;MATCH($E407,'0.1.1 Pokémon GO Moves'!$A$1:$A951,0)),'Reverse Search'!$J$21),COUNTIF(INDIRECT("'0.1.1 Pokémon GO Moves'!$B$"&amp;MATCH($E407,'0.1.1 Pokémon GO Moves'!$A$1:$A951,0)&amp;":$L$"&amp;MATCH($E407,'0.1.1 Pokémon GO Moves'!$A$1:$A951,0)),'Reverse Search'!$J$21)))))</f>
        <v>0</v>
      </c>
      <c r="AB407" s="490"/>
      <c r="AC407" s="260" t="n">
        <f aca="false">IF((Q407+R407+S407+V407+W407+X407+Y407+IF(Z407&gt;=1,1,0)+IF(AA407&gt;=1,1,0))=9,G407&amp;", ",)</f>
        <v>0</v>
      </c>
    </row>
    <row r="408" customFormat="false" ht="15.75" hidden="false" customHeight="false" outlineLevel="0" collapsed="false">
      <c r="A408" s="260"/>
      <c r="B408" s="358"/>
      <c r="C408" s="260"/>
      <c r="D408" s="358"/>
      <c r="E408" s="260" t="n">
        <v>407</v>
      </c>
      <c r="F408" s="260" t="n">
        <f aca="false" t="array" ref="F408:F408">INDEX('0.0.1 Pokémon Dex Data'!$H$3:$H951,MATCH(E408,'0.0.1 Pokémon Dex Data'!$B$3:$B951,0))</f>
        <v>0</v>
      </c>
      <c r="G408" s="0" t="str">
        <f aca="false" t="array" ref="G408:G408">INDEX('0.0.1 Pokémon Dex Data'!$E$3:$E951,MATCH(E408,'0.0.1 Pokémon Dex Data'!$B$3:$B951,0))</f>
        <v>Shuppet</v>
      </c>
      <c r="H408" s="0" t="str">
        <f aca="false" t="array" ref="H408:H408">INDEX('0.0.1 Pokémon Dex Data'!$Q$3:$Q951,MATCH(E408,'0.0.1 Pokémon Dex Data'!$B$3:$B951,0))</f>
        <v>Ghost</v>
      </c>
      <c r="I408" s="0" t="n">
        <f aca="false">INDEX('0.0.1 Pokémon Dex Data'!$R$3:$R951,MATCH(E408,'0.0.1 Pokémon Dex Data'!$B$3:$B951,0))</f>
        <v>0</v>
      </c>
      <c r="J408" s="260" t="n">
        <f aca="false" t="array" ref="J408:J408">ROUND(INDEX('0.0.1 Pokémon Dex Data'!$S$3:$S951,MATCH($E408,'0.0.1 Pokémon Dex Data'!$B$3:$B951,0))*INDEX('0.0.1 Pokémon Dex Data'!T$3:T951,MATCH($E408,'0.0.1 Pokémon Dex Data'!$B$3:$B951,0)),0)</f>
        <v>138</v>
      </c>
      <c r="K408" s="260" t="n">
        <f aca="false" t="array" ref="K408:K408">ROUND(INDEX('0.0.1 Pokémon Dex Data'!$S$3:$S951,MATCH($E408,'0.0.1 Pokémon Dex Data'!$B$3:$B951,0))*INDEX('0.0.1 Pokémon Dex Data'!U$3:U951,MATCH($E408,'0.0.1 Pokémon Dex Data'!$B$3:$B951,0)),0)</f>
        <v>65</v>
      </c>
      <c r="L408" s="260" t="n">
        <f aca="false" t="array" ref="L408:L408">ROUND(INDEX('0.0.1 Pokémon Dex Data'!$S$3:$S951,MATCH($E408,'0.0.1 Pokémon Dex Data'!$B$3:$B951,0))*INDEX('0.0.1 Pokémon Dex Data'!V$3:V951,MATCH($E408,'0.0.1 Pokémon Dex Data'!$B$3:$B951,0)),0)</f>
        <v>127</v>
      </c>
      <c r="M408" s="260" t="n">
        <f aca="false" t="array" ref="M408:M408">INDEX('0.0.1 Pokémon Dex Data'!$J$3:$J951,MATCH(E408,'0.0.1 Pokémon Dex Data'!$B$3:$B951,0))</f>
        <v>0</v>
      </c>
      <c r="O408" s="490"/>
      <c r="Q408" s="367" t="n">
        <f aca="false">IF('Reverse Search'!$F$4="All (including temporary formes)",1,IF('Reverse Search'!$F$4="Base Pokémon and permanent formes only",IF(F408&lt;=1,1,0),IF(F408=0,1,0)))</f>
        <v>1</v>
      </c>
      <c r="R408" s="0" t="n">
        <f aca="false">IF('Reverse Search'!$C$7="Disable",1,IF('Reverse Search'!$D$9="Disable",1,IF(OR('Reverse Search'!$F$9=H408,'Reverse Search'!$F$9=I408),1,0)))</f>
        <v>1</v>
      </c>
      <c r="S408" s="0" t="n">
        <f aca="false">IF('Reverse Search'!$C$7="Disable",1,IF('Reverse Search'!$D$10="Disable",1,IF(OR('Reverse Search'!$F$10=H408,'Reverse Search'!$F$10=I408),1,0)))</f>
        <v>1</v>
      </c>
      <c r="T408" s="0" t="n">
        <f aca="false">INDEX($B$4:$B$22,MATCH(H408,$A$4:$A$22,0))</f>
        <v>0.51</v>
      </c>
      <c r="U408" s="0" t="e">
        <f aca="false">IF(ISBLANK(I408),1,INDEX($B$4:$B$22,MATCH(I408,$A$4:$A$22,0)))</f>
        <v>#N/A</v>
      </c>
      <c r="V408" s="367" t="n">
        <f aca="false">IF('Reverse Search'!$C$7="Disable",1,IF('Reverse Search'!$D$11="Disable",1,IF('Reverse Search'!$E$11="Neutral to:",IF(ROUND(T408*U408,2)&lt;=1,1,0),IF(ROUND(T408*U408,2)&lt;1,1,0))))</f>
        <v>1</v>
      </c>
      <c r="W408" s="0" t="n">
        <f aca="false">IF('Reverse Search'!$N$7="Disable",1,IF('Reverse Search'!$I$9="Disable",1,IF('Reverse Search'!$K$9="≥",IF(J408&gt;='Reverse Search'!$L$9,1,0),IF('Reverse Search'!$K$9="≤",IF(J408&lt;='Reverse Search'!$L$9,1,0),IF(J408='Reverse Search'!$L$9,1,0)))))</f>
        <v>1</v>
      </c>
      <c r="X408" s="0" t="n">
        <f aca="false">IF('Reverse Search'!$N$7="Disable",1,IF('Reverse Search'!$I$10="Disable",1,IF('Reverse Search'!$K$10="≥",IF(K408&gt;='Reverse Search'!$L$10,1,0),IF('Reverse Search'!$K$10="≤",IF(K408&lt;='Reverse Search'!$L$10,1,0),IF(K408='Reverse Search'!$L$10,1,0)))))</f>
        <v>1</v>
      </c>
      <c r="Y408" s="367" t="n">
        <f aca="false">IF('Reverse Search'!$N$7="Disable",1,IF('Reverse Search'!$I$11="Disable",1,IF('Reverse Search'!$K$11="≥",IF(L408&gt;='Reverse Search'!$L$11,1,0),IF('Reverse Search'!$K$11="≤",IF(L408&lt;='Reverse Search'!$L$11,1,0),IF(L408='Reverse Search'!$L$11,1,0)))))</f>
        <v>1</v>
      </c>
      <c r="Z408" s="0" t="n">
        <f aca="true">IF('Reverse Search'!$C$14="Disable",1,IF('Reverse Search'!$D$16="Disable",1,IF($C$2=3,IF($M408=0,0,COUNTIF(INDIRECT("'0.0.2 Pokémon Learnset (Core)'!$D$"&amp;MATCH($E408,'0.0.2 Pokémon Learnset (Core)'!$A$1:$A951,0)&amp;":$FK$"&amp;MATCH($E408,'0.0.2 Pokémon Learnset (Core)'!$A$1:$A951,0)),'Reverse Search'!$E$21)),IF($C$2=2,COUNTIF(INDIRECT("'0.1.1 Pokémon GO Moves'!$B$"&amp;MATCH($E408,'0.1.1 Pokémon GO Moves'!$A$1:$A951,0)&amp;":$R$"&amp;MATCH($E408,'0.1.1 Pokémon GO Moves'!$A$1:$A951,0)),'Reverse Search'!$E$21),COUNTIF(INDIRECT("'0.1.1 Pokémon GO Moves'!$B$"&amp;MATCH($E408,'0.1.1 Pokémon GO Moves'!$A$1:$A951,0)&amp;":$L$"&amp;MATCH($E408,'0.1.1 Pokémon GO Moves'!$A$1:$A951,0)),'Reverse Search'!$E$21)))))</f>
        <v>1</v>
      </c>
      <c r="AA408" s="0" t="n">
        <f aca="true">IF('Reverse Search'!$C$14="Disable",1,IF('Reverse Search'!$I$16="Disable",1,IF($D$2=3,IF($M408=0,0,COUNTIF(INDIRECT("'0.0.2 Pokémon Learnset (Core)'!$D$"&amp;MATCH($E408,'0.0.2 Pokémon Learnset (Core)'!$A$1:$A951,0)&amp;":$FK$"&amp;MATCH($E408,'0.0.2 Pokémon Learnset (Core)'!$A$1:$A951,0)),'Reverse Search'!$J$21)),IF($D$2=2,COUNTIF(INDIRECT("'0.1.1 Pokémon GO Moves'!$B$"&amp;MATCH($E408,'0.1.1 Pokémon GO Moves'!$A$1:$A951,0)&amp;":$R$"&amp;MATCH($E408,'0.1.1 Pokémon GO Moves'!$A$1:$A951,0)),'Reverse Search'!$J$21),COUNTIF(INDIRECT("'0.1.1 Pokémon GO Moves'!$B$"&amp;MATCH($E408,'0.1.1 Pokémon GO Moves'!$A$1:$A951,0)&amp;":$L$"&amp;MATCH($E408,'0.1.1 Pokémon GO Moves'!$A$1:$A951,0)),'Reverse Search'!$J$21)))))</f>
        <v>0</v>
      </c>
      <c r="AB408" s="490"/>
      <c r="AC408" s="260" t="n">
        <f aca="false">IF((Q408+R408+S408+V408+W408+X408+Y408+IF(Z408&gt;=1,1,0)+IF(AA408&gt;=1,1,0))=9,G408&amp;", ",)</f>
        <v>0</v>
      </c>
    </row>
    <row r="409" customFormat="false" ht="15.75" hidden="false" customHeight="false" outlineLevel="0" collapsed="false">
      <c r="A409" s="260"/>
      <c r="B409" s="358"/>
      <c r="C409" s="260"/>
      <c r="D409" s="358"/>
      <c r="E409" s="260" t="n">
        <v>408</v>
      </c>
      <c r="F409" s="260" t="n">
        <f aca="false" t="array" ref="F409:F409">INDEX('0.0.1 Pokémon Dex Data'!$H$3:$H951,MATCH(E409,'0.0.1 Pokémon Dex Data'!$B$3:$B951,0))</f>
        <v>0</v>
      </c>
      <c r="G409" s="0" t="str">
        <f aca="false" t="array" ref="G409:G409">INDEX('0.0.1 Pokémon Dex Data'!$E$3:$E951,MATCH(E409,'0.0.1 Pokémon Dex Data'!$B$3:$B951,0))</f>
        <v>Banette</v>
      </c>
      <c r="H409" s="0" t="str">
        <f aca="false" t="array" ref="H409:H409">INDEX('0.0.1 Pokémon Dex Data'!$Q$3:$Q951,MATCH(E409,'0.0.1 Pokémon Dex Data'!$B$3:$B951,0))</f>
        <v>Ghost</v>
      </c>
      <c r="I409" s="0" t="n">
        <f aca="false">INDEX('0.0.1 Pokémon Dex Data'!$R$3:$R951,MATCH(E409,'0.0.1 Pokémon Dex Data'!$B$3:$B951,0))</f>
        <v>0</v>
      </c>
      <c r="J409" s="260" t="n">
        <f aca="false" t="array" ref="J409:J409">ROUND(INDEX('0.0.1 Pokémon Dex Data'!$S$3:$S951,MATCH($E409,'0.0.1 Pokémon Dex Data'!$B$3:$B951,0))*INDEX('0.0.1 Pokémon Dex Data'!T$3:T951,MATCH($E409,'0.0.1 Pokémon Dex Data'!$B$3:$B951,0)),0)</f>
        <v>218</v>
      </c>
      <c r="K409" s="260" t="n">
        <f aca="false" t="array" ref="K409:K409">ROUND(INDEX('0.0.1 Pokémon Dex Data'!$S$3:$S951,MATCH($E409,'0.0.1 Pokémon Dex Data'!$B$3:$B951,0))*INDEX('0.0.1 Pokémon Dex Data'!U$3:U951,MATCH($E409,'0.0.1 Pokémon Dex Data'!$B$3:$B951,0)),0)</f>
        <v>126</v>
      </c>
      <c r="L409" s="260" t="n">
        <f aca="false" t="array" ref="L409:L409">ROUND(INDEX('0.0.1 Pokémon Dex Data'!$S$3:$S951,MATCH($E409,'0.0.1 Pokémon Dex Data'!$B$3:$B951,0))*INDEX('0.0.1 Pokémon Dex Data'!V$3:V951,MATCH($E409,'0.0.1 Pokémon Dex Data'!$B$3:$B951,0)),0)</f>
        <v>162</v>
      </c>
      <c r="M409" s="260" t="n">
        <f aca="false" t="array" ref="M409:M409">INDEX('0.0.1 Pokémon Dex Data'!$J$3:$J951,MATCH(E409,'0.0.1 Pokémon Dex Data'!$B$3:$B951,0))</f>
        <v>1</v>
      </c>
      <c r="O409" s="490"/>
      <c r="Q409" s="367" t="n">
        <f aca="false">IF('Reverse Search'!$F$4="All (including temporary formes)",1,IF('Reverse Search'!$F$4="Base Pokémon and permanent formes only",IF(F409&lt;=1,1,0),IF(F409=0,1,0)))</f>
        <v>1</v>
      </c>
      <c r="R409" s="0" t="n">
        <f aca="false">IF('Reverse Search'!$C$7="Disable",1,IF('Reverse Search'!$D$9="Disable",1,IF(OR('Reverse Search'!$F$9=H409,'Reverse Search'!$F$9=I409),1,0)))</f>
        <v>1</v>
      </c>
      <c r="S409" s="0" t="n">
        <f aca="false">IF('Reverse Search'!$C$7="Disable",1,IF('Reverse Search'!$D$10="Disable",1,IF(OR('Reverse Search'!$F$10=H409,'Reverse Search'!$F$10=I409),1,0)))</f>
        <v>1</v>
      </c>
      <c r="T409" s="0" t="n">
        <f aca="false">INDEX($B$4:$B$22,MATCH(H409,$A$4:$A$22,0))</f>
        <v>0.51</v>
      </c>
      <c r="U409" s="0" t="e">
        <f aca="false">IF(ISBLANK(I409),1,INDEX($B$4:$B$22,MATCH(I409,$A$4:$A$22,0)))</f>
        <v>#N/A</v>
      </c>
      <c r="V409" s="367" t="n">
        <f aca="false">IF('Reverse Search'!$C$7="Disable",1,IF('Reverse Search'!$D$11="Disable",1,IF('Reverse Search'!$E$11="Neutral to:",IF(ROUND(T409*U409,2)&lt;=1,1,0),IF(ROUND(T409*U409,2)&lt;1,1,0))))</f>
        <v>1</v>
      </c>
      <c r="W409" s="0" t="n">
        <f aca="false">IF('Reverse Search'!$N$7="Disable",1,IF('Reverse Search'!$I$9="Disable",1,IF('Reverse Search'!$K$9="≥",IF(J409&gt;='Reverse Search'!$L$9,1,0),IF('Reverse Search'!$K$9="≤",IF(J409&lt;='Reverse Search'!$L$9,1,0),IF(J409='Reverse Search'!$L$9,1,0)))))</f>
        <v>1</v>
      </c>
      <c r="X409" s="0" t="n">
        <f aca="false">IF('Reverse Search'!$N$7="Disable",1,IF('Reverse Search'!$I$10="Disable",1,IF('Reverse Search'!$K$10="≥",IF(K409&gt;='Reverse Search'!$L$10,1,0),IF('Reverse Search'!$K$10="≤",IF(K409&lt;='Reverse Search'!$L$10,1,0),IF(K409='Reverse Search'!$L$10,1,0)))))</f>
        <v>1</v>
      </c>
      <c r="Y409" s="367" t="n">
        <f aca="false">IF('Reverse Search'!$N$7="Disable",1,IF('Reverse Search'!$I$11="Disable",1,IF('Reverse Search'!$K$11="≥",IF(L409&gt;='Reverse Search'!$L$11,1,0),IF('Reverse Search'!$K$11="≤",IF(L409&lt;='Reverse Search'!$L$11,1,0),IF(L409='Reverse Search'!$L$11,1,0)))))</f>
        <v>1</v>
      </c>
      <c r="Z409" s="0" t="n">
        <f aca="true">IF('Reverse Search'!$C$14="Disable",1,IF('Reverse Search'!$D$16="Disable",1,IF($C$2=3,IF($M409=0,0,COUNTIF(INDIRECT("'0.0.2 Pokémon Learnset (Core)'!$D$"&amp;MATCH($E409,'0.0.2 Pokémon Learnset (Core)'!$A$1:$A951,0)&amp;":$FK$"&amp;MATCH($E409,'0.0.2 Pokémon Learnset (Core)'!$A$1:$A951,0)),'Reverse Search'!$E$21)),IF($C$2=2,COUNTIF(INDIRECT("'0.1.1 Pokémon GO Moves'!$B$"&amp;MATCH($E409,'0.1.1 Pokémon GO Moves'!$A$1:$A951,0)&amp;":$R$"&amp;MATCH($E409,'0.1.1 Pokémon GO Moves'!$A$1:$A951,0)),'Reverse Search'!$E$21),COUNTIF(INDIRECT("'0.1.1 Pokémon GO Moves'!$B$"&amp;MATCH($E409,'0.1.1 Pokémon GO Moves'!$A$1:$A951,0)&amp;":$L$"&amp;MATCH($E409,'0.1.1 Pokémon GO Moves'!$A$1:$A951,0)),'Reverse Search'!$E$21)))))</f>
        <v>1</v>
      </c>
      <c r="AA409" s="0" t="n">
        <f aca="true">IF('Reverse Search'!$C$14="Disable",1,IF('Reverse Search'!$I$16="Disable",1,IF($D$2=3,IF($M409=0,0,COUNTIF(INDIRECT("'0.0.2 Pokémon Learnset (Core)'!$D$"&amp;MATCH($E409,'0.0.2 Pokémon Learnset (Core)'!$A$1:$A951,0)&amp;":$FK$"&amp;MATCH($E409,'0.0.2 Pokémon Learnset (Core)'!$A$1:$A951,0)),'Reverse Search'!$J$21)),IF($D$2=2,COUNTIF(INDIRECT("'0.1.1 Pokémon GO Moves'!$B$"&amp;MATCH($E409,'0.1.1 Pokémon GO Moves'!$A$1:$A951,0)&amp;":$R$"&amp;MATCH($E409,'0.1.1 Pokémon GO Moves'!$A$1:$A951,0)),'Reverse Search'!$J$21),COUNTIF(INDIRECT("'0.1.1 Pokémon GO Moves'!$B$"&amp;MATCH($E409,'0.1.1 Pokémon GO Moves'!$A$1:$A951,0)&amp;":$L$"&amp;MATCH($E409,'0.1.1 Pokémon GO Moves'!$A$1:$A951,0)),'Reverse Search'!$J$21)))))</f>
        <v>0</v>
      </c>
      <c r="AB409" s="490"/>
      <c r="AC409" s="260" t="n">
        <f aca="false">IF((Q409+R409+S409+V409+W409+X409+Y409+IF(Z409&gt;=1,1,0)+IF(AA409&gt;=1,1,0))=9,G409&amp;", ",)</f>
        <v>0</v>
      </c>
    </row>
    <row r="410" customFormat="false" ht="15.75" hidden="false" customHeight="false" outlineLevel="0" collapsed="false">
      <c r="A410" s="260"/>
      <c r="B410" s="358"/>
      <c r="C410" s="260"/>
      <c r="D410" s="358"/>
      <c r="E410" s="260" t="n">
        <v>409</v>
      </c>
      <c r="F410" s="260" t="n">
        <f aca="false" t="array" ref="F410:F410">INDEX('0.0.1 Pokémon Dex Data'!$H$3:$H951,MATCH(E410,'0.0.1 Pokémon Dex Data'!$B$3:$B951,0))</f>
        <v>2</v>
      </c>
      <c r="G410" s="0" t="str">
        <f aca="false" t="array" ref="G410:G410">INDEX('0.0.1 Pokémon Dex Data'!$E$3:$E951,MATCH(E410,'0.0.1 Pokémon Dex Data'!$B$3:$B951,0))</f>
        <v>Banette-Mega</v>
      </c>
      <c r="H410" s="0" t="str">
        <f aca="false" t="array" ref="H410:H410">INDEX('0.0.1 Pokémon Dex Data'!$Q$3:$Q951,MATCH(E410,'0.0.1 Pokémon Dex Data'!$B$3:$B951,0))</f>
        <v>Ghost</v>
      </c>
      <c r="I410" s="0" t="n">
        <f aca="false">INDEX('0.0.1 Pokémon Dex Data'!$R$3:$R951,MATCH(E410,'0.0.1 Pokémon Dex Data'!$B$3:$B951,0))</f>
        <v>0</v>
      </c>
      <c r="J410" s="260" t="n">
        <f aca="false" t="array" ref="J410:J410">ROUND(INDEX('0.0.1 Pokémon Dex Data'!$S$3:$S951,MATCH($E410,'0.0.1 Pokémon Dex Data'!$B$3:$B951,0))*INDEX('0.0.1 Pokémon Dex Data'!T$3:T951,MATCH($E410,'0.0.1 Pokémon Dex Data'!$B$3:$B951,0)),0)</f>
        <v>312</v>
      </c>
      <c r="K410" s="260" t="n">
        <f aca="false" t="array" ref="K410:K410">ROUND(INDEX('0.0.1 Pokémon Dex Data'!$S$3:$S951,MATCH($E410,'0.0.1 Pokémon Dex Data'!$B$3:$B951,0))*INDEX('0.0.1 Pokémon Dex Data'!U$3:U951,MATCH($E410,'0.0.1 Pokémon Dex Data'!$B$3:$B951,0)),0)</f>
        <v>160</v>
      </c>
      <c r="L410" s="260" t="n">
        <f aca="false" t="array" ref="L410:L410">ROUND(INDEX('0.0.1 Pokémon Dex Data'!$S$3:$S951,MATCH($E410,'0.0.1 Pokémon Dex Data'!$B$3:$B951,0))*INDEX('0.0.1 Pokémon Dex Data'!V$3:V951,MATCH($E410,'0.0.1 Pokémon Dex Data'!$B$3:$B951,0)),0)</f>
        <v>162</v>
      </c>
      <c r="M410" s="260" t="n">
        <f aca="false" t="array" ref="M410:M410">INDEX('0.0.1 Pokémon Dex Data'!$J$3:$J951,MATCH(E410,'0.0.1 Pokémon Dex Data'!$B$3:$B951,0))</f>
        <v>1</v>
      </c>
      <c r="O410" s="490"/>
      <c r="Q410" s="367" t="n">
        <f aca="false">IF('Reverse Search'!$F$4="All (including temporary formes)",1,IF('Reverse Search'!$F$4="Base Pokémon and permanent formes only",IF(F410&lt;=1,1,0),IF(F410=0,1,0)))</f>
        <v>0</v>
      </c>
      <c r="R410" s="0" t="n">
        <f aca="false">IF('Reverse Search'!$C$7="Disable",1,IF('Reverse Search'!$D$9="Disable",1,IF(OR('Reverse Search'!$F$9=H410,'Reverse Search'!$F$9=I410),1,0)))</f>
        <v>1</v>
      </c>
      <c r="S410" s="0" t="n">
        <f aca="false">IF('Reverse Search'!$C$7="Disable",1,IF('Reverse Search'!$D$10="Disable",1,IF(OR('Reverse Search'!$F$10=H410,'Reverse Search'!$F$10=I410),1,0)))</f>
        <v>1</v>
      </c>
      <c r="T410" s="0" t="n">
        <f aca="false">INDEX($B$4:$B$22,MATCH(H410,$A$4:$A$22,0))</f>
        <v>0.51</v>
      </c>
      <c r="U410" s="0" t="e">
        <f aca="false">IF(ISBLANK(I410),1,INDEX($B$4:$B$22,MATCH(I410,$A$4:$A$22,0)))</f>
        <v>#N/A</v>
      </c>
      <c r="V410" s="367" t="n">
        <f aca="false">IF('Reverse Search'!$C$7="Disable",1,IF('Reverse Search'!$D$11="Disable",1,IF('Reverse Search'!$E$11="Neutral to:",IF(ROUND(T410*U410,2)&lt;=1,1,0),IF(ROUND(T410*U410,2)&lt;1,1,0))))</f>
        <v>1</v>
      </c>
      <c r="W410" s="0" t="n">
        <f aca="false">IF('Reverse Search'!$N$7="Disable",1,IF('Reverse Search'!$I$9="Disable",1,IF('Reverse Search'!$K$9="≥",IF(J410&gt;='Reverse Search'!$L$9,1,0),IF('Reverse Search'!$K$9="≤",IF(J410&lt;='Reverse Search'!$L$9,1,0),IF(J410='Reverse Search'!$L$9,1,0)))))</f>
        <v>1</v>
      </c>
      <c r="X410" s="0" t="n">
        <f aca="false">IF('Reverse Search'!$N$7="Disable",1,IF('Reverse Search'!$I$10="Disable",1,IF('Reverse Search'!$K$10="≥",IF(K410&gt;='Reverse Search'!$L$10,1,0),IF('Reverse Search'!$K$10="≤",IF(K410&lt;='Reverse Search'!$L$10,1,0),IF(K410='Reverse Search'!$L$10,1,0)))))</f>
        <v>1</v>
      </c>
      <c r="Y410" s="367" t="n">
        <f aca="false">IF('Reverse Search'!$N$7="Disable",1,IF('Reverse Search'!$I$11="Disable",1,IF('Reverse Search'!$K$11="≥",IF(L410&gt;='Reverse Search'!$L$11,1,0),IF('Reverse Search'!$K$11="≤",IF(L410&lt;='Reverse Search'!$L$11,1,0),IF(L410='Reverse Search'!$L$11,1,0)))))</f>
        <v>1</v>
      </c>
      <c r="Z410" s="0" t="n">
        <f aca="true">IF('Reverse Search'!$C$14="Disable",1,IF('Reverse Search'!$D$16="Disable",1,IF($C$2=3,IF($M410=0,0,COUNTIF(INDIRECT("'0.0.2 Pokémon Learnset (Core)'!$D$"&amp;MATCH($E410,'0.0.2 Pokémon Learnset (Core)'!$A$1:$A951,0)&amp;":$FK$"&amp;MATCH($E410,'0.0.2 Pokémon Learnset (Core)'!$A$1:$A951,0)),'Reverse Search'!$E$21)),IF($C$2=2,COUNTIF(INDIRECT("'0.1.1 Pokémon GO Moves'!$B$"&amp;MATCH($E410,'0.1.1 Pokémon GO Moves'!$A$1:$A951,0)&amp;":$R$"&amp;MATCH($E410,'0.1.1 Pokémon GO Moves'!$A$1:$A951,0)),'Reverse Search'!$E$21),COUNTIF(INDIRECT("'0.1.1 Pokémon GO Moves'!$B$"&amp;MATCH($E410,'0.1.1 Pokémon GO Moves'!$A$1:$A951,0)&amp;":$L$"&amp;MATCH($E410,'0.1.1 Pokémon GO Moves'!$A$1:$A951,0)),'Reverse Search'!$E$21)))))</f>
        <v>1</v>
      </c>
      <c r="AA410" s="0" t="e">
        <f aca="true">IF('Reverse Search'!$C$14="Disable",1,IF('Reverse Search'!$I$16="Disable",1,IF($D$2=3,IF($M410=0,0,COUNTIF(INDIRECT("'0.0.2 Pokémon Learnset (Core)'!$D$"&amp;MATCH($E410,'0.0.2 Pokémon Learnset (Core)'!$A$1:$A951,0)&amp;":$FK$"&amp;MATCH($E410,'0.0.2 Pokémon Learnset (Core)'!$A$1:$A951,0)),'Reverse Search'!$J$21)),IF($D$2=2,COUNTIF(INDIRECT("'0.1.1 Pokémon GO Moves'!$B$"&amp;MATCH($E410,'0.1.1 Pokémon GO Moves'!$A$1:$A951,0)&amp;":$R$"&amp;MATCH($E410,'0.1.1 Pokémon GO Moves'!$A$1:$A951,0)),'Reverse Search'!$J$21),COUNTIF(INDIRECT("'0.1.1 Pokémon GO Moves'!$B$"&amp;MATCH($E410,'0.1.1 Pokémon GO Moves'!$A$1:$A951,0)&amp;":$L$"&amp;MATCH($E410,'0.1.1 Pokémon GO Moves'!$A$1:$A951,0)),'Reverse Search'!$J$21)))))</f>
        <v>#N/A</v>
      </c>
      <c r="AB410" s="490"/>
      <c r="AC410" s="260" t="e">
        <f aca="false">IF((Q410+R410+S410+V410+W410+X410+Y410+IF(Z410&gt;=1,1,0)+IF(AA410&gt;=1,1,0))=9,G410&amp;", ",)</f>
        <v>#N/A</v>
      </c>
    </row>
    <row r="411" customFormat="false" ht="15.75" hidden="false" customHeight="false" outlineLevel="0" collapsed="false">
      <c r="A411" s="260"/>
      <c r="B411" s="358"/>
      <c r="C411" s="260"/>
      <c r="D411" s="358"/>
      <c r="E411" s="260" t="n">
        <v>410</v>
      </c>
      <c r="F411" s="260" t="n">
        <f aca="false" t="array" ref="F411:F411">INDEX('0.0.1 Pokémon Dex Data'!$H$3:$H951,MATCH(E411,'0.0.1 Pokémon Dex Data'!$B$3:$B951,0))</f>
        <v>0</v>
      </c>
      <c r="G411" s="0" t="str">
        <f aca="false" t="array" ref="G411:G411">INDEX('0.0.1 Pokémon Dex Data'!$E$3:$E951,MATCH(E411,'0.0.1 Pokémon Dex Data'!$B$3:$B951,0))</f>
        <v>Duskull</v>
      </c>
      <c r="H411" s="0" t="str">
        <f aca="false" t="array" ref="H411:H411">INDEX('0.0.1 Pokémon Dex Data'!$Q$3:$Q951,MATCH(E411,'0.0.1 Pokémon Dex Data'!$B$3:$B951,0))</f>
        <v>Ghost</v>
      </c>
      <c r="I411" s="0" t="n">
        <f aca="false">INDEX('0.0.1 Pokémon Dex Data'!$R$3:$R951,MATCH(E411,'0.0.1 Pokémon Dex Data'!$B$3:$B951,0))</f>
        <v>0</v>
      </c>
      <c r="J411" s="260" t="n">
        <f aca="false" t="array" ref="J411:J411">ROUND(INDEX('0.0.1 Pokémon Dex Data'!$S$3:$S951,MATCH($E411,'0.0.1 Pokémon Dex Data'!$B$3:$B951,0))*INDEX('0.0.1 Pokémon Dex Data'!T$3:T951,MATCH($E411,'0.0.1 Pokémon Dex Data'!$B$3:$B951,0)),0)</f>
        <v>70</v>
      </c>
      <c r="K411" s="260" t="n">
        <f aca="false" t="array" ref="K411:K411">ROUND(INDEX('0.0.1 Pokémon Dex Data'!$S$3:$S951,MATCH($E411,'0.0.1 Pokémon Dex Data'!$B$3:$B951,0))*INDEX('0.0.1 Pokémon Dex Data'!U$3:U951,MATCH($E411,'0.0.1 Pokémon Dex Data'!$B$3:$B951,0)),0)</f>
        <v>162</v>
      </c>
      <c r="L411" s="260" t="n">
        <f aca="false" t="array" ref="L411:L411">ROUND(INDEX('0.0.1 Pokémon Dex Data'!$S$3:$S951,MATCH($E411,'0.0.1 Pokémon Dex Data'!$B$3:$B951,0))*INDEX('0.0.1 Pokémon Dex Data'!V$3:V951,MATCH($E411,'0.0.1 Pokémon Dex Data'!$B$3:$B951,0)),0)</f>
        <v>85</v>
      </c>
      <c r="M411" s="260" t="n">
        <f aca="false" t="array" ref="M411:M411">INDEX('0.0.1 Pokémon Dex Data'!$J$3:$J951,MATCH(E411,'0.0.1 Pokémon Dex Data'!$B$3:$B951,0))</f>
        <v>0</v>
      </c>
      <c r="O411" s="490"/>
      <c r="Q411" s="367" t="n">
        <f aca="false">IF('Reverse Search'!$F$4="All (including temporary formes)",1,IF('Reverse Search'!$F$4="Base Pokémon and permanent formes only",IF(F411&lt;=1,1,0),IF(F411=0,1,0)))</f>
        <v>1</v>
      </c>
      <c r="R411" s="0" t="n">
        <f aca="false">IF('Reverse Search'!$C$7="Disable",1,IF('Reverse Search'!$D$9="Disable",1,IF(OR('Reverse Search'!$F$9=H411,'Reverse Search'!$F$9=I411),1,0)))</f>
        <v>1</v>
      </c>
      <c r="S411" s="0" t="n">
        <f aca="false">IF('Reverse Search'!$C$7="Disable",1,IF('Reverse Search'!$D$10="Disable",1,IF(OR('Reverse Search'!$F$10=H411,'Reverse Search'!$F$10=I411),1,0)))</f>
        <v>1</v>
      </c>
      <c r="T411" s="0" t="n">
        <f aca="false">INDEX($B$4:$B$22,MATCH(H411,$A$4:$A$22,0))</f>
        <v>0.51</v>
      </c>
      <c r="U411" s="0" t="e">
        <f aca="false">IF(ISBLANK(I411),1,INDEX($B$4:$B$22,MATCH(I411,$A$4:$A$22,0)))</f>
        <v>#N/A</v>
      </c>
      <c r="V411" s="367" t="n">
        <f aca="false">IF('Reverse Search'!$C$7="Disable",1,IF('Reverse Search'!$D$11="Disable",1,IF('Reverse Search'!$E$11="Neutral to:",IF(ROUND(T411*U411,2)&lt;=1,1,0),IF(ROUND(T411*U411,2)&lt;1,1,0))))</f>
        <v>1</v>
      </c>
      <c r="W411" s="0" t="n">
        <f aca="false">IF('Reverse Search'!$N$7="Disable",1,IF('Reverse Search'!$I$9="Disable",1,IF('Reverse Search'!$K$9="≥",IF(J411&gt;='Reverse Search'!$L$9,1,0),IF('Reverse Search'!$K$9="≤",IF(J411&lt;='Reverse Search'!$L$9,1,0),IF(J411='Reverse Search'!$L$9,1,0)))))</f>
        <v>1</v>
      </c>
      <c r="X411" s="0" t="n">
        <f aca="false">IF('Reverse Search'!$N$7="Disable",1,IF('Reverse Search'!$I$10="Disable",1,IF('Reverse Search'!$K$10="≥",IF(K411&gt;='Reverse Search'!$L$10,1,0),IF('Reverse Search'!$K$10="≤",IF(K411&lt;='Reverse Search'!$L$10,1,0),IF(K411='Reverse Search'!$L$10,1,0)))))</f>
        <v>1</v>
      </c>
      <c r="Y411" s="367" t="n">
        <f aca="false">IF('Reverse Search'!$N$7="Disable",1,IF('Reverse Search'!$I$11="Disable",1,IF('Reverse Search'!$K$11="≥",IF(L411&gt;='Reverse Search'!$L$11,1,0),IF('Reverse Search'!$K$11="≤",IF(L411&lt;='Reverse Search'!$L$11,1,0),IF(L411='Reverse Search'!$L$11,1,0)))))</f>
        <v>1</v>
      </c>
      <c r="Z411" s="0" t="n">
        <f aca="true">IF('Reverse Search'!$C$14="Disable",1,IF('Reverse Search'!$D$16="Disable",1,IF($C$2=3,IF($M411=0,0,COUNTIF(INDIRECT("'0.0.2 Pokémon Learnset (Core)'!$D$"&amp;MATCH($E411,'0.0.2 Pokémon Learnset (Core)'!$A$1:$A951,0)&amp;":$FK$"&amp;MATCH($E411,'0.0.2 Pokémon Learnset (Core)'!$A$1:$A951,0)),'Reverse Search'!$E$21)),IF($C$2=2,COUNTIF(INDIRECT("'0.1.1 Pokémon GO Moves'!$B$"&amp;MATCH($E411,'0.1.1 Pokémon GO Moves'!$A$1:$A951,0)&amp;":$R$"&amp;MATCH($E411,'0.1.1 Pokémon GO Moves'!$A$1:$A951,0)),'Reverse Search'!$E$21),COUNTIF(INDIRECT("'0.1.1 Pokémon GO Moves'!$B$"&amp;MATCH($E411,'0.1.1 Pokémon GO Moves'!$A$1:$A951,0)&amp;":$L$"&amp;MATCH($E411,'0.1.1 Pokémon GO Moves'!$A$1:$A951,0)),'Reverse Search'!$E$21)))))</f>
        <v>1</v>
      </c>
      <c r="AA411" s="0" t="n">
        <f aca="true">IF('Reverse Search'!$C$14="Disable",1,IF('Reverse Search'!$I$16="Disable",1,IF($D$2=3,IF($M411=0,0,COUNTIF(INDIRECT("'0.0.2 Pokémon Learnset (Core)'!$D$"&amp;MATCH($E411,'0.0.2 Pokémon Learnset (Core)'!$A$1:$A951,0)&amp;":$FK$"&amp;MATCH($E411,'0.0.2 Pokémon Learnset (Core)'!$A$1:$A951,0)),'Reverse Search'!$J$21)),IF($D$2=2,COUNTIF(INDIRECT("'0.1.1 Pokémon GO Moves'!$B$"&amp;MATCH($E411,'0.1.1 Pokémon GO Moves'!$A$1:$A951,0)&amp;":$R$"&amp;MATCH($E411,'0.1.1 Pokémon GO Moves'!$A$1:$A951,0)),'Reverse Search'!$J$21),COUNTIF(INDIRECT("'0.1.1 Pokémon GO Moves'!$B$"&amp;MATCH($E411,'0.1.1 Pokémon GO Moves'!$A$1:$A951,0)&amp;":$L$"&amp;MATCH($E411,'0.1.1 Pokémon GO Moves'!$A$1:$A951,0)),'Reverse Search'!$J$21)))))</f>
        <v>0</v>
      </c>
      <c r="AB411" s="490"/>
      <c r="AC411" s="260" t="n">
        <f aca="false">IF((Q411+R411+S411+V411+W411+X411+Y411+IF(Z411&gt;=1,1,0)+IF(AA411&gt;=1,1,0))=9,G411&amp;", ",)</f>
        <v>0</v>
      </c>
    </row>
    <row r="412" customFormat="false" ht="15.75" hidden="false" customHeight="false" outlineLevel="0" collapsed="false">
      <c r="A412" s="260"/>
      <c r="B412" s="358"/>
      <c r="C412" s="260"/>
      <c r="D412" s="358"/>
      <c r="E412" s="260" t="n">
        <v>411</v>
      </c>
      <c r="F412" s="260" t="n">
        <f aca="false" t="array" ref="F412:F412">INDEX('0.0.1 Pokémon Dex Data'!$H$3:$H951,MATCH(E412,'0.0.1 Pokémon Dex Data'!$B$3:$B951,0))</f>
        <v>0</v>
      </c>
      <c r="G412" s="0" t="str">
        <f aca="false" t="array" ref="G412:G412">INDEX('0.0.1 Pokémon Dex Data'!$E$3:$E951,MATCH(E412,'0.0.1 Pokémon Dex Data'!$B$3:$B951,0))</f>
        <v>Dusclops</v>
      </c>
      <c r="H412" s="0" t="str">
        <f aca="false" t="array" ref="H412:H412">INDEX('0.0.1 Pokémon Dex Data'!$Q$3:$Q951,MATCH(E412,'0.0.1 Pokémon Dex Data'!$B$3:$B951,0))</f>
        <v>Ghost</v>
      </c>
      <c r="I412" s="0" t="n">
        <f aca="false">INDEX('0.0.1 Pokémon Dex Data'!$R$3:$R951,MATCH(E412,'0.0.1 Pokémon Dex Data'!$B$3:$B951,0))</f>
        <v>0</v>
      </c>
      <c r="J412" s="260" t="n">
        <f aca="false" t="array" ref="J412:J412">ROUND(INDEX('0.0.1 Pokémon Dex Data'!$S$3:$S951,MATCH($E412,'0.0.1 Pokémon Dex Data'!$B$3:$B951,0))*INDEX('0.0.1 Pokémon Dex Data'!T$3:T951,MATCH($E412,'0.0.1 Pokémon Dex Data'!$B$3:$B951,0)),0)</f>
        <v>124</v>
      </c>
      <c r="K412" s="260" t="n">
        <f aca="false" t="array" ref="K412:K412">ROUND(INDEX('0.0.1 Pokémon Dex Data'!$S$3:$S951,MATCH($E412,'0.0.1 Pokémon Dex Data'!$B$3:$B951,0))*INDEX('0.0.1 Pokémon Dex Data'!U$3:U951,MATCH($E412,'0.0.1 Pokémon Dex Data'!$B$3:$B951,0)),0)</f>
        <v>234</v>
      </c>
      <c r="L412" s="260" t="n">
        <f aca="false" t="array" ref="L412:L412">ROUND(INDEX('0.0.1 Pokémon Dex Data'!$S$3:$S951,MATCH($E412,'0.0.1 Pokémon Dex Data'!$B$3:$B951,0))*INDEX('0.0.1 Pokémon Dex Data'!V$3:V951,MATCH($E412,'0.0.1 Pokémon Dex Data'!$B$3:$B951,0)),0)</f>
        <v>120</v>
      </c>
      <c r="M412" s="260" t="n">
        <f aca="false" t="array" ref="M412:M412">INDEX('0.0.1 Pokémon Dex Data'!$J$3:$J951,MATCH(E412,'0.0.1 Pokémon Dex Data'!$B$3:$B951,0))</f>
        <v>1</v>
      </c>
      <c r="O412" s="490"/>
      <c r="Q412" s="367" t="n">
        <f aca="false">IF('Reverse Search'!$F$4="All (including temporary formes)",1,IF('Reverse Search'!$F$4="Base Pokémon and permanent formes only",IF(F412&lt;=1,1,0),IF(F412=0,1,0)))</f>
        <v>1</v>
      </c>
      <c r="R412" s="0" t="n">
        <f aca="false">IF('Reverse Search'!$C$7="Disable",1,IF('Reverse Search'!$D$9="Disable",1,IF(OR('Reverse Search'!$F$9=H412,'Reverse Search'!$F$9=I412),1,0)))</f>
        <v>1</v>
      </c>
      <c r="S412" s="0" t="n">
        <f aca="false">IF('Reverse Search'!$C$7="Disable",1,IF('Reverse Search'!$D$10="Disable",1,IF(OR('Reverse Search'!$F$10=H412,'Reverse Search'!$F$10=I412),1,0)))</f>
        <v>1</v>
      </c>
      <c r="T412" s="0" t="n">
        <f aca="false">INDEX($B$4:$B$22,MATCH(H412,$A$4:$A$22,0))</f>
        <v>0.51</v>
      </c>
      <c r="U412" s="0" t="e">
        <f aca="false">IF(ISBLANK(I412),1,INDEX($B$4:$B$22,MATCH(I412,$A$4:$A$22,0)))</f>
        <v>#N/A</v>
      </c>
      <c r="V412" s="367" t="n">
        <f aca="false">IF('Reverse Search'!$C$7="Disable",1,IF('Reverse Search'!$D$11="Disable",1,IF('Reverse Search'!$E$11="Neutral to:",IF(ROUND(T412*U412,2)&lt;=1,1,0),IF(ROUND(T412*U412,2)&lt;1,1,0))))</f>
        <v>1</v>
      </c>
      <c r="W412" s="0" t="n">
        <f aca="false">IF('Reverse Search'!$N$7="Disable",1,IF('Reverse Search'!$I$9="Disable",1,IF('Reverse Search'!$K$9="≥",IF(J412&gt;='Reverse Search'!$L$9,1,0),IF('Reverse Search'!$K$9="≤",IF(J412&lt;='Reverse Search'!$L$9,1,0),IF(J412='Reverse Search'!$L$9,1,0)))))</f>
        <v>1</v>
      </c>
      <c r="X412" s="0" t="n">
        <f aca="false">IF('Reverse Search'!$N$7="Disable",1,IF('Reverse Search'!$I$10="Disable",1,IF('Reverse Search'!$K$10="≥",IF(K412&gt;='Reverse Search'!$L$10,1,0),IF('Reverse Search'!$K$10="≤",IF(K412&lt;='Reverse Search'!$L$10,1,0),IF(K412='Reverse Search'!$L$10,1,0)))))</f>
        <v>1</v>
      </c>
      <c r="Y412" s="367" t="n">
        <f aca="false">IF('Reverse Search'!$N$7="Disable",1,IF('Reverse Search'!$I$11="Disable",1,IF('Reverse Search'!$K$11="≥",IF(L412&gt;='Reverse Search'!$L$11,1,0),IF('Reverse Search'!$K$11="≤",IF(L412&lt;='Reverse Search'!$L$11,1,0),IF(L412='Reverse Search'!$L$11,1,0)))))</f>
        <v>1</v>
      </c>
      <c r="Z412" s="0" t="n">
        <f aca="true">IF('Reverse Search'!$C$14="Disable",1,IF('Reverse Search'!$D$16="Disable",1,IF($C$2=3,IF($M412=0,0,COUNTIF(INDIRECT("'0.0.2 Pokémon Learnset (Core)'!$D$"&amp;MATCH($E412,'0.0.2 Pokémon Learnset (Core)'!$A$1:$A951,0)&amp;":$FK$"&amp;MATCH($E412,'0.0.2 Pokémon Learnset (Core)'!$A$1:$A951,0)),'Reverse Search'!$E$21)),IF($C$2=2,COUNTIF(INDIRECT("'0.1.1 Pokémon GO Moves'!$B$"&amp;MATCH($E412,'0.1.1 Pokémon GO Moves'!$A$1:$A951,0)&amp;":$R$"&amp;MATCH($E412,'0.1.1 Pokémon GO Moves'!$A$1:$A951,0)),'Reverse Search'!$E$21),COUNTIF(INDIRECT("'0.1.1 Pokémon GO Moves'!$B$"&amp;MATCH($E412,'0.1.1 Pokémon GO Moves'!$A$1:$A951,0)&amp;":$L$"&amp;MATCH($E412,'0.1.1 Pokémon GO Moves'!$A$1:$A951,0)),'Reverse Search'!$E$21)))))</f>
        <v>1</v>
      </c>
      <c r="AA412" s="0" t="n">
        <f aca="true">IF('Reverse Search'!$C$14="Disable",1,IF('Reverse Search'!$I$16="Disable",1,IF($D$2=3,IF($M412=0,0,COUNTIF(INDIRECT("'0.0.2 Pokémon Learnset (Core)'!$D$"&amp;MATCH($E412,'0.0.2 Pokémon Learnset (Core)'!$A$1:$A951,0)&amp;":$FK$"&amp;MATCH($E412,'0.0.2 Pokémon Learnset (Core)'!$A$1:$A951,0)),'Reverse Search'!$J$21)),IF($D$2=2,COUNTIF(INDIRECT("'0.1.1 Pokémon GO Moves'!$B$"&amp;MATCH($E412,'0.1.1 Pokémon GO Moves'!$A$1:$A951,0)&amp;":$R$"&amp;MATCH($E412,'0.1.1 Pokémon GO Moves'!$A$1:$A951,0)),'Reverse Search'!$J$21),COUNTIF(INDIRECT("'0.1.1 Pokémon GO Moves'!$B$"&amp;MATCH($E412,'0.1.1 Pokémon GO Moves'!$A$1:$A951,0)&amp;":$L$"&amp;MATCH($E412,'0.1.1 Pokémon GO Moves'!$A$1:$A951,0)),'Reverse Search'!$J$21)))))</f>
        <v>0</v>
      </c>
      <c r="AB412" s="490"/>
      <c r="AC412" s="260" t="n">
        <f aca="false">IF((Q412+R412+S412+V412+W412+X412+Y412+IF(Z412&gt;=1,1,0)+IF(AA412&gt;=1,1,0))=9,G412&amp;", ",)</f>
        <v>0</v>
      </c>
    </row>
    <row r="413" customFormat="false" ht="15.75" hidden="false" customHeight="false" outlineLevel="0" collapsed="false">
      <c r="A413" s="260"/>
      <c r="B413" s="358"/>
      <c r="C413" s="260"/>
      <c r="D413" s="358"/>
      <c r="E413" s="260" t="n">
        <v>412</v>
      </c>
      <c r="F413" s="260" t="n">
        <f aca="false" t="array" ref="F413:F413">INDEX('0.0.1 Pokémon Dex Data'!$H$3:$H951,MATCH(E413,'0.0.1 Pokémon Dex Data'!$B$3:$B951,0))</f>
        <v>0</v>
      </c>
      <c r="G413" s="0" t="str">
        <f aca="false" t="array" ref="G413:G413">INDEX('0.0.1 Pokémon Dex Data'!$E$3:$E951,MATCH(E413,'0.0.1 Pokémon Dex Data'!$B$3:$B951,0))</f>
        <v>Tropius</v>
      </c>
      <c r="H413" s="0" t="str">
        <f aca="false" t="array" ref="H413:H413">INDEX('0.0.1 Pokémon Dex Data'!$Q$3:$Q951,MATCH(E413,'0.0.1 Pokémon Dex Data'!$B$3:$B951,0))</f>
        <v>Grass</v>
      </c>
      <c r="I413" s="0" t="str">
        <f aca="false" t="array" ref="I413:I413">INDEX('0.0.1 Pokémon Dex Data'!$R$3:$R951,MATCH(E413,'0.0.1 Pokémon Dex Data'!$B$3:$B951,0))</f>
        <v>Flying</v>
      </c>
      <c r="J413" s="260" t="n">
        <f aca="false" t="array" ref="J413:J413">ROUND(INDEX('0.0.1 Pokémon Dex Data'!$S$3:$S951,MATCH($E413,'0.0.1 Pokémon Dex Data'!$B$3:$B951,0))*INDEX('0.0.1 Pokémon Dex Data'!T$3:T951,MATCH($E413,'0.0.1 Pokémon Dex Data'!$B$3:$B951,0)),0)</f>
        <v>136</v>
      </c>
      <c r="K413" s="260" t="n">
        <f aca="false" t="array" ref="K413:K413">ROUND(INDEX('0.0.1 Pokémon Dex Data'!$S$3:$S951,MATCH($E413,'0.0.1 Pokémon Dex Data'!$B$3:$B951,0))*INDEX('0.0.1 Pokémon Dex Data'!U$3:U951,MATCH($E413,'0.0.1 Pokémon Dex Data'!$B$3:$B951,0)),0)</f>
        <v>163</v>
      </c>
      <c r="L413" s="260" t="n">
        <f aca="false" t="array" ref="L413:L413">ROUND(INDEX('0.0.1 Pokémon Dex Data'!$S$3:$S951,MATCH($E413,'0.0.1 Pokémon Dex Data'!$B$3:$B951,0))*INDEX('0.0.1 Pokémon Dex Data'!V$3:V951,MATCH($E413,'0.0.1 Pokémon Dex Data'!$B$3:$B951,0)),0)</f>
        <v>223</v>
      </c>
      <c r="M413" s="260" t="n">
        <f aca="false" t="array" ref="M413:M413">INDEX('0.0.1 Pokémon Dex Data'!$J$3:$J951,MATCH(E413,'0.0.1 Pokémon Dex Data'!$B$3:$B951,0))</f>
        <v>1</v>
      </c>
      <c r="O413" s="490"/>
      <c r="Q413" s="367" t="n">
        <f aca="false">IF('Reverse Search'!$F$4="All (including temporary formes)",1,IF('Reverse Search'!$F$4="Base Pokémon and permanent formes only",IF(F413&lt;=1,1,0),IF(F413=0,1,0)))</f>
        <v>1</v>
      </c>
      <c r="R413" s="0" t="n">
        <f aca="false">IF('Reverse Search'!$C$7="Disable",1,IF('Reverse Search'!$D$9="Disable",1,IF(OR('Reverse Search'!$F$9=H413,'Reverse Search'!$F$9=I413),1,0)))</f>
        <v>1</v>
      </c>
      <c r="S413" s="0" t="n">
        <f aca="false">IF('Reverse Search'!$C$7="Disable",1,IF('Reverse Search'!$D$10="Disable",1,IF(OR('Reverse Search'!$F$10=H413,'Reverse Search'!$F$10=I413),1,0)))</f>
        <v>1</v>
      </c>
      <c r="T413" s="0" t="n">
        <f aca="false">INDEX($B$4:$B$22,MATCH(H413,$A$4:$A$22,0))</f>
        <v>1</v>
      </c>
      <c r="U413" s="0" t="n">
        <f aca="false">IF(ISBLANK(I413),1,INDEX($B$4:$B$22,MATCH(I413,$A$4:$A$22,0)))</f>
        <v>1</v>
      </c>
      <c r="V413" s="367" t="n">
        <f aca="false">IF('Reverse Search'!$C$7="Disable",1,IF('Reverse Search'!$D$11="Disable",1,IF('Reverse Search'!$E$11="Neutral to:",IF(ROUND(T413*U413,2)&lt;=1,1,0),IF(ROUND(T413*U413,2)&lt;1,1,0))))</f>
        <v>1</v>
      </c>
      <c r="W413" s="0" t="n">
        <f aca="false">IF('Reverse Search'!$N$7="Disable",1,IF('Reverse Search'!$I$9="Disable",1,IF('Reverse Search'!$K$9="≥",IF(J413&gt;='Reverse Search'!$L$9,1,0),IF('Reverse Search'!$K$9="≤",IF(J413&lt;='Reverse Search'!$L$9,1,0),IF(J413='Reverse Search'!$L$9,1,0)))))</f>
        <v>1</v>
      </c>
      <c r="X413" s="0" t="n">
        <f aca="false">IF('Reverse Search'!$N$7="Disable",1,IF('Reverse Search'!$I$10="Disable",1,IF('Reverse Search'!$K$10="≥",IF(K413&gt;='Reverse Search'!$L$10,1,0),IF('Reverse Search'!$K$10="≤",IF(K413&lt;='Reverse Search'!$L$10,1,0),IF(K413='Reverse Search'!$L$10,1,0)))))</f>
        <v>1</v>
      </c>
      <c r="Y413" s="367" t="n">
        <f aca="false">IF('Reverse Search'!$N$7="Disable",1,IF('Reverse Search'!$I$11="Disable",1,IF('Reverse Search'!$K$11="≥",IF(L413&gt;='Reverse Search'!$L$11,1,0),IF('Reverse Search'!$K$11="≤",IF(L413&lt;='Reverse Search'!$L$11,1,0),IF(L413='Reverse Search'!$L$11,1,0)))))</f>
        <v>1</v>
      </c>
      <c r="Z413" s="0" t="n">
        <f aca="true">IF('Reverse Search'!$C$14="Disable",1,IF('Reverse Search'!$D$16="Disable",1,IF($C$2=3,IF($M413=0,0,COUNTIF(INDIRECT("'0.0.2 Pokémon Learnset (Core)'!$D$"&amp;MATCH($E413,'0.0.2 Pokémon Learnset (Core)'!$A$1:$A951,0)&amp;":$FK$"&amp;MATCH($E413,'0.0.2 Pokémon Learnset (Core)'!$A$1:$A951,0)),'Reverse Search'!$E$21)),IF($C$2=2,COUNTIF(INDIRECT("'0.1.1 Pokémon GO Moves'!$B$"&amp;MATCH($E413,'0.1.1 Pokémon GO Moves'!$A$1:$A951,0)&amp;":$R$"&amp;MATCH($E413,'0.1.1 Pokémon GO Moves'!$A$1:$A951,0)),'Reverse Search'!$E$21),COUNTIF(INDIRECT("'0.1.1 Pokémon GO Moves'!$B$"&amp;MATCH($E413,'0.1.1 Pokémon GO Moves'!$A$1:$A951,0)&amp;":$L$"&amp;MATCH($E413,'0.1.1 Pokémon GO Moves'!$A$1:$A951,0)),'Reverse Search'!$E$21)))))</f>
        <v>1</v>
      </c>
      <c r="AA413" s="0" t="n">
        <f aca="true">IF('Reverse Search'!$C$14="Disable",1,IF('Reverse Search'!$I$16="Disable",1,IF($D$2=3,IF($M413=0,0,COUNTIF(INDIRECT("'0.0.2 Pokémon Learnset (Core)'!$D$"&amp;MATCH($E413,'0.0.2 Pokémon Learnset (Core)'!$A$1:$A951,0)&amp;":$FK$"&amp;MATCH($E413,'0.0.2 Pokémon Learnset (Core)'!$A$1:$A951,0)),'Reverse Search'!$J$21)),IF($D$2=2,COUNTIF(INDIRECT("'0.1.1 Pokémon GO Moves'!$B$"&amp;MATCH($E413,'0.1.1 Pokémon GO Moves'!$A$1:$A951,0)&amp;":$R$"&amp;MATCH($E413,'0.1.1 Pokémon GO Moves'!$A$1:$A951,0)),'Reverse Search'!$J$21),COUNTIF(INDIRECT("'0.1.1 Pokémon GO Moves'!$B$"&amp;MATCH($E413,'0.1.1 Pokémon GO Moves'!$A$1:$A951,0)&amp;":$L$"&amp;MATCH($E413,'0.1.1 Pokémon GO Moves'!$A$1:$A951,0)),'Reverse Search'!$J$21)))))</f>
        <v>0</v>
      </c>
      <c r="AB413" s="490"/>
      <c r="AC413" s="260" t="n">
        <f aca="false">IF((Q413+R413+S413+V413+W413+X413+Y413+IF(Z413&gt;=1,1,0)+IF(AA413&gt;=1,1,0))=9,G413&amp;", ",)</f>
        <v>0</v>
      </c>
    </row>
    <row r="414" customFormat="false" ht="15.75" hidden="false" customHeight="false" outlineLevel="0" collapsed="false">
      <c r="A414" s="260"/>
      <c r="B414" s="358"/>
      <c r="C414" s="260"/>
      <c r="D414" s="358"/>
      <c r="E414" s="260" t="n">
        <v>413</v>
      </c>
      <c r="F414" s="260" t="n">
        <f aca="false" t="array" ref="F414:F414">INDEX('0.0.1 Pokémon Dex Data'!$H$3:$H951,MATCH(E414,'0.0.1 Pokémon Dex Data'!$B$3:$B951,0))</f>
        <v>0</v>
      </c>
      <c r="G414" s="0" t="str">
        <f aca="false" t="array" ref="G414:G414">INDEX('0.0.1 Pokémon Dex Data'!$E$3:$E951,MATCH(E414,'0.0.1 Pokémon Dex Data'!$B$3:$B951,0))</f>
        <v>Chimecho</v>
      </c>
      <c r="H414" s="0" t="str">
        <f aca="false" t="array" ref="H414:H414">INDEX('0.0.1 Pokémon Dex Data'!$Q$3:$Q951,MATCH(E414,'0.0.1 Pokémon Dex Data'!$B$3:$B951,0))</f>
        <v>Psychic</v>
      </c>
      <c r="I414" s="0" t="n">
        <f aca="false">INDEX('0.0.1 Pokémon Dex Data'!$R$3:$R951,MATCH(E414,'0.0.1 Pokémon Dex Data'!$B$3:$B951,0))</f>
        <v>0</v>
      </c>
      <c r="J414" s="260" t="n">
        <f aca="false" t="array" ref="J414:J414">ROUND(INDEX('0.0.1 Pokémon Dex Data'!$S$3:$S951,MATCH($E414,'0.0.1 Pokémon Dex Data'!$B$3:$B951,0))*INDEX('0.0.1 Pokémon Dex Data'!T$3:T951,MATCH($E414,'0.0.1 Pokémon Dex Data'!$B$3:$B951,0)),0)</f>
        <v>175</v>
      </c>
      <c r="K414" s="260" t="n">
        <f aca="false" t="array" ref="K414:K414">ROUND(INDEX('0.0.1 Pokémon Dex Data'!$S$3:$S951,MATCH($E414,'0.0.1 Pokémon Dex Data'!$B$3:$B951,0))*INDEX('0.0.1 Pokémon Dex Data'!U$3:U951,MATCH($E414,'0.0.1 Pokémon Dex Data'!$B$3:$B951,0)),0)</f>
        <v>170</v>
      </c>
      <c r="L414" s="260" t="n">
        <f aca="false" t="array" ref="L414:L414">ROUND(INDEX('0.0.1 Pokémon Dex Data'!$S$3:$S951,MATCH($E414,'0.0.1 Pokémon Dex Data'!$B$3:$B951,0))*INDEX('0.0.1 Pokémon Dex Data'!V$3:V951,MATCH($E414,'0.0.1 Pokémon Dex Data'!$B$3:$B951,0)),0)</f>
        <v>181</v>
      </c>
      <c r="M414" s="260" t="n">
        <f aca="false" t="array" ref="M414:M414">INDEX('0.0.1 Pokémon Dex Data'!$J$3:$J951,MATCH(E414,'0.0.1 Pokémon Dex Data'!$B$3:$B951,0))</f>
        <v>1</v>
      </c>
      <c r="O414" s="490"/>
      <c r="Q414" s="367" t="n">
        <f aca="false">IF('Reverse Search'!$F$4="All (including temporary formes)",1,IF('Reverse Search'!$F$4="Base Pokémon and permanent formes only",IF(F414&lt;=1,1,0),IF(F414=0,1,0)))</f>
        <v>1</v>
      </c>
      <c r="R414" s="0" t="n">
        <f aca="false">IF('Reverse Search'!$C$7="Disable",1,IF('Reverse Search'!$D$9="Disable",1,IF(OR('Reverse Search'!$F$9=H414,'Reverse Search'!$F$9=I414),1,0)))</f>
        <v>1</v>
      </c>
      <c r="S414" s="0" t="n">
        <f aca="false">IF('Reverse Search'!$C$7="Disable",1,IF('Reverse Search'!$D$10="Disable",1,IF(OR('Reverse Search'!$F$10=H414,'Reverse Search'!$F$10=I414),1,0)))</f>
        <v>1</v>
      </c>
      <c r="T414" s="0" t="n">
        <f aca="false">INDEX($B$4:$B$22,MATCH(H414,$A$4:$A$22,0))</f>
        <v>1</v>
      </c>
      <c r="U414" s="0" t="e">
        <f aca="false">IF(ISBLANK(I414),1,INDEX($B$4:$B$22,MATCH(I414,$A$4:$A$22,0)))</f>
        <v>#N/A</v>
      </c>
      <c r="V414" s="367" t="n">
        <f aca="false">IF('Reverse Search'!$C$7="Disable",1,IF('Reverse Search'!$D$11="Disable",1,IF('Reverse Search'!$E$11="Neutral to:",IF(ROUND(T414*U414,2)&lt;=1,1,0),IF(ROUND(T414*U414,2)&lt;1,1,0))))</f>
        <v>1</v>
      </c>
      <c r="W414" s="0" t="n">
        <f aca="false">IF('Reverse Search'!$N$7="Disable",1,IF('Reverse Search'!$I$9="Disable",1,IF('Reverse Search'!$K$9="≥",IF(J414&gt;='Reverse Search'!$L$9,1,0),IF('Reverse Search'!$K$9="≤",IF(J414&lt;='Reverse Search'!$L$9,1,0),IF(J414='Reverse Search'!$L$9,1,0)))))</f>
        <v>1</v>
      </c>
      <c r="X414" s="0" t="n">
        <f aca="false">IF('Reverse Search'!$N$7="Disable",1,IF('Reverse Search'!$I$10="Disable",1,IF('Reverse Search'!$K$10="≥",IF(K414&gt;='Reverse Search'!$L$10,1,0),IF('Reverse Search'!$K$10="≤",IF(K414&lt;='Reverse Search'!$L$10,1,0),IF(K414='Reverse Search'!$L$10,1,0)))))</f>
        <v>1</v>
      </c>
      <c r="Y414" s="367" t="n">
        <f aca="false">IF('Reverse Search'!$N$7="Disable",1,IF('Reverse Search'!$I$11="Disable",1,IF('Reverse Search'!$K$11="≥",IF(L414&gt;='Reverse Search'!$L$11,1,0),IF('Reverse Search'!$K$11="≤",IF(L414&lt;='Reverse Search'!$L$11,1,0),IF(L414='Reverse Search'!$L$11,1,0)))))</f>
        <v>1</v>
      </c>
      <c r="Z414" s="0" t="n">
        <f aca="true">IF('Reverse Search'!$C$14="Disable",1,IF('Reverse Search'!$D$16="Disable",1,IF($C$2=3,IF($M414=0,0,COUNTIF(INDIRECT("'0.0.2 Pokémon Learnset (Core)'!$D$"&amp;MATCH($E414,'0.0.2 Pokémon Learnset (Core)'!$A$1:$A951,0)&amp;":$FK$"&amp;MATCH($E414,'0.0.2 Pokémon Learnset (Core)'!$A$1:$A951,0)),'Reverse Search'!$E$21)),IF($C$2=2,COUNTIF(INDIRECT("'0.1.1 Pokémon GO Moves'!$B$"&amp;MATCH($E414,'0.1.1 Pokémon GO Moves'!$A$1:$A951,0)&amp;":$R$"&amp;MATCH($E414,'0.1.1 Pokémon GO Moves'!$A$1:$A951,0)),'Reverse Search'!$E$21),COUNTIF(INDIRECT("'0.1.1 Pokémon GO Moves'!$B$"&amp;MATCH($E414,'0.1.1 Pokémon GO Moves'!$A$1:$A951,0)&amp;":$L$"&amp;MATCH($E414,'0.1.1 Pokémon GO Moves'!$A$1:$A951,0)),'Reverse Search'!$E$21)))))</f>
        <v>1</v>
      </c>
      <c r="AA414" s="0" t="n">
        <f aca="true">IF('Reverse Search'!$C$14="Disable",1,IF('Reverse Search'!$I$16="Disable",1,IF($D$2=3,IF($M414=0,0,COUNTIF(INDIRECT("'0.0.2 Pokémon Learnset (Core)'!$D$"&amp;MATCH($E414,'0.0.2 Pokémon Learnset (Core)'!$A$1:$A951,0)&amp;":$FK$"&amp;MATCH($E414,'0.0.2 Pokémon Learnset (Core)'!$A$1:$A951,0)),'Reverse Search'!$J$21)),IF($D$2=2,COUNTIF(INDIRECT("'0.1.1 Pokémon GO Moves'!$B$"&amp;MATCH($E414,'0.1.1 Pokémon GO Moves'!$A$1:$A951,0)&amp;":$R$"&amp;MATCH($E414,'0.1.1 Pokémon GO Moves'!$A$1:$A951,0)),'Reverse Search'!$J$21),COUNTIF(INDIRECT("'0.1.1 Pokémon GO Moves'!$B$"&amp;MATCH($E414,'0.1.1 Pokémon GO Moves'!$A$1:$A951,0)&amp;":$L$"&amp;MATCH($E414,'0.1.1 Pokémon GO Moves'!$A$1:$A951,0)),'Reverse Search'!$J$21)))))</f>
        <v>0</v>
      </c>
      <c r="AB414" s="490"/>
      <c r="AC414" s="260" t="n">
        <f aca="false">IF((Q414+R414+S414+V414+W414+X414+Y414+IF(Z414&gt;=1,1,0)+IF(AA414&gt;=1,1,0))=9,G414&amp;", ",)</f>
        <v>0</v>
      </c>
    </row>
    <row r="415" customFormat="false" ht="15.75" hidden="false" customHeight="false" outlineLevel="0" collapsed="false">
      <c r="A415" s="260"/>
      <c r="B415" s="358"/>
      <c r="C415" s="260"/>
      <c r="D415" s="358"/>
      <c r="E415" s="260" t="n">
        <v>414</v>
      </c>
      <c r="F415" s="260" t="n">
        <f aca="false" t="array" ref="F415:F415">INDEX('0.0.1 Pokémon Dex Data'!$H$3:$H951,MATCH(E415,'0.0.1 Pokémon Dex Data'!$B$3:$B951,0))</f>
        <v>0</v>
      </c>
      <c r="G415" s="0" t="str">
        <f aca="false" t="array" ref="G415:G415">INDEX('0.0.1 Pokémon Dex Data'!$E$3:$E951,MATCH(E415,'0.0.1 Pokémon Dex Data'!$B$3:$B951,0))</f>
        <v>Absol</v>
      </c>
      <c r="H415" s="0" t="str">
        <f aca="false" t="array" ref="H415:H415">INDEX('0.0.1 Pokémon Dex Data'!$Q$3:$Q951,MATCH(E415,'0.0.1 Pokémon Dex Data'!$B$3:$B951,0))</f>
        <v>Dark</v>
      </c>
      <c r="I415" s="0" t="n">
        <f aca="false">INDEX('0.0.1 Pokémon Dex Data'!$R$3:$R951,MATCH(E415,'0.0.1 Pokémon Dex Data'!$B$3:$B951,0))</f>
        <v>0</v>
      </c>
      <c r="J415" s="260" t="n">
        <f aca="false" t="array" ref="J415:J415">ROUND(INDEX('0.0.1 Pokémon Dex Data'!$S$3:$S951,MATCH($E415,'0.0.1 Pokémon Dex Data'!$B$3:$B951,0))*INDEX('0.0.1 Pokémon Dex Data'!T$3:T951,MATCH($E415,'0.0.1 Pokémon Dex Data'!$B$3:$B951,0)),0)</f>
        <v>246</v>
      </c>
      <c r="K415" s="260" t="n">
        <f aca="false" t="array" ref="K415:K415">ROUND(INDEX('0.0.1 Pokémon Dex Data'!$S$3:$S951,MATCH($E415,'0.0.1 Pokémon Dex Data'!$B$3:$B951,0))*INDEX('0.0.1 Pokémon Dex Data'!U$3:U951,MATCH($E415,'0.0.1 Pokémon Dex Data'!$B$3:$B951,0)),0)</f>
        <v>120</v>
      </c>
      <c r="L415" s="260" t="n">
        <f aca="false" t="array" ref="L415:L415">ROUND(INDEX('0.0.1 Pokémon Dex Data'!$S$3:$S951,MATCH($E415,'0.0.1 Pokémon Dex Data'!$B$3:$B951,0))*INDEX('0.0.1 Pokémon Dex Data'!V$3:V951,MATCH($E415,'0.0.1 Pokémon Dex Data'!$B$3:$B951,0)),0)</f>
        <v>163</v>
      </c>
      <c r="M415" s="260" t="n">
        <f aca="false" t="array" ref="M415:M415">INDEX('0.0.1 Pokémon Dex Data'!$J$3:$J951,MATCH(E415,'0.0.1 Pokémon Dex Data'!$B$3:$B951,0))</f>
        <v>1</v>
      </c>
      <c r="O415" s="490"/>
      <c r="Q415" s="367" t="n">
        <f aca="false">IF('Reverse Search'!$F$4="All (including temporary formes)",1,IF('Reverse Search'!$F$4="Base Pokémon and permanent formes only",IF(F415&lt;=1,1,0),IF(F415=0,1,0)))</f>
        <v>1</v>
      </c>
      <c r="R415" s="0" t="n">
        <f aca="false">IF('Reverse Search'!$C$7="Disable",1,IF('Reverse Search'!$D$9="Disable",1,IF(OR('Reverse Search'!$F$9=H415,'Reverse Search'!$F$9=I415),1,0)))</f>
        <v>1</v>
      </c>
      <c r="S415" s="0" t="n">
        <f aca="false">IF('Reverse Search'!$C$7="Disable",1,IF('Reverse Search'!$D$10="Disable",1,IF(OR('Reverse Search'!$F$10=H415,'Reverse Search'!$F$10=I415),1,0)))</f>
        <v>1</v>
      </c>
      <c r="T415" s="0" t="n">
        <f aca="false">INDEX($B$4:$B$22,MATCH(H415,$A$4:$A$22,0))</f>
        <v>1</v>
      </c>
      <c r="U415" s="0" t="e">
        <f aca="false">IF(ISBLANK(I415),1,INDEX($B$4:$B$22,MATCH(I415,$A$4:$A$22,0)))</f>
        <v>#N/A</v>
      </c>
      <c r="V415" s="367" t="n">
        <f aca="false">IF('Reverse Search'!$C$7="Disable",1,IF('Reverse Search'!$D$11="Disable",1,IF('Reverse Search'!$E$11="Neutral to:",IF(ROUND(T415*U415,2)&lt;=1,1,0),IF(ROUND(T415*U415,2)&lt;1,1,0))))</f>
        <v>1</v>
      </c>
      <c r="W415" s="0" t="n">
        <f aca="false">IF('Reverse Search'!$N$7="Disable",1,IF('Reverse Search'!$I$9="Disable",1,IF('Reverse Search'!$K$9="≥",IF(J415&gt;='Reverse Search'!$L$9,1,0),IF('Reverse Search'!$K$9="≤",IF(J415&lt;='Reverse Search'!$L$9,1,0),IF(J415='Reverse Search'!$L$9,1,0)))))</f>
        <v>1</v>
      </c>
      <c r="X415" s="0" t="n">
        <f aca="false">IF('Reverse Search'!$N$7="Disable",1,IF('Reverse Search'!$I$10="Disable",1,IF('Reverse Search'!$K$10="≥",IF(K415&gt;='Reverse Search'!$L$10,1,0),IF('Reverse Search'!$K$10="≤",IF(K415&lt;='Reverse Search'!$L$10,1,0),IF(K415='Reverse Search'!$L$10,1,0)))))</f>
        <v>1</v>
      </c>
      <c r="Y415" s="367" t="n">
        <f aca="false">IF('Reverse Search'!$N$7="Disable",1,IF('Reverse Search'!$I$11="Disable",1,IF('Reverse Search'!$K$11="≥",IF(L415&gt;='Reverse Search'!$L$11,1,0),IF('Reverse Search'!$K$11="≤",IF(L415&lt;='Reverse Search'!$L$11,1,0),IF(L415='Reverse Search'!$L$11,1,0)))))</f>
        <v>1</v>
      </c>
      <c r="Z415" s="0" t="n">
        <f aca="true">IF('Reverse Search'!$C$14="Disable",1,IF('Reverse Search'!$D$16="Disable",1,IF($C$2=3,IF($M415=0,0,COUNTIF(INDIRECT("'0.0.2 Pokémon Learnset (Core)'!$D$"&amp;MATCH($E415,'0.0.2 Pokémon Learnset (Core)'!$A$1:$A951,0)&amp;":$FK$"&amp;MATCH($E415,'0.0.2 Pokémon Learnset (Core)'!$A$1:$A951,0)),'Reverse Search'!$E$21)),IF($C$2=2,COUNTIF(INDIRECT("'0.1.1 Pokémon GO Moves'!$B$"&amp;MATCH($E415,'0.1.1 Pokémon GO Moves'!$A$1:$A951,0)&amp;":$R$"&amp;MATCH($E415,'0.1.1 Pokémon GO Moves'!$A$1:$A951,0)),'Reverse Search'!$E$21),COUNTIF(INDIRECT("'0.1.1 Pokémon GO Moves'!$B$"&amp;MATCH($E415,'0.1.1 Pokémon GO Moves'!$A$1:$A951,0)&amp;":$L$"&amp;MATCH($E415,'0.1.1 Pokémon GO Moves'!$A$1:$A951,0)),'Reverse Search'!$E$21)))))</f>
        <v>1</v>
      </c>
      <c r="AA415" s="0" t="n">
        <f aca="true">IF('Reverse Search'!$C$14="Disable",1,IF('Reverse Search'!$I$16="Disable",1,IF($D$2=3,IF($M415=0,0,COUNTIF(INDIRECT("'0.0.2 Pokémon Learnset (Core)'!$D$"&amp;MATCH($E415,'0.0.2 Pokémon Learnset (Core)'!$A$1:$A951,0)&amp;":$FK$"&amp;MATCH($E415,'0.0.2 Pokémon Learnset (Core)'!$A$1:$A951,0)),'Reverse Search'!$J$21)),IF($D$2=2,COUNTIF(INDIRECT("'0.1.1 Pokémon GO Moves'!$B$"&amp;MATCH($E415,'0.1.1 Pokémon GO Moves'!$A$1:$A951,0)&amp;":$R$"&amp;MATCH($E415,'0.1.1 Pokémon GO Moves'!$A$1:$A951,0)),'Reverse Search'!$J$21),COUNTIF(INDIRECT("'0.1.1 Pokémon GO Moves'!$B$"&amp;MATCH($E415,'0.1.1 Pokémon GO Moves'!$A$1:$A951,0)&amp;":$L$"&amp;MATCH($E415,'0.1.1 Pokémon GO Moves'!$A$1:$A951,0)),'Reverse Search'!$J$21)))))</f>
        <v>0</v>
      </c>
      <c r="AB415" s="490"/>
      <c r="AC415" s="260" t="n">
        <f aca="false">IF((Q415+R415+S415+V415+W415+X415+Y415+IF(Z415&gt;=1,1,0)+IF(AA415&gt;=1,1,0))=9,G415&amp;", ",)</f>
        <v>0</v>
      </c>
    </row>
    <row r="416" customFormat="false" ht="15.75" hidden="false" customHeight="false" outlineLevel="0" collapsed="false">
      <c r="A416" s="260"/>
      <c r="B416" s="358"/>
      <c r="C416" s="260"/>
      <c r="D416" s="358"/>
      <c r="E416" s="260" t="n">
        <v>415</v>
      </c>
      <c r="F416" s="260" t="n">
        <f aca="false" t="array" ref="F416:F416">INDEX('0.0.1 Pokémon Dex Data'!$H$3:$H951,MATCH(E416,'0.0.1 Pokémon Dex Data'!$B$3:$B951,0))</f>
        <v>2</v>
      </c>
      <c r="G416" s="0" t="str">
        <f aca="false" t="array" ref="G416:G416">INDEX('0.0.1 Pokémon Dex Data'!$E$3:$E951,MATCH(E416,'0.0.1 Pokémon Dex Data'!$B$3:$B951,0))</f>
        <v>Absol-Mega</v>
      </c>
      <c r="H416" s="0" t="str">
        <f aca="false" t="array" ref="H416:H416">INDEX('0.0.1 Pokémon Dex Data'!$Q$3:$Q951,MATCH(E416,'0.0.1 Pokémon Dex Data'!$B$3:$B951,0))</f>
        <v>Dark</v>
      </c>
      <c r="I416" s="0" t="n">
        <f aca="false">INDEX('0.0.1 Pokémon Dex Data'!$R$3:$R951,MATCH(E416,'0.0.1 Pokémon Dex Data'!$B$3:$B951,0))</f>
        <v>0</v>
      </c>
      <c r="J416" s="260" t="n">
        <f aca="false" t="array" ref="J416:J416">ROUND(INDEX('0.0.1 Pokémon Dex Data'!$S$3:$S951,MATCH($E416,'0.0.1 Pokémon Dex Data'!$B$3:$B951,0))*INDEX('0.0.1 Pokémon Dex Data'!T$3:T951,MATCH($E416,'0.0.1 Pokémon Dex Data'!$B$3:$B951,0)),0)</f>
        <v>314</v>
      </c>
      <c r="K416" s="260" t="n">
        <f aca="false" t="array" ref="K416:K416">ROUND(INDEX('0.0.1 Pokémon Dex Data'!$S$3:$S951,MATCH($E416,'0.0.1 Pokémon Dex Data'!$B$3:$B951,0))*INDEX('0.0.1 Pokémon Dex Data'!U$3:U951,MATCH($E416,'0.0.1 Pokémon Dex Data'!$B$3:$B951,0)),0)</f>
        <v>130</v>
      </c>
      <c r="L416" s="260" t="n">
        <f aca="false" t="array" ref="L416:L416">ROUND(INDEX('0.0.1 Pokémon Dex Data'!$S$3:$S951,MATCH($E416,'0.0.1 Pokémon Dex Data'!$B$3:$B951,0))*INDEX('0.0.1 Pokémon Dex Data'!V$3:V951,MATCH($E416,'0.0.1 Pokémon Dex Data'!$B$3:$B951,0)),0)</f>
        <v>163</v>
      </c>
      <c r="M416" s="260" t="n">
        <f aca="false" t="array" ref="M416:M416">INDEX('0.0.1 Pokémon Dex Data'!$J$3:$J951,MATCH(E416,'0.0.1 Pokémon Dex Data'!$B$3:$B951,0))</f>
        <v>1</v>
      </c>
      <c r="O416" s="490"/>
      <c r="Q416" s="367" t="n">
        <f aca="false">IF('Reverse Search'!$F$4="All (including temporary formes)",1,IF('Reverse Search'!$F$4="Base Pokémon and permanent formes only",IF(F416&lt;=1,1,0),IF(F416=0,1,0)))</f>
        <v>0</v>
      </c>
      <c r="R416" s="0" t="n">
        <f aca="false">IF('Reverse Search'!$C$7="Disable",1,IF('Reverse Search'!$D$9="Disable",1,IF(OR('Reverse Search'!$F$9=H416,'Reverse Search'!$F$9=I416),1,0)))</f>
        <v>1</v>
      </c>
      <c r="S416" s="0" t="n">
        <f aca="false">IF('Reverse Search'!$C$7="Disable",1,IF('Reverse Search'!$D$10="Disable",1,IF(OR('Reverse Search'!$F$10=H416,'Reverse Search'!$F$10=I416),1,0)))</f>
        <v>1</v>
      </c>
      <c r="T416" s="0" t="n">
        <f aca="false">INDEX($B$4:$B$22,MATCH(H416,$A$4:$A$22,0))</f>
        <v>1</v>
      </c>
      <c r="U416" s="0" t="e">
        <f aca="false">IF(ISBLANK(I416),1,INDEX($B$4:$B$22,MATCH(I416,$A$4:$A$22,0)))</f>
        <v>#N/A</v>
      </c>
      <c r="V416" s="367" t="n">
        <f aca="false">IF('Reverse Search'!$C$7="Disable",1,IF('Reverse Search'!$D$11="Disable",1,IF('Reverse Search'!$E$11="Neutral to:",IF(ROUND(T416*U416,2)&lt;=1,1,0),IF(ROUND(T416*U416,2)&lt;1,1,0))))</f>
        <v>1</v>
      </c>
      <c r="W416" s="0" t="n">
        <f aca="false">IF('Reverse Search'!$N$7="Disable",1,IF('Reverse Search'!$I$9="Disable",1,IF('Reverse Search'!$K$9="≥",IF(J416&gt;='Reverse Search'!$L$9,1,0),IF('Reverse Search'!$K$9="≤",IF(J416&lt;='Reverse Search'!$L$9,1,0),IF(J416='Reverse Search'!$L$9,1,0)))))</f>
        <v>1</v>
      </c>
      <c r="X416" s="0" t="n">
        <f aca="false">IF('Reverse Search'!$N$7="Disable",1,IF('Reverse Search'!$I$10="Disable",1,IF('Reverse Search'!$K$10="≥",IF(K416&gt;='Reverse Search'!$L$10,1,0),IF('Reverse Search'!$K$10="≤",IF(K416&lt;='Reverse Search'!$L$10,1,0),IF(K416='Reverse Search'!$L$10,1,0)))))</f>
        <v>1</v>
      </c>
      <c r="Y416" s="367" t="n">
        <f aca="false">IF('Reverse Search'!$N$7="Disable",1,IF('Reverse Search'!$I$11="Disable",1,IF('Reverse Search'!$K$11="≥",IF(L416&gt;='Reverse Search'!$L$11,1,0),IF('Reverse Search'!$K$11="≤",IF(L416&lt;='Reverse Search'!$L$11,1,0),IF(L416='Reverse Search'!$L$11,1,0)))))</f>
        <v>1</v>
      </c>
      <c r="Z416" s="0" t="n">
        <f aca="true">IF('Reverse Search'!$C$14="Disable",1,IF('Reverse Search'!$D$16="Disable",1,IF($C$2=3,IF($M416=0,0,COUNTIF(INDIRECT("'0.0.2 Pokémon Learnset (Core)'!$D$"&amp;MATCH($E416,'0.0.2 Pokémon Learnset (Core)'!$A$1:$A951,0)&amp;":$FK$"&amp;MATCH($E416,'0.0.2 Pokémon Learnset (Core)'!$A$1:$A951,0)),'Reverse Search'!$E$21)),IF($C$2=2,COUNTIF(INDIRECT("'0.1.1 Pokémon GO Moves'!$B$"&amp;MATCH($E416,'0.1.1 Pokémon GO Moves'!$A$1:$A951,0)&amp;":$R$"&amp;MATCH($E416,'0.1.1 Pokémon GO Moves'!$A$1:$A951,0)),'Reverse Search'!$E$21),COUNTIF(INDIRECT("'0.1.1 Pokémon GO Moves'!$B$"&amp;MATCH($E416,'0.1.1 Pokémon GO Moves'!$A$1:$A951,0)&amp;":$L$"&amp;MATCH($E416,'0.1.1 Pokémon GO Moves'!$A$1:$A951,0)),'Reverse Search'!$E$21)))))</f>
        <v>1</v>
      </c>
      <c r="AA416" s="0" t="e">
        <f aca="true">IF('Reverse Search'!$C$14="Disable",1,IF('Reverse Search'!$I$16="Disable",1,IF($D$2=3,IF($M416=0,0,COUNTIF(INDIRECT("'0.0.2 Pokémon Learnset (Core)'!$D$"&amp;MATCH($E416,'0.0.2 Pokémon Learnset (Core)'!$A$1:$A951,0)&amp;":$FK$"&amp;MATCH($E416,'0.0.2 Pokémon Learnset (Core)'!$A$1:$A951,0)),'Reverse Search'!$J$21)),IF($D$2=2,COUNTIF(INDIRECT("'0.1.1 Pokémon GO Moves'!$B$"&amp;MATCH($E416,'0.1.1 Pokémon GO Moves'!$A$1:$A951,0)&amp;":$R$"&amp;MATCH($E416,'0.1.1 Pokémon GO Moves'!$A$1:$A951,0)),'Reverse Search'!$J$21),COUNTIF(INDIRECT("'0.1.1 Pokémon GO Moves'!$B$"&amp;MATCH($E416,'0.1.1 Pokémon GO Moves'!$A$1:$A951,0)&amp;":$L$"&amp;MATCH($E416,'0.1.1 Pokémon GO Moves'!$A$1:$A951,0)),'Reverse Search'!$J$21)))))</f>
        <v>#N/A</v>
      </c>
      <c r="AB416" s="490"/>
      <c r="AC416" s="260" t="e">
        <f aca="false">IF((Q416+R416+S416+V416+W416+X416+Y416+IF(Z416&gt;=1,1,0)+IF(AA416&gt;=1,1,0))=9,G416&amp;", ",)</f>
        <v>#N/A</v>
      </c>
    </row>
    <row r="417" customFormat="false" ht="15.75" hidden="false" customHeight="false" outlineLevel="0" collapsed="false">
      <c r="A417" s="260"/>
      <c r="B417" s="358"/>
      <c r="C417" s="260"/>
      <c r="D417" s="358"/>
      <c r="E417" s="260" t="n">
        <v>416</v>
      </c>
      <c r="F417" s="260" t="n">
        <f aca="false" t="array" ref="F417:F417">INDEX('0.0.1 Pokémon Dex Data'!$H$3:$H951,MATCH(E417,'0.0.1 Pokémon Dex Data'!$B$3:$B951,0))</f>
        <v>0</v>
      </c>
      <c r="G417" s="0" t="str">
        <f aca="false" t="array" ref="G417:G417">INDEX('0.0.1 Pokémon Dex Data'!$E$3:$E951,MATCH(E417,'0.0.1 Pokémon Dex Data'!$B$3:$B951,0))</f>
        <v>Wynaut</v>
      </c>
      <c r="H417" s="0" t="str">
        <f aca="false" t="array" ref="H417:H417">INDEX('0.0.1 Pokémon Dex Data'!$Q$3:$Q951,MATCH(E417,'0.0.1 Pokémon Dex Data'!$B$3:$B951,0))</f>
        <v>Psychic</v>
      </c>
      <c r="I417" s="0" t="n">
        <f aca="false">INDEX('0.0.1 Pokémon Dex Data'!$R$3:$R951,MATCH(E417,'0.0.1 Pokémon Dex Data'!$B$3:$B951,0))</f>
        <v>0</v>
      </c>
      <c r="J417" s="260" t="n">
        <f aca="false" t="array" ref="J417:J417">ROUND(INDEX('0.0.1 Pokémon Dex Data'!$S$3:$S951,MATCH($E417,'0.0.1 Pokémon Dex Data'!$B$3:$B951,0))*INDEX('0.0.1 Pokémon Dex Data'!T$3:T951,MATCH($E417,'0.0.1 Pokémon Dex Data'!$B$3:$B951,0)),0)</f>
        <v>41</v>
      </c>
      <c r="K417" s="260" t="n">
        <f aca="false" t="array" ref="K417:K417">ROUND(INDEX('0.0.1 Pokémon Dex Data'!$S$3:$S951,MATCH($E417,'0.0.1 Pokémon Dex Data'!$B$3:$B951,0))*INDEX('0.0.1 Pokémon Dex Data'!U$3:U951,MATCH($E417,'0.0.1 Pokémon Dex Data'!$B$3:$B951,0)),0)</f>
        <v>86</v>
      </c>
      <c r="L417" s="260" t="n">
        <f aca="false" t="array" ref="L417:L417">ROUND(INDEX('0.0.1 Pokémon Dex Data'!$S$3:$S951,MATCH($E417,'0.0.1 Pokémon Dex Data'!$B$3:$B951,0))*INDEX('0.0.1 Pokémon Dex Data'!V$3:V951,MATCH($E417,'0.0.1 Pokémon Dex Data'!$B$3:$B951,0)),0)</f>
        <v>216</v>
      </c>
      <c r="M417" s="260" t="n">
        <f aca="false" t="array" ref="M417:M417">INDEX('0.0.1 Pokémon Dex Data'!$J$3:$J951,MATCH(E417,'0.0.1 Pokémon Dex Data'!$B$3:$B951,0))</f>
        <v>0</v>
      </c>
      <c r="O417" s="490"/>
      <c r="Q417" s="367" t="n">
        <f aca="false">IF('Reverse Search'!$F$4="All (including temporary formes)",1,IF('Reverse Search'!$F$4="Base Pokémon and permanent formes only",IF(F417&lt;=1,1,0),IF(F417=0,1,0)))</f>
        <v>1</v>
      </c>
      <c r="R417" s="0" t="n">
        <f aca="false">IF('Reverse Search'!$C$7="Disable",1,IF('Reverse Search'!$D$9="Disable",1,IF(OR('Reverse Search'!$F$9=H417,'Reverse Search'!$F$9=I417),1,0)))</f>
        <v>1</v>
      </c>
      <c r="S417" s="0" t="n">
        <f aca="false">IF('Reverse Search'!$C$7="Disable",1,IF('Reverse Search'!$D$10="Disable",1,IF(OR('Reverse Search'!$F$10=H417,'Reverse Search'!$F$10=I417),1,0)))</f>
        <v>1</v>
      </c>
      <c r="T417" s="0" t="n">
        <f aca="false">INDEX($B$4:$B$22,MATCH(H417,$A$4:$A$22,0))</f>
        <v>1</v>
      </c>
      <c r="U417" s="0" t="e">
        <f aca="false">IF(ISBLANK(I417),1,INDEX($B$4:$B$22,MATCH(I417,$A$4:$A$22,0)))</f>
        <v>#N/A</v>
      </c>
      <c r="V417" s="367" t="n">
        <f aca="false">IF('Reverse Search'!$C$7="Disable",1,IF('Reverse Search'!$D$11="Disable",1,IF('Reverse Search'!$E$11="Neutral to:",IF(ROUND(T417*U417,2)&lt;=1,1,0),IF(ROUND(T417*U417,2)&lt;1,1,0))))</f>
        <v>1</v>
      </c>
      <c r="W417" s="0" t="n">
        <f aca="false">IF('Reverse Search'!$N$7="Disable",1,IF('Reverse Search'!$I$9="Disable",1,IF('Reverse Search'!$K$9="≥",IF(J417&gt;='Reverse Search'!$L$9,1,0),IF('Reverse Search'!$K$9="≤",IF(J417&lt;='Reverse Search'!$L$9,1,0),IF(J417='Reverse Search'!$L$9,1,0)))))</f>
        <v>1</v>
      </c>
      <c r="X417" s="0" t="n">
        <f aca="false">IF('Reverse Search'!$N$7="Disable",1,IF('Reverse Search'!$I$10="Disable",1,IF('Reverse Search'!$K$10="≥",IF(K417&gt;='Reverse Search'!$L$10,1,0),IF('Reverse Search'!$K$10="≤",IF(K417&lt;='Reverse Search'!$L$10,1,0),IF(K417='Reverse Search'!$L$10,1,0)))))</f>
        <v>1</v>
      </c>
      <c r="Y417" s="367" t="n">
        <f aca="false">IF('Reverse Search'!$N$7="Disable",1,IF('Reverse Search'!$I$11="Disable",1,IF('Reverse Search'!$K$11="≥",IF(L417&gt;='Reverse Search'!$L$11,1,0),IF('Reverse Search'!$K$11="≤",IF(L417&lt;='Reverse Search'!$L$11,1,0),IF(L417='Reverse Search'!$L$11,1,0)))))</f>
        <v>1</v>
      </c>
      <c r="Z417" s="0" t="n">
        <f aca="true">IF('Reverse Search'!$C$14="Disable",1,IF('Reverse Search'!$D$16="Disable",1,IF($C$2=3,IF($M417=0,0,COUNTIF(INDIRECT("'0.0.2 Pokémon Learnset (Core)'!$D$"&amp;MATCH($E417,'0.0.2 Pokémon Learnset (Core)'!$A$1:$A951,0)&amp;":$FK$"&amp;MATCH($E417,'0.0.2 Pokémon Learnset (Core)'!$A$1:$A951,0)),'Reverse Search'!$E$21)),IF($C$2=2,COUNTIF(INDIRECT("'0.1.1 Pokémon GO Moves'!$B$"&amp;MATCH($E417,'0.1.1 Pokémon GO Moves'!$A$1:$A951,0)&amp;":$R$"&amp;MATCH($E417,'0.1.1 Pokémon GO Moves'!$A$1:$A951,0)),'Reverse Search'!$E$21),COUNTIF(INDIRECT("'0.1.1 Pokémon GO Moves'!$B$"&amp;MATCH($E417,'0.1.1 Pokémon GO Moves'!$A$1:$A951,0)&amp;":$L$"&amp;MATCH($E417,'0.1.1 Pokémon GO Moves'!$A$1:$A951,0)),'Reverse Search'!$E$21)))))</f>
        <v>1</v>
      </c>
      <c r="AA417" s="0" t="n">
        <f aca="true">IF('Reverse Search'!$C$14="Disable",1,IF('Reverse Search'!$I$16="Disable",1,IF($D$2=3,IF($M417=0,0,COUNTIF(INDIRECT("'0.0.2 Pokémon Learnset (Core)'!$D$"&amp;MATCH($E417,'0.0.2 Pokémon Learnset (Core)'!$A$1:$A951,0)&amp;":$FK$"&amp;MATCH($E417,'0.0.2 Pokémon Learnset (Core)'!$A$1:$A951,0)),'Reverse Search'!$J$21)),IF($D$2=2,COUNTIF(INDIRECT("'0.1.1 Pokémon GO Moves'!$B$"&amp;MATCH($E417,'0.1.1 Pokémon GO Moves'!$A$1:$A951,0)&amp;":$R$"&amp;MATCH($E417,'0.1.1 Pokémon GO Moves'!$A$1:$A951,0)),'Reverse Search'!$J$21),COUNTIF(INDIRECT("'0.1.1 Pokémon GO Moves'!$B$"&amp;MATCH($E417,'0.1.1 Pokémon GO Moves'!$A$1:$A951,0)&amp;":$L$"&amp;MATCH($E417,'0.1.1 Pokémon GO Moves'!$A$1:$A951,0)),'Reverse Search'!$J$21)))))</f>
        <v>0</v>
      </c>
      <c r="AB417" s="490"/>
      <c r="AC417" s="260" t="n">
        <f aca="false">IF((Q417+R417+S417+V417+W417+X417+Y417+IF(Z417&gt;=1,1,0)+IF(AA417&gt;=1,1,0))=9,G417&amp;", ",)</f>
        <v>0</v>
      </c>
    </row>
    <row r="418" customFormat="false" ht="15.75" hidden="false" customHeight="false" outlineLevel="0" collapsed="false">
      <c r="A418" s="260"/>
      <c r="B418" s="358"/>
      <c r="C418" s="260"/>
      <c r="D418" s="358"/>
      <c r="E418" s="260" t="n">
        <v>417</v>
      </c>
      <c r="F418" s="260" t="n">
        <f aca="false" t="array" ref="F418:F418">INDEX('0.0.1 Pokémon Dex Data'!$H$3:$H951,MATCH(E418,'0.0.1 Pokémon Dex Data'!$B$3:$B951,0))</f>
        <v>0</v>
      </c>
      <c r="G418" s="0" t="str">
        <f aca="false" t="array" ref="G418:G418">INDEX('0.0.1 Pokémon Dex Data'!$E$3:$E951,MATCH(E418,'0.0.1 Pokémon Dex Data'!$B$3:$B951,0))</f>
        <v>Snorunt</v>
      </c>
      <c r="H418" s="0" t="str">
        <f aca="false" t="array" ref="H418:H418">INDEX('0.0.1 Pokémon Dex Data'!$Q$3:$Q951,MATCH(E418,'0.0.1 Pokémon Dex Data'!$B$3:$B951,0))</f>
        <v>Ice</v>
      </c>
      <c r="I418" s="0" t="n">
        <f aca="false">INDEX('0.0.1 Pokémon Dex Data'!$R$3:$R951,MATCH(E418,'0.0.1 Pokémon Dex Data'!$B$3:$B951,0))</f>
        <v>0</v>
      </c>
      <c r="J418" s="260" t="n">
        <f aca="false" t="array" ref="J418:J418">ROUND(INDEX('0.0.1 Pokémon Dex Data'!$S$3:$S951,MATCH($E418,'0.0.1 Pokémon Dex Data'!$B$3:$B951,0))*INDEX('0.0.1 Pokémon Dex Data'!T$3:T951,MATCH($E418,'0.0.1 Pokémon Dex Data'!$B$3:$B951,0)),0)</f>
        <v>95</v>
      </c>
      <c r="K418" s="260" t="n">
        <f aca="false" t="array" ref="K418:K418">ROUND(INDEX('0.0.1 Pokémon Dex Data'!$S$3:$S951,MATCH($E418,'0.0.1 Pokémon Dex Data'!$B$3:$B951,0))*INDEX('0.0.1 Pokémon Dex Data'!U$3:U951,MATCH($E418,'0.0.1 Pokémon Dex Data'!$B$3:$B951,0)),0)</f>
        <v>95</v>
      </c>
      <c r="L418" s="260" t="n">
        <f aca="false" t="array" ref="L418:L418">ROUND(INDEX('0.0.1 Pokémon Dex Data'!$S$3:$S951,MATCH($E418,'0.0.1 Pokémon Dex Data'!$B$3:$B951,0))*INDEX('0.0.1 Pokémon Dex Data'!V$3:V951,MATCH($E418,'0.0.1 Pokémon Dex Data'!$B$3:$B951,0)),0)</f>
        <v>137</v>
      </c>
      <c r="M418" s="260" t="n">
        <f aca="false" t="array" ref="M418:M418">INDEX('0.0.1 Pokémon Dex Data'!$J$3:$J951,MATCH(E418,'0.0.1 Pokémon Dex Data'!$B$3:$B951,0))</f>
        <v>0</v>
      </c>
      <c r="O418" s="490"/>
      <c r="Q418" s="367" t="n">
        <f aca="false">IF('Reverse Search'!$F$4="All (including temporary formes)",1,IF('Reverse Search'!$F$4="Base Pokémon and permanent formes only",IF(F418&lt;=1,1,0),IF(F418=0,1,0)))</f>
        <v>1</v>
      </c>
      <c r="R418" s="0" t="n">
        <f aca="false">IF('Reverse Search'!$C$7="Disable",1,IF('Reverse Search'!$D$9="Disable",1,IF(OR('Reverse Search'!$F$9=H418,'Reverse Search'!$F$9=I418),1,0)))</f>
        <v>1</v>
      </c>
      <c r="S418" s="0" t="n">
        <f aca="false">IF('Reverse Search'!$C$7="Disable",1,IF('Reverse Search'!$D$10="Disable",1,IF(OR('Reverse Search'!$F$10=H418,'Reverse Search'!$F$10=I418),1,0)))</f>
        <v>1</v>
      </c>
      <c r="T418" s="0" t="n">
        <f aca="false">INDEX($B$4:$B$22,MATCH(H418,$A$4:$A$22,0))</f>
        <v>1</v>
      </c>
      <c r="U418" s="0" t="e">
        <f aca="false">IF(ISBLANK(I418),1,INDEX($B$4:$B$22,MATCH(I418,$A$4:$A$22,0)))</f>
        <v>#N/A</v>
      </c>
      <c r="V418" s="367" t="n">
        <f aca="false">IF('Reverse Search'!$C$7="Disable",1,IF('Reverse Search'!$D$11="Disable",1,IF('Reverse Search'!$E$11="Neutral to:",IF(ROUND(T418*U418,2)&lt;=1,1,0),IF(ROUND(T418*U418,2)&lt;1,1,0))))</f>
        <v>1</v>
      </c>
      <c r="W418" s="0" t="n">
        <f aca="false">IF('Reverse Search'!$N$7="Disable",1,IF('Reverse Search'!$I$9="Disable",1,IF('Reverse Search'!$K$9="≥",IF(J418&gt;='Reverse Search'!$L$9,1,0),IF('Reverse Search'!$K$9="≤",IF(J418&lt;='Reverse Search'!$L$9,1,0),IF(J418='Reverse Search'!$L$9,1,0)))))</f>
        <v>1</v>
      </c>
      <c r="X418" s="0" t="n">
        <f aca="false">IF('Reverse Search'!$N$7="Disable",1,IF('Reverse Search'!$I$10="Disable",1,IF('Reverse Search'!$K$10="≥",IF(K418&gt;='Reverse Search'!$L$10,1,0),IF('Reverse Search'!$K$10="≤",IF(K418&lt;='Reverse Search'!$L$10,1,0),IF(K418='Reverse Search'!$L$10,1,0)))))</f>
        <v>1</v>
      </c>
      <c r="Y418" s="367" t="n">
        <f aca="false">IF('Reverse Search'!$N$7="Disable",1,IF('Reverse Search'!$I$11="Disable",1,IF('Reverse Search'!$K$11="≥",IF(L418&gt;='Reverse Search'!$L$11,1,0),IF('Reverse Search'!$K$11="≤",IF(L418&lt;='Reverse Search'!$L$11,1,0),IF(L418='Reverse Search'!$L$11,1,0)))))</f>
        <v>1</v>
      </c>
      <c r="Z418" s="0" t="n">
        <f aca="true">IF('Reverse Search'!$C$14="Disable",1,IF('Reverse Search'!$D$16="Disable",1,IF($C$2=3,IF($M418=0,0,COUNTIF(INDIRECT("'0.0.2 Pokémon Learnset (Core)'!$D$"&amp;MATCH($E418,'0.0.2 Pokémon Learnset (Core)'!$A$1:$A951,0)&amp;":$FK$"&amp;MATCH($E418,'0.0.2 Pokémon Learnset (Core)'!$A$1:$A951,0)),'Reverse Search'!$E$21)),IF($C$2=2,COUNTIF(INDIRECT("'0.1.1 Pokémon GO Moves'!$B$"&amp;MATCH($E418,'0.1.1 Pokémon GO Moves'!$A$1:$A951,0)&amp;":$R$"&amp;MATCH($E418,'0.1.1 Pokémon GO Moves'!$A$1:$A951,0)),'Reverse Search'!$E$21),COUNTIF(INDIRECT("'0.1.1 Pokémon GO Moves'!$B$"&amp;MATCH($E418,'0.1.1 Pokémon GO Moves'!$A$1:$A951,0)&amp;":$L$"&amp;MATCH($E418,'0.1.1 Pokémon GO Moves'!$A$1:$A951,0)),'Reverse Search'!$E$21)))))</f>
        <v>1</v>
      </c>
      <c r="AA418" s="0" t="n">
        <f aca="true">IF('Reverse Search'!$C$14="Disable",1,IF('Reverse Search'!$I$16="Disable",1,IF($D$2=3,IF($M418=0,0,COUNTIF(INDIRECT("'0.0.2 Pokémon Learnset (Core)'!$D$"&amp;MATCH($E418,'0.0.2 Pokémon Learnset (Core)'!$A$1:$A951,0)&amp;":$FK$"&amp;MATCH($E418,'0.0.2 Pokémon Learnset (Core)'!$A$1:$A951,0)),'Reverse Search'!$J$21)),IF($D$2=2,COUNTIF(INDIRECT("'0.1.1 Pokémon GO Moves'!$B$"&amp;MATCH($E418,'0.1.1 Pokémon GO Moves'!$A$1:$A951,0)&amp;":$R$"&amp;MATCH($E418,'0.1.1 Pokémon GO Moves'!$A$1:$A951,0)),'Reverse Search'!$J$21),COUNTIF(INDIRECT("'0.1.1 Pokémon GO Moves'!$B$"&amp;MATCH($E418,'0.1.1 Pokémon GO Moves'!$A$1:$A951,0)&amp;":$L$"&amp;MATCH($E418,'0.1.1 Pokémon GO Moves'!$A$1:$A951,0)),'Reverse Search'!$J$21)))))</f>
        <v>0</v>
      </c>
      <c r="AB418" s="490"/>
      <c r="AC418" s="260" t="n">
        <f aca="false">IF((Q418+R418+S418+V418+W418+X418+Y418+IF(Z418&gt;=1,1,0)+IF(AA418&gt;=1,1,0))=9,G418&amp;", ",)</f>
        <v>0</v>
      </c>
    </row>
    <row r="419" customFormat="false" ht="15.75" hidden="false" customHeight="false" outlineLevel="0" collapsed="false">
      <c r="A419" s="260"/>
      <c r="B419" s="358"/>
      <c r="C419" s="260"/>
      <c r="D419" s="358"/>
      <c r="E419" s="260" t="n">
        <v>418</v>
      </c>
      <c r="F419" s="260" t="n">
        <f aca="false" t="array" ref="F419:F419">INDEX('0.0.1 Pokémon Dex Data'!$H$3:$H951,MATCH(E419,'0.0.1 Pokémon Dex Data'!$B$3:$B951,0))</f>
        <v>0</v>
      </c>
      <c r="G419" s="0" t="str">
        <f aca="false" t="array" ref="G419:G419">INDEX('0.0.1 Pokémon Dex Data'!$E$3:$E951,MATCH(E419,'0.0.1 Pokémon Dex Data'!$B$3:$B951,0))</f>
        <v>Glalie</v>
      </c>
      <c r="H419" s="0" t="str">
        <f aca="false" t="array" ref="H419:H419">INDEX('0.0.1 Pokémon Dex Data'!$Q$3:$Q951,MATCH(E419,'0.0.1 Pokémon Dex Data'!$B$3:$B951,0))</f>
        <v>Ice</v>
      </c>
      <c r="I419" s="0" t="n">
        <f aca="false">INDEX('0.0.1 Pokémon Dex Data'!$R$3:$R951,MATCH(E419,'0.0.1 Pokémon Dex Data'!$B$3:$B951,0))</f>
        <v>0</v>
      </c>
      <c r="J419" s="260" t="n">
        <f aca="false" t="array" ref="J419:J419">ROUND(INDEX('0.0.1 Pokémon Dex Data'!$S$3:$S951,MATCH($E419,'0.0.1 Pokémon Dex Data'!$B$3:$B951,0))*INDEX('0.0.1 Pokémon Dex Data'!T$3:T951,MATCH($E419,'0.0.1 Pokémon Dex Data'!$B$3:$B951,0)),0)</f>
        <v>162</v>
      </c>
      <c r="K419" s="260" t="n">
        <f aca="false" t="array" ref="K419:K419">ROUND(INDEX('0.0.1 Pokémon Dex Data'!$S$3:$S951,MATCH($E419,'0.0.1 Pokémon Dex Data'!$B$3:$B951,0))*INDEX('0.0.1 Pokémon Dex Data'!U$3:U951,MATCH($E419,'0.0.1 Pokémon Dex Data'!$B$3:$B951,0)),0)</f>
        <v>162</v>
      </c>
      <c r="L419" s="260" t="n">
        <f aca="false" t="array" ref="L419:L419">ROUND(INDEX('0.0.1 Pokémon Dex Data'!$S$3:$S951,MATCH($E419,'0.0.1 Pokémon Dex Data'!$B$3:$B951,0))*INDEX('0.0.1 Pokémon Dex Data'!V$3:V951,MATCH($E419,'0.0.1 Pokémon Dex Data'!$B$3:$B951,0)),0)</f>
        <v>190</v>
      </c>
      <c r="M419" s="260" t="n">
        <f aca="false" t="array" ref="M419:M419">INDEX('0.0.1 Pokémon Dex Data'!$J$3:$J951,MATCH(E419,'0.0.1 Pokémon Dex Data'!$B$3:$B951,0))</f>
        <v>1</v>
      </c>
      <c r="O419" s="490"/>
      <c r="Q419" s="367" t="n">
        <f aca="false">IF('Reverse Search'!$F$4="All (including temporary formes)",1,IF('Reverse Search'!$F$4="Base Pokémon and permanent formes only",IF(F419&lt;=1,1,0),IF(F419=0,1,0)))</f>
        <v>1</v>
      </c>
      <c r="R419" s="0" t="n">
        <f aca="false">IF('Reverse Search'!$C$7="Disable",1,IF('Reverse Search'!$D$9="Disable",1,IF(OR('Reverse Search'!$F$9=H419,'Reverse Search'!$F$9=I419),1,0)))</f>
        <v>1</v>
      </c>
      <c r="S419" s="0" t="n">
        <f aca="false">IF('Reverse Search'!$C$7="Disable",1,IF('Reverse Search'!$D$10="Disable",1,IF(OR('Reverse Search'!$F$10=H419,'Reverse Search'!$F$10=I419),1,0)))</f>
        <v>1</v>
      </c>
      <c r="T419" s="0" t="n">
        <f aca="false">INDEX($B$4:$B$22,MATCH(H419,$A$4:$A$22,0))</f>
        <v>1</v>
      </c>
      <c r="U419" s="0" t="e">
        <f aca="false">IF(ISBLANK(I419),1,INDEX($B$4:$B$22,MATCH(I419,$A$4:$A$22,0)))</f>
        <v>#N/A</v>
      </c>
      <c r="V419" s="367" t="n">
        <f aca="false">IF('Reverse Search'!$C$7="Disable",1,IF('Reverse Search'!$D$11="Disable",1,IF('Reverse Search'!$E$11="Neutral to:",IF(ROUND(T419*U419,2)&lt;=1,1,0),IF(ROUND(T419*U419,2)&lt;1,1,0))))</f>
        <v>1</v>
      </c>
      <c r="W419" s="0" t="n">
        <f aca="false">IF('Reverse Search'!$N$7="Disable",1,IF('Reverse Search'!$I$9="Disable",1,IF('Reverse Search'!$K$9="≥",IF(J419&gt;='Reverse Search'!$L$9,1,0),IF('Reverse Search'!$K$9="≤",IF(J419&lt;='Reverse Search'!$L$9,1,0),IF(J419='Reverse Search'!$L$9,1,0)))))</f>
        <v>1</v>
      </c>
      <c r="X419" s="0" t="n">
        <f aca="false">IF('Reverse Search'!$N$7="Disable",1,IF('Reverse Search'!$I$10="Disable",1,IF('Reverse Search'!$K$10="≥",IF(K419&gt;='Reverse Search'!$L$10,1,0),IF('Reverse Search'!$K$10="≤",IF(K419&lt;='Reverse Search'!$L$10,1,0),IF(K419='Reverse Search'!$L$10,1,0)))))</f>
        <v>1</v>
      </c>
      <c r="Y419" s="367" t="n">
        <f aca="false">IF('Reverse Search'!$N$7="Disable",1,IF('Reverse Search'!$I$11="Disable",1,IF('Reverse Search'!$K$11="≥",IF(L419&gt;='Reverse Search'!$L$11,1,0),IF('Reverse Search'!$K$11="≤",IF(L419&lt;='Reverse Search'!$L$11,1,0),IF(L419='Reverse Search'!$L$11,1,0)))))</f>
        <v>1</v>
      </c>
      <c r="Z419" s="0" t="n">
        <f aca="true">IF('Reverse Search'!$C$14="Disable",1,IF('Reverse Search'!$D$16="Disable",1,IF($C$2=3,IF($M419=0,0,COUNTIF(INDIRECT("'0.0.2 Pokémon Learnset (Core)'!$D$"&amp;MATCH($E419,'0.0.2 Pokémon Learnset (Core)'!$A$1:$A951,0)&amp;":$FK$"&amp;MATCH($E419,'0.0.2 Pokémon Learnset (Core)'!$A$1:$A951,0)),'Reverse Search'!$E$21)),IF($C$2=2,COUNTIF(INDIRECT("'0.1.1 Pokémon GO Moves'!$B$"&amp;MATCH($E419,'0.1.1 Pokémon GO Moves'!$A$1:$A951,0)&amp;":$R$"&amp;MATCH($E419,'0.1.1 Pokémon GO Moves'!$A$1:$A951,0)),'Reverse Search'!$E$21),COUNTIF(INDIRECT("'0.1.1 Pokémon GO Moves'!$B$"&amp;MATCH($E419,'0.1.1 Pokémon GO Moves'!$A$1:$A951,0)&amp;":$L$"&amp;MATCH($E419,'0.1.1 Pokémon GO Moves'!$A$1:$A951,0)),'Reverse Search'!$E$21)))))</f>
        <v>1</v>
      </c>
      <c r="AA419" s="0" t="n">
        <f aca="true">IF('Reverse Search'!$C$14="Disable",1,IF('Reverse Search'!$I$16="Disable",1,IF($D$2=3,IF($M419=0,0,COUNTIF(INDIRECT("'0.0.2 Pokémon Learnset (Core)'!$D$"&amp;MATCH($E419,'0.0.2 Pokémon Learnset (Core)'!$A$1:$A951,0)&amp;":$FK$"&amp;MATCH($E419,'0.0.2 Pokémon Learnset (Core)'!$A$1:$A951,0)),'Reverse Search'!$J$21)),IF($D$2=2,COUNTIF(INDIRECT("'0.1.1 Pokémon GO Moves'!$B$"&amp;MATCH($E419,'0.1.1 Pokémon GO Moves'!$A$1:$A951,0)&amp;":$R$"&amp;MATCH($E419,'0.1.1 Pokémon GO Moves'!$A$1:$A951,0)),'Reverse Search'!$J$21),COUNTIF(INDIRECT("'0.1.1 Pokémon GO Moves'!$B$"&amp;MATCH($E419,'0.1.1 Pokémon GO Moves'!$A$1:$A951,0)&amp;":$L$"&amp;MATCH($E419,'0.1.1 Pokémon GO Moves'!$A$1:$A951,0)),'Reverse Search'!$J$21)))))</f>
        <v>0</v>
      </c>
      <c r="AB419" s="490"/>
      <c r="AC419" s="260" t="n">
        <f aca="false">IF((Q419+R419+S419+V419+W419+X419+Y419+IF(Z419&gt;=1,1,0)+IF(AA419&gt;=1,1,0))=9,G419&amp;", ",)</f>
        <v>0</v>
      </c>
    </row>
    <row r="420" customFormat="false" ht="15.75" hidden="false" customHeight="false" outlineLevel="0" collapsed="false">
      <c r="A420" s="260"/>
      <c r="B420" s="358"/>
      <c r="C420" s="260"/>
      <c r="D420" s="358"/>
      <c r="E420" s="260" t="n">
        <v>419</v>
      </c>
      <c r="F420" s="260" t="n">
        <f aca="false" t="array" ref="F420:F420">INDEX('0.0.1 Pokémon Dex Data'!$H$3:$H951,MATCH(E420,'0.0.1 Pokémon Dex Data'!$B$3:$B951,0))</f>
        <v>2</v>
      </c>
      <c r="G420" s="0" t="str">
        <f aca="false" t="array" ref="G420:G420">INDEX('0.0.1 Pokémon Dex Data'!$E$3:$E951,MATCH(E420,'0.0.1 Pokémon Dex Data'!$B$3:$B951,0))</f>
        <v>Glalie-Mega</v>
      </c>
      <c r="H420" s="0" t="str">
        <f aca="false" t="array" ref="H420:H420">INDEX('0.0.1 Pokémon Dex Data'!$Q$3:$Q951,MATCH(E420,'0.0.1 Pokémon Dex Data'!$B$3:$B951,0))</f>
        <v>Ice</v>
      </c>
      <c r="I420" s="0" t="n">
        <f aca="false">INDEX('0.0.1 Pokémon Dex Data'!$R$3:$R951,MATCH(E420,'0.0.1 Pokémon Dex Data'!$B$3:$B951,0))</f>
        <v>0</v>
      </c>
      <c r="J420" s="260" t="n">
        <f aca="false" t="array" ref="J420:J420">ROUND(INDEX('0.0.1 Pokémon Dex Data'!$S$3:$S951,MATCH($E420,'0.0.1 Pokémon Dex Data'!$B$3:$B951,0))*INDEX('0.0.1 Pokémon Dex Data'!T$3:T951,MATCH($E420,'0.0.1 Pokémon Dex Data'!$B$3:$B951,0)),0)</f>
        <v>252</v>
      </c>
      <c r="K420" s="260" t="n">
        <f aca="false" t="array" ref="K420:K420">ROUND(INDEX('0.0.1 Pokémon Dex Data'!$S$3:$S951,MATCH($E420,'0.0.1 Pokémon Dex Data'!$B$3:$B951,0))*INDEX('0.0.1 Pokémon Dex Data'!U$3:U951,MATCH($E420,'0.0.1 Pokémon Dex Data'!$B$3:$B951,0)),0)</f>
        <v>168</v>
      </c>
      <c r="L420" s="260" t="n">
        <f aca="false" t="array" ref="L420:L420">ROUND(INDEX('0.0.1 Pokémon Dex Data'!$S$3:$S951,MATCH($E420,'0.0.1 Pokémon Dex Data'!$B$3:$B951,0))*INDEX('0.0.1 Pokémon Dex Data'!V$3:V951,MATCH($E420,'0.0.1 Pokémon Dex Data'!$B$3:$B951,0)),0)</f>
        <v>190</v>
      </c>
      <c r="M420" s="260" t="n">
        <f aca="false" t="array" ref="M420:M420">INDEX('0.0.1 Pokémon Dex Data'!$J$3:$J951,MATCH(E420,'0.0.1 Pokémon Dex Data'!$B$3:$B951,0))</f>
        <v>1</v>
      </c>
      <c r="O420" s="490"/>
      <c r="Q420" s="367" t="n">
        <f aca="false">IF('Reverse Search'!$F$4="All (including temporary formes)",1,IF('Reverse Search'!$F$4="Base Pokémon and permanent formes only",IF(F420&lt;=1,1,0),IF(F420=0,1,0)))</f>
        <v>0</v>
      </c>
      <c r="R420" s="0" t="n">
        <f aca="false">IF('Reverse Search'!$C$7="Disable",1,IF('Reverse Search'!$D$9="Disable",1,IF(OR('Reverse Search'!$F$9=H420,'Reverse Search'!$F$9=I420),1,0)))</f>
        <v>1</v>
      </c>
      <c r="S420" s="0" t="n">
        <f aca="false">IF('Reverse Search'!$C$7="Disable",1,IF('Reverse Search'!$D$10="Disable",1,IF(OR('Reverse Search'!$F$10=H420,'Reverse Search'!$F$10=I420),1,0)))</f>
        <v>1</v>
      </c>
      <c r="T420" s="0" t="n">
        <f aca="false">INDEX($B$4:$B$22,MATCH(H420,$A$4:$A$22,0))</f>
        <v>1</v>
      </c>
      <c r="U420" s="0" t="e">
        <f aca="false">IF(ISBLANK(I420),1,INDEX($B$4:$B$22,MATCH(I420,$A$4:$A$22,0)))</f>
        <v>#N/A</v>
      </c>
      <c r="V420" s="367" t="n">
        <f aca="false">IF('Reverse Search'!$C$7="Disable",1,IF('Reverse Search'!$D$11="Disable",1,IF('Reverse Search'!$E$11="Neutral to:",IF(ROUND(T420*U420,2)&lt;=1,1,0),IF(ROUND(T420*U420,2)&lt;1,1,0))))</f>
        <v>1</v>
      </c>
      <c r="W420" s="0" t="n">
        <f aca="false">IF('Reverse Search'!$N$7="Disable",1,IF('Reverse Search'!$I$9="Disable",1,IF('Reverse Search'!$K$9="≥",IF(J420&gt;='Reverse Search'!$L$9,1,0),IF('Reverse Search'!$K$9="≤",IF(J420&lt;='Reverse Search'!$L$9,1,0),IF(J420='Reverse Search'!$L$9,1,0)))))</f>
        <v>1</v>
      </c>
      <c r="X420" s="0" t="n">
        <f aca="false">IF('Reverse Search'!$N$7="Disable",1,IF('Reverse Search'!$I$10="Disable",1,IF('Reverse Search'!$K$10="≥",IF(K420&gt;='Reverse Search'!$L$10,1,0),IF('Reverse Search'!$K$10="≤",IF(K420&lt;='Reverse Search'!$L$10,1,0),IF(K420='Reverse Search'!$L$10,1,0)))))</f>
        <v>1</v>
      </c>
      <c r="Y420" s="367" t="n">
        <f aca="false">IF('Reverse Search'!$N$7="Disable",1,IF('Reverse Search'!$I$11="Disable",1,IF('Reverse Search'!$K$11="≥",IF(L420&gt;='Reverse Search'!$L$11,1,0),IF('Reverse Search'!$K$11="≤",IF(L420&lt;='Reverse Search'!$L$11,1,0),IF(L420='Reverse Search'!$L$11,1,0)))))</f>
        <v>1</v>
      </c>
      <c r="Z420" s="0" t="n">
        <f aca="true">IF('Reverse Search'!$C$14="Disable",1,IF('Reverse Search'!$D$16="Disable",1,IF($C$2=3,IF($M420=0,0,COUNTIF(INDIRECT("'0.0.2 Pokémon Learnset (Core)'!$D$"&amp;MATCH($E420,'0.0.2 Pokémon Learnset (Core)'!$A$1:$A951,0)&amp;":$FK$"&amp;MATCH($E420,'0.0.2 Pokémon Learnset (Core)'!$A$1:$A951,0)),'Reverse Search'!$E$21)),IF($C$2=2,COUNTIF(INDIRECT("'0.1.1 Pokémon GO Moves'!$B$"&amp;MATCH($E420,'0.1.1 Pokémon GO Moves'!$A$1:$A951,0)&amp;":$R$"&amp;MATCH($E420,'0.1.1 Pokémon GO Moves'!$A$1:$A951,0)),'Reverse Search'!$E$21),COUNTIF(INDIRECT("'0.1.1 Pokémon GO Moves'!$B$"&amp;MATCH($E420,'0.1.1 Pokémon GO Moves'!$A$1:$A951,0)&amp;":$L$"&amp;MATCH($E420,'0.1.1 Pokémon GO Moves'!$A$1:$A951,0)),'Reverse Search'!$E$21)))))</f>
        <v>1</v>
      </c>
      <c r="AA420" s="0" t="e">
        <f aca="true">IF('Reverse Search'!$C$14="Disable",1,IF('Reverse Search'!$I$16="Disable",1,IF($D$2=3,IF($M420=0,0,COUNTIF(INDIRECT("'0.0.2 Pokémon Learnset (Core)'!$D$"&amp;MATCH($E420,'0.0.2 Pokémon Learnset (Core)'!$A$1:$A951,0)&amp;":$FK$"&amp;MATCH($E420,'0.0.2 Pokémon Learnset (Core)'!$A$1:$A951,0)),'Reverse Search'!$J$21)),IF($D$2=2,COUNTIF(INDIRECT("'0.1.1 Pokémon GO Moves'!$B$"&amp;MATCH($E420,'0.1.1 Pokémon GO Moves'!$A$1:$A951,0)&amp;":$R$"&amp;MATCH($E420,'0.1.1 Pokémon GO Moves'!$A$1:$A951,0)),'Reverse Search'!$J$21),COUNTIF(INDIRECT("'0.1.1 Pokémon GO Moves'!$B$"&amp;MATCH($E420,'0.1.1 Pokémon GO Moves'!$A$1:$A951,0)&amp;":$L$"&amp;MATCH($E420,'0.1.1 Pokémon GO Moves'!$A$1:$A951,0)),'Reverse Search'!$J$21)))))</f>
        <v>#N/A</v>
      </c>
      <c r="AB420" s="490"/>
      <c r="AC420" s="260" t="e">
        <f aca="false">IF((Q420+R420+S420+V420+W420+X420+Y420+IF(Z420&gt;=1,1,0)+IF(AA420&gt;=1,1,0))=9,G420&amp;", ",)</f>
        <v>#N/A</v>
      </c>
    </row>
    <row r="421" customFormat="false" ht="15.75" hidden="false" customHeight="false" outlineLevel="0" collapsed="false">
      <c r="A421" s="260"/>
      <c r="B421" s="358"/>
      <c r="C421" s="260"/>
      <c r="D421" s="358"/>
      <c r="E421" s="260" t="n">
        <v>420</v>
      </c>
      <c r="F421" s="260" t="n">
        <f aca="false" t="array" ref="F421:F421">INDEX('0.0.1 Pokémon Dex Data'!$H$3:$H951,MATCH(E421,'0.0.1 Pokémon Dex Data'!$B$3:$B951,0))</f>
        <v>0</v>
      </c>
      <c r="G421" s="0" t="str">
        <f aca="false" t="array" ref="G421:G421">INDEX('0.0.1 Pokémon Dex Data'!$E$3:$E951,MATCH(E421,'0.0.1 Pokémon Dex Data'!$B$3:$B951,0))</f>
        <v>Spheal</v>
      </c>
      <c r="H421" s="0" t="str">
        <f aca="false" t="array" ref="H421:H421">INDEX('0.0.1 Pokémon Dex Data'!$Q$3:$Q951,MATCH(E421,'0.0.1 Pokémon Dex Data'!$B$3:$B951,0))</f>
        <v>Ice</v>
      </c>
      <c r="I421" s="0" t="str">
        <f aca="false" t="array" ref="I421:I421">INDEX('0.0.1 Pokémon Dex Data'!$R$3:$R951,MATCH(E421,'0.0.1 Pokémon Dex Data'!$B$3:$B951,0))</f>
        <v>Water</v>
      </c>
      <c r="J421" s="260" t="n">
        <f aca="false" t="array" ref="J421:J421">ROUND(INDEX('0.0.1 Pokémon Dex Data'!$S$3:$S951,MATCH($E421,'0.0.1 Pokémon Dex Data'!$B$3:$B951,0))*INDEX('0.0.1 Pokémon Dex Data'!T$3:T951,MATCH($E421,'0.0.1 Pokémon Dex Data'!$B$3:$B951,0)),0)</f>
        <v>95</v>
      </c>
      <c r="K421" s="260" t="n">
        <f aca="false" t="array" ref="K421:K421">ROUND(INDEX('0.0.1 Pokémon Dex Data'!$S$3:$S951,MATCH($E421,'0.0.1 Pokémon Dex Data'!$B$3:$B951,0))*INDEX('0.0.1 Pokémon Dex Data'!U$3:U951,MATCH($E421,'0.0.1 Pokémon Dex Data'!$B$3:$B951,0)),0)</f>
        <v>90</v>
      </c>
      <c r="L421" s="260" t="n">
        <f aca="false" t="array" ref="L421:L421">ROUND(INDEX('0.0.1 Pokémon Dex Data'!$S$3:$S951,MATCH($E421,'0.0.1 Pokémon Dex Data'!$B$3:$B951,0))*INDEX('0.0.1 Pokémon Dex Data'!V$3:V951,MATCH($E421,'0.0.1 Pokémon Dex Data'!$B$3:$B951,0)),0)</f>
        <v>172</v>
      </c>
      <c r="M421" s="260" t="n">
        <f aca="false" t="array" ref="M421:M421">INDEX('0.0.1 Pokémon Dex Data'!$J$3:$J951,MATCH(E421,'0.0.1 Pokémon Dex Data'!$B$3:$B951,0))</f>
        <v>0</v>
      </c>
      <c r="O421" s="490"/>
      <c r="Q421" s="367" t="n">
        <f aca="false">IF('Reverse Search'!$F$4="All (including temporary formes)",1,IF('Reverse Search'!$F$4="Base Pokémon and permanent formes only",IF(F421&lt;=1,1,0),IF(F421=0,1,0)))</f>
        <v>1</v>
      </c>
      <c r="R421" s="0" t="n">
        <f aca="false">IF('Reverse Search'!$C$7="Disable",1,IF('Reverse Search'!$D$9="Disable",1,IF(OR('Reverse Search'!$F$9=H421,'Reverse Search'!$F$9=I421),1,0)))</f>
        <v>1</v>
      </c>
      <c r="S421" s="0" t="n">
        <f aca="false">IF('Reverse Search'!$C$7="Disable",1,IF('Reverse Search'!$D$10="Disable",1,IF(OR('Reverse Search'!$F$10=H421,'Reverse Search'!$F$10=I421),1,0)))</f>
        <v>1</v>
      </c>
      <c r="T421" s="0" t="n">
        <f aca="false">INDEX($B$4:$B$22,MATCH(H421,$A$4:$A$22,0))</f>
        <v>1</v>
      </c>
      <c r="U421" s="0" t="n">
        <f aca="false">IF(ISBLANK(I421),1,INDEX($B$4:$B$22,MATCH(I421,$A$4:$A$22,0)))</f>
        <v>1</v>
      </c>
      <c r="V421" s="367" t="n">
        <f aca="false">IF('Reverse Search'!$C$7="Disable",1,IF('Reverse Search'!$D$11="Disable",1,IF('Reverse Search'!$E$11="Neutral to:",IF(ROUND(T421*U421,2)&lt;=1,1,0),IF(ROUND(T421*U421,2)&lt;1,1,0))))</f>
        <v>1</v>
      </c>
      <c r="W421" s="0" t="n">
        <f aca="false">IF('Reverse Search'!$N$7="Disable",1,IF('Reverse Search'!$I$9="Disable",1,IF('Reverse Search'!$K$9="≥",IF(J421&gt;='Reverse Search'!$L$9,1,0),IF('Reverse Search'!$K$9="≤",IF(J421&lt;='Reverse Search'!$L$9,1,0),IF(J421='Reverse Search'!$L$9,1,0)))))</f>
        <v>1</v>
      </c>
      <c r="X421" s="0" t="n">
        <f aca="false">IF('Reverse Search'!$N$7="Disable",1,IF('Reverse Search'!$I$10="Disable",1,IF('Reverse Search'!$K$10="≥",IF(K421&gt;='Reverse Search'!$L$10,1,0),IF('Reverse Search'!$K$10="≤",IF(K421&lt;='Reverse Search'!$L$10,1,0),IF(K421='Reverse Search'!$L$10,1,0)))))</f>
        <v>1</v>
      </c>
      <c r="Y421" s="367" t="n">
        <f aca="false">IF('Reverse Search'!$N$7="Disable",1,IF('Reverse Search'!$I$11="Disable",1,IF('Reverse Search'!$K$11="≥",IF(L421&gt;='Reverse Search'!$L$11,1,0),IF('Reverse Search'!$K$11="≤",IF(L421&lt;='Reverse Search'!$L$11,1,0),IF(L421='Reverse Search'!$L$11,1,0)))))</f>
        <v>1</v>
      </c>
      <c r="Z421" s="0" t="n">
        <f aca="true">IF('Reverse Search'!$C$14="Disable",1,IF('Reverse Search'!$D$16="Disable",1,IF($C$2=3,IF($M421=0,0,COUNTIF(INDIRECT("'0.0.2 Pokémon Learnset (Core)'!$D$"&amp;MATCH($E421,'0.0.2 Pokémon Learnset (Core)'!$A$1:$A951,0)&amp;":$FK$"&amp;MATCH($E421,'0.0.2 Pokémon Learnset (Core)'!$A$1:$A951,0)),'Reverse Search'!$E$21)),IF($C$2=2,COUNTIF(INDIRECT("'0.1.1 Pokémon GO Moves'!$B$"&amp;MATCH($E421,'0.1.1 Pokémon GO Moves'!$A$1:$A951,0)&amp;":$R$"&amp;MATCH($E421,'0.1.1 Pokémon GO Moves'!$A$1:$A951,0)),'Reverse Search'!$E$21),COUNTIF(INDIRECT("'0.1.1 Pokémon GO Moves'!$B$"&amp;MATCH($E421,'0.1.1 Pokémon GO Moves'!$A$1:$A951,0)&amp;":$L$"&amp;MATCH($E421,'0.1.1 Pokémon GO Moves'!$A$1:$A951,0)),'Reverse Search'!$E$21)))))</f>
        <v>1</v>
      </c>
      <c r="AA421" s="0" t="n">
        <f aca="true">IF('Reverse Search'!$C$14="Disable",1,IF('Reverse Search'!$I$16="Disable",1,IF($D$2=3,IF($M421=0,0,COUNTIF(INDIRECT("'0.0.2 Pokémon Learnset (Core)'!$D$"&amp;MATCH($E421,'0.0.2 Pokémon Learnset (Core)'!$A$1:$A951,0)&amp;":$FK$"&amp;MATCH($E421,'0.0.2 Pokémon Learnset (Core)'!$A$1:$A951,0)),'Reverse Search'!$J$21)),IF($D$2=2,COUNTIF(INDIRECT("'0.1.1 Pokémon GO Moves'!$B$"&amp;MATCH($E421,'0.1.1 Pokémon GO Moves'!$A$1:$A951,0)&amp;":$R$"&amp;MATCH($E421,'0.1.1 Pokémon GO Moves'!$A$1:$A951,0)),'Reverse Search'!$J$21),COUNTIF(INDIRECT("'0.1.1 Pokémon GO Moves'!$B$"&amp;MATCH($E421,'0.1.1 Pokémon GO Moves'!$A$1:$A951,0)&amp;":$L$"&amp;MATCH($E421,'0.1.1 Pokémon GO Moves'!$A$1:$A951,0)),'Reverse Search'!$J$21)))))</f>
        <v>0</v>
      </c>
      <c r="AB421" s="490"/>
      <c r="AC421" s="260" t="n">
        <f aca="false">IF((Q421+R421+S421+V421+W421+X421+Y421+IF(Z421&gt;=1,1,0)+IF(AA421&gt;=1,1,0))=9,G421&amp;", ",)</f>
        <v>0</v>
      </c>
    </row>
    <row r="422" customFormat="false" ht="15.75" hidden="false" customHeight="false" outlineLevel="0" collapsed="false">
      <c r="A422" s="260"/>
      <c r="B422" s="358"/>
      <c r="C422" s="260"/>
      <c r="D422" s="358"/>
      <c r="E422" s="260" t="n">
        <v>421</v>
      </c>
      <c r="F422" s="260" t="n">
        <f aca="false" t="array" ref="F422:F422">INDEX('0.0.1 Pokémon Dex Data'!$H$3:$H951,MATCH(E422,'0.0.1 Pokémon Dex Data'!$B$3:$B951,0))</f>
        <v>0</v>
      </c>
      <c r="G422" s="0" t="str">
        <f aca="false" t="array" ref="G422:G422">INDEX('0.0.1 Pokémon Dex Data'!$E$3:$E951,MATCH(E422,'0.0.1 Pokémon Dex Data'!$B$3:$B951,0))</f>
        <v>Sealeo</v>
      </c>
      <c r="H422" s="0" t="str">
        <f aca="false" t="array" ref="H422:H422">INDEX('0.0.1 Pokémon Dex Data'!$Q$3:$Q951,MATCH(E422,'0.0.1 Pokémon Dex Data'!$B$3:$B951,0))</f>
        <v>Ice</v>
      </c>
      <c r="I422" s="0" t="str">
        <f aca="false" t="array" ref="I422:I422">INDEX('0.0.1 Pokémon Dex Data'!$R$3:$R951,MATCH(E422,'0.0.1 Pokémon Dex Data'!$B$3:$B951,0))</f>
        <v>Water</v>
      </c>
      <c r="J422" s="260" t="n">
        <f aca="false" t="array" ref="J422:J422">ROUND(INDEX('0.0.1 Pokémon Dex Data'!$S$3:$S951,MATCH($E422,'0.0.1 Pokémon Dex Data'!$B$3:$B951,0))*INDEX('0.0.1 Pokémon Dex Data'!T$3:T951,MATCH($E422,'0.0.1 Pokémon Dex Data'!$B$3:$B951,0)),0)</f>
        <v>137</v>
      </c>
      <c r="K422" s="260" t="n">
        <f aca="false" t="array" ref="K422:K422">ROUND(INDEX('0.0.1 Pokémon Dex Data'!$S$3:$S951,MATCH($E422,'0.0.1 Pokémon Dex Data'!$B$3:$B951,0))*INDEX('0.0.1 Pokémon Dex Data'!U$3:U951,MATCH($E422,'0.0.1 Pokémon Dex Data'!$B$3:$B951,0)),0)</f>
        <v>132</v>
      </c>
      <c r="L422" s="260" t="n">
        <f aca="false" t="array" ref="L422:L422">ROUND(INDEX('0.0.1 Pokémon Dex Data'!$S$3:$S951,MATCH($E422,'0.0.1 Pokémon Dex Data'!$B$3:$B951,0))*INDEX('0.0.1 Pokémon Dex Data'!V$3:V951,MATCH($E422,'0.0.1 Pokémon Dex Data'!$B$3:$B951,0)),0)</f>
        <v>207</v>
      </c>
      <c r="M422" s="260" t="n">
        <f aca="false" t="array" ref="M422:M422">INDEX('0.0.1 Pokémon Dex Data'!$J$3:$J951,MATCH(E422,'0.0.1 Pokémon Dex Data'!$B$3:$B951,0))</f>
        <v>0</v>
      </c>
      <c r="O422" s="490"/>
      <c r="Q422" s="367" t="n">
        <f aca="false">IF('Reverse Search'!$F$4="All (including temporary formes)",1,IF('Reverse Search'!$F$4="Base Pokémon and permanent formes only",IF(F422&lt;=1,1,0),IF(F422=0,1,0)))</f>
        <v>1</v>
      </c>
      <c r="R422" s="0" t="n">
        <f aca="false">IF('Reverse Search'!$C$7="Disable",1,IF('Reverse Search'!$D$9="Disable",1,IF(OR('Reverse Search'!$F$9=H422,'Reverse Search'!$F$9=I422),1,0)))</f>
        <v>1</v>
      </c>
      <c r="S422" s="0" t="n">
        <f aca="false">IF('Reverse Search'!$C$7="Disable",1,IF('Reverse Search'!$D$10="Disable",1,IF(OR('Reverse Search'!$F$10=H422,'Reverse Search'!$F$10=I422),1,0)))</f>
        <v>1</v>
      </c>
      <c r="T422" s="0" t="n">
        <f aca="false">INDEX($B$4:$B$22,MATCH(H422,$A$4:$A$22,0))</f>
        <v>1</v>
      </c>
      <c r="U422" s="0" t="n">
        <f aca="false">IF(ISBLANK(I422),1,INDEX($B$4:$B$22,MATCH(I422,$A$4:$A$22,0)))</f>
        <v>1</v>
      </c>
      <c r="V422" s="367" t="n">
        <f aca="false">IF('Reverse Search'!$C$7="Disable",1,IF('Reverse Search'!$D$11="Disable",1,IF('Reverse Search'!$E$11="Neutral to:",IF(ROUND(T422*U422,2)&lt;=1,1,0),IF(ROUND(T422*U422,2)&lt;1,1,0))))</f>
        <v>1</v>
      </c>
      <c r="W422" s="0" t="n">
        <f aca="false">IF('Reverse Search'!$N$7="Disable",1,IF('Reverse Search'!$I$9="Disable",1,IF('Reverse Search'!$K$9="≥",IF(J422&gt;='Reverse Search'!$L$9,1,0),IF('Reverse Search'!$K$9="≤",IF(J422&lt;='Reverse Search'!$L$9,1,0),IF(J422='Reverse Search'!$L$9,1,0)))))</f>
        <v>1</v>
      </c>
      <c r="X422" s="0" t="n">
        <f aca="false">IF('Reverse Search'!$N$7="Disable",1,IF('Reverse Search'!$I$10="Disable",1,IF('Reverse Search'!$K$10="≥",IF(K422&gt;='Reverse Search'!$L$10,1,0),IF('Reverse Search'!$K$10="≤",IF(K422&lt;='Reverse Search'!$L$10,1,0),IF(K422='Reverse Search'!$L$10,1,0)))))</f>
        <v>1</v>
      </c>
      <c r="Y422" s="367" t="n">
        <f aca="false">IF('Reverse Search'!$N$7="Disable",1,IF('Reverse Search'!$I$11="Disable",1,IF('Reverse Search'!$K$11="≥",IF(L422&gt;='Reverse Search'!$L$11,1,0),IF('Reverse Search'!$K$11="≤",IF(L422&lt;='Reverse Search'!$L$11,1,0),IF(L422='Reverse Search'!$L$11,1,0)))))</f>
        <v>1</v>
      </c>
      <c r="Z422" s="0" t="n">
        <f aca="true">IF('Reverse Search'!$C$14="Disable",1,IF('Reverse Search'!$D$16="Disable",1,IF($C$2=3,IF($M422=0,0,COUNTIF(INDIRECT("'0.0.2 Pokémon Learnset (Core)'!$D$"&amp;MATCH($E422,'0.0.2 Pokémon Learnset (Core)'!$A$1:$A951,0)&amp;":$FK$"&amp;MATCH($E422,'0.0.2 Pokémon Learnset (Core)'!$A$1:$A951,0)),'Reverse Search'!$E$21)),IF($C$2=2,COUNTIF(INDIRECT("'0.1.1 Pokémon GO Moves'!$B$"&amp;MATCH($E422,'0.1.1 Pokémon GO Moves'!$A$1:$A951,0)&amp;":$R$"&amp;MATCH($E422,'0.1.1 Pokémon GO Moves'!$A$1:$A951,0)),'Reverse Search'!$E$21),COUNTIF(INDIRECT("'0.1.1 Pokémon GO Moves'!$B$"&amp;MATCH($E422,'0.1.1 Pokémon GO Moves'!$A$1:$A951,0)&amp;":$L$"&amp;MATCH($E422,'0.1.1 Pokémon GO Moves'!$A$1:$A951,0)),'Reverse Search'!$E$21)))))</f>
        <v>1</v>
      </c>
      <c r="AA422" s="0" t="n">
        <f aca="true">IF('Reverse Search'!$C$14="Disable",1,IF('Reverse Search'!$I$16="Disable",1,IF($D$2=3,IF($M422=0,0,COUNTIF(INDIRECT("'0.0.2 Pokémon Learnset (Core)'!$D$"&amp;MATCH($E422,'0.0.2 Pokémon Learnset (Core)'!$A$1:$A951,0)&amp;":$FK$"&amp;MATCH($E422,'0.0.2 Pokémon Learnset (Core)'!$A$1:$A951,0)),'Reverse Search'!$J$21)),IF($D$2=2,COUNTIF(INDIRECT("'0.1.1 Pokémon GO Moves'!$B$"&amp;MATCH($E422,'0.1.1 Pokémon GO Moves'!$A$1:$A951,0)&amp;":$R$"&amp;MATCH($E422,'0.1.1 Pokémon GO Moves'!$A$1:$A951,0)),'Reverse Search'!$J$21),COUNTIF(INDIRECT("'0.1.1 Pokémon GO Moves'!$B$"&amp;MATCH($E422,'0.1.1 Pokémon GO Moves'!$A$1:$A951,0)&amp;":$L$"&amp;MATCH($E422,'0.1.1 Pokémon GO Moves'!$A$1:$A951,0)),'Reverse Search'!$J$21)))))</f>
        <v>0</v>
      </c>
      <c r="AB422" s="490"/>
      <c r="AC422" s="260" t="n">
        <f aca="false">IF((Q422+R422+S422+V422+W422+X422+Y422+IF(Z422&gt;=1,1,0)+IF(AA422&gt;=1,1,0))=9,G422&amp;", ",)</f>
        <v>0</v>
      </c>
    </row>
    <row r="423" customFormat="false" ht="15.75" hidden="false" customHeight="false" outlineLevel="0" collapsed="false">
      <c r="A423" s="260"/>
      <c r="B423" s="358"/>
      <c r="C423" s="260"/>
      <c r="D423" s="358"/>
      <c r="E423" s="260" t="n">
        <v>422</v>
      </c>
      <c r="F423" s="260" t="n">
        <f aca="false" t="array" ref="F423:F423">INDEX('0.0.1 Pokémon Dex Data'!$H$3:$H951,MATCH(E423,'0.0.1 Pokémon Dex Data'!$B$3:$B951,0))</f>
        <v>0</v>
      </c>
      <c r="G423" s="0" t="str">
        <f aca="false" t="array" ref="G423:G423">INDEX('0.0.1 Pokémon Dex Data'!$E$3:$E951,MATCH(E423,'0.0.1 Pokémon Dex Data'!$B$3:$B951,0))</f>
        <v>Walrein</v>
      </c>
      <c r="H423" s="0" t="str">
        <f aca="false" t="array" ref="H423:H423">INDEX('0.0.1 Pokémon Dex Data'!$Q$3:$Q951,MATCH(E423,'0.0.1 Pokémon Dex Data'!$B$3:$B951,0))</f>
        <v>Ice</v>
      </c>
      <c r="I423" s="0" t="str">
        <f aca="false" t="array" ref="I423:I423">INDEX('0.0.1 Pokémon Dex Data'!$R$3:$R951,MATCH(E423,'0.0.1 Pokémon Dex Data'!$B$3:$B951,0))</f>
        <v>Water</v>
      </c>
      <c r="J423" s="260" t="n">
        <f aca="false" t="array" ref="J423:J423">ROUND(INDEX('0.0.1 Pokémon Dex Data'!$S$3:$S951,MATCH($E423,'0.0.1 Pokémon Dex Data'!$B$3:$B951,0))*INDEX('0.0.1 Pokémon Dex Data'!T$3:T951,MATCH($E423,'0.0.1 Pokémon Dex Data'!$B$3:$B951,0)),0)</f>
        <v>182</v>
      </c>
      <c r="K423" s="260" t="n">
        <f aca="false" t="array" ref="K423:K423">ROUND(INDEX('0.0.1 Pokémon Dex Data'!$S$3:$S951,MATCH($E423,'0.0.1 Pokémon Dex Data'!$B$3:$B951,0))*INDEX('0.0.1 Pokémon Dex Data'!U$3:U951,MATCH($E423,'0.0.1 Pokémon Dex Data'!$B$3:$B951,0)),0)</f>
        <v>176</v>
      </c>
      <c r="L423" s="260" t="n">
        <f aca="false" t="array" ref="L423:L423">ROUND(INDEX('0.0.1 Pokémon Dex Data'!$S$3:$S951,MATCH($E423,'0.0.1 Pokémon Dex Data'!$B$3:$B951,0))*INDEX('0.0.1 Pokémon Dex Data'!V$3:V951,MATCH($E423,'0.0.1 Pokémon Dex Data'!$B$3:$B951,0)),0)</f>
        <v>242</v>
      </c>
      <c r="M423" s="260" t="n">
        <f aca="false" t="array" ref="M423:M423">INDEX('0.0.1 Pokémon Dex Data'!$J$3:$J951,MATCH(E423,'0.0.1 Pokémon Dex Data'!$B$3:$B951,0))</f>
        <v>1</v>
      </c>
      <c r="O423" s="490"/>
      <c r="Q423" s="367" t="n">
        <f aca="false">IF('Reverse Search'!$F$4="All (including temporary formes)",1,IF('Reverse Search'!$F$4="Base Pokémon and permanent formes only",IF(F423&lt;=1,1,0),IF(F423=0,1,0)))</f>
        <v>1</v>
      </c>
      <c r="R423" s="0" t="n">
        <f aca="false">IF('Reverse Search'!$C$7="Disable",1,IF('Reverse Search'!$D$9="Disable",1,IF(OR('Reverse Search'!$F$9=H423,'Reverse Search'!$F$9=I423),1,0)))</f>
        <v>1</v>
      </c>
      <c r="S423" s="0" t="n">
        <f aca="false">IF('Reverse Search'!$C$7="Disable",1,IF('Reverse Search'!$D$10="Disable",1,IF(OR('Reverse Search'!$F$10=H423,'Reverse Search'!$F$10=I423),1,0)))</f>
        <v>1</v>
      </c>
      <c r="T423" s="0" t="n">
        <f aca="false">INDEX($B$4:$B$22,MATCH(H423,$A$4:$A$22,0))</f>
        <v>1</v>
      </c>
      <c r="U423" s="0" t="n">
        <f aca="false">IF(ISBLANK(I423),1,INDEX($B$4:$B$22,MATCH(I423,$A$4:$A$22,0)))</f>
        <v>1</v>
      </c>
      <c r="V423" s="367" t="n">
        <f aca="false">IF('Reverse Search'!$C$7="Disable",1,IF('Reverse Search'!$D$11="Disable",1,IF('Reverse Search'!$E$11="Neutral to:",IF(ROUND(T423*U423,2)&lt;=1,1,0),IF(ROUND(T423*U423,2)&lt;1,1,0))))</f>
        <v>1</v>
      </c>
      <c r="W423" s="0" t="n">
        <f aca="false">IF('Reverse Search'!$N$7="Disable",1,IF('Reverse Search'!$I$9="Disable",1,IF('Reverse Search'!$K$9="≥",IF(J423&gt;='Reverse Search'!$L$9,1,0),IF('Reverse Search'!$K$9="≤",IF(J423&lt;='Reverse Search'!$L$9,1,0),IF(J423='Reverse Search'!$L$9,1,0)))))</f>
        <v>1</v>
      </c>
      <c r="X423" s="0" t="n">
        <f aca="false">IF('Reverse Search'!$N$7="Disable",1,IF('Reverse Search'!$I$10="Disable",1,IF('Reverse Search'!$K$10="≥",IF(K423&gt;='Reverse Search'!$L$10,1,0),IF('Reverse Search'!$K$10="≤",IF(K423&lt;='Reverse Search'!$L$10,1,0),IF(K423='Reverse Search'!$L$10,1,0)))))</f>
        <v>1</v>
      </c>
      <c r="Y423" s="367" t="n">
        <f aca="false">IF('Reverse Search'!$N$7="Disable",1,IF('Reverse Search'!$I$11="Disable",1,IF('Reverse Search'!$K$11="≥",IF(L423&gt;='Reverse Search'!$L$11,1,0),IF('Reverse Search'!$K$11="≤",IF(L423&lt;='Reverse Search'!$L$11,1,0),IF(L423='Reverse Search'!$L$11,1,0)))))</f>
        <v>1</v>
      </c>
      <c r="Z423" s="0" t="n">
        <f aca="true">IF('Reverse Search'!$C$14="Disable",1,IF('Reverse Search'!$D$16="Disable",1,IF($C$2=3,IF($M423=0,0,COUNTIF(INDIRECT("'0.0.2 Pokémon Learnset (Core)'!$D$"&amp;MATCH($E423,'0.0.2 Pokémon Learnset (Core)'!$A$1:$A951,0)&amp;":$FK$"&amp;MATCH($E423,'0.0.2 Pokémon Learnset (Core)'!$A$1:$A951,0)),'Reverse Search'!$E$21)),IF($C$2=2,COUNTIF(INDIRECT("'0.1.1 Pokémon GO Moves'!$B$"&amp;MATCH($E423,'0.1.1 Pokémon GO Moves'!$A$1:$A951,0)&amp;":$R$"&amp;MATCH($E423,'0.1.1 Pokémon GO Moves'!$A$1:$A951,0)),'Reverse Search'!$E$21),COUNTIF(INDIRECT("'0.1.1 Pokémon GO Moves'!$B$"&amp;MATCH($E423,'0.1.1 Pokémon GO Moves'!$A$1:$A951,0)&amp;":$L$"&amp;MATCH($E423,'0.1.1 Pokémon GO Moves'!$A$1:$A951,0)),'Reverse Search'!$E$21)))))</f>
        <v>1</v>
      </c>
      <c r="AA423" s="0" t="n">
        <f aca="true">IF('Reverse Search'!$C$14="Disable",1,IF('Reverse Search'!$I$16="Disable",1,IF($D$2=3,IF($M423=0,0,COUNTIF(INDIRECT("'0.0.2 Pokémon Learnset (Core)'!$D$"&amp;MATCH($E423,'0.0.2 Pokémon Learnset (Core)'!$A$1:$A951,0)&amp;":$FK$"&amp;MATCH($E423,'0.0.2 Pokémon Learnset (Core)'!$A$1:$A951,0)),'Reverse Search'!$J$21)),IF($D$2=2,COUNTIF(INDIRECT("'0.1.1 Pokémon GO Moves'!$B$"&amp;MATCH($E423,'0.1.1 Pokémon GO Moves'!$A$1:$A951,0)&amp;":$R$"&amp;MATCH($E423,'0.1.1 Pokémon GO Moves'!$A$1:$A951,0)),'Reverse Search'!$J$21),COUNTIF(INDIRECT("'0.1.1 Pokémon GO Moves'!$B$"&amp;MATCH($E423,'0.1.1 Pokémon GO Moves'!$A$1:$A951,0)&amp;":$L$"&amp;MATCH($E423,'0.1.1 Pokémon GO Moves'!$A$1:$A951,0)),'Reverse Search'!$J$21)))))</f>
        <v>0</v>
      </c>
      <c r="AB423" s="490"/>
      <c r="AC423" s="260" t="n">
        <f aca="false">IF((Q423+R423+S423+V423+W423+X423+Y423+IF(Z423&gt;=1,1,0)+IF(AA423&gt;=1,1,0))=9,G423&amp;", ",)</f>
        <v>0</v>
      </c>
    </row>
    <row r="424" customFormat="false" ht="15.75" hidden="false" customHeight="false" outlineLevel="0" collapsed="false">
      <c r="A424" s="260"/>
      <c r="B424" s="358"/>
      <c r="C424" s="260"/>
      <c r="D424" s="358"/>
      <c r="E424" s="260" t="n">
        <v>423</v>
      </c>
      <c r="F424" s="260" t="n">
        <f aca="false" t="array" ref="F424:F424">INDEX('0.0.1 Pokémon Dex Data'!$H$3:$H951,MATCH(E424,'0.0.1 Pokémon Dex Data'!$B$3:$B951,0))</f>
        <v>0</v>
      </c>
      <c r="G424" s="0" t="str">
        <f aca="false" t="array" ref="G424:G424">INDEX('0.0.1 Pokémon Dex Data'!$E$3:$E951,MATCH(E424,'0.0.1 Pokémon Dex Data'!$B$3:$B951,0))</f>
        <v>Clamperl</v>
      </c>
      <c r="H424" s="0" t="str">
        <f aca="false" t="array" ref="H424:H424">INDEX('0.0.1 Pokémon Dex Data'!$Q$3:$Q951,MATCH(E424,'0.0.1 Pokémon Dex Data'!$B$3:$B951,0))</f>
        <v>Water</v>
      </c>
      <c r="I424" s="0" t="n">
        <f aca="false">INDEX('0.0.1 Pokémon Dex Data'!$R$3:$R951,MATCH(E424,'0.0.1 Pokémon Dex Data'!$B$3:$B951,0))</f>
        <v>0</v>
      </c>
      <c r="J424" s="260" t="n">
        <f aca="false" t="array" ref="J424:J424">ROUND(INDEX('0.0.1 Pokémon Dex Data'!$S$3:$S951,MATCH($E424,'0.0.1 Pokémon Dex Data'!$B$3:$B951,0))*INDEX('0.0.1 Pokémon Dex Data'!T$3:T951,MATCH($E424,'0.0.1 Pokémon Dex Data'!$B$3:$B951,0)),0)</f>
        <v>133</v>
      </c>
      <c r="K424" s="260" t="n">
        <f aca="false" t="array" ref="K424:K424">ROUND(INDEX('0.0.1 Pokémon Dex Data'!$S$3:$S951,MATCH($E424,'0.0.1 Pokémon Dex Data'!$B$3:$B951,0))*INDEX('0.0.1 Pokémon Dex Data'!U$3:U951,MATCH($E424,'0.0.1 Pokémon Dex Data'!$B$3:$B951,0)),0)</f>
        <v>135</v>
      </c>
      <c r="L424" s="260" t="n">
        <f aca="false" t="array" ref="L424:L424">ROUND(INDEX('0.0.1 Pokémon Dex Data'!$S$3:$S951,MATCH($E424,'0.0.1 Pokémon Dex Data'!$B$3:$B951,0))*INDEX('0.0.1 Pokémon Dex Data'!V$3:V951,MATCH($E424,'0.0.1 Pokémon Dex Data'!$B$3:$B951,0)),0)</f>
        <v>111</v>
      </c>
      <c r="M424" s="260" t="n">
        <f aca="false" t="array" ref="M424:M424">INDEX('0.0.1 Pokémon Dex Data'!$J$3:$J951,MATCH(E424,'0.0.1 Pokémon Dex Data'!$B$3:$B951,0))</f>
        <v>0</v>
      </c>
      <c r="O424" s="490"/>
      <c r="Q424" s="367" t="n">
        <f aca="false">IF('Reverse Search'!$F$4="All (including temporary formes)",1,IF('Reverse Search'!$F$4="Base Pokémon and permanent formes only",IF(F424&lt;=1,1,0),IF(F424=0,1,0)))</f>
        <v>1</v>
      </c>
      <c r="R424" s="0" t="n">
        <f aca="false">IF('Reverse Search'!$C$7="Disable",1,IF('Reverse Search'!$D$9="Disable",1,IF(OR('Reverse Search'!$F$9=H424,'Reverse Search'!$F$9=I424),1,0)))</f>
        <v>1</v>
      </c>
      <c r="S424" s="0" t="n">
        <f aca="false">IF('Reverse Search'!$C$7="Disable",1,IF('Reverse Search'!$D$10="Disable",1,IF(OR('Reverse Search'!$F$10=H424,'Reverse Search'!$F$10=I424),1,0)))</f>
        <v>1</v>
      </c>
      <c r="T424" s="0" t="n">
        <f aca="false">INDEX($B$4:$B$22,MATCH(H424,$A$4:$A$22,0))</f>
        <v>1</v>
      </c>
      <c r="U424" s="0" t="e">
        <f aca="false">IF(ISBLANK(I424),1,INDEX($B$4:$B$22,MATCH(I424,$A$4:$A$22,0)))</f>
        <v>#N/A</v>
      </c>
      <c r="V424" s="367" t="n">
        <f aca="false">IF('Reverse Search'!$C$7="Disable",1,IF('Reverse Search'!$D$11="Disable",1,IF('Reverse Search'!$E$11="Neutral to:",IF(ROUND(T424*U424,2)&lt;=1,1,0),IF(ROUND(T424*U424,2)&lt;1,1,0))))</f>
        <v>1</v>
      </c>
      <c r="W424" s="0" t="n">
        <f aca="false">IF('Reverse Search'!$N$7="Disable",1,IF('Reverse Search'!$I$9="Disable",1,IF('Reverse Search'!$K$9="≥",IF(J424&gt;='Reverse Search'!$L$9,1,0),IF('Reverse Search'!$K$9="≤",IF(J424&lt;='Reverse Search'!$L$9,1,0),IF(J424='Reverse Search'!$L$9,1,0)))))</f>
        <v>1</v>
      </c>
      <c r="X424" s="0" t="n">
        <f aca="false">IF('Reverse Search'!$N$7="Disable",1,IF('Reverse Search'!$I$10="Disable",1,IF('Reverse Search'!$K$10="≥",IF(K424&gt;='Reverse Search'!$L$10,1,0),IF('Reverse Search'!$K$10="≤",IF(K424&lt;='Reverse Search'!$L$10,1,0),IF(K424='Reverse Search'!$L$10,1,0)))))</f>
        <v>1</v>
      </c>
      <c r="Y424" s="367" t="n">
        <f aca="false">IF('Reverse Search'!$N$7="Disable",1,IF('Reverse Search'!$I$11="Disable",1,IF('Reverse Search'!$K$11="≥",IF(L424&gt;='Reverse Search'!$L$11,1,0),IF('Reverse Search'!$K$11="≤",IF(L424&lt;='Reverse Search'!$L$11,1,0),IF(L424='Reverse Search'!$L$11,1,0)))))</f>
        <v>1</v>
      </c>
      <c r="Z424" s="0" t="n">
        <f aca="true">IF('Reverse Search'!$C$14="Disable",1,IF('Reverse Search'!$D$16="Disable",1,IF($C$2=3,IF($M424=0,0,COUNTIF(INDIRECT("'0.0.2 Pokémon Learnset (Core)'!$D$"&amp;MATCH($E424,'0.0.2 Pokémon Learnset (Core)'!$A$1:$A951,0)&amp;":$FK$"&amp;MATCH($E424,'0.0.2 Pokémon Learnset (Core)'!$A$1:$A951,0)),'Reverse Search'!$E$21)),IF($C$2=2,COUNTIF(INDIRECT("'0.1.1 Pokémon GO Moves'!$B$"&amp;MATCH($E424,'0.1.1 Pokémon GO Moves'!$A$1:$A951,0)&amp;":$R$"&amp;MATCH($E424,'0.1.1 Pokémon GO Moves'!$A$1:$A951,0)),'Reverse Search'!$E$21),COUNTIF(INDIRECT("'0.1.1 Pokémon GO Moves'!$B$"&amp;MATCH($E424,'0.1.1 Pokémon GO Moves'!$A$1:$A951,0)&amp;":$L$"&amp;MATCH($E424,'0.1.1 Pokémon GO Moves'!$A$1:$A951,0)),'Reverse Search'!$E$21)))))</f>
        <v>1</v>
      </c>
      <c r="AA424" s="0" t="n">
        <f aca="true">IF('Reverse Search'!$C$14="Disable",1,IF('Reverse Search'!$I$16="Disable",1,IF($D$2=3,IF($M424=0,0,COUNTIF(INDIRECT("'0.0.2 Pokémon Learnset (Core)'!$D$"&amp;MATCH($E424,'0.0.2 Pokémon Learnset (Core)'!$A$1:$A951,0)&amp;":$FK$"&amp;MATCH($E424,'0.0.2 Pokémon Learnset (Core)'!$A$1:$A951,0)),'Reverse Search'!$J$21)),IF($D$2=2,COUNTIF(INDIRECT("'0.1.1 Pokémon GO Moves'!$B$"&amp;MATCH($E424,'0.1.1 Pokémon GO Moves'!$A$1:$A951,0)&amp;":$R$"&amp;MATCH($E424,'0.1.1 Pokémon GO Moves'!$A$1:$A951,0)),'Reverse Search'!$J$21),COUNTIF(INDIRECT("'0.1.1 Pokémon GO Moves'!$B$"&amp;MATCH($E424,'0.1.1 Pokémon GO Moves'!$A$1:$A951,0)&amp;":$L$"&amp;MATCH($E424,'0.1.1 Pokémon GO Moves'!$A$1:$A951,0)),'Reverse Search'!$J$21)))))</f>
        <v>0</v>
      </c>
      <c r="AB424" s="490"/>
      <c r="AC424" s="260" t="n">
        <f aca="false">IF((Q424+R424+S424+V424+W424+X424+Y424+IF(Z424&gt;=1,1,0)+IF(AA424&gt;=1,1,0))=9,G424&amp;", ",)</f>
        <v>0</v>
      </c>
    </row>
    <row r="425" customFormat="false" ht="15.75" hidden="false" customHeight="false" outlineLevel="0" collapsed="false">
      <c r="A425" s="260"/>
      <c r="B425" s="358"/>
      <c r="C425" s="260"/>
      <c r="D425" s="358"/>
      <c r="E425" s="260" t="n">
        <v>424</v>
      </c>
      <c r="F425" s="260" t="n">
        <f aca="false" t="array" ref="F425:F425">INDEX('0.0.1 Pokémon Dex Data'!$H$3:$H951,MATCH(E425,'0.0.1 Pokémon Dex Data'!$B$3:$B951,0))</f>
        <v>0</v>
      </c>
      <c r="G425" s="0" t="str">
        <f aca="false" t="array" ref="G425:G425">INDEX('0.0.1 Pokémon Dex Data'!$E$3:$E951,MATCH(E425,'0.0.1 Pokémon Dex Data'!$B$3:$B951,0))</f>
        <v>Huntail</v>
      </c>
      <c r="H425" s="0" t="str">
        <f aca="false" t="array" ref="H425:H425">INDEX('0.0.1 Pokémon Dex Data'!$Q$3:$Q951,MATCH(E425,'0.0.1 Pokémon Dex Data'!$B$3:$B951,0))</f>
        <v>Water</v>
      </c>
      <c r="I425" s="0" t="n">
        <f aca="false">INDEX('0.0.1 Pokémon Dex Data'!$R$3:$R951,MATCH(E425,'0.0.1 Pokémon Dex Data'!$B$3:$B951,0))</f>
        <v>0</v>
      </c>
      <c r="J425" s="260" t="n">
        <f aca="false" t="array" ref="J425:J425">ROUND(INDEX('0.0.1 Pokémon Dex Data'!$S$3:$S951,MATCH($E425,'0.0.1 Pokémon Dex Data'!$B$3:$B951,0))*INDEX('0.0.1 Pokémon Dex Data'!T$3:T951,MATCH($E425,'0.0.1 Pokémon Dex Data'!$B$3:$B951,0)),0)</f>
        <v>197</v>
      </c>
      <c r="K425" s="260" t="n">
        <f aca="false" t="array" ref="K425:K425">ROUND(INDEX('0.0.1 Pokémon Dex Data'!$S$3:$S951,MATCH($E425,'0.0.1 Pokémon Dex Data'!$B$3:$B951,0))*INDEX('0.0.1 Pokémon Dex Data'!U$3:U951,MATCH($E425,'0.0.1 Pokémon Dex Data'!$B$3:$B951,0)),0)</f>
        <v>179</v>
      </c>
      <c r="L425" s="260" t="n">
        <f aca="false" t="array" ref="L425:L425">ROUND(INDEX('0.0.1 Pokémon Dex Data'!$S$3:$S951,MATCH($E425,'0.0.1 Pokémon Dex Data'!$B$3:$B951,0))*INDEX('0.0.1 Pokémon Dex Data'!V$3:V951,MATCH($E425,'0.0.1 Pokémon Dex Data'!$B$3:$B951,0)),0)</f>
        <v>146</v>
      </c>
      <c r="M425" s="260" t="n">
        <f aca="false" t="array" ref="M425:M425">INDEX('0.0.1 Pokémon Dex Data'!$J$3:$J951,MATCH(E425,'0.0.1 Pokémon Dex Data'!$B$3:$B951,0))</f>
        <v>1</v>
      </c>
      <c r="O425" s="490"/>
      <c r="Q425" s="367" t="n">
        <f aca="false">IF('Reverse Search'!$F$4="All (including temporary formes)",1,IF('Reverse Search'!$F$4="Base Pokémon and permanent formes only",IF(F425&lt;=1,1,0),IF(F425=0,1,0)))</f>
        <v>1</v>
      </c>
      <c r="R425" s="0" t="n">
        <f aca="false">IF('Reverse Search'!$C$7="Disable",1,IF('Reverse Search'!$D$9="Disable",1,IF(OR('Reverse Search'!$F$9=H425,'Reverse Search'!$F$9=I425),1,0)))</f>
        <v>1</v>
      </c>
      <c r="S425" s="0" t="n">
        <f aca="false">IF('Reverse Search'!$C$7="Disable",1,IF('Reverse Search'!$D$10="Disable",1,IF(OR('Reverse Search'!$F$10=H425,'Reverse Search'!$F$10=I425),1,0)))</f>
        <v>1</v>
      </c>
      <c r="T425" s="0" t="n">
        <f aca="false">INDEX($B$4:$B$22,MATCH(H425,$A$4:$A$22,0))</f>
        <v>1</v>
      </c>
      <c r="U425" s="0" t="e">
        <f aca="false">IF(ISBLANK(I425),1,INDEX($B$4:$B$22,MATCH(I425,$A$4:$A$22,0)))</f>
        <v>#N/A</v>
      </c>
      <c r="V425" s="367" t="n">
        <f aca="false">IF('Reverse Search'!$C$7="Disable",1,IF('Reverse Search'!$D$11="Disable",1,IF('Reverse Search'!$E$11="Neutral to:",IF(ROUND(T425*U425,2)&lt;=1,1,0),IF(ROUND(T425*U425,2)&lt;1,1,0))))</f>
        <v>1</v>
      </c>
      <c r="W425" s="0" t="n">
        <f aca="false">IF('Reverse Search'!$N$7="Disable",1,IF('Reverse Search'!$I$9="Disable",1,IF('Reverse Search'!$K$9="≥",IF(J425&gt;='Reverse Search'!$L$9,1,0),IF('Reverse Search'!$K$9="≤",IF(J425&lt;='Reverse Search'!$L$9,1,0),IF(J425='Reverse Search'!$L$9,1,0)))))</f>
        <v>1</v>
      </c>
      <c r="X425" s="0" t="n">
        <f aca="false">IF('Reverse Search'!$N$7="Disable",1,IF('Reverse Search'!$I$10="Disable",1,IF('Reverse Search'!$K$10="≥",IF(K425&gt;='Reverse Search'!$L$10,1,0),IF('Reverse Search'!$K$10="≤",IF(K425&lt;='Reverse Search'!$L$10,1,0),IF(K425='Reverse Search'!$L$10,1,0)))))</f>
        <v>1</v>
      </c>
      <c r="Y425" s="367" t="n">
        <f aca="false">IF('Reverse Search'!$N$7="Disable",1,IF('Reverse Search'!$I$11="Disable",1,IF('Reverse Search'!$K$11="≥",IF(L425&gt;='Reverse Search'!$L$11,1,0),IF('Reverse Search'!$K$11="≤",IF(L425&lt;='Reverse Search'!$L$11,1,0),IF(L425='Reverse Search'!$L$11,1,0)))))</f>
        <v>1</v>
      </c>
      <c r="Z425" s="0" t="n">
        <f aca="true">IF('Reverse Search'!$C$14="Disable",1,IF('Reverse Search'!$D$16="Disable",1,IF($C$2=3,IF($M425=0,0,COUNTIF(INDIRECT("'0.0.2 Pokémon Learnset (Core)'!$D$"&amp;MATCH($E425,'0.0.2 Pokémon Learnset (Core)'!$A$1:$A951,0)&amp;":$FK$"&amp;MATCH($E425,'0.0.2 Pokémon Learnset (Core)'!$A$1:$A951,0)),'Reverse Search'!$E$21)),IF($C$2=2,COUNTIF(INDIRECT("'0.1.1 Pokémon GO Moves'!$B$"&amp;MATCH($E425,'0.1.1 Pokémon GO Moves'!$A$1:$A951,0)&amp;":$R$"&amp;MATCH($E425,'0.1.1 Pokémon GO Moves'!$A$1:$A951,0)),'Reverse Search'!$E$21),COUNTIF(INDIRECT("'0.1.1 Pokémon GO Moves'!$B$"&amp;MATCH($E425,'0.1.1 Pokémon GO Moves'!$A$1:$A951,0)&amp;":$L$"&amp;MATCH($E425,'0.1.1 Pokémon GO Moves'!$A$1:$A951,0)),'Reverse Search'!$E$21)))))</f>
        <v>1</v>
      </c>
      <c r="AA425" s="0" t="n">
        <f aca="true">IF('Reverse Search'!$C$14="Disable",1,IF('Reverse Search'!$I$16="Disable",1,IF($D$2=3,IF($M425=0,0,COUNTIF(INDIRECT("'0.0.2 Pokémon Learnset (Core)'!$D$"&amp;MATCH($E425,'0.0.2 Pokémon Learnset (Core)'!$A$1:$A951,0)&amp;":$FK$"&amp;MATCH($E425,'0.0.2 Pokémon Learnset (Core)'!$A$1:$A951,0)),'Reverse Search'!$J$21)),IF($D$2=2,COUNTIF(INDIRECT("'0.1.1 Pokémon GO Moves'!$B$"&amp;MATCH($E425,'0.1.1 Pokémon GO Moves'!$A$1:$A951,0)&amp;":$R$"&amp;MATCH($E425,'0.1.1 Pokémon GO Moves'!$A$1:$A951,0)),'Reverse Search'!$J$21),COUNTIF(INDIRECT("'0.1.1 Pokémon GO Moves'!$B$"&amp;MATCH($E425,'0.1.1 Pokémon GO Moves'!$A$1:$A951,0)&amp;":$L$"&amp;MATCH($E425,'0.1.1 Pokémon GO Moves'!$A$1:$A951,0)),'Reverse Search'!$J$21)))))</f>
        <v>0</v>
      </c>
      <c r="AB425" s="490"/>
      <c r="AC425" s="260" t="n">
        <f aca="false">IF((Q425+R425+S425+V425+W425+X425+Y425+IF(Z425&gt;=1,1,0)+IF(AA425&gt;=1,1,0))=9,G425&amp;", ",)</f>
        <v>0</v>
      </c>
    </row>
    <row r="426" customFormat="false" ht="15.75" hidden="false" customHeight="false" outlineLevel="0" collapsed="false">
      <c r="A426" s="260"/>
      <c r="B426" s="358"/>
      <c r="C426" s="260"/>
      <c r="D426" s="358"/>
      <c r="E426" s="260" t="n">
        <v>425</v>
      </c>
      <c r="F426" s="260" t="n">
        <f aca="false" t="array" ref="F426:F426">INDEX('0.0.1 Pokémon Dex Data'!$H$3:$H951,MATCH(E426,'0.0.1 Pokémon Dex Data'!$B$3:$B951,0))</f>
        <v>0</v>
      </c>
      <c r="G426" s="0" t="str">
        <f aca="false" t="array" ref="G426:G426">INDEX('0.0.1 Pokémon Dex Data'!$E$3:$E951,MATCH(E426,'0.0.1 Pokémon Dex Data'!$B$3:$B951,0))</f>
        <v>Gorebyss</v>
      </c>
      <c r="H426" s="0" t="str">
        <f aca="false" t="array" ref="H426:H426">INDEX('0.0.1 Pokémon Dex Data'!$Q$3:$Q951,MATCH(E426,'0.0.1 Pokémon Dex Data'!$B$3:$B951,0))</f>
        <v>Water</v>
      </c>
      <c r="I426" s="0" t="n">
        <f aca="false">INDEX('0.0.1 Pokémon Dex Data'!$R$3:$R951,MATCH(E426,'0.0.1 Pokémon Dex Data'!$B$3:$B951,0))</f>
        <v>0</v>
      </c>
      <c r="J426" s="260" t="n">
        <f aca="false" t="array" ref="J426:J426">ROUND(INDEX('0.0.1 Pokémon Dex Data'!$S$3:$S951,MATCH($E426,'0.0.1 Pokémon Dex Data'!$B$3:$B951,0))*INDEX('0.0.1 Pokémon Dex Data'!T$3:T951,MATCH($E426,'0.0.1 Pokémon Dex Data'!$B$3:$B951,0)),0)</f>
        <v>211</v>
      </c>
      <c r="K426" s="260" t="n">
        <f aca="false" t="array" ref="K426:K426">ROUND(INDEX('0.0.1 Pokémon Dex Data'!$S$3:$S951,MATCH($E426,'0.0.1 Pokémon Dex Data'!$B$3:$B951,0))*INDEX('0.0.1 Pokémon Dex Data'!U$3:U951,MATCH($E426,'0.0.1 Pokémon Dex Data'!$B$3:$B951,0)),0)</f>
        <v>179</v>
      </c>
      <c r="L426" s="260" t="n">
        <f aca="false" t="array" ref="L426:L426">ROUND(INDEX('0.0.1 Pokémon Dex Data'!$S$3:$S951,MATCH($E426,'0.0.1 Pokémon Dex Data'!$B$3:$B951,0))*INDEX('0.0.1 Pokémon Dex Data'!V$3:V951,MATCH($E426,'0.0.1 Pokémon Dex Data'!$B$3:$B951,0)),0)</f>
        <v>146</v>
      </c>
      <c r="M426" s="260" t="n">
        <f aca="false" t="array" ref="M426:M426">INDEX('0.0.1 Pokémon Dex Data'!$J$3:$J951,MATCH(E426,'0.0.1 Pokémon Dex Data'!$B$3:$B951,0))</f>
        <v>1</v>
      </c>
      <c r="O426" s="490"/>
      <c r="Q426" s="367" t="n">
        <f aca="false">IF('Reverse Search'!$F$4="All (including temporary formes)",1,IF('Reverse Search'!$F$4="Base Pokémon and permanent formes only",IF(F426&lt;=1,1,0),IF(F426=0,1,0)))</f>
        <v>1</v>
      </c>
      <c r="R426" s="0" t="n">
        <f aca="false">IF('Reverse Search'!$C$7="Disable",1,IF('Reverse Search'!$D$9="Disable",1,IF(OR('Reverse Search'!$F$9=H426,'Reverse Search'!$F$9=I426),1,0)))</f>
        <v>1</v>
      </c>
      <c r="S426" s="0" t="n">
        <f aca="false">IF('Reverse Search'!$C$7="Disable",1,IF('Reverse Search'!$D$10="Disable",1,IF(OR('Reverse Search'!$F$10=H426,'Reverse Search'!$F$10=I426),1,0)))</f>
        <v>1</v>
      </c>
      <c r="T426" s="0" t="n">
        <f aca="false">INDEX($B$4:$B$22,MATCH(H426,$A$4:$A$22,0))</f>
        <v>1</v>
      </c>
      <c r="U426" s="0" t="e">
        <f aca="false">IF(ISBLANK(I426),1,INDEX($B$4:$B$22,MATCH(I426,$A$4:$A$22,0)))</f>
        <v>#N/A</v>
      </c>
      <c r="V426" s="367" t="n">
        <f aca="false">IF('Reverse Search'!$C$7="Disable",1,IF('Reverse Search'!$D$11="Disable",1,IF('Reverse Search'!$E$11="Neutral to:",IF(ROUND(T426*U426,2)&lt;=1,1,0),IF(ROUND(T426*U426,2)&lt;1,1,0))))</f>
        <v>1</v>
      </c>
      <c r="W426" s="0" t="n">
        <f aca="false">IF('Reverse Search'!$N$7="Disable",1,IF('Reverse Search'!$I$9="Disable",1,IF('Reverse Search'!$K$9="≥",IF(J426&gt;='Reverse Search'!$L$9,1,0),IF('Reverse Search'!$K$9="≤",IF(J426&lt;='Reverse Search'!$L$9,1,0),IF(J426='Reverse Search'!$L$9,1,0)))))</f>
        <v>1</v>
      </c>
      <c r="X426" s="0" t="n">
        <f aca="false">IF('Reverse Search'!$N$7="Disable",1,IF('Reverse Search'!$I$10="Disable",1,IF('Reverse Search'!$K$10="≥",IF(K426&gt;='Reverse Search'!$L$10,1,0),IF('Reverse Search'!$K$10="≤",IF(K426&lt;='Reverse Search'!$L$10,1,0),IF(K426='Reverse Search'!$L$10,1,0)))))</f>
        <v>1</v>
      </c>
      <c r="Y426" s="367" t="n">
        <f aca="false">IF('Reverse Search'!$N$7="Disable",1,IF('Reverse Search'!$I$11="Disable",1,IF('Reverse Search'!$K$11="≥",IF(L426&gt;='Reverse Search'!$L$11,1,0),IF('Reverse Search'!$K$11="≤",IF(L426&lt;='Reverse Search'!$L$11,1,0),IF(L426='Reverse Search'!$L$11,1,0)))))</f>
        <v>1</v>
      </c>
      <c r="Z426" s="0" t="n">
        <f aca="true">IF('Reverse Search'!$C$14="Disable",1,IF('Reverse Search'!$D$16="Disable",1,IF($C$2=3,IF($M426=0,0,COUNTIF(INDIRECT("'0.0.2 Pokémon Learnset (Core)'!$D$"&amp;MATCH($E426,'0.0.2 Pokémon Learnset (Core)'!$A$1:$A951,0)&amp;":$FK$"&amp;MATCH($E426,'0.0.2 Pokémon Learnset (Core)'!$A$1:$A951,0)),'Reverse Search'!$E$21)),IF($C$2=2,COUNTIF(INDIRECT("'0.1.1 Pokémon GO Moves'!$B$"&amp;MATCH($E426,'0.1.1 Pokémon GO Moves'!$A$1:$A951,0)&amp;":$R$"&amp;MATCH($E426,'0.1.1 Pokémon GO Moves'!$A$1:$A951,0)),'Reverse Search'!$E$21),COUNTIF(INDIRECT("'0.1.1 Pokémon GO Moves'!$B$"&amp;MATCH($E426,'0.1.1 Pokémon GO Moves'!$A$1:$A951,0)&amp;":$L$"&amp;MATCH($E426,'0.1.1 Pokémon GO Moves'!$A$1:$A951,0)),'Reverse Search'!$E$21)))))</f>
        <v>1</v>
      </c>
      <c r="AA426" s="0" t="n">
        <f aca="true">IF('Reverse Search'!$C$14="Disable",1,IF('Reverse Search'!$I$16="Disable",1,IF($D$2=3,IF($M426=0,0,COUNTIF(INDIRECT("'0.0.2 Pokémon Learnset (Core)'!$D$"&amp;MATCH($E426,'0.0.2 Pokémon Learnset (Core)'!$A$1:$A951,0)&amp;":$FK$"&amp;MATCH($E426,'0.0.2 Pokémon Learnset (Core)'!$A$1:$A951,0)),'Reverse Search'!$J$21)),IF($D$2=2,COUNTIF(INDIRECT("'0.1.1 Pokémon GO Moves'!$B$"&amp;MATCH($E426,'0.1.1 Pokémon GO Moves'!$A$1:$A951,0)&amp;":$R$"&amp;MATCH($E426,'0.1.1 Pokémon GO Moves'!$A$1:$A951,0)),'Reverse Search'!$J$21),COUNTIF(INDIRECT("'0.1.1 Pokémon GO Moves'!$B$"&amp;MATCH($E426,'0.1.1 Pokémon GO Moves'!$A$1:$A951,0)&amp;":$L$"&amp;MATCH($E426,'0.1.1 Pokémon GO Moves'!$A$1:$A951,0)),'Reverse Search'!$J$21)))))</f>
        <v>0</v>
      </c>
      <c r="AB426" s="490"/>
      <c r="AC426" s="260" t="n">
        <f aca="false">IF((Q426+R426+S426+V426+W426+X426+Y426+IF(Z426&gt;=1,1,0)+IF(AA426&gt;=1,1,0))=9,G426&amp;", ",)</f>
        <v>0</v>
      </c>
    </row>
    <row r="427" customFormat="false" ht="15.75" hidden="false" customHeight="false" outlineLevel="0" collapsed="false">
      <c r="A427" s="260"/>
      <c r="B427" s="358"/>
      <c r="C427" s="260"/>
      <c r="D427" s="358"/>
      <c r="E427" s="260" t="n">
        <v>426</v>
      </c>
      <c r="F427" s="260" t="n">
        <f aca="false" t="array" ref="F427:F427">INDEX('0.0.1 Pokémon Dex Data'!$H$3:$H951,MATCH(E427,'0.0.1 Pokémon Dex Data'!$B$3:$B951,0))</f>
        <v>0</v>
      </c>
      <c r="G427" s="0" t="str">
        <f aca="false" t="array" ref="G427:G427">INDEX('0.0.1 Pokémon Dex Data'!$E$3:$E951,MATCH(E427,'0.0.1 Pokémon Dex Data'!$B$3:$B951,0))</f>
        <v>Relicanth</v>
      </c>
      <c r="H427" s="0" t="str">
        <f aca="false" t="array" ref="H427:H427">INDEX('0.0.1 Pokémon Dex Data'!$Q$3:$Q951,MATCH(E427,'0.0.1 Pokémon Dex Data'!$B$3:$B951,0))</f>
        <v>Water</v>
      </c>
      <c r="I427" s="0" t="str">
        <f aca="false" t="array" ref="I427:I427">INDEX('0.0.1 Pokémon Dex Data'!$R$3:$R951,MATCH(E427,'0.0.1 Pokémon Dex Data'!$B$3:$B951,0))</f>
        <v>Rock</v>
      </c>
      <c r="J427" s="260" t="n">
        <f aca="false" t="array" ref="J427:J427">ROUND(INDEX('0.0.1 Pokémon Dex Data'!$S$3:$S951,MATCH($E427,'0.0.1 Pokémon Dex Data'!$B$3:$B951,0))*INDEX('0.0.1 Pokémon Dex Data'!T$3:T951,MATCH($E427,'0.0.1 Pokémon Dex Data'!$B$3:$B951,0)),0)</f>
        <v>162</v>
      </c>
      <c r="K427" s="260" t="n">
        <f aca="false" t="array" ref="K427:K427">ROUND(INDEX('0.0.1 Pokémon Dex Data'!$S$3:$S951,MATCH($E427,'0.0.1 Pokémon Dex Data'!$B$3:$B951,0))*INDEX('0.0.1 Pokémon Dex Data'!U$3:U951,MATCH($E427,'0.0.1 Pokémon Dex Data'!$B$3:$B951,0)),0)</f>
        <v>203</v>
      </c>
      <c r="L427" s="260" t="n">
        <f aca="false" t="array" ref="L427:L427">ROUND(INDEX('0.0.1 Pokémon Dex Data'!$S$3:$S951,MATCH($E427,'0.0.1 Pokémon Dex Data'!$B$3:$B951,0))*INDEX('0.0.1 Pokémon Dex Data'!V$3:V951,MATCH($E427,'0.0.1 Pokémon Dex Data'!$B$3:$B951,0)),0)</f>
        <v>225</v>
      </c>
      <c r="M427" s="260" t="n">
        <f aca="false" t="array" ref="M427:M427">INDEX('0.0.1 Pokémon Dex Data'!$J$3:$J951,MATCH(E427,'0.0.1 Pokémon Dex Data'!$B$3:$B951,0))</f>
        <v>1</v>
      </c>
      <c r="O427" s="490"/>
      <c r="Q427" s="367" t="n">
        <f aca="false">IF('Reverse Search'!$F$4="All (including temporary formes)",1,IF('Reverse Search'!$F$4="Base Pokémon and permanent formes only",IF(F427&lt;=1,1,0),IF(F427=0,1,0)))</f>
        <v>1</v>
      </c>
      <c r="R427" s="0" t="n">
        <f aca="false">IF('Reverse Search'!$C$7="Disable",1,IF('Reverse Search'!$D$9="Disable",1,IF(OR('Reverse Search'!$F$9=H427,'Reverse Search'!$F$9=I427),1,0)))</f>
        <v>1</v>
      </c>
      <c r="S427" s="0" t="n">
        <f aca="false">IF('Reverse Search'!$C$7="Disable",1,IF('Reverse Search'!$D$10="Disable",1,IF(OR('Reverse Search'!$F$10=H427,'Reverse Search'!$F$10=I427),1,0)))</f>
        <v>1</v>
      </c>
      <c r="T427" s="0" t="n">
        <f aca="false">INDEX($B$4:$B$22,MATCH(H427,$A$4:$A$22,0))</f>
        <v>1</v>
      </c>
      <c r="U427" s="0" t="n">
        <f aca="false">IF(ISBLANK(I427),1,INDEX($B$4:$B$22,MATCH(I427,$A$4:$A$22,0)))</f>
        <v>0.714</v>
      </c>
      <c r="V427" s="367" t="n">
        <f aca="false">IF('Reverse Search'!$C$7="Disable",1,IF('Reverse Search'!$D$11="Disable",1,IF('Reverse Search'!$E$11="Neutral to:",IF(ROUND(T427*U427,2)&lt;=1,1,0),IF(ROUND(T427*U427,2)&lt;1,1,0))))</f>
        <v>1</v>
      </c>
      <c r="W427" s="0" t="n">
        <f aca="false">IF('Reverse Search'!$N$7="Disable",1,IF('Reverse Search'!$I$9="Disable",1,IF('Reverse Search'!$K$9="≥",IF(J427&gt;='Reverse Search'!$L$9,1,0),IF('Reverse Search'!$K$9="≤",IF(J427&lt;='Reverse Search'!$L$9,1,0),IF(J427='Reverse Search'!$L$9,1,0)))))</f>
        <v>1</v>
      </c>
      <c r="X427" s="0" t="n">
        <f aca="false">IF('Reverse Search'!$N$7="Disable",1,IF('Reverse Search'!$I$10="Disable",1,IF('Reverse Search'!$K$10="≥",IF(K427&gt;='Reverse Search'!$L$10,1,0),IF('Reverse Search'!$K$10="≤",IF(K427&lt;='Reverse Search'!$L$10,1,0),IF(K427='Reverse Search'!$L$10,1,0)))))</f>
        <v>1</v>
      </c>
      <c r="Y427" s="367" t="n">
        <f aca="false">IF('Reverse Search'!$N$7="Disable",1,IF('Reverse Search'!$I$11="Disable",1,IF('Reverse Search'!$K$11="≥",IF(L427&gt;='Reverse Search'!$L$11,1,0),IF('Reverse Search'!$K$11="≤",IF(L427&lt;='Reverse Search'!$L$11,1,0),IF(L427='Reverse Search'!$L$11,1,0)))))</f>
        <v>1</v>
      </c>
      <c r="Z427" s="0" t="n">
        <f aca="true">IF('Reverse Search'!$C$14="Disable",1,IF('Reverse Search'!$D$16="Disable",1,IF($C$2=3,IF($M427=0,0,COUNTIF(INDIRECT("'0.0.2 Pokémon Learnset (Core)'!$D$"&amp;MATCH($E427,'0.0.2 Pokémon Learnset (Core)'!$A$1:$A951,0)&amp;":$FK$"&amp;MATCH($E427,'0.0.2 Pokémon Learnset (Core)'!$A$1:$A951,0)),'Reverse Search'!$E$21)),IF($C$2=2,COUNTIF(INDIRECT("'0.1.1 Pokémon GO Moves'!$B$"&amp;MATCH($E427,'0.1.1 Pokémon GO Moves'!$A$1:$A951,0)&amp;":$R$"&amp;MATCH($E427,'0.1.1 Pokémon GO Moves'!$A$1:$A951,0)),'Reverse Search'!$E$21),COUNTIF(INDIRECT("'0.1.1 Pokémon GO Moves'!$B$"&amp;MATCH($E427,'0.1.1 Pokémon GO Moves'!$A$1:$A951,0)&amp;":$L$"&amp;MATCH($E427,'0.1.1 Pokémon GO Moves'!$A$1:$A951,0)),'Reverse Search'!$E$21)))))</f>
        <v>1</v>
      </c>
      <c r="AA427" s="0" t="n">
        <f aca="true">IF('Reverse Search'!$C$14="Disable",1,IF('Reverse Search'!$I$16="Disable",1,IF($D$2=3,IF($M427=0,0,COUNTIF(INDIRECT("'0.0.2 Pokémon Learnset (Core)'!$D$"&amp;MATCH($E427,'0.0.2 Pokémon Learnset (Core)'!$A$1:$A951,0)&amp;":$FK$"&amp;MATCH($E427,'0.0.2 Pokémon Learnset (Core)'!$A$1:$A951,0)),'Reverse Search'!$J$21)),IF($D$2=2,COUNTIF(INDIRECT("'0.1.1 Pokémon GO Moves'!$B$"&amp;MATCH($E427,'0.1.1 Pokémon GO Moves'!$A$1:$A951,0)&amp;":$R$"&amp;MATCH($E427,'0.1.1 Pokémon GO Moves'!$A$1:$A951,0)),'Reverse Search'!$J$21),COUNTIF(INDIRECT("'0.1.1 Pokémon GO Moves'!$B$"&amp;MATCH($E427,'0.1.1 Pokémon GO Moves'!$A$1:$A951,0)&amp;":$L$"&amp;MATCH($E427,'0.1.1 Pokémon GO Moves'!$A$1:$A951,0)),'Reverse Search'!$J$21)))))</f>
        <v>0</v>
      </c>
      <c r="AB427" s="490"/>
      <c r="AC427" s="260" t="n">
        <f aca="false">IF((Q427+R427+S427+V427+W427+X427+Y427+IF(Z427&gt;=1,1,0)+IF(AA427&gt;=1,1,0))=9,G427&amp;", ",)</f>
        <v>0</v>
      </c>
    </row>
    <row r="428" customFormat="false" ht="15.75" hidden="false" customHeight="false" outlineLevel="0" collapsed="false">
      <c r="A428" s="260"/>
      <c r="B428" s="358"/>
      <c r="C428" s="260"/>
      <c r="D428" s="358"/>
      <c r="E428" s="260" t="n">
        <v>427</v>
      </c>
      <c r="F428" s="260" t="n">
        <f aca="false" t="array" ref="F428:F428">INDEX('0.0.1 Pokémon Dex Data'!$H$3:$H951,MATCH(E428,'0.0.1 Pokémon Dex Data'!$B$3:$B951,0))</f>
        <v>0</v>
      </c>
      <c r="G428" s="0" t="str">
        <f aca="false" t="array" ref="G428:G428">INDEX('0.0.1 Pokémon Dex Data'!$E$3:$E951,MATCH(E428,'0.0.1 Pokémon Dex Data'!$B$3:$B951,0))</f>
        <v>Luvdisc</v>
      </c>
      <c r="H428" s="0" t="str">
        <f aca="false" t="array" ref="H428:H428">INDEX('0.0.1 Pokémon Dex Data'!$Q$3:$Q951,MATCH(E428,'0.0.1 Pokémon Dex Data'!$B$3:$B951,0))</f>
        <v>Water</v>
      </c>
      <c r="I428" s="0" t="n">
        <f aca="false">INDEX('0.0.1 Pokémon Dex Data'!$R$3:$R951,MATCH(E428,'0.0.1 Pokémon Dex Data'!$B$3:$B951,0))</f>
        <v>0</v>
      </c>
      <c r="J428" s="260" t="n">
        <f aca="false" t="array" ref="J428:J428">ROUND(INDEX('0.0.1 Pokémon Dex Data'!$S$3:$S951,MATCH($E428,'0.0.1 Pokémon Dex Data'!$B$3:$B951,0))*INDEX('0.0.1 Pokémon Dex Data'!T$3:T951,MATCH($E428,'0.0.1 Pokémon Dex Data'!$B$3:$B951,0)),0)</f>
        <v>81</v>
      </c>
      <c r="K428" s="260" t="n">
        <f aca="false" t="array" ref="K428:K428">ROUND(INDEX('0.0.1 Pokémon Dex Data'!$S$3:$S951,MATCH($E428,'0.0.1 Pokémon Dex Data'!$B$3:$B951,0))*INDEX('0.0.1 Pokémon Dex Data'!U$3:U951,MATCH($E428,'0.0.1 Pokémon Dex Data'!$B$3:$B951,0)),0)</f>
        <v>128</v>
      </c>
      <c r="L428" s="260" t="n">
        <f aca="false" t="array" ref="L428:L428">ROUND(INDEX('0.0.1 Pokémon Dex Data'!$S$3:$S951,MATCH($E428,'0.0.1 Pokémon Dex Data'!$B$3:$B951,0))*INDEX('0.0.1 Pokémon Dex Data'!V$3:V951,MATCH($E428,'0.0.1 Pokémon Dex Data'!$B$3:$B951,0)),0)</f>
        <v>125</v>
      </c>
      <c r="M428" s="260" t="n">
        <f aca="false" t="array" ref="M428:M428">INDEX('0.0.1 Pokémon Dex Data'!$J$3:$J951,MATCH(E428,'0.0.1 Pokémon Dex Data'!$B$3:$B951,0))</f>
        <v>1</v>
      </c>
      <c r="O428" s="490"/>
      <c r="Q428" s="367" t="n">
        <f aca="false">IF('Reverse Search'!$F$4="All (including temporary formes)",1,IF('Reverse Search'!$F$4="Base Pokémon and permanent formes only",IF(F428&lt;=1,1,0),IF(F428=0,1,0)))</f>
        <v>1</v>
      </c>
      <c r="R428" s="0" t="n">
        <f aca="false">IF('Reverse Search'!$C$7="Disable",1,IF('Reverse Search'!$D$9="Disable",1,IF(OR('Reverse Search'!$F$9=H428,'Reverse Search'!$F$9=I428),1,0)))</f>
        <v>1</v>
      </c>
      <c r="S428" s="0" t="n">
        <f aca="false">IF('Reverse Search'!$C$7="Disable",1,IF('Reverse Search'!$D$10="Disable",1,IF(OR('Reverse Search'!$F$10=H428,'Reverse Search'!$F$10=I428),1,0)))</f>
        <v>1</v>
      </c>
      <c r="T428" s="0" t="n">
        <f aca="false">INDEX($B$4:$B$22,MATCH(H428,$A$4:$A$22,0))</f>
        <v>1</v>
      </c>
      <c r="U428" s="0" t="e">
        <f aca="false">IF(ISBLANK(I428),1,INDEX($B$4:$B$22,MATCH(I428,$A$4:$A$22,0)))</f>
        <v>#N/A</v>
      </c>
      <c r="V428" s="367" t="n">
        <f aca="false">IF('Reverse Search'!$C$7="Disable",1,IF('Reverse Search'!$D$11="Disable",1,IF('Reverse Search'!$E$11="Neutral to:",IF(ROUND(T428*U428,2)&lt;=1,1,0),IF(ROUND(T428*U428,2)&lt;1,1,0))))</f>
        <v>1</v>
      </c>
      <c r="W428" s="0" t="n">
        <f aca="false">IF('Reverse Search'!$N$7="Disable",1,IF('Reverse Search'!$I$9="Disable",1,IF('Reverse Search'!$K$9="≥",IF(J428&gt;='Reverse Search'!$L$9,1,0),IF('Reverse Search'!$K$9="≤",IF(J428&lt;='Reverse Search'!$L$9,1,0),IF(J428='Reverse Search'!$L$9,1,0)))))</f>
        <v>1</v>
      </c>
      <c r="X428" s="0" t="n">
        <f aca="false">IF('Reverse Search'!$N$7="Disable",1,IF('Reverse Search'!$I$10="Disable",1,IF('Reverse Search'!$K$10="≥",IF(K428&gt;='Reverse Search'!$L$10,1,0),IF('Reverse Search'!$K$10="≤",IF(K428&lt;='Reverse Search'!$L$10,1,0),IF(K428='Reverse Search'!$L$10,1,0)))))</f>
        <v>1</v>
      </c>
      <c r="Y428" s="367" t="n">
        <f aca="false">IF('Reverse Search'!$N$7="Disable",1,IF('Reverse Search'!$I$11="Disable",1,IF('Reverse Search'!$K$11="≥",IF(L428&gt;='Reverse Search'!$L$11,1,0),IF('Reverse Search'!$K$11="≤",IF(L428&lt;='Reverse Search'!$L$11,1,0),IF(L428='Reverse Search'!$L$11,1,0)))))</f>
        <v>1</v>
      </c>
      <c r="Z428" s="0" t="n">
        <f aca="true">IF('Reverse Search'!$C$14="Disable",1,IF('Reverse Search'!$D$16="Disable",1,IF($C$2=3,IF($M428=0,0,COUNTIF(INDIRECT("'0.0.2 Pokémon Learnset (Core)'!$D$"&amp;MATCH($E428,'0.0.2 Pokémon Learnset (Core)'!$A$1:$A951,0)&amp;":$FK$"&amp;MATCH($E428,'0.0.2 Pokémon Learnset (Core)'!$A$1:$A951,0)),'Reverse Search'!$E$21)),IF($C$2=2,COUNTIF(INDIRECT("'0.1.1 Pokémon GO Moves'!$B$"&amp;MATCH($E428,'0.1.1 Pokémon GO Moves'!$A$1:$A951,0)&amp;":$R$"&amp;MATCH($E428,'0.1.1 Pokémon GO Moves'!$A$1:$A951,0)),'Reverse Search'!$E$21),COUNTIF(INDIRECT("'0.1.1 Pokémon GO Moves'!$B$"&amp;MATCH($E428,'0.1.1 Pokémon GO Moves'!$A$1:$A951,0)&amp;":$L$"&amp;MATCH($E428,'0.1.1 Pokémon GO Moves'!$A$1:$A951,0)),'Reverse Search'!$E$21)))))</f>
        <v>1</v>
      </c>
      <c r="AA428" s="0" t="n">
        <f aca="true">IF('Reverse Search'!$C$14="Disable",1,IF('Reverse Search'!$I$16="Disable",1,IF($D$2=3,IF($M428=0,0,COUNTIF(INDIRECT("'0.0.2 Pokémon Learnset (Core)'!$D$"&amp;MATCH($E428,'0.0.2 Pokémon Learnset (Core)'!$A$1:$A951,0)&amp;":$FK$"&amp;MATCH($E428,'0.0.2 Pokémon Learnset (Core)'!$A$1:$A951,0)),'Reverse Search'!$J$21)),IF($D$2=2,COUNTIF(INDIRECT("'0.1.1 Pokémon GO Moves'!$B$"&amp;MATCH($E428,'0.1.1 Pokémon GO Moves'!$A$1:$A951,0)&amp;":$R$"&amp;MATCH($E428,'0.1.1 Pokémon GO Moves'!$A$1:$A951,0)),'Reverse Search'!$J$21),COUNTIF(INDIRECT("'0.1.1 Pokémon GO Moves'!$B$"&amp;MATCH($E428,'0.1.1 Pokémon GO Moves'!$A$1:$A951,0)&amp;":$L$"&amp;MATCH($E428,'0.1.1 Pokémon GO Moves'!$A$1:$A951,0)),'Reverse Search'!$J$21)))))</f>
        <v>0</v>
      </c>
      <c r="AB428" s="490"/>
      <c r="AC428" s="260" t="n">
        <f aca="false">IF((Q428+R428+S428+V428+W428+X428+Y428+IF(Z428&gt;=1,1,0)+IF(AA428&gt;=1,1,0))=9,G428&amp;", ",)</f>
        <v>0</v>
      </c>
    </row>
    <row r="429" customFormat="false" ht="15.75" hidden="false" customHeight="false" outlineLevel="0" collapsed="false">
      <c r="A429" s="260"/>
      <c r="B429" s="358"/>
      <c r="C429" s="260"/>
      <c r="D429" s="358"/>
      <c r="E429" s="260" t="n">
        <v>428</v>
      </c>
      <c r="F429" s="260" t="n">
        <f aca="false" t="array" ref="F429:F429">INDEX('0.0.1 Pokémon Dex Data'!$H$3:$H951,MATCH(E429,'0.0.1 Pokémon Dex Data'!$B$3:$B951,0))</f>
        <v>0</v>
      </c>
      <c r="G429" s="0" t="str">
        <f aca="false" t="array" ref="G429:G429">INDEX('0.0.1 Pokémon Dex Data'!$E$3:$E951,MATCH(E429,'0.0.1 Pokémon Dex Data'!$B$3:$B951,0))</f>
        <v>Bagon</v>
      </c>
      <c r="H429" s="0" t="str">
        <f aca="false" t="array" ref="H429:H429">INDEX('0.0.1 Pokémon Dex Data'!$Q$3:$Q951,MATCH(E429,'0.0.1 Pokémon Dex Data'!$B$3:$B951,0))</f>
        <v>Dragon</v>
      </c>
      <c r="I429" s="0" t="n">
        <f aca="false">INDEX('0.0.1 Pokémon Dex Data'!$R$3:$R951,MATCH(E429,'0.0.1 Pokémon Dex Data'!$B$3:$B951,0))</f>
        <v>0</v>
      </c>
      <c r="J429" s="260" t="n">
        <f aca="false" t="array" ref="J429:J429">ROUND(INDEX('0.0.1 Pokémon Dex Data'!$S$3:$S951,MATCH($E429,'0.0.1 Pokémon Dex Data'!$B$3:$B951,0))*INDEX('0.0.1 Pokémon Dex Data'!T$3:T951,MATCH($E429,'0.0.1 Pokémon Dex Data'!$B$3:$B951,0)),0)</f>
        <v>134</v>
      </c>
      <c r="K429" s="260" t="n">
        <f aca="false" t="array" ref="K429:K429">ROUND(INDEX('0.0.1 Pokémon Dex Data'!$S$3:$S951,MATCH($E429,'0.0.1 Pokémon Dex Data'!$B$3:$B951,0))*INDEX('0.0.1 Pokémon Dex Data'!U$3:U951,MATCH($E429,'0.0.1 Pokémon Dex Data'!$B$3:$B951,0)),0)</f>
        <v>93</v>
      </c>
      <c r="L429" s="260" t="n">
        <f aca="false" t="array" ref="L429:L429">ROUND(INDEX('0.0.1 Pokémon Dex Data'!$S$3:$S951,MATCH($E429,'0.0.1 Pokémon Dex Data'!$B$3:$B951,0))*INDEX('0.0.1 Pokémon Dex Data'!V$3:V951,MATCH($E429,'0.0.1 Pokémon Dex Data'!$B$3:$B951,0)),0)</f>
        <v>128</v>
      </c>
      <c r="M429" s="260" t="n">
        <f aca="false" t="array" ref="M429:M429">INDEX('0.0.1 Pokémon Dex Data'!$J$3:$J951,MATCH(E429,'0.0.1 Pokémon Dex Data'!$B$3:$B951,0))</f>
        <v>0</v>
      </c>
      <c r="O429" s="490"/>
      <c r="Q429" s="367" t="n">
        <f aca="false">IF('Reverse Search'!$F$4="All (including temporary formes)",1,IF('Reverse Search'!$F$4="Base Pokémon and permanent formes only",IF(F429&lt;=1,1,0),IF(F429=0,1,0)))</f>
        <v>1</v>
      </c>
      <c r="R429" s="0" t="n">
        <f aca="false">IF('Reverse Search'!$C$7="Disable",1,IF('Reverse Search'!$D$9="Disable",1,IF(OR('Reverse Search'!$F$9=H429,'Reverse Search'!$F$9=I429),1,0)))</f>
        <v>1</v>
      </c>
      <c r="S429" s="0" t="n">
        <f aca="false">IF('Reverse Search'!$C$7="Disable",1,IF('Reverse Search'!$D$10="Disable",1,IF(OR('Reverse Search'!$F$10=H429,'Reverse Search'!$F$10=I429),1,0)))</f>
        <v>1</v>
      </c>
      <c r="T429" s="0" t="n">
        <f aca="false">INDEX($B$4:$B$22,MATCH(H429,$A$4:$A$22,0))</f>
        <v>1</v>
      </c>
      <c r="U429" s="0" t="e">
        <f aca="false">IF(ISBLANK(I429),1,INDEX($B$4:$B$22,MATCH(I429,$A$4:$A$22,0)))</f>
        <v>#N/A</v>
      </c>
      <c r="V429" s="367" t="n">
        <f aca="false">IF('Reverse Search'!$C$7="Disable",1,IF('Reverse Search'!$D$11="Disable",1,IF('Reverse Search'!$E$11="Neutral to:",IF(ROUND(T429*U429,2)&lt;=1,1,0),IF(ROUND(T429*U429,2)&lt;1,1,0))))</f>
        <v>1</v>
      </c>
      <c r="W429" s="0" t="n">
        <f aca="false">IF('Reverse Search'!$N$7="Disable",1,IF('Reverse Search'!$I$9="Disable",1,IF('Reverse Search'!$K$9="≥",IF(J429&gt;='Reverse Search'!$L$9,1,0),IF('Reverse Search'!$K$9="≤",IF(J429&lt;='Reverse Search'!$L$9,1,0),IF(J429='Reverse Search'!$L$9,1,0)))))</f>
        <v>1</v>
      </c>
      <c r="X429" s="0" t="n">
        <f aca="false">IF('Reverse Search'!$N$7="Disable",1,IF('Reverse Search'!$I$10="Disable",1,IF('Reverse Search'!$K$10="≥",IF(K429&gt;='Reverse Search'!$L$10,1,0),IF('Reverse Search'!$K$10="≤",IF(K429&lt;='Reverse Search'!$L$10,1,0),IF(K429='Reverse Search'!$L$10,1,0)))))</f>
        <v>1</v>
      </c>
      <c r="Y429" s="367" t="n">
        <f aca="false">IF('Reverse Search'!$N$7="Disable",1,IF('Reverse Search'!$I$11="Disable",1,IF('Reverse Search'!$K$11="≥",IF(L429&gt;='Reverse Search'!$L$11,1,0),IF('Reverse Search'!$K$11="≤",IF(L429&lt;='Reverse Search'!$L$11,1,0),IF(L429='Reverse Search'!$L$11,1,0)))))</f>
        <v>1</v>
      </c>
      <c r="Z429" s="0" t="n">
        <f aca="true">IF('Reverse Search'!$C$14="Disable",1,IF('Reverse Search'!$D$16="Disable",1,IF($C$2=3,IF($M429=0,0,COUNTIF(INDIRECT("'0.0.2 Pokémon Learnset (Core)'!$D$"&amp;MATCH($E429,'0.0.2 Pokémon Learnset (Core)'!$A$1:$A951,0)&amp;":$FK$"&amp;MATCH($E429,'0.0.2 Pokémon Learnset (Core)'!$A$1:$A951,0)),'Reverse Search'!$E$21)),IF($C$2=2,COUNTIF(INDIRECT("'0.1.1 Pokémon GO Moves'!$B$"&amp;MATCH($E429,'0.1.1 Pokémon GO Moves'!$A$1:$A951,0)&amp;":$R$"&amp;MATCH($E429,'0.1.1 Pokémon GO Moves'!$A$1:$A951,0)),'Reverse Search'!$E$21),COUNTIF(INDIRECT("'0.1.1 Pokémon GO Moves'!$B$"&amp;MATCH($E429,'0.1.1 Pokémon GO Moves'!$A$1:$A951,0)&amp;":$L$"&amp;MATCH($E429,'0.1.1 Pokémon GO Moves'!$A$1:$A951,0)),'Reverse Search'!$E$21)))))</f>
        <v>1</v>
      </c>
      <c r="AA429" s="0" t="n">
        <f aca="true">IF('Reverse Search'!$C$14="Disable",1,IF('Reverse Search'!$I$16="Disable",1,IF($D$2=3,IF($M429=0,0,COUNTIF(INDIRECT("'0.0.2 Pokémon Learnset (Core)'!$D$"&amp;MATCH($E429,'0.0.2 Pokémon Learnset (Core)'!$A$1:$A951,0)&amp;":$FK$"&amp;MATCH($E429,'0.0.2 Pokémon Learnset (Core)'!$A$1:$A951,0)),'Reverse Search'!$J$21)),IF($D$2=2,COUNTIF(INDIRECT("'0.1.1 Pokémon GO Moves'!$B$"&amp;MATCH($E429,'0.1.1 Pokémon GO Moves'!$A$1:$A951,0)&amp;":$R$"&amp;MATCH($E429,'0.1.1 Pokémon GO Moves'!$A$1:$A951,0)),'Reverse Search'!$J$21),COUNTIF(INDIRECT("'0.1.1 Pokémon GO Moves'!$B$"&amp;MATCH($E429,'0.1.1 Pokémon GO Moves'!$A$1:$A951,0)&amp;":$L$"&amp;MATCH($E429,'0.1.1 Pokémon GO Moves'!$A$1:$A951,0)),'Reverse Search'!$J$21)))))</f>
        <v>0</v>
      </c>
      <c r="AB429" s="490"/>
      <c r="AC429" s="260" t="n">
        <f aca="false">IF((Q429+R429+S429+V429+W429+X429+Y429+IF(Z429&gt;=1,1,0)+IF(AA429&gt;=1,1,0))=9,G429&amp;", ",)</f>
        <v>0</v>
      </c>
    </row>
    <row r="430" customFormat="false" ht="15.75" hidden="false" customHeight="false" outlineLevel="0" collapsed="false">
      <c r="A430" s="260"/>
      <c r="B430" s="358"/>
      <c r="C430" s="260"/>
      <c r="D430" s="358"/>
      <c r="E430" s="260" t="n">
        <v>429</v>
      </c>
      <c r="F430" s="260" t="n">
        <f aca="false" t="array" ref="F430:F430">INDEX('0.0.1 Pokémon Dex Data'!$H$3:$H951,MATCH(E430,'0.0.1 Pokémon Dex Data'!$B$3:$B951,0))</f>
        <v>0</v>
      </c>
      <c r="G430" s="0" t="str">
        <f aca="false" t="array" ref="G430:G430">INDEX('0.0.1 Pokémon Dex Data'!$E$3:$E951,MATCH(E430,'0.0.1 Pokémon Dex Data'!$B$3:$B951,0))</f>
        <v>Shelgon</v>
      </c>
      <c r="H430" s="0" t="str">
        <f aca="false" t="array" ref="H430:H430">INDEX('0.0.1 Pokémon Dex Data'!$Q$3:$Q951,MATCH(E430,'0.0.1 Pokémon Dex Data'!$B$3:$B951,0))</f>
        <v>Dragon</v>
      </c>
      <c r="I430" s="0" t="n">
        <f aca="false">INDEX('0.0.1 Pokémon Dex Data'!$R$3:$R951,MATCH(E430,'0.0.1 Pokémon Dex Data'!$B$3:$B951,0))</f>
        <v>0</v>
      </c>
      <c r="J430" s="260" t="n">
        <f aca="false" t="array" ref="J430:J430">ROUND(INDEX('0.0.1 Pokémon Dex Data'!$S$3:$S951,MATCH($E430,'0.0.1 Pokémon Dex Data'!$B$3:$B951,0))*INDEX('0.0.1 Pokémon Dex Data'!T$3:T951,MATCH($E430,'0.0.1 Pokémon Dex Data'!$B$3:$B951,0)),0)</f>
        <v>172</v>
      </c>
      <c r="K430" s="260" t="n">
        <f aca="false" t="array" ref="K430:K430">ROUND(INDEX('0.0.1 Pokémon Dex Data'!$S$3:$S951,MATCH($E430,'0.0.1 Pokémon Dex Data'!$B$3:$B951,0))*INDEX('0.0.1 Pokémon Dex Data'!U$3:U951,MATCH($E430,'0.0.1 Pokémon Dex Data'!$B$3:$B951,0)),0)</f>
        <v>155</v>
      </c>
      <c r="L430" s="260" t="n">
        <f aca="false" t="array" ref="L430:L430">ROUND(INDEX('0.0.1 Pokémon Dex Data'!$S$3:$S951,MATCH($E430,'0.0.1 Pokémon Dex Data'!$B$3:$B951,0))*INDEX('0.0.1 Pokémon Dex Data'!V$3:V951,MATCH($E430,'0.0.1 Pokémon Dex Data'!$B$3:$B951,0)),0)</f>
        <v>163</v>
      </c>
      <c r="M430" s="260" t="n">
        <f aca="false" t="array" ref="M430:M430">INDEX('0.0.1 Pokémon Dex Data'!$J$3:$J951,MATCH(E430,'0.0.1 Pokémon Dex Data'!$B$3:$B951,0))</f>
        <v>0</v>
      </c>
      <c r="O430" s="490"/>
      <c r="Q430" s="367" t="n">
        <f aca="false">IF('Reverse Search'!$F$4="All (including temporary formes)",1,IF('Reverse Search'!$F$4="Base Pokémon and permanent formes only",IF(F430&lt;=1,1,0),IF(F430=0,1,0)))</f>
        <v>1</v>
      </c>
      <c r="R430" s="0" t="n">
        <f aca="false">IF('Reverse Search'!$C$7="Disable",1,IF('Reverse Search'!$D$9="Disable",1,IF(OR('Reverse Search'!$F$9=H430,'Reverse Search'!$F$9=I430),1,0)))</f>
        <v>1</v>
      </c>
      <c r="S430" s="0" t="n">
        <f aca="false">IF('Reverse Search'!$C$7="Disable",1,IF('Reverse Search'!$D$10="Disable",1,IF(OR('Reverse Search'!$F$10=H430,'Reverse Search'!$F$10=I430),1,0)))</f>
        <v>1</v>
      </c>
      <c r="T430" s="0" t="n">
        <f aca="false">INDEX($B$4:$B$22,MATCH(H430,$A$4:$A$22,0))</f>
        <v>1</v>
      </c>
      <c r="U430" s="0" t="e">
        <f aca="false">IF(ISBLANK(I430),1,INDEX($B$4:$B$22,MATCH(I430,$A$4:$A$22,0)))</f>
        <v>#N/A</v>
      </c>
      <c r="V430" s="367" t="n">
        <f aca="false">IF('Reverse Search'!$C$7="Disable",1,IF('Reverse Search'!$D$11="Disable",1,IF('Reverse Search'!$E$11="Neutral to:",IF(ROUND(T430*U430,2)&lt;=1,1,0),IF(ROUND(T430*U430,2)&lt;1,1,0))))</f>
        <v>1</v>
      </c>
      <c r="W430" s="0" t="n">
        <f aca="false">IF('Reverse Search'!$N$7="Disable",1,IF('Reverse Search'!$I$9="Disable",1,IF('Reverse Search'!$K$9="≥",IF(J430&gt;='Reverse Search'!$L$9,1,0),IF('Reverse Search'!$K$9="≤",IF(J430&lt;='Reverse Search'!$L$9,1,0),IF(J430='Reverse Search'!$L$9,1,0)))))</f>
        <v>1</v>
      </c>
      <c r="X430" s="0" t="n">
        <f aca="false">IF('Reverse Search'!$N$7="Disable",1,IF('Reverse Search'!$I$10="Disable",1,IF('Reverse Search'!$K$10="≥",IF(K430&gt;='Reverse Search'!$L$10,1,0),IF('Reverse Search'!$K$10="≤",IF(K430&lt;='Reverse Search'!$L$10,1,0),IF(K430='Reverse Search'!$L$10,1,0)))))</f>
        <v>1</v>
      </c>
      <c r="Y430" s="367" t="n">
        <f aca="false">IF('Reverse Search'!$N$7="Disable",1,IF('Reverse Search'!$I$11="Disable",1,IF('Reverse Search'!$K$11="≥",IF(L430&gt;='Reverse Search'!$L$11,1,0),IF('Reverse Search'!$K$11="≤",IF(L430&lt;='Reverse Search'!$L$11,1,0),IF(L430='Reverse Search'!$L$11,1,0)))))</f>
        <v>1</v>
      </c>
      <c r="Z430" s="0" t="n">
        <f aca="true">IF('Reverse Search'!$C$14="Disable",1,IF('Reverse Search'!$D$16="Disable",1,IF($C$2=3,IF($M430=0,0,COUNTIF(INDIRECT("'0.0.2 Pokémon Learnset (Core)'!$D$"&amp;MATCH($E430,'0.0.2 Pokémon Learnset (Core)'!$A$1:$A951,0)&amp;":$FK$"&amp;MATCH($E430,'0.0.2 Pokémon Learnset (Core)'!$A$1:$A951,0)),'Reverse Search'!$E$21)),IF($C$2=2,COUNTIF(INDIRECT("'0.1.1 Pokémon GO Moves'!$B$"&amp;MATCH($E430,'0.1.1 Pokémon GO Moves'!$A$1:$A951,0)&amp;":$R$"&amp;MATCH($E430,'0.1.1 Pokémon GO Moves'!$A$1:$A951,0)),'Reverse Search'!$E$21),COUNTIF(INDIRECT("'0.1.1 Pokémon GO Moves'!$B$"&amp;MATCH($E430,'0.1.1 Pokémon GO Moves'!$A$1:$A951,0)&amp;":$L$"&amp;MATCH($E430,'0.1.1 Pokémon GO Moves'!$A$1:$A951,0)),'Reverse Search'!$E$21)))))</f>
        <v>1</v>
      </c>
      <c r="AA430" s="0" t="n">
        <f aca="true">IF('Reverse Search'!$C$14="Disable",1,IF('Reverse Search'!$I$16="Disable",1,IF($D$2=3,IF($M430=0,0,COUNTIF(INDIRECT("'0.0.2 Pokémon Learnset (Core)'!$D$"&amp;MATCH($E430,'0.0.2 Pokémon Learnset (Core)'!$A$1:$A951,0)&amp;":$FK$"&amp;MATCH($E430,'0.0.2 Pokémon Learnset (Core)'!$A$1:$A951,0)),'Reverse Search'!$J$21)),IF($D$2=2,COUNTIF(INDIRECT("'0.1.1 Pokémon GO Moves'!$B$"&amp;MATCH($E430,'0.1.1 Pokémon GO Moves'!$A$1:$A951,0)&amp;":$R$"&amp;MATCH($E430,'0.1.1 Pokémon GO Moves'!$A$1:$A951,0)),'Reverse Search'!$J$21),COUNTIF(INDIRECT("'0.1.1 Pokémon GO Moves'!$B$"&amp;MATCH($E430,'0.1.1 Pokémon GO Moves'!$A$1:$A951,0)&amp;":$L$"&amp;MATCH($E430,'0.1.1 Pokémon GO Moves'!$A$1:$A951,0)),'Reverse Search'!$J$21)))))</f>
        <v>0</v>
      </c>
      <c r="AB430" s="490"/>
      <c r="AC430" s="260" t="n">
        <f aca="false">IF((Q430+R430+S430+V430+W430+X430+Y430+IF(Z430&gt;=1,1,0)+IF(AA430&gt;=1,1,0))=9,G430&amp;", ",)</f>
        <v>0</v>
      </c>
    </row>
    <row r="431" customFormat="false" ht="15.75" hidden="false" customHeight="false" outlineLevel="0" collapsed="false">
      <c r="A431" s="260"/>
      <c r="B431" s="358"/>
      <c r="C431" s="260"/>
      <c r="D431" s="358"/>
      <c r="E431" s="260" t="n">
        <v>430</v>
      </c>
      <c r="F431" s="260" t="n">
        <f aca="false" t="array" ref="F431:F431">INDEX('0.0.1 Pokémon Dex Data'!$H$3:$H951,MATCH(E431,'0.0.1 Pokémon Dex Data'!$B$3:$B951,0))</f>
        <v>0</v>
      </c>
      <c r="G431" s="0" t="str">
        <f aca="false" t="array" ref="G431:G431">INDEX('0.0.1 Pokémon Dex Data'!$E$3:$E951,MATCH(E431,'0.0.1 Pokémon Dex Data'!$B$3:$B951,0))</f>
        <v>Salamence</v>
      </c>
      <c r="H431" s="0" t="str">
        <f aca="false" t="array" ref="H431:H431">INDEX('0.0.1 Pokémon Dex Data'!$Q$3:$Q951,MATCH(E431,'0.0.1 Pokémon Dex Data'!$B$3:$B951,0))</f>
        <v>Dragon</v>
      </c>
      <c r="I431" s="0" t="str">
        <f aca="false" t="array" ref="I431:I431">INDEX('0.0.1 Pokémon Dex Data'!$R$3:$R951,MATCH(E431,'0.0.1 Pokémon Dex Data'!$B$3:$B951,0))</f>
        <v>Flying</v>
      </c>
      <c r="J431" s="260" t="n">
        <f aca="false" t="array" ref="J431:J431">ROUND(INDEX('0.0.1 Pokémon Dex Data'!$S$3:$S951,MATCH($E431,'0.0.1 Pokémon Dex Data'!$B$3:$B951,0))*INDEX('0.0.1 Pokémon Dex Data'!T$3:T951,MATCH($E431,'0.0.1 Pokémon Dex Data'!$B$3:$B951,0)),0)</f>
        <v>277</v>
      </c>
      <c r="K431" s="260" t="n">
        <f aca="false" t="array" ref="K431:K431">ROUND(INDEX('0.0.1 Pokémon Dex Data'!$S$3:$S951,MATCH($E431,'0.0.1 Pokémon Dex Data'!$B$3:$B951,0))*INDEX('0.0.1 Pokémon Dex Data'!U$3:U951,MATCH($E431,'0.0.1 Pokémon Dex Data'!$B$3:$B951,0)),0)</f>
        <v>168</v>
      </c>
      <c r="L431" s="260" t="n">
        <f aca="false" t="array" ref="L431:L431">ROUND(INDEX('0.0.1 Pokémon Dex Data'!$S$3:$S951,MATCH($E431,'0.0.1 Pokémon Dex Data'!$B$3:$B951,0))*INDEX('0.0.1 Pokémon Dex Data'!V$3:V951,MATCH($E431,'0.0.1 Pokémon Dex Data'!$B$3:$B951,0)),0)</f>
        <v>216</v>
      </c>
      <c r="M431" s="260" t="n">
        <f aca="false" t="array" ref="M431:M431">INDEX('0.0.1 Pokémon Dex Data'!$J$3:$J951,MATCH(E431,'0.0.1 Pokémon Dex Data'!$B$3:$B951,0))</f>
        <v>1</v>
      </c>
      <c r="O431" s="490"/>
      <c r="Q431" s="367" t="n">
        <f aca="false">IF('Reverse Search'!$F$4="All (including temporary formes)",1,IF('Reverse Search'!$F$4="Base Pokémon and permanent formes only",IF(F431&lt;=1,1,0),IF(F431=0,1,0)))</f>
        <v>1</v>
      </c>
      <c r="R431" s="0" t="n">
        <f aca="false">IF('Reverse Search'!$C$7="Disable",1,IF('Reverse Search'!$D$9="Disable",1,IF(OR('Reverse Search'!$F$9=H431,'Reverse Search'!$F$9=I431),1,0)))</f>
        <v>1</v>
      </c>
      <c r="S431" s="0" t="n">
        <f aca="false">IF('Reverse Search'!$C$7="Disable",1,IF('Reverse Search'!$D$10="Disable",1,IF(OR('Reverse Search'!$F$10=H431,'Reverse Search'!$F$10=I431),1,0)))</f>
        <v>1</v>
      </c>
      <c r="T431" s="0" t="n">
        <f aca="false">INDEX($B$4:$B$22,MATCH(H431,$A$4:$A$22,0))</f>
        <v>1</v>
      </c>
      <c r="U431" s="0" t="n">
        <f aca="false">IF(ISBLANK(I431),1,INDEX($B$4:$B$22,MATCH(I431,$A$4:$A$22,0)))</f>
        <v>1</v>
      </c>
      <c r="V431" s="367" t="n">
        <f aca="false">IF('Reverse Search'!$C$7="Disable",1,IF('Reverse Search'!$D$11="Disable",1,IF('Reverse Search'!$E$11="Neutral to:",IF(ROUND(T431*U431,2)&lt;=1,1,0),IF(ROUND(T431*U431,2)&lt;1,1,0))))</f>
        <v>1</v>
      </c>
      <c r="W431" s="0" t="n">
        <f aca="false">IF('Reverse Search'!$N$7="Disable",1,IF('Reverse Search'!$I$9="Disable",1,IF('Reverse Search'!$K$9="≥",IF(J431&gt;='Reverse Search'!$L$9,1,0),IF('Reverse Search'!$K$9="≤",IF(J431&lt;='Reverse Search'!$L$9,1,0),IF(J431='Reverse Search'!$L$9,1,0)))))</f>
        <v>1</v>
      </c>
      <c r="X431" s="0" t="n">
        <f aca="false">IF('Reverse Search'!$N$7="Disable",1,IF('Reverse Search'!$I$10="Disable",1,IF('Reverse Search'!$K$10="≥",IF(K431&gt;='Reverse Search'!$L$10,1,0),IF('Reverse Search'!$K$10="≤",IF(K431&lt;='Reverse Search'!$L$10,1,0),IF(K431='Reverse Search'!$L$10,1,0)))))</f>
        <v>1</v>
      </c>
      <c r="Y431" s="367" t="n">
        <f aca="false">IF('Reverse Search'!$N$7="Disable",1,IF('Reverse Search'!$I$11="Disable",1,IF('Reverse Search'!$K$11="≥",IF(L431&gt;='Reverse Search'!$L$11,1,0),IF('Reverse Search'!$K$11="≤",IF(L431&lt;='Reverse Search'!$L$11,1,0),IF(L431='Reverse Search'!$L$11,1,0)))))</f>
        <v>1</v>
      </c>
      <c r="Z431" s="0" t="n">
        <f aca="true">IF('Reverse Search'!$C$14="Disable",1,IF('Reverse Search'!$D$16="Disable",1,IF($C$2=3,IF($M431=0,0,COUNTIF(INDIRECT("'0.0.2 Pokémon Learnset (Core)'!$D$"&amp;MATCH($E431,'0.0.2 Pokémon Learnset (Core)'!$A$1:$A951,0)&amp;":$FK$"&amp;MATCH($E431,'0.0.2 Pokémon Learnset (Core)'!$A$1:$A951,0)),'Reverse Search'!$E$21)),IF($C$2=2,COUNTIF(INDIRECT("'0.1.1 Pokémon GO Moves'!$B$"&amp;MATCH($E431,'0.1.1 Pokémon GO Moves'!$A$1:$A951,0)&amp;":$R$"&amp;MATCH($E431,'0.1.1 Pokémon GO Moves'!$A$1:$A951,0)),'Reverse Search'!$E$21),COUNTIF(INDIRECT("'0.1.1 Pokémon GO Moves'!$B$"&amp;MATCH($E431,'0.1.1 Pokémon GO Moves'!$A$1:$A951,0)&amp;":$L$"&amp;MATCH($E431,'0.1.1 Pokémon GO Moves'!$A$1:$A951,0)),'Reverse Search'!$E$21)))))</f>
        <v>1</v>
      </c>
      <c r="AA431" s="0" t="n">
        <f aca="true">IF('Reverse Search'!$C$14="Disable",1,IF('Reverse Search'!$I$16="Disable",1,IF($D$2=3,IF($M431=0,0,COUNTIF(INDIRECT("'0.0.2 Pokémon Learnset (Core)'!$D$"&amp;MATCH($E431,'0.0.2 Pokémon Learnset (Core)'!$A$1:$A951,0)&amp;":$FK$"&amp;MATCH($E431,'0.0.2 Pokémon Learnset (Core)'!$A$1:$A951,0)),'Reverse Search'!$J$21)),IF($D$2=2,COUNTIF(INDIRECT("'0.1.1 Pokémon GO Moves'!$B$"&amp;MATCH($E431,'0.1.1 Pokémon GO Moves'!$A$1:$A951,0)&amp;":$R$"&amp;MATCH($E431,'0.1.1 Pokémon GO Moves'!$A$1:$A951,0)),'Reverse Search'!$J$21),COUNTIF(INDIRECT("'0.1.1 Pokémon GO Moves'!$B$"&amp;MATCH($E431,'0.1.1 Pokémon GO Moves'!$A$1:$A951,0)&amp;":$L$"&amp;MATCH($E431,'0.1.1 Pokémon GO Moves'!$A$1:$A951,0)),'Reverse Search'!$J$21)))))</f>
        <v>0</v>
      </c>
      <c r="AB431" s="490"/>
      <c r="AC431" s="260" t="n">
        <f aca="false">IF((Q431+R431+S431+V431+W431+X431+Y431+IF(Z431&gt;=1,1,0)+IF(AA431&gt;=1,1,0))=9,G431&amp;", ",)</f>
        <v>0</v>
      </c>
    </row>
    <row r="432" customFormat="false" ht="15.75" hidden="false" customHeight="false" outlineLevel="0" collapsed="false">
      <c r="A432" s="260"/>
      <c r="B432" s="358"/>
      <c r="C432" s="260"/>
      <c r="D432" s="358"/>
      <c r="E432" s="260" t="n">
        <v>431</v>
      </c>
      <c r="F432" s="260" t="n">
        <f aca="false" t="array" ref="F432:F432">INDEX('0.0.1 Pokémon Dex Data'!$H$3:$H951,MATCH(E432,'0.0.1 Pokémon Dex Data'!$B$3:$B951,0))</f>
        <v>2</v>
      </c>
      <c r="G432" s="0" t="str">
        <f aca="false" t="array" ref="G432:G432">INDEX('0.0.1 Pokémon Dex Data'!$E$3:$E951,MATCH(E432,'0.0.1 Pokémon Dex Data'!$B$3:$B951,0))</f>
        <v>Salamence-Mega</v>
      </c>
      <c r="H432" s="0" t="str">
        <f aca="false" t="array" ref="H432:H432">INDEX('0.0.1 Pokémon Dex Data'!$Q$3:$Q951,MATCH(E432,'0.0.1 Pokémon Dex Data'!$B$3:$B951,0))</f>
        <v>Dragon</v>
      </c>
      <c r="I432" s="0" t="str">
        <f aca="false" t="array" ref="I432:I432">INDEX('0.0.1 Pokémon Dex Data'!$R$3:$R951,MATCH(E432,'0.0.1 Pokémon Dex Data'!$B$3:$B951,0))</f>
        <v>Flying</v>
      </c>
      <c r="J432" s="260" t="n">
        <f aca="false" t="array" ref="J432:J432">ROUND(INDEX('0.0.1 Pokémon Dex Data'!$S$3:$S951,MATCH($E432,'0.0.1 Pokémon Dex Data'!$B$3:$B951,0))*INDEX('0.0.1 Pokémon Dex Data'!T$3:T951,MATCH($E432,'0.0.1 Pokémon Dex Data'!$B$3:$B951,0)),0)</f>
        <v>310</v>
      </c>
      <c r="K432" s="260" t="n">
        <f aca="false" t="array" ref="K432:K432">ROUND(INDEX('0.0.1 Pokémon Dex Data'!$S$3:$S951,MATCH($E432,'0.0.1 Pokémon Dex Data'!$B$3:$B951,0))*INDEX('0.0.1 Pokémon Dex Data'!U$3:U951,MATCH($E432,'0.0.1 Pokémon Dex Data'!$B$3:$B951,0)),0)</f>
        <v>251</v>
      </c>
      <c r="L432" s="260" t="n">
        <f aca="false" t="array" ref="L432:L432">ROUND(INDEX('0.0.1 Pokémon Dex Data'!$S$3:$S951,MATCH($E432,'0.0.1 Pokémon Dex Data'!$B$3:$B951,0))*INDEX('0.0.1 Pokémon Dex Data'!V$3:V951,MATCH($E432,'0.0.1 Pokémon Dex Data'!$B$3:$B951,0)),0)</f>
        <v>216</v>
      </c>
      <c r="M432" s="260" t="n">
        <f aca="false" t="array" ref="M432:M432">INDEX('0.0.1 Pokémon Dex Data'!$J$3:$J951,MATCH(E432,'0.0.1 Pokémon Dex Data'!$B$3:$B951,0))</f>
        <v>1</v>
      </c>
      <c r="O432" s="490"/>
      <c r="Q432" s="367" t="n">
        <f aca="false">IF('Reverse Search'!$F$4="All (including temporary formes)",1,IF('Reverse Search'!$F$4="Base Pokémon and permanent formes only",IF(F432&lt;=1,1,0),IF(F432=0,1,0)))</f>
        <v>0</v>
      </c>
      <c r="R432" s="0" t="n">
        <f aca="false">IF('Reverse Search'!$C$7="Disable",1,IF('Reverse Search'!$D$9="Disable",1,IF(OR('Reverse Search'!$F$9=H432,'Reverse Search'!$F$9=I432),1,0)))</f>
        <v>1</v>
      </c>
      <c r="S432" s="0" t="n">
        <f aca="false">IF('Reverse Search'!$C$7="Disable",1,IF('Reverse Search'!$D$10="Disable",1,IF(OR('Reverse Search'!$F$10=H432,'Reverse Search'!$F$10=I432),1,0)))</f>
        <v>1</v>
      </c>
      <c r="T432" s="0" t="n">
        <f aca="false">INDEX($B$4:$B$22,MATCH(H432,$A$4:$A$22,0))</f>
        <v>1</v>
      </c>
      <c r="U432" s="0" t="n">
        <f aca="false">IF(ISBLANK(I432),1,INDEX($B$4:$B$22,MATCH(I432,$A$4:$A$22,0)))</f>
        <v>1</v>
      </c>
      <c r="V432" s="367" t="n">
        <f aca="false">IF('Reverse Search'!$C$7="Disable",1,IF('Reverse Search'!$D$11="Disable",1,IF('Reverse Search'!$E$11="Neutral to:",IF(ROUND(T432*U432,2)&lt;=1,1,0),IF(ROUND(T432*U432,2)&lt;1,1,0))))</f>
        <v>1</v>
      </c>
      <c r="W432" s="0" t="n">
        <f aca="false">IF('Reverse Search'!$N$7="Disable",1,IF('Reverse Search'!$I$9="Disable",1,IF('Reverse Search'!$K$9="≥",IF(J432&gt;='Reverse Search'!$L$9,1,0),IF('Reverse Search'!$K$9="≤",IF(J432&lt;='Reverse Search'!$L$9,1,0),IF(J432='Reverse Search'!$L$9,1,0)))))</f>
        <v>1</v>
      </c>
      <c r="X432" s="0" t="n">
        <f aca="false">IF('Reverse Search'!$N$7="Disable",1,IF('Reverse Search'!$I$10="Disable",1,IF('Reverse Search'!$K$10="≥",IF(K432&gt;='Reverse Search'!$L$10,1,0),IF('Reverse Search'!$K$10="≤",IF(K432&lt;='Reverse Search'!$L$10,1,0),IF(K432='Reverse Search'!$L$10,1,0)))))</f>
        <v>1</v>
      </c>
      <c r="Y432" s="367" t="n">
        <f aca="false">IF('Reverse Search'!$N$7="Disable",1,IF('Reverse Search'!$I$11="Disable",1,IF('Reverse Search'!$K$11="≥",IF(L432&gt;='Reverse Search'!$L$11,1,0),IF('Reverse Search'!$K$11="≤",IF(L432&lt;='Reverse Search'!$L$11,1,0),IF(L432='Reverse Search'!$L$11,1,0)))))</f>
        <v>1</v>
      </c>
      <c r="Z432" s="0" t="n">
        <f aca="true">IF('Reverse Search'!$C$14="Disable",1,IF('Reverse Search'!$D$16="Disable",1,IF($C$2=3,IF($M432=0,0,COUNTIF(INDIRECT("'0.0.2 Pokémon Learnset (Core)'!$D$"&amp;MATCH($E432,'0.0.2 Pokémon Learnset (Core)'!$A$1:$A951,0)&amp;":$FK$"&amp;MATCH($E432,'0.0.2 Pokémon Learnset (Core)'!$A$1:$A951,0)),'Reverse Search'!$E$21)),IF($C$2=2,COUNTIF(INDIRECT("'0.1.1 Pokémon GO Moves'!$B$"&amp;MATCH($E432,'0.1.1 Pokémon GO Moves'!$A$1:$A951,0)&amp;":$R$"&amp;MATCH($E432,'0.1.1 Pokémon GO Moves'!$A$1:$A951,0)),'Reverse Search'!$E$21),COUNTIF(INDIRECT("'0.1.1 Pokémon GO Moves'!$B$"&amp;MATCH($E432,'0.1.1 Pokémon GO Moves'!$A$1:$A951,0)&amp;":$L$"&amp;MATCH($E432,'0.1.1 Pokémon GO Moves'!$A$1:$A951,0)),'Reverse Search'!$E$21)))))</f>
        <v>1</v>
      </c>
      <c r="AA432" s="0" t="e">
        <f aca="true">IF('Reverse Search'!$C$14="Disable",1,IF('Reverse Search'!$I$16="Disable",1,IF($D$2=3,IF($M432=0,0,COUNTIF(INDIRECT("'0.0.2 Pokémon Learnset (Core)'!$D$"&amp;MATCH($E432,'0.0.2 Pokémon Learnset (Core)'!$A$1:$A951,0)&amp;":$FK$"&amp;MATCH($E432,'0.0.2 Pokémon Learnset (Core)'!$A$1:$A951,0)),'Reverse Search'!$J$21)),IF($D$2=2,COUNTIF(INDIRECT("'0.1.1 Pokémon GO Moves'!$B$"&amp;MATCH($E432,'0.1.1 Pokémon GO Moves'!$A$1:$A951,0)&amp;":$R$"&amp;MATCH($E432,'0.1.1 Pokémon GO Moves'!$A$1:$A951,0)),'Reverse Search'!$J$21),COUNTIF(INDIRECT("'0.1.1 Pokémon GO Moves'!$B$"&amp;MATCH($E432,'0.1.1 Pokémon GO Moves'!$A$1:$A951,0)&amp;":$L$"&amp;MATCH($E432,'0.1.1 Pokémon GO Moves'!$A$1:$A951,0)),'Reverse Search'!$J$21)))))</f>
        <v>#N/A</v>
      </c>
      <c r="AB432" s="490"/>
      <c r="AC432" s="260" t="e">
        <f aca="false">IF((Q432+R432+S432+V432+W432+X432+Y432+IF(Z432&gt;=1,1,0)+IF(AA432&gt;=1,1,0))=9,G432&amp;", ",)</f>
        <v>#N/A</v>
      </c>
    </row>
    <row r="433" customFormat="false" ht="15.75" hidden="false" customHeight="false" outlineLevel="0" collapsed="false">
      <c r="A433" s="260"/>
      <c r="B433" s="358"/>
      <c r="C433" s="260"/>
      <c r="D433" s="358"/>
      <c r="E433" s="260" t="n">
        <v>432</v>
      </c>
      <c r="F433" s="260" t="n">
        <f aca="false" t="array" ref="F433:F433">INDEX('0.0.1 Pokémon Dex Data'!$H$3:$H951,MATCH(E433,'0.0.1 Pokémon Dex Data'!$B$3:$B951,0))</f>
        <v>0</v>
      </c>
      <c r="G433" s="0" t="str">
        <f aca="false" t="array" ref="G433:G433">INDEX('0.0.1 Pokémon Dex Data'!$E$3:$E951,MATCH(E433,'0.0.1 Pokémon Dex Data'!$B$3:$B951,0))</f>
        <v>Beldum</v>
      </c>
      <c r="H433" s="0" t="str">
        <f aca="false" t="array" ref="H433:H433">INDEX('0.0.1 Pokémon Dex Data'!$Q$3:$Q951,MATCH(E433,'0.0.1 Pokémon Dex Data'!$B$3:$B951,0))</f>
        <v>Steel</v>
      </c>
      <c r="I433" s="0" t="str">
        <f aca="false" t="array" ref="I433:I433">INDEX('0.0.1 Pokémon Dex Data'!$R$3:$R951,MATCH(E433,'0.0.1 Pokémon Dex Data'!$B$3:$B951,0))</f>
        <v>Psychic</v>
      </c>
      <c r="J433" s="260" t="n">
        <f aca="false" t="array" ref="J433:J433">ROUND(INDEX('0.0.1 Pokémon Dex Data'!$S$3:$S951,MATCH($E433,'0.0.1 Pokémon Dex Data'!$B$3:$B951,0))*INDEX('0.0.1 Pokémon Dex Data'!T$3:T951,MATCH($E433,'0.0.1 Pokémon Dex Data'!$B$3:$B951,0)),0)</f>
        <v>96</v>
      </c>
      <c r="K433" s="260" t="n">
        <f aca="false" t="array" ref="K433:K433">ROUND(INDEX('0.0.1 Pokémon Dex Data'!$S$3:$S951,MATCH($E433,'0.0.1 Pokémon Dex Data'!$B$3:$B951,0))*INDEX('0.0.1 Pokémon Dex Data'!U$3:U951,MATCH($E433,'0.0.1 Pokémon Dex Data'!$B$3:$B951,0)),0)</f>
        <v>132</v>
      </c>
      <c r="L433" s="260" t="n">
        <f aca="false" t="array" ref="L433:L433">ROUND(INDEX('0.0.1 Pokémon Dex Data'!$S$3:$S951,MATCH($E433,'0.0.1 Pokémon Dex Data'!$B$3:$B951,0))*INDEX('0.0.1 Pokémon Dex Data'!V$3:V951,MATCH($E433,'0.0.1 Pokémon Dex Data'!$B$3:$B951,0)),0)</f>
        <v>120</v>
      </c>
      <c r="M433" s="260" t="n">
        <f aca="false" t="array" ref="M433:M433">INDEX('0.0.1 Pokémon Dex Data'!$J$3:$J951,MATCH(E433,'0.0.1 Pokémon Dex Data'!$B$3:$B951,0))</f>
        <v>0</v>
      </c>
      <c r="O433" s="490"/>
      <c r="Q433" s="367" t="n">
        <f aca="false">IF('Reverse Search'!$F$4="All (including temporary formes)",1,IF('Reverse Search'!$F$4="Base Pokémon and permanent formes only",IF(F433&lt;=1,1,0),IF(F433=0,1,0)))</f>
        <v>1</v>
      </c>
      <c r="R433" s="0" t="n">
        <f aca="false">IF('Reverse Search'!$C$7="Disable",1,IF('Reverse Search'!$D$9="Disable",1,IF(OR('Reverse Search'!$F$9=H433,'Reverse Search'!$F$9=I433),1,0)))</f>
        <v>1</v>
      </c>
      <c r="S433" s="0" t="n">
        <f aca="false">IF('Reverse Search'!$C$7="Disable",1,IF('Reverse Search'!$D$10="Disable",1,IF(OR('Reverse Search'!$F$10=H433,'Reverse Search'!$F$10=I433),1,0)))</f>
        <v>1</v>
      </c>
      <c r="T433" s="0" t="n">
        <f aca="false">INDEX($B$4:$B$22,MATCH(H433,$A$4:$A$22,0))</f>
        <v>0.714</v>
      </c>
      <c r="U433" s="0" t="n">
        <f aca="false">IF(ISBLANK(I433),1,INDEX($B$4:$B$22,MATCH(I433,$A$4:$A$22,0)))</f>
        <v>1</v>
      </c>
      <c r="V433" s="367" t="n">
        <f aca="false">IF('Reverse Search'!$C$7="Disable",1,IF('Reverse Search'!$D$11="Disable",1,IF('Reverse Search'!$E$11="Neutral to:",IF(ROUND(T433*U433,2)&lt;=1,1,0),IF(ROUND(T433*U433,2)&lt;1,1,0))))</f>
        <v>1</v>
      </c>
      <c r="W433" s="0" t="n">
        <f aca="false">IF('Reverse Search'!$N$7="Disable",1,IF('Reverse Search'!$I$9="Disable",1,IF('Reverse Search'!$K$9="≥",IF(J433&gt;='Reverse Search'!$L$9,1,0),IF('Reverse Search'!$K$9="≤",IF(J433&lt;='Reverse Search'!$L$9,1,0),IF(J433='Reverse Search'!$L$9,1,0)))))</f>
        <v>1</v>
      </c>
      <c r="X433" s="0" t="n">
        <f aca="false">IF('Reverse Search'!$N$7="Disable",1,IF('Reverse Search'!$I$10="Disable",1,IF('Reverse Search'!$K$10="≥",IF(K433&gt;='Reverse Search'!$L$10,1,0),IF('Reverse Search'!$K$10="≤",IF(K433&lt;='Reverse Search'!$L$10,1,0),IF(K433='Reverse Search'!$L$10,1,0)))))</f>
        <v>1</v>
      </c>
      <c r="Y433" s="367" t="n">
        <f aca="false">IF('Reverse Search'!$N$7="Disable",1,IF('Reverse Search'!$I$11="Disable",1,IF('Reverse Search'!$K$11="≥",IF(L433&gt;='Reverse Search'!$L$11,1,0),IF('Reverse Search'!$K$11="≤",IF(L433&lt;='Reverse Search'!$L$11,1,0),IF(L433='Reverse Search'!$L$11,1,0)))))</f>
        <v>1</v>
      </c>
      <c r="Z433" s="0" t="n">
        <f aca="true">IF('Reverse Search'!$C$14="Disable",1,IF('Reverse Search'!$D$16="Disable",1,IF($C$2=3,IF($M433=0,0,COUNTIF(INDIRECT("'0.0.2 Pokémon Learnset (Core)'!$D$"&amp;MATCH($E433,'0.0.2 Pokémon Learnset (Core)'!$A$1:$A951,0)&amp;":$FK$"&amp;MATCH($E433,'0.0.2 Pokémon Learnset (Core)'!$A$1:$A951,0)),'Reverse Search'!$E$21)),IF($C$2=2,COUNTIF(INDIRECT("'0.1.1 Pokémon GO Moves'!$B$"&amp;MATCH($E433,'0.1.1 Pokémon GO Moves'!$A$1:$A951,0)&amp;":$R$"&amp;MATCH($E433,'0.1.1 Pokémon GO Moves'!$A$1:$A951,0)),'Reverse Search'!$E$21),COUNTIF(INDIRECT("'0.1.1 Pokémon GO Moves'!$B$"&amp;MATCH($E433,'0.1.1 Pokémon GO Moves'!$A$1:$A951,0)&amp;":$L$"&amp;MATCH($E433,'0.1.1 Pokémon GO Moves'!$A$1:$A951,0)),'Reverse Search'!$E$21)))))</f>
        <v>1</v>
      </c>
      <c r="AA433" s="0" t="n">
        <f aca="true">IF('Reverse Search'!$C$14="Disable",1,IF('Reverse Search'!$I$16="Disable",1,IF($D$2=3,IF($M433=0,0,COUNTIF(INDIRECT("'0.0.2 Pokémon Learnset (Core)'!$D$"&amp;MATCH($E433,'0.0.2 Pokémon Learnset (Core)'!$A$1:$A951,0)&amp;":$FK$"&amp;MATCH($E433,'0.0.2 Pokémon Learnset (Core)'!$A$1:$A951,0)),'Reverse Search'!$J$21)),IF($D$2=2,COUNTIF(INDIRECT("'0.1.1 Pokémon GO Moves'!$B$"&amp;MATCH($E433,'0.1.1 Pokémon GO Moves'!$A$1:$A951,0)&amp;":$R$"&amp;MATCH($E433,'0.1.1 Pokémon GO Moves'!$A$1:$A951,0)),'Reverse Search'!$J$21),COUNTIF(INDIRECT("'0.1.1 Pokémon GO Moves'!$B$"&amp;MATCH($E433,'0.1.1 Pokémon GO Moves'!$A$1:$A951,0)&amp;":$L$"&amp;MATCH($E433,'0.1.1 Pokémon GO Moves'!$A$1:$A951,0)),'Reverse Search'!$J$21)))))</f>
        <v>0</v>
      </c>
      <c r="AB433" s="490"/>
      <c r="AC433" s="260" t="n">
        <f aca="false">IF((Q433+R433+S433+V433+W433+X433+Y433+IF(Z433&gt;=1,1,0)+IF(AA433&gt;=1,1,0))=9,G433&amp;", ",)</f>
        <v>0</v>
      </c>
    </row>
    <row r="434" customFormat="false" ht="15.75" hidden="false" customHeight="false" outlineLevel="0" collapsed="false">
      <c r="A434" s="260"/>
      <c r="B434" s="358"/>
      <c r="C434" s="260"/>
      <c r="D434" s="358"/>
      <c r="E434" s="260" t="n">
        <v>433</v>
      </c>
      <c r="F434" s="260" t="n">
        <f aca="false" t="array" ref="F434:F434">INDEX('0.0.1 Pokémon Dex Data'!$H$3:$H951,MATCH(E434,'0.0.1 Pokémon Dex Data'!$B$3:$B951,0))</f>
        <v>0</v>
      </c>
      <c r="G434" s="0" t="str">
        <f aca="false" t="array" ref="G434:G434">INDEX('0.0.1 Pokémon Dex Data'!$E$3:$E951,MATCH(E434,'0.0.1 Pokémon Dex Data'!$B$3:$B951,0))</f>
        <v>Metang</v>
      </c>
      <c r="H434" s="0" t="str">
        <f aca="false" t="array" ref="H434:H434">INDEX('0.0.1 Pokémon Dex Data'!$Q$3:$Q951,MATCH(E434,'0.0.1 Pokémon Dex Data'!$B$3:$B951,0))</f>
        <v>Steel</v>
      </c>
      <c r="I434" s="0" t="str">
        <f aca="false" t="array" ref="I434:I434">INDEX('0.0.1 Pokémon Dex Data'!$R$3:$R951,MATCH(E434,'0.0.1 Pokémon Dex Data'!$B$3:$B951,0))</f>
        <v>Psychic</v>
      </c>
      <c r="J434" s="260" t="n">
        <f aca="false" t="array" ref="J434:J434">ROUND(INDEX('0.0.1 Pokémon Dex Data'!$S$3:$S951,MATCH($E434,'0.0.1 Pokémon Dex Data'!$B$3:$B951,0))*INDEX('0.0.1 Pokémon Dex Data'!T$3:T951,MATCH($E434,'0.0.1 Pokémon Dex Data'!$B$3:$B951,0)),0)</f>
        <v>138</v>
      </c>
      <c r="K434" s="260" t="n">
        <f aca="false" t="array" ref="K434:K434">ROUND(INDEX('0.0.1 Pokémon Dex Data'!$S$3:$S951,MATCH($E434,'0.0.1 Pokémon Dex Data'!$B$3:$B951,0))*INDEX('0.0.1 Pokémon Dex Data'!U$3:U951,MATCH($E434,'0.0.1 Pokémon Dex Data'!$B$3:$B951,0)),0)</f>
        <v>176</v>
      </c>
      <c r="L434" s="260" t="n">
        <f aca="false" t="array" ref="L434:L434">ROUND(INDEX('0.0.1 Pokémon Dex Data'!$S$3:$S951,MATCH($E434,'0.0.1 Pokémon Dex Data'!$B$3:$B951,0))*INDEX('0.0.1 Pokémon Dex Data'!V$3:V951,MATCH($E434,'0.0.1 Pokémon Dex Data'!$B$3:$B951,0)),0)</f>
        <v>155</v>
      </c>
      <c r="M434" s="260" t="n">
        <f aca="false" t="array" ref="M434:M434">INDEX('0.0.1 Pokémon Dex Data'!$J$3:$J951,MATCH(E434,'0.0.1 Pokémon Dex Data'!$B$3:$B951,0))</f>
        <v>0</v>
      </c>
      <c r="O434" s="490"/>
      <c r="Q434" s="367" t="n">
        <f aca="false">IF('Reverse Search'!$F$4="All (including temporary formes)",1,IF('Reverse Search'!$F$4="Base Pokémon and permanent formes only",IF(F434&lt;=1,1,0),IF(F434=0,1,0)))</f>
        <v>1</v>
      </c>
      <c r="R434" s="0" t="n">
        <f aca="false">IF('Reverse Search'!$C$7="Disable",1,IF('Reverse Search'!$D$9="Disable",1,IF(OR('Reverse Search'!$F$9=H434,'Reverse Search'!$F$9=I434),1,0)))</f>
        <v>1</v>
      </c>
      <c r="S434" s="0" t="n">
        <f aca="false">IF('Reverse Search'!$C$7="Disable",1,IF('Reverse Search'!$D$10="Disable",1,IF(OR('Reverse Search'!$F$10=H434,'Reverse Search'!$F$10=I434),1,0)))</f>
        <v>1</v>
      </c>
      <c r="T434" s="0" t="n">
        <f aca="false">INDEX($B$4:$B$22,MATCH(H434,$A$4:$A$22,0))</f>
        <v>0.714</v>
      </c>
      <c r="U434" s="0" t="n">
        <f aca="false">IF(ISBLANK(I434),1,INDEX($B$4:$B$22,MATCH(I434,$A$4:$A$22,0)))</f>
        <v>1</v>
      </c>
      <c r="V434" s="367" t="n">
        <f aca="false">IF('Reverse Search'!$C$7="Disable",1,IF('Reverse Search'!$D$11="Disable",1,IF('Reverse Search'!$E$11="Neutral to:",IF(ROUND(T434*U434,2)&lt;=1,1,0),IF(ROUND(T434*U434,2)&lt;1,1,0))))</f>
        <v>1</v>
      </c>
      <c r="W434" s="0" t="n">
        <f aca="false">IF('Reverse Search'!$N$7="Disable",1,IF('Reverse Search'!$I$9="Disable",1,IF('Reverse Search'!$K$9="≥",IF(J434&gt;='Reverse Search'!$L$9,1,0),IF('Reverse Search'!$K$9="≤",IF(J434&lt;='Reverse Search'!$L$9,1,0),IF(J434='Reverse Search'!$L$9,1,0)))))</f>
        <v>1</v>
      </c>
      <c r="X434" s="0" t="n">
        <f aca="false">IF('Reverse Search'!$N$7="Disable",1,IF('Reverse Search'!$I$10="Disable",1,IF('Reverse Search'!$K$10="≥",IF(K434&gt;='Reverse Search'!$L$10,1,0),IF('Reverse Search'!$K$10="≤",IF(K434&lt;='Reverse Search'!$L$10,1,0),IF(K434='Reverse Search'!$L$10,1,0)))))</f>
        <v>1</v>
      </c>
      <c r="Y434" s="367" t="n">
        <f aca="false">IF('Reverse Search'!$N$7="Disable",1,IF('Reverse Search'!$I$11="Disable",1,IF('Reverse Search'!$K$11="≥",IF(L434&gt;='Reverse Search'!$L$11,1,0),IF('Reverse Search'!$K$11="≤",IF(L434&lt;='Reverse Search'!$L$11,1,0),IF(L434='Reverse Search'!$L$11,1,0)))))</f>
        <v>1</v>
      </c>
      <c r="Z434" s="0" t="n">
        <f aca="true">IF('Reverse Search'!$C$14="Disable",1,IF('Reverse Search'!$D$16="Disable",1,IF($C$2=3,IF($M434=0,0,COUNTIF(INDIRECT("'0.0.2 Pokémon Learnset (Core)'!$D$"&amp;MATCH($E434,'0.0.2 Pokémon Learnset (Core)'!$A$1:$A951,0)&amp;":$FK$"&amp;MATCH($E434,'0.0.2 Pokémon Learnset (Core)'!$A$1:$A951,0)),'Reverse Search'!$E$21)),IF($C$2=2,COUNTIF(INDIRECT("'0.1.1 Pokémon GO Moves'!$B$"&amp;MATCH($E434,'0.1.1 Pokémon GO Moves'!$A$1:$A951,0)&amp;":$R$"&amp;MATCH($E434,'0.1.1 Pokémon GO Moves'!$A$1:$A951,0)),'Reverse Search'!$E$21),COUNTIF(INDIRECT("'0.1.1 Pokémon GO Moves'!$B$"&amp;MATCH($E434,'0.1.1 Pokémon GO Moves'!$A$1:$A951,0)&amp;":$L$"&amp;MATCH($E434,'0.1.1 Pokémon GO Moves'!$A$1:$A951,0)),'Reverse Search'!$E$21)))))</f>
        <v>1</v>
      </c>
      <c r="AA434" s="0" t="n">
        <f aca="true">IF('Reverse Search'!$C$14="Disable",1,IF('Reverse Search'!$I$16="Disable",1,IF($D$2=3,IF($M434=0,0,COUNTIF(INDIRECT("'0.0.2 Pokémon Learnset (Core)'!$D$"&amp;MATCH($E434,'0.0.2 Pokémon Learnset (Core)'!$A$1:$A951,0)&amp;":$FK$"&amp;MATCH($E434,'0.0.2 Pokémon Learnset (Core)'!$A$1:$A951,0)),'Reverse Search'!$J$21)),IF($D$2=2,COUNTIF(INDIRECT("'0.1.1 Pokémon GO Moves'!$B$"&amp;MATCH($E434,'0.1.1 Pokémon GO Moves'!$A$1:$A951,0)&amp;":$R$"&amp;MATCH($E434,'0.1.1 Pokémon GO Moves'!$A$1:$A951,0)),'Reverse Search'!$J$21),COUNTIF(INDIRECT("'0.1.1 Pokémon GO Moves'!$B$"&amp;MATCH($E434,'0.1.1 Pokémon GO Moves'!$A$1:$A951,0)&amp;":$L$"&amp;MATCH($E434,'0.1.1 Pokémon GO Moves'!$A$1:$A951,0)),'Reverse Search'!$J$21)))))</f>
        <v>0</v>
      </c>
      <c r="AB434" s="490"/>
      <c r="AC434" s="260" t="n">
        <f aca="false">IF((Q434+R434+S434+V434+W434+X434+Y434+IF(Z434&gt;=1,1,0)+IF(AA434&gt;=1,1,0))=9,G434&amp;", ",)</f>
        <v>0</v>
      </c>
    </row>
    <row r="435" customFormat="false" ht="15.75" hidden="false" customHeight="false" outlineLevel="0" collapsed="false">
      <c r="A435" s="260"/>
      <c r="B435" s="358"/>
      <c r="C435" s="260"/>
      <c r="D435" s="358"/>
      <c r="E435" s="260" t="n">
        <v>434</v>
      </c>
      <c r="F435" s="260" t="n">
        <f aca="false" t="array" ref="F435:F435">INDEX('0.0.1 Pokémon Dex Data'!$H$3:$H951,MATCH(E435,'0.0.1 Pokémon Dex Data'!$B$3:$B951,0))</f>
        <v>0</v>
      </c>
      <c r="G435" s="0" t="str">
        <f aca="false" t="array" ref="G435:G435">INDEX('0.0.1 Pokémon Dex Data'!$E$3:$E951,MATCH(E435,'0.0.1 Pokémon Dex Data'!$B$3:$B951,0))</f>
        <v>Metagross</v>
      </c>
      <c r="H435" s="0" t="str">
        <f aca="false" t="array" ref="H435:H435">INDEX('0.0.1 Pokémon Dex Data'!$Q$3:$Q951,MATCH(E435,'0.0.1 Pokémon Dex Data'!$B$3:$B951,0))</f>
        <v>Steel</v>
      </c>
      <c r="I435" s="0" t="str">
        <f aca="false" t="array" ref="I435:I435">INDEX('0.0.1 Pokémon Dex Data'!$R$3:$R951,MATCH(E435,'0.0.1 Pokémon Dex Data'!$B$3:$B951,0))</f>
        <v>Psychic</v>
      </c>
      <c r="J435" s="260" t="n">
        <f aca="false" t="array" ref="J435:J435">ROUND(INDEX('0.0.1 Pokémon Dex Data'!$S$3:$S951,MATCH($E435,'0.0.1 Pokémon Dex Data'!$B$3:$B951,0))*INDEX('0.0.1 Pokémon Dex Data'!T$3:T951,MATCH($E435,'0.0.1 Pokémon Dex Data'!$B$3:$B951,0)),0)</f>
        <v>257</v>
      </c>
      <c r="K435" s="260" t="n">
        <f aca="false" t="array" ref="K435:K435">ROUND(INDEX('0.0.1 Pokémon Dex Data'!$S$3:$S951,MATCH($E435,'0.0.1 Pokémon Dex Data'!$B$3:$B951,0))*INDEX('0.0.1 Pokémon Dex Data'!U$3:U951,MATCH($E435,'0.0.1 Pokémon Dex Data'!$B$3:$B951,0)),0)</f>
        <v>228</v>
      </c>
      <c r="L435" s="260" t="n">
        <f aca="false" t="array" ref="L435:L435">ROUND(INDEX('0.0.1 Pokémon Dex Data'!$S$3:$S951,MATCH($E435,'0.0.1 Pokémon Dex Data'!$B$3:$B951,0))*INDEX('0.0.1 Pokémon Dex Data'!V$3:V951,MATCH($E435,'0.0.1 Pokémon Dex Data'!$B$3:$B951,0)),0)</f>
        <v>190</v>
      </c>
      <c r="M435" s="260" t="n">
        <f aca="false" t="array" ref="M435:M435">INDEX('0.0.1 Pokémon Dex Data'!$J$3:$J951,MATCH(E435,'0.0.1 Pokémon Dex Data'!$B$3:$B951,0))</f>
        <v>1</v>
      </c>
      <c r="O435" s="490"/>
      <c r="Q435" s="367" t="n">
        <f aca="false">IF('Reverse Search'!$F$4="All (including temporary formes)",1,IF('Reverse Search'!$F$4="Base Pokémon and permanent formes only",IF(F435&lt;=1,1,0),IF(F435=0,1,0)))</f>
        <v>1</v>
      </c>
      <c r="R435" s="0" t="n">
        <f aca="false">IF('Reverse Search'!$C$7="Disable",1,IF('Reverse Search'!$D$9="Disable",1,IF(OR('Reverse Search'!$F$9=H435,'Reverse Search'!$F$9=I435),1,0)))</f>
        <v>1</v>
      </c>
      <c r="S435" s="0" t="n">
        <f aca="false">IF('Reverse Search'!$C$7="Disable",1,IF('Reverse Search'!$D$10="Disable",1,IF(OR('Reverse Search'!$F$10=H435,'Reverse Search'!$F$10=I435),1,0)))</f>
        <v>1</v>
      </c>
      <c r="T435" s="0" t="n">
        <f aca="false">INDEX($B$4:$B$22,MATCH(H435,$A$4:$A$22,0))</f>
        <v>0.714</v>
      </c>
      <c r="U435" s="0" t="n">
        <f aca="false">IF(ISBLANK(I435),1,INDEX($B$4:$B$22,MATCH(I435,$A$4:$A$22,0)))</f>
        <v>1</v>
      </c>
      <c r="V435" s="367" t="n">
        <f aca="false">IF('Reverse Search'!$C$7="Disable",1,IF('Reverse Search'!$D$11="Disable",1,IF('Reverse Search'!$E$11="Neutral to:",IF(ROUND(T435*U435,2)&lt;=1,1,0),IF(ROUND(T435*U435,2)&lt;1,1,0))))</f>
        <v>1</v>
      </c>
      <c r="W435" s="0" t="n">
        <f aca="false">IF('Reverse Search'!$N$7="Disable",1,IF('Reverse Search'!$I$9="Disable",1,IF('Reverse Search'!$K$9="≥",IF(J435&gt;='Reverse Search'!$L$9,1,0),IF('Reverse Search'!$K$9="≤",IF(J435&lt;='Reverse Search'!$L$9,1,0),IF(J435='Reverse Search'!$L$9,1,0)))))</f>
        <v>1</v>
      </c>
      <c r="X435" s="0" t="n">
        <f aca="false">IF('Reverse Search'!$N$7="Disable",1,IF('Reverse Search'!$I$10="Disable",1,IF('Reverse Search'!$K$10="≥",IF(K435&gt;='Reverse Search'!$L$10,1,0),IF('Reverse Search'!$K$10="≤",IF(K435&lt;='Reverse Search'!$L$10,1,0),IF(K435='Reverse Search'!$L$10,1,0)))))</f>
        <v>1</v>
      </c>
      <c r="Y435" s="367" t="n">
        <f aca="false">IF('Reverse Search'!$N$7="Disable",1,IF('Reverse Search'!$I$11="Disable",1,IF('Reverse Search'!$K$11="≥",IF(L435&gt;='Reverse Search'!$L$11,1,0),IF('Reverse Search'!$K$11="≤",IF(L435&lt;='Reverse Search'!$L$11,1,0),IF(L435='Reverse Search'!$L$11,1,0)))))</f>
        <v>1</v>
      </c>
      <c r="Z435" s="0" t="n">
        <f aca="true">IF('Reverse Search'!$C$14="Disable",1,IF('Reverse Search'!$D$16="Disable",1,IF($C$2=3,IF($M435=0,0,COUNTIF(INDIRECT("'0.0.2 Pokémon Learnset (Core)'!$D$"&amp;MATCH($E435,'0.0.2 Pokémon Learnset (Core)'!$A$1:$A951,0)&amp;":$FK$"&amp;MATCH($E435,'0.0.2 Pokémon Learnset (Core)'!$A$1:$A951,0)),'Reverse Search'!$E$21)),IF($C$2=2,COUNTIF(INDIRECT("'0.1.1 Pokémon GO Moves'!$B$"&amp;MATCH($E435,'0.1.1 Pokémon GO Moves'!$A$1:$A951,0)&amp;":$R$"&amp;MATCH($E435,'0.1.1 Pokémon GO Moves'!$A$1:$A951,0)),'Reverse Search'!$E$21),COUNTIF(INDIRECT("'0.1.1 Pokémon GO Moves'!$B$"&amp;MATCH($E435,'0.1.1 Pokémon GO Moves'!$A$1:$A951,0)&amp;":$L$"&amp;MATCH($E435,'0.1.1 Pokémon GO Moves'!$A$1:$A951,0)),'Reverse Search'!$E$21)))))</f>
        <v>1</v>
      </c>
      <c r="AA435" s="0" t="n">
        <f aca="true">IF('Reverse Search'!$C$14="Disable",1,IF('Reverse Search'!$I$16="Disable",1,IF($D$2=3,IF($M435=0,0,COUNTIF(INDIRECT("'0.0.2 Pokémon Learnset (Core)'!$D$"&amp;MATCH($E435,'0.0.2 Pokémon Learnset (Core)'!$A$1:$A951,0)&amp;":$FK$"&amp;MATCH($E435,'0.0.2 Pokémon Learnset (Core)'!$A$1:$A951,0)),'Reverse Search'!$J$21)),IF($D$2=2,COUNTIF(INDIRECT("'0.1.1 Pokémon GO Moves'!$B$"&amp;MATCH($E435,'0.1.1 Pokémon GO Moves'!$A$1:$A951,0)&amp;":$R$"&amp;MATCH($E435,'0.1.1 Pokémon GO Moves'!$A$1:$A951,0)),'Reverse Search'!$J$21),COUNTIF(INDIRECT("'0.1.1 Pokémon GO Moves'!$B$"&amp;MATCH($E435,'0.1.1 Pokémon GO Moves'!$A$1:$A951,0)&amp;":$L$"&amp;MATCH($E435,'0.1.1 Pokémon GO Moves'!$A$1:$A951,0)),'Reverse Search'!$J$21)))))</f>
        <v>0</v>
      </c>
      <c r="AB435" s="490"/>
      <c r="AC435" s="260" t="n">
        <f aca="false">IF((Q435+R435+S435+V435+W435+X435+Y435+IF(Z435&gt;=1,1,0)+IF(AA435&gt;=1,1,0))=9,G435&amp;", ",)</f>
        <v>0</v>
      </c>
    </row>
    <row r="436" customFormat="false" ht="15.75" hidden="false" customHeight="false" outlineLevel="0" collapsed="false">
      <c r="A436" s="260"/>
      <c r="B436" s="358"/>
      <c r="C436" s="260"/>
      <c r="D436" s="358"/>
      <c r="E436" s="260" t="n">
        <v>435</v>
      </c>
      <c r="F436" s="260" t="n">
        <f aca="false" t="array" ref="F436:F436">INDEX('0.0.1 Pokémon Dex Data'!$H$3:$H951,MATCH(E436,'0.0.1 Pokémon Dex Data'!$B$3:$B951,0))</f>
        <v>2</v>
      </c>
      <c r="G436" s="0" t="str">
        <f aca="false" t="array" ref="G436:G436">INDEX('0.0.1 Pokémon Dex Data'!$E$3:$E951,MATCH(E436,'0.0.1 Pokémon Dex Data'!$B$3:$B951,0))</f>
        <v>Metagross-Mega</v>
      </c>
      <c r="H436" s="0" t="str">
        <f aca="false" t="array" ref="H436:H436">INDEX('0.0.1 Pokémon Dex Data'!$Q$3:$Q951,MATCH(E436,'0.0.1 Pokémon Dex Data'!$B$3:$B951,0))</f>
        <v>Steel</v>
      </c>
      <c r="I436" s="0" t="str">
        <f aca="false" t="array" ref="I436:I436">INDEX('0.0.1 Pokémon Dex Data'!$R$3:$R951,MATCH(E436,'0.0.1 Pokémon Dex Data'!$B$3:$B951,0))</f>
        <v>Psychic</v>
      </c>
      <c r="J436" s="260" t="n">
        <f aca="false" t="array" ref="J436:J436">ROUND(INDEX('0.0.1 Pokémon Dex Data'!$S$3:$S951,MATCH($E436,'0.0.1 Pokémon Dex Data'!$B$3:$B951,0))*INDEX('0.0.1 Pokémon Dex Data'!T$3:T951,MATCH($E436,'0.0.1 Pokémon Dex Data'!$B$3:$B951,0)),0)</f>
        <v>300</v>
      </c>
      <c r="K436" s="260" t="n">
        <f aca="false" t="array" ref="K436:K436">ROUND(INDEX('0.0.1 Pokémon Dex Data'!$S$3:$S951,MATCH($E436,'0.0.1 Pokémon Dex Data'!$B$3:$B951,0))*INDEX('0.0.1 Pokémon Dex Data'!U$3:U951,MATCH($E436,'0.0.1 Pokémon Dex Data'!$B$3:$B951,0)),0)</f>
        <v>289</v>
      </c>
      <c r="L436" s="260" t="n">
        <f aca="false" t="array" ref="L436:L436">ROUND(INDEX('0.0.1 Pokémon Dex Data'!$S$3:$S951,MATCH($E436,'0.0.1 Pokémon Dex Data'!$B$3:$B951,0))*INDEX('0.0.1 Pokémon Dex Data'!V$3:V951,MATCH($E436,'0.0.1 Pokémon Dex Data'!$B$3:$B951,0)),0)</f>
        <v>190</v>
      </c>
      <c r="M436" s="260" t="n">
        <f aca="false" t="array" ref="M436:M436">INDEX('0.0.1 Pokémon Dex Data'!$J$3:$J951,MATCH(E436,'0.0.1 Pokémon Dex Data'!$B$3:$B951,0))</f>
        <v>1</v>
      </c>
      <c r="O436" s="490"/>
      <c r="Q436" s="367" t="n">
        <f aca="false">IF('Reverse Search'!$F$4="All (including temporary formes)",1,IF('Reverse Search'!$F$4="Base Pokémon and permanent formes only",IF(F436&lt;=1,1,0),IF(F436=0,1,0)))</f>
        <v>0</v>
      </c>
      <c r="R436" s="0" t="n">
        <f aca="false">IF('Reverse Search'!$C$7="Disable",1,IF('Reverse Search'!$D$9="Disable",1,IF(OR('Reverse Search'!$F$9=H436,'Reverse Search'!$F$9=I436),1,0)))</f>
        <v>1</v>
      </c>
      <c r="S436" s="0" t="n">
        <f aca="false">IF('Reverse Search'!$C$7="Disable",1,IF('Reverse Search'!$D$10="Disable",1,IF(OR('Reverse Search'!$F$10=H436,'Reverse Search'!$F$10=I436),1,0)))</f>
        <v>1</v>
      </c>
      <c r="T436" s="0" t="n">
        <f aca="false">INDEX($B$4:$B$22,MATCH(H436,$A$4:$A$22,0))</f>
        <v>0.714</v>
      </c>
      <c r="U436" s="0" t="n">
        <f aca="false">IF(ISBLANK(I436),1,INDEX($B$4:$B$22,MATCH(I436,$A$4:$A$22,0)))</f>
        <v>1</v>
      </c>
      <c r="V436" s="367" t="n">
        <f aca="false">IF('Reverse Search'!$C$7="Disable",1,IF('Reverse Search'!$D$11="Disable",1,IF('Reverse Search'!$E$11="Neutral to:",IF(ROUND(T436*U436,2)&lt;=1,1,0),IF(ROUND(T436*U436,2)&lt;1,1,0))))</f>
        <v>1</v>
      </c>
      <c r="W436" s="0" t="n">
        <f aca="false">IF('Reverse Search'!$N$7="Disable",1,IF('Reverse Search'!$I$9="Disable",1,IF('Reverse Search'!$K$9="≥",IF(J436&gt;='Reverse Search'!$L$9,1,0),IF('Reverse Search'!$K$9="≤",IF(J436&lt;='Reverse Search'!$L$9,1,0),IF(J436='Reverse Search'!$L$9,1,0)))))</f>
        <v>1</v>
      </c>
      <c r="X436" s="0" t="n">
        <f aca="false">IF('Reverse Search'!$N$7="Disable",1,IF('Reverse Search'!$I$10="Disable",1,IF('Reverse Search'!$K$10="≥",IF(K436&gt;='Reverse Search'!$L$10,1,0),IF('Reverse Search'!$K$10="≤",IF(K436&lt;='Reverse Search'!$L$10,1,0),IF(K436='Reverse Search'!$L$10,1,0)))))</f>
        <v>1</v>
      </c>
      <c r="Y436" s="367" t="n">
        <f aca="false">IF('Reverse Search'!$N$7="Disable",1,IF('Reverse Search'!$I$11="Disable",1,IF('Reverse Search'!$K$11="≥",IF(L436&gt;='Reverse Search'!$L$11,1,0),IF('Reverse Search'!$K$11="≤",IF(L436&lt;='Reverse Search'!$L$11,1,0),IF(L436='Reverse Search'!$L$11,1,0)))))</f>
        <v>1</v>
      </c>
      <c r="Z436" s="0" t="n">
        <f aca="true">IF('Reverse Search'!$C$14="Disable",1,IF('Reverse Search'!$D$16="Disable",1,IF($C$2=3,IF($M436=0,0,COUNTIF(INDIRECT("'0.0.2 Pokémon Learnset (Core)'!$D$"&amp;MATCH($E436,'0.0.2 Pokémon Learnset (Core)'!$A$1:$A951,0)&amp;":$FK$"&amp;MATCH($E436,'0.0.2 Pokémon Learnset (Core)'!$A$1:$A951,0)),'Reverse Search'!$E$21)),IF($C$2=2,COUNTIF(INDIRECT("'0.1.1 Pokémon GO Moves'!$B$"&amp;MATCH($E436,'0.1.1 Pokémon GO Moves'!$A$1:$A951,0)&amp;":$R$"&amp;MATCH($E436,'0.1.1 Pokémon GO Moves'!$A$1:$A951,0)),'Reverse Search'!$E$21),COUNTIF(INDIRECT("'0.1.1 Pokémon GO Moves'!$B$"&amp;MATCH($E436,'0.1.1 Pokémon GO Moves'!$A$1:$A951,0)&amp;":$L$"&amp;MATCH($E436,'0.1.1 Pokémon GO Moves'!$A$1:$A951,0)),'Reverse Search'!$E$21)))))</f>
        <v>1</v>
      </c>
      <c r="AA436" s="0" t="e">
        <f aca="true">IF('Reverse Search'!$C$14="Disable",1,IF('Reverse Search'!$I$16="Disable",1,IF($D$2=3,IF($M436=0,0,COUNTIF(INDIRECT("'0.0.2 Pokémon Learnset (Core)'!$D$"&amp;MATCH($E436,'0.0.2 Pokémon Learnset (Core)'!$A$1:$A951,0)&amp;":$FK$"&amp;MATCH($E436,'0.0.2 Pokémon Learnset (Core)'!$A$1:$A951,0)),'Reverse Search'!$J$21)),IF($D$2=2,COUNTIF(INDIRECT("'0.1.1 Pokémon GO Moves'!$B$"&amp;MATCH($E436,'0.1.1 Pokémon GO Moves'!$A$1:$A951,0)&amp;":$R$"&amp;MATCH($E436,'0.1.1 Pokémon GO Moves'!$A$1:$A951,0)),'Reverse Search'!$J$21),COUNTIF(INDIRECT("'0.1.1 Pokémon GO Moves'!$B$"&amp;MATCH($E436,'0.1.1 Pokémon GO Moves'!$A$1:$A951,0)&amp;":$L$"&amp;MATCH($E436,'0.1.1 Pokémon GO Moves'!$A$1:$A951,0)),'Reverse Search'!$J$21)))))</f>
        <v>#N/A</v>
      </c>
      <c r="AB436" s="490"/>
      <c r="AC436" s="260" t="e">
        <f aca="false">IF((Q436+R436+S436+V436+W436+X436+Y436+IF(Z436&gt;=1,1,0)+IF(AA436&gt;=1,1,0))=9,G436&amp;", ",)</f>
        <v>#N/A</v>
      </c>
    </row>
    <row r="437" customFormat="false" ht="15.75" hidden="false" customHeight="false" outlineLevel="0" collapsed="false">
      <c r="A437" s="260"/>
      <c r="B437" s="358"/>
      <c r="C437" s="260"/>
      <c r="D437" s="358"/>
      <c r="E437" s="260" t="n">
        <v>436</v>
      </c>
      <c r="F437" s="260" t="n">
        <f aca="false" t="array" ref="F437:F437">INDEX('0.0.1 Pokémon Dex Data'!$H$3:$H951,MATCH(E437,'0.0.1 Pokémon Dex Data'!$B$3:$B951,0))</f>
        <v>0</v>
      </c>
      <c r="G437" s="0" t="str">
        <f aca="false" t="array" ref="G437:G437">INDEX('0.0.1 Pokémon Dex Data'!$E$3:$E951,MATCH(E437,'0.0.1 Pokémon Dex Data'!$B$3:$B951,0))</f>
        <v>Regirock</v>
      </c>
      <c r="H437" s="0" t="str">
        <f aca="false" t="array" ref="H437:H437">INDEX('0.0.1 Pokémon Dex Data'!$Q$3:$Q951,MATCH(E437,'0.0.1 Pokémon Dex Data'!$B$3:$B951,0))</f>
        <v>Rock</v>
      </c>
      <c r="I437" s="0" t="n">
        <f aca="false">INDEX('0.0.1 Pokémon Dex Data'!$R$3:$R951,MATCH(E437,'0.0.1 Pokémon Dex Data'!$B$3:$B951,0))</f>
        <v>0</v>
      </c>
      <c r="J437" s="260" t="n">
        <f aca="false" t="array" ref="J437:J437">ROUND(INDEX('0.0.1 Pokémon Dex Data'!$S$3:$S951,MATCH($E437,'0.0.1 Pokémon Dex Data'!$B$3:$B951,0))*INDEX('0.0.1 Pokémon Dex Data'!T$3:T951,MATCH($E437,'0.0.1 Pokémon Dex Data'!$B$3:$B951,0)),0)</f>
        <v>179</v>
      </c>
      <c r="K437" s="260" t="n">
        <f aca="false" t="array" ref="K437:K437">ROUND(INDEX('0.0.1 Pokémon Dex Data'!$S$3:$S951,MATCH($E437,'0.0.1 Pokémon Dex Data'!$B$3:$B951,0))*INDEX('0.0.1 Pokémon Dex Data'!U$3:U951,MATCH($E437,'0.0.1 Pokémon Dex Data'!$B$3:$B951,0)),0)</f>
        <v>309</v>
      </c>
      <c r="L437" s="260" t="n">
        <f aca="false" t="array" ref="L437:L437">ROUND(INDEX('0.0.1 Pokémon Dex Data'!$S$3:$S951,MATCH($E437,'0.0.1 Pokémon Dex Data'!$B$3:$B951,0))*INDEX('0.0.1 Pokémon Dex Data'!V$3:V951,MATCH($E437,'0.0.1 Pokémon Dex Data'!$B$3:$B951,0)),0)</f>
        <v>190</v>
      </c>
      <c r="M437" s="260" t="n">
        <f aca="false" t="array" ref="M437:M437">INDEX('0.0.1 Pokémon Dex Data'!$J$3:$J951,MATCH(E437,'0.0.1 Pokémon Dex Data'!$B$3:$B951,0))</f>
        <v>1</v>
      </c>
      <c r="O437" s="490"/>
      <c r="Q437" s="367" t="n">
        <f aca="false">IF('Reverse Search'!$F$4="All (including temporary formes)",1,IF('Reverse Search'!$F$4="Base Pokémon and permanent formes only",IF(F437&lt;=1,1,0),IF(F437=0,1,0)))</f>
        <v>1</v>
      </c>
      <c r="R437" s="0" t="n">
        <f aca="false">IF('Reverse Search'!$C$7="Disable",1,IF('Reverse Search'!$D$9="Disable",1,IF(OR('Reverse Search'!$F$9=H437,'Reverse Search'!$F$9=I437),1,0)))</f>
        <v>1</v>
      </c>
      <c r="S437" s="0" t="n">
        <f aca="false">IF('Reverse Search'!$C$7="Disable",1,IF('Reverse Search'!$D$10="Disable",1,IF(OR('Reverse Search'!$F$10=H437,'Reverse Search'!$F$10=I437),1,0)))</f>
        <v>1</v>
      </c>
      <c r="T437" s="0" t="n">
        <f aca="false">INDEX($B$4:$B$22,MATCH(H437,$A$4:$A$22,0))</f>
        <v>0.714</v>
      </c>
      <c r="U437" s="0" t="e">
        <f aca="false">IF(ISBLANK(I437),1,INDEX($B$4:$B$22,MATCH(I437,$A$4:$A$22,0)))</f>
        <v>#N/A</v>
      </c>
      <c r="V437" s="367" t="n">
        <f aca="false">IF('Reverse Search'!$C$7="Disable",1,IF('Reverse Search'!$D$11="Disable",1,IF('Reverse Search'!$E$11="Neutral to:",IF(ROUND(T437*U437,2)&lt;=1,1,0),IF(ROUND(T437*U437,2)&lt;1,1,0))))</f>
        <v>1</v>
      </c>
      <c r="W437" s="0" t="n">
        <f aca="false">IF('Reverse Search'!$N$7="Disable",1,IF('Reverse Search'!$I$9="Disable",1,IF('Reverse Search'!$K$9="≥",IF(J437&gt;='Reverse Search'!$L$9,1,0),IF('Reverse Search'!$K$9="≤",IF(J437&lt;='Reverse Search'!$L$9,1,0),IF(J437='Reverse Search'!$L$9,1,0)))))</f>
        <v>1</v>
      </c>
      <c r="X437" s="0" t="n">
        <f aca="false">IF('Reverse Search'!$N$7="Disable",1,IF('Reverse Search'!$I$10="Disable",1,IF('Reverse Search'!$K$10="≥",IF(K437&gt;='Reverse Search'!$L$10,1,0),IF('Reverse Search'!$K$10="≤",IF(K437&lt;='Reverse Search'!$L$10,1,0),IF(K437='Reverse Search'!$L$10,1,0)))))</f>
        <v>1</v>
      </c>
      <c r="Y437" s="367" t="n">
        <f aca="false">IF('Reverse Search'!$N$7="Disable",1,IF('Reverse Search'!$I$11="Disable",1,IF('Reverse Search'!$K$11="≥",IF(L437&gt;='Reverse Search'!$L$11,1,0),IF('Reverse Search'!$K$11="≤",IF(L437&lt;='Reverse Search'!$L$11,1,0),IF(L437='Reverse Search'!$L$11,1,0)))))</f>
        <v>1</v>
      </c>
      <c r="Z437" s="0" t="n">
        <f aca="true">IF('Reverse Search'!$C$14="Disable",1,IF('Reverse Search'!$D$16="Disable",1,IF($C$2=3,IF($M437=0,0,COUNTIF(INDIRECT("'0.0.2 Pokémon Learnset (Core)'!$D$"&amp;MATCH($E437,'0.0.2 Pokémon Learnset (Core)'!$A$1:$A951,0)&amp;":$FK$"&amp;MATCH($E437,'0.0.2 Pokémon Learnset (Core)'!$A$1:$A951,0)),'Reverse Search'!$E$21)),IF($C$2=2,COUNTIF(INDIRECT("'0.1.1 Pokémon GO Moves'!$B$"&amp;MATCH($E437,'0.1.1 Pokémon GO Moves'!$A$1:$A951,0)&amp;":$R$"&amp;MATCH($E437,'0.1.1 Pokémon GO Moves'!$A$1:$A951,0)),'Reverse Search'!$E$21),COUNTIF(INDIRECT("'0.1.1 Pokémon GO Moves'!$B$"&amp;MATCH($E437,'0.1.1 Pokémon GO Moves'!$A$1:$A951,0)&amp;":$L$"&amp;MATCH($E437,'0.1.1 Pokémon GO Moves'!$A$1:$A951,0)),'Reverse Search'!$E$21)))))</f>
        <v>1</v>
      </c>
      <c r="AA437" s="0" t="n">
        <f aca="true">IF('Reverse Search'!$C$14="Disable",1,IF('Reverse Search'!$I$16="Disable",1,IF($D$2=3,IF($M437=0,0,COUNTIF(INDIRECT("'0.0.2 Pokémon Learnset (Core)'!$D$"&amp;MATCH($E437,'0.0.2 Pokémon Learnset (Core)'!$A$1:$A951,0)&amp;":$FK$"&amp;MATCH($E437,'0.0.2 Pokémon Learnset (Core)'!$A$1:$A951,0)),'Reverse Search'!$J$21)),IF($D$2=2,COUNTIF(INDIRECT("'0.1.1 Pokémon GO Moves'!$B$"&amp;MATCH($E437,'0.1.1 Pokémon GO Moves'!$A$1:$A951,0)&amp;":$R$"&amp;MATCH($E437,'0.1.1 Pokémon GO Moves'!$A$1:$A951,0)),'Reverse Search'!$J$21),COUNTIF(INDIRECT("'0.1.1 Pokémon GO Moves'!$B$"&amp;MATCH($E437,'0.1.1 Pokémon GO Moves'!$A$1:$A951,0)&amp;":$L$"&amp;MATCH($E437,'0.1.1 Pokémon GO Moves'!$A$1:$A951,0)),'Reverse Search'!$J$21)))))</f>
        <v>0</v>
      </c>
      <c r="AB437" s="490"/>
      <c r="AC437" s="260" t="n">
        <f aca="false">IF((Q437+R437+S437+V437+W437+X437+Y437+IF(Z437&gt;=1,1,0)+IF(AA437&gt;=1,1,0))=9,G437&amp;", ",)</f>
        <v>0</v>
      </c>
    </row>
    <row r="438" customFormat="false" ht="15.75" hidden="false" customHeight="false" outlineLevel="0" collapsed="false">
      <c r="A438" s="260"/>
      <c r="B438" s="358"/>
      <c r="C438" s="260"/>
      <c r="D438" s="358"/>
      <c r="E438" s="260" t="n">
        <v>437</v>
      </c>
      <c r="F438" s="260" t="n">
        <f aca="false" t="array" ref="F438:F438">INDEX('0.0.1 Pokémon Dex Data'!$H$3:$H951,MATCH(E438,'0.0.1 Pokémon Dex Data'!$B$3:$B951,0))</f>
        <v>0</v>
      </c>
      <c r="G438" s="0" t="str">
        <f aca="false" t="array" ref="G438:G438">INDEX('0.0.1 Pokémon Dex Data'!$E$3:$E951,MATCH(E438,'0.0.1 Pokémon Dex Data'!$B$3:$B951,0))</f>
        <v>Regice</v>
      </c>
      <c r="H438" s="0" t="str">
        <f aca="false" t="array" ref="H438:H438">INDEX('0.0.1 Pokémon Dex Data'!$Q$3:$Q951,MATCH(E438,'0.0.1 Pokémon Dex Data'!$B$3:$B951,0))</f>
        <v>Ice</v>
      </c>
      <c r="I438" s="0" t="n">
        <f aca="false">INDEX('0.0.1 Pokémon Dex Data'!$R$3:$R951,MATCH(E438,'0.0.1 Pokémon Dex Data'!$B$3:$B951,0))</f>
        <v>0</v>
      </c>
      <c r="J438" s="260" t="n">
        <f aca="false" t="array" ref="J438:J438">ROUND(INDEX('0.0.1 Pokémon Dex Data'!$S$3:$S951,MATCH($E438,'0.0.1 Pokémon Dex Data'!$B$3:$B951,0))*INDEX('0.0.1 Pokémon Dex Data'!T$3:T951,MATCH($E438,'0.0.1 Pokémon Dex Data'!$B$3:$B951,0)),0)</f>
        <v>179</v>
      </c>
      <c r="K438" s="260" t="n">
        <f aca="false" t="array" ref="K438:K438">ROUND(INDEX('0.0.1 Pokémon Dex Data'!$S$3:$S951,MATCH($E438,'0.0.1 Pokémon Dex Data'!$B$3:$B951,0))*INDEX('0.0.1 Pokémon Dex Data'!U$3:U951,MATCH($E438,'0.0.1 Pokémon Dex Data'!$B$3:$B951,0)),0)</f>
        <v>309</v>
      </c>
      <c r="L438" s="260" t="n">
        <f aca="false" t="array" ref="L438:L438">ROUND(INDEX('0.0.1 Pokémon Dex Data'!$S$3:$S951,MATCH($E438,'0.0.1 Pokémon Dex Data'!$B$3:$B951,0))*INDEX('0.0.1 Pokémon Dex Data'!V$3:V951,MATCH($E438,'0.0.1 Pokémon Dex Data'!$B$3:$B951,0)),0)</f>
        <v>190</v>
      </c>
      <c r="M438" s="260" t="n">
        <f aca="false" t="array" ref="M438:M438">INDEX('0.0.1 Pokémon Dex Data'!$J$3:$J951,MATCH(E438,'0.0.1 Pokémon Dex Data'!$B$3:$B951,0))</f>
        <v>1</v>
      </c>
      <c r="O438" s="490"/>
      <c r="Q438" s="367" t="n">
        <f aca="false">IF('Reverse Search'!$F$4="All (including temporary formes)",1,IF('Reverse Search'!$F$4="Base Pokémon and permanent formes only",IF(F438&lt;=1,1,0),IF(F438=0,1,0)))</f>
        <v>1</v>
      </c>
      <c r="R438" s="0" t="n">
        <f aca="false">IF('Reverse Search'!$C$7="Disable",1,IF('Reverse Search'!$D$9="Disable",1,IF(OR('Reverse Search'!$F$9=H438,'Reverse Search'!$F$9=I438),1,0)))</f>
        <v>1</v>
      </c>
      <c r="S438" s="0" t="n">
        <f aca="false">IF('Reverse Search'!$C$7="Disable",1,IF('Reverse Search'!$D$10="Disable",1,IF(OR('Reverse Search'!$F$10=H438,'Reverse Search'!$F$10=I438),1,0)))</f>
        <v>1</v>
      </c>
      <c r="T438" s="0" t="n">
        <f aca="false">INDEX($B$4:$B$22,MATCH(H438,$A$4:$A$22,0))</f>
        <v>1</v>
      </c>
      <c r="U438" s="0" t="e">
        <f aca="false">IF(ISBLANK(I438),1,INDEX($B$4:$B$22,MATCH(I438,$A$4:$A$22,0)))</f>
        <v>#N/A</v>
      </c>
      <c r="V438" s="367" t="n">
        <f aca="false">IF('Reverse Search'!$C$7="Disable",1,IF('Reverse Search'!$D$11="Disable",1,IF('Reverse Search'!$E$11="Neutral to:",IF(ROUND(T438*U438,2)&lt;=1,1,0),IF(ROUND(T438*U438,2)&lt;1,1,0))))</f>
        <v>1</v>
      </c>
      <c r="W438" s="0" t="n">
        <f aca="false">IF('Reverse Search'!$N$7="Disable",1,IF('Reverse Search'!$I$9="Disable",1,IF('Reverse Search'!$K$9="≥",IF(J438&gt;='Reverse Search'!$L$9,1,0),IF('Reverse Search'!$K$9="≤",IF(J438&lt;='Reverse Search'!$L$9,1,0),IF(J438='Reverse Search'!$L$9,1,0)))))</f>
        <v>1</v>
      </c>
      <c r="X438" s="0" t="n">
        <f aca="false">IF('Reverse Search'!$N$7="Disable",1,IF('Reverse Search'!$I$10="Disable",1,IF('Reverse Search'!$K$10="≥",IF(K438&gt;='Reverse Search'!$L$10,1,0),IF('Reverse Search'!$K$10="≤",IF(K438&lt;='Reverse Search'!$L$10,1,0),IF(K438='Reverse Search'!$L$10,1,0)))))</f>
        <v>1</v>
      </c>
      <c r="Y438" s="367" t="n">
        <f aca="false">IF('Reverse Search'!$N$7="Disable",1,IF('Reverse Search'!$I$11="Disable",1,IF('Reverse Search'!$K$11="≥",IF(L438&gt;='Reverse Search'!$L$11,1,0),IF('Reverse Search'!$K$11="≤",IF(L438&lt;='Reverse Search'!$L$11,1,0),IF(L438='Reverse Search'!$L$11,1,0)))))</f>
        <v>1</v>
      </c>
      <c r="Z438" s="0" t="n">
        <f aca="true">IF('Reverse Search'!$C$14="Disable",1,IF('Reverse Search'!$D$16="Disable",1,IF($C$2=3,IF($M438=0,0,COUNTIF(INDIRECT("'0.0.2 Pokémon Learnset (Core)'!$D$"&amp;MATCH($E438,'0.0.2 Pokémon Learnset (Core)'!$A$1:$A951,0)&amp;":$FK$"&amp;MATCH($E438,'0.0.2 Pokémon Learnset (Core)'!$A$1:$A951,0)),'Reverse Search'!$E$21)),IF($C$2=2,COUNTIF(INDIRECT("'0.1.1 Pokémon GO Moves'!$B$"&amp;MATCH($E438,'0.1.1 Pokémon GO Moves'!$A$1:$A951,0)&amp;":$R$"&amp;MATCH($E438,'0.1.1 Pokémon GO Moves'!$A$1:$A951,0)),'Reverse Search'!$E$21),COUNTIF(INDIRECT("'0.1.1 Pokémon GO Moves'!$B$"&amp;MATCH($E438,'0.1.1 Pokémon GO Moves'!$A$1:$A951,0)&amp;":$L$"&amp;MATCH($E438,'0.1.1 Pokémon GO Moves'!$A$1:$A951,0)),'Reverse Search'!$E$21)))))</f>
        <v>1</v>
      </c>
      <c r="AA438" s="0" t="n">
        <f aca="true">IF('Reverse Search'!$C$14="Disable",1,IF('Reverse Search'!$I$16="Disable",1,IF($D$2=3,IF($M438=0,0,COUNTIF(INDIRECT("'0.0.2 Pokémon Learnset (Core)'!$D$"&amp;MATCH($E438,'0.0.2 Pokémon Learnset (Core)'!$A$1:$A951,0)&amp;":$FK$"&amp;MATCH($E438,'0.0.2 Pokémon Learnset (Core)'!$A$1:$A951,0)),'Reverse Search'!$J$21)),IF($D$2=2,COUNTIF(INDIRECT("'0.1.1 Pokémon GO Moves'!$B$"&amp;MATCH($E438,'0.1.1 Pokémon GO Moves'!$A$1:$A951,0)&amp;":$R$"&amp;MATCH($E438,'0.1.1 Pokémon GO Moves'!$A$1:$A951,0)),'Reverse Search'!$J$21),COUNTIF(INDIRECT("'0.1.1 Pokémon GO Moves'!$B$"&amp;MATCH($E438,'0.1.1 Pokémon GO Moves'!$A$1:$A951,0)&amp;":$L$"&amp;MATCH($E438,'0.1.1 Pokémon GO Moves'!$A$1:$A951,0)),'Reverse Search'!$J$21)))))</f>
        <v>0</v>
      </c>
      <c r="AB438" s="490"/>
      <c r="AC438" s="260" t="n">
        <f aca="false">IF((Q438+R438+S438+V438+W438+X438+Y438+IF(Z438&gt;=1,1,0)+IF(AA438&gt;=1,1,0))=9,G438&amp;", ",)</f>
        <v>0</v>
      </c>
    </row>
    <row r="439" customFormat="false" ht="15.75" hidden="false" customHeight="false" outlineLevel="0" collapsed="false">
      <c r="A439" s="260"/>
      <c r="B439" s="358"/>
      <c r="C439" s="260"/>
      <c r="D439" s="358"/>
      <c r="E439" s="260" t="n">
        <v>438</v>
      </c>
      <c r="F439" s="260" t="n">
        <f aca="false" t="array" ref="F439:F439">INDEX('0.0.1 Pokémon Dex Data'!$H$3:$H951,MATCH(E439,'0.0.1 Pokémon Dex Data'!$B$3:$B951,0))</f>
        <v>0</v>
      </c>
      <c r="G439" s="0" t="str">
        <f aca="false" t="array" ref="G439:G439">INDEX('0.0.1 Pokémon Dex Data'!$E$3:$E951,MATCH(E439,'0.0.1 Pokémon Dex Data'!$B$3:$B951,0))</f>
        <v>Registeel</v>
      </c>
      <c r="H439" s="0" t="str">
        <f aca="false" t="array" ref="H439:H439">INDEX('0.0.1 Pokémon Dex Data'!$Q$3:$Q951,MATCH(E439,'0.0.1 Pokémon Dex Data'!$B$3:$B951,0))</f>
        <v>Steel</v>
      </c>
      <c r="I439" s="0" t="n">
        <f aca="false">INDEX('0.0.1 Pokémon Dex Data'!$R$3:$R951,MATCH(E439,'0.0.1 Pokémon Dex Data'!$B$3:$B951,0))</f>
        <v>0</v>
      </c>
      <c r="J439" s="260" t="n">
        <f aca="false" t="array" ref="J439:J439">ROUND(INDEX('0.0.1 Pokémon Dex Data'!$S$3:$S951,MATCH($E439,'0.0.1 Pokémon Dex Data'!$B$3:$B951,0))*INDEX('0.0.1 Pokémon Dex Data'!T$3:T951,MATCH($E439,'0.0.1 Pokémon Dex Data'!$B$3:$B951,0)),0)</f>
        <v>143</v>
      </c>
      <c r="K439" s="260" t="n">
        <f aca="false" t="array" ref="K439:K439">ROUND(INDEX('0.0.1 Pokémon Dex Data'!$S$3:$S951,MATCH($E439,'0.0.1 Pokémon Dex Data'!$B$3:$B951,0))*INDEX('0.0.1 Pokémon Dex Data'!U$3:U951,MATCH($E439,'0.0.1 Pokémon Dex Data'!$B$3:$B951,0)),0)</f>
        <v>285</v>
      </c>
      <c r="L439" s="260" t="n">
        <f aca="false" t="array" ref="L439:L439">ROUND(INDEX('0.0.1 Pokémon Dex Data'!$S$3:$S951,MATCH($E439,'0.0.1 Pokémon Dex Data'!$B$3:$B951,0))*INDEX('0.0.1 Pokémon Dex Data'!V$3:V951,MATCH($E439,'0.0.1 Pokémon Dex Data'!$B$3:$B951,0)),0)</f>
        <v>190</v>
      </c>
      <c r="M439" s="260" t="n">
        <f aca="false" t="array" ref="M439:M439">INDEX('0.0.1 Pokémon Dex Data'!$J$3:$J951,MATCH(E439,'0.0.1 Pokémon Dex Data'!$B$3:$B951,0))</f>
        <v>1</v>
      </c>
      <c r="O439" s="490"/>
      <c r="Q439" s="367" t="n">
        <f aca="false">IF('Reverse Search'!$F$4="All (including temporary formes)",1,IF('Reverse Search'!$F$4="Base Pokémon and permanent formes only",IF(F439&lt;=1,1,0),IF(F439=0,1,0)))</f>
        <v>1</v>
      </c>
      <c r="R439" s="0" t="n">
        <f aca="false">IF('Reverse Search'!$C$7="Disable",1,IF('Reverse Search'!$D$9="Disable",1,IF(OR('Reverse Search'!$F$9=H439,'Reverse Search'!$F$9=I439),1,0)))</f>
        <v>1</v>
      </c>
      <c r="S439" s="0" t="n">
        <f aca="false">IF('Reverse Search'!$C$7="Disable",1,IF('Reverse Search'!$D$10="Disable",1,IF(OR('Reverse Search'!$F$10=H439,'Reverse Search'!$F$10=I439),1,0)))</f>
        <v>1</v>
      </c>
      <c r="T439" s="0" t="n">
        <f aca="false">INDEX($B$4:$B$22,MATCH(H439,$A$4:$A$22,0))</f>
        <v>0.714</v>
      </c>
      <c r="U439" s="0" t="e">
        <f aca="false">IF(ISBLANK(I439),1,INDEX($B$4:$B$22,MATCH(I439,$A$4:$A$22,0)))</f>
        <v>#N/A</v>
      </c>
      <c r="V439" s="367" t="n">
        <f aca="false">IF('Reverse Search'!$C$7="Disable",1,IF('Reverse Search'!$D$11="Disable",1,IF('Reverse Search'!$E$11="Neutral to:",IF(ROUND(T439*U439,2)&lt;=1,1,0),IF(ROUND(T439*U439,2)&lt;1,1,0))))</f>
        <v>1</v>
      </c>
      <c r="W439" s="0" t="n">
        <f aca="false">IF('Reverse Search'!$N$7="Disable",1,IF('Reverse Search'!$I$9="Disable",1,IF('Reverse Search'!$K$9="≥",IF(J439&gt;='Reverse Search'!$L$9,1,0),IF('Reverse Search'!$K$9="≤",IF(J439&lt;='Reverse Search'!$L$9,1,0),IF(J439='Reverse Search'!$L$9,1,0)))))</f>
        <v>1</v>
      </c>
      <c r="X439" s="0" t="n">
        <f aca="false">IF('Reverse Search'!$N$7="Disable",1,IF('Reverse Search'!$I$10="Disable",1,IF('Reverse Search'!$K$10="≥",IF(K439&gt;='Reverse Search'!$L$10,1,0),IF('Reverse Search'!$K$10="≤",IF(K439&lt;='Reverse Search'!$L$10,1,0),IF(K439='Reverse Search'!$L$10,1,0)))))</f>
        <v>1</v>
      </c>
      <c r="Y439" s="367" t="n">
        <f aca="false">IF('Reverse Search'!$N$7="Disable",1,IF('Reverse Search'!$I$11="Disable",1,IF('Reverse Search'!$K$11="≥",IF(L439&gt;='Reverse Search'!$L$11,1,0),IF('Reverse Search'!$K$11="≤",IF(L439&lt;='Reverse Search'!$L$11,1,0),IF(L439='Reverse Search'!$L$11,1,0)))))</f>
        <v>1</v>
      </c>
      <c r="Z439" s="0" t="n">
        <f aca="true">IF('Reverse Search'!$C$14="Disable",1,IF('Reverse Search'!$D$16="Disable",1,IF($C$2=3,IF($M439=0,0,COUNTIF(INDIRECT("'0.0.2 Pokémon Learnset (Core)'!$D$"&amp;MATCH($E439,'0.0.2 Pokémon Learnset (Core)'!$A$1:$A951,0)&amp;":$FK$"&amp;MATCH($E439,'0.0.2 Pokémon Learnset (Core)'!$A$1:$A951,0)),'Reverse Search'!$E$21)),IF($C$2=2,COUNTIF(INDIRECT("'0.1.1 Pokémon GO Moves'!$B$"&amp;MATCH($E439,'0.1.1 Pokémon GO Moves'!$A$1:$A951,0)&amp;":$R$"&amp;MATCH($E439,'0.1.1 Pokémon GO Moves'!$A$1:$A951,0)),'Reverse Search'!$E$21),COUNTIF(INDIRECT("'0.1.1 Pokémon GO Moves'!$B$"&amp;MATCH($E439,'0.1.1 Pokémon GO Moves'!$A$1:$A951,0)&amp;":$L$"&amp;MATCH($E439,'0.1.1 Pokémon GO Moves'!$A$1:$A951,0)),'Reverse Search'!$E$21)))))</f>
        <v>1</v>
      </c>
      <c r="AA439" s="0" t="n">
        <f aca="true">IF('Reverse Search'!$C$14="Disable",1,IF('Reverse Search'!$I$16="Disable",1,IF($D$2=3,IF($M439=0,0,COUNTIF(INDIRECT("'0.0.2 Pokémon Learnset (Core)'!$D$"&amp;MATCH($E439,'0.0.2 Pokémon Learnset (Core)'!$A$1:$A951,0)&amp;":$FK$"&amp;MATCH($E439,'0.0.2 Pokémon Learnset (Core)'!$A$1:$A951,0)),'Reverse Search'!$J$21)),IF($D$2=2,COUNTIF(INDIRECT("'0.1.1 Pokémon GO Moves'!$B$"&amp;MATCH($E439,'0.1.1 Pokémon GO Moves'!$A$1:$A951,0)&amp;":$R$"&amp;MATCH($E439,'0.1.1 Pokémon GO Moves'!$A$1:$A951,0)),'Reverse Search'!$J$21),COUNTIF(INDIRECT("'0.1.1 Pokémon GO Moves'!$B$"&amp;MATCH($E439,'0.1.1 Pokémon GO Moves'!$A$1:$A951,0)&amp;":$L$"&amp;MATCH($E439,'0.1.1 Pokémon GO Moves'!$A$1:$A951,0)),'Reverse Search'!$J$21)))))</f>
        <v>0</v>
      </c>
      <c r="AB439" s="490"/>
      <c r="AC439" s="260" t="n">
        <f aca="false">IF((Q439+R439+S439+V439+W439+X439+Y439+IF(Z439&gt;=1,1,0)+IF(AA439&gt;=1,1,0))=9,G439&amp;", ",)</f>
        <v>0</v>
      </c>
    </row>
    <row r="440" customFormat="false" ht="15.75" hidden="false" customHeight="false" outlineLevel="0" collapsed="false">
      <c r="A440" s="260"/>
      <c r="B440" s="358"/>
      <c r="C440" s="260"/>
      <c r="D440" s="358"/>
      <c r="E440" s="260" t="n">
        <v>439</v>
      </c>
      <c r="F440" s="260" t="n">
        <f aca="false" t="array" ref="F440:F440">INDEX('0.0.1 Pokémon Dex Data'!$H$3:$H951,MATCH(E440,'0.0.1 Pokémon Dex Data'!$B$3:$B951,0))</f>
        <v>0</v>
      </c>
      <c r="G440" s="0" t="str">
        <f aca="false" t="array" ref="G440:G440">INDEX('0.0.1 Pokémon Dex Data'!$E$3:$E951,MATCH(E440,'0.0.1 Pokémon Dex Data'!$B$3:$B951,0))</f>
        <v>Latias</v>
      </c>
      <c r="H440" s="0" t="str">
        <f aca="false" t="array" ref="H440:H440">INDEX('0.0.1 Pokémon Dex Data'!$Q$3:$Q951,MATCH(E440,'0.0.1 Pokémon Dex Data'!$B$3:$B951,0))</f>
        <v>Dragon</v>
      </c>
      <c r="I440" s="0" t="str">
        <f aca="false" t="array" ref="I440:I440">INDEX('0.0.1 Pokémon Dex Data'!$R$3:$R951,MATCH(E440,'0.0.1 Pokémon Dex Data'!$B$3:$B951,0))</f>
        <v>Psychic</v>
      </c>
      <c r="J440" s="260" t="n">
        <f aca="false" t="array" ref="J440:J440">ROUND(INDEX('0.0.1 Pokémon Dex Data'!$S$3:$S951,MATCH($E440,'0.0.1 Pokémon Dex Data'!$B$3:$B951,0))*INDEX('0.0.1 Pokémon Dex Data'!T$3:T951,MATCH($E440,'0.0.1 Pokémon Dex Data'!$B$3:$B951,0)),0)</f>
        <v>228</v>
      </c>
      <c r="K440" s="260" t="n">
        <f aca="false" t="array" ref="K440:K440">ROUND(INDEX('0.0.1 Pokémon Dex Data'!$S$3:$S951,MATCH($E440,'0.0.1 Pokémon Dex Data'!$B$3:$B951,0))*INDEX('0.0.1 Pokémon Dex Data'!U$3:U951,MATCH($E440,'0.0.1 Pokémon Dex Data'!$B$3:$B951,0)),0)</f>
        <v>246</v>
      </c>
      <c r="L440" s="260" t="n">
        <f aca="false" t="array" ref="L440:L440">ROUND(INDEX('0.0.1 Pokémon Dex Data'!$S$3:$S951,MATCH($E440,'0.0.1 Pokémon Dex Data'!$B$3:$B951,0))*INDEX('0.0.1 Pokémon Dex Data'!V$3:V951,MATCH($E440,'0.0.1 Pokémon Dex Data'!$B$3:$B951,0)),0)</f>
        <v>190</v>
      </c>
      <c r="M440" s="260" t="n">
        <f aca="false" t="array" ref="M440:M440">INDEX('0.0.1 Pokémon Dex Data'!$J$3:$J951,MATCH(E440,'0.0.1 Pokémon Dex Data'!$B$3:$B951,0))</f>
        <v>1</v>
      </c>
      <c r="O440" s="490"/>
      <c r="Q440" s="367" t="n">
        <f aca="false">IF('Reverse Search'!$F$4="All (including temporary formes)",1,IF('Reverse Search'!$F$4="Base Pokémon and permanent formes only",IF(F440&lt;=1,1,0),IF(F440=0,1,0)))</f>
        <v>1</v>
      </c>
      <c r="R440" s="0" t="n">
        <f aca="false">IF('Reverse Search'!$C$7="Disable",1,IF('Reverse Search'!$D$9="Disable",1,IF(OR('Reverse Search'!$F$9=H440,'Reverse Search'!$F$9=I440),1,0)))</f>
        <v>1</v>
      </c>
      <c r="S440" s="0" t="n">
        <f aca="false">IF('Reverse Search'!$C$7="Disable",1,IF('Reverse Search'!$D$10="Disable",1,IF(OR('Reverse Search'!$F$10=H440,'Reverse Search'!$F$10=I440),1,0)))</f>
        <v>1</v>
      </c>
      <c r="T440" s="0" t="n">
        <f aca="false">INDEX($B$4:$B$22,MATCH(H440,$A$4:$A$22,0))</f>
        <v>1</v>
      </c>
      <c r="U440" s="0" t="n">
        <f aca="false">IF(ISBLANK(I440),1,INDEX($B$4:$B$22,MATCH(I440,$A$4:$A$22,0)))</f>
        <v>1</v>
      </c>
      <c r="V440" s="367" t="n">
        <f aca="false">IF('Reverse Search'!$C$7="Disable",1,IF('Reverse Search'!$D$11="Disable",1,IF('Reverse Search'!$E$11="Neutral to:",IF(ROUND(T440*U440,2)&lt;=1,1,0),IF(ROUND(T440*U440,2)&lt;1,1,0))))</f>
        <v>1</v>
      </c>
      <c r="W440" s="0" t="n">
        <f aca="false">IF('Reverse Search'!$N$7="Disable",1,IF('Reverse Search'!$I$9="Disable",1,IF('Reverse Search'!$K$9="≥",IF(J440&gt;='Reverse Search'!$L$9,1,0),IF('Reverse Search'!$K$9="≤",IF(J440&lt;='Reverse Search'!$L$9,1,0),IF(J440='Reverse Search'!$L$9,1,0)))))</f>
        <v>1</v>
      </c>
      <c r="X440" s="0" t="n">
        <f aca="false">IF('Reverse Search'!$N$7="Disable",1,IF('Reverse Search'!$I$10="Disable",1,IF('Reverse Search'!$K$10="≥",IF(K440&gt;='Reverse Search'!$L$10,1,0),IF('Reverse Search'!$K$10="≤",IF(K440&lt;='Reverse Search'!$L$10,1,0),IF(K440='Reverse Search'!$L$10,1,0)))))</f>
        <v>1</v>
      </c>
      <c r="Y440" s="367" t="n">
        <f aca="false">IF('Reverse Search'!$N$7="Disable",1,IF('Reverse Search'!$I$11="Disable",1,IF('Reverse Search'!$K$11="≥",IF(L440&gt;='Reverse Search'!$L$11,1,0),IF('Reverse Search'!$K$11="≤",IF(L440&lt;='Reverse Search'!$L$11,1,0),IF(L440='Reverse Search'!$L$11,1,0)))))</f>
        <v>1</v>
      </c>
      <c r="Z440" s="0" t="n">
        <f aca="true">IF('Reverse Search'!$C$14="Disable",1,IF('Reverse Search'!$D$16="Disable",1,IF($C$2=3,IF($M440=0,0,COUNTIF(INDIRECT("'0.0.2 Pokémon Learnset (Core)'!$D$"&amp;MATCH($E440,'0.0.2 Pokémon Learnset (Core)'!$A$1:$A951,0)&amp;":$FK$"&amp;MATCH($E440,'0.0.2 Pokémon Learnset (Core)'!$A$1:$A951,0)),'Reverse Search'!$E$21)),IF($C$2=2,COUNTIF(INDIRECT("'0.1.1 Pokémon GO Moves'!$B$"&amp;MATCH($E440,'0.1.1 Pokémon GO Moves'!$A$1:$A951,0)&amp;":$R$"&amp;MATCH($E440,'0.1.1 Pokémon GO Moves'!$A$1:$A951,0)),'Reverse Search'!$E$21),COUNTIF(INDIRECT("'0.1.1 Pokémon GO Moves'!$B$"&amp;MATCH($E440,'0.1.1 Pokémon GO Moves'!$A$1:$A951,0)&amp;":$L$"&amp;MATCH($E440,'0.1.1 Pokémon GO Moves'!$A$1:$A951,0)),'Reverse Search'!$E$21)))))</f>
        <v>1</v>
      </c>
      <c r="AA440" s="0" t="n">
        <f aca="true">IF('Reverse Search'!$C$14="Disable",1,IF('Reverse Search'!$I$16="Disable",1,IF($D$2=3,IF($M440=0,0,COUNTIF(INDIRECT("'0.0.2 Pokémon Learnset (Core)'!$D$"&amp;MATCH($E440,'0.0.2 Pokémon Learnset (Core)'!$A$1:$A951,0)&amp;":$FK$"&amp;MATCH($E440,'0.0.2 Pokémon Learnset (Core)'!$A$1:$A951,0)),'Reverse Search'!$J$21)),IF($D$2=2,COUNTIF(INDIRECT("'0.1.1 Pokémon GO Moves'!$B$"&amp;MATCH($E440,'0.1.1 Pokémon GO Moves'!$A$1:$A951,0)&amp;":$R$"&amp;MATCH($E440,'0.1.1 Pokémon GO Moves'!$A$1:$A951,0)),'Reverse Search'!$J$21),COUNTIF(INDIRECT("'0.1.1 Pokémon GO Moves'!$B$"&amp;MATCH($E440,'0.1.1 Pokémon GO Moves'!$A$1:$A951,0)&amp;":$L$"&amp;MATCH($E440,'0.1.1 Pokémon GO Moves'!$A$1:$A951,0)),'Reverse Search'!$J$21)))))</f>
        <v>0</v>
      </c>
      <c r="AB440" s="490"/>
      <c r="AC440" s="260" t="n">
        <f aca="false">IF((Q440+R440+S440+V440+W440+X440+Y440+IF(Z440&gt;=1,1,0)+IF(AA440&gt;=1,1,0))=9,G440&amp;", ",)</f>
        <v>0</v>
      </c>
    </row>
    <row r="441" customFormat="false" ht="15.75" hidden="false" customHeight="false" outlineLevel="0" collapsed="false">
      <c r="A441" s="260"/>
      <c r="B441" s="358"/>
      <c r="C441" s="260"/>
      <c r="D441" s="358"/>
      <c r="E441" s="260" t="n">
        <v>440</v>
      </c>
      <c r="F441" s="260" t="n">
        <f aca="false" t="array" ref="F441:F441">INDEX('0.0.1 Pokémon Dex Data'!$H$3:$H951,MATCH(E441,'0.0.1 Pokémon Dex Data'!$B$3:$B951,0))</f>
        <v>2</v>
      </c>
      <c r="G441" s="0" t="str">
        <f aca="false" t="array" ref="G441:G441">INDEX('0.0.1 Pokémon Dex Data'!$E$3:$E951,MATCH(E441,'0.0.1 Pokémon Dex Data'!$B$3:$B951,0))</f>
        <v>Latias-Mega</v>
      </c>
      <c r="H441" s="0" t="str">
        <f aca="false" t="array" ref="H441:H441">INDEX('0.0.1 Pokémon Dex Data'!$Q$3:$Q951,MATCH(E441,'0.0.1 Pokémon Dex Data'!$B$3:$B951,0))</f>
        <v>Dragon</v>
      </c>
      <c r="I441" s="0" t="str">
        <f aca="false" t="array" ref="I441:I441">INDEX('0.0.1 Pokémon Dex Data'!$R$3:$R951,MATCH(E441,'0.0.1 Pokémon Dex Data'!$B$3:$B951,0))</f>
        <v>Psychic</v>
      </c>
      <c r="J441" s="260" t="n">
        <f aca="false" t="array" ref="J441:J441">ROUND(INDEX('0.0.1 Pokémon Dex Data'!$S$3:$S951,MATCH($E441,'0.0.1 Pokémon Dex Data'!$B$3:$B951,0))*INDEX('0.0.1 Pokémon Dex Data'!T$3:T951,MATCH($E441,'0.0.1 Pokémon Dex Data'!$B$3:$B951,0)),0)</f>
        <v>289</v>
      </c>
      <c r="K441" s="260" t="n">
        <f aca="false" t="array" ref="K441:K441">ROUND(INDEX('0.0.1 Pokémon Dex Data'!$S$3:$S951,MATCH($E441,'0.0.1 Pokémon Dex Data'!$B$3:$B951,0))*INDEX('0.0.1 Pokémon Dex Data'!U$3:U951,MATCH($E441,'0.0.1 Pokémon Dex Data'!$B$3:$B951,0)),0)</f>
        <v>297</v>
      </c>
      <c r="L441" s="260" t="n">
        <f aca="false" t="array" ref="L441:L441">ROUND(INDEX('0.0.1 Pokémon Dex Data'!$S$3:$S951,MATCH($E441,'0.0.1 Pokémon Dex Data'!$B$3:$B951,0))*INDEX('0.0.1 Pokémon Dex Data'!V$3:V951,MATCH($E441,'0.0.1 Pokémon Dex Data'!$B$3:$B951,0)),0)</f>
        <v>190</v>
      </c>
      <c r="M441" s="260" t="n">
        <f aca="false" t="array" ref="M441:M441">INDEX('0.0.1 Pokémon Dex Data'!$J$3:$J951,MATCH(E441,'0.0.1 Pokémon Dex Data'!$B$3:$B951,0))</f>
        <v>1</v>
      </c>
      <c r="O441" s="490"/>
      <c r="Q441" s="367" t="n">
        <f aca="false">IF('Reverse Search'!$F$4="All (including temporary formes)",1,IF('Reverse Search'!$F$4="Base Pokémon and permanent formes only",IF(F441&lt;=1,1,0),IF(F441=0,1,0)))</f>
        <v>0</v>
      </c>
      <c r="R441" s="0" t="n">
        <f aca="false">IF('Reverse Search'!$C$7="Disable",1,IF('Reverse Search'!$D$9="Disable",1,IF(OR('Reverse Search'!$F$9=H441,'Reverse Search'!$F$9=I441),1,0)))</f>
        <v>1</v>
      </c>
      <c r="S441" s="0" t="n">
        <f aca="false">IF('Reverse Search'!$C$7="Disable",1,IF('Reverse Search'!$D$10="Disable",1,IF(OR('Reverse Search'!$F$10=H441,'Reverse Search'!$F$10=I441),1,0)))</f>
        <v>1</v>
      </c>
      <c r="T441" s="0" t="n">
        <f aca="false">INDEX($B$4:$B$22,MATCH(H441,$A$4:$A$22,0))</f>
        <v>1</v>
      </c>
      <c r="U441" s="0" t="n">
        <f aca="false">IF(ISBLANK(I441),1,INDEX($B$4:$B$22,MATCH(I441,$A$4:$A$22,0)))</f>
        <v>1</v>
      </c>
      <c r="V441" s="367" t="n">
        <f aca="false">IF('Reverse Search'!$C$7="Disable",1,IF('Reverse Search'!$D$11="Disable",1,IF('Reverse Search'!$E$11="Neutral to:",IF(ROUND(T441*U441,2)&lt;=1,1,0),IF(ROUND(T441*U441,2)&lt;1,1,0))))</f>
        <v>1</v>
      </c>
      <c r="W441" s="0" t="n">
        <f aca="false">IF('Reverse Search'!$N$7="Disable",1,IF('Reverse Search'!$I$9="Disable",1,IF('Reverse Search'!$K$9="≥",IF(J441&gt;='Reverse Search'!$L$9,1,0),IF('Reverse Search'!$K$9="≤",IF(J441&lt;='Reverse Search'!$L$9,1,0),IF(J441='Reverse Search'!$L$9,1,0)))))</f>
        <v>1</v>
      </c>
      <c r="X441" s="0" t="n">
        <f aca="false">IF('Reverse Search'!$N$7="Disable",1,IF('Reverse Search'!$I$10="Disable",1,IF('Reverse Search'!$K$10="≥",IF(K441&gt;='Reverse Search'!$L$10,1,0),IF('Reverse Search'!$K$10="≤",IF(K441&lt;='Reverse Search'!$L$10,1,0),IF(K441='Reverse Search'!$L$10,1,0)))))</f>
        <v>1</v>
      </c>
      <c r="Y441" s="367" t="n">
        <f aca="false">IF('Reverse Search'!$N$7="Disable",1,IF('Reverse Search'!$I$11="Disable",1,IF('Reverse Search'!$K$11="≥",IF(L441&gt;='Reverse Search'!$L$11,1,0),IF('Reverse Search'!$K$11="≤",IF(L441&lt;='Reverse Search'!$L$11,1,0),IF(L441='Reverse Search'!$L$11,1,0)))))</f>
        <v>1</v>
      </c>
      <c r="Z441" s="0" t="n">
        <f aca="true">IF('Reverse Search'!$C$14="Disable",1,IF('Reverse Search'!$D$16="Disable",1,IF($C$2=3,IF($M441=0,0,COUNTIF(INDIRECT("'0.0.2 Pokémon Learnset (Core)'!$D$"&amp;MATCH($E441,'0.0.2 Pokémon Learnset (Core)'!$A$1:$A951,0)&amp;":$FK$"&amp;MATCH($E441,'0.0.2 Pokémon Learnset (Core)'!$A$1:$A951,0)),'Reverse Search'!$E$21)),IF($C$2=2,COUNTIF(INDIRECT("'0.1.1 Pokémon GO Moves'!$B$"&amp;MATCH($E441,'0.1.1 Pokémon GO Moves'!$A$1:$A951,0)&amp;":$R$"&amp;MATCH($E441,'0.1.1 Pokémon GO Moves'!$A$1:$A951,0)),'Reverse Search'!$E$21),COUNTIF(INDIRECT("'0.1.1 Pokémon GO Moves'!$B$"&amp;MATCH($E441,'0.1.1 Pokémon GO Moves'!$A$1:$A951,0)&amp;":$L$"&amp;MATCH($E441,'0.1.1 Pokémon GO Moves'!$A$1:$A951,0)),'Reverse Search'!$E$21)))))</f>
        <v>1</v>
      </c>
      <c r="AA441" s="0" t="e">
        <f aca="true">IF('Reverse Search'!$C$14="Disable",1,IF('Reverse Search'!$I$16="Disable",1,IF($D$2=3,IF($M441=0,0,COUNTIF(INDIRECT("'0.0.2 Pokémon Learnset (Core)'!$D$"&amp;MATCH($E441,'0.0.2 Pokémon Learnset (Core)'!$A$1:$A951,0)&amp;":$FK$"&amp;MATCH($E441,'0.0.2 Pokémon Learnset (Core)'!$A$1:$A951,0)),'Reverse Search'!$J$21)),IF($D$2=2,COUNTIF(INDIRECT("'0.1.1 Pokémon GO Moves'!$B$"&amp;MATCH($E441,'0.1.1 Pokémon GO Moves'!$A$1:$A951,0)&amp;":$R$"&amp;MATCH($E441,'0.1.1 Pokémon GO Moves'!$A$1:$A951,0)),'Reverse Search'!$J$21),COUNTIF(INDIRECT("'0.1.1 Pokémon GO Moves'!$B$"&amp;MATCH($E441,'0.1.1 Pokémon GO Moves'!$A$1:$A951,0)&amp;":$L$"&amp;MATCH($E441,'0.1.1 Pokémon GO Moves'!$A$1:$A951,0)),'Reverse Search'!$J$21)))))</f>
        <v>#N/A</v>
      </c>
      <c r="AB441" s="490"/>
      <c r="AC441" s="260" t="e">
        <f aca="false">IF((Q441+R441+S441+V441+W441+X441+Y441+IF(Z441&gt;=1,1,0)+IF(AA441&gt;=1,1,0))=9,G441&amp;", ",)</f>
        <v>#N/A</v>
      </c>
    </row>
    <row r="442" customFormat="false" ht="15.75" hidden="false" customHeight="false" outlineLevel="0" collapsed="false">
      <c r="A442" s="260"/>
      <c r="B442" s="358"/>
      <c r="C442" s="260"/>
      <c r="D442" s="358"/>
      <c r="E442" s="260" t="n">
        <v>441</v>
      </c>
      <c r="F442" s="260" t="n">
        <f aca="false" t="array" ref="F442:F442">INDEX('0.0.1 Pokémon Dex Data'!$H$3:$H951,MATCH(E442,'0.0.1 Pokémon Dex Data'!$B$3:$B951,0))</f>
        <v>0</v>
      </c>
      <c r="G442" s="0" t="str">
        <f aca="false" t="array" ref="G442:G442">INDEX('0.0.1 Pokémon Dex Data'!$E$3:$E951,MATCH(E442,'0.0.1 Pokémon Dex Data'!$B$3:$B951,0))</f>
        <v>Latios</v>
      </c>
      <c r="H442" s="0" t="str">
        <f aca="false" t="array" ref="H442:H442">INDEX('0.0.1 Pokémon Dex Data'!$Q$3:$Q951,MATCH(E442,'0.0.1 Pokémon Dex Data'!$B$3:$B951,0))</f>
        <v>Dragon</v>
      </c>
      <c r="I442" s="0" t="str">
        <f aca="false" t="array" ref="I442:I442">INDEX('0.0.1 Pokémon Dex Data'!$R$3:$R951,MATCH(E442,'0.0.1 Pokémon Dex Data'!$B$3:$B951,0))</f>
        <v>Psychic</v>
      </c>
      <c r="J442" s="260" t="n">
        <f aca="false" t="array" ref="J442:J442">ROUND(INDEX('0.0.1 Pokémon Dex Data'!$S$3:$S951,MATCH($E442,'0.0.1 Pokémon Dex Data'!$B$3:$B951,0))*INDEX('0.0.1 Pokémon Dex Data'!T$3:T951,MATCH($E442,'0.0.1 Pokémon Dex Data'!$B$3:$B951,0)),0)</f>
        <v>268</v>
      </c>
      <c r="K442" s="260" t="n">
        <f aca="false" t="array" ref="K442:K442">ROUND(INDEX('0.0.1 Pokémon Dex Data'!$S$3:$S951,MATCH($E442,'0.0.1 Pokémon Dex Data'!$B$3:$B951,0))*INDEX('0.0.1 Pokémon Dex Data'!U$3:U951,MATCH($E442,'0.0.1 Pokémon Dex Data'!$B$3:$B951,0)),0)</f>
        <v>212</v>
      </c>
      <c r="L442" s="260" t="n">
        <f aca="false" t="array" ref="L442:L442">ROUND(INDEX('0.0.1 Pokémon Dex Data'!$S$3:$S951,MATCH($E442,'0.0.1 Pokémon Dex Data'!$B$3:$B951,0))*INDEX('0.0.1 Pokémon Dex Data'!V$3:V951,MATCH($E442,'0.0.1 Pokémon Dex Data'!$B$3:$B951,0)),0)</f>
        <v>190</v>
      </c>
      <c r="M442" s="260" t="n">
        <f aca="false" t="array" ref="M442:M442">INDEX('0.0.1 Pokémon Dex Data'!$J$3:$J951,MATCH(E442,'0.0.1 Pokémon Dex Data'!$B$3:$B951,0))</f>
        <v>1</v>
      </c>
      <c r="O442" s="490"/>
      <c r="Q442" s="367" t="n">
        <f aca="false">IF('Reverse Search'!$F$4="All (including temporary formes)",1,IF('Reverse Search'!$F$4="Base Pokémon and permanent formes only",IF(F442&lt;=1,1,0),IF(F442=0,1,0)))</f>
        <v>1</v>
      </c>
      <c r="R442" s="0" t="n">
        <f aca="false">IF('Reverse Search'!$C$7="Disable",1,IF('Reverse Search'!$D$9="Disable",1,IF(OR('Reverse Search'!$F$9=H442,'Reverse Search'!$F$9=I442),1,0)))</f>
        <v>1</v>
      </c>
      <c r="S442" s="0" t="n">
        <f aca="false">IF('Reverse Search'!$C$7="Disable",1,IF('Reverse Search'!$D$10="Disable",1,IF(OR('Reverse Search'!$F$10=H442,'Reverse Search'!$F$10=I442),1,0)))</f>
        <v>1</v>
      </c>
      <c r="T442" s="0" t="n">
        <f aca="false">INDEX($B$4:$B$22,MATCH(H442,$A$4:$A$22,0))</f>
        <v>1</v>
      </c>
      <c r="U442" s="0" t="n">
        <f aca="false">IF(ISBLANK(I442),1,INDEX($B$4:$B$22,MATCH(I442,$A$4:$A$22,0)))</f>
        <v>1</v>
      </c>
      <c r="V442" s="367" t="n">
        <f aca="false">IF('Reverse Search'!$C$7="Disable",1,IF('Reverse Search'!$D$11="Disable",1,IF('Reverse Search'!$E$11="Neutral to:",IF(ROUND(T442*U442,2)&lt;=1,1,0),IF(ROUND(T442*U442,2)&lt;1,1,0))))</f>
        <v>1</v>
      </c>
      <c r="W442" s="0" t="n">
        <f aca="false">IF('Reverse Search'!$N$7="Disable",1,IF('Reverse Search'!$I$9="Disable",1,IF('Reverse Search'!$K$9="≥",IF(J442&gt;='Reverse Search'!$L$9,1,0),IF('Reverse Search'!$K$9="≤",IF(J442&lt;='Reverse Search'!$L$9,1,0),IF(J442='Reverse Search'!$L$9,1,0)))))</f>
        <v>1</v>
      </c>
      <c r="X442" s="0" t="n">
        <f aca="false">IF('Reverse Search'!$N$7="Disable",1,IF('Reverse Search'!$I$10="Disable",1,IF('Reverse Search'!$K$10="≥",IF(K442&gt;='Reverse Search'!$L$10,1,0),IF('Reverse Search'!$K$10="≤",IF(K442&lt;='Reverse Search'!$L$10,1,0),IF(K442='Reverse Search'!$L$10,1,0)))))</f>
        <v>1</v>
      </c>
      <c r="Y442" s="367" t="n">
        <f aca="false">IF('Reverse Search'!$N$7="Disable",1,IF('Reverse Search'!$I$11="Disable",1,IF('Reverse Search'!$K$11="≥",IF(L442&gt;='Reverse Search'!$L$11,1,0),IF('Reverse Search'!$K$11="≤",IF(L442&lt;='Reverse Search'!$L$11,1,0),IF(L442='Reverse Search'!$L$11,1,0)))))</f>
        <v>1</v>
      </c>
      <c r="Z442" s="0" t="n">
        <f aca="true">IF('Reverse Search'!$C$14="Disable",1,IF('Reverse Search'!$D$16="Disable",1,IF($C$2=3,IF($M442=0,0,COUNTIF(INDIRECT("'0.0.2 Pokémon Learnset (Core)'!$D$"&amp;MATCH($E442,'0.0.2 Pokémon Learnset (Core)'!$A$1:$A951,0)&amp;":$FK$"&amp;MATCH($E442,'0.0.2 Pokémon Learnset (Core)'!$A$1:$A951,0)),'Reverse Search'!$E$21)),IF($C$2=2,COUNTIF(INDIRECT("'0.1.1 Pokémon GO Moves'!$B$"&amp;MATCH($E442,'0.1.1 Pokémon GO Moves'!$A$1:$A951,0)&amp;":$R$"&amp;MATCH($E442,'0.1.1 Pokémon GO Moves'!$A$1:$A951,0)),'Reverse Search'!$E$21),COUNTIF(INDIRECT("'0.1.1 Pokémon GO Moves'!$B$"&amp;MATCH($E442,'0.1.1 Pokémon GO Moves'!$A$1:$A951,0)&amp;":$L$"&amp;MATCH($E442,'0.1.1 Pokémon GO Moves'!$A$1:$A951,0)),'Reverse Search'!$E$21)))))</f>
        <v>1</v>
      </c>
      <c r="AA442" s="0" t="n">
        <f aca="true">IF('Reverse Search'!$C$14="Disable",1,IF('Reverse Search'!$I$16="Disable",1,IF($D$2=3,IF($M442=0,0,COUNTIF(INDIRECT("'0.0.2 Pokémon Learnset (Core)'!$D$"&amp;MATCH($E442,'0.0.2 Pokémon Learnset (Core)'!$A$1:$A951,0)&amp;":$FK$"&amp;MATCH($E442,'0.0.2 Pokémon Learnset (Core)'!$A$1:$A951,0)),'Reverse Search'!$J$21)),IF($D$2=2,COUNTIF(INDIRECT("'0.1.1 Pokémon GO Moves'!$B$"&amp;MATCH($E442,'0.1.1 Pokémon GO Moves'!$A$1:$A951,0)&amp;":$R$"&amp;MATCH($E442,'0.1.1 Pokémon GO Moves'!$A$1:$A951,0)),'Reverse Search'!$J$21),COUNTIF(INDIRECT("'0.1.1 Pokémon GO Moves'!$B$"&amp;MATCH($E442,'0.1.1 Pokémon GO Moves'!$A$1:$A951,0)&amp;":$L$"&amp;MATCH($E442,'0.1.1 Pokémon GO Moves'!$A$1:$A951,0)),'Reverse Search'!$J$21)))))</f>
        <v>0</v>
      </c>
      <c r="AB442" s="490"/>
      <c r="AC442" s="260" t="n">
        <f aca="false">IF((Q442+R442+S442+V442+W442+X442+Y442+IF(Z442&gt;=1,1,0)+IF(AA442&gt;=1,1,0))=9,G442&amp;", ",)</f>
        <v>0</v>
      </c>
    </row>
    <row r="443" customFormat="false" ht="15.75" hidden="false" customHeight="false" outlineLevel="0" collapsed="false">
      <c r="A443" s="260"/>
      <c r="B443" s="358"/>
      <c r="C443" s="260"/>
      <c r="D443" s="358"/>
      <c r="E443" s="260" t="n">
        <v>442</v>
      </c>
      <c r="F443" s="260" t="n">
        <f aca="false" t="array" ref="F443:F443">INDEX('0.0.1 Pokémon Dex Data'!$H$3:$H951,MATCH(E443,'0.0.1 Pokémon Dex Data'!$B$3:$B951,0))</f>
        <v>2</v>
      </c>
      <c r="G443" s="0" t="str">
        <f aca="false" t="array" ref="G443:G443">INDEX('0.0.1 Pokémon Dex Data'!$E$3:$E951,MATCH(E443,'0.0.1 Pokémon Dex Data'!$B$3:$B951,0))</f>
        <v>Latios-Mega</v>
      </c>
      <c r="H443" s="0" t="str">
        <f aca="false" t="array" ref="H443:H443">INDEX('0.0.1 Pokémon Dex Data'!$Q$3:$Q951,MATCH(E443,'0.0.1 Pokémon Dex Data'!$B$3:$B951,0))</f>
        <v>Dragon</v>
      </c>
      <c r="I443" s="0" t="str">
        <f aca="false" t="array" ref="I443:I443">INDEX('0.0.1 Pokémon Dex Data'!$R$3:$R951,MATCH(E443,'0.0.1 Pokémon Dex Data'!$B$3:$B951,0))</f>
        <v>Psychic</v>
      </c>
      <c r="J443" s="260" t="n">
        <f aca="false" t="array" ref="J443:J443">ROUND(INDEX('0.0.1 Pokémon Dex Data'!$S$3:$S951,MATCH($E443,'0.0.1 Pokémon Dex Data'!$B$3:$B951,0))*INDEX('0.0.1 Pokémon Dex Data'!T$3:T951,MATCH($E443,'0.0.1 Pokémon Dex Data'!$B$3:$B951,0)),0)</f>
        <v>335</v>
      </c>
      <c r="K443" s="260" t="n">
        <f aca="false" t="array" ref="K443:K443">ROUND(INDEX('0.0.1 Pokémon Dex Data'!$S$3:$S951,MATCH($E443,'0.0.1 Pokémon Dex Data'!$B$3:$B951,0))*INDEX('0.0.1 Pokémon Dex Data'!U$3:U951,MATCH($E443,'0.0.1 Pokémon Dex Data'!$B$3:$B951,0)),0)</f>
        <v>241</v>
      </c>
      <c r="L443" s="260" t="n">
        <f aca="false" t="array" ref="L443:L443">ROUND(INDEX('0.0.1 Pokémon Dex Data'!$S$3:$S951,MATCH($E443,'0.0.1 Pokémon Dex Data'!$B$3:$B951,0))*INDEX('0.0.1 Pokémon Dex Data'!V$3:V951,MATCH($E443,'0.0.1 Pokémon Dex Data'!$B$3:$B951,0)),0)</f>
        <v>190</v>
      </c>
      <c r="M443" s="260" t="n">
        <f aca="false" t="array" ref="M443:M443">INDEX('0.0.1 Pokémon Dex Data'!$J$3:$J951,MATCH(E443,'0.0.1 Pokémon Dex Data'!$B$3:$B951,0))</f>
        <v>1</v>
      </c>
      <c r="O443" s="490"/>
      <c r="Q443" s="367" t="n">
        <f aca="false">IF('Reverse Search'!$F$4="All (including temporary formes)",1,IF('Reverse Search'!$F$4="Base Pokémon and permanent formes only",IF(F443&lt;=1,1,0),IF(F443=0,1,0)))</f>
        <v>0</v>
      </c>
      <c r="R443" s="0" t="n">
        <f aca="false">IF('Reverse Search'!$C$7="Disable",1,IF('Reverse Search'!$D$9="Disable",1,IF(OR('Reverse Search'!$F$9=H443,'Reverse Search'!$F$9=I443),1,0)))</f>
        <v>1</v>
      </c>
      <c r="S443" s="0" t="n">
        <f aca="false">IF('Reverse Search'!$C$7="Disable",1,IF('Reverse Search'!$D$10="Disable",1,IF(OR('Reverse Search'!$F$10=H443,'Reverse Search'!$F$10=I443),1,0)))</f>
        <v>1</v>
      </c>
      <c r="T443" s="0" t="n">
        <f aca="false">INDEX($B$4:$B$22,MATCH(H443,$A$4:$A$22,0))</f>
        <v>1</v>
      </c>
      <c r="U443" s="0" t="n">
        <f aca="false">IF(ISBLANK(I443),1,INDEX($B$4:$B$22,MATCH(I443,$A$4:$A$22,0)))</f>
        <v>1</v>
      </c>
      <c r="V443" s="367" t="n">
        <f aca="false">IF('Reverse Search'!$C$7="Disable",1,IF('Reverse Search'!$D$11="Disable",1,IF('Reverse Search'!$E$11="Neutral to:",IF(ROUND(T443*U443,2)&lt;=1,1,0),IF(ROUND(T443*U443,2)&lt;1,1,0))))</f>
        <v>1</v>
      </c>
      <c r="W443" s="0" t="n">
        <f aca="false">IF('Reverse Search'!$N$7="Disable",1,IF('Reverse Search'!$I$9="Disable",1,IF('Reverse Search'!$K$9="≥",IF(J443&gt;='Reverse Search'!$L$9,1,0),IF('Reverse Search'!$K$9="≤",IF(J443&lt;='Reverse Search'!$L$9,1,0),IF(J443='Reverse Search'!$L$9,1,0)))))</f>
        <v>1</v>
      </c>
      <c r="X443" s="0" t="n">
        <f aca="false">IF('Reverse Search'!$N$7="Disable",1,IF('Reverse Search'!$I$10="Disable",1,IF('Reverse Search'!$K$10="≥",IF(K443&gt;='Reverse Search'!$L$10,1,0),IF('Reverse Search'!$K$10="≤",IF(K443&lt;='Reverse Search'!$L$10,1,0),IF(K443='Reverse Search'!$L$10,1,0)))))</f>
        <v>1</v>
      </c>
      <c r="Y443" s="367" t="n">
        <f aca="false">IF('Reverse Search'!$N$7="Disable",1,IF('Reverse Search'!$I$11="Disable",1,IF('Reverse Search'!$K$11="≥",IF(L443&gt;='Reverse Search'!$L$11,1,0),IF('Reverse Search'!$K$11="≤",IF(L443&lt;='Reverse Search'!$L$11,1,0),IF(L443='Reverse Search'!$L$11,1,0)))))</f>
        <v>1</v>
      </c>
      <c r="Z443" s="0" t="n">
        <f aca="true">IF('Reverse Search'!$C$14="Disable",1,IF('Reverse Search'!$D$16="Disable",1,IF($C$2=3,IF($M443=0,0,COUNTIF(INDIRECT("'0.0.2 Pokémon Learnset (Core)'!$D$"&amp;MATCH($E443,'0.0.2 Pokémon Learnset (Core)'!$A$1:$A951,0)&amp;":$FK$"&amp;MATCH($E443,'0.0.2 Pokémon Learnset (Core)'!$A$1:$A951,0)),'Reverse Search'!$E$21)),IF($C$2=2,COUNTIF(INDIRECT("'0.1.1 Pokémon GO Moves'!$B$"&amp;MATCH($E443,'0.1.1 Pokémon GO Moves'!$A$1:$A951,0)&amp;":$R$"&amp;MATCH($E443,'0.1.1 Pokémon GO Moves'!$A$1:$A951,0)),'Reverse Search'!$E$21),COUNTIF(INDIRECT("'0.1.1 Pokémon GO Moves'!$B$"&amp;MATCH($E443,'0.1.1 Pokémon GO Moves'!$A$1:$A951,0)&amp;":$L$"&amp;MATCH($E443,'0.1.1 Pokémon GO Moves'!$A$1:$A951,0)),'Reverse Search'!$E$21)))))</f>
        <v>1</v>
      </c>
      <c r="AA443" s="0" t="e">
        <f aca="true">IF('Reverse Search'!$C$14="Disable",1,IF('Reverse Search'!$I$16="Disable",1,IF($D$2=3,IF($M443=0,0,COUNTIF(INDIRECT("'0.0.2 Pokémon Learnset (Core)'!$D$"&amp;MATCH($E443,'0.0.2 Pokémon Learnset (Core)'!$A$1:$A951,0)&amp;":$FK$"&amp;MATCH($E443,'0.0.2 Pokémon Learnset (Core)'!$A$1:$A951,0)),'Reverse Search'!$J$21)),IF($D$2=2,COUNTIF(INDIRECT("'0.1.1 Pokémon GO Moves'!$B$"&amp;MATCH($E443,'0.1.1 Pokémon GO Moves'!$A$1:$A951,0)&amp;":$R$"&amp;MATCH($E443,'0.1.1 Pokémon GO Moves'!$A$1:$A951,0)),'Reverse Search'!$J$21),COUNTIF(INDIRECT("'0.1.1 Pokémon GO Moves'!$B$"&amp;MATCH($E443,'0.1.1 Pokémon GO Moves'!$A$1:$A951,0)&amp;":$L$"&amp;MATCH($E443,'0.1.1 Pokémon GO Moves'!$A$1:$A951,0)),'Reverse Search'!$J$21)))))</f>
        <v>#N/A</v>
      </c>
      <c r="AB443" s="490"/>
      <c r="AC443" s="260" t="e">
        <f aca="false">IF((Q443+R443+S443+V443+W443+X443+Y443+IF(Z443&gt;=1,1,0)+IF(AA443&gt;=1,1,0))=9,G443&amp;", ",)</f>
        <v>#N/A</v>
      </c>
    </row>
    <row r="444" customFormat="false" ht="15.75" hidden="false" customHeight="false" outlineLevel="0" collapsed="false">
      <c r="A444" s="260"/>
      <c r="B444" s="358"/>
      <c r="C444" s="260"/>
      <c r="D444" s="358"/>
      <c r="E444" s="260" t="n">
        <v>443</v>
      </c>
      <c r="F444" s="260" t="n">
        <f aca="false" t="array" ref="F444:F444">INDEX('0.0.1 Pokémon Dex Data'!$H$3:$H951,MATCH(E444,'0.0.1 Pokémon Dex Data'!$B$3:$B951,0))</f>
        <v>0</v>
      </c>
      <c r="G444" s="0" t="str">
        <f aca="false" t="array" ref="G444:G444">INDEX('0.0.1 Pokémon Dex Data'!$E$3:$E951,MATCH(E444,'0.0.1 Pokémon Dex Data'!$B$3:$B951,0))</f>
        <v>Kyogre</v>
      </c>
      <c r="H444" s="0" t="str">
        <f aca="false" t="array" ref="H444:H444">INDEX('0.0.1 Pokémon Dex Data'!$Q$3:$Q951,MATCH(E444,'0.0.1 Pokémon Dex Data'!$B$3:$B951,0))</f>
        <v>Water</v>
      </c>
      <c r="I444" s="0" t="n">
        <f aca="false">INDEX('0.0.1 Pokémon Dex Data'!$R$3:$R951,MATCH(E444,'0.0.1 Pokémon Dex Data'!$B$3:$B951,0))</f>
        <v>0</v>
      </c>
      <c r="J444" s="260" t="n">
        <f aca="false" t="array" ref="J444:J444">ROUND(INDEX('0.0.1 Pokémon Dex Data'!$S$3:$S951,MATCH($E444,'0.0.1 Pokémon Dex Data'!$B$3:$B951,0))*INDEX('0.0.1 Pokémon Dex Data'!T$3:T951,MATCH($E444,'0.0.1 Pokémon Dex Data'!$B$3:$B951,0)),0)</f>
        <v>270</v>
      </c>
      <c r="K444" s="260" t="n">
        <f aca="false" t="array" ref="K444:K444">ROUND(INDEX('0.0.1 Pokémon Dex Data'!$S$3:$S951,MATCH($E444,'0.0.1 Pokémon Dex Data'!$B$3:$B951,0))*INDEX('0.0.1 Pokémon Dex Data'!U$3:U951,MATCH($E444,'0.0.1 Pokémon Dex Data'!$B$3:$B951,0)),0)</f>
        <v>227</v>
      </c>
      <c r="L444" s="260" t="n">
        <f aca="false" t="array" ref="L444:L444">ROUND(INDEX('0.0.1 Pokémon Dex Data'!$S$3:$S951,MATCH($E444,'0.0.1 Pokémon Dex Data'!$B$3:$B951,0))*INDEX('0.0.1 Pokémon Dex Data'!V$3:V951,MATCH($E444,'0.0.1 Pokémon Dex Data'!$B$3:$B951,0)),0)</f>
        <v>205</v>
      </c>
      <c r="M444" s="260" t="n">
        <f aca="false" t="array" ref="M444:M444">INDEX('0.0.1 Pokémon Dex Data'!$J$3:$J951,MATCH(E444,'0.0.1 Pokémon Dex Data'!$B$3:$B951,0))</f>
        <v>1</v>
      </c>
      <c r="O444" s="490"/>
      <c r="Q444" s="367" t="n">
        <f aca="false">IF('Reverse Search'!$F$4="All (including temporary formes)",1,IF('Reverse Search'!$F$4="Base Pokémon and permanent formes only",IF(F444&lt;=1,1,0),IF(F444=0,1,0)))</f>
        <v>1</v>
      </c>
      <c r="R444" s="0" t="n">
        <f aca="false">IF('Reverse Search'!$C$7="Disable",1,IF('Reverse Search'!$D$9="Disable",1,IF(OR('Reverse Search'!$F$9=H444,'Reverse Search'!$F$9=I444),1,0)))</f>
        <v>1</v>
      </c>
      <c r="S444" s="0" t="n">
        <f aca="false">IF('Reverse Search'!$C$7="Disable",1,IF('Reverse Search'!$D$10="Disable",1,IF(OR('Reverse Search'!$F$10=H444,'Reverse Search'!$F$10=I444),1,0)))</f>
        <v>1</v>
      </c>
      <c r="T444" s="0" t="n">
        <f aca="false">INDEX($B$4:$B$22,MATCH(H444,$A$4:$A$22,0))</f>
        <v>1</v>
      </c>
      <c r="U444" s="0" t="e">
        <f aca="false">IF(ISBLANK(I444),1,INDEX($B$4:$B$22,MATCH(I444,$A$4:$A$22,0)))</f>
        <v>#N/A</v>
      </c>
      <c r="V444" s="367" t="n">
        <f aca="false">IF('Reverse Search'!$C$7="Disable",1,IF('Reverse Search'!$D$11="Disable",1,IF('Reverse Search'!$E$11="Neutral to:",IF(ROUND(T444*U444,2)&lt;=1,1,0),IF(ROUND(T444*U444,2)&lt;1,1,0))))</f>
        <v>1</v>
      </c>
      <c r="W444" s="0" t="n">
        <f aca="false">IF('Reverse Search'!$N$7="Disable",1,IF('Reverse Search'!$I$9="Disable",1,IF('Reverse Search'!$K$9="≥",IF(J444&gt;='Reverse Search'!$L$9,1,0),IF('Reverse Search'!$K$9="≤",IF(J444&lt;='Reverse Search'!$L$9,1,0),IF(J444='Reverse Search'!$L$9,1,0)))))</f>
        <v>1</v>
      </c>
      <c r="X444" s="0" t="n">
        <f aca="false">IF('Reverse Search'!$N$7="Disable",1,IF('Reverse Search'!$I$10="Disable",1,IF('Reverse Search'!$K$10="≥",IF(K444&gt;='Reverse Search'!$L$10,1,0),IF('Reverse Search'!$K$10="≤",IF(K444&lt;='Reverse Search'!$L$10,1,0),IF(K444='Reverse Search'!$L$10,1,0)))))</f>
        <v>1</v>
      </c>
      <c r="Y444" s="367" t="n">
        <f aca="false">IF('Reverse Search'!$N$7="Disable",1,IF('Reverse Search'!$I$11="Disable",1,IF('Reverse Search'!$K$11="≥",IF(L444&gt;='Reverse Search'!$L$11,1,0),IF('Reverse Search'!$K$11="≤",IF(L444&lt;='Reverse Search'!$L$11,1,0),IF(L444='Reverse Search'!$L$11,1,0)))))</f>
        <v>1</v>
      </c>
      <c r="Z444" s="0" t="n">
        <f aca="true">IF('Reverse Search'!$C$14="Disable",1,IF('Reverse Search'!$D$16="Disable",1,IF($C$2=3,IF($M444=0,0,COUNTIF(INDIRECT("'0.0.2 Pokémon Learnset (Core)'!$D$"&amp;MATCH($E444,'0.0.2 Pokémon Learnset (Core)'!$A$1:$A951,0)&amp;":$FK$"&amp;MATCH($E444,'0.0.2 Pokémon Learnset (Core)'!$A$1:$A951,0)),'Reverse Search'!$E$21)),IF($C$2=2,COUNTIF(INDIRECT("'0.1.1 Pokémon GO Moves'!$B$"&amp;MATCH($E444,'0.1.1 Pokémon GO Moves'!$A$1:$A951,0)&amp;":$R$"&amp;MATCH($E444,'0.1.1 Pokémon GO Moves'!$A$1:$A951,0)),'Reverse Search'!$E$21),COUNTIF(INDIRECT("'0.1.1 Pokémon GO Moves'!$B$"&amp;MATCH($E444,'0.1.1 Pokémon GO Moves'!$A$1:$A951,0)&amp;":$L$"&amp;MATCH($E444,'0.1.1 Pokémon GO Moves'!$A$1:$A951,0)),'Reverse Search'!$E$21)))))</f>
        <v>1</v>
      </c>
      <c r="AA444" s="0" t="n">
        <f aca="true">IF('Reverse Search'!$C$14="Disable",1,IF('Reverse Search'!$I$16="Disable",1,IF($D$2=3,IF($M444=0,0,COUNTIF(INDIRECT("'0.0.2 Pokémon Learnset (Core)'!$D$"&amp;MATCH($E444,'0.0.2 Pokémon Learnset (Core)'!$A$1:$A951,0)&amp;":$FK$"&amp;MATCH($E444,'0.0.2 Pokémon Learnset (Core)'!$A$1:$A951,0)),'Reverse Search'!$J$21)),IF($D$2=2,COUNTIF(INDIRECT("'0.1.1 Pokémon GO Moves'!$B$"&amp;MATCH($E444,'0.1.1 Pokémon GO Moves'!$A$1:$A951,0)&amp;":$R$"&amp;MATCH($E444,'0.1.1 Pokémon GO Moves'!$A$1:$A951,0)),'Reverse Search'!$J$21),COUNTIF(INDIRECT("'0.1.1 Pokémon GO Moves'!$B$"&amp;MATCH($E444,'0.1.1 Pokémon GO Moves'!$A$1:$A951,0)&amp;":$L$"&amp;MATCH($E444,'0.1.1 Pokémon GO Moves'!$A$1:$A951,0)),'Reverse Search'!$J$21)))))</f>
        <v>0</v>
      </c>
      <c r="AB444" s="490"/>
      <c r="AC444" s="260" t="n">
        <f aca="false">IF((Q444+R444+S444+V444+W444+X444+Y444+IF(Z444&gt;=1,1,0)+IF(AA444&gt;=1,1,0))=9,G444&amp;", ",)</f>
        <v>0</v>
      </c>
    </row>
    <row r="445" customFormat="false" ht="15.75" hidden="false" customHeight="false" outlineLevel="0" collapsed="false">
      <c r="A445" s="260"/>
      <c r="B445" s="358"/>
      <c r="C445" s="260"/>
      <c r="D445" s="358"/>
      <c r="E445" s="260" t="n">
        <v>444</v>
      </c>
      <c r="F445" s="260" t="n">
        <f aca="false" t="array" ref="F445:F445">INDEX('0.0.1 Pokémon Dex Data'!$H$3:$H951,MATCH(E445,'0.0.1 Pokémon Dex Data'!$B$3:$B951,0))</f>
        <v>2</v>
      </c>
      <c r="G445" s="0" t="str">
        <f aca="false" t="array" ref="G445:G445">INDEX('0.0.1 Pokémon Dex Data'!$E$3:$E951,MATCH(E445,'0.0.1 Pokémon Dex Data'!$B$3:$B951,0))</f>
        <v>Kyogre-Primal</v>
      </c>
      <c r="H445" s="0" t="str">
        <f aca="false" t="array" ref="H445:H445">INDEX('0.0.1 Pokémon Dex Data'!$Q$3:$Q951,MATCH(E445,'0.0.1 Pokémon Dex Data'!$B$3:$B951,0))</f>
        <v>Water</v>
      </c>
      <c r="I445" s="0" t="n">
        <f aca="false">INDEX('0.0.1 Pokémon Dex Data'!$R$3:$R951,MATCH(E445,'0.0.1 Pokémon Dex Data'!$B$3:$B951,0))</f>
        <v>0</v>
      </c>
      <c r="J445" s="260" t="n">
        <f aca="false" t="array" ref="J445:J445">ROUND(INDEX('0.0.1 Pokémon Dex Data'!$S$3:$S951,MATCH($E445,'0.0.1 Pokémon Dex Data'!$B$3:$B951,0))*INDEX('0.0.1 Pokémon Dex Data'!T$3:T951,MATCH($E445,'0.0.1 Pokémon Dex Data'!$B$3:$B951,0)),0)</f>
        <v>331</v>
      </c>
      <c r="K445" s="260" t="n">
        <f aca="false" t="array" ref="K445:K445">ROUND(INDEX('0.0.1 Pokémon Dex Data'!$S$3:$S951,MATCH($E445,'0.0.1 Pokémon Dex Data'!$B$3:$B951,0))*INDEX('0.0.1 Pokémon Dex Data'!U$3:U951,MATCH($E445,'0.0.1 Pokémon Dex Data'!$B$3:$B951,0)),0)</f>
        <v>251</v>
      </c>
      <c r="L445" s="260" t="n">
        <f aca="false" t="array" ref="L445:L445">ROUND(INDEX('0.0.1 Pokémon Dex Data'!$S$3:$S951,MATCH($E445,'0.0.1 Pokémon Dex Data'!$B$3:$B951,0))*INDEX('0.0.1 Pokémon Dex Data'!V$3:V951,MATCH($E445,'0.0.1 Pokémon Dex Data'!$B$3:$B951,0)),0)</f>
        <v>205</v>
      </c>
      <c r="M445" s="260" t="n">
        <f aca="false" t="array" ref="M445:M445">INDEX('0.0.1 Pokémon Dex Data'!$J$3:$J951,MATCH(E445,'0.0.1 Pokémon Dex Data'!$B$3:$B951,0))</f>
        <v>1</v>
      </c>
      <c r="O445" s="490"/>
      <c r="Q445" s="367" t="n">
        <f aca="false">IF('Reverse Search'!$F$4="All (including temporary formes)",1,IF('Reverse Search'!$F$4="Base Pokémon and permanent formes only",IF(F445&lt;=1,1,0),IF(F445=0,1,0)))</f>
        <v>0</v>
      </c>
      <c r="R445" s="0" t="n">
        <f aca="false">IF('Reverse Search'!$C$7="Disable",1,IF('Reverse Search'!$D$9="Disable",1,IF(OR('Reverse Search'!$F$9=H445,'Reverse Search'!$F$9=I445),1,0)))</f>
        <v>1</v>
      </c>
      <c r="S445" s="0" t="n">
        <f aca="false">IF('Reverse Search'!$C$7="Disable",1,IF('Reverse Search'!$D$10="Disable",1,IF(OR('Reverse Search'!$F$10=H445,'Reverse Search'!$F$10=I445),1,0)))</f>
        <v>1</v>
      </c>
      <c r="T445" s="0" t="n">
        <f aca="false">INDEX($B$4:$B$22,MATCH(H445,$A$4:$A$22,0))</f>
        <v>1</v>
      </c>
      <c r="U445" s="0" t="e">
        <f aca="false">IF(ISBLANK(I445),1,INDEX($B$4:$B$22,MATCH(I445,$A$4:$A$22,0)))</f>
        <v>#N/A</v>
      </c>
      <c r="V445" s="367" t="n">
        <f aca="false">IF('Reverse Search'!$C$7="Disable",1,IF('Reverse Search'!$D$11="Disable",1,IF('Reverse Search'!$E$11="Neutral to:",IF(ROUND(T445*U445,2)&lt;=1,1,0),IF(ROUND(T445*U445,2)&lt;1,1,0))))</f>
        <v>1</v>
      </c>
      <c r="W445" s="0" t="n">
        <f aca="false">IF('Reverse Search'!$N$7="Disable",1,IF('Reverse Search'!$I$9="Disable",1,IF('Reverse Search'!$K$9="≥",IF(J445&gt;='Reverse Search'!$L$9,1,0),IF('Reverse Search'!$K$9="≤",IF(J445&lt;='Reverse Search'!$L$9,1,0),IF(J445='Reverse Search'!$L$9,1,0)))))</f>
        <v>1</v>
      </c>
      <c r="X445" s="0" t="n">
        <f aca="false">IF('Reverse Search'!$N$7="Disable",1,IF('Reverse Search'!$I$10="Disable",1,IF('Reverse Search'!$K$10="≥",IF(K445&gt;='Reverse Search'!$L$10,1,0),IF('Reverse Search'!$K$10="≤",IF(K445&lt;='Reverse Search'!$L$10,1,0),IF(K445='Reverse Search'!$L$10,1,0)))))</f>
        <v>1</v>
      </c>
      <c r="Y445" s="367" t="n">
        <f aca="false">IF('Reverse Search'!$N$7="Disable",1,IF('Reverse Search'!$I$11="Disable",1,IF('Reverse Search'!$K$11="≥",IF(L445&gt;='Reverse Search'!$L$11,1,0),IF('Reverse Search'!$K$11="≤",IF(L445&lt;='Reverse Search'!$L$11,1,0),IF(L445='Reverse Search'!$L$11,1,0)))))</f>
        <v>1</v>
      </c>
      <c r="Z445" s="0" t="n">
        <f aca="true">IF('Reverse Search'!$C$14="Disable",1,IF('Reverse Search'!$D$16="Disable",1,IF($C$2=3,IF($M445=0,0,COUNTIF(INDIRECT("'0.0.2 Pokémon Learnset (Core)'!$D$"&amp;MATCH($E445,'0.0.2 Pokémon Learnset (Core)'!$A$1:$A951,0)&amp;":$FK$"&amp;MATCH($E445,'0.0.2 Pokémon Learnset (Core)'!$A$1:$A951,0)),'Reverse Search'!$E$21)),IF($C$2=2,COUNTIF(INDIRECT("'0.1.1 Pokémon GO Moves'!$B$"&amp;MATCH($E445,'0.1.1 Pokémon GO Moves'!$A$1:$A951,0)&amp;":$R$"&amp;MATCH($E445,'0.1.1 Pokémon GO Moves'!$A$1:$A951,0)),'Reverse Search'!$E$21),COUNTIF(INDIRECT("'0.1.1 Pokémon GO Moves'!$B$"&amp;MATCH($E445,'0.1.1 Pokémon GO Moves'!$A$1:$A951,0)&amp;":$L$"&amp;MATCH($E445,'0.1.1 Pokémon GO Moves'!$A$1:$A951,0)),'Reverse Search'!$E$21)))))</f>
        <v>1</v>
      </c>
      <c r="AA445" s="0" t="e">
        <f aca="true">IF('Reverse Search'!$C$14="Disable",1,IF('Reverse Search'!$I$16="Disable",1,IF($D$2=3,IF($M445=0,0,COUNTIF(INDIRECT("'0.0.2 Pokémon Learnset (Core)'!$D$"&amp;MATCH($E445,'0.0.2 Pokémon Learnset (Core)'!$A$1:$A951,0)&amp;":$FK$"&amp;MATCH($E445,'0.0.2 Pokémon Learnset (Core)'!$A$1:$A951,0)),'Reverse Search'!$J$21)),IF($D$2=2,COUNTIF(INDIRECT("'0.1.1 Pokémon GO Moves'!$B$"&amp;MATCH($E445,'0.1.1 Pokémon GO Moves'!$A$1:$A951,0)&amp;":$R$"&amp;MATCH($E445,'0.1.1 Pokémon GO Moves'!$A$1:$A951,0)),'Reverse Search'!$J$21),COUNTIF(INDIRECT("'0.1.1 Pokémon GO Moves'!$B$"&amp;MATCH($E445,'0.1.1 Pokémon GO Moves'!$A$1:$A951,0)&amp;":$L$"&amp;MATCH($E445,'0.1.1 Pokémon GO Moves'!$A$1:$A951,0)),'Reverse Search'!$J$21)))))</f>
        <v>#N/A</v>
      </c>
      <c r="AB445" s="490"/>
      <c r="AC445" s="260" t="e">
        <f aca="false">IF((Q445+R445+S445+V445+W445+X445+Y445+IF(Z445&gt;=1,1,0)+IF(AA445&gt;=1,1,0))=9,G445&amp;", ",)</f>
        <v>#N/A</v>
      </c>
    </row>
    <row r="446" customFormat="false" ht="15.75" hidden="false" customHeight="false" outlineLevel="0" collapsed="false">
      <c r="A446" s="260"/>
      <c r="B446" s="358"/>
      <c r="C446" s="260"/>
      <c r="D446" s="358"/>
      <c r="E446" s="260" t="n">
        <v>445</v>
      </c>
      <c r="F446" s="260" t="n">
        <f aca="false" t="array" ref="F446:F446">INDEX('0.0.1 Pokémon Dex Data'!$H$3:$H951,MATCH(E446,'0.0.1 Pokémon Dex Data'!$B$3:$B951,0))</f>
        <v>0</v>
      </c>
      <c r="G446" s="0" t="str">
        <f aca="false" t="array" ref="G446:G446">INDEX('0.0.1 Pokémon Dex Data'!$E$3:$E951,MATCH(E446,'0.0.1 Pokémon Dex Data'!$B$3:$B951,0))</f>
        <v>Groudon</v>
      </c>
      <c r="H446" s="0" t="str">
        <f aca="false" t="array" ref="H446:H446">INDEX('0.0.1 Pokémon Dex Data'!$Q$3:$Q951,MATCH(E446,'0.0.1 Pokémon Dex Data'!$B$3:$B951,0))</f>
        <v>Ground</v>
      </c>
      <c r="I446" s="0" t="n">
        <f aca="false">INDEX('0.0.1 Pokémon Dex Data'!$R$3:$R951,MATCH(E446,'0.0.1 Pokémon Dex Data'!$B$3:$B951,0))</f>
        <v>0</v>
      </c>
      <c r="J446" s="260" t="n">
        <f aca="false" t="array" ref="J446:J446">ROUND(INDEX('0.0.1 Pokémon Dex Data'!$S$3:$S951,MATCH($E446,'0.0.1 Pokémon Dex Data'!$B$3:$B951,0))*INDEX('0.0.1 Pokémon Dex Data'!T$3:T951,MATCH($E446,'0.0.1 Pokémon Dex Data'!$B$3:$B951,0)),0)</f>
        <v>270</v>
      </c>
      <c r="K446" s="260" t="n">
        <f aca="false" t="array" ref="K446:K446">ROUND(INDEX('0.0.1 Pokémon Dex Data'!$S$3:$S951,MATCH($E446,'0.0.1 Pokémon Dex Data'!$B$3:$B951,0))*INDEX('0.0.1 Pokémon Dex Data'!U$3:U951,MATCH($E446,'0.0.1 Pokémon Dex Data'!$B$3:$B951,0)),0)</f>
        <v>227</v>
      </c>
      <c r="L446" s="260" t="n">
        <f aca="false" t="array" ref="L446:L446">ROUND(INDEX('0.0.1 Pokémon Dex Data'!$S$3:$S951,MATCH($E446,'0.0.1 Pokémon Dex Data'!$B$3:$B951,0))*INDEX('0.0.1 Pokémon Dex Data'!V$3:V951,MATCH($E446,'0.0.1 Pokémon Dex Data'!$B$3:$B951,0)),0)</f>
        <v>205</v>
      </c>
      <c r="M446" s="260" t="n">
        <f aca="false" t="array" ref="M446:M446">INDEX('0.0.1 Pokémon Dex Data'!$J$3:$J951,MATCH(E446,'0.0.1 Pokémon Dex Data'!$B$3:$B951,0))</f>
        <v>1</v>
      </c>
      <c r="O446" s="490"/>
      <c r="Q446" s="367" t="n">
        <f aca="false">IF('Reverse Search'!$F$4="All (including temporary formes)",1,IF('Reverse Search'!$F$4="Base Pokémon and permanent formes only",IF(F446&lt;=1,1,0),IF(F446=0,1,0)))</f>
        <v>1</v>
      </c>
      <c r="R446" s="0" t="n">
        <f aca="false">IF('Reverse Search'!$C$7="Disable",1,IF('Reverse Search'!$D$9="Disable",1,IF(OR('Reverse Search'!$F$9=H446,'Reverse Search'!$F$9=I446),1,0)))</f>
        <v>1</v>
      </c>
      <c r="S446" s="0" t="n">
        <f aca="false">IF('Reverse Search'!$C$7="Disable",1,IF('Reverse Search'!$D$10="Disable",1,IF(OR('Reverse Search'!$F$10=H446,'Reverse Search'!$F$10=I446),1,0)))</f>
        <v>1</v>
      </c>
      <c r="T446" s="0" t="n">
        <f aca="false">INDEX($B$4:$B$22,MATCH(H446,$A$4:$A$22,0))</f>
        <v>1</v>
      </c>
      <c r="U446" s="0" t="e">
        <f aca="false">IF(ISBLANK(I446),1,INDEX($B$4:$B$22,MATCH(I446,$A$4:$A$22,0)))</f>
        <v>#N/A</v>
      </c>
      <c r="V446" s="367" t="n">
        <f aca="false">IF('Reverse Search'!$C$7="Disable",1,IF('Reverse Search'!$D$11="Disable",1,IF('Reverse Search'!$E$11="Neutral to:",IF(ROUND(T446*U446,2)&lt;=1,1,0),IF(ROUND(T446*U446,2)&lt;1,1,0))))</f>
        <v>1</v>
      </c>
      <c r="W446" s="0" t="n">
        <f aca="false">IF('Reverse Search'!$N$7="Disable",1,IF('Reverse Search'!$I$9="Disable",1,IF('Reverse Search'!$K$9="≥",IF(J446&gt;='Reverse Search'!$L$9,1,0),IF('Reverse Search'!$K$9="≤",IF(J446&lt;='Reverse Search'!$L$9,1,0),IF(J446='Reverse Search'!$L$9,1,0)))))</f>
        <v>1</v>
      </c>
      <c r="X446" s="0" t="n">
        <f aca="false">IF('Reverse Search'!$N$7="Disable",1,IF('Reverse Search'!$I$10="Disable",1,IF('Reverse Search'!$K$10="≥",IF(K446&gt;='Reverse Search'!$L$10,1,0),IF('Reverse Search'!$K$10="≤",IF(K446&lt;='Reverse Search'!$L$10,1,0),IF(K446='Reverse Search'!$L$10,1,0)))))</f>
        <v>1</v>
      </c>
      <c r="Y446" s="367" t="n">
        <f aca="false">IF('Reverse Search'!$N$7="Disable",1,IF('Reverse Search'!$I$11="Disable",1,IF('Reverse Search'!$K$11="≥",IF(L446&gt;='Reverse Search'!$L$11,1,0),IF('Reverse Search'!$K$11="≤",IF(L446&lt;='Reverse Search'!$L$11,1,0),IF(L446='Reverse Search'!$L$11,1,0)))))</f>
        <v>1</v>
      </c>
      <c r="Z446" s="0" t="n">
        <f aca="true">IF('Reverse Search'!$C$14="Disable",1,IF('Reverse Search'!$D$16="Disable",1,IF($C$2=3,IF($M446=0,0,COUNTIF(INDIRECT("'0.0.2 Pokémon Learnset (Core)'!$D$"&amp;MATCH($E446,'0.0.2 Pokémon Learnset (Core)'!$A$1:$A951,0)&amp;":$FK$"&amp;MATCH($E446,'0.0.2 Pokémon Learnset (Core)'!$A$1:$A951,0)),'Reverse Search'!$E$21)),IF($C$2=2,COUNTIF(INDIRECT("'0.1.1 Pokémon GO Moves'!$B$"&amp;MATCH($E446,'0.1.1 Pokémon GO Moves'!$A$1:$A951,0)&amp;":$R$"&amp;MATCH($E446,'0.1.1 Pokémon GO Moves'!$A$1:$A951,0)),'Reverse Search'!$E$21),COUNTIF(INDIRECT("'0.1.1 Pokémon GO Moves'!$B$"&amp;MATCH($E446,'0.1.1 Pokémon GO Moves'!$A$1:$A951,0)&amp;":$L$"&amp;MATCH($E446,'0.1.1 Pokémon GO Moves'!$A$1:$A951,0)),'Reverse Search'!$E$21)))))</f>
        <v>1</v>
      </c>
      <c r="AA446" s="0" t="n">
        <f aca="true">IF('Reverse Search'!$C$14="Disable",1,IF('Reverse Search'!$I$16="Disable",1,IF($D$2=3,IF($M446=0,0,COUNTIF(INDIRECT("'0.0.2 Pokémon Learnset (Core)'!$D$"&amp;MATCH($E446,'0.0.2 Pokémon Learnset (Core)'!$A$1:$A951,0)&amp;":$FK$"&amp;MATCH($E446,'0.0.2 Pokémon Learnset (Core)'!$A$1:$A951,0)),'Reverse Search'!$J$21)),IF($D$2=2,COUNTIF(INDIRECT("'0.1.1 Pokémon GO Moves'!$B$"&amp;MATCH($E446,'0.1.1 Pokémon GO Moves'!$A$1:$A951,0)&amp;":$R$"&amp;MATCH($E446,'0.1.1 Pokémon GO Moves'!$A$1:$A951,0)),'Reverse Search'!$J$21),COUNTIF(INDIRECT("'0.1.1 Pokémon GO Moves'!$B$"&amp;MATCH($E446,'0.1.1 Pokémon GO Moves'!$A$1:$A951,0)&amp;":$L$"&amp;MATCH($E446,'0.1.1 Pokémon GO Moves'!$A$1:$A951,0)),'Reverse Search'!$J$21)))))</f>
        <v>0</v>
      </c>
      <c r="AB446" s="490"/>
      <c r="AC446" s="260" t="n">
        <f aca="false">IF((Q446+R446+S446+V446+W446+X446+Y446+IF(Z446&gt;=1,1,0)+IF(AA446&gt;=1,1,0))=9,G446&amp;", ",)</f>
        <v>0</v>
      </c>
    </row>
    <row r="447" customFormat="false" ht="15.75" hidden="false" customHeight="false" outlineLevel="0" collapsed="false">
      <c r="A447" s="260"/>
      <c r="B447" s="358"/>
      <c r="C447" s="260"/>
      <c r="D447" s="358"/>
      <c r="E447" s="260" t="n">
        <v>446</v>
      </c>
      <c r="F447" s="260" t="n">
        <f aca="false" t="array" ref="F447:F447">INDEX('0.0.1 Pokémon Dex Data'!$H$3:$H951,MATCH(E447,'0.0.1 Pokémon Dex Data'!$B$3:$B951,0))</f>
        <v>2</v>
      </c>
      <c r="G447" s="0" t="str">
        <f aca="false" t="array" ref="G447:G447">INDEX('0.0.1 Pokémon Dex Data'!$E$3:$E951,MATCH(E447,'0.0.1 Pokémon Dex Data'!$B$3:$B951,0))</f>
        <v>Groudon-Primal</v>
      </c>
      <c r="H447" s="0" t="str">
        <f aca="false" t="array" ref="H447:H447">INDEX('0.0.1 Pokémon Dex Data'!$Q$3:$Q951,MATCH(E447,'0.0.1 Pokémon Dex Data'!$B$3:$B951,0))</f>
        <v>Ground</v>
      </c>
      <c r="I447" s="0" t="str">
        <f aca="false" t="array" ref="I447:I447">INDEX('0.0.1 Pokémon Dex Data'!$R$3:$R951,MATCH(E447,'0.0.1 Pokémon Dex Data'!$B$3:$B951,0))</f>
        <v>Fire</v>
      </c>
      <c r="J447" s="260" t="n">
        <f aca="false" t="array" ref="J447:J447">ROUND(INDEX('0.0.1 Pokémon Dex Data'!$S$3:$S951,MATCH($E447,'0.0.1 Pokémon Dex Data'!$B$3:$B951,0))*INDEX('0.0.1 Pokémon Dex Data'!T$3:T951,MATCH($E447,'0.0.1 Pokémon Dex Data'!$B$3:$B951,0)),0)</f>
        <v>331</v>
      </c>
      <c r="K447" s="260" t="n">
        <f aca="false" t="array" ref="K447:K447">ROUND(INDEX('0.0.1 Pokémon Dex Data'!$S$3:$S951,MATCH($E447,'0.0.1 Pokémon Dex Data'!$B$3:$B951,0))*INDEX('0.0.1 Pokémon Dex Data'!U$3:U951,MATCH($E447,'0.0.1 Pokémon Dex Data'!$B$3:$B951,0)),0)</f>
        <v>251</v>
      </c>
      <c r="L447" s="260" t="n">
        <f aca="false" t="array" ref="L447:L447">ROUND(INDEX('0.0.1 Pokémon Dex Data'!$S$3:$S951,MATCH($E447,'0.0.1 Pokémon Dex Data'!$B$3:$B951,0))*INDEX('0.0.1 Pokémon Dex Data'!V$3:V951,MATCH($E447,'0.0.1 Pokémon Dex Data'!$B$3:$B951,0)),0)</f>
        <v>205</v>
      </c>
      <c r="M447" s="260" t="n">
        <f aca="false" t="array" ref="M447:M447">INDEX('0.0.1 Pokémon Dex Data'!$J$3:$J951,MATCH(E447,'0.0.1 Pokémon Dex Data'!$B$3:$B951,0))</f>
        <v>1</v>
      </c>
      <c r="O447" s="490"/>
      <c r="Q447" s="367" t="n">
        <f aca="false">IF('Reverse Search'!$F$4="All (including temporary formes)",1,IF('Reverse Search'!$F$4="Base Pokémon and permanent formes only",IF(F447&lt;=1,1,0),IF(F447=0,1,0)))</f>
        <v>0</v>
      </c>
      <c r="R447" s="0" t="n">
        <f aca="false">IF('Reverse Search'!$C$7="Disable",1,IF('Reverse Search'!$D$9="Disable",1,IF(OR('Reverse Search'!$F$9=H447,'Reverse Search'!$F$9=I447),1,0)))</f>
        <v>1</v>
      </c>
      <c r="S447" s="0" t="n">
        <f aca="false">IF('Reverse Search'!$C$7="Disable",1,IF('Reverse Search'!$D$10="Disable",1,IF(OR('Reverse Search'!$F$10=H447,'Reverse Search'!$F$10=I447),1,0)))</f>
        <v>1</v>
      </c>
      <c r="T447" s="0" t="n">
        <f aca="false">INDEX($B$4:$B$22,MATCH(H447,$A$4:$A$22,0))</f>
        <v>1</v>
      </c>
      <c r="U447" s="0" t="n">
        <f aca="false">IF(ISBLANK(I447),1,INDEX($B$4:$B$22,MATCH(I447,$A$4:$A$22,0)))</f>
        <v>1</v>
      </c>
      <c r="V447" s="367" t="n">
        <f aca="false">IF('Reverse Search'!$C$7="Disable",1,IF('Reverse Search'!$D$11="Disable",1,IF('Reverse Search'!$E$11="Neutral to:",IF(ROUND(T447*U447,2)&lt;=1,1,0),IF(ROUND(T447*U447,2)&lt;1,1,0))))</f>
        <v>1</v>
      </c>
      <c r="W447" s="0" t="n">
        <f aca="false">IF('Reverse Search'!$N$7="Disable",1,IF('Reverse Search'!$I$9="Disable",1,IF('Reverse Search'!$K$9="≥",IF(J447&gt;='Reverse Search'!$L$9,1,0),IF('Reverse Search'!$K$9="≤",IF(J447&lt;='Reverse Search'!$L$9,1,0),IF(J447='Reverse Search'!$L$9,1,0)))))</f>
        <v>1</v>
      </c>
      <c r="X447" s="0" t="n">
        <f aca="false">IF('Reverse Search'!$N$7="Disable",1,IF('Reverse Search'!$I$10="Disable",1,IF('Reverse Search'!$K$10="≥",IF(K447&gt;='Reverse Search'!$L$10,1,0),IF('Reverse Search'!$K$10="≤",IF(K447&lt;='Reverse Search'!$L$10,1,0),IF(K447='Reverse Search'!$L$10,1,0)))))</f>
        <v>1</v>
      </c>
      <c r="Y447" s="367" t="n">
        <f aca="false">IF('Reverse Search'!$N$7="Disable",1,IF('Reverse Search'!$I$11="Disable",1,IF('Reverse Search'!$K$11="≥",IF(L447&gt;='Reverse Search'!$L$11,1,0),IF('Reverse Search'!$K$11="≤",IF(L447&lt;='Reverse Search'!$L$11,1,0),IF(L447='Reverse Search'!$L$11,1,0)))))</f>
        <v>1</v>
      </c>
      <c r="Z447" s="0" t="n">
        <f aca="true">IF('Reverse Search'!$C$14="Disable",1,IF('Reverse Search'!$D$16="Disable",1,IF($C$2=3,IF($M447=0,0,COUNTIF(INDIRECT("'0.0.2 Pokémon Learnset (Core)'!$D$"&amp;MATCH($E447,'0.0.2 Pokémon Learnset (Core)'!$A$1:$A951,0)&amp;":$FK$"&amp;MATCH($E447,'0.0.2 Pokémon Learnset (Core)'!$A$1:$A951,0)),'Reverse Search'!$E$21)),IF($C$2=2,COUNTIF(INDIRECT("'0.1.1 Pokémon GO Moves'!$B$"&amp;MATCH($E447,'0.1.1 Pokémon GO Moves'!$A$1:$A951,0)&amp;":$R$"&amp;MATCH($E447,'0.1.1 Pokémon GO Moves'!$A$1:$A951,0)),'Reverse Search'!$E$21),COUNTIF(INDIRECT("'0.1.1 Pokémon GO Moves'!$B$"&amp;MATCH($E447,'0.1.1 Pokémon GO Moves'!$A$1:$A951,0)&amp;":$L$"&amp;MATCH($E447,'0.1.1 Pokémon GO Moves'!$A$1:$A951,0)),'Reverse Search'!$E$21)))))</f>
        <v>1</v>
      </c>
      <c r="AA447" s="0" t="e">
        <f aca="true">IF('Reverse Search'!$C$14="Disable",1,IF('Reverse Search'!$I$16="Disable",1,IF($D$2=3,IF($M447=0,0,COUNTIF(INDIRECT("'0.0.2 Pokémon Learnset (Core)'!$D$"&amp;MATCH($E447,'0.0.2 Pokémon Learnset (Core)'!$A$1:$A951,0)&amp;":$FK$"&amp;MATCH($E447,'0.0.2 Pokémon Learnset (Core)'!$A$1:$A951,0)),'Reverse Search'!$J$21)),IF($D$2=2,COUNTIF(INDIRECT("'0.1.1 Pokémon GO Moves'!$B$"&amp;MATCH($E447,'0.1.1 Pokémon GO Moves'!$A$1:$A951,0)&amp;":$R$"&amp;MATCH($E447,'0.1.1 Pokémon GO Moves'!$A$1:$A951,0)),'Reverse Search'!$J$21),COUNTIF(INDIRECT("'0.1.1 Pokémon GO Moves'!$B$"&amp;MATCH($E447,'0.1.1 Pokémon GO Moves'!$A$1:$A951,0)&amp;":$L$"&amp;MATCH($E447,'0.1.1 Pokémon GO Moves'!$A$1:$A951,0)),'Reverse Search'!$J$21)))))</f>
        <v>#N/A</v>
      </c>
      <c r="AB447" s="490"/>
      <c r="AC447" s="260" t="e">
        <f aca="false">IF((Q447+R447+S447+V447+W447+X447+Y447+IF(Z447&gt;=1,1,0)+IF(AA447&gt;=1,1,0))=9,G447&amp;", ",)</f>
        <v>#N/A</v>
      </c>
    </row>
    <row r="448" customFormat="false" ht="15.75" hidden="false" customHeight="false" outlineLevel="0" collapsed="false">
      <c r="A448" s="260"/>
      <c r="B448" s="358"/>
      <c r="C448" s="260"/>
      <c r="D448" s="358"/>
      <c r="E448" s="260" t="n">
        <v>447</v>
      </c>
      <c r="F448" s="260" t="n">
        <f aca="false" t="array" ref="F448:F448">INDEX('0.0.1 Pokémon Dex Data'!$H$3:$H951,MATCH(E448,'0.0.1 Pokémon Dex Data'!$B$3:$B951,0))</f>
        <v>0</v>
      </c>
      <c r="G448" s="0" t="str">
        <f aca="false" t="array" ref="G448:G448">INDEX('0.0.1 Pokémon Dex Data'!$E$3:$E951,MATCH(E448,'0.0.1 Pokémon Dex Data'!$B$3:$B951,0))</f>
        <v>Rayquaza</v>
      </c>
      <c r="H448" s="0" t="str">
        <f aca="false" t="array" ref="H448:H448">INDEX('0.0.1 Pokémon Dex Data'!$Q$3:$Q951,MATCH(E448,'0.0.1 Pokémon Dex Data'!$B$3:$B951,0))</f>
        <v>Dragon</v>
      </c>
      <c r="I448" s="0" t="str">
        <f aca="false" t="array" ref="I448:I448">INDEX('0.0.1 Pokémon Dex Data'!$R$3:$R951,MATCH(E448,'0.0.1 Pokémon Dex Data'!$B$3:$B951,0))</f>
        <v>Flying</v>
      </c>
      <c r="J448" s="260" t="n">
        <f aca="false" t="array" ref="J448:J448">ROUND(INDEX('0.0.1 Pokémon Dex Data'!$S$3:$S951,MATCH($E448,'0.0.1 Pokémon Dex Data'!$B$3:$B951,0))*INDEX('0.0.1 Pokémon Dex Data'!T$3:T951,MATCH($E448,'0.0.1 Pokémon Dex Data'!$B$3:$B951,0)),0)</f>
        <v>284</v>
      </c>
      <c r="K448" s="260" t="n">
        <f aca="false" t="array" ref="K448:K448">ROUND(INDEX('0.0.1 Pokémon Dex Data'!$S$3:$S951,MATCH($E448,'0.0.1 Pokémon Dex Data'!$B$3:$B951,0))*INDEX('0.0.1 Pokémon Dex Data'!U$3:U951,MATCH($E448,'0.0.1 Pokémon Dex Data'!$B$3:$B951,0)),0)</f>
        <v>170</v>
      </c>
      <c r="L448" s="260" t="n">
        <f aca="false" t="array" ref="L448:L448">ROUND(INDEX('0.0.1 Pokémon Dex Data'!$S$3:$S951,MATCH($E448,'0.0.1 Pokémon Dex Data'!$B$3:$B951,0))*INDEX('0.0.1 Pokémon Dex Data'!V$3:V951,MATCH($E448,'0.0.1 Pokémon Dex Data'!$B$3:$B951,0)),0)</f>
        <v>212</v>
      </c>
      <c r="M448" s="260" t="n">
        <f aca="false" t="array" ref="M448:M448">INDEX('0.0.1 Pokémon Dex Data'!$J$3:$J951,MATCH(E448,'0.0.1 Pokémon Dex Data'!$B$3:$B951,0))</f>
        <v>1</v>
      </c>
      <c r="O448" s="490"/>
      <c r="Q448" s="367" t="n">
        <f aca="false">IF('Reverse Search'!$F$4="All (including temporary formes)",1,IF('Reverse Search'!$F$4="Base Pokémon and permanent formes only",IF(F448&lt;=1,1,0),IF(F448=0,1,0)))</f>
        <v>1</v>
      </c>
      <c r="R448" s="0" t="n">
        <f aca="false">IF('Reverse Search'!$C$7="Disable",1,IF('Reverse Search'!$D$9="Disable",1,IF(OR('Reverse Search'!$F$9=H448,'Reverse Search'!$F$9=I448),1,0)))</f>
        <v>1</v>
      </c>
      <c r="S448" s="0" t="n">
        <f aca="false">IF('Reverse Search'!$C$7="Disable",1,IF('Reverse Search'!$D$10="Disable",1,IF(OR('Reverse Search'!$F$10=H448,'Reverse Search'!$F$10=I448),1,0)))</f>
        <v>1</v>
      </c>
      <c r="T448" s="0" t="n">
        <f aca="false">INDEX($B$4:$B$22,MATCH(H448,$A$4:$A$22,0))</f>
        <v>1</v>
      </c>
      <c r="U448" s="0" t="n">
        <f aca="false">IF(ISBLANK(I448),1,INDEX($B$4:$B$22,MATCH(I448,$A$4:$A$22,0)))</f>
        <v>1</v>
      </c>
      <c r="V448" s="367" t="n">
        <f aca="false">IF('Reverse Search'!$C$7="Disable",1,IF('Reverse Search'!$D$11="Disable",1,IF('Reverse Search'!$E$11="Neutral to:",IF(ROUND(T448*U448,2)&lt;=1,1,0),IF(ROUND(T448*U448,2)&lt;1,1,0))))</f>
        <v>1</v>
      </c>
      <c r="W448" s="0" t="n">
        <f aca="false">IF('Reverse Search'!$N$7="Disable",1,IF('Reverse Search'!$I$9="Disable",1,IF('Reverse Search'!$K$9="≥",IF(J448&gt;='Reverse Search'!$L$9,1,0),IF('Reverse Search'!$K$9="≤",IF(J448&lt;='Reverse Search'!$L$9,1,0),IF(J448='Reverse Search'!$L$9,1,0)))))</f>
        <v>1</v>
      </c>
      <c r="X448" s="0" t="n">
        <f aca="false">IF('Reverse Search'!$N$7="Disable",1,IF('Reverse Search'!$I$10="Disable",1,IF('Reverse Search'!$K$10="≥",IF(K448&gt;='Reverse Search'!$L$10,1,0),IF('Reverse Search'!$K$10="≤",IF(K448&lt;='Reverse Search'!$L$10,1,0),IF(K448='Reverse Search'!$L$10,1,0)))))</f>
        <v>1</v>
      </c>
      <c r="Y448" s="367" t="n">
        <f aca="false">IF('Reverse Search'!$N$7="Disable",1,IF('Reverse Search'!$I$11="Disable",1,IF('Reverse Search'!$K$11="≥",IF(L448&gt;='Reverse Search'!$L$11,1,0),IF('Reverse Search'!$K$11="≤",IF(L448&lt;='Reverse Search'!$L$11,1,0),IF(L448='Reverse Search'!$L$11,1,0)))))</f>
        <v>1</v>
      </c>
      <c r="Z448" s="0" t="n">
        <f aca="true">IF('Reverse Search'!$C$14="Disable",1,IF('Reverse Search'!$D$16="Disable",1,IF($C$2=3,IF($M448=0,0,COUNTIF(INDIRECT("'0.0.2 Pokémon Learnset (Core)'!$D$"&amp;MATCH($E448,'0.0.2 Pokémon Learnset (Core)'!$A$1:$A951,0)&amp;":$FK$"&amp;MATCH($E448,'0.0.2 Pokémon Learnset (Core)'!$A$1:$A951,0)),'Reverse Search'!$E$21)),IF($C$2=2,COUNTIF(INDIRECT("'0.1.1 Pokémon GO Moves'!$B$"&amp;MATCH($E448,'0.1.1 Pokémon GO Moves'!$A$1:$A951,0)&amp;":$R$"&amp;MATCH($E448,'0.1.1 Pokémon GO Moves'!$A$1:$A951,0)),'Reverse Search'!$E$21),COUNTIF(INDIRECT("'0.1.1 Pokémon GO Moves'!$B$"&amp;MATCH($E448,'0.1.1 Pokémon GO Moves'!$A$1:$A951,0)&amp;":$L$"&amp;MATCH($E448,'0.1.1 Pokémon GO Moves'!$A$1:$A951,0)),'Reverse Search'!$E$21)))))</f>
        <v>1</v>
      </c>
      <c r="AA448" s="0" t="n">
        <f aca="true">IF('Reverse Search'!$C$14="Disable",1,IF('Reverse Search'!$I$16="Disable",1,IF($D$2=3,IF($M448=0,0,COUNTIF(INDIRECT("'0.0.2 Pokémon Learnset (Core)'!$D$"&amp;MATCH($E448,'0.0.2 Pokémon Learnset (Core)'!$A$1:$A951,0)&amp;":$FK$"&amp;MATCH($E448,'0.0.2 Pokémon Learnset (Core)'!$A$1:$A951,0)),'Reverse Search'!$J$21)),IF($D$2=2,COUNTIF(INDIRECT("'0.1.1 Pokémon GO Moves'!$B$"&amp;MATCH($E448,'0.1.1 Pokémon GO Moves'!$A$1:$A951,0)&amp;":$R$"&amp;MATCH($E448,'0.1.1 Pokémon GO Moves'!$A$1:$A951,0)),'Reverse Search'!$J$21),COUNTIF(INDIRECT("'0.1.1 Pokémon GO Moves'!$B$"&amp;MATCH($E448,'0.1.1 Pokémon GO Moves'!$A$1:$A951,0)&amp;":$L$"&amp;MATCH($E448,'0.1.1 Pokémon GO Moves'!$A$1:$A951,0)),'Reverse Search'!$J$21)))))</f>
        <v>0</v>
      </c>
      <c r="AB448" s="490"/>
      <c r="AC448" s="260" t="n">
        <f aca="false">IF((Q448+R448+S448+V448+W448+X448+Y448+IF(Z448&gt;=1,1,0)+IF(AA448&gt;=1,1,0))=9,G448&amp;", ",)</f>
        <v>0</v>
      </c>
    </row>
    <row r="449" customFormat="false" ht="15.75" hidden="false" customHeight="false" outlineLevel="0" collapsed="false">
      <c r="A449" s="260"/>
      <c r="B449" s="358"/>
      <c r="C449" s="260"/>
      <c r="D449" s="358"/>
      <c r="E449" s="260" t="n">
        <v>448</v>
      </c>
      <c r="F449" s="260" t="n">
        <f aca="false" t="array" ref="F449:F449">INDEX('0.0.1 Pokémon Dex Data'!$H$3:$H951,MATCH(E449,'0.0.1 Pokémon Dex Data'!$B$3:$B951,0))</f>
        <v>2</v>
      </c>
      <c r="G449" s="0" t="str">
        <f aca="false" t="array" ref="G449:G449">INDEX('0.0.1 Pokémon Dex Data'!$E$3:$E951,MATCH(E449,'0.0.1 Pokémon Dex Data'!$B$3:$B951,0))</f>
        <v>Rayquaza-Mega</v>
      </c>
      <c r="H449" s="0" t="str">
        <f aca="false" t="array" ref="H449:H449">INDEX('0.0.1 Pokémon Dex Data'!$Q$3:$Q951,MATCH(E449,'0.0.1 Pokémon Dex Data'!$B$3:$B951,0))</f>
        <v>Dragon</v>
      </c>
      <c r="I449" s="0" t="str">
        <f aca="false" t="array" ref="I449:I449">INDEX('0.0.1 Pokémon Dex Data'!$R$3:$R951,MATCH(E449,'0.0.1 Pokémon Dex Data'!$B$3:$B951,0))</f>
        <v>Flying</v>
      </c>
      <c r="J449" s="260" t="n">
        <f aca="false" t="array" ref="J449:J449">ROUND(INDEX('0.0.1 Pokémon Dex Data'!$S$3:$S951,MATCH($E449,'0.0.1 Pokémon Dex Data'!$B$3:$B951,0))*INDEX('0.0.1 Pokémon Dex Data'!T$3:T951,MATCH($E449,'0.0.1 Pokémon Dex Data'!$B$3:$B951,0)),0)</f>
        <v>354</v>
      </c>
      <c r="K449" s="260" t="n">
        <f aca="false" t="array" ref="K449:K449">ROUND(INDEX('0.0.1 Pokémon Dex Data'!$S$3:$S951,MATCH($E449,'0.0.1 Pokémon Dex Data'!$B$3:$B951,0))*INDEX('0.0.1 Pokémon Dex Data'!U$3:U951,MATCH($E449,'0.0.1 Pokémon Dex Data'!$B$3:$B951,0)),0)</f>
        <v>196</v>
      </c>
      <c r="L449" s="260" t="n">
        <f aca="false" t="array" ref="L449:L449">ROUND(INDEX('0.0.1 Pokémon Dex Data'!$S$3:$S951,MATCH($E449,'0.0.1 Pokémon Dex Data'!$B$3:$B951,0))*INDEX('0.0.1 Pokémon Dex Data'!V$3:V951,MATCH($E449,'0.0.1 Pokémon Dex Data'!$B$3:$B951,0)),0)</f>
        <v>212</v>
      </c>
      <c r="M449" s="260" t="n">
        <f aca="false" t="array" ref="M449:M449">INDEX('0.0.1 Pokémon Dex Data'!$J$3:$J951,MATCH(E449,'0.0.1 Pokémon Dex Data'!$B$3:$B951,0))</f>
        <v>1</v>
      </c>
      <c r="O449" s="490"/>
      <c r="Q449" s="367" t="n">
        <f aca="false">IF('Reverse Search'!$F$4="All (including temporary formes)",1,IF('Reverse Search'!$F$4="Base Pokémon and permanent formes only",IF(F449&lt;=1,1,0),IF(F449=0,1,0)))</f>
        <v>0</v>
      </c>
      <c r="R449" s="0" t="n">
        <f aca="false">IF('Reverse Search'!$C$7="Disable",1,IF('Reverse Search'!$D$9="Disable",1,IF(OR('Reverse Search'!$F$9=H449,'Reverse Search'!$F$9=I449),1,0)))</f>
        <v>1</v>
      </c>
      <c r="S449" s="0" t="n">
        <f aca="false">IF('Reverse Search'!$C$7="Disable",1,IF('Reverse Search'!$D$10="Disable",1,IF(OR('Reverse Search'!$F$10=H449,'Reverse Search'!$F$10=I449),1,0)))</f>
        <v>1</v>
      </c>
      <c r="T449" s="0" t="n">
        <f aca="false">INDEX($B$4:$B$22,MATCH(H449,$A$4:$A$22,0))</f>
        <v>1</v>
      </c>
      <c r="U449" s="0" t="n">
        <f aca="false">IF(ISBLANK(I449),1,INDEX($B$4:$B$22,MATCH(I449,$A$4:$A$22,0)))</f>
        <v>1</v>
      </c>
      <c r="V449" s="367" t="n">
        <f aca="false">IF('Reverse Search'!$C$7="Disable",1,IF('Reverse Search'!$D$11="Disable",1,IF('Reverse Search'!$E$11="Neutral to:",IF(ROUND(T449*U449,2)&lt;=1,1,0),IF(ROUND(T449*U449,2)&lt;1,1,0))))</f>
        <v>1</v>
      </c>
      <c r="W449" s="0" t="n">
        <f aca="false">IF('Reverse Search'!$N$7="Disable",1,IF('Reverse Search'!$I$9="Disable",1,IF('Reverse Search'!$K$9="≥",IF(J449&gt;='Reverse Search'!$L$9,1,0),IF('Reverse Search'!$K$9="≤",IF(J449&lt;='Reverse Search'!$L$9,1,0),IF(J449='Reverse Search'!$L$9,1,0)))))</f>
        <v>1</v>
      </c>
      <c r="X449" s="0" t="n">
        <f aca="false">IF('Reverse Search'!$N$7="Disable",1,IF('Reverse Search'!$I$10="Disable",1,IF('Reverse Search'!$K$10="≥",IF(K449&gt;='Reverse Search'!$L$10,1,0),IF('Reverse Search'!$K$10="≤",IF(K449&lt;='Reverse Search'!$L$10,1,0),IF(K449='Reverse Search'!$L$10,1,0)))))</f>
        <v>1</v>
      </c>
      <c r="Y449" s="367" t="n">
        <f aca="false">IF('Reverse Search'!$N$7="Disable",1,IF('Reverse Search'!$I$11="Disable",1,IF('Reverse Search'!$K$11="≥",IF(L449&gt;='Reverse Search'!$L$11,1,0),IF('Reverse Search'!$K$11="≤",IF(L449&lt;='Reverse Search'!$L$11,1,0),IF(L449='Reverse Search'!$L$11,1,0)))))</f>
        <v>1</v>
      </c>
      <c r="Z449" s="0" t="n">
        <f aca="true">IF('Reverse Search'!$C$14="Disable",1,IF('Reverse Search'!$D$16="Disable",1,IF($C$2=3,IF($M449=0,0,COUNTIF(INDIRECT("'0.0.2 Pokémon Learnset (Core)'!$D$"&amp;MATCH($E449,'0.0.2 Pokémon Learnset (Core)'!$A$1:$A951,0)&amp;":$FK$"&amp;MATCH($E449,'0.0.2 Pokémon Learnset (Core)'!$A$1:$A951,0)),'Reverse Search'!$E$21)),IF($C$2=2,COUNTIF(INDIRECT("'0.1.1 Pokémon GO Moves'!$B$"&amp;MATCH($E449,'0.1.1 Pokémon GO Moves'!$A$1:$A951,0)&amp;":$R$"&amp;MATCH($E449,'0.1.1 Pokémon GO Moves'!$A$1:$A951,0)),'Reverse Search'!$E$21),COUNTIF(INDIRECT("'0.1.1 Pokémon GO Moves'!$B$"&amp;MATCH($E449,'0.1.1 Pokémon GO Moves'!$A$1:$A951,0)&amp;":$L$"&amp;MATCH($E449,'0.1.1 Pokémon GO Moves'!$A$1:$A951,0)),'Reverse Search'!$E$21)))))</f>
        <v>1</v>
      </c>
      <c r="AA449" s="0" t="e">
        <f aca="true">IF('Reverse Search'!$C$14="Disable",1,IF('Reverse Search'!$I$16="Disable",1,IF($D$2=3,IF($M449=0,0,COUNTIF(INDIRECT("'0.0.2 Pokémon Learnset (Core)'!$D$"&amp;MATCH($E449,'0.0.2 Pokémon Learnset (Core)'!$A$1:$A951,0)&amp;":$FK$"&amp;MATCH($E449,'0.0.2 Pokémon Learnset (Core)'!$A$1:$A951,0)),'Reverse Search'!$J$21)),IF($D$2=2,COUNTIF(INDIRECT("'0.1.1 Pokémon GO Moves'!$B$"&amp;MATCH($E449,'0.1.1 Pokémon GO Moves'!$A$1:$A951,0)&amp;":$R$"&amp;MATCH($E449,'0.1.1 Pokémon GO Moves'!$A$1:$A951,0)),'Reverse Search'!$J$21),COUNTIF(INDIRECT("'0.1.1 Pokémon GO Moves'!$B$"&amp;MATCH($E449,'0.1.1 Pokémon GO Moves'!$A$1:$A951,0)&amp;":$L$"&amp;MATCH($E449,'0.1.1 Pokémon GO Moves'!$A$1:$A951,0)),'Reverse Search'!$J$21)))))</f>
        <v>#N/A</v>
      </c>
      <c r="AB449" s="490"/>
      <c r="AC449" s="260" t="e">
        <f aca="false">IF((Q449+R449+S449+V449+W449+X449+Y449+IF(Z449&gt;=1,1,0)+IF(AA449&gt;=1,1,0))=9,G449&amp;", ",)</f>
        <v>#N/A</v>
      </c>
    </row>
    <row r="450" customFormat="false" ht="15.75" hidden="false" customHeight="false" outlineLevel="0" collapsed="false">
      <c r="A450" s="260"/>
      <c r="B450" s="358"/>
      <c r="C450" s="260"/>
      <c r="D450" s="358"/>
      <c r="E450" s="260" t="n">
        <v>449</v>
      </c>
      <c r="F450" s="260" t="n">
        <f aca="false" t="array" ref="F450:F450">INDEX('0.0.1 Pokémon Dex Data'!$H$3:$H951,MATCH(E450,'0.0.1 Pokémon Dex Data'!$B$3:$B951,0))</f>
        <v>0</v>
      </c>
      <c r="G450" s="0" t="str">
        <f aca="false" t="array" ref="G450:G450">INDEX('0.0.1 Pokémon Dex Data'!$E$3:$E951,MATCH(E450,'0.0.1 Pokémon Dex Data'!$B$3:$B951,0))</f>
        <v>Jirachi</v>
      </c>
      <c r="H450" s="0" t="str">
        <f aca="false" t="array" ref="H450:H450">INDEX('0.0.1 Pokémon Dex Data'!$Q$3:$Q951,MATCH(E450,'0.0.1 Pokémon Dex Data'!$B$3:$B951,0))</f>
        <v>Steel</v>
      </c>
      <c r="I450" s="0" t="str">
        <f aca="false" t="array" ref="I450:I450">INDEX('0.0.1 Pokémon Dex Data'!$R$3:$R951,MATCH(E450,'0.0.1 Pokémon Dex Data'!$B$3:$B951,0))</f>
        <v>Psychic</v>
      </c>
      <c r="J450" s="260" t="n">
        <f aca="false" t="array" ref="J450:J450">ROUND(INDEX('0.0.1 Pokémon Dex Data'!$S$3:$S951,MATCH($E450,'0.0.1 Pokémon Dex Data'!$B$3:$B951,0))*INDEX('0.0.1 Pokémon Dex Data'!T$3:T951,MATCH($E450,'0.0.1 Pokémon Dex Data'!$B$3:$B951,0)),0)</f>
        <v>210</v>
      </c>
      <c r="K450" s="260" t="n">
        <f aca="false" t="array" ref="K450:K450">ROUND(INDEX('0.0.1 Pokémon Dex Data'!$S$3:$S951,MATCH($E450,'0.0.1 Pokémon Dex Data'!$B$3:$B951,0))*INDEX('0.0.1 Pokémon Dex Data'!U$3:U951,MATCH($E450,'0.0.1 Pokémon Dex Data'!$B$3:$B951,0)),0)</f>
        <v>210</v>
      </c>
      <c r="L450" s="260" t="n">
        <f aca="false" t="array" ref="L450:L450">ROUND(INDEX('0.0.1 Pokémon Dex Data'!$S$3:$S951,MATCH($E450,'0.0.1 Pokémon Dex Data'!$B$3:$B951,0))*INDEX('0.0.1 Pokémon Dex Data'!V$3:V951,MATCH($E450,'0.0.1 Pokémon Dex Data'!$B$3:$B951,0)),0)</f>
        <v>225</v>
      </c>
      <c r="M450" s="260" t="n">
        <f aca="false" t="array" ref="M450:M450">INDEX('0.0.1 Pokémon Dex Data'!$J$3:$J951,MATCH(E450,'0.0.1 Pokémon Dex Data'!$B$3:$B951,0))</f>
        <v>1</v>
      </c>
      <c r="O450" s="490"/>
      <c r="Q450" s="367" t="n">
        <f aca="false">IF('Reverse Search'!$F$4="All (including temporary formes)",1,IF('Reverse Search'!$F$4="Base Pokémon and permanent formes only",IF(F450&lt;=1,1,0),IF(F450=0,1,0)))</f>
        <v>1</v>
      </c>
      <c r="R450" s="0" t="n">
        <f aca="false">IF('Reverse Search'!$C$7="Disable",1,IF('Reverse Search'!$D$9="Disable",1,IF(OR('Reverse Search'!$F$9=H450,'Reverse Search'!$F$9=I450),1,0)))</f>
        <v>1</v>
      </c>
      <c r="S450" s="0" t="n">
        <f aca="false">IF('Reverse Search'!$C$7="Disable",1,IF('Reverse Search'!$D$10="Disable",1,IF(OR('Reverse Search'!$F$10=H450,'Reverse Search'!$F$10=I450),1,0)))</f>
        <v>1</v>
      </c>
      <c r="T450" s="0" t="n">
        <f aca="false">INDEX($B$4:$B$22,MATCH(H450,$A$4:$A$22,0))</f>
        <v>0.714</v>
      </c>
      <c r="U450" s="0" t="n">
        <f aca="false">IF(ISBLANK(I450),1,INDEX($B$4:$B$22,MATCH(I450,$A$4:$A$22,0)))</f>
        <v>1</v>
      </c>
      <c r="V450" s="367" t="n">
        <f aca="false">IF('Reverse Search'!$C$7="Disable",1,IF('Reverse Search'!$D$11="Disable",1,IF('Reverse Search'!$E$11="Neutral to:",IF(ROUND(T450*U450,2)&lt;=1,1,0),IF(ROUND(T450*U450,2)&lt;1,1,0))))</f>
        <v>1</v>
      </c>
      <c r="W450" s="0" t="n">
        <f aca="false">IF('Reverse Search'!$N$7="Disable",1,IF('Reverse Search'!$I$9="Disable",1,IF('Reverse Search'!$K$9="≥",IF(J450&gt;='Reverse Search'!$L$9,1,0),IF('Reverse Search'!$K$9="≤",IF(J450&lt;='Reverse Search'!$L$9,1,0),IF(J450='Reverse Search'!$L$9,1,0)))))</f>
        <v>1</v>
      </c>
      <c r="X450" s="0" t="n">
        <f aca="false">IF('Reverse Search'!$N$7="Disable",1,IF('Reverse Search'!$I$10="Disable",1,IF('Reverse Search'!$K$10="≥",IF(K450&gt;='Reverse Search'!$L$10,1,0),IF('Reverse Search'!$K$10="≤",IF(K450&lt;='Reverse Search'!$L$10,1,0),IF(K450='Reverse Search'!$L$10,1,0)))))</f>
        <v>1</v>
      </c>
      <c r="Y450" s="367" t="n">
        <f aca="false">IF('Reverse Search'!$N$7="Disable",1,IF('Reverse Search'!$I$11="Disable",1,IF('Reverse Search'!$K$11="≥",IF(L450&gt;='Reverse Search'!$L$11,1,0),IF('Reverse Search'!$K$11="≤",IF(L450&lt;='Reverse Search'!$L$11,1,0),IF(L450='Reverse Search'!$L$11,1,0)))))</f>
        <v>1</v>
      </c>
      <c r="Z450" s="0" t="n">
        <f aca="true">IF('Reverse Search'!$C$14="Disable",1,IF('Reverse Search'!$D$16="Disable",1,IF($C$2=3,IF($M450=0,0,COUNTIF(INDIRECT("'0.0.2 Pokémon Learnset (Core)'!$D$"&amp;MATCH($E450,'0.0.2 Pokémon Learnset (Core)'!$A$1:$A951,0)&amp;":$FK$"&amp;MATCH($E450,'0.0.2 Pokémon Learnset (Core)'!$A$1:$A951,0)),'Reverse Search'!$E$21)),IF($C$2=2,COUNTIF(INDIRECT("'0.1.1 Pokémon GO Moves'!$B$"&amp;MATCH($E450,'0.1.1 Pokémon GO Moves'!$A$1:$A951,0)&amp;":$R$"&amp;MATCH($E450,'0.1.1 Pokémon GO Moves'!$A$1:$A951,0)),'Reverse Search'!$E$21),COUNTIF(INDIRECT("'0.1.1 Pokémon GO Moves'!$B$"&amp;MATCH($E450,'0.1.1 Pokémon GO Moves'!$A$1:$A951,0)&amp;":$L$"&amp;MATCH($E450,'0.1.1 Pokémon GO Moves'!$A$1:$A951,0)),'Reverse Search'!$E$21)))))</f>
        <v>1</v>
      </c>
      <c r="AA450" s="0" t="n">
        <f aca="true">IF('Reverse Search'!$C$14="Disable",1,IF('Reverse Search'!$I$16="Disable",1,IF($D$2=3,IF($M450=0,0,COUNTIF(INDIRECT("'0.0.2 Pokémon Learnset (Core)'!$D$"&amp;MATCH($E450,'0.0.2 Pokémon Learnset (Core)'!$A$1:$A951,0)&amp;":$FK$"&amp;MATCH($E450,'0.0.2 Pokémon Learnset (Core)'!$A$1:$A951,0)),'Reverse Search'!$J$21)),IF($D$2=2,COUNTIF(INDIRECT("'0.1.1 Pokémon GO Moves'!$B$"&amp;MATCH($E450,'0.1.1 Pokémon GO Moves'!$A$1:$A951,0)&amp;":$R$"&amp;MATCH($E450,'0.1.1 Pokémon GO Moves'!$A$1:$A951,0)),'Reverse Search'!$J$21),COUNTIF(INDIRECT("'0.1.1 Pokémon GO Moves'!$B$"&amp;MATCH($E450,'0.1.1 Pokémon GO Moves'!$A$1:$A951,0)&amp;":$L$"&amp;MATCH($E450,'0.1.1 Pokémon GO Moves'!$A$1:$A951,0)),'Reverse Search'!$J$21)))))</f>
        <v>0</v>
      </c>
      <c r="AB450" s="490"/>
      <c r="AC450" s="260" t="n">
        <f aca="false">IF((Q450+R450+S450+V450+W450+X450+Y450+IF(Z450&gt;=1,1,0)+IF(AA450&gt;=1,1,0))=9,G450&amp;", ",)</f>
        <v>0</v>
      </c>
    </row>
    <row r="451" customFormat="false" ht="15.75" hidden="false" customHeight="false" outlineLevel="0" collapsed="false">
      <c r="A451" s="260"/>
      <c r="B451" s="358"/>
      <c r="C451" s="260"/>
      <c r="D451" s="358"/>
      <c r="E451" s="260" t="n">
        <v>450</v>
      </c>
      <c r="F451" s="260" t="n">
        <f aca="false" t="array" ref="F451:F451">INDEX('0.0.1 Pokémon Dex Data'!$H$3:$H951,MATCH(E451,'0.0.1 Pokémon Dex Data'!$B$3:$B951,0))</f>
        <v>0</v>
      </c>
      <c r="G451" s="0" t="str">
        <f aca="false" t="array" ref="G451:G451">INDEX('0.0.1 Pokémon Dex Data'!$E$3:$E951,MATCH(E451,'0.0.1 Pokémon Dex Data'!$B$3:$B951,0))</f>
        <v>Deoxys</v>
      </c>
      <c r="H451" s="0" t="str">
        <f aca="false" t="array" ref="H451:H451">INDEX('0.0.1 Pokémon Dex Data'!$Q$3:$Q951,MATCH(E451,'0.0.1 Pokémon Dex Data'!$B$3:$B951,0))</f>
        <v>Psychic</v>
      </c>
      <c r="I451" s="0" t="n">
        <f aca="false">INDEX('0.0.1 Pokémon Dex Data'!$R$3:$R951,MATCH(E451,'0.0.1 Pokémon Dex Data'!$B$3:$B951,0))</f>
        <v>0</v>
      </c>
      <c r="J451" s="260" t="n">
        <f aca="false" t="array" ref="J451:J451">ROUND(INDEX('0.0.1 Pokémon Dex Data'!$S$3:$S951,MATCH($E451,'0.0.1 Pokémon Dex Data'!$B$3:$B951,0))*INDEX('0.0.1 Pokémon Dex Data'!T$3:T951,MATCH($E451,'0.0.1 Pokémon Dex Data'!$B$3:$B951,0)),0)</f>
        <v>345</v>
      </c>
      <c r="K451" s="260" t="n">
        <f aca="false" t="array" ref="K451:K451">ROUND(INDEX('0.0.1 Pokémon Dex Data'!$S$3:$S951,MATCH($E451,'0.0.1 Pokémon Dex Data'!$B$3:$B951,0))*INDEX('0.0.1 Pokémon Dex Data'!U$3:U951,MATCH($E451,'0.0.1 Pokémon Dex Data'!$B$3:$B951,0)),0)</f>
        <v>115</v>
      </c>
      <c r="L451" s="260" t="n">
        <f aca="false" t="array" ref="L451:L451">ROUND(INDEX('0.0.1 Pokémon Dex Data'!$S$3:$S951,MATCH($E451,'0.0.1 Pokémon Dex Data'!$B$3:$B951,0))*INDEX('0.0.1 Pokémon Dex Data'!V$3:V951,MATCH($E451,'0.0.1 Pokémon Dex Data'!$B$3:$B951,0)),0)</f>
        <v>137</v>
      </c>
      <c r="M451" s="260" t="n">
        <f aca="false" t="array" ref="M451:M451">INDEX('0.0.1 Pokémon Dex Data'!$J$3:$J951,MATCH(E451,'0.0.1 Pokémon Dex Data'!$B$3:$B951,0))</f>
        <v>1</v>
      </c>
      <c r="O451" s="490"/>
      <c r="Q451" s="367" t="n">
        <f aca="false">IF('Reverse Search'!$F$4="All (including temporary formes)",1,IF('Reverse Search'!$F$4="Base Pokémon and permanent formes only",IF(F451&lt;=1,1,0),IF(F451=0,1,0)))</f>
        <v>1</v>
      </c>
      <c r="R451" s="0" t="n">
        <f aca="false">IF('Reverse Search'!$C$7="Disable",1,IF('Reverse Search'!$D$9="Disable",1,IF(OR('Reverse Search'!$F$9=H451,'Reverse Search'!$F$9=I451),1,0)))</f>
        <v>1</v>
      </c>
      <c r="S451" s="0" t="n">
        <f aca="false">IF('Reverse Search'!$C$7="Disable",1,IF('Reverse Search'!$D$10="Disable",1,IF(OR('Reverse Search'!$F$10=H451,'Reverse Search'!$F$10=I451),1,0)))</f>
        <v>1</v>
      </c>
      <c r="T451" s="0" t="n">
        <f aca="false">INDEX($B$4:$B$22,MATCH(H451,$A$4:$A$22,0))</f>
        <v>1</v>
      </c>
      <c r="U451" s="0" t="e">
        <f aca="false">IF(ISBLANK(I451),1,INDEX($B$4:$B$22,MATCH(I451,$A$4:$A$22,0)))</f>
        <v>#N/A</v>
      </c>
      <c r="V451" s="367" t="n">
        <f aca="false">IF('Reverse Search'!$C$7="Disable",1,IF('Reverse Search'!$D$11="Disable",1,IF('Reverse Search'!$E$11="Neutral to:",IF(ROUND(T451*U451,2)&lt;=1,1,0),IF(ROUND(T451*U451,2)&lt;1,1,0))))</f>
        <v>1</v>
      </c>
      <c r="W451" s="0" t="n">
        <f aca="false">IF('Reverse Search'!$N$7="Disable",1,IF('Reverse Search'!$I$9="Disable",1,IF('Reverse Search'!$K$9="≥",IF(J451&gt;='Reverse Search'!$L$9,1,0),IF('Reverse Search'!$K$9="≤",IF(J451&lt;='Reverse Search'!$L$9,1,0),IF(J451='Reverse Search'!$L$9,1,0)))))</f>
        <v>1</v>
      </c>
      <c r="X451" s="0" t="n">
        <f aca="false">IF('Reverse Search'!$N$7="Disable",1,IF('Reverse Search'!$I$10="Disable",1,IF('Reverse Search'!$K$10="≥",IF(K451&gt;='Reverse Search'!$L$10,1,0),IF('Reverse Search'!$K$10="≤",IF(K451&lt;='Reverse Search'!$L$10,1,0),IF(K451='Reverse Search'!$L$10,1,0)))))</f>
        <v>1</v>
      </c>
      <c r="Y451" s="367" t="n">
        <f aca="false">IF('Reverse Search'!$N$7="Disable",1,IF('Reverse Search'!$I$11="Disable",1,IF('Reverse Search'!$K$11="≥",IF(L451&gt;='Reverse Search'!$L$11,1,0),IF('Reverse Search'!$K$11="≤",IF(L451&lt;='Reverse Search'!$L$11,1,0),IF(L451='Reverse Search'!$L$11,1,0)))))</f>
        <v>1</v>
      </c>
      <c r="Z451" s="0" t="n">
        <f aca="true">IF('Reverse Search'!$C$14="Disable",1,IF('Reverse Search'!$D$16="Disable",1,IF($C$2=3,IF($M451=0,0,COUNTIF(INDIRECT("'0.0.2 Pokémon Learnset (Core)'!$D$"&amp;MATCH($E451,'0.0.2 Pokémon Learnset (Core)'!$A$1:$A951,0)&amp;":$FK$"&amp;MATCH($E451,'0.0.2 Pokémon Learnset (Core)'!$A$1:$A951,0)),'Reverse Search'!$E$21)),IF($C$2=2,COUNTIF(INDIRECT("'0.1.1 Pokémon GO Moves'!$B$"&amp;MATCH($E451,'0.1.1 Pokémon GO Moves'!$A$1:$A951,0)&amp;":$R$"&amp;MATCH($E451,'0.1.1 Pokémon GO Moves'!$A$1:$A951,0)),'Reverse Search'!$E$21),COUNTIF(INDIRECT("'0.1.1 Pokémon GO Moves'!$B$"&amp;MATCH($E451,'0.1.1 Pokémon GO Moves'!$A$1:$A951,0)&amp;":$L$"&amp;MATCH($E451,'0.1.1 Pokémon GO Moves'!$A$1:$A951,0)),'Reverse Search'!$E$21)))))</f>
        <v>1</v>
      </c>
      <c r="AA451" s="0" t="n">
        <f aca="true">IF('Reverse Search'!$C$14="Disable",1,IF('Reverse Search'!$I$16="Disable",1,IF($D$2=3,IF($M451=0,0,COUNTIF(INDIRECT("'0.0.2 Pokémon Learnset (Core)'!$D$"&amp;MATCH($E451,'0.0.2 Pokémon Learnset (Core)'!$A$1:$A951,0)&amp;":$FK$"&amp;MATCH($E451,'0.0.2 Pokémon Learnset (Core)'!$A$1:$A951,0)),'Reverse Search'!$J$21)),IF($D$2=2,COUNTIF(INDIRECT("'0.1.1 Pokémon GO Moves'!$B$"&amp;MATCH($E451,'0.1.1 Pokémon GO Moves'!$A$1:$A951,0)&amp;":$R$"&amp;MATCH($E451,'0.1.1 Pokémon GO Moves'!$A$1:$A951,0)),'Reverse Search'!$J$21),COUNTIF(INDIRECT("'0.1.1 Pokémon GO Moves'!$B$"&amp;MATCH($E451,'0.1.1 Pokémon GO Moves'!$A$1:$A951,0)&amp;":$L$"&amp;MATCH($E451,'0.1.1 Pokémon GO Moves'!$A$1:$A951,0)),'Reverse Search'!$J$21)))))</f>
        <v>0</v>
      </c>
      <c r="AB451" s="490"/>
      <c r="AC451" s="260" t="n">
        <f aca="false">IF((Q451+R451+S451+V451+W451+X451+Y451+IF(Z451&gt;=1,1,0)+IF(AA451&gt;=1,1,0))=9,G451&amp;", ",)</f>
        <v>0</v>
      </c>
    </row>
    <row r="452" customFormat="false" ht="15.75" hidden="false" customHeight="false" outlineLevel="0" collapsed="false">
      <c r="A452" s="260"/>
      <c r="B452" s="358"/>
      <c r="C452" s="260"/>
      <c r="D452" s="358"/>
      <c r="E452" s="260" t="n">
        <v>451</v>
      </c>
      <c r="F452" s="260" t="n">
        <f aca="false" t="array" ref="F452:F452">INDEX('0.0.1 Pokémon Dex Data'!$H$3:$H951,MATCH(E452,'0.0.1 Pokémon Dex Data'!$B$3:$B951,0))</f>
        <v>1</v>
      </c>
      <c r="G452" s="0" t="str">
        <f aca="false" t="array" ref="G452:G452">INDEX('0.0.1 Pokémon Dex Data'!$E$3:$E951,MATCH(E452,'0.0.1 Pokémon Dex Data'!$B$3:$B951,0))</f>
        <v>Deoxys-Attack</v>
      </c>
      <c r="H452" s="0" t="str">
        <f aca="false" t="array" ref="H452:H452">INDEX('0.0.1 Pokémon Dex Data'!$Q$3:$Q951,MATCH(E452,'0.0.1 Pokémon Dex Data'!$B$3:$B951,0))</f>
        <v>Psychic</v>
      </c>
      <c r="I452" s="0" t="n">
        <f aca="false">INDEX('0.0.1 Pokémon Dex Data'!$R$3:$R951,MATCH(E452,'0.0.1 Pokémon Dex Data'!$B$3:$B951,0))</f>
        <v>0</v>
      </c>
      <c r="J452" s="260" t="n">
        <f aca="false" t="array" ref="J452:J452">ROUND(INDEX('0.0.1 Pokémon Dex Data'!$S$3:$S951,MATCH($E452,'0.0.1 Pokémon Dex Data'!$B$3:$B951,0))*INDEX('0.0.1 Pokémon Dex Data'!T$3:T951,MATCH($E452,'0.0.1 Pokémon Dex Data'!$B$3:$B951,0)),0)</f>
        <v>414</v>
      </c>
      <c r="K452" s="260" t="n">
        <f aca="false" t="array" ref="K452:K452">ROUND(INDEX('0.0.1 Pokémon Dex Data'!$S$3:$S951,MATCH($E452,'0.0.1 Pokémon Dex Data'!$B$3:$B951,0))*INDEX('0.0.1 Pokémon Dex Data'!U$3:U951,MATCH($E452,'0.0.1 Pokémon Dex Data'!$B$3:$B951,0)),0)</f>
        <v>46</v>
      </c>
      <c r="L452" s="260" t="n">
        <f aca="false" t="array" ref="L452:L452">ROUND(INDEX('0.0.1 Pokémon Dex Data'!$S$3:$S951,MATCH($E452,'0.0.1 Pokémon Dex Data'!$B$3:$B951,0))*INDEX('0.0.1 Pokémon Dex Data'!V$3:V951,MATCH($E452,'0.0.1 Pokémon Dex Data'!$B$3:$B951,0)),0)</f>
        <v>137</v>
      </c>
      <c r="M452" s="260" t="n">
        <f aca="false" t="array" ref="M452:M452">INDEX('0.0.1 Pokémon Dex Data'!$J$3:$J951,MATCH(E452,'0.0.1 Pokémon Dex Data'!$B$3:$B951,0))</f>
        <v>1</v>
      </c>
      <c r="O452" s="490"/>
      <c r="Q452" s="367" t="n">
        <f aca="false">IF('Reverse Search'!$F$4="All (including temporary formes)",1,IF('Reverse Search'!$F$4="Base Pokémon and permanent formes only",IF(F452&lt;=1,1,0),IF(F452=0,1,0)))</f>
        <v>0</v>
      </c>
      <c r="R452" s="0" t="n">
        <f aca="false">IF('Reverse Search'!$C$7="Disable",1,IF('Reverse Search'!$D$9="Disable",1,IF(OR('Reverse Search'!$F$9=H452,'Reverse Search'!$F$9=I452),1,0)))</f>
        <v>1</v>
      </c>
      <c r="S452" s="0" t="n">
        <f aca="false">IF('Reverse Search'!$C$7="Disable",1,IF('Reverse Search'!$D$10="Disable",1,IF(OR('Reverse Search'!$F$10=H452,'Reverse Search'!$F$10=I452),1,0)))</f>
        <v>1</v>
      </c>
      <c r="T452" s="0" t="n">
        <f aca="false">INDEX($B$4:$B$22,MATCH(H452,$A$4:$A$22,0))</f>
        <v>1</v>
      </c>
      <c r="U452" s="0" t="e">
        <f aca="false">IF(ISBLANK(I452),1,INDEX($B$4:$B$22,MATCH(I452,$A$4:$A$22,0)))</f>
        <v>#N/A</v>
      </c>
      <c r="V452" s="367" t="n">
        <f aca="false">IF('Reverse Search'!$C$7="Disable",1,IF('Reverse Search'!$D$11="Disable",1,IF('Reverse Search'!$E$11="Neutral to:",IF(ROUND(T452*U452,2)&lt;=1,1,0),IF(ROUND(T452*U452,2)&lt;1,1,0))))</f>
        <v>1</v>
      </c>
      <c r="W452" s="0" t="n">
        <f aca="false">IF('Reverse Search'!$N$7="Disable",1,IF('Reverse Search'!$I$9="Disable",1,IF('Reverse Search'!$K$9="≥",IF(J452&gt;='Reverse Search'!$L$9,1,0),IF('Reverse Search'!$K$9="≤",IF(J452&lt;='Reverse Search'!$L$9,1,0),IF(J452='Reverse Search'!$L$9,1,0)))))</f>
        <v>1</v>
      </c>
      <c r="X452" s="0" t="n">
        <f aca="false">IF('Reverse Search'!$N$7="Disable",1,IF('Reverse Search'!$I$10="Disable",1,IF('Reverse Search'!$K$10="≥",IF(K452&gt;='Reverse Search'!$L$10,1,0),IF('Reverse Search'!$K$10="≤",IF(K452&lt;='Reverse Search'!$L$10,1,0),IF(K452='Reverse Search'!$L$10,1,0)))))</f>
        <v>1</v>
      </c>
      <c r="Y452" s="367" t="n">
        <f aca="false">IF('Reverse Search'!$N$7="Disable",1,IF('Reverse Search'!$I$11="Disable",1,IF('Reverse Search'!$K$11="≥",IF(L452&gt;='Reverse Search'!$L$11,1,0),IF('Reverse Search'!$K$11="≤",IF(L452&lt;='Reverse Search'!$L$11,1,0),IF(L452='Reverse Search'!$L$11,1,0)))))</f>
        <v>1</v>
      </c>
      <c r="Z452" s="0" t="n">
        <f aca="true">IF('Reverse Search'!$C$14="Disable",1,IF('Reverse Search'!$D$16="Disable",1,IF($C$2=3,IF($M452=0,0,COUNTIF(INDIRECT("'0.0.2 Pokémon Learnset (Core)'!$D$"&amp;MATCH($E452,'0.0.2 Pokémon Learnset (Core)'!$A$1:$A951,0)&amp;":$FK$"&amp;MATCH($E452,'0.0.2 Pokémon Learnset (Core)'!$A$1:$A951,0)),'Reverse Search'!$E$21)),IF($C$2=2,COUNTIF(INDIRECT("'0.1.1 Pokémon GO Moves'!$B$"&amp;MATCH($E452,'0.1.1 Pokémon GO Moves'!$A$1:$A951,0)&amp;":$R$"&amp;MATCH($E452,'0.1.1 Pokémon GO Moves'!$A$1:$A951,0)),'Reverse Search'!$E$21),COUNTIF(INDIRECT("'0.1.1 Pokémon GO Moves'!$B$"&amp;MATCH($E452,'0.1.1 Pokémon GO Moves'!$A$1:$A951,0)&amp;":$L$"&amp;MATCH($E452,'0.1.1 Pokémon GO Moves'!$A$1:$A951,0)),'Reverse Search'!$E$21)))))</f>
        <v>1</v>
      </c>
      <c r="AA452" s="0" t="n">
        <f aca="true">IF('Reverse Search'!$C$14="Disable",1,IF('Reverse Search'!$I$16="Disable",1,IF($D$2=3,IF($M452=0,0,COUNTIF(INDIRECT("'0.0.2 Pokémon Learnset (Core)'!$D$"&amp;MATCH($E452,'0.0.2 Pokémon Learnset (Core)'!$A$1:$A951,0)&amp;":$FK$"&amp;MATCH($E452,'0.0.2 Pokémon Learnset (Core)'!$A$1:$A951,0)),'Reverse Search'!$J$21)),IF($D$2=2,COUNTIF(INDIRECT("'0.1.1 Pokémon GO Moves'!$B$"&amp;MATCH($E452,'0.1.1 Pokémon GO Moves'!$A$1:$A951,0)&amp;":$R$"&amp;MATCH($E452,'0.1.1 Pokémon GO Moves'!$A$1:$A951,0)),'Reverse Search'!$J$21),COUNTIF(INDIRECT("'0.1.1 Pokémon GO Moves'!$B$"&amp;MATCH($E452,'0.1.1 Pokémon GO Moves'!$A$1:$A951,0)&amp;":$L$"&amp;MATCH($E452,'0.1.1 Pokémon GO Moves'!$A$1:$A951,0)),'Reverse Search'!$J$21)))))</f>
        <v>0</v>
      </c>
      <c r="AB452" s="490"/>
      <c r="AC452" s="260" t="n">
        <f aca="false">IF((Q452+R452+S452+V452+W452+X452+Y452+IF(Z452&gt;=1,1,0)+IF(AA452&gt;=1,1,0))=9,G452&amp;", ",)</f>
        <v>0</v>
      </c>
    </row>
    <row r="453" customFormat="false" ht="15.75" hidden="false" customHeight="false" outlineLevel="0" collapsed="false">
      <c r="A453" s="260"/>
      <c r="B453" s="358"/>
      <c r="C453" s="260"/>
      <c r="D453" s="358"/>
      <c r="E453" s="260" t="n">
        <v>452</v>
      </c>
      <c r="F453" s="260" t="n">
        <f aca="false" t="array" ref="F453:F453">INDEX('0.0.1 Pokémon Dex Data'!$H$3:$H951,MATCH(E453,'0.0.1 Pokémon Dex Data'!$B$3:$B951,0))</f>
        <v>1</v>
      </c>
      <c r="G453" s="0" t="str">
        <f aca="false" t="array" ref="G453:G453">INDEX('0.0.1 Pokémon Dex Data'!$E$3:$E951,MATCH(E453,'0.0.1 Pokémon Dex Data'!$B$3:$B951,0))</f>
        <v>Deoxys-Defense</v>
      </c>
      <c r="H453" s="0" t="str">
        <f aca="false" t="array" ref="H453:H453">INDEX('0.0.1 Pokémon Dex Data'!$Q$3:$Q951,MATCH(E453,'0.0.1 Pokémon Dex Data'!$B$3:$B951,0))</f>
        <v>Psychic</v>
      </c>
      <c r="I453" s="0" t="n">
        <f aca="false">INDEX('0.0.1 Pokémon Dex Data'!$R$3:$R951,MATCH(E453,'0.0.1 Pokémon Dex Data'!$B$3:$B951,0))</f>
        <v>0</v>
      </c>
      <c r="J453" s="260" t="n">
        <f aca="false" t="array" ref="J453:J453">ROUND(INDEX('0.0.1 Pokémon Dex Data'!$S$3:$S951,MATCH($E453,'0.0.1 Pokémon Dex Data'!$B$3:$B951,0))*INDEX('0.0.1 Pokémon Dex Data'!T$3:T951,MATCH($E453,'0.0.1 Pokémon Dex Data'!$B$3:$B951,0)),0)</f>
        <v>144</v>
      </c>
      <c r="K453" s="260" t="n">
        <f aca="false" t="array" ref="K453:K453">ROUND(INDEX('0.0.1 Pokémon Dex Data'!$S$3:$S951,MATCH($E453,'0.0.1 Pokémon Dex Data'!$B$3:$B951,0))*INDEX('0.0.1 Pokémon Dex Data'!U$3:U951,MATCH($E453,'0.0.1 Pokémon Dex Data'!$B$3:$B951,0)),0)</f>
        <v>330</v>
      </c>
      <c r="L453" s="260" t="n">
        <f aca="false" t="array" ref="L453:L453">ROUND(INDEX('0.0.1 Pokémon Dex Data'!$S$3:$S951,MATCH($E453,'0.0.1 Pokémon Dex Data'!$B$3:$B951,0))*INDEX('0.0.1 Pokémon Dex Data'!V$3:V951,MATCH($E453,'0.0.1 Pokémon Dex Data'!$B$3:$B951,0)),0)</f>
        <v>137</v>
      </c>
      <c r="M453" s="260" t="n">
        <f aca="false" t="array" ref="M453:M453">INDEX('0.0.1 Pokémon Dex Data'!$J$3:$J951,MATCH(E453,'0.0.1 Pokémon Dex Data'!$B$3:$B951,0))</f>
        <v>1</v>
      </c>
      <c r="O453" s="490"/>
      <c r="Q453" s="367" t="n">
        <f aca="false">IF('Reverse Search'!$F$4="All (including temporary formes)",1,IF('Reverse Search'!$F$4="Base Pokémon and permanent formes only",IF(F453&lt;=1,1,0),IF(F453=0,1,0)))</f>
        <v>0</v>
      </c>
      <c r="R453" s="0" t="n">
        <f aca="false">IF('Reverse Search'!$C$7="Disable",1,IF('Reverse Search'!$D$9="Disable",1,IF(OR('Reverse Search'!$F$9=H453,'Reverse Search'!$F$9=I453),1,0)))</f>
        <v>1</v>
      </c>
      <c r="S453" s="0" t="n">
        <f aca="false">IF('Reverse Search'!$C$7="Disable",1,IF('Reverse Search'!$D$10="Disable",1,IF(OR('Reverse Search'!$F$10=H453,'Reverse Search'!$F$10=I453),1,0)))</f>
        <v>1</v>
      </c>
      <c r="T453" s="0" t="n">
        <f aca="false">INDEX($B$4:$B$22,MATCH(H453,$A$4:$A$22,0))</f>
        <v>1</v>
      </c>
      <c r="U453" s="0" t="e">
        <f aca="false">IF(ISBLANK(I453),1,INDEX($B$4:$B$22,MATCH(I453,$A$4:$A$22,0)))</f>
        <v>#N/A</v>
      </c>
      <c r="V453" s="367" t="n">
        <f aca="false">IF('Reverse Search'!$C$7="Disable",1,IF('Reverse Search'!$D$11="Disable",1,IF('Reverse Search'!$E$11="Neutral to:",IF(ROUND(T453*U453,2)&lt;=1,1,0),IF(ROUND(T453*U453,2)&lt;1,1,0))))</f>
        <v>1</v>
      </c>
      <c r="W453" s="0" t="n">
        <f aca="false">IF('Reverse Search'!$N$7="Disable",1,IF('Reverse Search'!$I$9="Disable",1,IF('Reverse Search'!$K$9="≥",IF(J453&gt;='Reverse Search'!$L$9,1,0),IF('Reverse Search'!$K$9="≤",IF(J453&lt;='Reverse Search'!$L$9,1,0),IF(J453='Reverse Search'!$L$9,1,0)))))</f>
        <v>1</v>
      </c>
      <c r="X453" s="0" t="n">
        <f aca="false">IF('Reverse Search'!$N$7="Disable",1,IF('Reverse Search'!$I$10="Disable",1,IF('Reverse Search'!$K$10="≥",IF(K453&gt;='Reverse Search'!$L$10,1,0),IF('Reverse Search'!$K$10="≤",IF(K453&lt;='Reverse Search'!$L$10,1,0),IF(K453='Reverse Search'!$L$10,1,0)))))</f>
        <v>1</v>
      </c>
      <c r="Y453" s="367" t="n">
        <f aca="false">IF('Reverse Search'!$N$7="Disable",1,IF('Reverse Search'!$I$11="Disable",1,IF('Reverse Search'!$K$11="≥",IF(L453&gt;='Reverse Search'!$L$11,1,0),IF('Reverse Search'!$K$11="≤",IF(L453&lt;='Reverse Search'!$L$11,1,0),IF(L453='Reverse Search'!$L$11,1,0)))))</f>
        <v>1</v>
      </c>
      <c r="Z453" s="0" t="n">
        <f aca="true">IF('Reverse Search'!$C$14="Disable",1,IF('Reverse Search'!$D$16="Disable",1,IF($C$2=3,IF($M453=0,0,COUNTIF(INDIRECT("'0.0.2 Pokémon Learnset (Core)'!$D$"&amp;MATCH($E453,'0.0.2 Pokémon Learnset (Core)'!$A$1:$A951,0)&amp;":$FK$"&amp;MATCH($E453,'0.0.2 Pokémon Learnset (Core)'!$A$1:$A951,0)),'Reverse Search'!$E$21)),IF($C$2=2,COUNTIF(INDIRECT("'0.1.1 Pokémon GO Moves'!$B$"&amp;MATCH($E453,'0.1.1 Pokémon GO Moves'!$A$1:$A951,0)&amp;":$R$"&amp;MATCH($E453,'0.1.1 Pokémon GO Moves'!$A$1:$A951,0)),'Reverse Search'!$E$21),COUNTIF(INDIRECT("'0.1.1 Pokémon GO Moves'!$B$"&amp;MATCH($E453,'0.1.1 Pokémon GO Moves'!$A$1:$A951,0)&amp;":$L$"&amp;MATCH($E453,'0.1.1 Pokémon GO Moves'!$A$1:$A951,0)),'Reverse Search'!$E$21)))))</f>
        <v>1</v>
      </c>
      <c r="AA453" s="0" t="n">
        <f aca="true">IF('Reverse Search'!$C$14="Disable",1,IF('Reverse Search'!$I$16="Disable",1,IF($D$2=3,IF($M453=0,0,COUNTIF(INDIRECT("'0.0.2 Pokémon Learnset (Core)'!$D$"&amp;MATCH($E453,'0.0.2 Pokémon Learnset (Core)'!$A$1:$A951,0)&amp;":$FK$"&amp;MATCH($E453,'0.0.2 Pokémon Learnset (Core)'!$A$1:$A951,0)),'Reverse Search'!$J$21)),IF($D$2=2,COUNTIF(INDIRECT("'0.1.1 Pokémon GO Moves'!$B$"&amp;MATCH($E453,'0.1.1 Pokémon GO Moves'!$A$1:$A951,0)&amp;":$R$"&amp;MATCH($E453,'0.1.1 Pokémon GO Moves'!$A$1:$A951,0)),'Reverse Search'!$J$21),COUNTIF(INDIRECT("'0.1.1 Pokémon GO Moves'!$B$"&amp;MATCH($E453,'0.1.1 Pokémon GO Moves'!$A$1:$A951,0)&amp;":$L$"&amp;MATCH($E453,'0.1.1 Pokémon GO Moves'!$A$1:$A951,0)),'Reverse Search'!$J$21)))))</f>
        <v>0</v>
      </c>
      <c r="AB453" s="490"/>
      <c r="AC453" s="260" t="n">
        <f aca="false">IF((Q453+R453+S453+V453+W453+X453+Y453+IF(Z453&gt;=1,1,0)+IF(AA453&gt;=1,1,0))=9,G453&amp;", ",)</f>
        <v>0</v>
      </c>
    </row>
    <row r="454" customFormat="false" ht="15.75" hidden="false" customHeight="false" outlineLevel="0" collapsed="false">
      <c r="A454" s="260"/>
      <c r="B454" s="358"/>
      <c r="C454" s="260"/>
      <c r="D454" s="358"/>
      <c r="E454" s="260" t="n">
        <v>453</v>
      </c>
      <c r="F454" s="260" t="n">
        <f aca="false" t="array" ref="F454:F454">INDEX('0.0.1 Pokémon Dex Data'!$H$3:$H951,MATCH(E454,'0.0.1 Pokémon Dex Data'!$B$3:$B951,0))</f>
        <v>1</v>
      </c>
      <c r="G454" s="0" t="str">
        <f aca="false" t="array" ref="G454:G454">INDEX('0.0.1 Pokémon Dex Data'!$E$3:$E951,MATCH(E454,'0.0.1 Pokémon Dex Data'!$B$3:$B951,0))</f>
        <v>Deoxys-Speed</v>
      </c>
      <c r="H454" s="0" t="str">
        <f aca="false" t="array" ref="H454:H454">INDEX('0.0.1 Pokémon Dex Data'!$Q$3:$Q951,MATCH(E454,'0.0.1 Pokémon Dex Data'!$B$3:$B951,0))</f>
        <v>Psychic</v>
      </c>
      <c r="I454" s="0" t="n">
        <f aca="false">INDEX('0.0.1 Pokémon Dex Data'!$R$3:$R951,MATCH(E454,'0.0.1 Pokémon Dex Data'!$B$3:$B951,0))</f>
        <v>0</v>
      </c>
      <c r="J454" s="260" t="n">
        <f aca="false" t="array" ref="J454:J454">ROUND(INDEX('0.0.1 Pokémon Dex Data'!$S$3:$S951,MATCH($E454,'0.0.1 Pokémon Dex Data'!$B$3:$B951,0))*INDEX('0.0.1 Pokémon Dex Data'!T$3:T951,MATCH($E454,'0.0.1 Pokémon Dex Data'!$B$3:$B951,0)),0)</f>
        <v>230</v>
      </c>
      <c r="K454" s="260" t="n">
        <f aca="false" t="array" ref="K454:K454">ROUND(INDEX('0.0.1 Pokémon Dex Data'!$S$3:$S951,MATCH($E454,'0.0.1 Pokémon Dex Data'!$B$3:$B951,0))*INDEX('0.0.1 Pokémon Dex Data'!U$3:U951,MATCH($E454,'0.0.1 Pokémon Dex Data'!$B$3:$B951,0)),0)</f>
        <v>218</v>
      </c>
      <c r="L454" s="260" t="n">
        <f aca="false" t="array" ref="L454:L454">ROUND(INDEX('0.0.1 Pokémon Dex Data'!$S$3:$S951,MATCH($E454,'0.0.1 Pokémon Dex Data'!$B$3:$B951,0))*INDEX('0.0.1 Pokémon Dex Data'!V$3:V951,MATCH($E454,'0.0.1 Pokémon Dex Data'!$B$3:$B951,0)),0)</f>
        <v>137</v>
      </c>
      <c r="M454" s="260" t="n">
        <f aca="false" t="array" ref="M454:M454">INDEX('0.0.1 Pokémon Dex Data'!$J$3:$J951,MATCH(E454,'0.0.1 Pokémon Dex Data'!$B$3:$B951,0))</f>
        <v>1</v>
      </c>
      <c r="O454" s="490"/>
      <c r="Q454" s="367" t="n">
        <f aca="false">IF('Reverse Search'!$F$4="All (including temporary formes)",1,IF('Reverse Search'!$F$4="Base Pokémon and permanent formes only",IF(F454&lt;=1,1,0),IF(F454=0,1,0)))</f>
        <v>0</v>
      </c>
      <c r="R454" s="0" t="n">
        <f aca="false">IF('Reverse Search'!$C$7="Disable",1,IF('Reverse Search'!$D$9="Disable",1,IF(OR('Reverse Search'!$F$9=H454,'Reverse Search'!$F$9=I454),1,0)))</f>
        <v>1</v>
      </c>
      <c r="S454" s="0" t="n">
        <f aca="false">IF('Reverse Search'!$C$7="Disable",1,IF('Reverse Search'!$D$10="Disable",1,IF(OR('Reverse Search'!$F$10=H454,'Reverse Search'!$F$10=I454),1,0)))</f>
        <v>1</v>
      </c>
      <c r="T454" s="0" t="n">
        <f aca="false">INDEX($B$4:$B$22,MATCH(H454,$A$4:$A$22,0))</f>
        <v>1</v>
      </c>
      <c r="U454" s="0" t="e">
        <f aca="false">IF(ISBLANK(I454),1,INDEX($B$4:$B$22,MATCH(I454,$A$4:$A$22,0)))</f>
        <v>#N/A</v>
      </c>
      <c r="V454" s="367" t="n">
        <f aca="false">IF('Reverse Search'!$C$7="Disable",1,IF('Reverse Search'!$D$11="Disable",1,IF('Reverse Search'!$E$11="Neutral to:",IF(ROUND(T454*U454,2)&lt;=1,1,0),IF(ROUND(T454*U454,2)&lt;1,1,0))))</f>
        <v>1</v>
      </c>
      <c r="W454" s="0" t="n">
        <f aca="false">IF('Reverse Search'!$N$7="Disable",1,IF('Reverse Search'!$I$9="Disable",1,IF('Reverse Search'!$K$9="≥",IF(J454&gt;='Reverse Search'!$L$9,1,0),IF('Reverse Search'!$K$9="≤",IF(J454&lt;='Reverse Search'!$L$9,1,0),IF(J454='Reverse Search'!$L$9,1,0)))))</f>
        <v>1</v>
      </c>
      <c r="X454" s="0" t="n">
        <f aca="false">IF('Reverse Search'!$N$7="Disable",1,IF('Reverse Search'!$I$10="Disable",1,IF('Reverse Search'!$K$10="≥",IF(K454&gt;='Reverse Search'!$L$10,1,0),IF('Reverse Search'!$K$10="≤",IF(K454&lt;='Reverse Search'!$L$10,1,0),IF(K454='Reverse Search'!$L$10,1,0)))))</f>
        <v>1</v>
      </c>
      <c r="Y454" s="367" t="n">
        <f aca="false">IF('Reverse Search'!$N$7="Disable",1,IF('Reverse Search'!$I$11="Disable",1,IF('Reverse Search'!$K$11="≥",IF(L454&gt;='Reverse Search'!$L$11,1,0),IF('Reverse Search'!$K$11="≤",IF(L454&lt;='Reverse Search'!$L$11,1,0),IF(L454='Reverse Search'!$L$11,1,0)))))</f>
        <v>1</v>
      </c>
      <c r="Z454" s="0" t="n">
        <f aca="true">IF('Reverse Search'!$C$14="Disable",1,IF('Reverse Search'!$D$16="Disable",1,IF($C$2=3,IF($M454=0,0,COUNTIF(INDIRECT("'0.0.2 Pokémon Learnset (Core)'!$D$"&amp;MATCH($E454,'0.0.2 Pokémon Learnset (Core)'!$A$1:$A951,0)&amp;":$FK$"&amp;MATCH($E454,'0.0.2 Pokémon Learnset (Core)'!$A$1:$A951,0)),'Reverse Search'!$E$21)),IF($C$2=2,COUNTIF(INDIRECT("'0.1.1 Pokémon GO Moves'!$B$"&amp;MATCH($E454,'0.1.1 Pokémon GO Moves'!$A$1:$A951,0)&amp;":$R$"&amp;MATCH($E454,'0.1.1 Pokémon GO Moves'!$A$1:$A951,0)),'Reverse Search'!$E$21),COUNTIF(INDIRECT("'0.1.1 Pokémon GO Moves'!$B$"&amp;MATCH($E454,'0.1.1 Pokémon GO Moves'!$A$1:$A951,0)&amp;":$L$"&amp;MATCH($E454,'0.1.1 Pokémon GO Moves'!$A$1:$A951,0)),'Reverse Search'!$E$21)))))</f>
        <v>1</v>
      </c>
      <c r="AA454" s="0" t="n">
        <f aca="true">IF('Reverse Search'!$C$14="Disable",1,IF('Reverse Search'!$I$16="Disable",1,IF($D$2=3,IF($M454=0,0,COUNTIF(INDIRECT("'0.0.2 Pokémon Learnset (Core)'!$D$"&amp;MATCH($E454,'0.0.2 Pokémon Learnset (Core)'!$A$1:$A951,0)&amp;":$FK$"&amp;MATCH($E454,'0.0.2 Pokémon Learnset (Core)'!$A$1:$A951,0)),'Reverse Search'!$J$21)),IF($D$2=2,COUNTIF(INDIRECT("'0.1.1 Pokémon GO Moves'!$B$"&amp;MATCH($E454,'0.1.1 Pokémon GO Moves'!$A$1:$A951,0)&amp;":$R$"&amp;MATCH($E454,'0.1.1 Pokémon GO Moves'!$A$1:$A951,0)),'Reverse Search'!$J$21),COUNTIF(INDIRECT("'0.1.1 Pokémon GO Moves'!$B$"&amp;MATCH($E454,'0.1.1 Pokémon GO Moves'!$A$1:$A951,0)&amp;":$L$"&amp;MATCH($E454,'0.1.1 Pokémon GO Moves'!$A$1:$A951,0)),'Reverse Search'!$J$21)))))</f>
        <v>0</v>
      </c>
      <c r="AB454" s="490"/>
      <c r="AC454" s="260" t="n">
        <f aca="false">IF((Q454+R454+S454+V454+W454+X454+Y454+IF(Z454&gt;=1,1,0)+IF(AA454&gt;=1,1,0))=9,G454&amp;", ",)</f>
        <v>0</v>
      </c>
    </row>
    <row r="455" customFormat="false" ht="15.75" hidden="false" customHeight="false" outlineLevel="0" collapsed="false">
      <c r="A455" s="260"/>
      <c r="B455" s="358"/>
      <c r="C455" s="260"/>
      <c r="D455" s="358"/>
      <c r="E455" s="260" t="n">
        <v>454</v>
      </c>
      <c r="F455" s="260" t="n">
        <f aca="false" t="array" ref="F455:F455">INDEX('0.0.1 Pokémon Dex Data'!$H$3:$H951,MATCH(E455,'0.0.1 Pokémon Dex Data'!$B$3:$B951,0))</f>
        <v>0</v>
      </c>
      <c r="G455" s="0" t="str">
        <f aca="false" t="array" ref="G455:G455">INDEX('0.0.1 Pokémon Dex Data'!$E$3:$E951,MATCH(E455,'0.0.1 Pokémon Dex Data'!$B$3:$B951,0))</f>
        <v>Turtwig</v>
      </c>
      <c r="H455" s="0" t="str">
        <f aca="false" t="array" ref="H455:H455">INDEX('0.0.1 Pokémon Dex Data'!$Q$3:$Q951,MATCH(E455,'0.0.1 Pokémon Dex Data'!$B$3:$B951,0))</f>
        <v>Grass</v>
      </c>
      <c r="I455" s="0" t="n">
        <f aca="false">INDEX('0.0.1 Pokémon Dex Data'!$R$3:$R951,MATCH(E455,'0.0.1 Pokémon Dex Data'!$B$3:$B951,0))</f>
        <v>0</v>
      </c>
      <c r="J455" s="260" t="n">
        <f aca="false" t="array" ref="J455:J455">ROUND(INDEX('0.0.1 Pokémon Dex Data'!$S$3:$S951,MATCH($E455,'0.0.1 Pokémon Dex Data'!$B$3:$B951,0))*INDEX('0.0.1 Pokémon Dex Data'!T$3:T951,MATCH($E455,'0.0.1 Pokémon Dex Data'!$B$3:$B951,0)),0)</f>
        <v>119</v>
      </c>
      <c r="K455" s="260" t="n">
        <f aca="false" t="array" ref="K455:K455">ROUND(INDEX('0.0.1 Pokémon Dex Data'!$S$3:$S951,MATCH($E455,'0.0.1 Pokémon Dex Data'!$B$3:$B951,0))*INDEX('0.0.1 Pokémon Dex Data'!U$3:U951,MATCH($E455,'0.0.1 Pokémon Dex Data'!$B$3:$B951,0)),0)</f>
        <v>110</v>
      </c>
      <c r="L455" s="260" t="n">
        <f aca="false" t="array" ref="L455:L455">ROUND(INDEX('0.0.1 Pokémon Dex Data'!$S$3:$S951,MATCH($E455,'0.0.1 Pokémon Dex Data'!$B$3:$B951,0))*INDEX('0.0.1 Pokémon Dex Data'!V$3:V951,MATCH($E455,'0.0.1 Pokémon Dex Data'!$B$3:$B951,0)),0)</f>
        <v>146</v>
      </c>
      <c r="M455" s="260" t="n">
        <f aca="false" t="array" ref="M455:M455">INDEX('0.0.1 Pokémon Dex Data'!$J$3:$J951,MATCH(E455,'0.0.1 Pokémon Dex Data'!$B$3:$B951,0))</f>
        <v>0</v>
      </c>
      <c r="O455" s="490"/>
      <c r="Q455" s="367" t="n">
        <f aca="false">IF('Reverse Search'!$F$4="All (including temporary formes)",1,IF('Reverse Search'!$F$4="Base Pokémon and permanent formes only",IF(F455&lt;=1,1,0),IF(F455=0,1,0)))</f>
        <v>1</v>
      </c>
      <c r="R455" s="0" t="n">
        <f aca="false">IF('Reverse Search'!$C$7="Disable",1,IF('Reverse Search'!$D$9="Disable",1,IF(OR('Reverse Search'!$F$9=H455,'Reverse Search'!$F$9=I455),1,0)))</f>
        <v>1</v>
      </c>
      <c r="S455" s="0" t="n">
        <f aca="false">IF('Reverse Search'!$C$7="Disable",1,IF('Reverse Search'!$D$10="Disable",1,IF(OR('Reverse Search'!$F$10=H455,'Reverse Search'!$F$10=I455),1,0)))</f>
        <v>1</v>
      </c>
      <c r="T455" s="0" t="n">
        <f aca="false">INDEX($B$4:$B$22,MATCH(H455,$A$4:$A$22,0))</f>
        <v>1</v>
      </c>
      <c r="U455" s="0" t="e">
        <f aca="false">IF(ISBLANK(I455),1,INDEX($B$4:$B$22,MATCH(I455,$A$4:$A$22,0)))</f>
        <v>#N/A</v>
      </c>
      <c r="V455" s="367" t="n">
        <f aca="false">IF('Reverse Search'!$C$7="Disable",1,IF('Reverse Search'!$D$11="Disable",1,IF('Reverse Search'!$E$11="Neutral to:",IF(ROUND(T455*U455,2)&lt;=1,1,0),IF(ROUND(T455*U455,2)&lt;1,1,0))))</f>
        <v>1</v>
      </c>
      <c r="W455" s="0" t="n">
        <f aca="false">IF('Reverse Search'!$N$7="Disable",1,IF('Reverse Search'!$I$9="Disable",1,IF('Reverse Search'!$K$9="≥",IF(J455&gt;='Reverse Search'!$L$9,1,0),IF('Reverse Search'!$K$9="≤",IF(J455&lt;='Reverse Search'!$L$9,1,0),IF(J455='Reverse Search'!$L$9,1,0)))))</f>
        <v>1</v>
      </c>
      <c r="X455" s="0" t="n">
        <f aca="false">IF('Reverse Search'!$N$7="Disable",1,IF('Reverse Search'!$I$10="Disable",1,IF('Reverse Search'!$K$10="≥",IF(K455&gt;='Reverse Search'!$L$10,1,0),IF('Reverse Search'!$K$10="≤",IF(K455&lt;='Reverse Search'!$L$10,1,0),IF(K455='Reverse Search'!$L$10,1,0)))))</f>
        <v>1</v>
      </c>
      <c r="Y455" s="367" t="n">
        <f aca="false">IF('Reverse Search'!$N$7="Disable",1,IF('Reverse Search'!$I$11="Disable",1,IF('Reverse Search'!$K$11="≥",IF(L455&gt;='Reverse Search'!$L$11,1,0),IF('Reverse Search'!$K$11="≤",IF(L455&lt;='Reverse Search'!$L$11,1,0),IF(L455='Reverse Search'!$L$11,1,0)))))</f>
        <v>1</v>
      </c>
      <c r="Z455" s="0" t="n">
        <f aca="true">IF('Reverse Search'!$C$14="Disable",1,IF('Reverse Search'!$D$16="Disable",1,IF($C$2=3,IF($M455=0,0,COUNTIF(INDIRECT("'0.0.2 Pokémon Learnset (Core)'!$D$"&amp;MATCH($E455,'0.0.2 Pokémon Learnset (Core)'!$A$1:$A951,0)&amp;":$FK$"&amp;MATCH($E455,'0.0.2 Pokémon Learnset (Core)'!$A$1:$A951,0)),'Reverse Search'!$E$21)),IF($C$2=2,COUNTIF(INDIRECT("'0.1.1 Pokémon GO Moves'!$B$"&amp;MATCH($E455,'0.1.1 Pokémon GO Moves'!$A$1:$A951,0)&amp;":$R$"&amp;MATCH($E455,'0.1.1 Pokémon GO Moves'!$A$1:$A951,0)),'Reverse Search'!$E$21),COUNTIF(INDIRECT("'0.1.1 Pokémon GO Moves'!$B$"&amp;MATCH($E455,'0.1.1 Pokémon GO Moves'!$A$1:$A951,0)&amp;":$L$"&amp;MATCH($E455,'0.1.1 Pokémon GO Moves'!$A$1:$A951,0)),'Reverse Search'!$E$21)))))</f>
        <v>1</v>
      </c>
      <c r="AA455" s="0" t="n">
        <f aca="true">IF('Reverse Search'!$C$14="Disable",1,IF('Reverse Search'!$I$16="Disable",1,IF($D$2=3,IF($M455=0,0,COUNTIF(INDIRECT("'0.0.2 Pokémon Learnset (Core)'!$D$"&amp;MATCH($E455,'0.0.2 Pokémon Learnset (Core)'!$A$1:$A951,0)&amp;":$FK$"&amp;MATCH($E455,'0.0.2 Pokémon Learnset (Core)'!$A$1:$A951,0)),'Reverse Search'!$J$21)),IF($D$2=2,COUNTIF(INDIRECT("'0.1.1 Pokémon GO Moves'!$B$"&amp;MATCH($E455,'0.1.1 Pokémon GO Moves'!$A$1:$A951,0)&amp;":$R$"&amp;MATCH($E455,'0.1.1 Pokémon GO Moves'!$A$1:$A951,0)),'Reverse Search'!$J$21),COUNTIF(INDIRECT("'0.1.1 Pokémon GO Moves'!$B$"&amp;MATCH($E455,'0.1.1 Pokémon GO Moves'!$A$1:$A951,0)&amp;":$L$"&amp;MATCH($E455,'0.1.1 Pokémon GO Moves'!$A$1:$A951,0)),'Reverse Search'!$J$21)))))</f>
        <v>0</v>
      </c>
      <c r="AB455" s="490"/>
      <c r="AC455" s="260" t="n">
        <f aca="false">IF((Q455+R455+S455+V455+W455+X455+Y455+IF(Z455&gt;=1,1,0)+IF(AA455&gt;=1,1,0))=9,G455&amp;", ",)</f>
        <v>0</v>
      </c>
    </row>
    <row r="456" customFormat="false" ht="15.75" hidden="false" customHeight="false" outlineLevel="0" collapsed="false">
      <c r="A456" s="260"/>
      <c r="B456" s="358"/>
      <c r="C456" s="260"/>
      <c r="D456" s="358"/>
      <c r="E456" s="260" t="n">
        <v>455</v>
      </c>
      <c r="F456" s="260" t="n">
        <f aca="false" t="array" ref="F456:F456">INDEX('0.0.1 Pokémon Dex Data'!$H$3:$H951,MATCH(E456,'0.0.1 Pokémon Dex Data'!$B$3:$B951,0))</f>
        <v>0</v>
      </c>
      <c r="G456" s="0" t="str">
        <f aca="false" t="array" ref="G456:G456">INDEX('0.0.1 Pokémon Dex Data'!$E$3:$E951,MATCH(E456,'0.0.1 Pokémon Dex Data'!$B$3:$B951,0))</f>
        <v>Grotle</v>
      </c>
      <c r="H456" s="0" t="str">
        <f aca="false" t="array" ref="H456:H456">INDEX('0.0.1 Pokémon Dex Data'!$Q$3:$Q951,MATCH(E456,'0.0.1 Pokémon Dex Data'!$B$3:$B951,0))</f>
        <v>Grass</v>
      </c>
      <c r="I456" s="0" t="n">
        <f aca="false">INDEX('0.0.1 Pokémon Dex Data'!$R$3:$R951,MATCH(E456,'0.0.1 Pokémon Dex Data'!$B$3:$B951,0))</f>
        <v>0</v>
      </c>
      <c r="J456" s="260" t="n">
        <f aca="false" t="array" ref="J456:J456">ROUND(INDEX('0.0.1 Pokémon Dex Data'!$S$3:$S951,MATCH($E456,'0.0.1 Pokémon Dex Data'!$B$3:$B951,0))*INDEX('0.0.1 Pokémon Dex Data'!T$3:T951,MATCH($E456,'0.0.1 Pokémon Dex Data'!$B$3:$B951,0)),0)</f>
        <v>157</v>
      </c>
      <c r="K456" s="260" t="n">
        <f aca="false" t="array" ref="K456:K456">ROUND(INDEX('0.0.1 Pokémon Dex Data'!$S$3:$S951,MATCH($E456,'0.0.1 Pokémon Dex Data'!$B$3:$B951,0))*INDEX('0.0.1 Pokémon Dex Data'!U$3:U951,MATCH($E456,'0.0.1 Pokémon Dex Data'!$B$3:$B951,0)),0)</f>
        <v>143</v>
      </c>
      <c r="L456" s="260" t="n">
        <f aca="false" t="array" ref="L456:L456">ROUND(INDEX('0.0.1 Pokémon Dex Data'!$S$3:$S951,MATCH($E456,'0.0.1 Pokémon Dex Data'!$B$3:$B951,0))*INDEX('0.0.1 Pokémon Dex Data'!V$3:V951,MATCH($E456,'0.0.1 Pokémon Dex Data'!$B$3:$B951,0)),0)</f>
        <v>181</v>
      </c>
      <c r="M456" s="260" t="n">
        <f aca="false" t="array" ref="M456:M456">INDEX('0.0.1 Pokémon Dex Data'!$J$3:$J951,MATCH(E456,'0.0.1 Pokémon Dex Data'!$B$3:$B951,0))</f>
        <v>0</v>
      </c>
      <c r="O456" s="490"/>
      <c r="Q456" s="367" t="n">
        <f aca="false">IF('Reverse Search'!$F$4="All (including temporary formes)",1,IF('Reverse Search'!$F$4="Base Pokémon and permanent formes only",IF(F456&lt;=1,1,0),IF(F456=0,1,0)))</f>
        <v>1</v>
      </c>
      <c r="R456" s="0" t="n">
        <f aca="false">IF('Reverse Search'!$C$7="Disable",1,IF('Reverse Search'!$D$9="Disable",1,IF(OR('Reverse Search'!$F$9=H456,'Reverse Search'!$F$9=I456),1,0)))</f>
        <v>1</v>
      </c>
      <c r="S456" s="0" t="n">
        <f aca="false">IF('Reverse Search'!$C$7="Disable",1,IF('Reverse Search'!$D$10="Disable",1,IF(OR('Reverse Search'!$F$10=H456,'Reverse Search'!$F$10=I456),1,0)))</f>
        <v>1</v>
      </c>
      <c r="T456" s="0" t="n">
        <f aca="false">INDEX($B$4:$B$22,MATCH(H456,$A$4:$A$22,0))</f>
        <v>1</v>
      </c>
      <c r="U456" s="0" t="e">
        <f aca="false">IF(ISBLANK(I456),1,INDEX($B$4:$B$22,MATCH(I456,$A$4:$A$22,0)))</f>
        <v>#N/A</v>
      </c>
      <c r="V456" s="367" t="n">
        <f aca="false">IF('Reverse Search'!$C$7="Disable",1,IF('Reverse Search'!$D$11="Disable",1,IF('Reverse Search'!$E$11="Neutral to:",IF(ROUND(T456*U456,2)&lt;=1,1,0),IF(ROUND(T456*U456,2)&lt;1,1,0))))</f>
        <v>1</v>
      </c>
      <c r="W456" s="0" t="n">
        <f aca="false">IF('Reverse Search'!$N$7="Disable",1,IF('Reverse Search'!$I$9="Disable",1,IF('Reverse Search'!$K$9="≥",IF(J456&gt;='Reverse Search'!$L$9,1,0),IF('Reverse Search'!$K$9="≤",IF(J456&lt;='Reverse Search'!$L$9,1,0),IF(J456='Reverse Search'!$L$9,1,0)))))</f>
        <v>1</v>
      </c>
      <c r="X456" s="0" t="n">
        <f aca="false">IF('Reverse Search'!$N$7="Disable",1,IF('Reverse Search'!$I$10="Disable",1,IF('Reverse Search'!$K$10="≥",IF(K456&gt;='Reverse Search'!$L$10,1,0),IF('Reverse Search'!$K$10="≤",IF(K456&lt;='Reverse Search'!$L$10,1,0),IF(K456='Reverse Search'!$L$10,1,0)))))</f>
        <v>1</v>
      </c>
      <c r="Y456" s="367" t="n">
        <f aca="false">IF('Reverse Search'!$N$7="Disable",1,IF('Reverse Search'!$I$11="Disable",1,IF('Reverse Search'!$K$11="≥",IF(L456&gt;='Reverse Search'!$L$11,1,0),IF('Reverse Search'!$K$11="≤",IF(L456&lt;='Reverse Search'!$L$11,1,0),IF(L456='Reverse Search'!$L$11,1,0)))))</f>
        <v>1</v>
      </c>
      <c r="Z456" s="0" t="n">
        <f aca="true">IF('Reverse Search'!$C$14="Disable",1,IF('Reverse Search'!$D$16="Disable",1,IF($C$2=3,IF($M456=0,0,COUNTIF(INDIRECT("'0.0.2 Pokémon Learnset (Core)'!$D$"&amp;MATCH($E456,'0.0.2 Pokémon Learnset (Core)'!$A$1:$A951,0)&amp;":$FK$"&amp;MATCH($E456,'0.0.2 Pokémon Learnset (Core)'!$A$1:$A951,0)),'Reverse Search'!$E$21)),IF($C$2=2,COUNTIF(INDIRECT("'0.1.1 Pokémon GO Moves'!$B$"&amp;MATCH($E456,'0.1.1 Pokémon GO Moves'!$A$1:$A951,0)&amp;":$R$"&amp;MATCH($E456,'0.1.1 Pokémon GO Moves'!$A$1:$A951,0)),'Reverse Search'!$E$21),COUNTIF(INDIRECT("'0.1.1 Pokémon GO Moves'!$B$"&amp;MATCH($E456,'0.1.1 Pokémon GO Moves'!$A$1:$A951,0)&amp;":$L$"&amp;MATCH($E456,'0.1.1 Pokémon GO Moves'!$A$1:$A951,0)),'Reverse Search'!$E$21)))))</f>
        <v>1</v>
      </c>
      <c r="AA456" s="0" t="n">
        <f aca="true">IF('Reverse Search'!$C$14="Disable",1,IF('Reverse Search'!$I$16="Disable",1,IF($D$2=3,IF($M456=0,0,COUNTIF(INDIRECT("'0.0.2 Pokémon Learnset (Core)'!$D$"&amp;MATCH($E456,'0.0.2 Pokémon Learnset (Core)'!$A$1:$A951,0)&amp;":$FK$"&amp;MATCH($E456,'0.0.2 Pokémon Learnset (Core)'!$A$1:$A951,0)),'Reverse Search'!$J$21)),IF($D$2=2,COUNTIF(INDIRECT("'0.1.1 Pokémon GO Moves'!$B$"&amp;MATCH($E456,'0.1.1 Pokémon GO Moves'!$A$1:$A951,0)&amp;":$R$"&amp;MATCH($E456,'0.1.1 Pokémon GO Moves'!$A$1:$A951,0)),'Reverse Search'!$J$21),COUNTIF(INDIRECT("'0.1.1 Pokémon GO Moves'!$B$"&amp;MATCH($E456,'0.1.1 Pokémon GO Moves'!$A$1:$A951,0)&amp;":$L$"&amp;MATCH($E456,'0.1.1 Pokémon GO Moves'!$A$1:$A951,0)),'Reverse Search'!$J$21)))))</f>
        <v>0</v>
      </c>
      <c r="AB456" s="490"/>
      <c r="AC456" s="260" t="n">
        <f aca="false">IF((Q456+R456+S456+V456+W456+X456+Y456+IF(Z456&gt;=1,1,0)+IF(AA456&gt;=1,1,0))=9,G456&amp;", ",)</f>
        <v>0</v>
      </c>
    </row>
    <row r="457" customFormat="false" ht="15.75" hidden="false" customHeight="false" outlineLevel="0" collapsed="false">
      <c r="A457" s="260"/>
      <c r="B457" s="358"/>
      <c r="C457" s="260"/>
      <c r="D457" s="358"/>
      <c r="E457" s="260" t="n">
        <v>456</v>
      </c>
      <c r="F457" s="260" t="n">
        <f aca="false" t="array" ref="F457:F457">INDEX('0.0.1 Pokémon Dex Data'!$H$3:$H951,MATCH(E457,'0.0.1 Pokémon Dex Data'!$B$3:$B951,0))</f>
        <v>0</v>
      </c>
      <c r="G457" s="0" t="str">
        <f aca="false" t="array" ref="G457:G457">INDEX('0.0.1 Pokémon Dex Data'!$E$3:$E951,MATCH(E457,'0.0.1 Pokémon Dex Data'!$B$3:$B951,0))</f>
        <v>Torterra</v>
      </c>
      <c r="H457" s="0" t="str">
        <f aca="false" t="array" ref="H457:H457">INDEX('0.0.1 Pokémon Dex Data'!$Q$3:$Q951,MATCH(E457,'0.0.1 Pokémon Dex Data'!$B$3:$B951,0))</f>
        <v>Grass</v>
      </c>
      <c r="I457" s="0" t="str">
        <f aca="false" t="array" ref="I457:I457">INDEX('0.0.1 Pokémon Dex Data'!$R$3:$R951,MATCH(E457,'0.0.1 Pokémon Dex Data'!$B$3:$B951,0))</f>
        <v>Ground</v>
      </c>
      <c r="J457" s="260" t="n">
        <f aca="false" t="array" ref="J457:J457">ROUND(INDEX('0.0.1 Pokémon Dex Data'!$S$3:$S951,MATCH($E457,'0.0.1 Pokémon Dex Data'!$B$3:$B951,0))*INDEX('0.0.1 Pokémon Dex Data'!T$3:T951,MATCH($E457,'0.0.1 Pokémon Dex Data'!$B$3:$B951,0)),0)</f>
        <v>202</v>
      </c>
      <c r="K457" s="260" t="n">
        <f aca="false" t="array" ref="K457:K457">ROUND(INDEX('0.0.1 Pokémon Dex Data'!$S$3:$S951,MATCH($E457,'0.0.1 Pokémon Dex Data'!$B$3:$B951,0))*INDEX('0.0.1 Pokémon Dex Data'!U$3:U951,MATCH($E457,'0.0.1 Pokémon Dex Data'!$B$3:$B951,0)),0)</f>
        <v>188</v>
      </c>
      <c r="L457" s="260" t="n">
        <f aca="false" t="array" ref="L457:L457">ROUND(INDEX('0.0.1 Pokémon Dex Data'!$S$3:$S951,MATCH($E457,'0.0.1 Pokémon Dex Data'!$B$3:$B951,0))*INDEX('0.0.1 Pokémon Dex Data'!V$3:V951,MATCH($E457,'0.0.1 Pokémon Dex Data'!$B$3:$B951,0)),0)</f>
        <v>216</v>
      </c>
      <c r="M457" s="260" t="n">
        <f aca="false" t="array" ref="M457:M457">INDEX('0.0.1 Pokémon Dex Data'!$J$3:$J951,MATCH(E457,'0.0.1 Pokémon Dex Data'!$B$3:$B951,0))</f>
        <v>1</v>
      </c>
      <c r="O457" s="490"/>
      <c r="Q457" s="367" t="n">
        <f aca="false">IF('Reverse Search'!$F$4="All (including temporary formes)",1,IF('Reverse Search'!$F$4="Base Pokémon and permanent formes only",IF(F457&lt;=1,1,0),IF(F457=0,1,0)))</f>
        <v>1</v>
      </c>
      <c r="R457" s="0" t="n">
        <f aca="false">IF('Reverse Search'!$C$7="Disable",1,IF('Reverse Search'!$D$9="Disable",1,IF(OR('Reverse Search'!$F$9=H457,'Reverse Search'!$F$9=I457),1,0)))</f>
        <v>1</v>
      </c>
      <c r="S457" s="0" t="n">
        <f aca="false">IF('Reverse Search'!$C$7="Disable",1,IF('Reverse Search'!$D$10="Disable",1,IF(OR('Reverse Search'!$F$10=H457,'Reverse Search'!$F$10=I457),1,0)))</f>
        <v>1</v>
      </c>
      <c r="T457" s="0" t="n">
        <f aca="false">INDEX($B$4:$B$22,MATCH(H457,$A$4:$A$22,0))</f>
        <v>1</v>
      </c>
      <c r="U457" s="0" t="n">
        <f aca="false">IF(ISBLANK(I457),1,INDEX($B$4:$B$22,MATCH(I457,$A$4:$A$22,0)))</f>
        <v>1</v>
      </c>
      <c r="V457" s="367" t="n">
        <f aca="false">IF('Reverse Search'!$C$7="Disable",1,IF('Reverse Search'!$D$11="Disable",1,IF('Reverse Search'!$E$11="Neutral to:",IF(ROUND(T457*U457,2)&lt;=1,1,0),IF(ROUND(T457*U457,2)&lt;1,1,0))))</f>
        <v>1</v>
      </c>
      <c r="W457" s="0" t="n">
        <f aca="false">IF('Reverse Search'!$N$7="Disable",1,IF('Reverse Search'!$I$9="Disable",1,IF('Reverse Search'!$K$9="≥",IF(J457&gt;='Reverse Search'!$L$9,1,0),IF('Reverse Search'!$K$9="≤",IF(J457&lt;='Reverse Search'!$L$9,1,0),IF(J457='Reverse Search'!$L$9,1,0)))))</f>
        <v>1</v>
      </c>
      <c r="X457" s="0" t="n">
        <f aca="false">IF('Reverse Search'!$N$7="Disable",1,IF('Reverse Search'!$I$10="Disable",1,IF('Reverse Search'!$K$10="≥",IF(K457&gt;='Reverse Search'!$L$10,1,0),IF('Reverse Search'!$K$10="≤",IF(K457&lt;='Reverse Search'!$L$10,1,0),IF(K457='Reverse Search'!$L$10,1,0)))))</f>
        <v>1</v>
      </c>
      <c r="Y457" s="367" t="n">
        <f aca="false">IF('Reverse Search'!$N$7="Disable",1,IF('Reverse Search'!$I$11="Disable",1,IF('Reverse Search'!$K$11="≥",IF(L457&gt;='Reverse Search'!$L$11,1,0),IF('Reverse Search'!$K$11="≤",IF(L457&lt;='Reverse Search'!$L$11,1,0),IF(L457='Reverse Search'!$L$11,1,0)))))</f>
        <v>1</v>
      </c>
      <c r="Z457" s="0" t="n">
        <f aca="true">IF('Reverse Search'!$C$14="Disable",1,IF('Reverse Search'!$D$16="Disable",1,IF($C$2=3,IF($M457=0,0,COUNTIF(INDIRECT("'0.0.2 Pokémon Learnset (Core)'!$D$"&amp;MATCH($E457,'0.0.2 Pokémon Learnset (Core)'!$A$1:$A951,0)&amp;":$FK$"&amp;MATCH($E457,'0.0.2 Pokémon Learnset (Core)'!$A$1:$A951,0)),'Reverse Search'!$E$21)),IF($C$2=2,COUNTIF(INDIRECT("'0.1.1 Pokémon GO Moves'!$B$"&amp;MATCH($E457,'0.1.1 Pokémon GO Moves'!$A$1:$A951,0)&amp;":$R$"&amp;MATCH($E457,'0.1.1 Pokémon GO Moves'!$A$1:$A951,0)),'Reverse Search'!$E$21),COUNTIF(INDIRECT("'0.1.1 Pokémon GO Moves'!$B$"&amp;MATCH($E457,'0.1.1 Pokémon GO Moves'!$A$1:$A951,0)&amp;":$L$"&amp;MATCH($E457,'0.1.1 Pokémon GO Moves'!$A$1:$A951,0)),'Reverse Search'!$E$21)))))</f>
        <v>1</v>
      </c>
      <c r="AA457" s="0" t="n">
        <f aca="true">IF('Reverse Search'!$C$14="Disable",1,IF('Reverse Search'!$I$16="Disable",1,IF($D$2=3,IF($M457=0,0,COUNTIF(INDIRECT("'0.0.2 Pokémon Learnset (Core)'!$D$"&amp;MATCH($E457,'0.0.2 Pokémon Learnset (Core)'!$A$1:$A951,0)&amp;":$FK$"&amp;MATCH($E457,'0.0.2 Pokémon Learnset (Core)'!$A$1:$A951,0)),'Reverse Search'!$J$21)),IF($D$2=2,COUNTIF(INDIRECT("'0.1.1 Pokémon GO Moves'!$B$"&amp;MATCH($E457,'0.1.1 Pokémon GO Moves'!$A$1:$A951,0)&amp;":$R$"&amp;MATCH($E457,'0.1.1 Pokémon GO Moves'!$A$1:$A951,0)),'Reverse Search'!$J$21),COUNTIF(INDIRECT("'0.1.1 Pokémon GO Moves'!$B$"&amp;MATCH($E457,'0.1.1 Pokémon GO Moves'!$A$1:$A951,0)&amp;":$L$"&amp;MATCH($E457,'0.1.1 Pokémon GO Moves'!$A$1:$A951,0)),'Reverse Search'!$J$21)))))</f>
        <v>0</v>
      </c>
      <c r="AB457" s="490"/>
      <c r="AC457" s="260" t="n">
        <f aca="false">IF((Q457+R457+S457+V457+W457+X457+Y457+IF(Z457&gt;=1,1,0)+IF(AA457&gt;=1,1,0))=9,G457&amp;", ",)</f>
        <v>0</v>
      </c>
    </row>
    <row r="458" customFormat="false" ht="15.75" hidden="false" customHeight="false" outlineLevel="0" collapsed="false">
      <c r="A458" s="260"/>
      <c r="B458" s="358"/>
      <c r="C458" s="260"/>
      <c r="D458" s="358"/>
      <c r="E458" s="260" t="n">
        <v>457</v>
      </c>
      <c r="F458" s="260" t="n">
        <f aca="false" t="array" ref="F458:F458">INDEX('0.0.1 Pokémon Dex Data'!$H$3:$H951,MATCH(E458,'0.0.1 Pokémon Dex Data'!$B$3:$B951,0))</f>
        <v>0</v>
      </c>
      <c r="G458" s="0" t="str">
        <f aca="false" t="array" ref="G458:G458">INDEX('0.0.1 Pokémon Dex Data'!$E$3:$E951,MATCH(E458,'0.0.1 Pokémon Dex Data'!$B$3:$B951,0))</f>
        <v>Chimchar</v>
      </c>
      <c r="H458" s="0" t="str">
        <f aca="false" t="array" ref="H458:H458">INDEX('0.0.1 Pokémon Dex Data'!$Q$3:$Q951,MATCH(E458,'0.0.1 Pokémon Dex Data'!$B$3:$B951,0))</f>
        <v>Fire</v>
      </c>
      <c r="I458" s="0" t="n">
        <f aca="false">INDEX('0.0.1 Pokémon Dex Data'!$R$3:$R951,MATCH(E458,'0.0.1 Pokémon Dex Data'!$B$3:$B951,0))</f>
        <v>0</v>
      </c>
      <c r="J458" s="260" t="n">
        <f aca="false" t="array" ref="J458:J458">ROUND(INDEX('0.0.1 Pokémon Dex Data'!$S$3:$S951,MATCH($E458,'0.0.1 Pokémon Dex Data'!$B$3:$B951,0))*INDEX('0.0.1 Pokémon Dex Data'!T$3:T951,MATCH($E458,'0.0.1 Pokémon Dex Data'!$B$3:$B951,0)),0)</f>
        <v>113</v>
      </c>
      <c r="K458" s="260" t="n">
        <f aca="false" t="array" ref="K458:K458">ROUND(INDEX('0.0.1 Pokémon Dex Data'!$S$3:$S951,MATCH($E458,'0.0.1 Pokémon Dex Data'!$B$3:$B951,0))*INDEX('0.0.1 Pokémon Dex Data'!U$3:U951,MATCH($E458,'0.0.1 Pokémon Dex Data'!$B$3:$B951,0)),0)</f>
        <v>86</v>
      </c>
      <c r="L458" s="260" t="n">
        <f aca="false" t="array" ref="L458:L458">ROUND(INDEX('0.0.1 Pokémon Dex Data'!$S$3:$S951,MATCH($E458,'0.0.1 Pokémon Dex Data'!$B$3:$B951,0))*INDEX('0.0.1 Pokémon Dex Data'!V$3:V951,MATCH($E458,'0.0.1 Pokémon Dex Data'!$B$3:$B951,0)),0)</f>
        <v>127</v>
      </c>
      <c r="M458" s="260" t="n">
        <f aca="false" t="array" ref="M458:M458">INDEX('0.0.1 Pokémon Dex Data'!$J$3:$J951,MATCH(E458,'0.0.1 Pokémon Dex Data'!$B$3:$B951,0))</f>
        <v>0</v>
      </c>
      <c r="O458" s="490"/>
      <c r="Q458" s="367" t="n">
        <f aca="false">IF('Reverse Search'!$F$4="All (including temporary formes)",1,IF('Reverse Search'!$F$4="Base Pokémon and permanent formes only",IF(F458&lt;=1,1,0),IF(F458=0,1,0)))</f>
        <v>1</v>
      </c>
      <c r="R458" s="0" t="n">
        <f aca="false">IF('Reverse Search'!$C$7="Disable",1,IF('Reverse Search'!$D$9="Disable",1,IF(OR('Reverse Search'!$F$9=H458,'Reverse Search'!$F$9=I458),1,0)))</f>
        <v>1</v>
      </c>
      <c r="S458" s="0" t="n">
        <f aca="false">IF('Reverse Search'!$C$7="Disable",1,IF('Reverse Search'!$D$10="Disable",1,IF(OR('Reverse Search'!$F$10=H458,'Reverse Search'!$F$10=I458),1,0)))</f>
        <v>1</v>
      </c>
      <c r="T458" s="0" t="n">
        <f aca="false">INDEX($B$4:$B$22,MATCH(H458,$A$4:$A$22,0))</f>
        <v>1</v>
      </c>
      <c r="U458" s="0" t="e">
        <f aca="false">IF(ISBLANK(I458),1,INDEX($B$4:$B$22,MATCH(I458,$A$4:$A$22,0)))</f>
        <v>#N/A</v>
      </c>
      <c r="V458" s="367" t="n">
        <f aca="false">IF('Reverse Search'!$C$7="Disable",1,IF('Reverse Search'!$D$11="Disable",1,IF('Reverse Search'!$E$11="Neutral to:",IF(ROUND(T458*U458,2)&lt;=1,1,0),IF(ROUND(T458*U458,2)&lt;1,1,0))))</f>
        <v>1</v>
      </c>
      <c r="W458" s="0" t="n">
        <f aca="false">IF('Reverse Search'!$N$7="Disable",1,IF('Reverse Search'!$I$9="Disable",1,IF('Reverse Search'!$K$9="≥",IF(J458&gt;='Reverse Search'!$L$9,1,0),IF('Reverse Search'!$K$9="≤",IF(J458&lt;='Reverse Search'!$L$9,1,0),IF(J458='Reverse Search'!$L$9,1,0)))))</f>
        <v>1</v>
      </c>
      <c r="X458" s="0" t="n">
        <f aca="false">IF('Reverse Search'!$N$7="Disable",1,IF('Reverse Search'!$I$10="Disable",1,IF('Reverse Search'!$K$10="≥",IF(K458&gt;='Reverse Search'!$L$10,1,0),IF('Reverse Search'!$K$10="≤",IF(K458&lt;='Reverse Search'!$L$10,1,0),IF(K458='Reverse Search'!$L$10,1,0)))))</f>
        <v>1</v>
      </c>
      <c r="Y458" s="367" t="n">
        <f aca="false">IF('Reverse Search'!$N$7="Disable",1,IF('Reverse Search'!$I$11="Disable",1,IF('Reverse Search'!$K$11="≥",IF(L458&gt;='Reverse Search'!$L$11,1,0),IF('Reverse Search'!$K$11="≤",IF(L458&lt;='Reverse Search'!$L$11,1,0),IF(L458='Reverse Search'!$L$11,1,0)))))</f>
        <v>1</v>
      </c>
      <c r="Z458" s="0" t="n">
        <f aca="true">IF('Reverse Search'!$C$14="Disable",1,IF('Reverse Search'!$D$16="Disable",1,IF($C$2=3,IF($M458=0,0,COUNTIF(INDIRECT("'0.0.2 Pokémon Learnset (Core)'!$D$"&amp;MATCH($E458,'0.0.2 Pokémon Learnset (Core)'!$A$1:$A951,0)&amp;":$FK$"&amp;MATCH($E458,'0.0.2 Pokémon Learnset (Core)'!$A$1:$A951,0)),'Reverse Search'!$E$21)),IF($C$2=2,COUNTIF(INDIRECT("'0.1.1 Pokémon GO Moves'!$B$"&amp;MATCH($E458,'0.1.1 Pokémon GO Moves'!$A$1:$A951,0)&amp;":$R$"&amp;MATCH($E458,'0.1.1 Pokémon GO Moves'!$A$1:$A951,0)),'Reverse Search'!$E$21),COUNTIF(INDIRECT("'0.1.1 Pokémon GO Moves'!$B$"&amp;MATCH($E458,'0.1.1 Pokémon GO Moves'!$A$1:$A951,0)&amp;":$L$"&amp;MATCH($E458,'0.1.1 Pokémon GO Moves'!$A$1:$A951,0)),'Reverse Search'!$E$21)))))</f>
        <v>1</v>
      </c>
      <c r="AA458" s="0" t="n">
        <f aca="true">IF('Reverse Search'!$C$14="Disable",1,IF('Reverse Search'!$I$16="Disable",1,IF($D$2=3,IF($M458=0,0,COUNTIF(INDIRECT("'0.0.2 Pokémon Learnset (Core)'!$D$"&amp;MATCH($E458,'0.0.2 Pokémon Learnset (Core)'!$A$1:$A951,0)&amp;":$FK$"&amp;MATCH($E458,'0.0.2 Pokémon Learnset (Core)'!$A$1:$A951,0)),'Reverse Search'!$J$21)),IF($D$2=2,COUNTIF(INDIRECT("'0.1.1 Pokémon GO Moves'!$B$"&amp;MATCH($E458,'0.1.1 Pokémon GO Moves'!$A$1:$A951,0)&amp;":$R$"&amp;MATCH($E458,'0.1.1 Pokémon GO Moves'!$A$1:$A951,0)),'Reverse Search'!$J$21),COUNTIF(INDIRECT("'0.1.1 Pokémon GO Moves'!$B$"&amp;MATCH($E458,'0.1.1 Pokémon GO Moves'!$A$1:$A951,0)&amp;":$L$"&amp;MATCH($E458,'0.1.1 Pokémon GO Moves'!$A$1:$A951,0)),'Reverse Search'!$J$21)))))</f>
        <v>0</v>
      </c>
      <c r="AB458" s="490"/>
      <c r="AC458" s="260" t="n">
        <f aca="false">IF((Q458+R458+S458+V458+W458+X458+Y458+IF(Z458&gt;=1,1,0)+IF(AA458&gt;=1,1,0))=9,G458&amp;", ",)</f>
        <v>0</v>
      </c>
    </row>
    <row r="459" customFormat="false" ht="15.75" hidden="false" customHeight="false" outlineLevel="0" collapsed="false">
      <c r="A459" s="260"/>
      <c r="B459" s="358"/>
      <c r="C459" s="260"/>
      <c r="D459" s="358"/>
      <c r="E459" s="260" t="n">
        <v>458</v>
      </c>
      <c r="F459" s="260" t="n">
        <f aca="false" t="array" ref="F459:F459">INDEX('0.0.1 Pokémon Dex Data'!$H$3:$H951,MATCH(E459,'0.0.1 Pokémon Dex Data'!$B$3:$B951,0))</f>
        <v>0</v>
      </c>
      <c r="G459" s="0" t="str">
        <f aca="false" t="array" ref="G459:G459">INDEX('0.0.1 Pokémon Dex Data'!$E$3:$E951,MATCH(E459,'0.0.1 Pokémon Dex Data'!$B$3:$B951,0))</f>
        <v>Monferno</v>
      </c>
      <c r="H459" s="0" t="str">
        <f aca="false" t="array" ref="H459:H459">INDEX('0.0.1 Pokémon Dex Data'!$Q$3:$Q951,MATCH(E459,'0.0.1 Pokémon Dex Data'!$B$3:$B951,0))</f>
        <v>Fire</v>
      </c>
      <c r="I459" s="0" t="str">
        <f aca="false" t="array" ref="I459:I459">INDEX('0.0.1 Pokémon Dex Data'!$R$3:$R951,MATCH(E459,'0.0.1 Pokémon Dex Data'!$B$3:$B951,0))</f>
        <v>Fighting</v>
      </c>
      <c r="J459" s="260" t="n">
        <f aca="false" t="array" ref="J459:J459">ROUND(INDEX('0.0.1 Pokémon Dex Data'!$S$3:$S951,MATCH($E459,'0.0.1 Pokémon Dex Data'!$B$3:$B951,0))*INDEX('0.0.1 Pokémon Dex Data'!T$3:T951,MATCH($E459,'0.0.1 Pokémon Dex Data'!$B$3:$B951,0)),0)</f>
        <v>158</v>
      </c>
      <c r="K459" s="260" t="n">
        <f aca="false" t="array" ref="K459:K459">ROUND(INDEX('0.0.1 Pokémon Dex Data'!$S$3:$S951,MATCH($E459,'0.0.1 Pokémon Dex Data'!$B$3:$B951,0))*INDEX('0.0.1 Pokémon Dex Data'!U$3:U951,MATCH($E459,'0.0.1 Pokémon Dex Data'!$B$3:$B951,0)),0)</f>
        <v>105</v>
      </c>
      <c r="L459" s="260" t="n">
        <f aca="false" t="array" ref="L459:L459">ROUND(INDEX('0.0.1 Pokémon Dex Data'!$S$3:$S951,MATCH($E459,'0.0.1 Pokémon Dex Data'!$B$3:$B951,0))*INDEX('0.0.1 Pokémon Dex Data'!V$3:V951,MATCH($E459,'0.0.1 Pokémon Dex Data'!$B$3:$B951,0)),0)</f>
        <v>162</v>
      </c>
      <c r="M459" s="260" t="n">
        <f aca="false" t="array" ref="M459:M459">INDEX('0.0.1 Pokémon Dex Data'!$J$3:$J951,MATCH(E459,'0.0.1 Pokémon Dex Data'!$B$3:$B951,0))</f>
        <v>0</v>
      </c>
      <c r="O459" s="490"/>
      <c r="Q459" s="367" t="n">
        <f aca="false">IF('Reverse Search'!$F$4="All (including temporary formes)",1,IF('Reverse Search'!$F$4="Base Pokémon and permanent formes only",IF(F459&lt;=1,1,0),IF(F459=0,1,0)))</f>
        <v>1</v>
      </c>
      <c r="R459" s="0" t="n">
        <f aca="false">IF('Reverse Search'!$C$7="Disable",1,IF('Reverse Search'!$D$9="Disable",1,IF(OR('Reverse Search'!$F$9=H459,'Reverse Search'!$F$9=I459),1,0)))</f>
        <v>1</v>
      </c>
      <c r="S459" s="0" t="n">
        <f aca="false">IF('Reverse Search'!$C$7="Disable",1,IF('Reverse Search'!$D$10="Disable",1,IF(OR('Reverse Search'!$F$10=H459,'Reverse Search'!$F$10=I459),1,0)))</f>
        <v>1</v>
      </c>
      <c r="T459" s="0" t="n">
        <f aca="false">INDEX($B$4:$B$22,MATCH(H459,$A$4:$A$22,0))</f>
        <v>1</v>
      </c>
      <c r="U459" s="0" t="n">
        <f aca="false">IF(ISBLANK(I459),1,INDEX($B$4:$B$22,MATCH(I459,$A$4:$A$22,0)))</f>
        <v>1</v>
      </c>
      <c r="V459" s="367" t="n">
        <f aca="false">IF('Reverse Search'!$C$7="Disable",1,IF('Reverse Search'!$D$11="Disable",1,IF('Reverse Search'!$E$11="Neutral to:",IF(ROUND(T459*U459,2)&lt;=1,1,0),IF(ROUND(T459*U459,2)&lt;1,1,0))))</f>
        <v>1</v>
      </c>
      <c r="W459" s="0" t="n">
        <f aca="false">IF('Reverse Search'!$N$7="Disable",1,IF('Reverse Search'!$I$9="Disable",1,IF('Reverse Search'!$K$9="≥",IF(J459&gt;='Reverse Search'!$L$9,1,0),IF('Reverse Search'!$K$9="≤",IF(J459&lt;='Reverse Search'!$L$9,1,0),IF(J459='Reverse Search'!$L$9,1,0)))))</f>
        <v>1</v>
      </c>
      <c r="X459" s="0" t="n">
        <f aca="false">IF('Reverse Search'!$N$7="Disable",1,IF('Reverse Search'!$I$10="Disable",1,IF('Reverse Search'!$K$10="≥",IF(K459&gt;='Reverse Search'!$L$10,1,0),IF('Reverse Search'!$K$10="≤",IF(K459&lt;='Reverse Search'!$L$10,1,0),IF(K459='Reverse Search'!$L$10,1,0)))))</f>
        <v>1</v>
      </c>
      <c r="Y459" s="367" t="n">
        <f aca="false">IF('Reverse Search'!$N$7="Disable",1,IF('Reverse Search'!$I$11="Disable",1,IF('Reverse Search'!$K$11="≥",IF(L459&gt;='Reverse Search'!$L$11,1,0),IF('Reverse Search'!$K$11="≤",IF(L459&lt;='Reverse Search'!$L$11,1,0),IF(L459='Reverse Search'!$L$11,1,0)))))</f>
        <v>1</v>
      </c>
      <c r="Z459" s="0" t="n">
        <f aca="true">IF('Reverse Search'!$C$14="Disable",1,IF('Reverse Search'!$D$16="Disable",1,IF($C$2=3,IF($M459=0,0,COUNTIF(INDIRECT("'0.0.2 Pokémon Learnset (Core)'!$D$"&amp;MATCH($E459,'0.0.2 Pokémon Learnset (Core)'!$A$1:$A951,0)&amp;":$FK$"&amp;MATCH($E459,'0.0.2 Pokémon Learnset (Core)'!$A$1:$A951,0)),'Reverse Search'!$E$21)),IF($C$2=2,COUNTIF(INDIRECT("'0.1.1 Pokémon GO Moves'!$B$"&amp;MATCH($E459,'0.1.1 Pokémon GO Moves'!$A$1:$A951,0)&amp;":$R$"&amp;MATCH($E459,'0.1.1 Pokémon GO Moves'!$A$1:$A951,0)),'Reverse Search'!$E$21),COUNTIF(INDIRECT("'0.1.1 Pokémon GO Moves'!$B$"&amp;MATCH($E459,'0.1.1 Pokémon GO Moves'!$A$1:$A951,0)&amp;":$L$"&amp;MATCH($E459,'0.1.1 Pokémon GO Moves'!$A$1:$A951,0)),'Reverse Search'!$E$21)))))</f>
        <v>1</v>
      </c>
      <c r="AA459" s="0" t="n">
        <f aca="true">IF('Reverse Search'!$C$14="Disable",1,IF('Reverse Search'!$I$16="Disable",1,IF($D$2=3,IF($M459=0,0,COUNTIF(INDIRECT("'0.0.2 Pokémon Learnset (Core)'!$D$"&amp;MATCH($E459,'0.0.2 Pokémon Learnset (Core)'!$A$1:$A951,0)&amp;":$FK$"&amp;MATCH($E459,'0.0.2 Pokémon Learnset (Core)'!$A$1:$A951,0)),'Reverse Search'!$J$21)),IF($D$2=2,COUNTIF(INDIRECT("'0.1.1 Pokémon GO Moves'!$B$"&amp;MATCH($E459,'0.1.1 Pokémon GO Moves'!$A$1:$A951,0)&amp;":$R$"&amp;MATCH($E459,'0.1.1 Pokémon GO Moves'!$A$1:$A951,0)),'Reverse Search'!$J$21),COUNTIF(INDIRECT("'0.1.1 Pokémon GO Moves'!$B$"&amp;MATCH($E459,'0.1.1 Pokémon GO Moves'!$A$1:$A951,0)&amp;":$L$"&amp;MATCH($E459,'0.1.1 Pokémon GO Moves'!$A$1:$A951,0)),'Reverse Search'!$J$21)))))</f>
        <v>0</v>
      </c>
      <c r="AB459" s="490"/>
      <c r="AC459" s="260" t="n">
        <f aca="false">IF((Q459+R459+S459+V459+W459+X459+Y459+IF(Z459&gt;=1,1,0)+IF(AA459&gt;=1,1,0))=9,G459&amp;", ",)</f>
        <v>0</v>
      </c>
    </row>
    <row r="460" customFormat="false" ht="15.75" hidden="false" customHeight="false" outlineLevel="0" collapsed="false">
      <c r="A460" s="260"/>
      <c r="B460" s="358"/>
      <c r="C460" s="260"/>
      <c r="D460" s="358"/>
      <c r="E460" s="260" t="n">
        <v>459</v>
      </c>
      <c r="F460" s="260" t="n">
        <f aca="false" t="array" ref="F460:F460">INDEX('0.0.1 Pokémon Dex Data'!$H$3:$H951,MATCH(E460,'0.0.1 Pokémon Dex Data'!$B$3:$B951,0))</f>
        <v>0</v>
      </c>
      <c r="G460" s="0" t="str">
        <f aca="false" t="array" ref="G460:G460">INDEX('0.0.1 Pokémon Dex Data'!$E$3:$E951,MATCH(E460,'0.0.1 Pokémon Dex Data'!$B$3:$B951,0))</f>
        <v>Infernape</v>
      </c>
      <c r="H460" s="0" t="str">
        <f aca="false" t="array" ref="H460:H460">INDEX('0.0.1 Pokémon Dex Data'!$Q$3:$Q951,MATCH(E460,'0.0.1 Pokémon Dex Data'!$B$3:$B951,0))</f>
        <v>Fire</v>
      </c>
      <c r="I460" s="0" t="str">
        <f aca="false" t="array" ref="I460:I460">INDEX('0.0.1 Pokémon Dex Data'!$R$3:$R951,MATCH(E460,'0.0.1 Pokémon Dex Data'!$B$3:$B951,0))</f>
        <v>Fighting</v>
      </c>
      <c r="J460" s="260" t="n">
        <f aca="false" t="array" ref="J460:J460">ROUND(INDEX('0.0.1 Pokémon Dex Data'!$S$3:$S951,MATCH($E460,'0.0.1 Pokémon Dex Data'!$B$3:$B951,0))*INDEX('0.0.1 Pokémon Dex Data'!T$3:T951,MATCH($E460,'0.0.1 Pokémon Dex Data'!$B$3:$B951,0)),0)</f>
        <v>222</v>
      </c>
      <c r="K460" s="260" t="n">
        <f aca="false" t="array" ref="K460:K460">ROUND(INDEX('0.0.1 Pokémon Dex Data'!$S$3:$S951,MATCH($E460,'0.0.1 Pokémon Dex Data'!$B$3:$B951,0))*INDEX('0.0.1 Pokémon Dex Data'!U$3:U951,MATCH($E460,'0.0.1 Pokémon Dex Data'!$B$3:$B951,0)),0)</f>
        <v>151</v>
      </c>
      <c r="L460" s="260" t="n">
        <f aca="false" t="array" ref="L460:L460">ROUND(INDEX('0.0.1 Pokémon Dex Data'!$S$3:$S951,MATCH($E460,'0.0.1 Pokémon Dex Data'!$B$3:$B951,0))*INDEX('0.0.1 Pokémon Dex Data'!V$3:V951,MATCH($E460,'0.0.1 Pokémon Dex Data'!$B$3:$B951,0)),0)</f>
        <v>183</v>
      </c>
      <c r="M460" s="260" t="n">
        <f aca="false" t="array" ref="M460:M460">INDEX('0.0.1 Pokémon Dex Data'!$J$3:$J951,MATCH(E460,'0.0.1 Pokémon Dex Data'!$B$3:$B951,0))</f>
        <v>1</v>
      </c>
      <c r="O460" s="490"/>
      <c r="Q460" s="367" t="n">
        <f aca="false">IF('Reverse Search'!$F$4="All (including temporary formes)",1,IF('Reverse Search'!$F$4="Base Pokémon and permanent formes only",IF(F460&lt;=1,1,0),IF(F460=0,1,0)))</f>
        <v>1</v>
      </c>
      <c r="R460" s="0" t="n">
        <f aca="false">IF('Reverse Search'!$C$7="Disable",1,IF('Reverse Search'!$D$9="Disable",1,IF(OR('Reverse Search'!$F$9=H460,'Reverse Search'!$F$9=I460),1,0)))</f>
        <v>1</v>
      </c>
      <c r="S460" s="0" t="n">
        <f aca="false">IF('Reverse Search'!$C$7="Disable",1,IF('Reverse Search'!$D$10="Disable",1,IF(OR('Reverse Search'!$F$10=H460,'Reverse Search'!$F$10=I460),1,0)))</f>
        <v>1</v>
      </c>
      <c r="T460" s="0" t="n">
        <f aca="false">INDEX($B$4:$B$22,MATCH(H460,$A$4:$A$22,0))</f>
        <v>1</v>
      </c>
      <c r="U460" s="0" t="n">
        <f aca="false">IF(ISBLANK(I460),1,INDEX($B$4:$B$22,MATCH(I460,$A$4:$A$22,0)))</f>
        <v>1</v>
      </c>
      <c r="V460" s="367" t="n">
        <f aca="false">IF('Reverse Search'!$C$7="Disable",1,IF('Reverse Search'!$D$11="Disable",1,IF('Reverse Search'!$E$11="Neutral to:",IF(ROUND(T460*U460,2)&lt;=1,1,0),IF(ROUND(T460*U460,2)&lt;1,1,0))))</f>
        <v>1</v>
      </c>
      <c r="W460" s="0" t="n">
        <f aca="false">IF('Reverse Search'!$N$7="Disable",1,IF('Reverse Search'!$I$9="Disable",1,IF('Reverse Search'!$K$9="≥",IF(J460&gt;='Reverse Search'!$L$9,1,0),IF('Reverse Search'!$K$9="≤",IF(J460&lt;='Reverse Search'!$L$9,1,0),IF(J460='Reverse Search'!$L$9,1,0)))))</f>
        <v>1</v>
      </c>
      <c r="X460" s="0" t="n">
        <f aca="false">IF('Reverse Search'!$N$7="Disable",1,IF('Reverse Search'!$I$10="Disable",1,IF('Reverse Search'!$K$10="≥",IF(K460&gt;='Reverse Search'!$L$10,1,0),IF('Reverse Search'!$K$10="≤",IF(K460&lt;='Reverse Search'!$L$10,1,0),IF(K460='Reverse Search'!$L$10,1,0)))))</f>
        <v>1</v>
      </c>
      <c r="Y460" s="367" t="n">
        <f aca="false">IF('Reverse Search'!$N$7="Disable",1,IF('Reverse Search'!$I$11="Disable",1,IF('Reverse Search'!$K$11="≥",IF(L460&gt;='Reverse Search'!$L$11,1,0),IF('Reverse Search'!$K$11="≤",IF(L460&lt;='Reverse Search'!$L$11,1,0),IF(L460='Reverse Search'!$L$11,1,0)))))</f>
        <v>1</v>
      </c>
      <c r="Z460" s="0" t="n">
        <f aca="true">IF('Reverse Search'!$C$14="Disable",1,IF('Reverse Search'!$D$16="Disable",1,IF($C$2=3,IF($M460=0,0,COUNTIF(INDIRECT("'0.0.2 Pokémon Learnset (Core)'!$D$"&amp;MATCH($E460,'0.0.2 Pokémon Learnset (Core)'!$A$1:$A951,0)&amp;":$FK$"&amp;MATCH($E460,'0.0.2 Pokémon Learnset (Core)'!$A$1:$A951,0)),'Reverse Search'!$E$21)),IF($C$2=2,COUNTIF(INDIRECT("'0.1.1 Pokémon GO Moves'!$B$"&amp;MATCH($E460,'0.1.1 Pokémon GO Moves'!$A$1:$A951,0)&amp;":$R$"&amp;MATCH($E460,'0.1.1 Pokémon GO Moves'!$A$1:$A951,0)),'Reverse Search'!$E$21),COUNTIF(INDIRECT("'0.1.1 Pokémon GO Moves'!$B$"&amp;MATCH($E460,'0.1.1 Pokémon GO Moves'!$A$1:$A951,0)&amp;":$L$"&amp;MATCH($E460,'0.1.1 Pokémon GO Moves'!$A$1:$A951,0)),'Reverse Search'!$E$21)))))</f>
        <v>1</v>
      </c>
      <c r="AA460" s="0" t="n">
        <f aca="true">IF('Reverse Search'!$C$14="Disable",1,IF('Reverse Search'!$I$16="Disable",1,IF($D$2=3,IF($M460=0,0,COUNTIF(INDIRECT("'0.0.2 Pokémon Learnset (Core)'!$D$"&amp;MATCH($E460,'0.0.2 Pokémon Learnset (Core)'!$A$1:$A951,0)&amp;":$FK$"&amp;MATCH($E460,'0.0.2 Pokémon Learnset (Core)'!$A$1:$A951,0)),'Reverse Search'!$J$21)),IF($D$2=2,COUNTIF(INDIRECT("'0.1.1 Pokémon GO Moves'!$B$"&amp;MATCH($E460,'0.1.1 Pokémon GO Moves'!$A$1:$A951,0)&amp;":$R$"&amp;MATCH($E460,'0.1.1 Pokémon GO Moves'!$A$1:$A951,0)),'Reverse Search'!$J$21),COUNTIF(INDIRECT("'0.1.1 Pokémon GO Moves'!$B$"&amp;MATCH($E460,'0.1.1 Pokémon GO Moves'!$A$1:$A951,0)&amp;":$L$"&amp;MATCH($E460,'0.1.1 Pokémon GO Moves'!$A$1:$A951,0)),'Reverse Search'!$J$21)))))</f>
        <v>0</v>
      </c>
      <c r="AB460" s="490"/>
      <c r="AC460" s="260" t="n">
        <f aca="false">IF((Q460+R460+S460+V460+W460+X460+Y460+IF(Z460&gt;=1,1,0)+IF(AA460&gt;=1,1,0))=9,G460&amp;", ",)</f>
        <v>0</v>
      </c>
    </row>
    <row r="461" customFormat="false" ht="15.75" hidden="false" customHeight="false" outlineLevel="0" collapsed="false">
      <c r="A461" s="260"/>
      <c r="B461" s="358"/>
      <c r="C461" s="260"/>
      <c r="D461" s="358"/>
      <c r="E461" s="260" t="n">
        <v>460</v>
      </c>
      <c r="F461" s="260" t="n">
        <f aca="false" t="array" ref="F461:F461">INDEX('0.0.1 Pokémon Dex Data'!$H$3:$H951,MATCH(E461,'0.0.1 Pokémon Dex Data'!$B$3:$B951,0))</f>
        <v>0</v>
      </c>
      <c r="G461" s="0" t="str">
        <f aca="false" t="array" ref="G461:G461">INDEX('0.0.1 Pokémon Dex Data'!$E$3:$E951,MATCH(E461,'0.0.1 Pokémon Dex Data'!$B$3:$B951,0))</f>
        <v>Piplup</v>
      </c>
      <c r="H461" s="0" t="str">
        <f aca="false" t="array" ref="H461:H461">INDEX('0.0.1 Pokémon Dex Data'!$Q$3:$Q951,MATCH(E461,'0.0.1 Pokémon Dex Data'!$B$3:$B951,0))</f>
        <v>Water</v>
      </c>
      <c r="I461" s="0" t="n">
        <f aca="false">INDEX('0.0.1 Pokémon Dex Data'!$R$3:$R951,MATCH(E461,'0.0.1 Pokémon Dex Data'!$B$3:$B951,0))</f>
        <v>0</v>
      </c>
      <c r="J461" s="260" t="n">
        <f aca="false" t="array" ref="J461:J461">ROUND(INDEX('0.0.1 Pokémon Dex Data'!$S$3:$S951,MATCH($E461,'0.0.1 Pokémon Dex Data'!$B$3:$B951,0))*INDEX('0.0.1 Pokémon Dex Data'!T$3:T951,MATCH($E461,'0.0.1 Pokémon Dex Data'!$B$3:$B951,0)),0)</f>
        <v>112</v>
      </c>
      <c r="K461" s="260" t="n">
        <f aca="false" t="array" ref="K461:K461">ROUND(INDEX('0.0.1 Pokémon Dex Data'!$S$3:$S951,MATCH($E461,'0.0.1 Pokémon Dex Data'!$B$3:$B951,0))*INDEX('0.0.1 Pokémon Dex Data'!U$3:U951,MATCH($E461,'0.0.1 Pokémon Dex Data'!$B$3:$B951,0)),0)</f>
        <v>102</v>
      </c>
      <c r="L461" s="260" t="n">
        <f aca="false" t="array" ref="L461:L461">ROUND(INDEX('0.0.1 Pokémon Dex Data'!$S$3:$S951,MATCH($E461,'0.0.1 Pokémon Dex Data'!$B$3:$B951,0))*INDEX('0.0.1 Pokémon Dex Data'!V$3:V951,MATCH($E461,'0.0.1 Pokémon Dex Data'!$B$3:$B951,0)),0)</f>
        <v>142</v>
      </c>
      <c r="M461" s="260" t="n">
        <f aca="false" t="array" ref="M461:M461">INDEX('0.0.1 Pokémon Dex Data'!$J$3:$J951,MATCH(E461,'0.0.1 Pokémon Dex Data'!$B$3:$B951,0))</f>
        <v>0</v>
      </c>
      <c r="O461" s="490"/>
      <c r="Q461" s="367" t="n">
        <f aca="false">IF('Reverse Search'!$F$4="All (including temporary formes)",1,IF('Reverse Search'!$F$4="Base Pokémon and permanent formes only",IF(F461&lt;=1,1,0),IF(F461=0,1,0)))</f>
        <v>1</v>
      </c>
      <c r="R461" s="0" t="n">
        <f aca="false">IF('Reverse Search'!$C$7="Disable",1,IF('Reverse Search'!$D$9="Disable",1,IF(OR('Reverse Search'!$F$9=H461,'Reverse Search'!$F$9=I461),1,0)))</f>
        <v>1</v>
      </c>
      <c r="S461" s="0" t="n">
        <f aca="false">IF('Reverse Search'!$C$7="Disable",1,IF('Reverse Search'!$D$10="Disable",1,IF(OR('Reverse Search'!$F$10=H461,'Reverse Search'!$F$10=I461),1,0)))</f>
        <v>1</v>
      </c>
      <c r="T461" s="0" t="n">
        <f aca="false">INDEX($B$4:$B$22,MATCH(H461,$A$4:$A$22,0))</f>
        <v>1</v>
      </c>
      <c r="U461" s="0" t="e">
        <f aca="false">IF(ISBLANK(I461),1,INDEX($B$4:$B$22,MATCH(I461,$A$4:$A$22,0)))</f>
        <v>#N/A</v>
      </c>
      <c r="V461" s="367" t="n">
        <f aca="false">IF('Reverse Search'!$C$7="Disable",1,IF('Reverse Search'!$D$11="Disable",1,IF('Reverse Search'!$E$11="Neutral to:",IF(ROUND(T461*U461,2)&lt;=1,1,0),IF(ROUND(T461*U461,2)&lt;1,1,0))))</f>
        <v>1</v>
      </c>
      <c r="W461" s="0" t="n">
        <f aca="false">IF('Reverse Search'!$N$7="Disable",1,IF('Reverse Search'!$I$9="Disable",1,IF('Reverse Search'!$K$9="≥",IF(J461&gt;='Reverse Search'!$L$9,1,0),IF('Reverse Search'!$K$9="≤",IF(J461&lt;='Reverse Search'!$L$9,1,0),IF(J461='Reverse Search'!$L$9,1,0)))))</f>
        <v>1</v>
      </c>
      <c r="X461" s="0" t="n">
        <f aca="false">IF('Reverse Search'!$N$7="Disable",1,IF('Reverse Search'!$I$10="Disable",1,IF('Reverse Search'!$K$10="≥",IF(K461&gt;='Reverse Search'!$L$10,1,0),IF('Reverse Search'!$K$10="≤",IF(K461&lt;='Reverse Search'!$L$10,1,0),IF(K461='Reverse Search'!$L$10,1,0)))))</f>
        <v>1</v>
      </c>
      <c r="Y461" s="367" t="n">
        <f aca="false">IF('Reverse Search'!$N$7="Disable",1,IF('Reverse Search'!$I$11="Disable",1,IF('Reverse Search'!$K$11="≥",IF(L461&gt;='Reverse Search'!$L$11,1,0),IF('Reverse Search'!$K$11="≤",IF(L461&lt;='Reverse Search'!$L$11,1,0),IF(L461='Reverse Search'!$L$11,1,0)))))</f>
        <v>1</v>
      </c>
      <c r="Z461" s="0" t="n">
        <f aca="true">IF('Reverse Search'!$C$14="Disable",1,IF('Reverse Search'!$D$16="Disable",1,IF($C$2=3,IF($M461=0,0,COUNTIF(INDIRECT("'0.0.2 Pokémon Learnset (Core)'!$D$"&amp;MATCH($E461,'0.0.2 Pokémon Learnset (Core)'!$A$1:$A951,0)&amp;":$FK$"&amp;MATCH($E461,'0.0.2 Pokémon Learnset (Core)'!$A$1:$A951,0)),'Reverse Search'!$E$21)),IF($C$2=2,COUNTIF(INDIRECT("'0.1.1 Pokémon GO Moves'!$B$"&amp;MATCH($E461,'0.1.1 Pokémon GO Moves'!$A$1:$A951,0)&amp;":$R$"&amp;MATCH($E461,'0.1.1 Pokémon GO Moves'!$A$1:$A951,0)),'Reverse Search'!$E$21),COUNTIF(INDIRECT("'0.1.1 Pokémon GO Moves'!$B$"&amp;MATCH($E461,'0.1.1 Pokémon GO Moves'!$A$1:$A951,0)&amp;":$L$"&amp;MATCH($E461,'0.1.1 Pokémon GO Moves'!$A$1:$A951,0)),'Reverse Search'!$E$21)))))</f>
        <v>1</v>
      </c>
      <c r="AA461" s="0" t="n">
        <f aca="true">IF('Reverse Search'!$C$14="Disable",1,IF('Reverse Search'!$I$16="Disable",1,IF($D$2=3,IF($M461=0,0,COUNTIF(INDIRECT("'0.0.2 Pokémon Learnset (Core)'!$D$"&amp;MATCH($E461,'0.0.2 Pokémon Learnset (Core)'!$A$1:$A951,0)&amp;":$FK$"&amp;MATCH($E461,'0.0.2 Pokémon Learnset (Core)'!$A$1:$A951,0)),'Reverse Search'!$J$21)),IF($D$2=2,COUNTIF(INDIRECT("'0.1.1 Pokémon GO Moves'!$B$"&amp;MATCH($E461,'0.1.1 Pokémon GO Moves'!$A$1:$A951,0)&amp;":$R$"&amp;MATCH($E461,'0.1.1 Pokémon GO Moves'!$A$1:$A951,0)),'Reverse Search'!$J$21),COUNTIF(INDIRECT("'0.1.1 Pokémon GO Moves'!$B$"&amp;MATCH($E461,'0.1.1 Pokémon GO Moves'!$A$1:$A951,0)&amp;":$L$"&amp;MATCH($E461,'0.1.1 Pokémon GO Moves'!$A$1:$A951,0)),'Reverse Search'!$J$21)))))</f>
        <v>0</v>
      </c>
      <c r="AB461" s="490"/>
      <c r="AC461" s="260" t="n">
        <f aca="false">IF((Q461+R461+S461+V461+W461+X461+Y461+IF(Z461&gt;=1,1,0)+IF(AA461&gt;=1,1,0))=9,G461&amp;", ",)</f>
        <v>0</v>
      </c>
    </row>
    <row r="462" customFormat="false" ht="15.75" hidden="false" customHeight="false" outlineLevel="0" collapsed="false">
      <c r="A462" s="260"/>
      <c r="B462" s="358"/>
      <c r="C462" s="260"/>
      <c r="D462" s="358"/>
      <c r="E462" s="260" t="n">
        <v>461</v>
      </c>
      <c r="F462" s="260" t="n">
        <f aca="false" t="array" ref="F462:F462">INDEX('0.0.1 Pokémon Dex Data'!$H$3:$H951,MATCH(E462,'0.0.1 Pokémon Dex Data'!$B$3:$B951,0))</f>
        <v>0</v>
      </c>
      <c r="G462" s="0" t="str">
        <f aca="false" t="array" ref="G462:G462">INDEX('0.0.1 Pokémon Dex Data'!$E$3:$E951,MATCH(E462,'0.0.1 Pokémon Dex Data'!$B$3:$B951,0))</f>
        <v>Prinplup</v>
      </c>
      <c r="H462" s="0" t="str">
        <f aca="false" t="array" ref="H462:H462">INDEX('0.0.1 Pokémon Dex Data'!$Q$3:$Q951,MATCH(E462,'0.0.1 Pokémon Dex Data'!$B$3:$B951,0))</f>
        <v>Water</v>
      </c>
      <c r="I462" s="0" t="n">
        <f aca="false">INDEX('0.0.1 Pokémon Dex Data'!$R$3:$R951,MATCH(E462,'0.0.1 Pokémon Dex Data'!$B$3:$B951,0))</f>
        <v>0</v>
      </c>
      <c r="J462" s="260" t="n">
        <f aca="false" t="array" ref="J462:J462">ROUND(INDEX('0.0.1 Pokémon Dex Data'!$S$3:$S951,MATCH($E462,'0.0.1 Pokémon Dex Data'!$B$3:$B951,0))*INDEX('0.0.1 Pokémon Dex Data'!T$3:T951,MATCH($E462,'0.0.1 Pokémon Dex Data'!$B$3:$B951,0)),0)</f>
        <v>150</v>
      </c>
      <c r="K462" s="260" t="n">
        <f aca="false" t="array" ref="K462:K462">ROUND(INDEX('0.0.1 Pokémon Dex Data'!$S$3:$S951,MATCH($E462,'0.0.1 Pokémon Dex Data'!$B$3:$B951,0))*INDEX('0.0.1 Pokémon Dex Data'!U$3:U951,MATCH($E462,'0.0.1 Pokémon Dex Data'!$B$3:$B951,0)),0)</f>
        <v>139</v>
      </c>
      <c r="L462" s="260" t="n">
        <f aca="false" t="array" ref="L462:L462">ROUND(INDEX('0.0.1 Pokémon Dex Data'!$S$3:$S951,MATCH($E462,'0.0.1 Pokémon Dex Data'!$B$3:$B951,0))*INDEX('0.0.1 Pokémon Dex Data'!V$3:V951,MATCH($E462,'0.0.1 Pokémon Dex Data'!$B$3:$B951,0)),0)</f>
        <v>162</v>
      </c>
      <c r="M462" s="260" t="n">
        <f aca="false" t="array" ref="M462:M462">INDEX('0.0.1 Pokémon Dex Data'!$J$3:$J951,MATCH(E462,'0.0.1 Pokémon Dex Data'!$B$3:$B951,0))</f>
        <v>0</v>
      </c>
      <c r="O462" s="490"/>
      <c r="Q462" s="367" t="n">
        <f aca="false">IF('Reverse Search'!$F$4="All (including temporary formes)",1,IF('Reverse Search'!$F$4="Base Pokémon and permanent formes only",IF(F462&lt;=1,1,0),IF(F462=0,1,0)))</f>
        <v>1</v>
      </c>
      <c r="R462" s="0" t="n">
        <f aca="false">IF('Reverse Search'!$C$7="Disable",1,IF('Reverse Search'!$D$9="Disable",1,IF(OR('Reverse Search'!$F$9=H462,'Reverse Search'!$F$9=I462),1,0)))</f>
        <v>1</v>
      </c>
      <c r="S462" s="0" t="n">
        <f aca="false">IF('Reverse Search'!$C$7="Disable",1,IF('Reverse Search'!$D$10="Disable",1,IF(OR('Reverse Search'!$F$10=H462,'Reverse Search'!$F$10=I462),1,0)))</f>
        <v>1</v>
      </c>
      <c r="T462" s="0" t="n">
        <f aca="false">INDEX($B$4:$B$22,MATCH(H462,$A$4:$A$22,0))</f>
        <v>1</v>
      </c>
      <c r="U462" s="0" t="e">
        <f aca="false">IF(ISBLANK(I462),1,INDEX($B$4:$B$22,MATCH(I462,$A$4:$A$22,0)))</f>
        <v>#N/A</v>
      </c>
      <c r="V462" s="367" t="n">
        <f aca="false">IF('Reverse Search'!$C$7="Disable",1,IF('Reverse Search'!$D$11="Disable",1,IF('Reverse Search'!$E$11="Neutral to:",IF(ROUND(T462*U462,2)&lt;=1,1,0),IF(ROUND(T462*U462,2)&lt;1,1,0))))</f>
        <v>1</v>
      </c>
      <c r="W462" s="0" t="n">
        <f aca="false">IF('Reverse Search'!$N$7="Disable",1,IF('Reverse Search'!$I$9="Disable",1,IF('Reverse Search'!$K$9="≥",IF(J462&gt;='Reverse Search'!$L$9,1,0),IF('Reverse Search'!$K$9="≤",IF(J462&lt;='Reverse Search'!$L$9,1,0),IF(J462='Reverse Search'!$L$9,1,0)))))</f>
        <v>1</v>
      </c>
      <c r="X462" s="0" t="n">
        <f aca="false">IF('Reverse Search'!$N$7="Disable",1,IF('Reverse Search'!$I$10="Disable",1,IF('Reverse Search'!$K$10="≥",IF(K462&gt;='Reverse Search'!$L$10,1,0),IF('Reverse Search'!$K$10="≤",IF(K462&lt;='Reverse Search'!$L$10,1,0),IF(K462='Reverse Search'!$L$10,1,0)))))</f>
        <v>1</v>
      </c>
      <c r="Y462" s="367" t="n">
        <f aca="false">IF('Reverse Search'!$N$7="Disable",1,IF('Reverse Search'!$I$11="Disable",1,IF('Reverse Search'!$K$11="≥",IF(L462&gt;='Reverse Search'!$L$11,1,0),IF('Reverse Search'!$K$11="≤",IF(L462&lt;='Reverse Search'!$L$11,1,0),IF(L462='Reverse Search'!$L$11,1,0)))))</f>
        <v>1</v>
      </c>
      <c r="Z462" s="0" t="n">
        <f aca="true">IF('Reverse Search'!$C$14="Disable",1,IF('Reverse Search'!$D$16="Disable",1,IF($C$2=3,IF($M462=0,0,COUNTIF(INDIRECT("'0.0.2 Pokémon Learnset (Core)'!$D$"&amp;MATCH($E462,'0.0.2 Pokémon Learnset (Core)'!$A$1:$A951,0)&amp;":$FK$"&amp;MATCH($E462,'0.0.2 Pokémon Learnset (Core)'!$A$1:$A951,0)),'Reverse Search'!$E$21)),IF($C$2=2,COUNTIF(INDIRECT("'0.1.1 Pokémon GO Moves'!$B$"&amp;MATCH($E462,'0.1.1 Pokémon GO Moves'!$A$1:$A951,0)&amp;":$R$"&amp;MATCH($E462,'0.1.1 Pokémon GO Moves'!$A$1:$A951,0)),'Reverse Search'!$E$21),COUNTIF(INDIRECT("'0.1.1 Pokémon GO Moves'!$B$"&amp;MATCH($E462,'0.1.1 Pokémon GO Moves'!$A$1:$A951,0)&amp;":$L$"&amp;MATCH($E462,'0.1.1 Pokémon GO Moves'!$A$1:$A951,0)),'Reverse Search'!$E$21)))))</f>
        <v>1</v>
      </c>
      <c r="AA462" s="0" t="n">
        <f aca="true">IF('Reverse Search'!$C$14="Disable",1,IF('Reverse Search'!$I$16="Disable",1,IF($D$2=3,IF($M462=0,0,COUNTIF(INDIRECT("'0.0.2 Pokémon Learnset (Core)'!$D$"&amp;MATCH($E462,'0.0.2 Pokémon Learnset (Core)'!$A$1:$A951,0)&amp;":$FK$"&amp;MATCH($E462,'0.0.2 Pokémon Learnset (Core)'!$A$1:$A951,0)),'Reverse Search'!$J$21)),IF($D$2=2,COUNTIF(INDIRECT("'0.1.1 Pokémon GO Moves'!$B$"&amp;MATCH($E462,'0.1.1 Pokémon GO Moves'!$A$1:$A951,0)&amp;":$R$"&amp;MATCH($E462,'0.1.1 Pokémon GO Moves'!$A$1:$A951,0)),'Reverse Search'!$J$21),COUNTIF(INDIRECT("'0.1.1 Pokémon GO Moves'!$B$"&amp;MATCH($E462,'0.1.1 Pokémon GO Moves'!$A$1:$A951,0)&amp;":$L$"&amp;MATCH($E462,'0.1.1 Pokémon GO Moves'!$A$1:$A951,0)),'Reverse Search'!$J$21)))))</f>
        <v>0</v>
      </c>
      <c r="AB462" s="490"/>
      <c r="AC462" s="260" t="n">
        <f aca="false">IF((Q462+R462+S462+V462+W462+X462+Y462+IF(Z462&gt;=1,1,0)+IF(AA462&gt;=1,1,0))=9,G462&amp;", ",)</f>
        <v>0</v>
      </c>
    </row>
    <row r="463" customFormat="false" ht="15.75" hidden="false" customHeight="false" outlineLevel="0" collapsed="false">
      <c r="A463" s="260"/>
      <c r="B463" s="358"/>
      <c r="C463" s="260"/>
      <c r="D463" s="358"/>
      <c r="E463" s="260" t="n">
        <v>462</v>
      </c>
      <c r="F463" s="260" t="n">
        <f aca="false" t="array" ref="F463:F463">INDEX('0.0.1 Pokémon Dex Data'!$H$3:$H951,MATCH(E463,'0.0.1 Pokémon Dex Data'!$B$3:$B951,0))</f>
        <v>0</v>
      </c>
      <c r="G463" s="0" t="str">
        <f aca="false" t="array" ref="G463:G463">INDEX('0.0.1 Pokémon Dex Data'!$E$3:$E951,MATCH(E463,'0.0.1 Pokémon Dex Data'!$B$3:$B951,0))</f>
        <v>Empoleon</v>
      </c>
      <c r="H463" s="0" t="str">
        <f aca="false" t="array" ref="H463:H463">INDEX('0.0.1 Pokémon Dex Data'!$Q$3:$Q951,MATCH(E463,'0.0.1 Pokémon Dex Data'!$B$3:$B951,0))</f>
        <v>Water</v>
      </c>
      <c r="I463" s="0" t="str">
        <f aca="false" t="array" ref="I463:I463">INDEX('0.0.1 Pokémon Dex Data'!$R$3:$R951,MATCH(E463,'0.0.1 Pokémon Dex Data'!$B$3:$B951,0))</f>
        <v>Steel</v>
      </c>
      <c r="J463" s="260" t="n">
        <f aca="false" t="array" ref="J463:J463">ROUND(INDEX('0.0.1 Pokémon Dex Data'!$S$3:$S951,MATCH($E463,'0.0.1 Pokémon Dex Data'!$B$3:$B951,0))*INDEX('0.0.1 Pokémon Dex Data'!T$3:T951,MATCH($E463,'0.0.1 Pokémon Dex Data'!$B$3:$B951,0)),0)</f>
        <v>210</v>
      </c>
      <c r="K463" s="260" t="n">
        <f aca="false" t="array" ref="K463:K463">ROUND(INDEX('0.0.1 Pokémon Dex Data'!$S$3:$S951,MATCH($E463,'0.0.1 Pokémon Dex Data'!$B$3:$B951,0))*INDEX('0.0.1 Pokémon Dex Data'!U$3:U951,MATCH($E463,'0.0.1 Pokémon Dex Data'!$B$3:$B951,0)),0)</f>
        <v>186</v>
      </c>
      <c r="L463" s="260" t="n">
        <f aca="false" t="array" ref="L463:L463">ROUND(INDEX('0.0.1 Pokémon Dex Data'!$S$3:$S951,MATCH($E463,'0.0.1 Pokémon Dex Data'!$B$3:$B951,0))*INDEX('0.0.1 Pokémon Dex Data'!V$3:V951,MATCH($E463,'0.0.1 Pokémon Dex Data'!$B$3:$B951,0)),0)</f>
        <v>197</v>
      </c>
      <c r="M463" s="260" t="n">
        <f aca="false" t="array" ref="M463:M463">INDEX('0.0.1 Pokémon Dex Data'!$J$3:$J951,MATCH(E463,'0.0.1 Pokémon Dex Data'!$B$3:$B951,0))</f>
        <v>1</v>
      </c>
      <c r="O463" s="490"/>
      <c r="Q463" s="367" t="n">
        <f aca="false">IF('Reverse Search'!$F$4="All (including temporary formes)",1,IF('Reverse Search'!$F$4="Base Pokémon and permanent formes only",IF(F463&lt;=1,1,0),IF(F463=0,1,0)))</f>
        <v>1</v>
      </c>
      <c r="R463" s="0" t="n">
        <f aca="false">IF('Reverse Search'!$C$7="Disable",1,IF('Reverse Search'!$D$9="Disable",1,IF(OR('Reverse Search'!$F$9=H463,'Reverse Search'!$F$9=I463),1,0)))</f>
        <v>1</v>
      </c>
      <c r="S463" s="0" t="n">
        <f aca="false">IF('Reverse Search'!$C$7="Disable",1,IF('Reverse Search'!$D$10="Disable",1,IF(OR('Reverse Search'!$F$10=H463,'Reverse Search'!$F$10=I463),1,0)))</f>
        <v>1</v>
      </c>
      <c r="T463" s="0" t="n">
        <f aca="false">INDEX($B$4:$B$22,MATCH(H463,$A$4:$A$22,0))</f>
        <v>1</v>
      </c>
      <c r="U463" s="0" t="n">
        <f aca="false">IF(ISBLANK(I463),1,INDEX($B$4:$B$22,MATCH(I463,$A$4:$A$22,0)))</f>
        <v>0.714</v>
      </c>
      <c r="V463" s="367" t="n">
        <f aca="false">IF('Reverse Search'!$C$7="Disable",1,IF('Reverse Search'!$D$11="Disable",1,IF('Reverse Search'!$E$11="Neutral to:",IF(ROUND(T463*U463,2)&lt;=1,1,0),IF(ROUND(T463*U463,2)&lt;1,1,0))))</f>
        <v>1</v>
      </c>
      <c r="W463" s="0" t="n">
        <f aca="false">IF('Reverse Search'!$N$7="Disable",1,IF('Reverse Search'!$I$9="Disable",1,IF('Reverse Search'!$K$9="≥",IF(J463&gt;='Reverse Search'!$L$9,1,0),IF('Reverse Search'!$K$9="≤",IF(J463&lt;='Reverse Search'!$L$9,1,0),IF(J463='Reverse Search'!$L$9,1,0)))))</f>
        <v>1</v>
      </c>
      <c r="X463" s="0" t="n">
        <f aca="false">IF('Reverse Search'!$N$7="Disable",1,IF('Reverse Search'!$I$10="Disable",1,IF('Reverse Search'!$K$10="≥",IF(K463&gt;='Reverse Search'!$L$10,1,0),IF('Reverse Search'!$K$10="≤",IF(K463&lt;='Reverse Search'!$L$10,1,0),IF(K463='Reverse Search'!$L$10,1,0)))))</f>
        <v>1</v>
      </c>
      <c r="Y463" s="367" t="n">
        <f aca="false">IF('Reverse Search'!$N$7="Disable",1,IF('Reverse Search'!$I$11="Disable",1,IF('Reverse Search'!$K$11="≥",IF(L463&gt;='Reverse Search'!$L$11,1,0),IF('Reverse Search'!$K$11="≤",IF(L463&lt;='Reverse Search'!$L$11,1,0),IF(L463='Reverse Search'!$L$11,1,0)))))</f>
        <v>1</v>
      </c>
      <c r="Z463" s="0" t="n">
        <f aca="true">IF('Reverse Search'!$C$14="Disable",1,IF('Reverse Search'!$D$16="Disable",1,IF($C$2=3,IF($M463=0,0,COUNTIF(INDIRECT("'0.0.2 Pokémon Learnset (Core)'!$D$"&amp;MATCH($E463,'0.0.2 Pokémon Learnset (Core)'!$A$1:$A951,0)&amp;":$FK$"&amp;MATCH($E463,'0.0.2 Pokémon Learnset (Core)'!$A$1:$A951,0)),'Reverse Search'!$E$21)),IF($C$2=2,COUNTIF(INDIRECT("'0.1.1 Pokémon GO Moves'!$B$"&amp;MATCH($E463,'0.1.1 Pokémon GO Moves'!$A$1:$A951,0)&amp;":$R$"&amp;MATCH($E463,'0.1.1 Pokémon GO Moves'!$A$1:$A951,0)),'Reverse Search'!$E$21),COUNTIF(INDIRECT("'0.1.1 Pokémon GO Moves'!$B$"&amp;MATCH($E463,'0.1.1 Pokémon GO Moves'!$A$1:$A951,0)&amp;":$L$"&amp;MATCH($E463,'0.1.1 Pokémon GO Moves'!$A$1:$A951,0)),'Reverse Search'!$E$21)))))</f>
        <v>1</v>
      </c>
      <c r="AA463" s="0" t="n">
        <f aca="true">IF('Reverse Search'!$C$14="Disable",1,IF('Reverse Search'!$I$16="Disable",1,IF($D$2=3,IF($M463=0,0,COUNTIF(INDIRECT("'0.0.2 Pokémon Learnset (Core)'!$D$"&amp;MATCH($E463,'0.0.2 Pokémon Learnset (Core)'!$A$1:$A951,0)&amp;":$FK$"&amp;MATCH($E463,'0.0.2 Pokémon Learnset (Core)'!$A$1:$A951,0)),'Reverse Search'!$J$21)),IF($D$2=2,COUNTIF(INDIRECT("'0.1.1 Pokémon GO Moves'!$B$"&amp;MATCH($E463,'0.1.1 Pokémon GO Moves'!$A$1:$A951,0)&amp;":$R$"&amp;MATCH($E463,'0.1.1 Pokémon GO Moves'!$A$1:$A951,0)),'Reverse Search'!$J$21),COUNTIF(INDIRECT("'0.1.1 Pokémon GO Moves'!$B$"&amp;MATCH($E463,'0.1.1 Pokémon GO Moves'!$A$1:$A951,0)&amp;":$L$"&amp;MATCH($E463,'0.1.1 Pokémon GO Moves'!$A$1:$A951,0)),'Reverse Search'!$J$21)))))</f>
        <v>0</v>
      </c>
      <c r="AB463" s="490"/>
      <c r="AC463" s="260" t="n">
        <f aca="false">IF((Q463+R463+S463+V463+W463+X463+Y463+IF(Z463&gt;=1,1,0)+IF(AA463&gt;=1,1,0))=9,G463&amp;", ",)</f>
        <v>0</v>
      </c>
    </row>
    <row r="464" customFormat="false" ht="15.75" hidden="false" customHeight="false" outlineLevel="0" collapsed="false">
      <c r="A464" s="260"/>
      <c r="B464" s="358"/>
      <c r="C464" s="260"/>
      <c r="D464" s="358"/>
      <c r="E464" s="260" t="n">
        <v>463</v>
      </c>
      <c r="F464" s="260" t="n">
        <f aca="false" t="array" ref="F464:F464">INDEX('0.0.1 Pokémon Dex Data'!$H$3:$H951,MATCH(E464,'0.0.1 Pokémon Dex Data'!$B$3:$B951,0))</f>
        <v>0</v>
      </c>
      <c r="G464" s="0" t="str">
        <f aca="false" t="array" ref="G464:G464">INDEX('0.0.1 Pokémon Dex Data'!$E$3:$E951,MATCH(E464,'0.0.1 Pokémon Dex Data'!$B$3:$B951,0))</f>
        <v>Starly</v>
      </c>
      <c r="H464" s="0" t="str">
        <f aca="false" t="array" ref="H464:H464">INDEX('0.0.1 Pokémon Dex Data'!$Q$3:$Q951,MATCH(E464,'0.0.1 Pokémon Dex Data'!$B$3:$B951,0))</f>
        <v>Normal</v>
      </c>
      <c r="I464" s="0" t="str">
        <f aca="false" t="array" ref="I464:I464">INDEX('0.0.1 Pokémon Dex Data'!$R$3:$R951,MATCH(E464,'0.0.1 Pokémon Dex Data'!$B$3:$B951,0))</f>
        <v>Flying</v>
      </c>
      <c r="J464" s="260" t="n">
        <f aca="false" t="array" ref="J464:J464">ROUND(INDEX('0.0.1 Pokémon Dex Data'!$S$3:$S951,MATCH($E464,'0.0.1 Pokémon Dex Data'!$B$3:$B951,0))*INDEX('0.0.1 Pokémon Dex Data'!T$3:T951,MATCH($E464,'0.0.1 Pokémon Dex Data'!$B$3:$B951,0)),0)</f>
        <v>101</v>
      </c>
      <c r="K464" s="260" t="n">
        <f aca="false" t="array" ref="K464:K464">ROUND(INDEX('0.0.1 Pokémon Dex Data'!$S$3:$S951,MATCH($E464,'0.0.1 Pokémon Dex Data'!$B$3:$B951,0))*INDEX('0.0.1 Pokémon Dex Data'!U$3:U951,MATCH($E464,'0.0.1 Pokémon Dex Data'!$B$3:$B951,0)),0)</f>
        <v>58</v>
      </c>
      <c r="L464" s="260" t="n">
        <f aca="false" t="array" ref="L464:L464">ROUND(INDEX('0.0.1 Pokémon Dex Data'!$S$3:$S951,MATCH($E464,'0.0.1 Pokémon Dex Data'!$B$3:$B951,0))*INDEX('0.0.1 Pokémon Dex Data'!V$3:V951,MATCH($E464,'0.0.1 Pokémon Dex Data'!$B$3:$B951,0)),0)</f>
        <v>120</v>
      </c>
      <c r="M464" s="260" t="n">
        <f aca="false" t="array" ref="M464:M464">INDEX('0.0.1 Pokémon Dex Data'!$J$3:$J951,MATCH(E464,'0.0.1 Pokémon Dex Data'!$B$3:$B951,0))</f>
        <v>0</v>
      </c>
      <c r="O464" s="490"/>
      <c r="Q464" s="367" t="n">
        <f aca="false">IF('Reverse Search'!$F$4="All (including temporary formes)",1,IF('Reverse Search'!$F$4="Base Pokémon and permanent formes only",IF(F464&lt;=1,1,0),IF(F464=0,1,0)))</f>
        <v>1</v>
      </c>
      <c r="R464" s="0" t="n">
        <f aca="false">IF('Reverse Search'!$C$7="Disable",1,IF('Reverse Search'!$D$9="Disable",1,IF(OR('Reverse Search'!$F$9=H464,'Reverse Search'!$F$9=I464),1,0)))</f>
        <v>1</v>
      </c>
      <c r="S464" s="0" t="n">
        <f aca="false">IF('Reverse Search'!$C$7="Disable",1,IF('Reverse Search'!$D$10="Disable",1,IF(OR('Reverse Search'!$F$10=H464,'Reverse Search'!$F$10=I464),1,0)))</f>
        <v>1</v>
      </c>
      <c r="T464" s="0" t="n">
        <f aca="false">INDEX($B$4:$B$22,MATCH(H464,$A$4:$A$22,0))</f>
        <v>1</v>
      </c>
      <c r="U464" s="0" t="n">
        <f aca="false">IF(ISBLANK(I464),1,INDEX($B$4:$B$22,MATCH(I464,$A$4:$A$22,0)))</f>
        <v>1</v>
      </c>
      <c r="V464" s="367" t="n">
        <f aca="false">IF('Reverse Search'!$C$7="Disable",1,IF('Reverse Search'!$D$11="Disable",1,IF('Reverse Search'!$E$11="Neutral to:",IF(ROUND(T464*U464,2)&lt;=1,1,0),IF(ROUND(T464*U464,2)&lt;1,1,0))))</f>
        <v>1</v>
      </c>
      <c r="W464" s="0" t="n">
        <f aca="false">IF('Reverse Search'!$N$7="Disable",1,IF('Reverse Search'!$I$9="Disable",1,IF('Reverse Search'!$K$9="≥",IF(J464&gt;='Reverse Search'!$L$9,1,0),IF('Reverse Search'!$K$9="≤",IF(J464&lt;='Reverse Search'!$L$9,1,0),IF(J464='Reverse Search'!$L$9,1,0)))))</f>
        <v>1</v>
      </c>
      <c r="X464" s="0" t="n">
        <f aca="false">IF('Reverse Search'!$N$7="Disable",1,IF('Reverse Search'!$I$10="Disable",1,IF('Reverse Search'!$K$10="≥",IF(K464&gt;='Reverse Search'!$L$10,1,0),IF('Reverse Search'!$K$10="≤",IF(K464&lt;='Reverse Search'!$L$10,1,0),IF(K464='Reverse Search'!$L$10,1,0)))))</f>
        <v>1</v>
      </c>
      <c r="Y464" s="367" t="n">
        <f aca="false">IF('Reverse Search'!$N$7="Disable",1,IF('Reverse Search'!$I$11="Disable",1,IF('Reverse Search'!$K$11="≥",IF(L464&gt;='Reverse Search'!$L$11,1,0),IF('Reverse Search'!$K$11="≤",IF(L464&lt;='Reverse Search'!$L$11,1,0),IF(L464='Reverse Search'!$L$11,1,0)))))</f>
        <v>1</v>
      </c>
      <c r="Z464" s="0" t="n">
        <f aca="true">IF('Reverse Search'!$C$14="Disable",1,IF('Reverse Search'!$D$16="Disable",1,IF($C$2=3,IF($M464=0,0,COUNTIF(INDIRECT("'0.0.2 Pokémon Learnset (Core)'!$D$"&amp;MATCH($E464,'0.0.2 Pokémon Learnset (Core)'!$A$1:$A951,0)&amp;":$FK$"&amp;MATCH($E464,'0.0.2 Pokémon Learnset (Core)'!$A$1:$A951,0)),'Reverse Search'!$E$21)),IF($C$2=2,COUNTIF(INDIRECT("'0.1.1 Pokémon GO Moves'!$B$"&amp;MATCH($E464,'0.1.1 Pokémon GO Moves'!$A$1:$A951,0)&amp;":$R$"&amp;MATCH($E464,'0.1.1 Pokémon GO Moves'!$A$1:$A951,0)),'Reverse Search'!$E$21),COUNTIF(INDIRECT("'0.1.1 Pokémon GO Moves'!$B$"&amp;MATCH($E464,'0.1.1 Pokémon GO Moves'!$A$1:$A951,0)&amp;":$L$"&amp;MATCH($E464,'0.1.1 Pokémon GO Moves'!$A$1:$A951,0)),'Reverse Search'!$E$21)))))</f>
        <v>1</v>
      </c>
      <c r="AA464" s="0" t="n">
        <f aca="true">IF('Reverse Search'!$C$14="Disable",1,IF('Reverse Search'!$I$16="Disable",1,IF($D$2=3,IF($M464=0,0,COUNTIF(INDIRECT("'0.0.2 Pokémon Learnset (Core)'!$D$"&amp;MATCH($E464,'0.0.2 Pokémon Learnset (Core)'!$A$1:$A951,0)&amp;":$FK$"&amp;MATCH($E464,'0.0.2 Pokémon Learnset (Core)'!$A$1:$A951,0)),'Reverse Search'!$J$21)),IF($D$2=2,COUNTIF(INDIRECT("'0.1.1 Pokémon GO Moves'!$B$"&amp;MATCH($E464,'0.1.1 Pokémon GO Moves'!$A$1:$A951,0)&amp;":$R$"&amp;MATCH($E464,'0.1.1 Pokémon GO Moves'!$A$1:$A951,0)),'Reverse Search'!$J$21),COUNTIF(INDIRECT("'0.1.1 Pokémon GO Moves'!$B$"&amp;MATCH($E464,'0.1.1 Pokémon GO Moves'!$A$1:$A951,0)&amp;":$L$"&amp;MATCH($E464,'0.1.1 Pokémon GO Moves'!$A$1:$A951,0)),'Reverse Search'!$J$21)))))</f>
        <v>0</v>
      </c>
      <c r="AB464" s="490"/>
      <c r="AC464" s="260" t="n">
        <f aca="false">IF((Q464+R464+S464+V464+W464+X464+Y464+IF(Z464&gt;=1,1,0)+IF(AA464&gt;=1,1,0))=9,G464&amp;", ",)</f>
        <v>0</v>
      </c>
    </row>
    <row r="465" customFormat="false" ht="15.75" hidden="false" customHeight="false" outlineLevel="0" collapsed="false">
      <c r="A465" s="260"/>
      <c r="B465" s="358"/>
      <c r="C465" s="260"/>
      <c r="D465" s="358"/>
      <c r="E465" s="260" t="n">
        <v>464</v>
      </c>
      <c r="F465" s="260" t="n">
        <f aca="false" t="array" ref="F465:F465">INDEX('0.0.1 Pokémon Dex Data'!$H$3:$H951,MATCH(E465,'0.0.1 Pokémon Dex Data'!$B$3:$B951,0))</f>
        <v>0</v>
      </c>
      <c r="G465" s="0" t="str">
        <f aca="false" t="array" ref="G465:G465">INDEX('0.0.1 Pokémon Dex Data'!$E$3:$E951,MATCH(E465,'0.0.1 Pokémon Dex Data'!$B$3:$B951,0))</f>
        <v>Staravia</v>
      </c>
      <c r="H465" s="0" t="str">
        <f aca="false" t="array" ref="H465:H465">INDEX('0.0.1 Pokémon Dex Data'!$Q$3:$Q951,MATCH(E465,'0.0.1 Pokémon Dex Data'!$B$3:$B951,0))</f>
        <v>Normal</v>
      </c>
      <c r="I465" s="0" t="str">
        <f aca="false" t="array" ref="I465:I465">INDEX('0.0.1 Pokémon Dex Data'!$R$3:$R951,MATCH(E465,'0.0.1 Pokémon Dex Data'!$B$3:$B951,0))</f>
        <v>Flying</v>
      </c>
      <c r="J465" s="260" t="n">
        <f aca="false" t="array" ref="J465:J465">ROUND(INDEX('0.0.1 Pokémon Dex Data'!$S$3:$S951,MATCH($E465,'0.0.1 Pokémon Dex Data'!$B$3:$B951,0))*INDEX('0.0.1 Pokémon Dex Data'!T$3:T951,MATCH($E465,'0.0.1 Pokémon Dex Data'!$B$3:$B951,0)),0)</f>
        <v>142</v>
      </c>
      <c r="K465" s="260" t="n">
        <f aca="false" t="array" ref="K465:K465">ROUND(INDEX('0.0.1 Pokémon Dex Data'!$S$3:$S951,MATCH($E465,'0.0.1 Pokémon Dex Data'!$B$3:$B951,0))*INDEX('0.0.1 Pokémon Dex Data'!U$3:U951,MATCH($E465,'0.0.1 Pokémon Dex Data'!$B$3:$B951,0)),0)</f>
        <v>94</v>
      </c>
      <c r="L465" s="260" t="n">
        <f aca="false" t="array" ref="L465:L465">ROUND(INDEX('0.0.1 Pokémon Dex Data'!$S$3:$S951,MATCH($E465,'0.0.1 Pokémon Dex Data'!$B$3:$B951,0))*INDEX('0.0.1 Pokémon Dex Data'!V$3:V951,MATCH($E465,'0.0.1 Pokémon Dex Data'!$B$3:$B951,0)),0)</f>
        <v>146</v>
      </c>
      <c r="M465" s="260" t="n">
        <f aca="false" t="array" ref="M465:M465">INDEX('0.0.1 Pokémon Dex Data'!$J$3:$J951,MATCH(E465,'0.0.1 Pokémon Dex Data'!$B$3:$B951,0))</f>
        <v>0</v>
      </c>
      <c r="O465" s="490"/>
      <c r="Q465" s="367" t="n">
        <f aca="false">IF('Reverse Search'!$F$4="All (including temporary formes)",1,IF('Reverse Search'!$F$4="Base Pokémon and permanent formes only",IF(F465&lt;=1,1,0),IF(F465=0,1,0)))</f>
        <v>1</v>
      </c>
      <c r="R465" s="0" t="n">
        <f aca="false">IF('Reverse Search'!$C$7="Disable",1,IF('Reverse Search'!$D$9="Disable",1,IF(OR('Reverse Search'!$F$9=H465,'Reverse Search'!$F$9=I465),1,0)))</f>
        <v>1</v>
      </c>
      <c r="S465" s="0" t="n">
        <f aca="false">IF('Reverse Search'!$C$7="Disable",1,IF('Reverse Search'!$D$10="Disable",1,IF(OR('Reverse Search'!$F$10=H465,'Reverse Search'!$F$10=I465),1,0)))</f>
        <v>1</v>
      </c>
      <c r="T465" s="0" t="n">
        <f aca="false">INDEX($B$4:$B$22,MATCH(H465,$A$4:$A$22,0))</f>
        <v>1</v>
      </c>
      <c r="U465" s="0" t="n">
        <f aca="false">IF(ISBLANK(I465),1,INDEX($B$4:$B$22,MATCH(I465,$A$4:$A$22,0)))</f>
        <v>1</v>
      </c>
      <c r="V465" s="367" t="n">
        <f aca="false">IF('Reverse Search'!$C$7="Disable",1,IF('Reverse Search'!$D$11="Disable",1,IF('Reverse Search'!$E$11="Neutral to:",IF(ROUND(T465*U465,2)&lt;=1,1,0),IF(ROUND(T465*U465,2)&lt;1,1,0))))</f>
        <v>1</v>
      </c>
      <c r="W465" s="0" t="n">
        <f aca="false">IF('Reverse Search'!$N$7="Disable",1,IF('Reverse Search'!$I$9="Disable",1,IF('Reverse Search'!$K$9="≥",IF(J465&gt;='Reverse Search'!$L$9,1,0),IF('Reverse Search'!$K$9="≤",IF(J465&lt;='Reverse Search'!$L$9,1,0),IF(J465='Reverse Search'!$L$9,1,0)))))</f>
        <v>1</v>
      </c>
      <c r="X465" s="0" t="n">
        <f aca="false">IF('Reverse Search'!$N$7="Disable",1,IF('Reverse Search'!$I$10="Disable",1,IF('Reverse Search'!$K$10="≥",IF(K465&gt;='Reverse Search'!$L$10,1,0),IF('Reverse Search'!$K$10="≤",IF(K465&lt;='Reverse Search'!$L$10,1,0),IF(K465='Reverse Search'!$L$10,1,0)))))</f>
        <v>1</v>
      </c>
      <c r="Y465" s="367" t="n">
        <f aca="false">IF('Reverse Search'!$N$7="Disable",1,IF('Reverse Search'!$I$11="Disable",1,IF('Reverse Search'!$K$11="≥",IF(L465&gt;='Reverse Search'!$L$11,1,0),IF('Reverse Search'!$K$11="≤",IF(L465&lt;='Reverse Search'!$L$11,1,0),IF(L465='Reverse Search'!$L$11,1,0)))))</f>
        <v>1</v>
      </c>
      <c r="Z465" s="0" t="n">
        <f aca="true">IF('Reverse Search'!$C$14="Disable",1,IF('Reverse Search'!$D$16="Disable",1,IF($C$2=3,IF($M465=0,0,COUNTIF(INDIRECT("'0.0.2 Pokémon Learnset (Core)'!$D$"&amp;MATCH($E465,'0.0.2 Pokémon Learnset (Core)'!$A$1:$A951,0)&amp;":$FK$"&amp;MATCH($E465,'0.0.2 Pokémon Learnset (Core)'!$A$1:$A951,0)),'Reverse Search'!$E$21)),IF($C$2=2,COUNTIF(INDIRECT("'0.1.1 Pokémon GO Moves'!$B$"&amp;MATCH($E465,'0.1.1 Pokémon GO Moves'!$A$1:$A951,0)&amp;":$R$"&amp;MATCH($E465,'0.1.1 Pokémon GO Moves'!$A$1:$A951,0)),'Reverse Search'!$E$21),COUNTIF(INDIRECT("'0.1.1 Pokémon GO Moves'!$B$"&amp;MATCH($E465,'0.1.1 Pokémon GO Moves'!$A$1:$A951,0)&amp;":$L$"&amp;MATCH($E465,'0.1.1 Pokémon GO Moves'!$A$1:$A951,0)),'Reverse Search'!$E$21)))))</f>
        <v>1</v>
      </c>
      <c r="AA465" s="0" t="n">
        <f aca="true">IF('Reverse Search'!$C$14="Disable",1,IF('Reverse Search'!$I$16="Disable",1,IF($D$2=3,IF($M465=0,0,COUNTIF(INDIRECT("'0.0.2 Pokémon Learnset (Core)'!$D$"&amp;MATCH($E465,'0.0.2 Pokémon Learnset (Core)'!$A$1:$A951,0)&amp;":$FK$"&amp;MATCH($E465,'0.0.2 Pokémon Learnset (Core)'!$A$1:$A951,0)),'Reverse Search'!$J$21)),IF($D$2=2,COUNTIF(INDIRECT("'0.1.1 Pokémon GO Moves'!$B$"&amp;MATCH($E465,'0.1.1 Pokémon GO Moves'!$A$1:$A951,0)&amp;":$R$"&amp;MATCH($E465,'0.1.1 Pokémon GO Moves'!$A$1:$A951,0)),'Reverse Search'!$J$21),COUNTIF(INDIRECT("'0.1.1 Pokémon GO Moves'!$B$"&amp;MATCH($E465,'0.1.1 Pokémon GO Moves'!$A$1:$A951,0)&amp;":$L$"&amp;MATCH($E465,'0.1.1 Pokémon GO Moves'!$A$1:$A951,0)),'Reverse Search'!$J$21)))))</f>
        <v>0</v>
      </c>
      <c r="AB465" s="490"/>
      <c r="AC465" s="260" t="n">
        <f aca="false">IF((Q465+R465+S465+V465+W465+X465+Y465+IF(Z465&gt;=1,1,0)+IF(AA465&gt;=1,1,0))=9,G465&amp;", ",)</f>
        <v>0</v>
      </c>
    </row>
    <row r="466" customFormat="false" ht="15.75" hidden="false" customHeight="false" outlineLevel="0" collapsed="false">
      <c r="A466" s="260"/>
      <c r="B466" s="358"/>
      <c r="C466" s="260"/>
      <c r="D466" s="358"/>
      <c r="E466" s="260" t="n">
        <v>465</v>
      </c>
      <c r="F466" s="260" t="n">
        <f aca="false" t="array" ref="F466:F466">INDEX('0.0.1 Pokémon Dex Data'!$H$3:$H951,MATCH(E466,'0.0.1 Pokémon Dex Data'!$B$3:$B951,0))</f>
        <v>0</v>
      </c>
      <c r="G466" s="0" t="str">
        <f aca="false" t="array" ref="G466:G466">INDEX('0.0.1 Pokémon Dex Data'!$E$3:$E951,MATCH(E466,'0.0.1 Pokémon Dex Data'!$B$3:$B951,0))</f>
        <v>Staraptor</v>
      </c>
      <c r="H466" s="0" t="str">
        <f aca="false" t="array" ref="H466:H466">INDEX('0.0.1 Pokémon Dex Data'!$Q$3:$Q951,MATCH(E466,'0.0.1 Pokémon Dex Data'!$B$3:$B951,0))</f>
        <v>Normal</v>
      </c>
      <c r="I466" s="0" t="str">
        <f aca="false" t="array" ref="I466:I466">INDEX('0.0.1 Pokémon Dex Data'!$R$3:$R951,MATCH(E466,'0.0.1 Pokémon Dex Data'!$B$3:$B951,0))</f>
        <v>Flying</v>
      </c>
      <c r="J466" s="260" t="n">
        <f aca="false" t="array" ref="J466:J466">ROUND(INDEX('0.0.1 Pokémon Dex Data'!$S$3:$S951,MATCH($E466,'0.0.1 Pokémon Dex Data'!$B$3:$B951,0))*INDEX('0.0.1 Pokémon Dex Data'!T$3:T951,MATCH($E466,'0.0.1 Pokémon Dex Data'!$B$3:$B951,0)),0)</f>
        <v>234</v>
      </c>
      <c r="K466" s="260" t="n">
        <f aca="false" t="array" ref="K466:K466">ROUND(INDEX('0.0.1 Pokémon Dex Data'!$S$3:$S951,MATCH($E466,'0.0.1 Pokémon Dex Data'!$B$3:$B951,0))*INDEX('0.0.1 Pokémon Dex Data'!U$3:U951,MATCH($E466,'0.0.1 Pokémon Dex Data'!$B$3:$B951,0)),0)</f>
        <v>140</v>
      </c>
      <c r="L466" s="260" t="n">
        <f aca="false" t="array" ref="L466:L466">ROUND(INDEX('0.0.1 Pokémon Dex Data'!$S$3:$S951,MATCH($E466,'0.0.1 Pokémon Dex Data'!$B$3:$B951,0))*INDEX('0.0.1 Pokémon Dex Data'!V$3:V951,MATCH($E466,'0.0.1 Pokémon Dex Data'!$B$3:$B951,0)),0)</f>
        <v>198</v>
      </c>
      <c r="M466" s="260" t="n">
        <f aca="false" t="array" ref="M466:M466">INDEX('0.0.1 Pokémon Dex Data'!$J$3:$J951,MATCH(E466,'0.0.1 Pokémon Dex Data'!$B$3:$B951,0))</f>
        <v>1</v>
      </c>
      <c r="O466" s="490"/>
      <c r="Q466" s="367" t="n">
        <f aca="false">IF('Reverse Search'!$F$4="All (including temporary formes)",1,IF('Reverse Search'!$F$4="Base Pokémon and permanent formes only",IF(F466&lt;=1,1,0),IF(F466=0,1,0)))</f>
        <v>1</v>
      </c>
      <c r="R466" s="0" t="n">
        <f aca="false">IF('Reverse Search'!$C$7="Disable",1,IF('Reverse Search'!$D$9="Disable",1,IF(OR('Reverse Search'!$F$9=H466,'Reverse Search'!$F$9=I466),1,0)))</f>
        <v>1</v>
      </c>
      <c r="S466" s="0" t="n">
        <f aca="false">IF('Reverse Search'!$C$7="Disable",1,IF('Reverse Search'!$D$10="Disable",1,IF(OR('Reverse Search'!$F$10=H466,'Reverse Search'!$F$10=I466),1,0)))</f>
        <v>1</v>
      </c>
      <c r="T466" s="0" t="n">
        <f aca="false">INDEX($B$4:$B$22,MATCH(H466,$A$4:$A$22,0))</f>
        <v>1</v>
      </c>
      <c r="U466" s="0" t="n">
        <f aca="false">IF(ISBLANK(I466),1,INDEX($B$4:$B$22,MATCH(I466,$A$4:$A$22,0)))</f>
        <v>1</v>
      </c>
      <c r="V466" s="367" t="n">
        <f aca="false">IF('Reverse Search'!$C$7="Disable",1,IF('Reverse Search'!$D$11="Disable",1,IF('Reverse Search'!$E$11="Neutral to:",IF(ROUND(T466*U466,2)&lt;=1,1,0),IF(ROUND(T466*U466,2)&lt;1,1,0))))</f>
        <v>1</v>
      </c>
      <c r="W466" s="0" t="n">
        <f aca="false">IF('Reverse Search'!$N$7="Disable",1,IF('Reverse Search'!$I$9="Disable",1,IF('Reverse Search'!$K$9="≥",IF(J466&gt;='Reverse Search'!$L$9,1,0),IF('Reverse Search'!$K$9="≤",IF(J466&lt;='Reverse Search'!$L$9,1,0),IF(J466='Reverse Search'!$L$9,1,0)))))</f>
        <v>1</v>
      </c>
      <c r="X466" s="0" t="n">
        <f aca="false">IF('Reverse Search'!$N$7="Disable",1,IF('Reverse Search'!$I$10="Disable",1,IF('Reverse Search'!$K$10="≥",IF(K466&gt;='Reverse Search'!$L$10,1,0),IF('Reverse Search'!$K$10="≤",IF(K466&lt;='Reverse Search'!$L$10,1,0),IF(K466='Reverse Search'!$L$10,1,0)))))</f>
        <v>1</v>
      </c>
      <c r="Y466" s="367" t="n">
        <f aca="false">IF('Reverse Search'!$N$7="Disable",1,IF('Reverse Search'!$I$11="Disable",1,IF('Reverse Search'!$K$11="≥",IF(L466&gt;='Reverse Search'!$L$11,1,0),IF('Reverse Search'!$K$11="≤",IF(L466&lt;='Reverse Search'!$L$11,1,0),IF(L466='Reverse Search'!$L$11,1,0)))))</f>
        <v>1</v>
      </c>
      <c r="Z466" s="0" t="n">
        <f aca="true">IF('Reverse Search'!$C$14="Disable",1,IF('Reverse Search'!$D$16="Disable",1,IF($C$2=3,IF($M466=0,0,COUNTIF(INDIRECT("'0.0.2 Pokémon Learnset (Core)'!$D$"&amp;MATCH($E466,'0.0.2 Pokémon Learnset (Core)'!$A$1:$A951,0)&amp;":$FK$"&amp;MATCH($E466,'0.0.2 Pokémon Learnset (Core)'!$A$1:$A951,0)),'Reverse Search'!$E$21)),IF($C$2=2,COUNTIF(INDIRECT("'0.1.1 Pokémon GO Moves'!$B$"&amp;MATCH($E466,'0.1.1 Pokémon GO Moves'!$A$1:$A951,0)&amp;":$R$"&amp;MATCH($E466,'0.1.1 Pokémon GO Moves'!$A$1:$A951,0)),'Reverse Search'!$E$21),COUNTIF(INDIRECT("'0.1.1 Pokémon GO Moves'!$B$"&amp;MATCH($E466,'0.1.1 Pokémon GO Moves'!$A$1:$A951,0)&amp;":$L$"&amp;MATCH($E466,'0.1.1 Pokémon GO Moves'!$A$1:$A951,0)),'Reverse Search'!$E$21)))))</f>
        <v>1</v>
      </c>
      <c r="AA466" s="0" t="n">
        <f aca="true">IF('Reverse Search'!$C$14="Disable",1,IF('Reverse Search'!$I$16="Disable",1,IF($D$2=3,IF($M466=0,0,COUNTIF(INDIRECT("'0.0.2 Pokémon Learnset (Core)'!$D$"&amp;MATCH($E466,'0.0.2 Pokémon Learnset (Core)'!$A$1:$A951,0)&amp;":$FK$"&amp;MATCH($E466,'0.0.2 Pokémon Learnset (Core)'!$A$1:$A951,0)),'Reverse Search'!$J$21)),IF($D$2=2,COUNTIF(INDIRECT("'0.1.1 Pokémon GO Moves'!$B$"&amp;MATCH($E466,'0.1.1 Pokémon GO Moves'!$A$1:$A951,0)&amp;":$R$"&amp;MATCH($E466,'0.1.1 Pokémon GO Moves'!$A$1:$A951,0)),'Reverse Search'!$J$21),COUNTIF(INDIRECT("'0.1.1 Pokémon GO Moves'!$B$"&amp;MATCH($E466,'0.1.1 Pokémon GO Moves'!$A$1:$A951,0)&amp;":$L$"&amp;MATCH($E466,'0.1.1 Pokémon GO Moves'!$A$1:$A951,0)),'Reverse Search'!$J$21)))))</f>
        <v>0</v>
      </c>
      <c r="AB466" s="490"/>
      <c r="AC466" s="260" t="n">
        <f aca="false">IF((Q466+R466+S466+V466+W466+X466+Y466+IF(Z466&gt;=1,1,0)+IF(AA466&gt;=1,1,0))=9,G466&amp;", ",)</f>
        <v>0</v>
      </c>
    </row>
    <row r="467" customFormat="false" ht="15.75" hidden="false" customHeight="false" outlineLevel="0" collapsed="false">
      <c r="A467" s="260"/>
      <c r="B467" s="358"/>
      <c r="C467" s="260"/>
      <c r="D467" s="358"/>
      <c r="E467" s="260" t="n">
        <v>466</v>
      </c>
      <c r="F467" s="260" t="n">
        <f aca="false" t="array" ref="F467:F467">INDEX('0.0.1 Pokémon Dex Data'!$H$3:$H951,MATCH(E467,'0.0.1 Pokémon Dex Data'!$B$3:$B951,0))</f>
        <v>0</v>
      </c>
      <c r="G467" s="0" t="str">
        <f aca="false" t="array" ref="G467:G467">INDEX('0.0.1 Pokémon Dex Data'!$E$3:$E951,MATCH(E467,'0.0.1 Pokémon Dex Data'!$B$3:$B951,0))</f>
        <v>Bidoof</v>
      </c>
      <c r="H467" s="0" t="str">
        <f aca="false" t="array" ref="H467:H467">INDEX('0.0.1 Pokémon Dex Data'!$Q$3:$Q951,MATCH(E467,'0.0.1 Pokémon Dex Data'!$B$3:$B951,0))</f>
        <v>Normal</v>
      </c>
      <c r="I467" s="0" t="str">
        <f aca="false" t="array" ref="I467:I467">INDEX('0.0.1 Pokémon Dex Data'!$R$3:$R951,MATCH(E467,'0.0.1 Pokémon Dex Data'!$B$3:$B951,0))</f>
        <v>Water</v>
      </c>
      <c r="J467" s="260" t="n">
        <f aca="false" t="array" ref="J467:J467">ROUND(INDEX('0.0.1 Pokémon Dex Data'!$S$3:$S951,MATCH($E467,'0.0.1 Pokémon Dex Data'!$B$3:$B951,0))*INDEX('0.0.1 Pokémon Dex Data'!T$3:T951,MATCH($E467,'0.0.1 Pokémon Dex Data'!$B$3:$B951,0)),0)</f>
        <v>80</v>
      </c>
      <c r="K467" s="260" t="n">
        <f aca="false" t="array" ref="K467:K467">ROUND(INDEX('0.0.1 Pokémon Dex Data'!$S$3:$S951,MATCH($E467,'0.0.1 Pokémon Dex Data'!$B$3:$B951,0))*INDEX('0.0.1 Pokémon Dex Data'!U$3:U951,MATCH($E467,'0.0.1 Pokémon Dex Data'!$B$3:$B951,0)),0)</f>
        <v>73</v>
      </c>
      <c r="L467" s="260" t="n">
        <f aca="false" t="array" ref="L467:L467">ROUND(INDEX('0.0.1 Pokémon Dex Data'!$S$3:$S951,MATCH($E467,'0.0.1 Pokémon Dex Data'!$B$3:$B951,0))*INDEX('0.0.1 Pokémon Dex Data'!V$3:V951,MATCH($E467,'0.0.1 Pokémon Dex Data'!$B$3:$B951,0)),0)</f>
        <v>153</v>
      </c>
      <c r="M467" s="260" t="n">
        <f aca="false" t="array" ref="M467:M467">INDEX('0.0.1 Pokémon Dex Data'!$J$3:$J951,MATCH(E467,'0.0.1 Pokémon Dex Data'!$B$3:$B951,0))</f>
        <v>0</v>
      </c>
      <c r="O467" s="490"/>
      <c r="Q467" s="367" t="n">
        <f aca="false">IF('Reverse Search'!$F$4="All (including temporary formes)",1,IF('Reverse Search'!$F$4="Base Pokémon and permanent formes only",IF(F467&lt;=1,1,0),IF(F467=0,1,0)))</f>
        <v>1</v>
      </c>
      <c r="R467" s="0" t="n">
        <f aca="false">IF('Reverse Search'!$C$7="Disable",1,IF('Reverse Search'!$D$9="Disable",1,IF(OR('Reverse Search'!$F$9=H467,'Reverse Search'!$F$9=I467),1,0)))</f>
        <v>1</v>
      </c>
      <c r="S467" s="0" t="n">
        <f aca="false">IF('Reverse Search'!$C$7="Disable",1,IF('Reverse Search'!$D$10="Disable",1,IF(OR('Reverse Search'!$F$10=H467,'Reverse Search'!$F$10=I467),1,0)))</f>
        <v>1</v>
      </c>
      <c r="T467" s="0" t="n">
        <f aca="false">INDEX($B$4:$B$22,MATCH(H467,$A$4:$A$22,0))</f>
        <v>1</v>
      </c>
      <c r="U467" s="0" t="n">
        <f aca="false">IF(ISBLANK(I467),1,INDEX($B$4:$B$22,MATCH(I467,$A$4:$A$22,0)))</f>
        <v>1</v>
      </c>
      <c r="V467" s="367" t="n">
        <f aca="false">IF('Reverse Search'!$C$7="Disable",1,IF('Reverse Search'!$D$11="Disable",1,IF('Reverse Search'!$E$11="Neutral to:",IF(ROUND(T467*U467,2)&lt;=1,1,0),IF(ROUND(T467*U467,2)&lt;1,1,0))))</f>
        <v>1</v>
      </c>
      <c r="W467" s="0" t="n">
        <f aca="false">IF('Reverse Search'!$N$7="Disable",1,IF('Reverse Search'!$I$9="Disable",1,IF('Reverse Search'!$K$9="≥",IF(J467&gt;='Reverse Search'!$L$9,1,0),IF('Reverse Search'!$K$9="≤",IF(J467&lt;='Reverse Search'!$L$9,1,0),IF(J467='Reverse Search'!$L$9,1,0)))))</f>
        <v>1</v>
      </c>
      <c r="X467" s="0" t="n">
        <f aca="false">IF('Reverse Search'!$N$7="Disable",1,IF('Reverse Search'!$I$10="Disable",1,IF('Reverse Search'!$K$10="≥",IF(K467&gt;='Reverse Search'!$L$10,1,0),IF('Reverse Search'!$K$10="≤",IF(K467&lt;='Reverse Search'!$L$10,1,0),IF(K467='Reverse Search'!$L$10,1,0)))))</f>
        <v>1</v>
      </c>
      <c r="Y467" s="367" t="n">
        <f aca="false">IF('Reverse Search'!$N$7="Disable",1,IF('Reverse Search'!$I$11="Disable",1,IF('Reverse Search'!$K$11="≥",IF(L467&gt;='Reverse Search'!$L$11,1,0),IF('Reverse Search'!$K$11="≤",IF(L467&lt;='Reverse Search'!$L$11,1,0),IF(L467='Reverse Search'!$L$11,1,0)))))</f>
        <v>1</v>
      </c>
      <c r="Z467" s="0" t="n">
        <f aca="true">IF('Reverse Search'!$C$14="Disable",1,IF('Reverse Search'!$D$16="Disable",1,IF($C$2=3,IF($M467=0,0,COUNTIF(INDIRECT("'0.0.2 Pokémon Learnset (Core)'!$D$"&amp;MATCH($E467,'0.0.2 Pokémon Learnset (Core)'!$A$1:$A951,0)&amp;":$FK$"&amp;MATCH($E467,'0.0.2 Pokémon Learnset (Core)'!$A$1:$A951,0)),'Reverse Search'!$E$21)),IF($C$2=2,COUNTIF(INDIRECT("'0.1.1 Pokémon GO Moves'!$B$"&amp;MATCH($E467,'0.1.1 Pokémon GO Moves'!$A$1:$A951,0)&amp;":$R$"&amp;MATCH($E467,'0.1.1 Pokémon GO Moves'!$A$1:$A951,0)),'Reverse Search'!$E$21),COUNTIF(INDIRECT("'0.1.1 Pokémon GO Moves'!$B$"&amp;MATCH($E467,'0.1.1 Pokémon GO Moves'!$A$1:$A951,0)&amp;":$L$"&amp;MATCH($E467,'0.1.1 Pokémon GO Moves'!$A$1:$A951,0)),'Reverse Search'!$E$21)))))</f>
        <v>1</v>
      </c>
      <c r="AA467" s="0" t="n">
        <f aca="true">IF('Reverse Search'!$C$14="Disable",1,IF('Reverse Search'!$I$16="Disable",1,IF($D$2=3,IF($M467=0,0,COUNTIF(INDIRECT("'0.0.2 Pokémon Learnset (Core)'!$D$"&amp;MATCH($E467,'0.0.2 Pokémon Learnset (Core)'!$A$1:$A951,0)&amp;":$FK$"&amp;MATCH($E467,'0.0.2 Pokémon Learnset (Core)'!$A$1:$A951,0)),'Reverse Search'!$J$21)),IF($D$2=2,COUNTIF(INDIRECT("'0.1.1 Pokémon GO Moves'!$B$"&amp;MATCH($E467,'0.1.1 Pokémon GO Moves'!$A$1:$A951,0)&amp;":$R$"&amp;MATCH($E467,'0.1.1 Pokémon GO Moves'!$A$1:$A951,0)),'Reverse Search'!$J$21),COUNTIF(INDIRECT("'0.1.1 Pokémon GO Moves'!$B$"&amp;MATCH($E467,'0.1.1 Pokémon GO Moves'!$A$1:$A951,0)&amp;":$L$"&amp;MATCH($E467,'0.1.1 Pokémon GO Moves'!$A$1:$A951,0)),'Reverse Search'!$J$21)))))</f>
        <v>0</v>
      </c>
      <c r="AB467" s="490"/>
      <c r="AC467" s="260" t="n">
        <f aca="false">IF((Q467+R467+S467+V467+W467+X467+Y467+IF(Z467&gt;=1,1,0)+IF(AA467&gt;=1,1,0))=9,G467&amp;", ",)</f>
        <v>0</v>
      </c>
    </row>
    <row r="468" customFormat="false" ht="15.75" hidden="false" customHeight="false" outlineLevel="0" collapsed="false">
      <c r="A468" s="260"/>
      <c r="B468" s="358"/>
      <c r="C468" s="260"/>
      <c r="D468" s="358"/>
      <c r="E468" s="260" t="n">
        <v>467</v>
      </c>
      <c r="F468" s="260" t="n">
        <f aca="false" t="array" ref="F468:F468">INDEX('0.0.1 Pokémon Dex Data'!$H$3:$H951,MATCH(E468,'0.0.1 Pokémon Dex Data'!$B$3:$B951,0))</f>
        <v>0</v>
      </c>
      <c r="G468" s="0" t="str">
        <f aca="false" t="array" ref="G468:G468">INDEX('0.0.1 Pokémon Dex Data'!$E$3:$E951,MATCH(E468,'0.0.1 Pokémon Dex Data'!$B$3:$B951,0))</f>
        <v>Bibarel</v>
      </c>
      <c r="H468" s="0" t="str">
        <f aca="false" t="array" ref="H468:H468">INDEX('0.0.1 Pokémon Dex Data'!$Q$3:$Q951,MATCH(E468,'0.0.1 Pokémon Dex Data'!$B$3:$B951,0))</f>
        <v>Normal</v>
      </c>
      <c r="I468" s="0" t="str">
        <f aca="false" t="array" ref="I468:I468">INDEX('0.0.1 Pokémon Dex Data'!$R$3:$R951,MATCH(E468,'0.0.1 Pokémon Dex Data'!$B$3:$B951,0))</f>
        <v>Water</v>
      </c>
      <c r="J468" s="260" t="n">
        <f aca="false" t="array" ref="J468:J468">ROUND(INDEX('0.0.1 Pokémon Dex Data'!$S$3:$S951,MATCH($E468,'0.0.1 Pokémon Dex Data'!$B$3:$B951,0))*INDEX('0.0.1 Pokémon Dex Data'!T$3:T951,MATCH($E468,'0.0.1 Pokémon Dex Data'!$B$3:$B951,0)),0)</f>
        <v>162</v>
      </c>
      <c r="K468" s="260" t="n">
        <f aca="false" t="array" ref="K468:K468">ROUND(INDEX('0.0.1 Pokémon Dex Data'!$S$3:$S951,MATCH($E468,'0.0.1 Pokémon Dex Data'!$B$3:$B951,0))*INDEX('0.0.1 Pokémon Dex Data'!U$3:U951,MATCH($E468,'0.0.1 Pokémon Dex Data'!$B$3:$B951,0)),0)</f>
        <v>119</v>
      </c>
      <c r="L468" s="260" t="n">
        <f aca="false" t="array" ref="L468:L468">ROUND(INDEX('0.0.1 Pokémon Dex Data'!$S$3:$S951,MATCH($E468,'0.0.1 Pokémon Dex Data'!$B$3:$B951,0))*INDEX('0.0.1 Pokémon Dex Data'!V$3:V951,MATCH($E468,'0.0.1 Pokémon Dex Data'!$B$3:$B951,0)),0)</f>
        <v>188</v>
      </c>
      <c r="M468" s="260" t="n">
        <f aca="false" t="array" ref="M468:M468">INDEX('0.0.1 Pokémon Dex Data'!$J$3:$J951,MATCH(E468,'0.0.1 Pokémon Dex Data'!$B$3:$B951,0))</f>
        <v>1</v>
      </c>
      <c r="O468" s="490"/>
      <c r="Q468" s="367" t="n">
        <f aca="false">IF('Reverse Search'!$F$4="All (including temporary formes)",1,IF('Reverse Search'!$F$4="Base Pokémon and permanent formes only",IF(F468&lt;=1,1,0),IF(F468=0,1,0)))</f>
        <v>1</v>
      </c>
      <c r="R468" s="0" t="n">
        <f aca="false">IF('Reverse Search'!$C$7="Disable",1,IF('Reverse Search'!$D$9="Disable",1,IF(OR('Reverse Search'!$F$9=H468,'Reverse Search'!$F$9=I468),1,0)))</f>
        <v>1</v>
      </c>
      <c r="S468" s="0" t="n">
        <f aca="false">IF('Reverse Search'!$C$7="Disable",1,IF('Reverse Search'!$D$10="Disable",1,IF(OR('Reverse Search'!$F$10=H468,'Reverse Search'!$F$10=I468),1,0)))</f>
        <v>1</v>
      </c>
      <c r="T468" s="0" t="n">
        <f aca="false">INDEX($B$4:$B$22,MATCH(H468,$A$4:$A$22,0))</f>
        <v>1</v>
      </c>
      <c r="U468" s="0" t="n">
        <f aca="false">IF(ISBLANK(I468),1,INDEX($B$4:$B$22,MATCH(I468,$A$4:$A$22,0)))</f>
        <v>1</v>
      </c>
      <c r="V468" s="367" t="n">
        <f aca="false">IF('Reverse Search'!$C$7="Disable",1,IF('Reverse Search'!$D$11="Disable",1,IF('Reverse Search'!$E$11="Neutral to:",IF(ROUND(T468*U468,2)&lt;=1,1,0),IF(ROUND(T468*U468,2)&lt;1,1,0))))</f>
        <v>1</v>
      </c>
      <c r="W468" s="0" t="n">
        <f aca="false">IF('Reverse Search'!$N$7="Disable",1,IF('Reverse Search'!$I$9="Disable",1,IF('Reverse Search'!$K$9="≥",IF(J468&gt;='Reverse Search'!$L$9,1,0),IF('Reverse Search'!$K$9="≤",IF(J468&lt;='Reverse Search'!$L$9,1,0),IF(J468='Reverse Search'!$L$9,1,0)))))</f>
        <v>1</v>
      </c>
      <c r="X468" s="0" t="n">
        <f aca="false">IF('Reverse Search'!$N$7="Disable",1,IF('Reverse Search'!$I$10="Disable",1,IF('Reverse Search'!$K$10="≥",IF(K468&gt;='Reverse Search'!$L$10,1,0),IF('Reverse Search'!$K$10="≤",IF(K468&lt;='Reverse Search'!$L$10,1,0),IF(K468='Reverse Search'!$L$10,1,0)))))</f>
        <v>1</v>
      </c>
      <c r="Y468" s="367" t="n">
        <f aca="false">IF('Reverse Search'!$N$7="Disable",1,IF('Reverse Search'!$I$11="Disable",1,IF('Reverse Search'!$K$11="≥",IF(L468&gt;='Reverse Search'!$L$11,1,0),IF('Reverse Search'!$K$11="≤",IF(L468&lt;='Reverse Search'!$L$11,1,0),IF(L468='Reverse Search'!$L$11,1,0)))))</f>
        <v>1</v>
      </c>
      <c r="Z468" s="0" t="n">
        <f aca="true">IF('Reverse Search'!$C$14="Disable",1,IF('Reverse Search'!$D$16="Disable",1,IF($C$2=3,IF($M468=0,0,COUNTIF(INDIRECT("'0.0.2 Pokémon Learnset (Core)'!$D$"&amp;MATCH($E468,'0.0.2 Pokémon Learnset (Core)'!$A$1:$A951,0)&amp;":$FK$"&amp;MATCH($E468,'0.0.2 Pokémon Learnset (Core)'!$A$1:$A951,0)),'Reverse Search'!$E$21)),IF($C$2=2,COUNTIF(INDIRECT("'0.1.1 Pokémon GO Moves'!$B$"&amp;MATCH($E468,'0.1.1 Pokémon GO Moves'!$A$1:$A951,0)&amp;":$R$"&amp;MATCH($E468,'0.1.1 Pokémon GO Moves'!$A$1:$A951,0)),'Reverse Search'!$E$21),COUNTIF(INDIRECT("'0.1.1 Pokémon GO Moves'!$B$"&amp;MATCH($E468,'0.1.1 Pokémon GO Moves'!$A$1:$A951,0)&amp;":$L$"&amp;MATCH($E468,'0.1.1 Pokémon GO Moves'!$A$1:$A951,0)),'Reverse Search'!$E$21)))))</f>
        <v>1</v>
      </c>
      <c r="AA468" s="0" t="n">
        <f aca="true">IF('Reverse Search'!$C$14="Disable",1,IF('Reverse Search'!$I$16="Disable",1,IF($D$2=3,IF($M468=0,0,COUNTIF(INDIRECT("'0.0.2 Pokémon Learnset (Core)'!$D$"&amp;MATCH($E468,'0.0.2 Pokémon Learnset (Core)'!$A$1:$A951,0)&amp;":$FK$"&amp;MATCH($E468,'0.0.2 Pokémon Learnset (Core)'!$A$1:$A951,0)),'Reverse Search'!$J$21)),IF($D$2=2,COUNTIF(INDIRECT("'0.1.1 Pokémon GO Moves'!$B$"&amp;MATCH($E468,'0.1.1 Pokémon GO Moves'!$A$1:$A951,0)&amp;":$R$"&amp;MATCH($E468,'0.1.1 Pokémon GO Moves'!$A$1:$A951,0)),'Reverse Search'!$J$21),COUNTIF(INDIRECT("'0.1.1 Pokémon GO Moves'!$B$"&amp;MATCH($E468,'0.1.1 Pokémon GO Moves'!$A$1:$A951,0)&amp;":$L$"&amp;MATCH($E468,'0.1.1 Pokémon GO Moves'!$A$1:$A951,0)),'Reverse Search'!$J$21)))))</f>
        <v>0</v>
      </c>
      <c r="AB468" s="490"/>
      <c r="AC468" s="260" t="n">
        <f aca="false">IF((Q468+R468+S468+V468+W468+X468+Y468+IF(Z468&gt;=1,1,0)+IF(AA468&gt;=1,1,0))=9,G468&amp;", ",)</f>
        <v>0</v>
      </c>
    </row>
    <row r="469" customFormat="false" ht="15.75" hidden="false" customHeight="false" outlineLevel="0" collapsed="false">
      <c r="A469" s="260"/>
      <c r="B469" s="358"/>
      <c r="C469" s="260"/>
      <c r="D469" s="358"/>
      <c r="E469" s="260" t="n">
        <v>468</v>
      </c>
      <c r="F469" s="260" t="n">
        <f aca="false" t="array" ref="F469:F469">INDEX('0.0.1 Pokémon Dex Data'!$H$3:$H951,MATCH(E469,'0.0.1 Pokémon Dex Data'!$B$3:$B951,0))</f>
        <v>0</v>
      </c>
      <c r="G469" s="0" t="str">
        <f aca="false" t="array" ref="G469:G469">INDEX('0.0.1 Pokémon Dex Data'!$E$3:$E951,MATCH(E469,'0.0.1 Pokémon Dex Data'!$B$3:$B951,0))</f>
        <v>Kricketot</v>
      </c>
      <c r="H469" s="0" t="str">
        <f aca="false" t="array" ref="H469:H469">INDEX('0.0.1 Pokémon Dex Data'!$Q$3:$Q951,MATCH(E469,'0.0.1 Pokémon Dex Data'!$B$3:$B951,0))</f>
        <v>Bug</v>
      </c>
      <c r="I469" s="0" t="n">
        <f aca="false">INDEX('0.0.1 Pokémon Dex Data'!$R$3:$R951,MATCH(E469,'0.0.1 Pokémon Dex Data'!$B$3:$B951,0))</f>
        <v>0</v>
      </c>
      <c r="J469" s="260" t="n">
        <f aca="false" t="array" ref="J469:J469">ROUND(INDEX('0.0.1 Pokémon Dex Data'!$S$3:$S951,MATCH($E469,'0.0.1 Pokémon Dex Data'!$B$3:$B951,0))*INDEX('0.0.1 Pokémon Dex Data'!T$3:T951,MATCH($E469,'0.0.1 Pokémon Dex Data'!$B$3:$B951,0)),0)</f>
        <v>45</v>
      </c>
      <c r="K469" s="260" t="n">
        <f aca="false" t="array" ref="K469:K469">ROUND(INDEX('0.0.1 Pokémon Dex Data'!$S$3:$S951,MATCH($E469,'0.0.1 Pokémon Dex Data'!$B$3:$B951,0))*INDEX('0.0.1 Pokémon Dex Data'!U$3:U951,MATCH($E469,'0.0.1 Pokémon Dex Data'!$B$3:$B951,0)),0)</f>
        <v>74</v>
      </c>
      <c r="L469" s="260" t="n">
        <f aca="false" t="array" ref="L469:L469">ROUND(INDEX('0.0.1 Pokémon Dex Data'!$S$3:$S951,MATCH($E469,'0.0.1 Pokémon Dex Data'!$B$3:$B951,0))*INDEX('0.0.1 Pokémon Dex Data'!V$3:V951,MATCH($E469,'0.0.1 Pokémon Dex Data'!$B$3:$B951,0)),0)</f>
        <v>114</v>
      </c>
      <c r="M469" s="260" t="n">
        <f aca="false" t="array" ref="M469:M469">INDEX('0.0.1 Pokémon Dex Data'!$J$3:$J951,MATCH(E469,'0.0.1 Pokémon Dex Data'!$B$3:$B951,0))</f>
        <v>0</v>
      </c>
      <c r="O469" s="490"/>
      <c r="Q469" s="367" t="n">
        <f aca="false">IF('Reverse Search'!$F$4="All (including temporary formes)",1,IF('Reverse Search'!$F$4="Base Pokémon and permanent formes only",IF(F469&lt;=1,1,0),IF(F469=0,1,0)))</f>
        <v>1</v>
      </c>
      <c r="R469" s="0" t="n">
        <f aca="false">IF('Reverse Search'!$C$7="Disable",1,IF('Reverse Search'!$D$9="Disable",1,IF(OR('Reverse Search'!$F$9=H469,'Reverse Search'!$F$9=I469),1,0)))</f>
        <v>1</v>
      </c>
      <c r="S469" s="0" t="n">
        <f aca="false">IF('Reverse Search'!$C$7="Disable",1,IF('Reverse Search'!$D$10="Disable",1,IF(OR('Reverse Search'!$F$10=H469,'Reverse Search'!$F$10=I469),1,0)))</f>
        <v>1</v>
      </c>
      <c r="T469" s="0" t="n">
        <f aca="false">INDEX($B$4:$B$22,MATCH(H469,$A$4:$A$22,0))</f>
        <v>1</v>
      </c>
      <c r="U469" s="0" t="e">
        <f aca="false">IF(ISBLANK(I469),1,INDEX($B$4:$B$22,MATCH(I469,$A$4:$A$22,0)))</f>
        <v>#N/A</v>
      </c>
      <c r="V469" s="367" t="n">
        <f aca="false">IF('Reverse Search'!$C$7="Disable",1,IF('Reverse Search'!$D$11="Disable",1,IF('Reverse Search'!$E$11="Neutral to:",IF(ROUND(T469*U469,2)&lt;=1,1,0),IF(ROUND(T469*U469,2)&lt;1,1,0))))</f>
        <v>1</v>
      </c>
      <c r="W469" s="0" t="n">
        <f aca="false">IF('Reverse Search'!$N$7="Disable",1,IF('Reverse Search'!$I$9="Disable",1,IF('Reverse Search'!$K$9="≥",IF(J469&gt;='Reverse Search'!$L$9,1,0),IF('Reverse Search'!$K$9="≤",IF(J469&lt;='Reverse Search'!$L$9,1,0),IF(J469='Reverse Search'!$L$9,1,0)))))</f>
        <v>1</v>
      </c>
      <c r="X469" s="0" t="n">
        <f aca="false">IF('Reverse Search'!$N$7="Disable",1,IF('Reverse Search'!$I$10="Disable",1,IF('Reverse Search'!$K$10="≥",IF(K469&gt;='Reverse Search'!$L$10,1,0),IF('Reverse Search'!$K$10="≤",IF(K469&lt;='Reverse Search'!$L$10,1,0),IF(K469='Reverse Search'!$L$10,1,0)))))</f>
        <v>1</v>
      </c>
      <c r="Y469" s="367" t="n">
        <f aca="false">IF('Reverse Search'!$N$7="Disable",1,IF('Reverse Search'!$I$11="Disable",1,IF('Reverse Search'!$K$11="≥",IF(L469&gt;='Reverse Search'!$L$11,1,0),IF('Reverse Search'!$K$11="≤",IF(L469&lt;='Reverse Search'!$L$11,1,0),IF(L469='Reverse Search'!$L$11,1,0)))))</f>
        <v>1</v>
      </c>
      <c r="Z469" s="0" t="n">
        <f aca="true">IF('Reverse Search'!$C$14="Disable",1,IF('Reverse Search'!$D$16="Disable",1,IF($C$2=3,IF($M469=0,0,COUNTIF(INDIRECT("'0.0.2 Pokémon Learnset (Core)'!$D$"&amp;MATCH($E469,'0.0.2 Pokémon Learnset (Core)'!$A$1:$A951,0)&amp;":$FK$"&amp;MATCH($E469,'0.0.2 Pokémon Learnset (Core)'!$A$1:$A951,0)),'Reverse Search'!$E$21)),IF($C$2=2,COUNTIF(INDIRECT("'0.1.1 Pokémon GO Moves'!$B$"&amp;MATCH($E469,'0.1.1 Pokémon GO Moves'!$A$1:$A951,0)&amp;":$R$"&amp;MATCH($E469,'0.1.1 Pokémon GO Moves'!$A$1:$A951,0)),'Reverse Search'!$E$21),COUNTIF(INDIRECT("'0.1.1 Pokémon GO Moves'!$B$"&amp;MATCH($E469,'0.1.1 Pokémon GO Moves'!$A$1:$A951,0)&amp;":$L$"&amp;MATCH($E469,'0.1.1 Pokémon GO Moves'!$A$1:$A951,0)),'Reverse Search'!$E$21)))))</f>
        <v>1</v>
      </c>
      <c r="AA469" s="0" t="n">
        <f aca="true">IF('Reverse Search'!$C$14="Disable",1,IF('Reverse Search'!$I$16="Disable",1,IF($D$2=3,IF($M469=0,0,COUNTIF(INDIRECT("'0.0.2 Pokémon Learnset (Core)'!$D$"&amp;MATCH($E469,'0.0.2 Pokémon Learnset (Core)'!$A$1:$A951,0)&amp;":$FK$"&amp;MATCH($E469,'0.0.2 Pokémon Learnset (Core)'!$A$1:$A951,0)),'Reverse Search'!$J$21)),IF($D$2=2,COUNTIF(INDIRECT("'0.1.1 Pokémon GO Moves'!$B$"&amp;MATCH($E469,'0.1.1 Pokémon GO Moves'!$A$1:$A951,0)&amp;":$R$"&amp;MATCH($E469,'0.1.1 Pokémon GO Moves'!$A$1:$A951,0)),'Reverse Search'!$J$21),COUNTIF(INDIRECT("'0.1.1 Pokémon GO Moves'!$B$"&amp;MATCH($E469,'0.1.1 Pokémon GO Moves'!$A$1:$A951,0)&amp;":$L$"&amp;MATCH($E469,'0.1.1 Pokémon GO Moves'!$A$1:$A951,0)),'Reverse Search'!$J$21)))))</f>
        <v>0</v>
      </c>
      <c r="AB469" s="490"/>
      <c r="AC469" s="260" t="n">
        <f aca="false">IF((Q469+R469+S469+V469+W469+X469+Y469+IF(Z469&gt;=1,1,0)+IF(AA469&gt;=1,1,0))=9,G469&amp;", ",)</f>
        <v>0</v>
      </c>
    </row>
    <row r="470" customFormat="false" ht="15.75" hidden="false" customHeight="false" outlineLevel="0" collapsed="false">
      <c r="A470" s="260"/>
      <c r="B470" s="358"/>
      <c r="C470" s="260"/>
      <c r="D470" s="358"/>
      <c r="E470" s="260" t="n">
        <v>469</v>
      </c>
      <c r="F470" s="260" t="n">
        <f aca="false" t="array" ref="F470:F470">INDEX('0.0.1 Pokémon Dex Data'!$H$3:$H951,MATCH(E470,'0.0.1 Pokémon Dex Data'!$B$3:$B951,0))</f>
        <v>0</v>
      </c>
      <c r="G470" s="0" t="str">
        <f aca="false" t="array" ref="G470:G470">INDEX('0.0.1 Pokémon Dex Data'!$E$3:$E951,MATCH(E470,'0.0.1 Pokémon Dex Data'!$B$3:$B951,0))</f>
        <v>Kricketune</v>
      </c>
      <c r="H470" s="0" t="str">
        <f aca="false" t="array" ref="H470:H470">INDEX('0.0.1 Pokémon Dex Data'!$Q$3:$Q951,MATCH(E470,'0.0.1 Pokémon Dex Data'!$B$3:$B951,0))</f>
        <v>Bug</v>
      </c>
      <c r="I470" s="0" t="n">
        <f aca="false">INDEX('0.0.1 Pokémon Dex Data'!$R$3:$R951,MATCH(E470,'0.0.1 Pokémon Dex Data'!$B$3:$B951,0))</f>
        <v>0</v>
      </c>
      <c r="J470" s="260" t="n">
        <f aca="false" t="array" ref="J470:J470">ROUND(INDEX('0.0.1 Pokémon Dex Data'!$S$3:$S951,MATCH($E470,'0.0.1 Pokémon Dex Data'!$B$3:$B951,0))*INDEX('0.0.1 Pokémon Dex Data'!T$3:T951,MATCH($E470,'0.0.1 Pokémon Dex Data'!$B$3:$B951,0)),0)</f>
        <v>160</v>
      </c>
      <c r="K470" s="260" t="n">
        <f aca="false" t="array" ref="K470:K470">ROUND(INDEX('0.0.1 Pokémon Dex Data'!$S$3:$S951,MATCH($E470,'0.0.1 Pokémon Dex Data'!$B$3:$B951,0))*INDEX('0.0.1 Pokémon Dex Data'!U$3:U951,MATCH($E470,'0.0.1 Pokémon Dex Data'!$B$3:$B951,0)),0)</f>
        <v>100</v>
      </c>
      <c r="L470" s="260" t="n">
        <f aca="false" t="array" ref="L470:L470">ROUND(INDEX('0.0.1 Pokémon Dex Data'!$S$3:$S951,MATCH($E470,'0.0.1 Pokémon Dex Data'!$B$3:$B951,0))*INDEX('0.0.1 Pokémon Dex Data'!V$3:V951,MATCH($E470,'0.0.1 Pokémon Dex Data'!$B$3:$B951,0)),0)</f>
        <v>184</v>
      </c>
      <c r="M470" s="260" t="n">
        <f aca="false" t="array" ref="M470:M470">INDEX('0.0.1 Pokémon Dex Data'!$J$3:$J951,MATCH(E470,'0.0.1 Pokémon Dex Data'!$B$3:$B951,0))</f>
        <v>1</v>
      </c>
      <c r="O470" s="490"/>
      <c r="Q470" s="367" t="n">
        <f aca="false">IF('Reverse Search'!$F$4="All (including temporary formes)",1,IF('Reverse Search'!$F$4="Base Pokémon and permanent formes only",IF(F470&lt;=1,1,0),IF(F470=0,1,0)))</f>
        <v>1</v>
      </c>
      <c r="R470" s="0" t="n">
        <f aca="false">IF('Reverse Search'!$C$7="Disable",1,IF('Reverse Search'!$D$9="Disable",1,IF(OR('Reverse Search'!$F$9=H470,'Reverse Search'!$F$9=I470),1,0)))</f>
        <v>1</v>
      </c>
      <c r="S470" s="0" t="n">
        <f aca="false">IF('Reverse Search'!$C$7="Disable",1,IF('Reverse Search'!$D$10="Disable",1,IF(OR('Reverse Search'!$F$10=H470,'Reverse Search'!$F$10=I470),1,0)))</f>
        <v>1</v>
      </c>
      <c r="T470" s="0" t="n">
        <f aca="false">INDEX($B$4:$B$22,MATCH(H470,$A$4:$A$22,0))</f>
        <v>1</v>
      </c>
      <c r="U470" s="0" t="e">
        <f aca="false">IF(ISBLANK(I470),1,INDEX($B$4:$B$22,MATCH(I470,$A$4:$A$22,0)))</f>
        <v>#N/A</v>
      </c>
      <c r="V470" s="367" t="n">
        <f aca="false">IF('Reverse Search'!$C$7="Disable",1,IF('Reverse Search'!$D$11="Disable",1,IF('Reverse Search'!$E$11="Neutral to:",IF(ROUND(T470*U470,2)&lt;=1,1,0),IF(ROUND(T470*U470,2)&lt;1,1,0))))</f>
        <v>1</v>
      </c>
      <c r="W470" s="0" t="n">
        <f aca="false">IF('Reverse Search'!$N$7="Disable",1,IF('Reverse Search'!$I$9="Disable",1,IF('Reverse Search'!$K$9="≥",IF(J470&gt;='Reverse Search'!$L$9,1,0),IF('Reverse Search'!$K$9="≤",IF(J470&lt;='Reverse Search'!$L$9,1,0),IF(J470='Reverse Search'!$L$9,1,0)))))</f>
        <v>1</v>
      </c>
      <c r="X470" s="0" t="n">
        <f aca="false">IF('Reverse Search'!$N$7="Disable",1,IF('Reverse Search'!$I$10="Disable",1,IF('Reverse Search'!$K$10="≥",IF(K470&gt;='Reverse Search'!$L$10,1,0),IF('Reverse Search'!$K$10="≤",IF(K470&lt;='Reverse Search'!$L$10,1,0),IF(K470='Reverse Search'!$L$10,1,0)))))</f>
        <v>1</v>
      </c>
      <c r="Y470" s="367" t="n">
        <f aca="false">IF('Reverse Search'!$N$7="Disable",1,IF('Reverse Search'!$I$11="Disable",1,IF('Reverse Search'!$K$11="≥",IF(L470&gt;='Reverse Search'!$L$11,1,0),IF('Reverse Search'!$K$11="≤",IF(L470&lt;='Reverse Search'!$L$11,1,0),IF(L470='Reverse Search'!$L$11,1,0)))))</f>
        <v>1</v>
      </c>
      <c r="Z470" s="0" t="n">
        <f aca="true">IF('Reverse Search'!$C$14="Disable",1,IF('Reverse Search'!$D$16="Disable",1,IF($C$2=3,IF($M470=0,0,COUNTIF(INDIRECT("'0.0.2 Pokémon Learnset (Core)'!$D$"&amp;MATCH($E470,'0.0.2 Pokémon Learnset (Core)'!$A$1:$A951,0)&amp;":$FK$"&amp;MATCH($E470,'0.0.2 Pokémon Learnset (Core)'!$A$1:$A951,0)),'Reverse Search'!$E$21)),IF($C$2=2,COUNTIF(INDIRECT("'0.1.1 Pokémon GO Moves'!$B$"&amp;MATCH($E470,'0.1.1 Pokémon GO Moves'!$A$1:$A951,0)&amp;":$R$"&amp;MATCH($E470,'0.1.1 Pokémon GO Moves'!$A$1:$A951,0)),'Reverse Search'!$E$21),COUNTIF(INDIRECT("'0.1.1 Pokémon GO Moves'!$B$"&amp;MATCH($E470,'0.1.1 Pokémon GO Moves'!$A$1:$A951,0)&amp;":$L$"&amp;MATCH($E470,'0.1.1 Pokémon GO Moves'!$A$1:$A951,0)),'Reverse Search'!$E$21)))))</f>
        <v>1</v>
      </c>
      <c r="AA470" s="0" t="n">
        <f aca="true">IF('Reverse Search'!$C$14="Disable",1,IF('Reverse Search'!$I$16="Disable",1,IF($D$2=3,IF($M470=0,0,COUNTIF(INDIRECT("'0.0.2 Pokémon Learnset (Core)'!$D$"&amp;MATCH($E470,'0.0.2 Pokémon Learnset (Core)'!$A$1:$A951,0)&amp;":$FK$"&amp;MATCH($E470,'0.0.2 Pokémon Learnset (Core)'!$A$1:$A951,0)),'Reverse Search'!$J$21)),IF($D$2=2,COUNTIF(INDIRECT("'0.1.1 Pokémon GO Moves'!$B$"&amp;MATCH($E470,'0.1.1 Pokémon GO Moves'!$A$1:$A951,0)&amp;":$R$"&amp;MATCH($E470,'0.1.1 Pokémon GO Moves'!$A$1:$A951,0)),'Reverse Search'!$J$21),COUNTIF(INDIRECT("'0.1.1 Pokémon GO Moves'!$B$"&amp;MATCH($E470,'0.1.1 Pokémon GO Moves'!$A$1:$A951,0)&amp;":$L$"&amp;MATCH($E470,'0.1.1 Pokémon GO Moves'!$A$1:$A951,0)),'Reverse Search'!$J$21)))))</f>
        <v>0</v>
      </c>
      <c r="AB470" s="490"/>
      <c r="AC470" s="260" t="n">
        <f aca="false">IF((Q470+R470+S470+V470+W470+X470+Y470+IF(Z470&gt;=1,1,0)+IF(AA470&gt;=1,1,0))=9,G470&amp;", ",)</f>
        <v>0</v>
      </c>
    </row>
    <row r="471" customFormat="false" ht="15.75" hidden="false" customHeight="false" outlineLevel="0" collapsed="false">
      <c r="A471" s="260"/>
      <c r="B471" s="358"/>
      <c r="C471" s="260"/>
      <c r="D471" s="358"/>
      <c r="E471" s="260" t="n">
        <v>470</v>
      </c>
      <c r="F471" s="260" t="n">
        <f aca="false" t="array" ref="F471:F471">INDEX('0.0.1 Pokémon Dex Data'!$H$3:$H951,MATCH(E471,'0.0.1 Pokémon Dex Data'!$B$3:$B951,0))</f>
        <v>0</v>
      </c>
      <c r="G471" s="0" t="str">
        <f aca="false" t="array" ref="G471:G471">INDEX('0.0.1 Pokémon Dex Data'!$E$3:$E951,MATCH(E471,'0.0.1 Pokémon Dex Data'!$B$3:$B951,0))</f>
        <v>Shinx</v>
      </c>
      <c r="H471" s="0" t="str">
        <f aca="false" t="array" ref="H471:H471">INDEX('0.0.1 Pokémon Dex Data'!$Q$3:$Q951,MATCH(E471,'0.0.1 Pokémon Dex Data'!$B$3:$B951,0))</f>
        <v>Electric</v>
      </c>
      <c r="I471" s="0" t="n">
        <f aca="false">INDEX('0.0.1 Pokémon Dex Data'!$R$3:$R951,MATCH(E471,'0.0.1 Pokémon Dex Data'!$B$3:$B951,0))</f>
        <v>0</v>
      </c>
      <c r="J471" s="260" t="n">
        <f aca="false" t="array" ref="J471:J471">ROUND(INDEX('0.0.1 Pokémon Dex Data'!$S$3:$S951,MATCH($E471,'0.0.1 Pokémon Dex Data'!$B$3:$B951,0))*INDEX('0.0.1 Pokémon Dex Data'!T$3:T951,MATCH($E471,'0.0.1 Pokémon Dex Data'!$B$3:$B951,0)),0)</f>
        <v>117</v>
      </c>
      <c r="K471" s="260" t="n">
        <f aca="false" t="array" ref="K471:K471">ROUND(INDEX('0.0.1 Pokémon Dex Data'!$S$3:$S951,MATCH($E471,'0.0.1 Pokémon Dex Data'!$B$3:$B951,0))*INDEX('0.0.1 Pokémon Dex Data'!U$3:U951,MATCH($E471,'0.0.1 Pokémon Dex Data'!$B$3:$B951,0)),0)</f>
        <v>64</v>
      </c>
      <c r="L471" s="260" t="n">
        <f aca="false" t="array" ref="L471:L471">ROUND(INDEX('0.0.1 Pokémon Dex Data'!$S$3:$S951,MATCH($E471,'0.0.1 Pokémon Dex Data'!$B$3:$B951,0))*INDEX('0.0.1 Pokémon Dex Data'!V$3:V951,MATCH($E471,'0.0.1 Pokémon Dex Data'!$B$3:$B951,0)),0)</f>
        <v>128</v>
      </c>
      <c r="M471" s="260" t="n">
        <f aca="false" t="array" ref="M471:M471">INDEX('0.0.1 Pokémon Dex Data'!$J$3:$J951,MATCH(E471,'0.0.1 Pokémon Dex Data'!$B$3:$B951,0))</f>
        <v>0</v>
      </c>
      <c r="O471" s="490"/>
      <c r="Q471" s="367" t="n">
        <f aca="false">IF('Reverse Search'!$F$4="All (including temporary formes)",1,IF('Reverse Search'!$F$4="Base Pokémon and permanent formes only",IF(F471&lt;=1,1,0),IF(F471=0,1,0)))</f>
        <v>1</v>
      </c>
      <c r="R471" s="0" t="n">
        <f aca="false">IF('Reverse Search'!$C$7="Disable",1,IF('Reverse Search'!$D$9="Disable",1,IF(OR('Reverse Search'!$F$9=H471,'Reverse Search'!$F$9=I471),1,0)))</f>
        <v>1</v>
      </c>
      <c r="S471" s="0" t="n">
        <f aca="false">IF('Reverse Search'!$C$7="Disable",1,IF('Reverse Search'!$D$10="Disable",1,IF(OR('Reverse Search'!$F$10=H471,'Reverse Search'!$F$10=I471),1,0)))</f>
        <v>1</v>
      </c>
      <c r="T471" s="0" t="n">
        <f aca="false">INDEX($B$4:$B$22,MATCH(H471,$A$4:$A$22,0))</f>
        <v>1</v>
      </c>
      <c r="U471" s="0" t="e">
        <f aca="false">IF(ISBLANK(I471),1,INDEX($B$4:$B$22,MATCH(I471,$A$4:$A$22,0)))</f>
        <v>#N/A</v>
      </c>
      <c r="V471" s="367" t="n">
        <f aca="false">IF('Reverse Search'!$C$7="Disable",1,IF('Reverse Search'!$D$11="Disable",1,IF('Reverse Search'!$E$11="Neutral to:",IF(ROUND(T471*U471,2)&lt;=1,1,0),IF(ROUND(T471*U471,2)&lt;1,1,0))))</f>
        <v>1</v>
      </c>
      <c r="W471" s="0" t="n">
        <f aca="false">IF('Reverse Search'!$N$7="Disable",1,IF('Reverse Search'!$I$9="Disable",1,IF('Reverse Search'!$K$9="≥",IF(J471&gt;='Reverse Search'!$L$9,1,0),IF('Reverse Search'!$K$9="≤",IF(J471&lt;='Reverse Search'!$L$9,1,0),IF(J471='Reverse Search'!$L$9,1,0)))))</f>
        <v>1</v>
      </c>
      <c r="X471" s="0" t="n">
        <f aca="false">IF('Reverse Search'!$N$7="Disable",1,IF('Reverse Search'!$I$10="Disable",1,IF('Reverse Search'!$K$10="≥",IF(K471&gt;='Reverse Search'!$L$10,1,0),IF('Reverse Search'!$K$10="≤",IF(K471&lt;='Reverse Search'!$L$10,1,0),IF(K471='Reverse Search'!$L$10,1,0)))))</f>
        <v>1</v>
      </c>
      <c r="Y471" s="367" t="n">
        <f aca="false">IF('Reverse Search'!$N$7="Disable",1,IF('Reverse Search'!$I$11="Disable",1,IF('Reverse Search'!$K$11="≥",IF(L471&gt;='Reverse Search'!$L$11,1,0),IF('Reverse Search'!$K$11="≤",IF(L471&lt;='Reverse Search'!$L$11,1,0),IF(L471='Reverse Search'!$L$11,1,0)))))</f>
        <v>1</v>
      </c>
      <c r="Z471" s="0" t="n">
        <f aca="true">IF('Reverse Search'!$C$14="Disable",1,IF('Reverse Search'!$D$16="Disable",1,IF($C$2=3,IF($M471=0,0,COUNTIF(INDIRECT("'0.0.2 Pokémon Learnset (Core)'!$D$"&amp;MATCH($E471,'0.0.2 Pokémon Learnset (Core)'!$A$1:$A951,0)&amp;":$FK$"&amp;MATCH($E471,'0.0.2 Pokémon Learnset (Core)'!$A$1:$A951,0)),'Reverse Search'!$E$21)),IF($C$2=2,COUNTIF(INDIRECT("'0.1.1 Pokémon GO Moves'!$B$"&amp;MATCH($E471,'0.1.1 Pokémon GO Moves'!$A$1:$A951,0)&amp;":$R$"&amp;MATCH($E471,'0.1.1 Pokémon GO Moves'!$A$1:$A951,0)),'Reverse Search'!$E$21),COUNTIF(INDIRECT("'0.1.1 Pokémon GO Moves'!$B$"&amp;MATCH($E471,'0.1.1 Pokémon GO Moves'!$A$1:$A951,0)&amp;":$L$"&amp;MATCH($E471,'0.1.1 Pokémon GO Moves'!$A$1:$A951,0)),'Reverse Search'!$E$21)))))</f>
        <v>1</v>
      </c>
      <c r="AA471" s="0" t="n">
        <f aca="true">IF('Reverse Search'!$C$14="Disable",1,IF('Reverse Search'!$I$16="Disable",1,IF($D$2=3,IF($M471=0,0,COUNTIF(INDIRECT("'0.0.2 Pokémon Learnset (Core)'!$D$"&amp;MATCH($E471,'0.0.2 Pokémon Learnset (Core)'!$A$1:$A951,0)&amp;":$FK$"&amp;MATCH($E471,'0.0.2 Pokémon Learnset (Core)'!$A$1:$A951,0)),'Reverse Search'!$J$21)),IF($D$2=2,COUNTIF(INDIRECT("'0.1.1 Pokémon GO Moves'!$B$"&amp;MATCH($E471,'0.1.1 Pokémon GO Moves'!$A$1:$A951,0)&amp;":$R$"&amp;MATCH($E471,'0.1.1 Pokémon GO Moves'!$A$1:$A951,0)),'Reverse Search'!$J$21),COUNTIF(INDIRECT("'0.1.1 Pokémon GO Moves'!$B$"&amp;MATCH($E471,'0.1.1 Pokémon GO Moves'!$A$1:$A951,0)&amp;":$L$"&amp;MATCH($E471,'0.1.1 Pokémon GO Moves'!$A$1:$A951,0)),'Reverse Search'!$J$21)))))</f>
        <v>0</v>
      </c>
      <c r="AB471" s="490"/>
      <c r="AC471" s="260" t="n">
        <f aca="false">IF((Q471+R471+S471+V471+W471+X471+Y471+IF(Z471&gt;=1,1,0)+IF(AA471&gt;=1,1,0))=9,G471&amp;", ",)</f>
        <v>0</v>
      </c>
    </row>
    <row r="472" customFormat="false" ht="15.75" hidden="false" customHeight="false" outlineLevel="0" collapsed="false">
      <c r="A472" s="260"/>
      <c r="B472" s="358"/>
      <c r="C472" s="260"/>
      <c r="D472" s="358"/>
      <c r="E472" s="260" t="n">
        <v>471</v>
      </c>
      <c r="F472" s="260" t="n">
        <f aca="false" t="array" ref="F472:F472">INDEX('0.0.1 Pokémon Dex Data'!$H$3:$H951,MATCH(E472,'0.0.1 Pokémon Dex Data'!$B$3:$B951,0))</f>
        <v>0</v>
      </c>
      <c r="G472" s="0" t="str">
        <f aca="false" t="array" ref="G472:G472">INDEX('0.0.1 Pokémon Dex Data'!$E$3:$E951,MATCH(E472,'0.0.1 Pokémon Dex Data'!$B$3:$B951,0))</f>
        <v>Luxio</v>
      </c>
      <c r="H472" s="0" t="str">
        <f aca="false" t="array" ref="H472:H472">INDEX('0.0.1 Pokémon Dex Data'!$Q$3:$Q951,MATCH(E472,'0.0.1 Pokémon Dex Data'!$B$3:$B951,0))</f>
        <v>Electric</v>
      </c>
      <c r="I472" s="0" t="n">
        <f aca="false">INDEX('0.0.1 Pokémon Dex Data'!$R$3:$R951,MATCH(E472,'0.0.1 Pokémon Dex Data'!$B$3:$B951,0))</f>
        <v>0</v>
      </c>
      <c r="J472" s="260" t="n">
        <f aca="false" t="array" ref="J472:J472">ROUND(INDEX('0.0.1 Pokémon Dex Data'!$S$3:$S951,MATCH($E472,'0.0.1 Pokémon Dex Data'!$B$3:$B951,0))*INDEX('0.0.1 Pokémon Dex Data'!T$3:T951,MATCH($E472,'0.0.1 Pokémon Dex Data'!$B$3:$B951,0)),0)</f>
        <v>159</v>
      </c>
      <c r="K472" s="260" t="n">
        <f aca="false" t="array" ref="K472:K472">ROUND(INDEX('0.0.1 Pokémon Dex Data'!$S$3:$S951,MATCH($E472,'0.0.1 Pokémon Dex Data'!$B$3:$B951,0))*INDEX('0.0.1 Pokémon Dex Data'!U$3:U951,MATCH($E472,'0.0.1 Pokémon Dex Data'!$B$3:$B951,0)),0)</f>
        <v>95</v>
      </c>
      <c r="L472" s="260" t="n">
        <f aca="false" t="array" ref="L472:L472">ROUND(INDEX('0.0.1 Pokémon Dex Data'!$S$3:$S951,MATCH($E472,'0.0.1 Pokémon Dex Data'!$B$3:$B951,0))*INDEX('0.0.1 Pokémon Dex Data'!V$3:V951,MATCH($E472,'0.0.1 Pokémon Dex Data'!$B$3:$B951,0)),0)</f>
        <v>155</v>
      </c>
      <c r="M472" s="260" t="n">
        <f aca="false" t="array" ref="M472:M472">INDEX('0.0.1 Pokémon Dex Data'!$J$3:$J951,MATCH(E472,'0.0.1 Pokémon Dex Data'!$B$3:$B951,0))</f>
        <v>0</v>
      </c>
      <c r="O472" s="490"/>
      <c r="Q472" s="367" t="n">
        <f aca="false">IF('Reverse Search'!$F$4="All (including temporary formes)",1,IF('Reverse Search'!$F$4="Base Pokémon and permanent formes only",IF(F472&lt;=1,1,0),IF(F472=0,1,0)))</f>
        <v>1</v>
      </c>
      <c r="R472" s="0" t="n">
        <f aca="false">IF('Reverse Search'!$C$7="Disable",1,IF('Reverse Search'!$D$9="Disable",1,IF(OR('Reverse Search'!$F$9=H472,'Reverse Search'!$F$9=I472),1,0)))</f>
        <v>1</v>
      </c>
      <c r="S472" s="0" t="n">
        <f aca="false">IF('Reverse Search'!$C$7="Disable",1,IF('Reverse Search'!$D$10="Disable",1,IF(OR('Reverse Search'!$F$10=H472,'Reverse Search'!$F$10=I472),1,0)))</f>
        <v>1</v>
      </c>
      <c r="T472" s="0" t="n">
        <f aca="false">INDEX($B$4:$B$22,MATCH(H472,$A$4:$A$22,0))</f>
        <v>1</v>
      </c>
      <c r="U472" s="0" t="e">
        <f aca="false">IF(ISBLANK(I472),1,INDEX($B$4:$B$22,MATCH(I472,$A$4:$A$22,0)))</f>
        <v>#N/A</v>
      </c>
      <c r="V472" s="367" t="n">
        <f aca="false">IF('Reverse Search'!$C$7="Disable",1,IF('Reverse Search'!$D$11="Disable",1,IF('Reverse Search'!$E$11="Neutral to:",IF(ROUND(T472*U472,2)&lt;=1,1,0),IF(ROUND(T472*U472,2)&lt;1,1,0))))</f>
        <v>1</v>
      </c>
      <c r="W472" s="0" t="n">
        <f aca="false">IF('Reverse Search'!$N$7="Disable",1,IF('Reverse Search'!$I$9="Disable",1,IF('Reverse Search'!$K$9="≥",IF(J472&gt;='Reverse Search'!$L$9,1,0),IF('Reverse Search'!$K$9="≤",IF(J472&lt;='Reverse Search'!$L$9,1,0),IF(J472='Reverse Search'!$L$9,1,0)))))</f>
        <v>1</v>
      </c>
      <c r="X472" s="0" t="n">
        <f aca="false">IF('Reverse Search'!$N$7="Disable",1,IF('Reverse Search'!$I$10="Disable",1,IF('Reverse Search'!$K$10="≥",IF(K472&gt;='Reverse Search'!$L$10,1,0),IF('Reverse Search'!$K$10="≤",IF(K472&lt;='Reverse Search'!$L$10,1,0),IF(K472='Reverse Search'!$L$10,1,0)))))</f>
        <v>1</v>
      </c>
      <c r="Y472" s="367" t="n">
        <f aca="false">IF('Reverse Search'!$N$7="Disable",1,IF('Reverse Search'!$I$11="Disable",1,IF('Reverse Search'!$K$11="≥",IF(L472&gt;='Reverse Search'!$L$11,1,0),IF('Reverse Search'!$K$11="≤",IF(L472&lt;='Reverse Search'!$L$11,1,0),IF(L472='Reverse Search'!$L$11,1,0)))))</f>
        <v>1</v>
      </c>
      <c r="Z472" s="0" t="n">
        <f aca="true">IF('Reverse Search'!$C$14="Disable",1,IF('Reverse Search'!$D$16="Disable",1,IF($C$2=3,IF($M472=0,0,COUNTIF(INDIRECT("'0.0.2 Pokémon Learnset (Core)'!$D$"&amp;MATCH($E472,'0.0.2 Pokémon Learnset (Core)'!$A$1:$A951,0)&amp;":$FK$"&amp;MATCH($E472,'0.0.2 Pokémon Learnset (Core)'!$A$1:$A951,0)),'Reverse Search'!$E$21)),IF($C$2=2,COUNTIF(INDIRECT("'0.1.1 Pokémon GO Moves'!$B$"&amp;MATCH($E472,'0.1.1 Pokémon GO Moves'!$A$1:$A951,0)&amp;":$R$"&amp;MATCH($E472,'0.1.1 Pokémon GO Moves'!$A$1:$A951,0)),'Reverse Search'!$E$21),COUNTIF(INDIRECT("'0.1.1 Pokémon GO Moves'!$B$"&amp;MATCH($E472,'0.1.1 Pokémon GO Moves'!$A$1:$A951,0)&amp;":$L$"&amp;MATCH($E472,'0.1.1 Pokémon GO Moves'!$A$1:$A951,0)),'Reverse Search'!$E$21)))))</f>
        <v>1</v>
      </c>
      <c r="AA472" s="0" t="n">
        <f aca="true">IF('Reverse Search'!$C$14="Disable",1,IF('Reverse Search'!$I$16="Disable",1,IF($D$2=3,IF($M472=0,0,COUNTIF(INDIRECT("'0.0.2 Pokémon Learnset (Core)'!$D$"&amp;MATCH($E472,'0.0.2 Pokémon Learnset (Core)'!$A$1:$A951,0)&amp;":$FK$"&amp;MATCH($E472,'0.0.2 Pokémon Learnset (Core)'!$A$1:$A951,0)),'Reverse Search'!$J$21)),IF($D$2=2,COUNTIF(INDIRECT("'0.1.1 Pokémon GO Moves'!$B$"&amp;MATCH($E472,'0.1.1 Pokémon GO Moves'!$A$1:$A951,0)&amp;":$R$"&amp;MATCH($E472,'0.1.1 Pokémon GO Moves'!$A$1:$A951,0)),'Reverse Search'!$J$21),COUNTIF(INDIRECT("'0.1.1 Pokémon GO Moves'!$B$"&amp;MATCH($E472,'0.1.1 Pokémon GO Moves'!$A$1:$A951,0)&amp;":$L$"&amp;MATCH($E472,'0.1.1 Pokémon GO Moves'!$A$1:$A951,0)),'Reverse Search'!$J$21)))))</f>
        <v>0</v>
      </c>
      <c r="AB472" s="490"/>
      <c r="AC472" s="260" t="n">
        <f aca="false">IF((Q472+R472+S472+V472+W472+X472+Y472+IF(Z472&gt;=1,1,0)+IF(AA472&gt;=1,1,0))=9,G472&amp;", ",)</f>
        <v>0</v>
      </c>
    </row>
    <row r="473" customFormat="false" ht="15.75" hidden="false" customHeight="false" outlineLevel="0" collapsed="false">
      <c r="A473" s="260"/>
      <c r="B473" s="358"/>
      <c r="C473" s="260"/>
      <c r="D473" s="358"/>
      <c r="E473" s="260" t="n">
        <v>472</v>
      </c>
      <c r="F473" s="260" t="n">
        <f aca="false" t="array" ref="F473:F473">INDEX('0.0.1 Pokémon Dex Data'!$H$3:$H951,MATCH(E473,'0.0.1 Pokémon Dex Data'!$B$3:$B951,0))</f>
        <v>0</v>
      </c>
      <c r="G473" s="0" t="str">
        <f aca="false" t="array" ref="G473:G473">INDEX('0.0.1 Pokémon Dex Data'!$E$3:$E951,MATCH(E473,'0.0.1 Pokémon Dex Data'!$B$3:$B951,0))</f>
        <v>Luxray</v>
      </c>
      <c r="H473" s="0" t="str">
        <f aca="false" t="array" ref="H473:H473">INDEX('0.0.1 Pokémon Dex Data'!$Q$3:$Q951,MATCH(E473,'0.0.1 Pokémon Dex Data'!$B$3:$B951,0))</f>
        <v>Electric</v>
      </c>
      <c r="I473" s="0" t="n">
        <f aca="false">INDEX('0.0.1 Pokémon Dex Data'!$R$3:$R951,MATCH(E473,'0.0.1 Pokémon Dex Data'!$B$3:$B951,0))</f>
        <v>0</v>
      </c>
      <c r="J473" s="260" t="n">
        <f aca="false" t="array" ref="J473:J473">ROUND(INDEX('0.0.1 Pokémon Dex Data'!$S$3:$S951,MATCH($E473,'0.0.1 Pokémon Dex Data'!$B$3:$B951,0))*INDEX('0.0.1 Pokémon Dex Data'!T$3:T951,MATCH($E473,'0.0.1 Pokémon Dex Data'!$B$3:$B951,0)),0)</f>
        <v>232</v>
      </c>
      <c r="K473" s="260" t="n">
        <f aca="false" t="array" ref="K473:K473">ROUND(INDEX('0.0.1 Pokémon Dex Data'!$S$3:$S951,MATCH($E473,'0.0.1 Pokémon Dex Data'!$B$3:$B951,0))*INDEX('0.0.1 Pokémon Dex Data'!U$3:U951,MATCH($E473,'0.0.1 Pokémon Dex Data'!$B$3:$B951,0)),0)</f>
        <v>156</v>
      </c>
      <c r="L473" s="260" t="n">
        <f aca="false" t="array" ref="L473:L473">ROUND(INDEX('0.0.1 Pokémon Dex Data'!$S$3:$S951,MATCH($E473,'0.0.1 Pokémon Dex Data'!$B$3:$B951,0))*INDEX('0.0.1 Pokémon Dex Data'!V$3:V951,MATCH($E473,'0.0.1 Pokémon Dex Data'!$B$3:$B951,0)),0)</f>
        <v>190</v>
      </c>
      <c r="M473" s="260" t="n">
        <f aca="false" t="array" ref="M473:M473">INDEX('0.0.1 Pokémon Dex Data'!$J$3:$J951,MATCH(E473,'0.0.1 Pokémon Dex Data'!$B$3:$B951,0))</f>
        <v>1</v>
      </c>
      <c r="O473" s="490"/>
      <c r="Q473" s="367" t="n">
        <f aca="false">IF('Reverse Search'!$F$4="All (including temporary formes)",1,IF('Reverse Search'!$F$4="Base Pokémon and permanent formes only",IF(F473&lt;=1,1,0),IF(F473=0,1,0)))</f>
        <v>1</v>
      </c>
      <c r="R473" s="0" t="n">
        <f aca="false">IF('Reverse Search'!$C$7="Disable",1,IF('Reverse Search'!$D$9="Disable",1,IF(OR('Reverse Search'!$F$9=H473,'Reverse Search'!$F$9=I473),1,0)))</f>
        <v>1</v>
      </c>
      <c r="S473" s="0" t="n">
        <f aca="false">IF('Reverse Search'!$C$7="Disable",1,IF('Reverse Search'!$D$10="Disable",1,IF(OR('Reverse Search'!$F$10=H473,'Reverse Search'!$F$10=I473),1,0)))</f>
        <v>1</v>
      </c>
      <c r="T473" s="0" t="n">
        <f aca="false">INDEX($B$4:$B$22,MATCH(H473,$A$4:$A$22,0))</f>
        <v>1</v>
      </c>
      <c r="U473" s="0" t="e">
        <f aca="false">IF(ISBLANK(I473),1,INDEX($B$4:$B$22,MATCH(I473,$A$4:$A$22,0)))</f>
        <v>#N/A</v>
      </c>
      <c r="V473" s="367" t="n">
        <f aca="false">IF('Reverse Search'!$C$7="Disable",1,IF('Reverse Search'!$D$11="Disable",1,IF('Reverse Search'!$E$11="Neutral to:",IF(ROUND(T473*U473,2)&lt;=1,1,0),IF(ROUND(T473*U473,2)&lt;1,1,0))))</f>
        <v>1</v>
      </c>
      <c r="W473" s="0" t="n">
        <f aca="false">IF('Reverse Search'!$N$7="Disable",1,IF('Reverse Search'!$I$9="Disable",1,IF('Reverse Search'!$K$9="≥",IF(J473&gt;='Reverse Search'!$L$9,1,0),IF('Reverse Search'!$K$9="≤",IF(J473&lt;='Reverse Search'!$L$9,1,0),IF(J473='Reverse Search'!$L$9,1,0)))))</f>
        <v>1</v>
      </c>
      <c r="X473" s="0" t="n">
        <f aca="false">IF('Reverse Search'!$N$7="Disable",1,IF('Reverse Search'!$I$10="Disable",1,IF('Reverse Search'!$K$10="≥",IF(K473&gt;='Reverse Search'!$L$10,1,0),IF('Reverse Search'!$K$10="≤",IF(K473&lt;='Reverse Search'!$L$10,1,0),IF(K473='Reverse Search'!$L$10,1,0)))))</f>
        <v>1</v>
      </c>
      <c r="Y473" s="367" t="n">
        <f aca="false">IF('Reverse Search'!$N$7="Disable",1,IF('Reverse Search'!$I$11="Disable",1,IF('Reverse Search'!$K$11="≥",IF(L473&gt;='Reverse Search'!$L$11,1,0),IF('Reverse Search'!$K$11="≤",IF(L473&lt;='Reverse Search'!$L$11,1,0),IF(L473='Reverse Search'!$L$11,1,0)))))</f>
        <v>1</v>
      </c>
      <c r="Z473" s="0" t="n">
        <f aca="true">IF('Reverse Search'!$C$14="Disable",1,IF('Reverse Search'!$D$16="Disable",1,IF($C$2=3,IF($M473=0,0,COUNTIF(INDIRECT("'0.0.2 Pokémon Learnset (Core)'!$D$"&amp;MATCH($E473,'0.0.2 Pokémon Learnset (Core)'!$A$1:$A951,0)&amp;":$FK$"&amp;MATCH($E473,'0.0.2 Pokémon Learnset (Core)'!$A$1:$A951,0)),'Reverse Search'!$E$21)),IF($C$2=2,COUNTIF(INDIRECT("'0.1.1 Pokémon GO Moves'!$B$"&amp;MATCH($E473,'0.1.1 Pokémon GO Moves'!$A$1:$A951,0)&amp;":$R$"&amp;MATCH($E473,'0.1.1 Pokémon GO Moves'!$A$1:$A951,0)),'Reverse Search'!$E$21),COUNTIF(INDIRECT("'0.1.1 Pokémon GO Moves'!$B$"&amp;MATCH($E473,'0.1.1 Pokémon GO Moves'!$A$1:$A951,0)&amp;":$L$"&amp;MATCH($E473,'0.1.1 Pokémon GO Moves'!$A$1:$A951,0)),'Reverse Search'!$E$21)))))</f>
        <v>1</v>
      </c>
      <c r="AA473" s="0" t="n">
        <f aca="true">IF('Reverse Search'!$C$14="Disable",1,IF('Reverse Search'!$I$16="Disable",1,IF($D$2=3,IF($M473=0,0,COUNTIF(INDIRECT("'0.0.2 Pokémon Learnset (Core)'!$D$"&amp;MATCH($E473,'0.0.2 Pokémon Learnset (Core)'!$A$1:$A951,0)&amp;":$FK$"&amp;MATCH($E473,'0.0.2 Pokémon Learnset (Core)'!$A$1:$A951,0)),'Reverse Search'!$J$21)),IF($D$2=2,COUNTIF(INDIRECT("'0.1.1 Pokémon GO Moves'!$B$"&amp;MATCH($E473,'0.1.1 Pokémon GO Moves'!$A$1:$A951,0)&amp;":$R$"&amp;MATCH($E473,'0.1.1 Pokémon GO Moves'!$A$1:$A951,0)),'Reverse Search'!$J$21),COUNTIF(INDIRECT("'0.1.1 Pokémon GO Moves'!$B$"&amp;MATCH($E473,'0.1.1 Pokémon GO Moves'!$A$1:$A951,0)&amp;":$L$"&amp;MATCH($E473,'0.1.1 Pokémon GO Moves'!$A$1:$A951,0)),'Reverse Search'!$J$21)))))</f>
        <v>0</v>
      </c>
      <c r="AB473" s="490"/>
      <c r="AC473" s="260" t="n">
        <f aca="false">IF((Q473+R473+S473+V473+W473+X473+Y473+IF(Z473&gt;=1,1,0)+IF(AA473&gt;=1,1,0))=9,G473&amp;", ",)</f>
        <v>0</v>
      </c>
    </row>
    <row r="474" customFormat="false" ht="15.75" hidden="false" customHeight="false" outlineLevel="0" collapsed="false">
      <c r="A474" s="260"/>
      <c r="B474" s="358"/>
      <c r="C474" s="260"/>
      <c r="D474" s="358"/>
      <c r="E474" s="260" t="n">
        <v>473</v>
      </c>
      <c r="F474" s="260" t="n">
        <f aca="false" t="array" ref="F474:F474">INDEX('0.0.1 Pokémon Dex Data'!$H$3:$H951,MATCH(E474,'0.0.1 Pokémon Dex Data'!$B$3:$B951,0))</f>
        <v>0</v>
      </c>
      <c r="G474" s="0" t="str">
        <f aca="false" t="array" ref="G474:G474">INDEX('0.0.1 Pokémon Dex Data'!$E$3:$E951,MATCH(E474,'0.0.1 Pokémon Dex Data'!$B$3:$B951,0))</f>
        <v>Budew</v>
      </c>
      <c r="H474" s="0" t="str">
        <f aca="false" t="array" ref="H474:H474">INDEX('0.0.1 Pokémon Dex Data'!$Q$3:$Q951,MATCH(E474,'0.0.1 Pokémon Dex Data'!$B$3:$B951,0))</f>
        <v>Grass</v>
      </c>
      <c r="I474" s="0" t="str">
        <f aca="false" t="array" ref="I474:I474">INDEX('0.0.1 Pokémon Dex Data'!$R$3:$R951,MATCH(E474,'0.0.1 Pokémon Dex Data'!$B$3:$B951,0))</f>
        <v>Poison</v>
      </c>
      <c r="J474" s="260" t="n">
        <f aca="false" t="array" ref="J474:J474">ROUND(INDEX('0.0.1 Pokémon Dex Data'!$S$3:$S951,MATCH($E474,'0.0.1 Pokémon Dex Data'!$B$3:$B951,0))*INDEX('0.0.1 Pokémon Dex Data'!T$3:T951,MATCH($E474,'0.0.1 Pokémon Dex Data'!$B$3:$B951,0)),0)</f>
        <v>91</v>
      </c>
      <c r="K474" s="260" t="n">
        <f aca="false" t="array" ref="K474:K474">ROUND(INDEX('0.0.1 Pokémon Dex Data'!$S$3:$S951,MATCH($E474,'0.0.1 Pokémon Dex Data'!$B$3:$B951,0))*INDEX('0.0.1 Pokémon Dex Data'!U$3:U951,MATCH($E474,'0.0.1 Pokémon Dex Data'!$B$3:$B951,0)),0)</f>
        <v>109</v>
      </c>
      <c r="L474" s="260" t="n">
        <f aca="false" t="array" ref="L474:L474">ROUND(INDEX('0.0.1 Pokémon Dex Data'!$S$3:$S951,MATCH($E474,'0.0.1 Pokémon Dex Data'!$B$3:$B951,0))*INDEX('0.0.1 Pokémon Dex Data'!V$3:V951,MATCH($E474,'0.0.1 Pokémon Dex Data'!$B$3:$B951,0)),0)</f>
        <v>120</v>
      </c>
      <c r="M474" s="260" t="n">
        <f aca="false" t="array" ref="M474:M474">INDEX('0.0.1 Pokémon Dex Data'!$J$3:$J951,MATCH(E474,'0.0.1 Pokémon Dex Data'!$B$3:$B951,0))</f>
        <v>0</v>
      </c>
      <c r="O474" s="490"/>
      <c r="Q474" s="367" t="n">
        <f aca="false">IF('Reverse Search'!$F$4="All (including temporary formes)",1,IF('Reverse Search'!$F$4="Base Pokémon and permanent formes only",IF(F474&lt;=1,1,0),IF(F474=0,1,0)))</f>
        <v>1</v>
      </c>
      <c r="R474" s="0" t="n">
        <f aca="false">IF('Reverse Search'!$C$7="Disable",1,IF('Reverse Search'!$D$9="Disable",1,IF(OR('Reverse Search'!$F$9=H474,'Reverse Search'!$F$9=I474),1,0)))</f>
        <v>1</v>
      </c>
      <c r="S474" s="0" t="n">
        <f aca="false">IF('Reverse Search'!$C$7="Disable",1,IF('Reverse Search'!$D$10="Disable",1,IF(OR('Reverse Search'!$F$10=H474,'Reverse Search'!$F$10=I474),1,0)))</f>
        <v>1</v>
      </c>
      <c r="T474" s="0" t="n">
        <f aca="false">INDEX($B$4:$B$22,MATCH(H474,$A$4:$A$22,0))</f>
        <v>1</v>
      </c>
      <c r="U474" s="0" t="n">
        <f aca="false">IF(ISBLANK(I474),1,INDEX($B$4:$B$22,MATCH(I474,$A$4:$A$22,0)))</f>
        <v>1</v>
      </c>
      <c r="V474" s="367" t="n">
        <f aca="false">IF('Reverse Search'!$C$7="Disable",1,IF('Reverse Search'!$D$11="Disable",1,IF('Reverse Search'!$E$11="Neutral to:",IF(ROUND(T474*U474,2)&lt;=1,1,0),IF(ROUND(T474*U474,2)&lt;1,1,0))))</f>
        <v>1</v>
      </c>
      <c r="W474" s="0" t="n">
        <f aca="false">IF('Reverse Search'!$N$7="Disable",1,IF('Reverse Search'!$I$9="Disable",1,IF('Reverse Search'!$K$9="≥",IF(J474&gt;='Reverse Search'!$L$9,1,0),IF('Reverse Search'!$K$9="≤",IF(J474&lt;='Reverse Search'!$L$9,1,0),IF(J474='Reverse Search'!$L$9,1,0)))))</f>
        <v>1</v>
      </c>
      <c r="X474" s="0" t="n">
        <f aca="false">IF('Reverse Search'!$N$7="Disable",1,IF('Reverse Search'!$I$10="Disable",1,IF('Reverse Search'!$K$10="≥",IF(K474&gt;='Reverse Search'!$L$10,1,0),IF('Reverse Search'!$K$10="≤",IF(K474&lt;='Reverse Search'!$L$10,1,0),IF(K474='Reverse Search'!$L$10,1,0)))))</f>
        <v>1</v>
      </c>
      <c r="Y474" s="367" t="n">
        <f aca="false">IF('Reverse Search'!$N$7="Disable",1,IF('Reverse Search'!$I$11="Disable",1,IF('Reverse Search'!$K$11="≥",IF(L474&gt;='Reverse Search'!$L$11,1,0),IF('Reverse Search'!$K$11="≤",IF(L474&lt;='Reverse Search'!$L$11,1,0),IF(L474='Reverse Search'!$L$11,1,0)))))</f>
        <v>1</v>
      </c>
      <c r="Z474" s="0" t="n">
        <f aca="true">IF('Reverse Search'!$C$14="Disable",1,IF('Reverse Search'!$D$16="Disable",1,IF($C$2=3,IF($M474=0,0,COUNTIF(INDIRECT("'0.0.2 Pokémon Learnset (Core)'!$D$"&amp;MATCH($E474,'0.0.2 Pokémon Learnset (Core)'!$A$1:$A951,0)&amp;":$FK$"&amp;MATCH($E474,'0.0.2 Pokémon Learnset (Core)'!$A$1:$A951,0)),'Reverse Search'!$E$21)),IF($C$2=2,COUNTIF(INDIRECT("'0.1.1 Pokémon GO Moves'!$B$"&amp;MATCH($E474,'0.1.1 Pokémon GO Moves'!$A$1:$A951,0)&amp;":$R$"&amp;MATCH($E474,'0.1.1 Pokémon GO Moves'!$A$1:$A951,0)),'Reverse Search'!$E$21),COUNTIF(INDIRECT("'0.1.1 Pokémon GO Moves'!$B$"&amp;MATCH($E474,'0.1.1 Pokémon GO Moves'!$A$1:$A951,0)&amp;":$L$"&amp;MATCH($E474,'0.1.1 Pokémon GO Moves'!$A$1:$A951,0)),'Reverse Search'!$E$21)))))</f>
        <v>1</v>
      </c>
      <c r="AA474" s="0" t="n">
        <f aca="true">IF('Reverse Search'!$C$14="Disable",1,IF('Reverse Search'!$I$16="Disable",1,IF($D$2=3,IF($M474=0,0,COUNTIF(INDIRECT("'0.0.2 Pokémon Learnset (Core)'!$D$"&amp;MATCH($E474,'0.0.2 Pokémon Learnset (Core)'!$A$1:$A951,0)&amp;":$FK$"&amp;MATCH($E474,'0.0.2 Pokémon Learnset (Core)'!$A$1:$A951,0)),'Reverse Search'!$J$21)),IF($D$2=2,COUNTIF(INDIRECT("'0.1.1 Pokémon GO Moves'!$B$"&amp;MATCH($E474,'0.1.1 Pokémon GO Moves'!$A$1:$A951,0)&amp;":$R$"&amp;MATCH($E474,'0.1.1 Pokémon GO Moves'!$A$1:$A951,0)),'Reverse Search'!$J$21),COUNTIF(INDIRECT("'0.1.1 Pokémon GO Moves'!$B$"&amp;MATCH($E474,'0.1.1 Pokémon GO Moves'!$A$1:$A951,0)&amp;":$L$"&amp;MATCH($E474,'0.1.1 Pokémon GO Moves'!$A$1:$A951,0)),'Reverse Search'!$J$21)))))</f>
        <v>0</v>
      </c>
      <c r="AB474" s="490"/>
      <c r="AC474" s="260" t="n">
        <f aca="false">IF((Q474+R474+S474+V474+W474+X474+Y474+IF(Z474&gt;=1,1,0)+IF(AA474&gt;=1,1,0))=9,G474&amp;", ",)</f>
        <v>0</v>
      </c>
    </row>
    <row r="475" customFormat="false" ht="15.75" hidden="false" customHeight="false" outlineLevel="0" collapsed="false">
      <c r="A475" s="260"/>
      <c r="B475" s="358"/>
      <c r="C475" s="260"/>
      <c r="D475" s="358"/>
      <c r="E475" s="260" t="n">
        <v>474</v>
      </c>
      <c r="F475" s="260" t="n">
        <f aca="false" t="array" ref="F475:F475">INDEX('0.0.1 Pokémon Dex Data'!$H$3:$H951,MATCH(E475,'0.0.1 Pokémon Dex Data'!$B$3:$B951,0))</f>
        <v>0</v>
      </c>
      <c r="G475" s="0" t="str">
        <f aca="false" t="array" ref="G475:G475">INDEX('0.0.1 Pokémon Dex Data'!$E$3:$E951,MATCH(E475,'0.0.1 Pokémon Dex Data'!$B$3:$B951,0))</f>
        <v>Roserade</v>
      </c>
      <c r="H475" s="0" t="str">
        <f aca="false" t="array" ref="H475:H475">INDEX('0.0.1 Pokémon Dex Data'!$Q$3:$Q951,MATCH(E475,'0.0.1 Pokémon Dex Data'!$B$3:$B951,0))</f>
        <v>Grass</v>
      </c>
      <c r="I475" s="0" t="str">
        <f aca="false" t="array" ref="I475:I475">INDEX('0.0.1 Pokémon Dex Data'!$R$3:$R951,MATCH(E475,'0.0.1 Pokémon Dex Data'!$B$3:$B951,0))</f>
        <v>Poison</v>
      </c>
      <c r="J475" s="260" t="n">
        <f aca="false" t="array" ref="J475:J475">ROUND(INDEX('0.0.1 Pokémon Dex Data'!$S$3:$S951,MATCH($E475,'0.0.1 Pokémon Dex Data'!$B$3:$B951,0))*INDEX('0.0.1 Pokémon Dex Data'!T$3:T951,MATCH($E475,'0.0.1 Pokémon Dex Data'!$B$3:$B951,0)),0)</f>
        <v>243</v>
      </c>
      <c r="K475" s="260" t="n">
        <f aca="false" t="array" ref="K475:K475">ROUND(INDEX('0.0.1 Pokémon Dex Data'!$S$3:$S951,MATCH($E475,'0.0.1 Pokémon Dex Data'!$B$3:$B951,0))*INDEX('0.0.1 Pokémon Dex Data'!U$3:U951,MATCH($E475,'0.0.1 Pokémon Dex Data'!$B$3:$B951,0)),0)</f>
        <v>185</v>
      </c>
      <c r="L475" s="260" t="n">
        <f aca="false" t="array" ref="L475:L475">ROUND(INDEX('0.0.1 Pokémon Dex Data'!$S$3:$S951,MATCH($E475,'0.0.1 Pokémon Dex Data'!$B$3:$B951,0))*INDEX('0.0.1 Pokémon Dex Data'!V$3:V951,MATCH($E475,'0.0.1 Pokémon Dex Data'!$B$3:$B951,0)),0)</f>
        <v>155</v>
      </c>
      <c r="M475" s="260" t="n">
        <f aca="false" t="array" ref="M475:M475">INDEX('0.0.1 Pokémon Dex Data'!$J$3:$J951,MATCH(E475,'0.0.1 Pokémon Dex Data'!$B$3:$B951,0))</f>
        <v>1</v>
      </c>
      <c r="O475" s="490"/>
      <c r="Q475" s="367" t="n">
        <f aca="false">IF('Reverse Search'!$F$4="All (including temporary formes)",1,IF('Reverse Search'!$F$4="Base Pokémon and permanent formes only",IF(F475&lt;=1,1,0),IF(F475=0,1,0)))</f>
        <v>1</v>
      </c>
      <c r="R475" s="0" t="n">
        <f aca="false">IF('Reverse Search'!$C$7="Disable",1,IF('Reverse Search'!$D$9="Disable",1,IF(OR('Reverse Search'!$F$9=H475,'Reverse Search'!$F$9=I475),1,0)))</f>
        <v>1</v>
      </c>
      <c r="S475" s="0" t="n">
        <f aca="false">IF('Reverse Search'!$C$7="Disable",1,IF('Reverse Search'!$D$10="Disable",1,IF(OR('Reverse Search'!$F$10=H475,'Reverse Search'!$F$10=I475),1,0)))</f>
        <v>1</v>
      </c>
      <c r="T475" s="0" t="n">
        <f aca="false">INDEX($B$4:$B$22,MATCH(H475,$A$4:$A$22,0))</f>
        <v>1</v>
      </c>
      <c r="U475" s="0" t="n">
        <f aca="false">IF(ISBLANK(I475),1,INDEX($B$4:$B$22,MATCH(I475,$A$4:$A$22,0)))</f>
        <v>1</v>
      </c>
      <c r="V475" s="367" t="n">
        <f aca="false">IF('Reverse Search'!$C$7="Disable",1,IF('Reverse Search'!$D$11="Disable",1,IF('Reverse Search'!$E$11="Neutral to:",IF(ROUND(T475*U475,2)&lt;=1,1,0),IF(ROUND(T475*U475,2)&lt;1,1,0))))</f>
        <v>1</v>
      </c>
      <c r="W475" s="0" t="n">
        <f aca="false">IF('Reverse Search'!$N$7="Disable",1,IF('Reverse Search'!$I$9="Disable",1,IF('Reverse Search'!$K$9="≥",IF(J475&gt;='Reverse Search'!$L$9,1,0),IF('Reverse Search'!$K$9="≤",IF(J475&lt;='Reverse Search'!$L$9,1,0),IF(J475='Reverse Search'!$L$9,1,0)))))</f>
        <v>1</v>
      </c>
      <c r="X475" s="0" t="n">
        <f aca="false">IF('Reverse Search'!$N$7="Disable",1,IF('Reverse Search'!$I$10="Disable",1,IF('Reverse Search'!$K$10="≥",IF(K475&gt;='Reverse Search'!$L$10,1,0),IF('Reverse Search'!$K$10="≤",IF(K475&lt;='Reverse Search'!$L$10,1,0),IF(K475='Reverse Search'!$L$10,1,0)))))</f>
        <v>1</v>
      </c>
      <c r="Y475" s="367" t="n">
        <f aca="false">IF('Reverse Search'!$N$7="Disable",1,IF('Reverse Search'!$I$11="Disable",1,IF('Reverse Search'!$K$11="≥",IF(L475&gt;='Reverse Search'!$L$11,1,0),IF('Reverse Search'!$K$11="≤",IF(L475&lt;='Reverse Search'!$L$11,1,0),IF(L475='Reverse Search'!$L$11,1,0)))))</f>
        <v>1</v>
      </c>
      <c r="Z475" s="0" t="n">
        <f aca="true">IF('Reverse Search'!$C$14="Disable",1,IF('Reverse Search'!$D$16="Disable",1,IF($C$2=3,IF($M475=0,0,COUNTIF(INDIRECT("'0.0.2 Pokémon Learnset (Core)'!$D$"&amp;MATCH($E475,'0.0.2 Pokémon Learnset (Core)'!$A$1:$A951,0)&amp;":$FK$"&amp;MATCH($E475,'0.0.2 Pokémon Learnset (Core)'!$A$1:$A951,0)),'Reverse Search'!$E$21)),IF($C$2=2,COUNTIF(INDIRECT("'0.1.1 Pokémon GO Moves'!$B$"&amp;MATCH($E475,'0.1.1 Pokémon GO Moves'!$A$1:$A951,0)&amp;":$R$"&amp;MATCH($E475,'0.1.1 Pokémon GO Moves'!$A$1:$A951,0)),'Reverse Search'!$E$21),COUNTIF(INDIRECT("'0.1.1 Pokémon GO Moves'!$B$"&amp;MATCH($E475,'0.1.1 Pokémon GO Moves'!$A$1:$A951,0)&amp;":$L$"&amp;MATCH($E475,'0.1.1 Pokémon GO Moves'!$A$1:$A951,0)),'Reverse Search'!$E$21)))))</f>
        <v>1</v>
      </c>
      <c r="AA475" s="0" t="n">
        <f aca="true">IF('Reverse Search'!$C$14="Disable",1,IF('Reverse Search'!$I$16="Disable",1,IF($D$2=3,IF($M475=0,0,COUNTIF(INDIRECT("'0.0.2 Pokémon Learnset (Core)'!$D$"&amp;MATCH($E475,'0.0.2 Pokémon Learnset (Core)'!$A$1:$A951,0)&amp;":$FK$"&amp;MATCH($E475,'0.0.2 Pokémon Learnset (Core)'!$A$1:$A951,0)),'Reverse Search'!$J$21)),IF($D$2=2,COUNTIF(INDIRECT("'0.1.1 Pokémon GO Moves'!$B$"&amp;MATCH($E475,'0.1.1 Pokémon GO Moves'!$A$1:$A951,0)&amp;":$R$"&amp;MATCH($E475,'0.1.1 Pokémon GO Moves'!$A$1:$A951,0)),'Reverse Search'!$J$21),COUNTIF(INDIRECT("'0.1.1 Pokémon GO Moves'!$B$"&amp;MATCH($E475,'0.1.1 Pokémon GO Moves'!$A$1:$A951,0)&amp;":$L$"&amp;MATCH($E475,'0.1.1 Pokémon GO Moves'!$A$1:$A951,0)),'Reverse Search'!$J$21)))))</f>
        <v>0</v>
      </c>
      <c r="AB475" s="490"/>
      <c r="AC475" s="260" t="n">
        <f aca="false">IF((Q475+R475+S475+V475+W475+X475+Y475+IF(Z475&gt;=1,1,0)+IF(AA475&gt;=1,1,0))=9,G475&amp;", ",)</f>
        <v>0</v>
      </c>
    </row>
    <row r="476" customFormat="false" ht="15.75" hidden="false" customHeight="false" outlineLevel="0" collapsed="false">
      <c r="A476" s="260"/>
      <c r="B476" s="358"/>
      <c r="C476" s="260"/>
      <c r="D476" s="358"/>
      <c r="E476" s="260" t="n">
        <v>475</v>
      </c>
      <c r="F476" s="260" t="n">
        <f aca="false" t="array" ref="F476:F476">INDEX('0.0.1 Pokémon Dex Data'!$H$3:$H951,MATCH(E476,'0.0.1 Pokémon Dex Data'!$B$3:$B951,0))</f>
        <v>0</v>
      </c>
      <c r="G476" s="0" t="str">
        <f aca="false" t="array" ref="G476:G476">INDEX('0.0.1 Pokémon Dex Data'!$E$3:$E951,MATCH(E476,'0.0.1 Pokémon Dex Data'!$B$3:$B951,0))</f>
        <v>Cranidos</v>
      </c>
      <c r="H476" s="0" t="str">
        <f aca="false" t="array" ref="H476:H476">INDEX('0.0.1 Pokémon Dex Data'!$Q$3:$Q951,MATCH(E476,'0.0.1 Pokémon Dex Data'!$B$3:$B951,0))</f>
        <v>Rock</v>
      </c>
      <c r="I476" s="0" t="n">
        <f aca="false">INDEX('0.0.1 Pokémon Dex Data'!$R$3:$R951,MATCH(E476,'0.0.1 Pokémon Dex Data'!$B$3:$B951,0))</f>
        <v>0</v>
      </c>
      <c r="J476" s="260" t="n">
        <f aca="false" t="array" ref="J476:J476">ROUND(INDEX('0.0.1 Pokémon Dex Data'!$S$3:$S951,MATCH($E476,'0.0.1 Pokémon Dex Data'!$B$3:$B951,0))*INDEX('0.0.1 Pokémon Dex Data'!T$3:T951,MATCH($E476,'0.0.1 Pokémon Dex Data'!$B$3:$B951,0)),0)</f>
        <v>218</v>
      </c>
      <c r="K476" s="260" t="n">
        <f aca="false" t="array" ref="K476:K476">ROUND(INDEX('0.0.1 Pokémon Dex Data'!$S$3:$S951,MATCH($E476,'0.0.1 Pokémon Dex Data'!$B$3:$B951,0))*INDEX('0.0.1 Pokémon Dex Data'!U$3:U951,MATCH($E476,'0.0.1 Pokémon Dex Data'!$B$3:$B951,0)),0)</f>
        <v>71</v>
      </c>
      <c r="L476" s="260" t="n">
        <f aca="false" t="array" ref="L476:L476">ROUND(INDEX('0.0.1 Pokémon Dex Data'!$S$3:$S951,MATCH($E476,'0.0.1 Pokémon Dex Data'!$B$3:$B951,0))*INDEX('0.0.1 Pokémon Dex Data'!V$3:V951,MATCH($E476,'0.0.1 Pokémon Dex Data'!$B$3:$B951,0)),0)</f>
        <v>167</v>
      </c>
      <c r="M476" s="260" t="n">
        <f aca="false" t="array" ref="M476:M476">INDEX('0.0.1 Pokémon Dex Data'!$J$3:$J951,MATCH(E476,'0.0.1 Pokémon Dex Data'!$B$3:$B951,0))</f>
        <v>0</v>
      </c>
      <c r="O476" s="490"/>
      <c r="Q476" s="367" t="n">
        <f aca="false">IF('Reverse Search'!$F$4="All (including temporary formes)",1,IF('Reverse Search'!$F$4="Base Pokémon and permanent formes only",IF(F476&lt;=1,1,0),IF(F476=0,1,0)))</f>
        <v>1</v>
      </c>
      <c r="R476" s="0" t="n">
        <f aca="false">IF('Reverse Search'!$C$7="Disable",1,IF('Reverse Search'!$D$9="Disable",1,IF(OR('Reverse Search'!$F$9=H476,'Reverse Search'!$F$9=I476),1,0)))</f>
        <v>1</v>
      </c>
      <c r="S476" s="0" t="n">
        <f aca="false">IF('Reverse Search'!$C$7="Disable",1,IF('Reverse Search'!$D$10="Disable",1,IF(OR('Reverse Search'!$F$10=H476,'Reverse Search'!$F$10=I476),1,0)))</f>
        <v>1</v>
      </c>
      <c r="T476" s="0" t="n">
        <f aca="false">INDEX($B$4:$B$22,MATCH(H476,$A$4:$A$22,0))</f>
        <v>0.714</v>
      </c>
      <c r="U476" s="0" t="e">
        <f aca="false">IF(ISBLANK(I476),1,INDEX($B$4:$B$22,MATCH(I476,$A$4:$A$22,0)))</f>
        <v>#N/A</v>
      </c>
      <c r="V476" s="367" t="n">
        <f aca="false">IF('Reverse Search'!$C$7="Disable",1,IF('Reverse Search'!$D$11="Disable",1,IF('Reverse Search'!$E$11="Neutral to:",IF(ROUND(T476*U476,2)&lt;=1,1,0),IF(ROUND(T476*U476,2)&lt;1,1,0))))</f>
        <v>1</v>
      </c>
      <c r="W476" s="0" t="n">
        <f aca="false">IF('Reverse Search'!$N$7="Disable",1,IF('Reverse Search'!$I$9="Disable",1,IF('Reverse Search'!$K$9="≥",IF(J476&gt;='Reverse Search'!$L$9,1,0),IF('Reverse Search'!$K$9="≤",IF(J476&lt;='Reverse Search'!$L$9,1,0),IF(J476='Reverse Search'!$L$9,1,0)))))</f>
        <v>1</v>
      </c>
      <c r="X476" s="0" t="n">
        <f aca="false">IF('Reverse Search'!$N$7="Disable",1,IF('Reverse Search'!$I$10="Disable",1,IF('Reverse Search'!$K$10="≥",IF(K476&gt;='Reverse Search'!$L$10,1,0),IF('Reverse Search'!$K$10="≤",IF(K476&lt;='Reverse Search'!$L$10,1,0),IF(K476='Reverse Search'!$L$10,1,0)))))</f>
        <v>1</v>
      </c>
      <c r="Y476" s="367" t="n">
        <f aca="false">IF('Reverse Search'!$N$7="Disable",1,IF('Reverse Search'!$I$11="Disable",1,IF('Reverse Search'!$K$11="≥",IF(L476&gt;='Reverse Search'!$L$11,1,0),IF('Reverse Search'!$K$11="≤",IF(L476&lt;='Reverse Search'!$L$11,1,0),IF(L476='Reverse Search'!$L$11,1,0)))))</f>
        <v>1</v>
      </c>
      <c r="Z476" s="0" t="n">
        <f aca="true">IF('Reverse Search'!$C$14="Disable",1,IF('Reverse Search'!$D$16="Disable",1,IF($C$2=3,IF($M476=0,0,COUNTIF(INDIRECT("'0.0.2 Pokémon Learnset (Core)'!$D$"&amp;MATCH($E476,'0.0.2 Pokémon Learnset (Core)'!$A$1:$A951,0)&amp;":$FK$"&amp;MATCH($E476,'0.0.2 Pokémon Learnset (Core)'!$A$1:$A951,0)),'Reverse Search'!$E$21)),IF($C$2=2,COUNTIF(INDIRECT("'0.1.1 Pokémon GO Moves'!$B$"&amp;MATCH($E476,'0.1.1 Pokémon GO Moves'!$A$1:$A951,0)&amp;":$R$"&amp;MATCH($E476,'0.1.1 Pokémon GO Moves'!$A$1:$A951,0)),'Reverse Search'!$E$21),COUNTIF(INDIRECT("'0.1.1 Pokémon GO Moves'!$B$"&amp;MATCH($E476,'0.1.1 Pokémon GO Moves'!$A$1:$A951,0)&amp;":$L$"&amp;MATCH($E476,'0.1.1 Pokémon GO Moves'!$A$1:$A951,0)),'Reverse Search'!$E$21)))))</f>
        <v>1</v>
      </c>
      <c r="AA476" s="0" t="n">
        <f aca="true">IF('Reverse Search'!$C$14="Disable",1,IF('Reverse Search'!$I$16="Disable",1,IF($D$2=3,IF($M476=0,0,COUNTIF(INDIRECT("'0.0.2 Pokémon Learnset (Core)'!$D$"&amp;MATCH($E476,'0.0.2 Pokémon Learnset (Core)'!$A$1:$A951,0)&amp;":$FK$"&amp;MATCH($E476,'0.0.2 Pokémon Learnset (Core)'!$A$1:$A951,0)),'Reverse Search'!$J$21)),IF($D$2=2,COUNTIF(INDIRECT("'0.1.1 Pokémon GO Moves'!$B$"&amp;MATCH($E476,'0.1.1 Pokémon GO Moves'!$A$1:$A951,0)&amp;":$R$"&amp;MATCH($E476,'0.1.1 Pokémon GO Moves'!$A$1:$A951,0)),'Reverse Search'!$J$21),COUNTIF(INDIRECT("'0.1.1 Pokémon GO Moves'!$B$"&amp;MATCH($E476,'0.1.1 Pokémon GO Moves'!$A$1:$A951,0)&amp;":$L$"&amp;MATCH($E476,'0.1.1 Pokémon GO Moves'!$A$1:$A951,0)),'Reverse Search'!$J$21)))))</f>
        <v>0</v>
      </c>
      <c r="AB476" s="490"/>
      <c r="AC476" s="260" t="n">
        <f aca="false">IF((Q476+R476+S476+V476+W476+X476+Y476+IF(Z476&gt;=1,1,0)+IF(AA476&gt;=1,1,0))=9,G476&amp;", ",)</f>
        <v>0</v>
      </c>
    </row>
    <row r="477" customFormat="false" ht="15.75" hidden="false" customHeight="false" outlineLevel="0" collapsed="false">
      <c r="A477" s="260"/>
      <c r="B477" s="358"/>
      <c r="C477" s="260"/>
      <c r="D477" s="358"/>
      <c r="E477" s="260" t="n">
        <v>476</v>
      </c>
      <c r="F477" s="260" t="n">
        <f aca="false" t="array" ref="F477:F477">INDEX('0.0.1 Pokémon Dex Data'!$H$3:$H951,MATCH(E477,'0.0.1 Pokémon Dex Data'!$B$3:$B951,0))</f>
        <v>0</v>
      </c>
      <c r="G477" s="0" t="str">
        <f aca="false" t="array" ref="G477:G477">INDEX('0.0.1 Pokémon Dex Data'!$E$3:$E951,MATCH(E477,'0.0.1 Pokémon Dex Data'!$B$3:$B951,0))</f>
        <v>Rampardos</v>
      </c>
      <c r="H477" s="0" t="str">
        <f aca="false" t="array" ref="H477:H477">INDEX('0.0.1 Pokémon Dex Data'!$Q$3:$Q951,MATCH(E477,'0.0.1 Pokémon Dex Data'!$B$3:$B951,0))</f>
        <v>Rock</v>
      </c>
      <c r="I477" s="0" t="n">
        <f aca="false">INDEX('0.0.1 Pokémon Dex Data'!$R$3:$R951,MATCH(E477,'0.0.1 Pokémon Dex Data'!$B$3:$B951,0))</f>
        <v>0</v>
      </c>
      <c r="J477" s="260" t="n">
        <f aca="false" t="array" ref="J477:J477">ROUND(INDEX('0.0.1 Pokémon Dex Data'!$S$3:$S951,MATCH($E477,'0.0.1 Pokémon Dex Data'!$B$3:$B951,0))*INDEX('0.0.1 Pokémon Dex Data'!T$3:T951,MATCH($E477,'0.0.1 Pokémon Dex Data'!$B$3:$B951,0)),0)</f>
        <v>295</v>
      </c>
      <c r="K477" s="260" t="n">
        <f aca="false" t="array" ref="K477:K477">ROUND(INDEX('0.0.1 Pokémon Dex Data'!$S$3:$S951,MATCH($E477,'0.0.1 Pokémon Dex Data'!$B$3:$B951,0))*INDEX('0.0.1 Pokémon Dex Data'!U$3:U951,MATCH($E477,'0.0.1 Pokémon Dex Data'!$B$3:$B951,0)),0)</f>
        <v>109</v>
      </c>
      <c r="L477" s="260" t="n">
        <f aca="false" t="array" ref="L477:L477">ROUND(INDEX('0.0.1 Pokémon Dex Data'!$S$3:$S951,MATCH($E477,'0.0.1 Pokémon Dex Data'!$B$3:$B951,0))*INDEX('0.0.1 Pokémon Dex Data'!V$3:V951,MATCH($E477,'0.0.1 Pokémon Dex Data'!$B$3:$B951,0)),0)</f>
        <v>219</v>
      </c>
      <c r="M477" s="260" t="n">
        <f aca="false" t="array" ref="M477:M477">INDEX('0.0.1 Pokémon Dex Data'!$J$3:$J951,MATCH(E477,'0.0.1 Pokémon Dex Data'!$B$3:$B951,0))</f>
        <v>1</v>
      </c>
      <c r="O477" s="490"/>
      <c r="Q477" s="367" t="n">
        <f aca="false">IF('Reverse Search'!$F$4="All (including temporary formes)",1,IF('Reverse Search'!$F$4="Base Pokémon and permanent formes only",IF(F477&lt;=1,1,0),IF(F477=0,1,0)))</f>
        <v>1</v>
      </c>
      <c r="R477" s="0" t="n">
        <f aca="false">IF('Reverse Search'!$C$7="Disable",1,IF('Reverse Search'!$D$9="Disable",1,IF(OR('Reverse Search'!$F$9=H477,'Reverse Search'!$F$9=I477),1,0)))</f>
        <v>1</v>
      </c>
      <c r="S477" s="0" t="n">
        <f aca="false">IF('Reverse Search'!$C$7="Disable",1,IF('Reverse Search'!$D$10="Disable",1,IF(OR('Reverse Search'!$F$10=H477,'Reverse Search'!$F$10=I477),1,0)))</f>
        <v>1</v>
      </c>
      <c r="T477" s="0" t="n">
        <f aca="false">INDEX($B$4:$B$22,MATCH(H477,$A$4:$A$22,0))</f>
        <v>0.714</v>
      </c>
      <c r="U477" s="0" t="e">
        <f aca="false">IF(ISBLANK(I477),1,INDEX($B$4:$B$22,MATCH(I477,$A$4:$A$22,0)))</f>
        <v>#N/A</v>
      </c>
      <c r="V477" s="367" t="n">
        <f aca="false">IF('Reverse Search'!$C$7="Disable",1,IF('Reverse Search'!$D$11="Disable",1,IF('Reverse Search'!$E$11="Neutral to:",IF(ROUND(T477*U477,2)&lt;=1,1,0),IF(ROUND(T477*U477,2)&lt;1,1,0))))</f>
        <v>1</v>
      </c>
      <c r="W477" s="0" t="n">
        <f aca="false">IF('Reverse Search'!$N$7="Disable",1,IF('Reverse Search'!$I$9="Disable",1,IF('Reverse Search'!$K$9="≥",IF(J477&gt;='Reverse Search'!$L$9,1,0),IF('Reverse Search'!$K$9="≤",IF(J477&lt;='Reverse Search'!$L$9,1,0),IF(J477='Reverse Search'!$L$9,1,0)))))</f>
        <v>1</v>
      </c>
      <c r="X477" s="0" t="n">
        <f aca="false">IF('Reverse Search'!$N$7="Disable",1,IF('Reverse Search'!$I$10="Disable",1,IF('Reverse Search'!$K$10="≥",IF(K477&gt;='Reverse Search'!$L$10,1,0),IF('Reverse Search'!$K$10="≤",IF(K477&lt;='Reverse Search'!$L$10,1,0),IF(K477='Reverse Search'!$L$10,1,0)))))</f>
        <v>1</v>
      </c>
      <c r="Y477" s="367" t="n">
        <f aca="false">IF('Reverse Search'!$N$7="Disable",1,IF('Reverse Search'!$I$11="Disable",1,IF('Reverse Search'!$K$11="≥",IF(L477&gt;='Reverse Search'!$L$11,1,0),IF('Reverse Search'!$K$11="≤",IF(L477&lt;='Reverse Search'!$L$11,1,0),IF(L477='Reverse Search'!$L$11,1,0)))))</f>
        <v>1</v>
      </c>
      <c r="Z477" s="0" t="n">
        <f aca="true">IF('Reverse Search'!$C$14="Disable",1,IF('Reverse Search'!$D$16="Disable",1,IF($C$2=3,IF($M477=0,0,COUNTIF(INDIRECT("'0.0.2 Pokémon Learnset (Core)'!$D$"&amp;MATCH($E477,'0.0.2 Pokémon Learnset (Core)'!$A$1:$A951,0)&amp;":$FK$"&amp;MATCH($E477,'0.0.2 Pokémon Learnset (Core)'!$A$1:$A951,0)),'Reverse Search'!$E$21)),IF($C$2=2,COUNTIF(INDIRECT("'0.1.1 Pokémon GO Moves'!$B$"&amp;MATCH($E477,'0.1.1 Pokémon GO Moves'!$A$1:$A951,0)&amp;":$R$"&amp;MATCH($E477,'0.1.1 Pokémon GO Moves'!$A$1:$A951,0)),'Reverse Search'!$E$21),COUNTIF(INDIRECT("'0.1.1 Pokémon GO Moves'!$B$"&amp;MATCH($E477,'0.1.1 Pokémon GO Moves'!$A$1:$A951,0)&amp;":$L$"&amp;MATCH($E477,'0.1.1 Pokémon GO Moves'!$A$1:$A951,0)),'Reverse Search'!$E$21)))))</f>
        <v>1</v>
      </c>
      <c r="AA477" s="0" t="n">
        <f aca="true">IF('Reverse Search'!$C$14="Disable",1,IF('Reverse Search'!$I$16="Disable",1,IF($D$2=3,IF($M477=0,0,COUNTIF(INDIRECT("'0.0.2 Pokémon Learnset (Core)'!$D$"&amp;MATCH($E477,'0.0.2 Pokémon Learnset (Core)'!$A$1:$A951,0)&amp;":$FK$"&amp;MATCH($E477,'0.0.2 Pokémon Learnset (Core)'!$A$1:$A951,0)),'Reverse Search'!$J$21)),IF($D$2=2,COUNTIF(INDIRECT("'0.1.1 Pokémon GO Moves'!$B$"&amp;MATCH($E477,'0.1.1 Pokémon GO Moves'!$A$1:$A951,0)&amp;":$R$"&amp;MATCH($E477,'0.1.1 Pokémon GO Moves'!$A$1:$A951,0)),'Reverse Search'!$J$21),COUNTIF(INDIRECT("'0.1.1 Pokémon GO Moves'!$B$"&amp;MATCH($E477,'0.1.1 Pokémon GO Moves'!$A$1:$A951,0)&amp;":$L$"&amp;MATCH($E477,'0.1.1 Pokémon GO Moves'!$A$1:$A951,0)),'Reverse Search'!$J$21)))))</f>
        <v>0</v>
      </c>
      <c r="AB477" s="490"/>
      <c r="AC477" s="260" t="n">
        <f aca="false">IF((Q477+R477+S477+V477+W477+X477+Y477+IF(Z477&gt;=1,1,0)+IF(AA477&gt;=1,1,0))=9,G477&amp;", ",)</f>
        <v>0</v>
      </c>
    </row>
    <row r="478" customFormat="false" ht="15.75" hidden="false" customHeight="false" outlineLevel="0" collapsed="false">
      <c r="A478" s="260"/>
      <c r="B478" s="358"/>
      <c r="C478" s="260"/>
      <c r="D478" s="358"/>
      <c r="E478" s="260" t="n">
        <v>477</v>
      </c>
      <c r="F478" s="260" t="n">
        <f aca="false" t="array" ref="F478:F478">INDEX('0.0.1 Pokémon Dex Data'!$H$3:$H951,MATCH(E478,'0.0.1 Pokémon Dex Data'!$B$3:$B951,0))</f>
        <v>0</v>
      </c>
      <c r="G478" s="0" t="str">
        <f aca="false" t="array" ref="G478:G478">INDEX('0.0.1 Pokémon Dex Data'!$E$3:$E951,MATCH(E478,'0.0.1 Pokémon Dex Data'!$B$3:$B951,0))</f>
        <v>Shieldon</v>
      </c>
      <c r="H478" s="0" t="str">
        <f aca="false" t="array" ref="H478:H478">INDEX('0.0.1 Pokémon Dex Data'!$Q$3:$Q951,MATCH(E478,'0.0.1 Pokémon Dex Data'!$B$3:$B951,0))</f>
        <v>Rock</v>
      </c>
      <c r="I478" s="0" t="str">
        <f aca="false" t="array" ref="I478:I478">INDEX('0.0.1 Pokémon Dex Data'!$R$3:$R951,MATCH(E478,'0.0.1 Pokémon Dex Data'!$B$3:$B951,0))</f>
        <v>Steel</v>
      </c>
      <c r="J478" s="260" t="n">
        <f aca="false" t="array" ref="J478:J478">ROUND(INDEX('0.0.1 Pokémon Dex Data'!$S$3:$S951,MATCH($E478,'0.0.1 Pokémon Dex Data'!$B$3:$B951,0))*INDEX('0.0.1 Pokémon Dex Data'!T$3:T951,MATCH($E478,'0.0.1 Pokémon Dex Data'!$B$3:$B951,0)),0)</f>
        <v>76</v>
      </c>
      <c r="K478" s="260" t="n">
        <f aca="false" t="array" ref="K478:K478">ROUND(INDEX('0.0.1 Pokémon Dex Data'!$S$3:$S951,MATCH($E478,'0.0.1 Pokémon Dex Data'!$B$3:$B951,0))*INDEX('0.0.1 Pokémon Dex Data'!U$3:U951,MATCH($E478,'0.0.1 Pokémon Dex Data'!$B$3:$B951,0)),0)</f>
        <v>195</v>
      </c>
      <c r="L478" s="260" t="n">
        <f aca="false" t="array" ref="L478:L478">ROUND(INDEX('0.0.1 Pokémon Dex Data'!$S$3:$S951,MATCH($E478,'0.0.1 Pokémon Dex Data'!$B$3:$B951,0))*INDEX('0.0.1 Pokémon Dex Data'!V$3:V951,MATCH($E478,'0.0.1 Pokémon Dex Data'!$B$3:$B951,0)),0)</f>
        <v>102</v>
      </c>
      <c r="M478" s="260" t="n">
        <f aca="false" t="array" ref="M478:M478">INDEX('0.0.1 Pokémon Dex Data'!$J$3:$J951,MATCH(E478,'0.0.1 Pokémon Dex Data'!$B$3:$B951,0))</f>
        <v>0</v>
      </c>
      <c r="O478" s="490"/>
      <c r="Q478" s="367" t="n">
        <f aca="false">IF('Reverse Search'!$F$4="All (including temporary formes)",1,IF('Reverse Search'!$F$4="Base Pokémon and permanent formes only",IF(F478&lt;=1,1,0),IF(F478=0,1,0)))</f>
        <v>1</v>
      </c>
      <c r="R478" s="0" t="n">
        <f aca="false">IF('Reverse Search'!$C$7="Disable",1,IF('Reverse Search'!$D$9="Disable",1,IF(OR('Reverse Search'!$F$9=H478,'Reverse Search'!$F$9=I478),1,0)))</f>
        <v>1</v>
      </c>
      <c r="S478" s="0" t="n">
        <f aca="false">IF('Reverse Search'!$C$7="Disable",1,IF('Reverse Search'!$D$10="Disable",1,IF(OR('Reverse Search'!$F$10=H478,'Reverse Search'!$F$10=I478),1,0)))</f>
        <v>1</v>
      </c>
      <c r="T478" s="0" t="n">
        <f aca="false">INDEX($B$4:$B$22,MATCH(H478,$A$4:$A$22,0))</f>
        <v>0.714</v>
      </c>
      <c r="U478" s="0" t="n">
        <f aca="false">IF(ISBLANK(I478),1,INDEX($B$4:$B$22,MATCH(I478,$A$4:$A$22,0)))</f>
        <v>0.714</v>
      </c>
      <c r="V478" s="367" t="n">
        <f aca="false">IF('Reverse Search'!$C$7="Disable",1,IF('Reverse Search'!$D$11="Disable",1,IF('Reverse Search'!$E$11="Neutral to:",IF(ROUND(T478*U478,2)&lt;=1,1,0),IF(ROUND(T478*U478,2)&lt;1,1,0))))</f>
        <v>1</v>
      </c>
      <c r="W478" s="0" t="n">
        <f aca="false">IF('Reverse Search'!$N$7="Disable",1,IF('Reverse Search'!$I$9="Disable",1,IF('Reverse Search'!$K$9="≥",IF(J478&gt;='Reverse Search'!$L$9,1,0),IF('Reverse Search'!$K$9="≤",IF(J478&lt;='Reverse Search'!$L$9,1,0),IF(J478='Reverse Search'!$L$9,1,0)))))</f>
        <v>1</v>
      </c>
      <c r="X478" s="0" t="n">
        <f aca="false">IF('Reverse Search'!$N$7="Disable",1,IF('Reverse Search'!$I$10="Disable",1,IF('Reverse Search'!$K$10="≥",IF(K478&gt;='Reverse Search'!$L$10,1,0),IF('Reverse Search'!$K$10="≤",IF(K478&lt;='Reverse Search'!$L$10,1,0),IF(K478='Reverse Search'!$L$10,1,0)))))</f>
        <v>1</v>
      </c>
      <c r="Y478" s="367" t="n">
        <f aca="false">IF('Reverse Search'!$N$7="Disable",1,IF('Reverse Search'!$I$11="Disable",1,IF('Reverse Search'!$K$11="≥",IF(L478&gt;='Reverse Search'!$L$11,1,0),IF('Reverse Search'!$K$11="≤",IF(L478&lt;='Reverse Search'!$L$11,1,0),IF(L478='Reverse Search'!$L$11,1,0)))))</f>
        <v>1</v>
      </c>
      <c r="Z478" s="0" t="n">
        <f aca="true">IF('Reverse Search'!$C$14="Disable",1,IF('Reverse Search'!$D$16="Disable",1,IF($C$2=3,IF($M478=0,0,COUNTIF(INDIRECT("'0.0.2 Pokémon Learnset (Core)'!$D$"&amp;MATCH($E478,'0.0.2 Pokémon Learnset (Core)'!$A$1:$A951,0)&amp;":$FK$"&amp;MATCH($E478,'0.0.2 Pokémon Learnset (Core)'!$A$1:$A951,0)),'Reverse Search'!$E$21)),IF($C$2=2,COUNTIF(INDIRECT("'0.1.1 Pokémon GO Moves'!$B$"&amp;MATCH($E478,'0.1.1 Pokémon GO Moves'!$A$1:$A951,0)&amp;":$R$"&amp;MATCH($E478,'0.1.1 Pokémon GO Moves'!$A$1:$A951,0)),'Reverse Search'!$E$21),COUNTIF(INDIRECT("'0.1.1 Pokémon GO Moves'!$B$"&amp;MATCH($E478,'0.1.1 Pokémon GO Moves'!$A$1:$A951,0)&amp;":$L$"&amp;MATCH($E478,'0.1.1 Pokémon GO Moves'!$A$1:$A951,0)),'Reverse Search'!$E$21)))))</f>
        <v>1</v>
      </c>
      <c r="AA478" s="0" t="n">
        <f aca="true">IF('Reverse Search'!$C$14="Disable",1,IF('Reverse Search'!$I$16="Disable",1,IF($D$2=3,IF($M478=0,0,COUNTIF(INDIRECT("'0.0.2 Pokémon Learnset (Core)'!$D$"&amp;MATCH($E478,'0.0.2 Pokémon Learnset (Core)'!$A$1:$A951,0)&amp;":$FK$"&amp;MATCH($E478,'0.0.2 Pokémon Learnset (Core)'!$A$1:$A951,0)),'Reverse Search'!$J$21)),IF($D$2=2,COUNTIF(INDIRECT("'0.1.1 Pokémon GO Moves'!$B$"&amp;MATCH($E478,'0.1.1 Pokémon GO Moves'!$A$1:$A951,0)&amp;":$R$"&amp;MATCH($E478,'0.1.1 Pokémon GO Moves'!$A$1:$A951,0)),'Reverse Search'!$J$21),COUNTIF(INDIRECT("'0.1.1 Pokémon GO Moves'!$B$"&amp;MATCH($E478,'0.1.1 Pokémon GO Moves'!$A$1:$A951,0)&amp;":$L$"&amp;MATCH($E478,'0.1.1 Pokémon GO Moves'!$A$1:$A951,0)),'Reverse Search'!$J$21)))))</f>
        <v>0</v>
      </c>
      <c r="AB478" s="490"/>
      <c r="AC478" s="260" t="n">
        <f aca="false">IF((Q478+R478+S478+V478+W478+X478+Y478+IF(Z478&gt;=1,1,0)+IF(AA478&gt;=1,1,0))=9,G478&amp;", ",)</f>
        <v>0</v>
      </c>
    </row>
    <row r="479" customFormat="false" ht="15.75" hidden="false" customHeight="false" outlineLevel="0" collapsed="false">
      <c r="A479" s="260"/>
      <c r="B479" s="358"/>
      <c r="C479" s="260"/>
      <c r="D479" s="358"/>
      <c r="E479" s="260" t="n">
        <v>478</v>
      </c>
      <c r="F479" s="260" t="n">
        <f aca="false" t="array" ref="F479:F479">INDEX('0.0.1 Pokémon Dex Data'!$H$3:$H951,MATCH(E479,'0.0.1 Pokémon Dex Data'!$B$3:$B951,0))</f>
        <v>0</v>
      </c>
      <c r="G479" s="0" t="str">
        <f aca="false" t="array" ref="G479:G479">INDEX('0.0.1 Pokémon Dex Data'!$E$3:$E951,MATCH(E479,'0.0.1 Pokémon Dex Data'!$B$3:$B951,0))</f>
        <v>Bastiodon</v>
      </c>
      <c r="H479" s="0" t="str">
        <f aca="false" t="array" ref="H479:H479">INDEX('0.0.1 Pokémon Dex Data'!$Q$3:$Q951,MATCH(E479,'0.0.1 Pokémon Dex Data'!$B$3:$B951,0))</f>
        <v>Rock</v>
      </c>
      <c r="I479" s="0" t="str">
        <f aca="false" t="array" ref="I479:I479">INDEX('0.0.1 Pokémon Dex Data'!$R$3:$R951,MATCH(E479,'0.0.1 Pokémon Dex Data'!$B$3:$B951,0))</f>
        <v>Steel</v>
      </c>
      <c r="J479" s="260" t="n">
        <f aca="false" t="array" ref="J479:J479">ROUND(INDEX('0.0.1 Pokémon Dex Data'!$S$3:$S951,MATCH($E479,'0.0.1 Pokémon Dex Data'!$B$3:$B951,0))*INDEX('0.0.1 Pokémon Dex Data'!T$3:T951,MATCH($E479,'0.0.1 Pokémon Dex Data'!$B$3:$B951,0)),0)</f>
        <v>94</v>
      </c>
      <c r="K479" s="260" t="n">
        <f aca="false" t="array" ref="K479:K479">ROUND(INDEX('0.0.1 Pokémon Dex Data'!$S$3:$S951,MATCH($E479,'0.0.1 Pokémon Dex Data'!$B$3:$B951,0))*INDEX('0.0.1 Pokémon Dex Data'!U$3:U951,MATCH($E479,'0.0.1 Pokémon Dex Data'!$B$3:$B951,0)),0)</f>
        <v>286</v>
      </c>
      <c r="L479" s="260" t="n">
        <f aca="false" t="array" ref="L479:L479">ROUND(INDEX('0.0.1 Pokémon Dex Data'!$S$3:$S951,MATCH($E479,'0.0.1 Pokémon Dex Data'!$B$3:$B951,0))*INDEX('0.0.1 Pokémon Dex Data'!V$3:V951,MATCH($E479,'0.0.1 Pokémon Dex Data'!$B$3:$B951,0)),0)</f>
        <v>155</v>
      </c>
      <c r="M479" s="260" t="n">
        <f aca="false" t="array" ref="M479:M479">INDEX('0.0.1 Pokémon Dex Data'!$J$3:$J951,MATCH(E479,'0.0.1 Pokémon Dex Data'!$B$3:$B951,0))</f>
        <v>1</v>
      </c>
      <c r="O479" s="490"/>
      <c r="Q479" s="367" t="n">
        <f aca="false">IF('Reverse Search'!$F$4="All (including temporary formes)",1,IF('Reverse Search'!$F$4="Base Pokémon and permanent formes only",IF(F479&lt;=1,1,0),IF(F479=0,1,0)))</f>
        <v>1</v>
      </c>
      <c r="R479" s="0" t="n">
        <f aca="false">IF('Reverse Search'!$C$7="Disable",1,IF('Reverse Search'!$D$9="Disable",1,IF(OR('Reverse Search'!$F$9=H479,'Reverse Search'!$F$9=I479),1,0)))</f>
        <v>1</v>
      </c>
      <c r="S479" s="0" t="n">
        <f aca="false">IF('Reverse Search'!$C$7="Disable",1,IF('Reverse Search'!$D$10="Disable",1,IF(OR('Reverse Search'!$F$10=H479,'Reverse Search'!$F$10=I479),1,0)))</f>
        <v>1</v>
      </c>
      <c r="T479" s="0" t="n">
        <f aca="false">INDEX($B$4:$B$22,MATCH(H479,$A$4:$A$22,0))</f>
        <v>0.714</v>
      </c>
      <c r="U479" s="0" t="n">
        <f aca="false">IF(ISBLANK(I479),1,INDEX($B$4:$B$22,MATCH(I479,$A$4:$A$22,0)))</f>
        <v>0.714</v>
      </c>
      <c r="V479" s="367" t="n">
        <f aca="false">IF('Reverse Search'!$C$7="Disable",1,IF('Reverse Search'!$D$11="Disable",1,IF('Reverse Search'!$E$11="Neutral to:",IF(ROUND(T479*U479,2)&lt;=1,1,0),IF(ROUND(T479*U479,2)&lt;1,1,0))))</f>
        <v>1</v>
      </c>
      <c r="W479" s="0" t="n">
        <f aca="false">IF('Reverse Search'!$N$7="Disable",1,IF('Reverse Search'!$I$9="Disable",1,IF('Reverse Search'!$K$9="≥",IF(J479&gt;='Reverse Search'!$L$9,1,0),IF('Reverse Search'!$K$9="≤",IF(J479&lt;='Reverse Search'!$L$9,1,0),IF(J479='Reverse Search'!$L$9,1,0)))))</f>
        <v>1</v>
      </c>
      <c r="X479" s="0" t="n">
        <f aca="false">IF('Reverse Search'!$N$7="Disable",1,IF('Reverse Search'!$I$10="Disable",1,IF('Reverse Search'!$K$10="≥",IF(K479&gt;='Reverse Search'!$L$10,1,0),IF('Reverse Search'!$K$10="≤",IF(K479&lt;='Reverse Search'!$L$10,1,0),IF(K479='Reverse Search'!$L$10,1,0)))))</f>
        <v>1</v>
      </c>
      <c r="Y479" s="367" t="n">
        <f aca="false">IF('Reverse Search'!$N$7="Disable",1,IF('Reverse Search'!$I$11="Disable",1,IF('Reverse Search'!$K$11="≥",IF(L479&gt;='Reverse Search'!$L$11,1,0),IF('Reverse Search'!$K$11="≤",IF(L479&lt;='Reverse Search'!$L$11,1,0),IF(L479='Reverse Search'!$L$11,1,0)))))</f>
        <v>1</v>
      </c>
      <c r="Z479" s="0" t="n">
        <f aca="true">IF('Reverse Search'!$C$14="Disable",1,IF('Reverse Search'!$D$16="Disable",1,IF($C$2=3,IF($M479=0,0,COUNTIF(INDIRECT("'0.0.2 Pokémon Learnset (Core)'!$D$"&amp;MATCH($E479,'0.0.2 Pokémon Learnset (Core)'!$A$1:$A951,0)&amp;":$FK$"&amp;MATCH($E479,'0.0.2 Pokémon Learnset (Core)'!$A$1:$A951,0)),'Reverse Search'!$E$21)),IF($C$2=2,COUNTIF(INDIRECT("'0.1.1 Pokémon GO Moves'!$B$"&amp;MATCH($E479,'0.1.1 Pokémon GO Moves'!$A$1:$A951,0)&amp;":$R$"&amp;MATCH($E479,'0.1.1 Pokémon GO Moves'!$A$1:$A951,0)),'Reverse Search'!$E$21),COUNTIF(INDIRECT("'0.1.1 Pokémon GO Moves'!$B$"&amp;MATCH($E479,'0.1.1 Pokémon GO Moves'!$A$1:$A951,0)&amp;":$L$"&amp;MATCH($E479,'0.1.1 Pokémon GO Moves'!$A$1:$A951,0)),'Reverse Search'!$E$21)))))</f>
        <v>1</v>
      </c>
      <c r="AA479" s="0" t="n">
        <f aca="true">IF('Reverse Search'!$C$14="Disable",1,IF('Reverse Search'!$I$16="Disable",1,IF($D$2=3,IF($M479=0,0,COUNTIF(INDIRECT("'0.0.2 Pokémon Learnset (Core)'!$D$"&amp;MATCH($E479,'0.0.2 Pokémon Learnset (Core)'!$A$1:$A951,0)&amp;":$FK$"&amp;MATCH($E479,'0.0.2 Pokémon Learnset (Core)'!$A$1:$A951,0)),'Reverse Search'!$J$21)),IF($D$2=2,COUNTIF(INDIRECT("'0.1.1 Pokémon GO Moves'!$B$"&amp;MATCH($E479,'0.1.1 Pokémon GO Moves'!$A$1:$A951,0)&amp;":$R$"&amp;MATCH($E479,'0.1.1 Pokémon GO Moves'!$A$1:$A951,0)),'Reverse Search'!$J$21),COUNTIF(INDIRECT("'0.1.1 Pokémon GO Moves'!$B$"&amp;MATCH($E479,'0.1.1 Pokémon GO Moves'!$A$1:$A951,0)&amp;":$L$"&amp;MATCH($E479,'0.1.1 Pokémon GO Moves'!$A$1:$A951,0)),'Reverse Search'!$J$21)))))</f>
        <v>0</v>
      </c>
      <c r="AB479" s="490"/>
      <c r="AC479" s="260" t="n">
        <f aca="false">IF((Q479+R479+S479+V479+W479+X479+Y479+IF(Z479&gt;=1,1,0)+IF(AA479&gt;=1,1,0))=9,G479&amp;", ",)</f>
        <v>0</v>
      </c>
    </row>
    <row r="480" customFormat="false" ht="15.75" hidden="false" customHeight="false" outlineLevel="0" collapsed="false">
      <c r="A480" s="260"/>
      <c r="B480" s="358"/>
      <c r="C480" s="260"/>
      <c r="D480" s="358"/>
      <c r="E480" s="260" t="n">
        <v>479</v>
      </c>
      <c r="F480" s="260" t="n">
        <f aca="false" t="array" ref="F480:F480">INDEX('0.0.1 Pokémon Dex Data'!$H$3:$H951,MATCH(E480,'0.0.1 Pokémon Dex Data'!$B$3:$B951,0))</f>
        <v>0</v>
      </c>
      <c r="G480" s="0" t="str">
        <f aca="false" t="array" ref="G480:G480">INDEX('0.0.1 Pokémon Dex Data'!$E$3:$E951,MATCH(E480,'0.0.1 Pokémon Dex Data'!$B$3:$B951,0))</f>
        <v>Burmy</v>
      </c>
      <c r="H480" s="0" t="str">
        <f aca="false" t="array" ref="H480:H480">INDEX('0.0.1 Pokémon Dex Data'!$Q$3:$Q951,MATCH(E480,'0.0.1 Pokémon Dex Data'!$B$3:$B951,0))</f>
        <v>Bug</v>
      </c>
      <c r="I480" s="0" t="n">
        <f aca="false">INDEX('0.0.1 Pokémon Dex Data'!$R$3:$R951,MATCH(E480,'0.0.1 Pokémon Dex Data'!$B$3:$B951,0))</f>
        <v>0</v>
      </c>
      <c r="J480" s="260" t="n">
        <f aca="false" t="array" ref="J480:J480">ROUND(INDEX('0.0.1 Pokémon Dex Data'!$S$3:$S951,MATCH($E480,'0.0.1 Pokémon Dex Data'!$B$3:$B951,0))*INDEX('0.0.1 Pokémon Dex Data'!T$3:T951,MATCH($E480,'0.0.1 Pokémon Dex Data'!$B$3:$B951,0)),0)</f>
        <v>53</v>
      </c>
      <c r="K480" s="260" t="n">
        <f aca="false" t="array" ref="K480:K480">ROUND(INDEX('0.0.1 Pokémon Dex Data'!$S$3:$S951,MATCH($E480,'0.0.1 Pokémon Dex Data'!$B$3:$B951,0))*INDEX('0.0.1 Pokémon Dex Data'!U$3:U951,MATCH($E480,'0.0.1 Pokémon Dex Data'!$B$3:$B951,0)),0)</f>
        <v>83</v>
      </c>
      <c r="L480" s="260" t="n">
        <f aca="false" t="array" ref="L480:L480">ROUND(INDEX('0.0.1 Pokémon Dex Data'!$S$3:$S951,MATCH($E480,'0.0.1 Pokémon Dex Data'!$B$3:$B951,0))*INDEX('0.0.1 Pokémon Dex Data'!V$3:V951,MATCH($E480,'0.0.1 Pokémon Dex Data'!$B$3:$B951,0)),0)</f>
        <v>120</v>
      </c>
      <c r="M480" s="260" t="n">
        <f aca="false" t="array" ref="M480:M480">INDEX('0.0.1 Pokémon Dex Data'!$J$3:$J951,MATCH(E480,'0.0.1 Pokémon Dex Data'!$B$3:$B951,0))</f>
        <v>0</v>
      </c>
      <c r="O480" s="490"/>
      <c r="Q480" s="367" t="n">
        <f aca="false">IF('Reverse Search'!$F$4="All (including temporary formes)",1,IF('Reverse Search'!$F$4="Base Pokémon and permanent formes only",IF(F480&lt;=1,1,0),IF(F480=0,1,0)))</f>
        <v>1</v>
      </c>
      <c r="R480" s="0" t="n">
        <f aca="false">IF('Reverse Search'!$C$7="Disable",1,IF('Reverse Search'!$D$9="Disable",1,IF(OR('Reverse Search'!$F$9=H480,'Reverse Search'!$F$9=I480),1,0)))</f>
        <v>1</v>
      </c>
      <c r="S480" s="0" t="n">
        <f aca="false">IF('Reverse Search'!$C$7="Disable",1,IF('Reverse Search'!$D$10="Disable",1,IF(OR('Reverse Search'!$F$10=H480,'Reverse Search'!$F$10=I480),1,0)))</f>
        <v>1</v>
      </c>
      <c r="T480" s="0" t="n">
        <f aca="false">INDEX($B$4:$B$22,MATCH(H480,$A$4:$A$22,0))</f>
        <v>1</v>
      </c>
      <c r="U480" s="0" t="e">
        <f aca="false">IF(ISBLANK(I480),1,INDEX($B$4:$B$22,MATCH(I480,$A$4:$A$22,0)))</f>
        <v>#N/A</v>
      </c>
      <c r="V480" s="367" t="n">
        <f aca="false">IF('Reverse Search'!$C$7="Disable",1,IF('Reverse Search'!$D$11="Disable",1,IF('Reverse Search'!$E$11="Neutral to:",IF(ROUND(T480*U480,2)&lt;=1,1,0),IF(ROUND(T480*U480,2)&lt;1,1,0))))</f>
        <v>1</v>
      </c>
      <c r="W480" s="0" t="n">
        <f aca="false">IF('Reverse Search'!$N$7="Disable",1,IF('Reverse Search'!$I$9="Disable",1,IF('Reverse Search'!$K$9="≥",IF(J480&gt;='Reverse Search'!$L$9,1,0),IF('Reverse Search'!$K$9="≤",IF(J480&lt;='Reverse Search'!$L$9,1,0),IF(J480='Reverse Search'!$L$9,1,0)))))</f>
        <v>1</v>
      </c>
      <c r="X480" s="0" t="n">
        <f aca="false">IF('Reverse Search'!$N$7="Disable",1,IF('Reverse Search'!$I$10="Disable",1,IF('Reverse Search'!$K$10="≥",IF(K480&gt;='Reverse Search'!$L$10,1,0),IF('Reverse Search'!$K$10="≤",IF(K480&lt;='Reverse Search'!$L$10,1,0),IF(K480='Reverse Search'!$L$10,1,0)))))</f>
        <v>1</v>
      </c>
      <c r="Y480" s="367" t="n">
        <f aca="false">IF('Reverse Search'!$N$7="Disable",1,IF('Reverse Search'!$I$11="Disable",1,IF('Reverse Search'!$K$11="≥",IF(L480&gt;='Reverse Search'!$L$11,1,0),IF('Reverse Search'!$K$11="≤",IF(L480&lt;='Reverse Search'!$L$11,1,0),IF(L480='Reverse Search'!$L$11,1,0)))))</f>
        <v>1</v>
      </c>
      <c r="Z480" s="0" t="n">
        <f aca="true">IF('Reverse Search'!$C$14="Disable",1,IF('Reverse Search'!$D$16="Disable",1,IF($C$2=3,IF($M480=0,0,COUNTIF(INDIRECT("'0.0.2 Pokémon Learnset (Core)'!$D$"&amp;MATCH($E480,'0.0.2 Pokémon Learnset (Core)'!$A$1:$A951,0)&amp;":$FK$"&amp;MATCH($E480,'0.0.2 Pokémon Learnset (Core)'!$A$1:$A951,0)),'Reverse Search'!$E$21)),IF($C$2=2,COUNTIF(INDIRECT("'0.1.1 Pokémon GO Moves'!$B$"&amp;MATCH($E480,'0.1.1 Pokémon GO Moves'!$A$1:$A951,0)&amp;":$R$"&amp;MATCH($E480,'0.1.1 Pokémon GO Moves'!$A$1:$A951,0)),'Reverse Search'!$E$21),COUNTIF(INDIRECT("'0.1.1 Pokémon GO Moves'!$B$"&amp;MATCH($E480,'0.1.1 Pokémon GO Moves'!$A$1:$A951,0)&amp;":$L$"&amp;MATCH($E480,'0.1.1 Pokémon GO Moves'!$A$1:$A951,0)),'Reverse Search'!$E$21)))))</f>
        <v>1</v>
      </c>
      <c r="AA480" s="0" t="n">
        <f aca="true">IF('Reverse Search'!$C$14="Disable",1,IF('Reverse Search'!$I$16="Disable",1,IF($D$2=3,IF($M480=0,0,COUNTIF(INDIRECT("'0.0.2 Pokémon Learnset (Core)'!$D$"&amp;MATCH($E480,'0.0.2 Pokémon Learnset (Core)'!$A$1:$A951,0)&amp;":$FK$"&amp;MATCH($E480,'0.0.2 Pokémon Learnset (Core)'!$A$1:$A951,0)),'Reverse Search'!$J$21)),IF($D$2=2,COUNTIF(INDIRECT("'0.1.1 Pokémon GO Moves'!$B$"&amp;MATCH($E480,'0.1.1 Pokémon GO Moves'!$A$1:$A951,0)&amp;":$R$"&amp;MATCH($E480,'0.1.1 Pokémon GO Moves'!$A$1:$A951,0)),'Reverse Search'!$J$21),COUNTIF(INDIRECT("'0.1.1 Pokémon GO Moves'!$B$"&amp;MATCH($E480,'0.1.1 Pokémon GO Moves'!$A$1:$A951,0)&amp;":$L$"&amp;MATCH($E480,'0.1.1 Pokémon GO Moves'!$A$1:$A951,0)),'Reverse Search'!$J$21)))))</f>
        <v>0</v>
      </c>
      <c r="AB480" s="490"/>
      <c r="AC480" s="260" t="n">
        <f aca="false">IF((Q480+R480+S480+V480+W480+X480+Y480+IF(Z480&gt;=1,1,0)+IF(AA480&gt;=1,1,0))=9,G480&amp;", ",)</f>
        <v>0</v>
      </c>
    </row>
    <row r="481" customFormat="false" ht="15.75" hidden="false" customHeight="false" outlineLevel="0" collapsed="false">
      <c r="A481" s="260"/>
      <c r="B481" s="358"/>
      <c r="C481" s="260"/>
      <c r="D481" s="358"/>
      <c r="E481" s="260" t="n">
        <v>480</v>
      </c>
      <c r="F481" s="260" t="n">
        <f aca="false" t="array" ref="F481:F481">INDEX('0.0.1 Pokémon Dex Data'!$H$3:$H951,MATCH(E481,'0.0.1 Pokémon Dex Data'!$B$3:$B951,0))</f>
        <v>0</v>
      </c>
      <c r="G481" s="0" t="str">
        <f aca="false" t="array" ref="G481:G481">INDEX('0.0.1 Pokémon Dex Data'!$E$3:$E951,MATCH(E481,'0.0.1 Pokémon Dex Data'!$B$3:$B951,0))</f>
        <v>Wormadam-Plant</v>
      </c>
      <c r="H481" s="0" t="str">
        <f aca="false" t="array" ref="H481:H481">INDEX('0.0.1 Pokémon Dex Data'!$Q$3:$Q951,MATCH(E481,'0.0.1 Pokémon Dex Data'!$B$3:$B951,0))</f>
        <v>Bug</v>
      </c>
      <c r="I481" s="0" t="str">
        <f aca="false" t="array" ref="I481:I481">INDEX('0.0.1 Pokémon Dex Data'!$R$3:$R951,MATCH(E481,'0.0.1 Pokémon Dex Data'!$B$3:$B951,0))</f>
        <v>Grass</v>
      </c>
      <c r="J481" s="260" t="n">
        <f aca="false" t="array" ref="J481:J481">ROUND(INDEX('0.0.1 Pokémon Dex Data'!$S$3:$S951,MATCH($E481,'0.0.1 Pokémon Dex Data'!$B$3:$B951,0))*INDEX('0.0.1 Pokémon Dex Data'!T$3:T951,MATCH($E481,'0.0.1 Pokémon Dex Data'!$B$3:$B951,0)),0)</f>
        <v>141</v>
      </c>
      <c r="K481" s="260" t="n">
        <f aca="false" t="array" ref="K481:K481">ROUND(INDEX('0.0.1 Pokémon Dex Data'!$S$3:$S951,MATCH($E481,'0.0.1 Pokémon Dex Data'!$B$3:$B951,0))*INDEX('0.0.1 Pokémon Dex Data'!U$3:U951,MATCH($E481,'0.0.1 Pokémon Dex Data'!$B$3:$B951,0)),0)</f>
        <v>180</v>
      </c>
      <c r="L481" s="260" t="n">
        <f aca="false" t="array" ref="L481:L481">ROUND(INDEX('0.0.1 Pokémon Dex Data'!$S$3:$S951,MATCH($E481,'0.0.1 Pokémon Dex Data'!$B$3:$B951,0))*INDEX('0.0.1 Pokémon Dex Data'!V$3:V951,MATCH($E481,'0.0.1 Pokémon Dex Data'!$B$3:$B951,0)),0)</f>
        <v>155</v>
      </c>
      <c r="M481" s="260" t="n">
        <f aca="false" t="array" ref="M481:M481">INDEX('0.0.1 Pokémon Dex Data'!$J$3:$J951,MATCH(E481,'0.0.1 Pokémon Dex Data'!$B$3:$B951,0))</f>
        <v>1</v>
      </c>
      <c r="O481" s="490"/>
      <c r="Q481" s="367" t="n">
        <f aca="false">IF('Reverse Search'!$F$4="All (including temporary formes)",1,IF('Reverse Search'!$F$4="Base Pokémon and permanent formes only",IF(F481&lt;=1,1,0),IF(F481=0,1,0)))</f>
        <v>1</v>
      </c>
      <c r="R481" s="0" t="n">
        <f aca="false">IF('Reverse Search'!$C$7="Disable",1,IF('Reverse Search'!$D$9="Disable",1,IF(OR('Reverse Search'!$F$9=H481,'Reverse Search'!$F$9=I481),1,0)))</f>
        <v>1</v>
      </c>
      <c r="S481" s="0" t="n">
        <f aca="false">IF('Reverse Search'!$C$7="Disable",1,IF('Reverse Search'!$D$10="Disable",1,IF(OR('Reverse Search'!$F$10=H481,'Reverse Search'!$F$10=I481),1,0)))</f>
        <v>1</v>
      </c>
      <c r="T481" s="0" t="n">
        <f aca="false">INDEX($B$4:$B$22,MATCH(H481,$A$4:$A$22,0))</f>
        <v>1</v>
      </c>
      <c r="U481" s="0" t="n">
        <f aca="false">IF(ISBLANK(I481),1,INDEX($B$4:$B$22,MATCH(I481,$A$4:$A$22,0)))</f>
        <v>1</v>
      </c>
      <c r="V481" s="367" t="n">
        <f aca="false">IF('Reverse Search'!$C$7="Disable",1,IF('Reverse Search'!$D$11="Disable",1,IF('Reverse Search'!$E$11="Neutral to:",IF(ROUND(T481*U481,2)&lt;=1,1,0),IF(ROUND(T481*U481,2)&lt;1,1,0))))</f>
        <v>1</v>
      </c>
      <c r="W481" s="0" t="n">
        <f aca="false">IF('Reverse Search'!$N$7="Disable",1,IF('Reverse Search'!$I$9="Disable",1,IF('Reverse Search'!$K$9="≥",IF(J481&gt;='Reverse Search'!$L$9,1,0),IF('Reverse Search'!$K$9="≤",IF(J481&lt;='Reverse Search'!$L$9,1,0),IF(J481='Reverse Search'!$L$9,1,0)))))</f>
        <v>1</v>
      </c>
      <c r="X481" s="0" t="n">
        <f aca="false">IF('Reverse Search'!$N$7="Disable",1,IF('Reverse Search'!$I$10="Disable",1,IF('Reverse Search'!$K$10="≥",IF(K481&gt;='Reverse Search'!$L$10,1,0),IF('Reverse Search'!$K$10="≤",IF(K481&lt;='Reverse Search'!$L$10,1,0),IF(K481='Reverse Search'!$L$10,1,0)))))</f>
        <v>1</v>
      </c>
      <c r="Y481" s="367" t="n">
        <f aca="false">IF('Reverse Search'!$N$7="Disable",1,IF('Reverse Search'!$I$11="Disable",1,IF('Reverse Search'!$K$11="≥",IF(L481&gt;='Reverse Search'!$L$11,1,0),IF('Reverse Search'!$K$11="≤",IF(L481&lt;='Reverse Search'!$L$11,1,0),IF(L481='Reverse Search'!$L$11,1,0)))))</f>
        <v>1</v>
      </c>
      <c r="Z481" s="0" t="n">
        <f aca="true">IF('Reverse Search'!$C$14="Disable",1,IF('Reverse Search'!$D$16="Disable",1,IF($C$2=3,IF($M481=0,0,COUNTIF(INDIRECT("'0.0.2 Pokémon Learnset (Core)'!$D$"&amp;MATCH($E481,'0.0.2 Pokémon Learnset (Core)'!$A$1:$A951,0)&amp;":$FK$"&amp;MATCH($E481,'0.0.2 Pokémon Learnset (Core)'!$A$1:$A951,0)),'Reverse Search'!$E$21)),IF($C$2=2,COUNTIF(INDIRECT("'0.1.1 Pokémon GO Moves'!$B$"&amp;MATCH($E481,'0.1.1 Pokémon GO Moves'!$A$1:$A951,0)&amp;":$R$"&amp;MATCH($E481,'0.1.1 Pokémon GO Moves'!$A$1:$A951,0)),'Reverse Search'!$E$21),COUNTIF(INDIRECT("'0.1.1 Pokémon GO Moves'!$B$"&amp;MATCH($E481,'0.1.1 Pokémon GO Moves'!$A$1:$A951,0)&amp;":$L$"&amp;MATCH($E481,'0.1.1 Pokémon GO Moves'!$A$1:$A951,0)),'Reverse Search'!$E$21)))))</f>
        <v>1</v>
      </c>
      <c r="AA481" s="0" t="n">
        <f aca="true">IF('Reverse Search'!$C$14="Disable",1,IF('Reverse Search'!$I$16="Disable",1,IF($D$2=3,IF($M481=0,0,COUNTIF(INDIRECT("'0.0.2 Pokémon Learnset (Core)'!$D$"&amp;MATCH($E481,'0.0.2 Pokémon Learnset (Core)'!$A$1:$A951,0)&amp;":$FK$"&amp;MATCH($E481,'0.0.2 Pokémon Learnset (Core)'!$A$1:$A951,0)),'Reverse Search'!$J$21)),IF($D$2=2,COUNTIF(INDIRECT("'0.1.1 Pokémon GO Moves'!$B$"&amp;MATCH($E481,'0.1.1 Pokémon GO Moves'!$A$1:$A951,0)&amp;":$R$"&amp;MATCH($E481,'0.1.1 Pokémon GO Moves'!$A$1:$A951,0)),'Reverse Search'!$J$21),COUNTIF(INDIRECT("'0.1.1 Pokémon GO Moves'!$B$"&amp;MATCH($E481,'0.1.1 Pokémon GO Moves'!$A$1:$A951,0)&amp;":$L$"&amp;MATCH($E481,'0.1.1 Pokémon GO Moves'!$A$1:$A951,0)),'Reverse Search'!$J$21)))))</f>
        <v>0</v>
      </c>
      <c r="AB481" s="490"/>
      <c r="AC481" s="260" t="n">
        <f aca="false">IF((Q481+R481+S481+V481+W481+X481+Y481+IF(Z481&gt;=1,1,0)+IF(AA481&gt;=1,1,0))=9,G481&amp;", ",)</f>
        <v>0</v>
      </c>
    </row>
    <row r="482" customFormat="false" ht="15.75" hidden="false" customHeight="false" outlineLevel="0" collapsed="false">
      <c r="A482" s="260"/>
      <c r="B482" s="358"/>
      <c r="C482" s="260"/>
      <c r="D482" s="358"/>
      <c r="E482" s="260" t="n">
        <v>481</v>
      </c>
      <c r="F482" s="260" t="n">
        <f aca="false" t="array" ref="F482:F482">INDEX('0.0.1 Pokémon Dex Data'!$H$3:$H951,MATCH(E482,'0.0.1 Pokémon Dex Data'!$B$3:$B951,0))</f>
        <v>0</v>
      </c>
      <c r="G482" s="0" t="str">
        <f aca="false" t="array" ref="G482:G482">INDEX('0.0.1 Pokémon Dex Data'!$E$3:$E951,MATCH(E482,'0.0.1 Pokémon Dex Data'!$B$3:$B951,0))</f>
        <v>Wormadam-Sandy</v>
      </c>
      <c r="H482" s="0" t="str">
        <f aca="false" t="array" ref="H482:H482">INDEX('0.0.1 Pokémon Dex Data'!$Q$3:$Q951,MATCH(E482,'0.0.1 Pokémon Dex Data'!$B$3:$B951,0))</f>
        <v>Bug</v>
      </c>
      <c r="I482" s="0" t="str">
        <f aca="false" t="array" ref="I482:I482">INDEX('0.0.1 Pokémon Dex Data'!$R$3:$R951,MATCH(E482,'0.0.1 Pokémon Dex Data'!$B$3:$B951,0))</f>
        <v>Ground</v>
      </c>
      <c r="J482" s="260" t="n">
        <f aca="false" t="array" ref="J482:J482">ROUND(INDEX('0.0.1 Pokémon Dex Data'!$S$3:$S951,MATCH($E482,'0.0.1 Pokémon Dex Data'!$B$3:$B951,0))*INDEX('0.0.1 Pokémon Dex Data'!T$3:T951,MATCH($E482,'0.0.1 Pokémon Dex Data'!$B$3:$B951,0)),0)</f>
        <v>141</v>
      </c>
      <c r="K482" s="260" t="n">
        <f aca="false" t="array" ref="K482:K482">ROUND(INDEX('0.0.1 Pokémon Dex Data'!$S$3:$S951,MATCH($E482,'0.0.1 Pokémon Dex Data'!$B$3:$B951,0))*INDEX('0.0.1 Pokémon Dex Data'!U$3:U951,MATCH($E482,'0.0.1 Pokémon Dex Data'!$B$3:$B951,0)),0)</f>
        <v>180</v>
      </c>
      <c r="L482" s="260" t="n">
        <f aca="false" t="array" ref="L482:L482">ROUND(INDEX('0.0.1 Pokémon Dex Data'!$S$3:$S951,MATCH($E482,'0.0.1 Pokémon Dex Data'!$B$3:$B951,0))*INDEX('0.0.1 Pokémon Dex Data'!V$3:V951,MATCH($E482,'0.0.1 Pokémon Dex Data'!$B$3:$B951,0)),0)</f>
        <v>155</v>
      </c>
      <c r="M482" s="260" t="n">
        <f aca="false" t="array" ref="M482:M482">INDEX('0.0.1 Pokémon Dex Data'!$J$3:$J951,MATCH(E482,'0.0.1 Pokémon Dex Data'!$B$3:$B951,0))</f>
        <v>1</v>
      </c>
      <c r="O482" s="490"/>
      <c r="Q482" s="367" t="n">
        <f aca="false">IF('Reverse Search'!$F$4="All (including temporary formes)",1,IF('Reverse Search'!$F$4="Base Pokémon and permanent formes only",IF(F482&lt;=1,1,0),IF(F482=0,1,0)))</f>
        <v>1</v>
      </c>
      <c r="R482" s="0" t="n">
        <f aca="false">IF('Reverse Search'!$C$7="Disable",1,IF('Reverse Search'!$D$9="Disable",1,IF(OR('Reverse Search'!$F$9=H482,'Reverse Search'!$F$9=I482),1,0)))</f>
        <v>1</v>
      </c>
      <c r="S482" s="0" t="n">
        <f aca="false">IF('Reverse Search'!$C$7="Disable",1,IF('Reverse Search'!$D$10="Disable",1,IF(OR('Reverse Search'!$F$10=H482,'Reverse Search'!$F$10=I482),1,0)))</f>
        <v>1</v>
      </c>
      <c r="T482" s="0" t="n">
        <f aca="false">INDEX($B$4:$B$22,MATCH(H482,$A$4:$A$22,0))</f>
        <v>1</v>
      </c>
      <c r="U482" s="0" t="n">
        <f aca="false">IF(ISBLANK(I482),1,INDEX($B$4:$B$22,MATCH(I482,$A$4:$A$22,0)))</f>
        <v>1</v>
      </c>
      <c r="V482" s="367" t="n">
        <f aca="false">IF('Reverse Search'!$C$7="Disable",1,IF('Reverse Search'!$D$11="Disable",1,IF('Reverse Search'!$E$11="Neutral to:",IF(ROUND(T482*U482,2)&lt;=1,1,0),IF(ROUND(T482*U482,2)&lt;1,1,0))))</f>
        <v>1</v>
      </c>
      <c r="W482" s="0" t="n">
        <f aca="false">IF('Reverse Search'!$N$7="Disable",1,IF('Reverse Search'!$I$9="Disable",1,IF('Reverse Search'!$K$9="≥",IF(J482&gt;='Reverse Search'!$L$9,1,0),IF('Reverse Search'!$K$9="≤",IF(J482&lt;='Reverse Search'!$L$9,1,0),IF(J482='Reverse Search'!$L$9,1,0)))))</f>
        <v>1</v>
      </c>
      <c r="X482" s="0" t="n">
        <f aca="false">IF('Reverse Search'!$N$7="Disable",1,IF('Reverse Search'!$I$10="Disable",1,IF('Reverse Search'!$K$10="≥",IF(K482&gt;='Reverse Search'!$L$10,1,0),IF('Reverse Search'!$K$10="≤",IF(K482&lt;='Reverse Search'!$L$10,1,0),IF(K482='Reverse Search'!$L$10,1,0)))))</f>
        <v>1</v>
      </c>
      <c r="Y482" s="367" t="n">
        <f aca="false">IF('Reverse Search'!$N$7="Disable",1,IF('Reverse Search'!$I$11="Disable",1,IF('Reverse Search'!$K$11="≥",IF(L482&gt;='Reverse Search'!$L$11,1,0),IF('Reverse Search'!$K$11="≤",IF(L482&lt;='Reverse Search'!$L$11,1,0),IF(L482='Reverse Search'!$L$11,1,0)))))</f>
        <v>1</v>
      </c>
      <c r="Z482" s="0" t="n">
        <f aca="true">IF('Reverse Search'!$C$14="Disable",1,IF('Reverse Search'!$D$16="Disable",1,IF($C$2=3,IF($M482=0,0,COUNTIF(INDIRECT("'0.0.2 Pokémon Learnset (Core)'!$D$"&amp;MATCH($E482,'0.0.2 Pokémon Learnset (Core)'!$A$1:$A951,0)&amp;":$FK$"&amp;MATCH($E482,'0.0.2 Pokémon Learnset (Core)'!$A$1:$A951,0)),'Reverse Search'!$E$21)),IF($C$2=2,COUNTIF(INDIRECT("'0.1.1 Pokémon GO Moves'!$B$"&amp;MATCH($E482,'0.1.1 Pokémon GO Moves'!$A$1:$A951,0)&amp;":$R$"&amp;MATCH($E482,'0.1.1 Pokémon GO Moves'!$A$1:$A951,0)),'Reverse Search'!$E$21),COUNTIF(INDIRECT("'0.1.1 Pokémon GO Moves'!$B$"&amp;MATCH($E482,'0.1.1 Pokémon GO Moves'!$A$1:$A951,0)&amp;":$L$"&amp;MATCH($E482,'0.1.1 Pokémon GO Moves'!$A$1:$A951,0)),'Reverse Search'!$E$21)))))</f>
        <v>1</v>
      </c>
      <c r="AA482" s="0" t="e">
        <f aca="true">IF('Reverse Search'!$C$14="Disable",1,IF('Reverse Search'!$I$16="Disable",1,IF($D$2=3,IF($M482=0,0,COUNTIF(INDIRECT("'0.0.2 Pokémon Learnset (Core)'!$D$"&amp;MATCH($E482,'0.0.2 Pokémon Learnset (Core)'!$A$1:$A951,0)&amp;":$FK$"&amp;MATCH($E482,'0.0.2 Pokémon Learnset (Core)'!$A$1:$A951,0)),'Reverse Search'!$J$21)),IF($D$2=2,COUNTIF(INDIRECT("'0.1.1 Pokémon GO Moves'!$B$"&amp;MATCH($E482,'0.1.1 Pokémon GO Moves'!$A$1:$A951,0)&amp;":$R$"&amp;MATCH($E482,'0.1.1 Pokémon GO Moves'!$A$1:$A951,0)),'Reverse Search'!$J$21),COUNTIF(INDIRECT("'0.1.1 Pokémon GO Moves'!$B$"&amp;MATCH($E482,'0.1.1 Pokémon GO Moves'!$A$1:$A951,0)&amp;":$L$"&amp;MATCH($E482,'0.1.1 Pokémon GO Moves'!$A$1:$A951,0)),'Reverse Search'!$J$21)))))</f>
        <v>#N/A</v>
      </c>
      <c r="AB482" s="490"/>
      <c r="AC482" s="260" t="e">
        <f aca="false">IF((Q482+R482+S482+V482+W482+X482+Y482+IF(Z482&gt;=1,1,0)+IF(AA482&gt;=1,1,0))=9,G482&amp;", ",)</f>
        <v>#N/A</v>
      </c>
    </row>
    <row r="483" customFormat="false" ht="15.75" hidden="false" customHeight="false" outlineLevel="0" collapsed="false">
      <c r="A483" s="260"/>
      <c r="B483" s="358"/>
      <c r="C483" s="260"/>
      <c r="D483" s="358"/>
      <c r="E483" s="260" t="n">
        <v>482</v>
      </c>
      <c r="F483" s="260" t="n">
        <f aca="false" t="array" ref="F483:F483">INDEX('0.0.1 Pokémon Dex Data'!$H$3:$H951,MATCH(E483,'0.0.1 Pokémon Dex Data'!$B$3:$B951,0))</f>
        <v>0</v>
      </c>
      <c r="G483" s="0" t="str">
        <f aca="false" t="array" ref="G483:G483">INDEX('0.0.1 Pokémon Dex Data'!$E$3:$E951,MATCH(E483,'0.0.1 Pokémon Dex Data'!$B$3:$B951,0))</f>
        <v>Wormadam-Trash</v>
      </c>
      <c r="H483" s="0" t="str">
        <f aca="false" t="array" ref="H483:H483">INDEX('0.0.1 Pokémon Dex Data'!$Q$3:$Q951,MATCH(E483,'0.0.1 Pokémon Dex Data'!$B$3:$B951,0))</f>
        <v>Bug</v>
      </c>
      <c r="I483" s="0" t="str">
        <f aca="false" t="array" ref="I483:I483">INDEX('0.0.1 Pokémon Dex Data'!$R$3:$R951,MATCH(E483,'0.0.1 Pokémon Dex Data'!$B$3:$B951,0))</f>
        <v>Steel</v>
      </c>
      <c r="J483" s="260" t="n">
        <f aca="false" t="array" ref="J483:J483">ROUND(INDEX('0.0.1 Pokémon Dex Data'!$S$3:$S951,MATCH($E483,'0.0.1 Pokémon Dex Data'!$B$3:$B951,0))*INDEX('0.0.1 Pokémon Dex Data'!T$3:T951,MATCH($E483,'0.0.1 Pokémon Dex Data'!$B$3:$B951,0)),0)</f>
        <v>141</v>
      </c>
      <c r="K483" s="260" t="n">
        <f aca="false" t="array" ref="K483:K483">ROUND(INDEX('0.0.1 Pokémon Dex Data'!$S$3:$S951,MATCH($E483,'0.0.1 Pokémon Dex Data'!$B$3:$B951,0))*INDEX('0.0.1 Pokémon Dex Data'!U$3:U951,MATCH($E483,'0.0.1 Pokémon Dex Data'!$B$3:$B951,0)),0)</f>
        <v>180</v>
      </c>
      <c r="L483" s="260" t="n">
        <f aca="false" t="array" ref="L483:L483">ROUND(INDEX('0.0.1 Pokémon Dex Data'!$S$3:$S951,MATCH($E483,'0.0.1 Pokémon Dex Data'!$B$3:$B951,0))*INDEX('0.0.1 Pokémon Dex Data'!V$3:V951,MATCH($E483,'0.0.1 Pokémon Dex Data'!$B$3:$B951,0)),0)</f>
        <v>155</v>
      </c>
      <c r="M483" s="260" t="n">
        <f aca="false" t="array" ref="M483:M483">INDEX('0.0.1 Pokémon Dex Data'!$J$3:$J951,MATCH(E483,'0.0.1 Pokémon Dex Data'!$B$3:$B951,0))</f>
        <v>1</v>
      </c>
      <c r="O483" s="490"/>
      <c r="Q483" s="367" t="n">
        <f aca="false">IF('Reverse Search'!$F$4="All (including temporary formes)",1,IF('Reverse Search'!$F$4="Base Pokémon and permanent formes only",IF(F483&lt;=1,1,0),IF(F483=0,1,0)))</f>
        <v>1</v>
      </c>
      <c r="R483" s="0" t="n">
        <f aca="false">IF('Reverse Search'!$C$7="Disable",1,IF('Reverse Search'!$D$9="Disable",1,IF(OR('Reverse Search'!$F$9=H483,'Reverse Search'!$F$9=I483),1,0)))</f>
        <v>1</v>
      </c>
      <c r="S483" s="0" t="n">
        <f aca="false">IF('Reverse Search'!$C$7="Disable",1,IF('Reverse Search'!$D$10="Disable",1,IF(OR('Reverse Search'!$F$10=H483,'Reverse Search'!$F$10=I483),1,0)))</f>
        <v>1</v>
      </c>
      <c r="T483" s="0" t="n">
        <f aca="false">INDEX($B$4:$B$22,MATCH(H483,$A$4:$A$22,0))</f>
        <v>1</v>
      </c>
      <c r="U483" s="0" t="n">
        <f aca="false">IF(ISBLANK(I483),1,INDEX($B$4:$B$22,MATCH(I483,$A$4:$A$22,0)))</f>
        <v>0.714</v>
      </c>
      <c r="V483" s="367" t="n">
        <f aca="false">IF('Reverse Search'!$C$7="Disable",1,IF('Reverse Search'!$D$11="Disable",1,IF('Reverse Search'!$E$11="Neutral to:",IF(ROUND(T483*U483,2)&lt;=1,1,0),IF(ROUND(T483*U483,2)&lt;1,1,0))))</f>
        <v>1</v>
      </c>
      <c r="W483" s="0" t="n">
        <f aca="false">IF('Reverse Search'!$N$7="Disable",1,IF('Reverse Search'!$I$9="Disable",1,IF('Reverse Search'!$K$9="≥",IF(J483&gt;='Reverse Search'!$L$9,1,0),IF('Reverse Search'!$K$9="≤",IF(J483&lt;='Reverse Search'!$L$9,1,0),IF(J483='Reverse Search'!$L$9,1,0)))))</f>
        <v>1</v>
      </c>
      <c r="X483" s="0" t="n">
        <f aca="false">IF('Reverse Search'!$N$7="Disable",1,IF('Reverse Search'!$I$10="Disable",1,IF('Reverse Search'!$K$10="≥",IF(K483&gt;='Reverse Search'!$L$10,1,0),IF('Reverse Search'!$K$10="≤",IF(K483&lt;='Reverse Search'!$L$10,1,0),IF(K483='Reverse Search'!$L$10,1,0)))))</f>
        <v>1</v>
      </c>
      <c r="Y483" s="367" t="n">
        <f aca="false">IF('Reverse Search'!$N$7="Disable",1,IF('Reverse Search'!$I$11="Disable",1,IF('Reverse Search'!$K$11="≥",IF(L483&gt;='Reverse Search'!$L$11,1,0),IF('Reverse Search'!$K$11="≤",IF(L483&lt;='Reverse Search'!$L$11,1,0),IF(L483='Reverse Search'!$L$11,1,0)))))</f>
        <v>1</v>
      </c>
      <c r="Z483" s="0" t="n">
        <f aca="true">IF('Reverse Search'!$C$14="Disable",1,IF('Reverse Search'!$D$16="Disable",1,IF($C$2=3,IF($M483=0,0,COUNTIF(INDIRECT("'0.0.2 Pokémon Learnset (Core)'!$D$"&amp;MATCH($E483,'0.0.2 Pokémon Learnset (Core)'!$A$1:$A951,0)&amp;":$FK$"&amp;MATCH($E483,'0.0.2 Pokémon Learnset (Core)'!$A$1:$A951,0)),'Reverse Search'!$E$21)),IF($C$2=2,COUNTIF(INDIRECT("'0.1.1 Pokémon GO Moves'!$B$"&amp;MATCH($E483,'0.1.1 Pokémon GO Moves'!$A$1:$A951,0)&amp;":$R$"&amp;MATCH($E483,'0.1.1 Pokémon GO Moves'!$A$1:$A951,0)),'Reverse Search'!$E$21),COUNTIF(INDIRECT("'0.1.1 Pokémon GO Moves'!$B$"&amp;MATCH($E483,'0.1.1 Pokémon GO Moves'!$A$1:$A951,0)&amp;":$L$"&amp;MATCH($E483,'0.1.1 Pokémon GO Moves'!$A$1:$A951,0)),'Reverse Search'!$E$21)))))</f>
        <v>1</v>
      </c>
      <c r="AA483" s="0" t="e">
        <f aca="true">IF('Reverse Search'!$C$14="Disable",1,IF('Reverse Search'!$I$16="Disable",1,IF($D$2=3,IF($M483=0,0,COUNTIF(INDIRECT("'0.0.2 Pokémon Learnset (Core)'!$D$"&amp;MATCH($E483,'0.0.2 Pokémon Learnset (Core)'!$A$1:$A951,0)&amp;":$FK$"&amp;MATCH($E483,'0.0.2 Pokémon Learnset (Core)'!$A$1:$A951,0)),'Reverse Search'!$J$21)),IF($D$2=2,COUNTIF(INDIRECT("'0.1.1 Pokémon GO Moves'!$B$"&amp;MATCH($E483,'0.1.1 Pokémon GO Moves'!$A$1:$A951,0)&amp;":$R$"&amp;MATCH($E483,'0.1.1 Pokémon GO Moves'!$A$1:$A951,0)),'Reverse Search'!$J$21),COUNTIF(INDIRECT("'0.1.1 Pokémon GO Moves'!$B$"&amp;MATCH($E483,'0.1.1 Pokémon GO Moves'!$A$1:$A951,0)&amp;":$L$"&amp;MATCH($E483,'0.1.1 Pokémon GO Moves'!$A$1:$A951,0)),'Reverse Search'!$J$21)))))</f>
        <v>#N/A</v>
      </c>
      <c r="AB483" s="490"/>
      <c r="AC483" s="260" t="e">
        <f aca="false">IF((Q483+R483+S483+V483+W483+X483+Y483+IF(Z483&gt;=1,1,0)+IF(AA483&gt;=1,1,0))=9,G483&amp;", ",)</f>
        <v>#N/A</v>
      </c>
    </row>
    <row r="484" customFormat="false" ht="15.75" hidden="false" customHeight="false" outlineLevel="0" collapsed="false">
      <c r="A484" s="260"/>
      <c r="B484" s="358"/>
      <c r="C484" s="260"/>
      <c r="D484" s="358"/>
      <c r="E484" s="260" t="n">
        <v>483</v>
      </c>
      <c r="F484" s="260" t="n">
        <f aca="false" t="array" ref="F484:F484">INDEX('0.0.1 Pokémon Dex Data'!$H$3:$H951,MATCH(E484,'0.0.1 Pokémon Dex Data'!$B$3:$B951,0))</f>
        <v>0</v>
      </c>
      <c r="G484" s="0" t="str">
        <f aca="false" t="array" ref="G484:G484">INDEX('0.0.1 Pokémon Dex Data'!$E$3:$E951,MATCH(E484,'0.0.1 Pokémon Dex Data'!$B$3:$B951,0))</f>
        <v>Mothim</v>
      </c>
      <c r="H484" s="0" t="str">
        <f aca="false" t="array" ref="H484:H484">INDEX('0.0.1 Pokémon Dex Data'!$Q$3:$Q951,MATCH(E484,'0.0.1 Pokémon Dex Data'!$B$3:$B951,0))</f>
        <v>Bug</v>
      </c>
      <c r="I484" s="0" t="str">
        <f aca="false" t="array" ref="I484:I484">INDEX('0.0.1 Pokémon Dex Data'!$R$3:$R951,MATCH(E484,'0.0.1 Pokémon Dex Data'!$B$3:$B951,0))</f>
        <v>Flying</v>
      </c>
      <c r="J484" s="260" t="n">
        <f aca="false" t="array" ref="J484:J484">ROUND(INDEX('0.0.1 Pokémon Dex Data'!$S$3:$S951,MATCH($E484,'0.0.1 Pokémon Dex Data'!$B$3:$B951,0))*INDEX('0.0.1 Pokémon Dex Data'!T$3:T951,MATCH($E484,'0.0.1 Pokémon Dex Data'!$B$3:$B951,0)),0)</f>
        <v>185</v>
      </c>
      <c r="K484" s="260" t="n">
        <f aca="false" t="array" ref="K484:K484">ROUND(INDEX('0.0.1 Pokémon Dex Data'!$S$3:$S951,MATCH($E484,'0.0.1 Pokémon Dex Data'!$B$3:$B951,0))*INDEX('0.0.1 Pokémon Dex Data'!U$3:U951,MATCH($E484,'0.0.1 Pokémon Dex Data'!$B$3:$B951,0)),0)</f>
        <v>98</v>
      </c>
      <c r="L484" s="260" t="n">
        <f aca="false" t="array" ref="L484:L484">ROUND(INDEX('0.0.1 Pokémon Dex Data'!$S$3:$S951,MATCH($E484,'0.0.1 Pokémon Dex Data'!$B$3:$B951,0))*INDEX('0.0.1 Pokémon Dex Data'!V$3:V951,MATCH($E484,'0.0.1 Pokémon Dex Data'!$B$3:$B951,0)),0)</f>
        <v>172</v>
      </c>
      <c r="M484" s="260" t="n">
        <f aca="false" t="array" ref="M484:M484">INDEX('0.0.1 Pokémon Dex Data'!$J$3:$J951,MATCH(E484,'0.0.1 Pokémon Dex Data'!$B$3:$B951,0))</f>
        <v>1</v>
      </c>
      <c r="O484" s="490"/>
      <c r="Q484" s="367" t="n">
        <f aca="false">IF('Reverse Search'!$F$4="All (including temporary formes)",1,IF('Reverse Search'!$F$4="Base Pokémon and permanent formes only",IF(F484&lt;=1,1,0),IF(F484=0,1,0)))</f>
        <v>1</v>
      </c>
      <c r="R484" s="0" t="n">
        <f aca="false">IF('Reverse Search'!$C$7="Disable",1,IF('Reverse Search'!$D$9="Disable",1,IF(OR('Reverse Search'!$F$9=H484,'Reverse Search'!$F$9=I484),1,0)))</f>
        <v>1</v>
      </c>
      <c r="S484" s="0" t="n">
        <f aca="false">IF('Reverse Search'!$C$7="Disable",1,IF('Reverse Search'!$D$10="Disable",1,IF(OR('Reverse Search'!$F$10=H484,'Reverse Search'!$F$10=I484),1,0)))</f>
        <v>1</v>
      </c>
      <c r="T484" s="0" t="n">
        <f aca="false">INDEX($B$4:$B$22,MATCH(H484,$A$4:$A$22,0))</f>
        <v>1</v>
      </c>
      <c r="U484" s="0" t="n">
        <f aca="false">IF(ISBLANK(I484),1,INDEX($B$4:$B$22,MATCH(I484,$A$4:$A$22,0)))</f>
        <v>1</v>
      </c>
      <c r="V484" s="367" t="n">
        <f aca="false">IF('Reverse Search'!$C$7="Disable",1,IF('Reverse Search'!$D$11="Disable",1,IF('Reverse Search'!$E$11="Neutral to:",IF(ROUND(T484*U484,2)&lt;=1,1,0),IF(ROUND(T484*U484,2)&lt;1,1,0))))</f>
        <v>1</v>
      </c>
      <c r="W484" s="0" t="n">
        <f aca="false">IF('Reverse Search'!$N$7="Disable",1,IF('Reverse Search'!$I$9="Disable",1,IF('Reverse Search'!$K$9="≥",IF(J484&gt;='Reverse Search'!$L$9,1,0),IF('Reverse Search'!$K$9="≤",IF(J484&lt;='Reverse Search'!$L$9,1,0),IF(J484='Reverse Search'!$L$9,1,0)))))</f>
        <v>1</v>
      </c>
      <c r="X484" s="0" t="n">
        <f aca="false">IF('Reverse Search'!$N$7="Disable",1,IF('Reverse Search'!$I$10="Disable",1,IF('Reverse Search'!$K$10="≥",IF(K484&gt;='Reverse Search'!$L$10,1,0),IF('Reverse Search'!$K$10="≤",IF(K484&lt;='Reverse Search'!$L$10,1,0),IF(K484='Reverse Search'!$L$10,1,0)))))</f>
        <v>1</v>
      </c>
      <c r="Y484" s="367" t="n">
        <f aca="false">IF('Reverse Search'!$N$7="Disable",1,IF('Reverse Search'!$I$11="Disable",1,IF('Reverse Search'!$K$11="≥",IF(L484&gt;='Reverse Search'!$L$11,1,0),IF('Reverse Search'!$K$11="≤",IF(L484&lt;='Reverse Search'!$L$11,1,0),IF(L484='Reverse Search'!$L$11,1,0)))))</f>
        <v>1</v>
      </c>
      <c r="Z484" s="0" t="n">
        <f aca="true">IF('Reverse Search'!$C$14="Disable",1,IF('Reverse Search'!$D$16="Disable",1,IF($C$2=3,IF($M484=0,0,COUNTIF(INDIRECT("'0.0.2 Pokémon Learnset (Core)'!$D$"&amp;MATCH($E484,'0.0.2 Pokémon Learnset (Core)'!$A$1:$A951,0)&amp;":$FK$"&amp;MATCH($E484,'0.0.2 Pokémon Learnset (Core)'!$A$1:$A951,0)),'Reverse Search'!$E$21)),IF($C$2=2,COUNTIF(INDIRECT("'0.1.1 Pokémon GO Moves'!$B$"&amp;MATCH($E484,'0.1.1 Pokémon GO Moves'!$A$1:$A951,0)&amp;":$R$"&amp;MATCH($E484,'0.1.1 Pokémon GO Moves'!$A$1:$A951,0)),'Reverse Search'!$E$21),COUNTIF(INDIRECT("'0.1.1 Pokémon GO Moves'!$B$"&amp;MATCH($E484,'0.1.1 Pokémon GO Moves'!$A$1:$A951,0)&amp;":$L$"&amp;MATCH($E484,'0.1.1 Pokémon GO Moves'!$A$1:$A951,0)),'Reverse Search'!$E$21)))))</f>
        <v>1</v>
      </c>
      <c r="AA484" s="0" t="n">
        <f aca="true">IF('Reverse Search'!$C$14="Disable",1,IF('Reverse Search'!$I$16="Disable",1,IF($D$2=3,IF($M484=0,0,COUNTIF(INDIRECT("'0.0.2 Pokémon Learnset (Core)'!$D$"&amp;MATCH($E484,'0.0.2 Pokémon Learnset (Core)'!$A$1:$A951,0)&amp;":$FK$"&amp;MATCH($E484,'0.0.2 Pokémon Learnset (Core)'!$A$1:$A951,0)),'Reverse Search'!$J$21)),IF($D$2=2,COUNTIF(INDIRECT("'0.1.1 Pokémon GO Moves'!$B$"&amp;MATCH($E484,'0.1.1 Pokémon GO Moves'!$A$1:$A951,0)&amp;":$R$"&amp;MATCH($E484,'0.1.1 Pokémon GO Moves'!$A$1:$A951,0)),'Reverse Search'!$J$21),COUNTIF(INDIRECT("'0.1.1 Pokémon GO Moves'!$B$"&amp;MATCH($E484,'0.1.1 Pokémon GO Moves'!$A$1:$A951,0)&amp;":$L$"&amp;MATCH($E484,'0.1.1 Pokémon GO Moves'!$A$1:$A951,0)),'Reverse Search'!$J$21)))))</f>
        <v>0</v>
      </c>
      <c r="AB484" s="490"/>
      <c r="AC484" s="260" t="n">
        <f aca="false">IF((Q484+R484+S484+V484+W484+X484+Y484+IF(Z484&gt;=1,1,0)+IF(AA484&gt;=1,1,0))=9,G484&amp;", ",)</f>
        <v>0</v>
      </c>
    </row>
    <row r="485" customFormat="false" ht="15.75" hidden="false" customHeight="false" outlineLevel="0" collapsed="false">
      <c r="A485" s="260"/>
      <c r="B485" s="358"/>
      <c r="C485" s="260"/>
      <c r="D485" s="358"/>
      <c r="E485" s="260" t="n">
        <v>484</v>
      </c>
      <c r="F485" s="260" t="n">
        <f aca="false" t="array" ref="F485:F485">INDEX('0.0.1 Pokémon Dex Data'!$H$3:$H951,MATCH(E485,'0.0.1 Pokémon Dex Data'!$B$3:$B951,0))</f>
        <v>0</v>
      </c>
      <c r="G485" s="0" t="str">
        <f aca="false" t="array" ref="G485:G485">INDEX('0.0.1 Pokémon Dex Data'!$E$3:$E951,MATCH(E485,'0.0.1 Pokémon Dex Data'!$B$3:$B951,0))</f>
        <v>Combee</v>
      </c>
      <c r="H485" s="0" t="str">
        <f aca="false" t="array" ref="H485:H485">INDEX('0.0.1 Pokémon Dex Data'!$Q$3:$Q951,MATCH(E485,'0.0.1 Pokémon Dex Data'!$B$3:$B951,0))</f>
        <v>Bug</v>
      </c>
      <c r="I485" s="0" t="str">
        <f aca="false" t="array" ref="I485:I485">INDEX('0.0.1 Pokémon Dex Data'!$R$3:$R951,MATCH(E485,'0.0.1 Pokémon Dex Data'!$B$3:$B951,0))</f>
        <v>Flying</v>
      </c>
      <c r="J485" s="260" t="n">
        <f aca="false" t="array" ref="J485:J485">ROUND(INDEX('0.0.1 Pokémon Dex Data'!$S$3:$S951,MATCH($E485,'0.0.1 Pokémon Dex Data'!$B$3:$B951,0))*INDEX('0.0.1 Pokémon Dex Data'!T$3:T951,MATCH($E485,'0.0.1 Pokémon Dex Data'!$B$3:$B951,0)),0)</f>
        <v>59</v>
      </c>
      <c r="K485" s="260" t="n">
        <f aca="false" t="array" ref="K485:K485">ROUND(INDEX('0.0.1 Pokémon Dex Data'!$S$3:$S951,MATCH($E485,'0.0.1 Pokémon Dex Data'!$B$3:$B951,0))*INDEX('0.0.1 Pokémon Dex Data'!U$3:U951,MATCH($E485,'0.0.1 Pokémon Dex Data'!$B$3:$B951,0)),0)</f>
        <v>83</v>
      </c>
      <c r="L485" s="260" t="n">
        <f aca="false" t="array" ref="L485:L485">ROUND(INDEX('0.0.1 Pokémon Dex Data'!$S$3:$S951,MATCH($E485,'0.0.1 Pokémon Dex Data'!$B$3:$B951,0))*INDEX('0.0.1 Pokémon Dex Data'!V$3:V951,MATCH($E485,'0.0.1 Pokémon Dex Data'!$B$3:$B951,0)),0)</f>
        <v>102</v>
      </c>
      <c r="M485" s="260" t="n">
        <f aca="false" t="array" ref="M485:M485">INDEX('0.0.1 Pokémon Dex Data'!$J$3:$J951,MATCH(E485,'0.0.1 Pokémon Dex Data'!$B$3:$B951,0))</f>
        <v>0</v>
      </c>
      <c r="O485" s="490"/>
      <c r="Q485" s="367" t="n">
        <f aca="false">IF('Reverse Search'!$F$4="All (including temporary formes)",1,IF('Reverse Search'!$F$4="Base Pokémon and permanent formes only",IF(F485&lt;=1,1,0),IF(F485=0,1,0)))</f>
        <v>1</v>
      </c>
      <c r="R485" s="0" t="n">
        <f aca="false">IF('Reverse Search'!$C$7="Disable",1,IF('Reverse Search'!$D$9="Disable",1,IF(OR('Reverse Search'!$F$9=H485,'Reverse Search'!$F$9=I485),1,0)))</f>
        <v>1</v>
      </c>
      <c r="S485" s="0" t="n">
        <f aca="false">IF('Reverse Search'!$C$7="Disable",1,IF('Reverse Search'!$D$10="Disable",1,IF(OR('Reverse Search'!$F$10=H485,'Reverse Search'!$F$10=I485),1,0)))</f>
        <v>1</v>
      </c>
      <c r="T485" s="0" t="n">
        <f aca="false">INDEX($B$4:$B$22,MATCH(H485,$A$4:$A$22,0))</f>
        <v>1</v>
      </c>
      <c r="U485" s="0" t="n">
        <f aca="false">IF(ISBLANK(I485),1,INDEX($B$4:$B$22,MATCH(I485,$A$4:$A$22,0)))</f>
        <v>1</v>
      </c>
      <c r="V485" s="367" t="n">
        <f aca="false">IF('Reverse Search'!$C$7="Disable",1,IF('Reverse Search'!$D$11="Disable",1,IF('Reverse Search'!$E$11="Neutral to:",IF(ROUND(T485*U485,2)&lt;=1,1,0),IF(ROUND(T485*U485,2)&lt;1,1,0))))</f>
        <v>1</v>
      </c>
      <c r="W485" s="0" t="n">
        <f aca="false">IF('Reverse Search'!$N$7="Disable",1,IF('Reverse Search'!$I$9="Disable",1,IF('Reverse Search'!$K$9="≥",IF(J485&gt;='Reverse Search'!$L$9,1,0),IF('Reverse Search'!$K$9="≤",IF(J485&lt;='Reverse Search'!$L$9,1,0),IF(J485='Reverse Search'!$L$9,1,0)))))</f>
        <v>1</v>
      </c>
      <c r="X485" s="0" t="n">
        <f aca="false">IF('Reverse Search'!$N$7="Disable",1,IF('Reverse Search'!$I$10="Disable",1,IF('Reverse Search'!$K$10="≥",IF(K485&gt;='Reverse Search'!$L$10,1,0),IF('Reverse Search'!$K$10="≤",IF(K485&lt;='Reverse Search'!$L$10,1,0),IF(K485='Reverse Search'!$L$10,1,0)))))</f>
        <v>1</v>
      </c>
      <c r="Y485" s="367" t="n">
        <f aca="false">IF('Reverse Search'!$N$7="Disable",1,IF('Reverse Search'!$I$11="Disable",1,IF('Reverse Search'!$K$11="≥",IF(L485&gt;='Reverse Search'!$L$11,1,0),IF('Reverse Search'!$K$11="≤",IF(L485&lt;='Reverse Search'!$L$11,1,0),IF(L485='Reverse Search'!$L$11,1,0)))))</f>
        <v>1</v>
      </c>
      <c r="Z485" s="0" t="n">
        <f aca="true">IF('Reverse Search'!$C$14="Disable",1,IF('Reverse Search'!$D$16="Disable",1,IF($C$2=3,IF($M485=0,0,COUNTIF(INDIRECT("'0.0.2 Pokémon Learnset (Core)'!$D$"&amp;MATCH($E485,'0.0.2 Pokémon Learnset (Core)'!$A$1:$A951,0)&amp;":$FK$"&amp;MATCH($E485,'0.0.2 Pokémon Learnset (Core)'!$A$1:$A951,0)),'Reverse Search'!$E$21)),IF($C$2=2,COUNTIF(INDIRECT("'0.1.1 Pokémon GO Moves'!$B$"&amp;MATCH($E485,'0.1.1 Pokémon GO Moves'!$A$1:$A951,0)&amp;":$R$"&amp;MATCH($E485,'0.1.1 Pokémon GO Moves'!$A$1:$A951,0)),'Reverse Search'!$E$21),COUNTIF(INDIRECT("'0.1.1 Pokémon GO Moves'!$B$"&amp;MATCH($E485,'0.1.1 Pokémon GO Moves'!$A$1:$A951,0)&amp;":$L$"&amp;MATCH($E485,'0.1.1 Pokémon GO Moves'!$A$1:$A951,0)),'Reverse Search'!$E$21)))))</f>
        <v>1</v>
      </c>
      <c r="AA485" s="0" t="n">
        <f aca="true">IF('Reverse Search'!$C$14="Disable",1,IF('Reverse Search'!$I$16="Disable",1,IF($D$2=3,IF($M485=0,0,COUNTIF(INDIRECT("'0.0.2 Pokémon Learnset (Core)'!$D$"&amp;MATCH($E485,'0.0.2 Pokémon Learnset (Core)'!$A$1:$A951,0)&amp;":$FK$"&amp;MATCH($E485,'0.0.2 Pokémon Learnset (Core)'!$A$1:$A951,0)),'Reverse Search'!$J$21)),IF($D$2=2,COUNTIF(INDIRECT("'0.1.1 Pokémon GO Moves'!$B$"&amp;MATCH($E485,'0.1.1 Pokémon GO Moves'!$A$1:$A951,0)&amp;":$R$"&amp;MATCH($E485,'0.1.1 Pokémon GO Moves'!$A$1:$A951,0)),'Reverse Search'!$J$21),COUNTIF(INDIRECT("'0.1.1 Pokémon GO Moves'!$B$"&amp;MATCH($E485,'0.1.1 Pokémon GO Moves'!$A$1:$A951,0)&amp;":$L$"&amp;MATCH($E485,'0.1.1 Pokémon GO Moves'!$A$1:$A951,0)),'Reverse Search'!$J$21)))))</f>
        <v>0</v>
      </c>
      <c r="AB485" s="490"/>
      <c r="AC485" s="260" t="n">
        <f aca="false">IF((Q485+R485+S485+V485+W485+X485+Y485+IF(Z485&gt;=1,1,0)+IF(AA485&gt;=1,1,0))=9,G485&amp;", ",)</f>
        <v>0</v>
      </c>
    </row>
    <row r="486" customFormat="false" ht="15.75" hidden="false" customHeight="false" outlineLevel="0" collapsed="false">
      <c r="A486" s="260"/>
      <c r="B486" s="358"/>
      <c r="C486" s="260"/>
      <c r="D486" s="358"/>
      <c r="E486" s="260" t="n">
        <v>485</v>
      </c>
      <c r="F486" s="260" t="n">
        <f aca="false" t="array" ref="F486:F486">INDEX('0.0.1 Pokémon Dex Data'!$H$3:$H951,MATCH(E486,'0.0.1 Pokémon Dex Data'!$B$3:$B951,0))</f>
        <v>0</v>
      </c>
      <c r="G486" s="0" t="str">
        <f aca="false" t="array" ref="G486:G486">INDEX('0.0.1 Pokémon Dex Data'!$E$3:$E951,MATCH(E486,'0.0.1 Pokémon Dex Data'!$B$3:$B951,0))</f>
        <v>Vespiquen</v>
      </c>
      <c r="H486" s="0" t="str">
        <f aca="false" t="array" ref="H486:H486">INDEX('0.0.1 Pokémon Dex Data'!$Q$3:$Q951,MATCH(E486,'0.0.1 Pokémon Dex Data'!$B$3:$B951,0))</f>
        <v>Bug</v>
      </c>
      <c r="I486" s="0" t="str">
        <f aca="false" t="array" ref="I486:I486">INDEX('0.0.1 Pokémon Dex Data'!$R$3:$R951,MATCH(E486,'0.0.1 Pokémon Dex Data'!$B$3:$B951,0))</f>
        <v>Flying</v>
      </c>
      <c r="J486" s="260" t="n">
        <f aca="false" t="array" ref="J486:J486">ROUND(INDEX('0.0.1 Pokémon Dex Data'!$S$3:$S951,MATCH($E486,'0.0.1 Pokémon Dex Data'!$B$3:$B951,0))*INDEX('0.0.1 Pokémon Dex Data'!T$3:T951,MATCH($E486,'0.0.1 Pokémon Dex Data'!$B$3:$B951,0)),0)</f>
        <v>149</v>
      </c>
      <c r="K486" s="260" t="n">
        <f aca="false" t="array" ref="K486:K486">ROUND(INDEX('0.0.1 Pokémon Dex Data'!$S$3:$S951,MATCH($E486,'0.0.1 Pokémon Dex Data'!$B$3:$B951,0))*INDEX('0.0.1 Pokémon Dex Data'!U$3:U951,MATCH($E486,'0.0.1 Pokémon Dex Data'!$B$3:$B951,0)),0)</f>
        <v>190</v>
      </c>
      <c r="L486" s="260" t="n">
        <f aca="false" t="array" ref="L486:L486">ROUND(INDEX('0.0.1 Pokémon Dex Data'!$S$3:$S951,MATCH($E486,'0.0.1 Pokémon Dex Data'!$B$3:$B951,0))*INDEX('0.0.1 Pokémon Dex Data'!V$3:V951,MATCH($E486,'0.0.1 Pokémon Dex Data'!$B$3:$B951,0)),0)</f>
        <v>172</v>
      </c>
      <c r="M486" s="260" t="n">
        <f aca="false" t="array" ref="M486:M486">INDEX('0.0.1 Pokémon Dex Data'!$J$3:$J951,MATCH(E486,'0.0.1 Pokémon Dex Data'!$B$3:$B951,0))</f>
        <v>1</v>
      </c>
      <c r="O486" s="490"/>
      <c r="Q486" s="367" t="n">
        <f aca="false">IF('Reverse Search'!$F$4="All (including temporary formes)",1,IF('Reverse Search'!$F$4="Base Pokémon and permanent formes only",IF(F486&lt;=1,1,0),IF(F486=0,1,0)))</f>
        <v>1</v>
      </c>
      <c r="R486" s="0" t="n">
        <f aca="false">IF('Reverse Search'!$C$7="Disable",1,IF('Reverse Search'!$D$9="Disable",1,IF(OR('Reverse Search'!$F$9=H486,'Reverse Search'!$F$9=I486),1,0)))</f>
        <v>1</v>
      </c>
      <c r="S486" s="0" t="n">
        <f aca="false">IF('Reverse Search'!$C$7="Disable",1,IF('Reverse Search'!$D$10="Disable",1,IF(OR('Reverse Search'!$F$10=H486,'Reverse Search'!$F$10=I486),1,0)))</f>
        <v>1</v>
      </c>
      <c r="T486" s="0" t="n">
        <f aca="false">INDEX($B$4:$B$22,MATCH(H486,$A$4:$A$22,0))</f>
        <v>1</v>
      </c>
      <c r="U486" s="0" t="n">
        <f aca="false">IF(ISBLANK(I486),1,INDEX($B$4:$B$22,MATCH(I486,$A$4:$A$22,0)))</f>
        <v>1</v>
      </c>
      <c r="V486" s="367" t="n">
        <f aca="false">IF('Reverse Search'!$C$7="Disable",1,IF('Reverse Search'!$D$11="Disable",1,IF('Reverse Search'!$E$11="Neutral to:",IF(ROUND(T486*U486,2)&lt;=1,1,0),IF(ROUND(T486*U486,2)&lt;1,1,0))))</f>
        <v>1</v>
      </c>
      <c r="W486" s="0" t="n">
        <f aca="false">IF('Reverse Search'!$N$7="Disable",1,IF('Reverse Search'!$I$9="Disable",1,IF('Reverse Search'!$K$9="≥",IF(J486&gt;='Reverse Search'!$L$9,1,0),IF('Reverse Search'!$K$9="≤",IF(J486&lt;='Reverse Search'!$L$9,1,0),IF(J486='Reverse Search'!$L$9,1,0)))))</f>
        <v>1</v>
      </c>
      <c r="X486" s="0" t="n">
        <f aca="false">IF('Reverse Search'!$N$7="Disable",1,IF('Reverse Search'!$I$10="Disable",1,IF('Reverse Search'!$K$10="≥",IF(K486&gt;='Reverse Search'!$L$10,1,0),IF('Reverse Search'!$K$10="≤",IF(K486&lt;='Reverse Search'!$L$10,1,0),IF(K486='Reverse Search'!$L$10,1,0)))))</f>
        <v>1</v>
      </c>
      <c r="Y486" s="367" t="n">
        <f aca="false">IF('Reverse Search'!$N$7="Disable",1,IF('Reverse Search'!$I$11="Disable",1,IF('Reverse Search'!$K$11="≥",IF(L486&gt;='Reverse Search'!$L$11,1,0),IF('Reverse Search'!$K$11="≤",IF(L486&lt;='Reverse Search'!$L$11,1,0),IF(L486='Reverse Search'!$L$11,1,0)))))</f>
        <v>1</v>
      </c>
      <c r="Z486" s="0" t="n">
        <f aca="true">IF('Reverse Search'!$C$14="Disable",1,IF('Reverse Search'!$D$16="Disable",1,IF($C$2=3,IF($M486=0,0,COUNTIF(INDIRECT("'0.0.2 Pokémon Learnset (Core)'!$D$"&amp;MATCH($E486,'0.0.2 Pokémon Learnset (Core)'!$A$1:$A951,0)&amp;":$FK$"&amp;MATCH($E486,'0.0.2 Pokémon Learnset (Core)'!$A$1:$A951,0)),'Reverse Search'!$E$21)),IF($C$2=2,COUNTIF(INDIRECT("'0.1.1 Pokémon GO Moves'!$B$"&amp;MATCH($E486,'0.1.1 Pokémon GO Moves'!$A$1:$A951,0)&amp;":$R$"&amp;MATCH($E486,'0.1.1 Pokémon GO Moves'!$A$1:$A951,0)),'Reverse Search'!$E$21),COUNTIF(INDIRECT("'0.1.1 Pokémon GO Moves'!$B$"&amp;MATCH($E486,'0.1.1 Pokémon GO Moves'!$A$1:$A951,0)&amp;":$L$"&amp;MATCH($E486,'0.1.1 Pokémon GO Moves'!$A$1:$A951,0)),'Reverse Search'!$E$21)))))</f>
        <v>1</v>
      </c>
      <c r="AA486" s="0" t="n">
        <f aca="true">IF('Reverse Search'!$C$14="Disable",1,IF('Reverse Search'!$I$16="Disable",1,IF($D$2=3,IF($M486=0,0,COUNTIF(INDIRECT("'0.0.2 Pokémon Learnset (Core)'!$D$"&amp;MATCH($E486,'0.0.2 Pokémon Learnset (Core)'!$A$1:$A951,0)&amp;":$FK$"&amp;MATCH($E486,'0.0.2 Pokémon Learnset (Core)'!$A$1:$A951,0)),'Reverse Search'!$J$21)),IF($D$2=2,COUNTIF(INDIRECT("'0.1.1 Pokémon GO Moves'!$B$"&amp;MATCH($E486,'0.1.1 Pokémon GO Moves'!$A$1:$A951,0)&amp;":$R$"&amp;MATCH($E486,'0.1.1 Pokémon GO Moves'!$A$1:$A951,0)),'Reverse Search'!$J$21),COUNTIF(INDIRECT("'0.1.1 Pokémon GO Moves'!$B$"&amp;MATCH($E486,'0.1.1 Pokémon GO Moves'!$A$1:$A951,0)&amp;":$L$"&amp;MATCH($E486,'0.1.1 Pokémon GO Moves'!$A$1:$A951,0)),'Reverse Search'!$J$21)))))</f>
        <v>0</v>
      </c>
      <c r="AB486" s="490"/>
      <c r="AC486" s="260" t="n">
        <f aca="false">IF((Q486+R486+S486+V486+W486+X486+Y486+IF(Z486&gt;=1,1,0)+IF(AA486&gt;=1,1,0))=9,G486&amp;", ",)</f>
        <v>0</v>
      </c>
    </row>
    <row r="487" customFormat="false" ht="15.75" hidden="false" customHeight="false" outlineLevel="0" collapsed="false">
      <c r="A487" s="260"/>
      <c r="B487" s="358"/>
      <c r="C487" s="260"/>
      <c r="D487" s="358"/>
      <c r="E487" s="260" t="n">
        <v>486</v>
      </c>
      <c r="F487" s="260" t="n">
        <f aca="false" t="array" ref="F487:F487">INDEX('0.0.1 Pokémon Dex Data'!$H$3:$H951,MATCH(E487,'0.0.1 Pokémon Dex Data'!$B$3:$B951,0))</f>
        <v>0</v>
      </c>
      <c r="G487" s="0" t="str">
        <f aca="false" t="array" ref="G487:G487">INDEX('0.0.1 Pokémon Dex Data'!$E$3:$E951,MATCH(E487,'0.0.1 Pokémon Dex Data'!$B$3:$B951,0))</f>
        <v>Pachirisu</v>
      </c>
      <c r="H487" s="0" t="str">
        <f aca="false" t="array" ref="H487:H487">INDEX('0.0.1 Pokémon Dex Data'!$Q$3:$Q951,MATCH(E487,'0.0.1 Pokémon Dex Data'!$B$3:$B951,0))</f>
        <v>Electric</v>
      </c>
      <c r="I487" s="0" t="n">
        <f aca="false">INDEX('0.0.1 Pokémon Dex Data'!$R$3:$R951,MATCH(E487,'0.0.1 Pokémon Dex Data'!$B$3:$B951,0))</f>
        <v>0</v>
      </c>
      <c r="J487" s="260" t="n">
        <f aca="false" t="array" ref="J487:J487">ROUND(INDEX('0.0.1 Pokémon Dex Data'!$S$3:$S951,MATCH($E487,'0.0.1 Pokémon Dex Data'!$B$3:$B951,0))*INDEX('0.0.1 Pokémon Dex Data'!T$3:T951,MATCH($E487,'0.0.1 Pokémon Dex Data'!$B$3:$B951,0)),0)</f>
        <v>94</v>
      </c>
      <c r="K487" s="260" t="n">
        <f aca="false" t="array" ref="K487:K487">ROUND(INDEX('0.0.1 Pokémon Dex Data'!$S$3:$S951,MATCH($E487,'0.0.1 Pokémon Dex Data'!$B$3:$B951,0))*INDEX('0.0.1 Pokémon Dex Data'!U$3:U951,MATCH($E487,'0.0.1 Pokémon Dex Data'!$B$3:$B951,0)),0)</f>
        <v>172</v>
      </c>
      <c r="L487" s="260" t="n">
        <f aca="false" t="array" ref="L487:L487">ROUND(INDEX('0.0.1 Pokémon Dex Data'!$S$3:$S951,MATCH($E487,'0.0.1 Pokémon Dex Data'!$B$3:$B951,0))*INDEX('0.0.1 Pokémon Dex Data'!V$3:V951,MATCH($E487,'0.0.1 Pokémon Dex Data'!$B$3:$B951,0)),0)</f>
        <v>155</v>
      </c>
      <c r="M487" s="260" t="n">
        <f aca="false" t="array" ref="M487:M487">INDEX('0.0.1 Pokémon Dex Data'!$J$3:$J951,MATCH(E487,'0.0.1 Pokémon Dex Data'!$B$3:$B951,0))</f>
        <v>1</v>
      </c>
      <c r="O487" s="490"/>
      <c r="Q487" s="367" t="n">
        <f aca="false">IF('Reverse Search'!$F$4="All (including temporary formes)",1,IF('Reverse Search'!$F$4="Base Pokémon and permanent formes only",IF(F487&lt;=1,1,0),IF(F487=0,1,0)))</f>
        <v>1</v>
      </c>
      <c r="R487" s="0" t="n">
        <f aca="false">IF('Reverse Search'!$C$7="Disable",1,IF('Reverse Search'!$D$9="Disable",1,IF(OR('Reverse Search'!$F$9=H487,'Reverse Search'!$F$9=I487),1,0)))</f>
        <v>1</v>
      </c>
      <c r="S487" s="0" t="n">
        <f aca="false">IF('Reverse Search'!$C$7="Disable",1,IF('Reverse Search'!$D$10="Disable",1,IF(OR('Reverse Search'!$F$10=H487,'Reverse Search'!$F$10=I487),1,0)))</f>
        <v>1</v>
      </c>
      <c r="T487" s="0" t="n">
        <f aca="false">INDEX($B$4:$B$22,MATCH(H487,$A$4:$A$22,0))</f>
        <v>1</v>
      </c>
      <c r="U487" s="0" t="e">
        <f aca="false">IF(ISBLANK(I487),1,INDEX($B$4:$B$22,MATCH(I487,$A$4:$A$22,0)))</f>
        <v>#N/A</v>
      </c>
      <c r="V487" s="367" t="n">
        <f aca="false">IF('Reverse Search'!$C$7="Disable",1,IF('Reverse Search'!$D$11="Disable",1,IF('Reverse Search'!$E$11="Neutral to:",IF(ROUND(T487*U487,2)&lt;=1,1,0),IF(ROUND(T487*U487,2)&lt;1,1,0))))</f>
        <v>1</v>
      </c>
      <c r="W487" s="0" t="n">
        <f aca="false">IF('Reverse Search'!$N$7="Disable",1,IF('Reverse Search'!$I$9="Disable",1,IF('Reverse Search'!$K$9="≥",IF(J487&gt;='Reverse Search'!$L$9,1,0),IF('Reverse Search'!$K$9="≤",IF(J487&lt;='Reverse Search'!$L$9,1,0),IF(J487='Reverse Search'!$L$9,1,0)))))</f>
        <v>1</v>
      </c>
      <c r="X487" s="0" t="n">
        <f aca="false">IF('Reverse Search'!$N$7="Disable",1,IF('Reverse Search'!$I$10="Disable",1,IF('Reverse Search'!$K$10="≥",IF(K487&gt;='Reverse Search'!$L$10,1,0),IF('Reverse Search'!$K$10="≤",IF(K487&lt;='Reverse Search'!$L$10,1,0),IF(K487='Reverse Search'!$L$10,1,0)))))</f>
        <v>1</v>
      </c>
      <c r="Y487" s="367" t="n">
        <f aca="false">IF('Reverse Search'!$N$7="Disable",1,IF('Reverse Search'!$I$11="Disable",1,IF('Reverse Search'!$K$11="≥",IF(L487&gt;='Reverse Search'!$L$11,1,0),IF('Reverse Search'!$K$11="≤",IF(L487&lt;='Reverse Search'!$L$11,1,0),IF(L487='Reverse Search'!$L$11,1,0)))))</f>
        <v>1</v>
      </c>
      <c r="Z487" s="0" t="n">
        <f aca="true">IF('Reverse Search'!$C$14="Disable",1,IF('Reverse Search'!$D$16="Disable",1,IF($C$2=3,IF($M487=0,0,COUNTIF(INDIRECT("'0.0.2 Pokémon Learnset (Core)'!$D$"&amp;MATCH($E487,'0.0.2 Pokémon Learnset (Core)'!$A$1:$A951,0)&amp;":$FK$"&amp;MATCH($E487,'0.0.2 Pokémon Learnset (Core)'!$A$1:$A951,0)),'Reverse Search'!$E$21)),IF($C$2=2,COUNTIF(INDIRECT("'0.1.1 Pokémon GO Moves'!$B$"&amp;MATCH($E487,'0.1.1 Pokémon GO Moves'!$A$1:$A951,0)&amp;":$R$"&amp;MATCH($E487,'0.1.1 Pokémon GO Moves'!$A$1:$A951,0)),'Reverse Search'!$E$21),COUNTIF(INDIRECT("'0.1.1 Pokémon GO Moves'!$B$"&amp;MATCH($E487,'0.1.1 Pokémon GO Moves'!$A$1:$A951,0)&amp;":$L$"&amp;MATCH($E487,'0.1.1 Pokémon GO Moves'!$A$1:$A951,0)),'Reverse Search'!$E$21)))))</f>
        <v>1</v>
      </c>
      <c r="AA487" s="0" t="n">
        <f aca="true">IF('Reverse Search'!$C$14="Disable",1,IF('Reverse Search'!$I$16="Disable",1,IF($D$2=3,IF($M487=0,0,COUNTIF(INDIRECT("'0.0.2 Pokémon Learnset (Core)'!$D$"&amp;MATCH($E487,'0.0.2 Pokémon Learnset (Core)'!$A$1:$A951,0)&amp;":$FK$"&amp;MATCH($E487,'0.0.2 Pokémon Learnset (Core)'!$A$1:$A951,0)),'Reverse Search'!$J$21)),IF($D$2=2,COUNTIF(INDIRECT("'0.1.1 Pokémon GO Moves'!$B$"&amp;MATCH($E487,'0.1.1 Pokémon GO Moves'!$A$1:$A951,0)&amp;":$R$"&amp;MATCH($E487,'0.1.1 Pokémon GO Moves'!$A$1:$A951,0)),'Reverse Search'!$J$21),COUNTIF(INDIRECT("'0.1.1 Pokémon GO Moves'!$B$"&amp;MATCH($E487,'0.1.1 Pokémon GO Moves'!$A$1:$A951,0)&amp;":$L$"&amp;MATCH($E487,'0.1.1 Pokémon GO Moves'!$A$1:$A951,0)),'Reverse Search'!$J$21)))))</f>
        <v>0</v>
      </c>
      <c r="AB487" s="490"/>
      <c r="AC487" s="260" t="n">
        <f aca="false">IF((Q487+R487+S487+V487+W487+X487+Y487+IF(Z487&gt;=1,1,0)+IF(AA487&gt;=1,1,0))=9,G487&amp;", ",)</f>
        <v>0</v>
      </c>
    </row>
    <row r="488" customFormat="false" ht="15.75" hidden="false" customHeight="false" outlineLevel="0" collapsed="false">
      <c r="A488" s="260"/>
      <c r="B488" s="358"/>
      <c r="C488" s="260"/>
      <c r="D488" s="358"/>
      <c r="E488" s="260" t="n">
        <v>487</v>
      </c>
      <c r="F488" s="260" t="n">
        <f aca="false" t="array" ref="F488:F488">INDEX('0.0.1 Pokémon Dex Data'!$H$3:$H951,MATCH(E488,'0.0.1 Pokémon Dex Data'!$B$3:$B951,0))</f>
        <v>0</v>
      </c>
      <c r="G488" s="0" t="str">
        <f aca="false" t="array" ref="G488:G488">INDEX('0.0.1 Pokémon Dex Data'!$E$3:$E951,MATCH(E488,'0.0.1 Pokémon Dex Data'!$B$3:$B951,0))</f>
        <v>Buizel</v>
      </c>
      <c r="H488" s="0" t="str">
        <f aca="false" t="array" ref="H488:H488">INDEX('0.0.1 Pokémon Dex Data'!$Q$3:$Q951,MATCH(E488,'0.0.1 Pokémon Dex Data'!$B$3:$B951,0))</f>
        <v>Water</v>
      </c>
      <c r="I488" s="0" t="n">
        <f aca="false">INDEX('0.0.1 Pokémon Dex Data'!$R$3:$R951,MATCH(E488,'0.0.1 Pokémon Dex Data'!$B$3:$B951,0))</f>
        <v>0</v>
      </c>
      <c r="J488" s="260" t="n">
        <f aca="false" t="array" ref="J488:J488">ROUND(INDEX('0.0.1 Pokémon Dex Data'!$S$3:$S951,MATCH($E488,'0.0.1 Pokémon Dex Data'!$B$3:$B951,0))*INDEX('0.0.1 Pokémon Dex Data'!T$3:T951,MATCH($E488,'0.0.1 Pokémon Dex Data'!$B$3:$B951,0)),0)</f>
        <v>132</v>
      </c>
      <c r="K488" s="260" t="n">
        <f aca="false" t="array" ref="K488:K488">ROUND(INDEX('0.0.1 Pokémon Dex Data'!$S$3:$S951,MATCH($E488,'0.0.1 Pokémon Dex Data'!$B$3:$B951,0))*INDEX('0.0.1 Pokémon Dex Data'!U$3:U951,MATCH($E488,'0.0.1 Pokémon Dex Data'!$B$3:$B951,0)),0)</f>
        <v>67</v>
      </c>
      <c r="L488" s="260" t="n">
        <f aca="false" t="array" ref="L488:L488">ROUND(INDEX('0.0.1 Pokémon Dex Data'!$S$3:$S951,MATCH($E488,'0.0.1 Pokémon Dex Data'!$B$3:$B951,0))*INDEX('0.0.1 Pokémon Dex Data'!V$3:V951,MATCH($E488,'0.0.1 Pokémon Dex Data'!$B$3:$B951,0)),0)</f>
        <v>146</v>
      </c>
      <c r="M488" s="260" t="n">
        <f aca="false" t="array" ref="M488:M488">INDEX('0.0.1 Pokémon Dex Data'!$J$3:$J951,MATCH(E488,'0.0.1 Pokémon Dex Data'!$B$3:$B951,0))</f>
        <v>0</v>
      </c>
      <c r="O488" s="490"/>
      <c r="Q488" s="367" t="n">
        <f aca="false">IF('Reverse Search'!$F$4="All (including temporary formes)",1,IF('Reverse Search'!$F$4="Base Pokémon and permanent formes only",IF(F488&lt;=1,1,0),IF(F488=0,1,0)))</f>
        <v>1</v>
      </c>
      <c r="R488" s="0" t="n">
        <f aca="false">IF('Reverse Search'!$C$7="Disable",1,IF('Reverse Search'!$D$9="Disable",1,IF(OR('Reverse Search'!$F$9=H488,'Reverse Search'!$F$9=I488),1,0)))</f>
        <v>1</v>
      </c>
      <c r="S488" s="0" t="n">
        <f aca="false">IF('Reverse Search'!$C$7="Disable",1,IF('Reverse Search'!$D$10="Disable",1,IF(OR('Reverse Search'!$F$10=H488,'Reverse Search'!$F$10=I488),1,0)))</f>
        <v>1</v>
      </c>
      <c r="T488" s="0" t="n">
        <f aca="false">INDEX($B$4:$B$22,MATCH(H488,$A$4:$A$22,0))</f>
        <v>1</v>
      </c>
      <c r="U488" s="0" t="e">
        <f aca="false">IF(ISBLANK(I488),1,INDEX($B$4:$B$22,MATCH(I488,$A$4:$A$22,0)))</f>
        <v>#N/A</v>
      </c>
      <c r="V488" s="367" t="n">
        <f aca="false">IF('Reverse Search'!$C$7="Disable",1,IF('Reverse Search'!$D$11="Disable",1,IF('Reverse Search'!$E$11="Neutral to:",IF(ROUND(T488*U488,2)&lt;=1,1,0),IF(ROUND(T488*U488,2)&lt;1,1,0))))</f>
        <v>1</v>
      </c>
      <c r="W488" s="0" t="n">
        <f aca="false">IF('Reverse Search'!$N$7="Disable",1,IF('Reverse Search'!$I$9="Disable",1,IF('Reverse Search'!$K$9="≥",IF(J488&gt;='Reverse Search'!$L$9,1,0),IF('Reverse Search'!$K$9="≤",IF(J488&lt;='Reverse Search'!$L$9,1,0),IF(J488='Reverse Search'!$L$9,1,0)))))</f>
        <v>1</v>
      </c>
      <c r="X488" s="0" t="n">
        <f aca="false">IF('Reverse Search'!$N$7="Disable",1,IF('Reverse Search'!$I$10="Disable",1,IF('Reverse Search'!$K$10="≥",IF(K488&gt;='Reverse Search'!$L$10,1,0),IF('Reverse Search'!$K$10="≤",IF(K488&lt;='Reverse Search'!$L$10,1,0),IF(K488='Reverse Search'!$L$10,1,0)))))</f>
        <v>1</v>
      </c>
      <c r="Y488" s="367" t="n">
        <f aca="false">IF('Reverse Search'!$N$7="Disable",1,IF('Reverse Search'!$I$11="Disable",1,IF('Reverse Search'!$K$11="≥",IF(L488&gt;='Reverse Search'!$L$11,1,0),IF('Reverse Search'!$K$11="≤",IF(L488&lt;='Reverse Search'!$L$11,1,0),IF(L488='Reverse Search'!$L$11,1,0)))))</f>
        <v>1</v>
      </c>
      <c r="Z488" s="0" t="n">
        <f aca="true">IF('Reverse Search'!$C$14="Disable",1,IF('Reverse Search'!$D$16="Disable",1,IF($C$2=3,IF($M488=0,0,COUNTIF(INDIRECT("'0.0.2 Pokémon Learnset (Core)'!$D$"&amp;MATCH($E488,'0.0.2 Pokémon Learnset (Core)'!$A$1:$A951,0)&amp;":$FK$"&amp;MATCH($E488,'0.0.2 Pokémon Learnset (Core)'!$A$1:$A951,0)),'Reverse Search'!$E$21)),IF($C$2=2,COUNTIF(INDIRECT("'0.1.1 Pokémon GO Moves'!$B$"&amp;MATCH($E488,'0.1.1 Pokémon GO Moves'!$A$1:$A951,0)&amp;":$R$"&amp;MATCH($E488,'0.1.1 Pokémon GO Moves'!$A$1:$A951,0)),'Reverse Search'!$E$21),COUNTIF(INDIRECT("'0.1.1 Pokémon GO Moves'!$B$"&amp;MATCH($E488,'0.1.1 Pokémon GO Moves'!$A$1:$A951,0)&amp;":$L$"&amp;MATCH($E488,'0.1.1 Pokémon GO Moves'!$A$1:$A951,0)),'Reverse Search'!$E$21)))))</f>
        <v>1</v>
      </c>
      <c r="AA488" s="0" t="n">
        <f aca="true">IF('Reverse Search'!$C$14="Disable",1,IF('Reverse Search'!$I$16="Disable",1,IF($D$2=3,IF($M488=0,0,COUNTIF(INDIRECT("'0.0.2 Pokémon Learnset (Core)'!$D$"&amp;MATCH($E488,'0.0.2 Pokémon Learnset (Core)'!$A$1:$A951,0)&amp;":$FK$"&amp;MATCH($E488,'0.0.2 Pokémon Learnset (Core)'!$A$1:$A951,0)),'Reverse Search'!$J$21)),IF($D$2=2,COUNTIF(INDIRECT("'0.1.1 Pokémon GO Moves'!$B$"&amp;MATCH($E488,'0.1.1 Pokémon GO Moves'!$A$1:$A951,0)&amp;":$R$"&amp;MATCH($E488,'0.1.1 Pokémon GO Moves'!$A$1:$A951,0)),'Reverse Search'!$J$21),COUNTIF(INDIRECT("'0.1.1 Pokémon GO Moves'!$B$"&amp;MATCH($E488,'0.1.1 Pokémon GO Moves'!$A$1:$A951,0)&amp;":$L$"&amp;MATCH($E488,'0.1.1 Pokémon GO Moves'!$A$1:$A951,0)),'Reverse Search'!$J$21)))))</f>
        <v>0</v>
      </c>
      <c r="AB488" s="490"/>
      <c r="AC488" s="260" t="n">
        <f aca="false">IF((Q488+R488+S488+V488+W488+X488+Y488+IF(Z488&gt;=1,1,0)+IF(AA488&gt;=1,1,0))=9,G488&amp;", ",)</f>
        <v>0</v>
      </c>
    </row>
    <row r="489" customFormat="false" ht="15.75" hidden="false" customHeight="false" outlineLevel="0" collapsed="false">
      <c r="A489" s="260"/>
      <c r="B489" s="358"/>
      <c r="C489" s="260"/>
      <c r="D489" s="358"/>
      <c r="E489" s="260" t="n">
        <v>488</v>
      </c>
      <c r="F489" s="260" t="n">
        <f aca="false" t="array" ref="F489:F489">INDEX('0.0.1 Pokémon Dex Data'!$H$3:$H951,MATCH(E489,'0.0.1 Pokémon Dex Data'!$B$3:$B951,0))</f>
        <v>0</v>
      </c>
      <c r="G489" s="0" t="str">
        <f aca="false" t="array" ref="G489:G489">INDEX('0.0.1 Pokémon Dex Data'!$E$3:$E951,MATCH(E489,'0.0.1 Pokémon Dex Data'!$B$3:$B951,0))</f>
        <v>Floatzel</v>
      </c>
      <c r="H489" s="0" t="str">
        <f aca="false" t="array" ref="H489:H489">INDEX('0.0.1 Pokémon Dex Data'!$Q$3:$Q951,MATCH(E489,'0.0.1 Pokémon Dex Data'!$B$3:$B951,0))</f>
        <v>Water</v>
      </c>
      <c r="I489" s="0" t="n">
        <f aca="false">INDEX('0.0.1 Pokémon Dex Data'!$R$3:$R951,MATCH(E489,'0.0.1 Pokémon Dex Data'!$B$3:$B951,0))</f>
        <v>0</v>
      </c>
      <c r="J489" s="260" t="n">
        <f aca="false" t="array" ref="J489:J489">ROUND(INDEX('0.0.1 Pokémon Dex Data'!$S$3:$S951,MATCH($E489,'0.0.1 Pokémon Dex Data'!$B$3:$B951,0))*INDEX('0.0.1 Pokémon Dex Data'!T$3:T951,MATCH($E489,'0.0.1 Pokémon Dex Data'!$B$3:$B951,0)),0)</f>
        <v>221</v>
      </c>
      <c r="K489" s="260" t="n">
        <f aca="false" t="array" ref="K489:K489">ROUND(INDEX('0.0.1 Pokémon Dex Data'!$S$3:$S951,MATCH($E489,'0.0.1 Pokémon Dex Data'!$B$3:$B951,0))*INDEX('0.0.1 Pokémon Dex Data'!U$3:U951,MATCH($E489,'0.0.1 Pokémon Dex Data'!$B$3:$B951,0)),0)</f>
        <v>114</v>
      </c>
      <c r="L489" s="260" t="n">
        <f aca="false" t="array" ref="L489:L489">ROUND(INDEX('0.0.1 Pokémon Dex Data'!$S$3:$S951,MATCH($E489,'0.0.1 Pokémon Dex Data'!$B$3:$B951,0))*INDEX('0.0.1 Pokémon Dex Data'!V$3:V951,MATCH($E489,'0.0.1 Pokémon Dex Data'!$B$3:$B951,0)),0)</f>
        <v>198</v>
      </c>
      <c r="M489" s="260" t="n">
        <f aca="false" t="array" ref="M489:M489">INDEX('0.0.1 Pokémon Dex Data'!$J$3:$J951,MATCH(E489,'0.0.1 Pokémon Dex Data'!$B$3:$B951,0))</f>
        <v>1</v>
      </c>
      <c r="O489" s="490"/>
      <c r="Q489" s="367" t="n">
        <f aca="false">IF('Reverse Search'!$F$4="All (including temporary formes)",1,IF('Reverse Search'!$F$4="Base Pokémon and permanent formes only",IF(F489&lt;=1,1,0),IF(F489=0,1,0)))</f>
        <v>1</v>
      </c>
      <c r="R489" s="0" t="n">
        <f aca="false">IF('Reverse Search'!$C$7="Disable",1,IF('Reverse Search'!$D$9="Disable",1,IF(OR('Reverse Search'!$F$9=H489,'Reverse Search'!$F$9=I489),1,0)))</f>
        <v>1</v>
      </c>
      <c r="S489" s="0" t="n">
        <f aca="false">IF('Reverse Search'!$C$7="Disable",1,IF('Reverse Search'!$D$10="Disable",1,IF(OR('Reverse Search'!$F$10=H489,'Reverse Search'!$F$10=I489),1,0)))</f>
        <v>1</v>
      </c>
      <c r="T489" s="0" t="n">
        <f aca="false">INDEX($B$4:$B$22,MATCH(H489,$A$4:$A$22,0))</f>
        <v>1</v>
      </c>
      <c r="U489" s="0" t="e">
        <f aca="false">IF(ISBLANK(I489),1,INDEX($B$4:$B$22,MATCH(I489,$A$4:$A$22,0)))</f>
        <v>#N/A</v>
      </c>
      <c r="V489" s="367" t="n">
        <f aca="false">IF('Reverse Search'!$C$7="Disable",1,IF('Reverse Search'!$D$11="Disable",1,IF('Reverse Search'!$E$11="Neutral to:",IF(ROUND(T489*U489,2)&lt;=1,1,0),IF(ROUND(T489*U489,2)&lt;1,1,0))))</f>
        <v>1</v>
      </c>
      <c r="W489" s="0" t="n">
        <f aca="false">IF('Reverse Search'!$N$7="Disable",1,IF('Reverse Search'!$I$9="Disable",1,IF('Reverse Search'!$K$9="≥",IF(J489&gt;='Reverse Search'!$L$9,1,0),IF('Reverse Search'!$K$9="≤",IF(J489&lt;='Reverse Search'!$L$9,1,0),IF(J489='Reverse Search'!$L$9,1,0)))))</f>
        <v>1</v>
      </c>
      <c r="X489" s="0" t="n">
        <f aca="false">IF('Reverse Search'!$N$7="Disable",1,IF('Reverse Search'!$I$10="Disable",1,IF('Reverse Search'!$K$10="≥",IF(K489&gt;='Reverse Search'!$L$10,1,0),IF('Reverse Search'!$K$10="≤",IF(K489&lt;='Reverse Search'!$L$10,1,0),IF(K489='Reverse Search'!$L$10,1,0)))))</f>
        <v>1</v>
      </c>
      <c r="Y489" s="367" t="n">
        <f aca="false">IF('Reverse Search'!$N$7="Disable",1,IF('Reverse Search'!$I$11="Disable",1,IF('Reverse Search'!$K$11="≥",IF(L489&gt;='Reverse Search'!$L$11,1,0),IF('Reverse Search'!$K$11="≤",IF(L489&lt;='Reverse Search'!$L$11,1,0),IF(L489='Reverse Search'!$L$11,1,0)))))</f>
        <v>1</v>
      </c>
      <c r="Z489" s="0" t="n">
        <f aca="true">IF('Reverse Search'!$C$14="Disable",1,IF('Reverse Search'!$D$16="Disable",1,IF($C$2=3,IF($M489=0,0,COUNTIF(INDIRECT("'0.0.2 Pokémon Learnset (Core)'!$D$"&amp;MATCH($E489,'0.0.2 Pokémon Learnset (Core)'!$A$1:$A951,0)&amp;":$FK$"&amp;MATCH($E489,'0.0.2 Pokémon Learnset (Core)'!$A$1:$A951,0)),'Reverse Search'!$E$21)),IF($C$2=2,COUNTIF(INDIRECT("'0.1.1 Pokémon GO Moves'!$B$"&amp;MATCH($E489,'0.1.1 Pokémon GO Moves'!$A$1:$A951,0)&amp;":$R$"&amp;MATCH($E489,'0.1.1 Pokémon GO Moves'!$A$1:$A951,0)),'Reverse Search'!$E$21),COUNTIF(INDIRECT("'0.1.1 Pokémon GO Moves'!$B$"&amp;MATCH($E489,'0.1.1 Pokémon GO Moves'!$A$1:$A951,0)&amp;":$L$"&amp;MATCH($E489,'0.1.1 Pokémon GO Moves'!$A$1:$A951,0)),'Reverse Search'!$E$21)))))</f>
        <v>1</v>
      </c>
      <c r="AA489" s="0" t="n">
        <f aca="true">IF('Reverse Search'!$C$14="Disable",1,IF('Reverse Search'!$I$16="Disable",1,IF($D$2=3,IF($M489=0,0,COUNTIF(INDIRECT("'0.0.2 Pokémon Learnset (Core)'!$D$"&amp;MATCH($E489,'0.0.2 Pokémon Learnset (Core)'!$A$1:$A951,0)&amp;":$FK$"&amp;MATCH($E489,'0.0.2 Pokémon Learnset (Core)'!$A$1:$A951,0)),'Reverse Search'!$J$21)),IF($D$2=2,COUNTIF(INDIRECT("'0.1.1 Pokémon GO Moves'!$B$"&amp;MATCH($E489,'0.1.1 Pokémon GO Moves'!$A$1:$A951,0)&amp;":$R$"&amp;MATCH($E489,'0.1.1 Pokémon GO Moves'!$A$1:$A951,0)),'Reverse Search'!$J$21),COUNTIF(INDIRECT("'0.1.1 Pokémon GO Moves'!$B$"&amp;MATCH($E489,'0.1.1 Pokémon GO Moves'!$A$1:$A951,0)&amp;":$L$"&amp;MATCH($E489,'0.1.1 Pokémon GO Moves'!$A$1:$A951,0)),'Reverse Search'!$J$21)))))</f>
        <v>0</v>
      </c>
      <c r="AB489" s="490"/>
      <c r="AC489" s="260" t="n">
        <f aca="false">IF((Q489+R489+S489+V489+W489+X489+Y489+IF(Z489&gt;=1,1,0)+IF(AA489&gt;=1,1,0))=9,G489&amp;", ",)</f>
        <v>0</v>
      </c>
    </row>
    <row r="490" customFormat="false" ht="15.75" hidden="false" customHeight="false" outlineLevel="0" collapsed="false">
      <c r="A490" s="260"/>
      <c r="B490" s="358"/>
      <c r="C490" s="260"/>
      <c r="D490" s="358"/>
      <c r="E490" s="260" t="n">
        <v>489</v>
      </c>
      <c r="F490" s="260" t="n">
        <f aca="false" t="array" ref="F490:F490">INDEX('0.0.1 Pokémon Dex Data'!$H$3:$H951,MATCH(E490,'0.0.1 Pokémon Dex Data'!$B$3:$B951,0))</f>
        <v>0</v>
      </c>
      <c r="G490" s="0" t="str">
        <f aca="false" t="array" ref="G490:G490">INDEX('0.0.1 Pokémon Dex Data'!$E$3:$E951,MATCH(E490,'0.0.1 Pokémon Dex Data'!$B$3:$B951,0))</f>
        <v>Cherubi</v>
      </c>
      <c r="H490" s="0" t="str">
        <f aca="false" t="array" ref="H490:H490">INDEX('0.0.1 Pokémon Dex Data'!$Q$3:$Q951,MATCH(E490,'0.0.1 Pokémon Dex Data'!$B$3:$B951,0))</f>
        <v>Grass</v>
      </c>
      <c r="I490" s="0" t="n">
        <f aca="false">INDEX('0.0.1 Pokémon Dex Data'!$R$3:$R951,MATCH(E490,'0.0.1 Pokémon Dex Data'!$B$3:$B951,0))</f>
        <v>0</v>
      </c>
      <c r="J490" s="260" t="n">
        <f aca="false" t="array" ref="J490:J490">ROUND(INDEX('0.0.1 Pokémon Dex Data'!$S$3:$S951,MATCH($E490,'0.0.1 Pokémon Dex Data'!$B$3:$B951,0))*INDEX('0.0.1 Pokémon Dex Data'!T$3:T951,MATCH($E490,'0.0.1 Pokémon Dex Data'!$B$3:$B951,0)),0)</f>
        <v>108</v>
      </c>
      <c r="K490" s="260" t="n">
        <f aca="false" t="array" ref="K490:K490">ROUND(INDEX('0.0.1 Pokémon Dex Data'!$S$3:$S951,MATCH($E490,'0.0.1 Pokémon Dex Data'!$B$3:$B951,0))*INDEX('0.0.1 Pokémon Dex Data'!U$3:U951,MATCH($E490,'0.0.1 Pokémon Dex Data'!$B$3:$B951,0)),0)</f>
        <v>92</v>
      </c>
      <c r="L490" s="260" t="n">
        <f aca="false" t="array" ref="L490:L490">ROUND(INDEX('0.0.1 Pokémon Dex Data'!$S$3:$S951,MATCH($E490,'0.0.1 Pokémon Dex Data'!$B$3:$B951,0))*INDEX('0.0.1 Pokémon Dex Data'!V$3:V951,MATCH($E490,'0.0.1 Pokémon Dex Data'!$B$3:$B951,0)),0)</f>
        <v>128</v>
      </c>
      <c r="M490" s="260" t="n">
        <f aca="false" t="array" ref="M490:M490">INDEX('0.0.1 Pokémon Dex Data'!$J$3:$J951,MATCH(E490,'0.0.1 Pokémon Dex Data'!$B$3:$B951,0))</f>
        <v>0</v>
      </c>
      <c r="O490" s="490"/>
      <c r="Q490" s="367" t="n">
        <f aca="false">IF('Reverse Search'!$F$4="All (including temporary formes)",1,IF('Reverse Search'!$F$4="Base Pokémon and permanent formes only",IF(F490&lt;=1,1,0),IF(F490=0,1,0)))</f>
        <v>1</v>
      </c>
      <c r="R490" s="0" t="n">
        <f aca="false">IF('Reverse Search'!$C$7="Disable",1,IF('Reverse Search'!$D$9="Disable",1,IF(OR('Reverse Search'!$F$9=H490,'Reverse Search'!$F$9=I490),1,0)))</f>
        <v>1</v>
      </c>
      <c r="S490" s="0" t="n">
        <f aca="false">IF('Reverse Search'!$C$7="Disable",1,IF('Reverse Search'!$D$10="Disable",1,IF(OR('Reverse Search'!$F$10=H490,'Reverse Search'!$F$10=I490),1,0)))</f>
        <v>1</v>
      </c>
      <c r="T490" s="0" t="n">
        <f aca="false">INDEX($B$4:$B$22,MATCH(H490,$A$4:$A$22,0))</f>
        <v>1</v>
      </c>
      <c r="U490" s="0" t="e">
        <f aca="false">IF(ISBLANK(I490),1,INDEX($B$4:$B$22,MATCH(I490,$A$4:$A$22,0)))</f>
        <v>#N/A</v>
      </c>
      <c r="V490" s="367" t="n">
        <f aca="false">IF('Reverse Search'!$C$7="Disable",1,IF('Reverse Search'!$D$11="Disable",1,IF('Reverse Search'!$E$11="Neutral to:",IF(ROUND(T490*U490,2)&lt;=1,1,0),IF(ROUND(T490*U490,2)&lt;1,1,0))))</f>
        <v>1</v>
      </c>
      <c r="W490" s="0" t="n">
        <f aca="false">IF('Reverse Search'!$N$7="Disable",1,IF('Reverse Search'!$I$9="Disable",1,IF('Reverse Search'!$K$9="≥",IF(J490&gt;='Reverse Search'!$L$9,1,0),IF('Reverse Search'!$K$9="≤",IF(J490&lt;='Reverse Search'!$L$9,1,0),IF(J490='Reverse Search'!$L$9,1,0)))))</f>
        <v>1</v>
      </c>
      <c r="X490" s="0" t="n">
        <f aca="false">IF('Reverse Search'!$N$7="Disable",1,IF('Reverse Search'!$I$10="Disable",1,IF('Reverse Search'!$K$10="≥",IF(K490&gt;='Reverse Search'!$L$10,1,0),IF('Reverse Search'!$K$10="≤",IF(K490&lt;='Reverse Search'!$L$10,1,0),IF(K490='Reverse Search'!$L$10,1,0)))))</f>
        <v>1</v>
      </c>
      <c r="Y490" s="367" t="n">
        <f aca="false">IF('Reverse Search'!$N$7="Disable",1,IF('Reverse Search'!$I$11="Disable",1,IF('Reverse Search'!$K$11="≥",IF(L490&gt;='Reverse Search'!$L$11,1,0),IF('Reverse Search'!$K$11="≤",IF(L490&lt;='Reverse Search'!$L$11,1,0),IF(L490='Reverse Search'!$L$11,1,0)))))</f>
        <v>1</v>
      </c>
      <c r="Z490" s="0" t="n">
        <f aca="true">IF('Reverse Search'!$C$14="Disable",1,IF('Reverse Search'!$D$16="Disable",1,IF($C$2=3,IF($M490=0,0,COUNTIF(INDIRECT("'0.0.2 Pokémon Learnset (Core)'!$D$"&amp;MATCH($E490,'0.0.2 Pokémon Learnset (Core)'!$A$1:$A951,0)&amp;":$FK$"&amp;MATCH($E490,'0.0.2 Pokémon Learnset (Core)'!$A$1:$A951,0)),'Reverse Search'!$E$21)),IF($C$2=2,COUNTIF(INDIRECT("'0.1.1 Pokémon GO Moves'!$B$"&amp;MATCH($E490,'0.1.1 Pokémon GO Moves'!$A$1:$A951,0)&amp;":$R$"&amp;MATCH($E490,'0.1.1 Pokémon GO Moves'!$A$1:$A951,0)),'Reverse Search'!$E$21),COUNTIF(INDIRECT("'0.1.1 Pokémon GO Moves'!$B$"&amp;MATCH($E490,'0.1.1 Pokémon GO Moves'!$A$1:$A951,0)&amp;":$L$"&amp;MATCH($E490,'0.1.1 Pokémon GO Moves'!$A$1:$A951,0)),'Reverse Search'!$E$21)))))</f>
        <v>1</v>
      </c>
      <c r="AA490" s="0" t="n">
        <f aca="true">IF('Reverse Search'!$C$14="Disable",1,IF('Reverse Search'!$I$16="Disable",1,IF($D$2=3,IF($M490=0,0,COUNTIF(INDIRECT("'0.0.2 Pokémon Learnset (Core)'!$D$"&amp;MATCH($E490,'0.0.2 Pokémon Learnset (Core)'!$A$1:$A951,0)&amp;":$FK$"&amp;MATCH($E490,'0.0.2 Pokémon Learnset (Core)'!$A$1:$A951,0)),'Reverse Search'!$J$21)),IF($D$2=2,COUNTIF(INDIRECT("'0.1.1 Pokémon GO Moves'!$B$"&amp;MATCH($E490,'0.1.1 Pokémon GO Moves'!$A$1:$A951,0)&amp;":$R$"&amp;MATCH($E490,'0.1.1 Pokémon GO Moves'!$A$1:$A951,0)),'Reverse Search'!$J$21),COUNTIF(INDIRECT("'0.1.1 Pokémon GO Moves'!$B$"&amp;MATCH($E490,'0.1.1 Pokémon GO Moves'!$A$1:$A951,0)&amp;":$L$"&amp;MATCH($E490,'0.1.1 Pokémon GO Moves'!$A$1:$A951,0)),'Reverse Search'!$J$21)))))</f>
        <v>0</v>
      </c>
      <c r="AB490" s="490"/>
      <c r="AC490" s="260" t="n">
        <f aca="false">IF((Q490+R490+S490+V490+W490+X490+Y490+IF(Z490&gt;=1,1,0)+IF(AA490&gt;=1,1,0))=9,G490&amp;", ",)</f>
        <v>0</v>
      </c>
    </row>
    <row r="491" customFormat="false" ht="15.75" hidden="false" customHeight="false" outlineLevel="0" collapsed="false">
      <c r="A491" s="260"/>
      <c r="B491" s="358"/>
      <c r="C491" s="260"/>
      <c r="D491" s="358"/>
      <c r="E491" s="260" t="n">
        <v>490</v>
      </c>
      <c r="F491" s="260" t="n">
        <f aca="false" t="array" ref="F491:F491">INDEX('0.0.1 Pokémon Dex Data'!$H$3:$H951,MATCH(E491,'0.0.1 Pokémon Dex Data'!$B$3:$B951,0))</f>
        <v>0</v>
      </c>
      <c r="G491" s="0" t="str">
        <f aca="false" t="array" ref="G491:G491">INDEX('0.0.1 Pokémon Dex Data'!$E$3:$E951,MATCH(E491,'0.0.1 Pokémon Dex Data'!$B$3:$B951,0))</f>
        <v>Cherrim</v>
      </c>
      <c r="H491" s="0" t="str">
        <f aca="false" t="array" ref="H491:H491">INDEX('0.0.1 Pokémon Dex Data'!$Q$3:$Q951,MATCH(E491,'0.0.1 Pokémon Dex Data'!$B$3:$B951,0))</f>
        <v>Grass</v>
      </c>
      <c r="I491" s="0" t="n">
        <f aca="false">INDEX('0.0.1 Pokémon Dex Data'!$R$3:$R951,MATCH(E491,'0.0.1 Pokémon Dex Data'!$B$3:$B951,0))</f>
        <v>0</v>
      </c>
      <c r="J491" s="260" t="n">
        <f aca="false" t="array" ref="J491:J491">ROUND(INDEX('0.0.1 Pokémon Dex Data'!$S$3:$S951,MATCH($E491,'0.0.1 Pokémon Dex Data'!$B$3:$B951,0))*INDEX('0.0.1 Pokémon Dex Data'!T$3:T951,MATCH($E491,'0.0.1 Pokémon Dex Data'!$B$3:$B951,0)),0)</f>
        <v>170</v>
      </c>
      <c r="K491" s="260" t="n">
        <f aca="false" t="array" ref="K491:K491">ROUND(INDEX('0.0.1 Pokémon Dex Data'!$S$3:$S951,MATCH($E491,'0.0.1 Pokémon Dex Data'!$B$3:$B951,0))*INDEX('0.0.1 Pokémon Dex Data'!U$3:U951,MATCH($E491,'0.0.1 Pokémon Dex Data'!$B$3:$B951,0)),0)</f>
        <v>153</v>
      </c>
      <c r="L491" s="260" t="n">
        <f aca="false" t="array" ref="L491:L491">ROUND(INDEX('0.0.1 Pokémon Dex Data'!$S$3:$S951,MATCH($E491,'0.0.1 Pokémon Dex Data'!$B$3:$B951,0))*INDEX('0.0.1 Pokémon Dex Data'!V$3:V951,MATCH($E491,'0.0.1 Pokémon Dex Data'!$B$3:$B951,0)),0)</f>
        <v>172</v>
      </c>
      <c r="M491" s="260" t="n">
        <f aca="false" t="array" ref="M491:M491">INDEX('0.0.1 Pokémon Dex Data'!$J$3:$J951,MATCH(E491,'0.0.1 Pokémon Dex Data'!$B$3:$B951,0))</f>
        <v>1</v>
      </c>
      <c r="O491" s="490"/>
      <c r="Q491" s="367" t="n">
        <f aca="false">IF('Reverse Search'!$F$4="All (including temporary formes)",1,IF('Reverse Search'!$F$4="Base Pokémon and permanent formes only",IF(F491&lt;=1,1,0),IF(F491=0,1,0)))</f>
        <v>1</v>
      </c>
      <c r="R491" s="0" t="n">
        <f aca="false">IF('Reverse Search'!$C$7="Disable",1,IF('Reverse Search'!$D$9="Disable",1,IF(OR('Reverse Search'!$F$9=H491,'Reverse Search'!$F$9=I491),1,0)))</f>
        <v>1</v>
      </c>
      <c r="S491" s="0" t="n">
        <f aca="false">IF('Reverse Search'!$C$7="Disable",1,IF('Reverse Search'!$D$10="Disable",1,IF(OR('Reverse Search'!$F$10=H491,'Reverse Search'!$F$10=I491),1,0)))</f>
        <v>1</v>
      </c>
      <c r="T491" s="0" t="n">
        <f aca="false">INDEX($B$4:$B$22,MATCH(H491,$A$4:$A$22,0))</f>
        <v>1</v>
      </c>
      <c r="U491" s="0" t="e">
        <f aca="false">IF(ISBLANK(I491),1,INDEX($B$4:$B$22,MATCH(I491,$A$4:$A$22,0)))</f>
        <v>#N/A</v>
      </c>
      <c r="V491" s="367" t="n">
        <f aca="false">IF('Reverse Search'!$C$7="Disable",1,IF('Reverse Search'!$D$11="Disable",1,IF('Reverse Search'!$E$11="Neutral to:",IF(ROUND(T491*U491,2)&lt;=1,1,0),IF(ROUND(T491*U491,2)&lt;1,1,0))))</f>
        <v>1</v>
      </c>
      <c r="W491" s="0" t="n">
        <f aca="false">IF('Reverse Search'!$N$7="Disable",1,IF('Reverse Search'!$I$9="Disable",1,IF('Reverse Search'!$K$9="≥",IF(J491&gt;='Reverse Search'!$L$9,1,0),IF('Reverse Search'!$K$9="≤",IF(J491&lt;='Reverse Search'!$L$9,1,0),IF(J491='Reverse Search'!$L$9,1,0)))))</f>
        <v>1</v>
      </c>
      <c r="X491" s="0" t="n">
        <f aca="false">IF('Reverse Search'!$N$7="Disable",1,IF('Reverse Search'!$I$10="Disable",1,IF('Reverse Search'!$K$10="≥",IF(K491&gt;='Reverse Search'!$L$10,1,0),IF('Reverse Search'!$K$10="≤",IF(K491&lt;='Reverse Search'!$L$10,1,0),IF(K491='Reverse Search'!$L$10,1,0)))))</f>
        <v>1</v>
      </c>
      <c r="Y491" s="367" t="n">
        <f aca="false">IF('Reverse Search'!$N$7="Disable",1,IF('Reverse Search'!$I$11="Disable",1,IF('Reverse Search'!$K$11="≥",IF(L491&gt;='Reverse Search'!$L$11,1,0),IF('Reverse Search'!$K$11="≤",IF(L491&lt;='Reverse Search'!$L$11,1,0),IF(L491='Reverse Search'!$L$11,1,0)))))</f>
        <v>1</v>
      </c>
      <c r="Z491" s="0" t="n">
        <f aca="true">IF('Reverse Search'!$C$14="Disable",1,IF('Reverse Search'!$D$16="Disable",1,IF($C$2=3,IF($M491=0,0,COUNTIF(INDIRECT("'0.0.2 Pokémon Learnset (Core)'!$D$"&amp;MATCH($E491,'0.0.2 Pokémon Learnset (Core)'!$A$1:$A951,0)&amp;":$FK$"&amp;MATCH($E491,'0.0.2 Pokémon Learnset (Core)'!$A$1:$A951,0)),'Reverse Search'!$E$21)),IF($C$2=2,COUNTIF(INDIRECT("'0.1.1 Pokémon GO Moves'!$B$"&amp;MATCH($E491,'0.1.1 Pokémon GO Moves'!$A$1:$A951,0)&amp;":$R$"&amp;MATCH($E491,'0.1.1 Pokémon GO Moves'!$A$1:$A951,0)),'Reverse Search'!$E$21),COUNTIF(INDIRECT("'0.1.1 Pokémon GO Moves'!$B$"&amp;MATCH($E491,'0.1.1 Pokémon GO Moves'!$A$1:$A951,0)&amp;":$L$"&amp;MATCH($E491,'0.1.1 Pokémon GO Moves'!$A$1:$A951,0)),'Reverse Search'!$E$21)))))</f>
        <v>1</v>
      </c>
      <c r="AA491" s="0" t="n">
        <f aca="true">IF('Reverse Search'!$C$14="Disable",1,IF('Reverse Search'!$I$16="Disable",1,IF($D$2=3,IF($M491=0,0,COUNTIF(INDIRECT("'0.0.2 Pokémon Learnset (Core)'!$D$"&amp;MATCH($E491,'0.0.2 Pokémon Learnset (Core)'!$A$1:$A951,0)&amp;":$FK$"&amp;MATCH($E491,'0.0.2 Pokémon Learnset (Core)'!$A$1:$A951,0)),'Reverse Search'!$J$21)),IF($D$2=2,COUNTIF(INDIRECT("'0.1.1 Pokémon GO Moves'!$B$"&amp;MATCH($E491,'0.1.1 Pokémon GO Moves'!$A$1:$A951,0)&amp;":$R$"&amp;MATCH($E491,'0.1.1 Pokémon GO Moves'!$A$1:$A951,0)),'Reverse Search'!$J$21),COUNTIF(INDIRECT("'0.1.1 Pokémon GO Moves'!$B$"&amp;MATCH($E491,'0.1.1 Pokémon GO Moves'!$A$1:$A951,0)&amp;":$L$"&amp;MATCH($E491,'0.1.1 Pokémon GO Moves'!$A$1:$A951,0)),'Reverse Search'!$J$21)))))</f>
        <v>0</v>
      </c>
      <c r="AB491" s="490"/>
      <c r="AC491" s="260" t="n">
        <f aca="false">IF((Q491+R491+S491+V491+W491+X491+Y491+IF(Z491&gt;=1,1,0)+IF(AA491&gt;=1,1,0))=9,G491&amp;", ",)</f>
        <v>0</v>
      </c>
    </row>
    <row r="492" customFormat="false" ht="15.75" hidden="false" customHeight="false" outlineLevel="0" collapsed="false">
      <c r="A492" s="260"/>
      <c r="B492" s="358"/>
      <c r="C492" s="260"/>
      <c r="D492" s="358"/>
      <c r="E492" s="260" t="n">
        <v>491</v>
      </c>
      <c r="F492" s="260" t="n">
        <f aca="false" t="array" ref="F492:F492">INDEX('0.0.1 Pokémon Dex Data'!$H$3:$H951,MATCH(E492,'0.0.1 Pokémon Dex Data'!$B$3:$B951,0))</f>
        <v>0</v>
      </c>
      <c r="G492" s="0" t="str">
        <f aca="false" t="array" ref="G492:G492">INDEX('0.0.1 Pokémon Dex Data'!$E$3:$E951,MATCH(E492,'0.0.1 Pokémon Dex Data'!$B$3:$B951,0))</f>
        <v>Shellos</v>
      </c>
      <c r="H492" s="0" t="str">
        <f aca="false" t="array" ref="H492:H492">INDEX('0.0.1 Pokémon Dex Data'!$Q$3:$Q951,MATCH(E492,'0.0.1 Pokémon Dex Data'!$B$3:$B951,0))</f>
        <v>Water</v>
      </c>
      <c r="I492" s="0" t="str">
        <f aca="false" t="array" ref="I492:I492">INDEX('0.0.1 Pokémon Dex Data'!$R$3:$R951,MATCH(E492,'0.0.1 Pokémon Dex Data'!$B$3:$B951,0))</f>
        <v>Ground</v>
      </c>
      <c r="J492" s="260" t="n">
        <f aca="false" t="array" ref="J492:J492">ROUND(INDEX('0.0.1 Pokémon Dex Data'!$S$3:$S951,MATCH($E492,'0.0.1 Pokémon Dex Data'!$B$3:$B951,0))*INDEX('0.0.1 Pokémon Dex Data'!T$3:T951,MATCH($E492,'0.0.1 Pokémon Dex Data'!$B$3:$B951,0)),0)</f>
        <v>103</v>
      </c>
      <c r="K492" s="260" t="n">
        <f aca="false" t="array" ref="K492:K492">ROUND(INDEX('0.0.1 Pokémon Dex Data'!$S$3:$S951,MATCH($E492,'0.0.1 Pokémon Dex Data'!$B$3:$B951,0))*INDEX('0.0.1 Pokémon Dex Data'!U$3:U951,MATCH($E492,'0.0.1 Pokémon Dex Data'!$B$3:$B951,0)),0)</f>
        <v>105</v>
      </c>
      <c r="L492" s="260" t="n">
        <f aca="false" t="array" ref="L492:L492">ROUND(INDEX('0.0.1 Pokémon Dex Data'!$S$3:$S951,MATCH($E492,'0.0.1 Pokémon Dex Data'!$B$3:$B951,0))*INDEX('0.0.1 Pokémon Dex Data'!V$3:V951,MATCH($E492,'0.0.1 Pokémon Dex Data'!$B$3:$B951,0)),0)</f>
        <v>183</v>
      </c>
      <c r="M492" s="260" t="n">
        <f aca="false" t="array" ref="M492:M492">INDEX('0.0.1 Pokémon Dex Data'!$J$3:$J951,MATCH(E492,'0.0.1 Pokémon Dex Data'!$B$3:$B951,0))</f>
        <v>0</v>
      </c>
      <c r="O492" s="490"/>
      <c r="Q492" s="367" t="n">
        <f aca="false">IF('Reverse Search'!$F$4="All (including temporary formes)",1,IF('Reverse Search'!$F$4="Base Pokémon and permanent formes only",IF(F492&lt;=1,1,0),IF(F492=0,1,0)))</f>
        <v>1</v>
      </c>
      <c r="R492" s="0" t="n">
        <f aca="false">IF('Reverse Search'!$C$7="Disable",1,IF('Reverse Search'!$D$9="Disable",1,IF(OR('Reverse Search'!$F$9=H492,'Reverse Search'!$F$9=I492),1,0)))</f>
        <v>1</v>
      </c>
      <c r="S492" s="0" t="n">
        <f aca="false">IF('Reverse Search'!$C$7="Disable",1,IF('Reverse Search'!$D$10="Disable",1,IF(OR('Reverse Search'!$F$10=H492,'Reverse Search'!$F$10=I492),1,0)))</f>
        <v>1</v>
      </c>
      <c r="T492" s="0" t="n">
        <f aca="false">INDEX($B$4:$B$22,MATCH(H492,$A$4:$A$22,0))</f>
        <v>1</v>
      </c>
      <c r="U492" s="0" t="n">
        <f aca="false">IF(ISBLANK(I492),1,INDEX($B$4:$B$22,MATCH(I492,$A$4:$A$22,0)))</f>
        <v>1</v>
      </c>
      <c r="V492" s="367" t="n">
        <f aca="false">IF('Reverse Search'!$C$7="Disable",1,IF('Reverse Search'!$D$11="Disable",1,IF('Reverse Search'!$E$11="Neutral to:",IF(ROUND(T492*U492,2)&lt;=1,1,0),IF(ROUND(T492*U492,2)&lt;1,1,0))))</f>
        <v>1</v>
      </c>
      <c r="W492" s="0" t="n">
        <f aca="false">IF('Reverse Search'!$N$7="Disable",1,IF('Reverse Search'!$I$9="Disable",1,IF('Reverse Search'!$K$9="≥",IF(J492&gt;='Reverse Search'!$L$9,1,0),IF('Reverse Search'!$K$9="≤",IF(J492&lt;='Reverse Search'!$L$9,1,0),IF(J492='Reverse Search'!$L$9,1,0)))))</f>
        <v>1</v>
      </c>
      <c r="X492" s="0" t="n">
        <f aca="false">IF('Reverse Search'!$N$7="Disable",1,IF('Reverse Search'!$I$10="Disable",1,IF('Reverse Search'!$K$10="≥",IF(K492&gt;='Reverse Search'!$L$10,1,0),IF('Reverse Search'!$K$10="≤",IF(K492&lt;='Reverse Search'!$L$10,1,0),IF(K492='Reverse Search'!$L$10,1,0)))))</f>
        <v>1</v>
      </c>
      <c r="Y492" s="367" t="n">
        <f aca="false">IF('Reverse Search'!$N$7="Disable",1,IF('Reverse Search'!$I$11="Disable",1,IF('Reverse Search'!$K$11="≥",IF(L492&gt;='Reverse Search'!$L$11,1,0),IF('Reverse Search'!$K$11="≤",IF(L492&lt;='Reverse Search'!$L$11,1,0),IF(L492='Reverse Search'!$L$11,1,0)))))</f>
        <v>1</v>
      </c>
      <c r="Z492" s="0" t="n">
        <f aca="true">IF('Reverse Search'!$C$14="Disable",1,IF('Reverse Search'!$D$16="Disable",1,IF($C$2=3,IF($M492=0,0,COUNTIF(INDIRECT("'0.0.2 Pokémon Learnset (Core)'!$D$"&amp;MATCH($E492,'0.0.2 Pokémon Learnset (Core)'!$A$1:$A951,0)&amp;":$FK$"&amp;MATCH($E492,'0.0.2 Pokémon Learnset (Core)'!$A$1:$A951,0)),'Reverse Search'!$E$21)),IF($C$2=2,COUNTIF(INDIRECT("'0.1.1 Pokémon GO Moves'!$B$"&amp;MATCH($E492,'0.1.1 Pokémon GO Moves'!$A$1:$A951,0)&amp;":$R$"&amp;MATCH($E492,'0.1.1 Pokémon GO Moves'!$A$1:$A951,0)),'Reverse Search'!$E$21),COUNTIF(INDIRECT("'0.1.1 Pokémon GO Moves'!$B$"&amp;MATCH($E492,'0.1.1 Pokémon GO Moves'!$A$1:$A951,0)&amp;":$L$"&amp;MATCH($E492,'0.1.1 Pokémon GO Moves'!$A$1:$A951,0)),'Reverse Search'!$E$21)))))</f>
        <v>1</v>
      </c>
      <c r="AA492" s="0" t="n">
        <f aca="true">IF('Reverse Search'!$C$14="Disable",1,IF('Reverse Search'!$I$16="Disable",1,IF($D$2=3,IF($M492=0,0,COUNTIF(INDIRECT("'0.0.2 Pokémon Learnset (Core)'!$D$"&amp;MATCH($E492,'0.0.2 Pokémon Learnset (Core)'!$A$1:$A951,0)&amp;":$FK$"&amp;MATCH($E492,'0.0.2 Pokémon Learnset (Core)'!$A$1:$A951,0)),'Reverse Search'!$J$21)),IF($D$2=2,COUNTIF(INDIRECT("'0.1.1 Pokémon GO Moves'!$B$"&amp;MATCH($E492,'0.1.1 Pokémon GO Moves'!$A$1:$A951,0)&amp;":$R$"&amp;MATCH($E492,'0.1.1 Pokémon GO Moves'!$A$1:$A951,0)),'Reverse Search'!$J$21),COUNTIF(INDIRECT("'0.1.1 Pokémon GO Moves'!$B$"&amp;MATCH($E492,'0.1.1 Pokémon GO Moves'!$A$1:$A951,0)&amp;":$L$"&amp;MATCH($E492,'0.1.1 Pokémon GO Moves'!$A$1:$A951,0)),'Reverse Search'!$J$21)))))</f>
        <v>0</v>
      </c>
      <c r="AB492" s="490"/>
      <c r="AC492" s="260" t="n">
        <f aca="false">IF((Q492+R492+S492+V492+W492+X492+Y492+IF(Z492&gt;=1,1,0)+IF(AA492&gt;=1,1,0))=9,G492&amp;", ",)</f>
        <v>0</v>
      </c>
    </row>
    <row r="493" customFormat="false" ht="15.75" hidden="false" customHeight="false" outlineLevel="0" collapsed="false">
      <c r="A493" s="260"/>
      <c r="B493" s="358"/>
      <c r="C493" s="260"/>
      <c r="D493" s="358"/>
      <c r="E493" s="260" t="n">
        <v>492</v>
      </c>
      <c r="F493" s="260" t="n">
        <f aca="false" t="array" ref="F493:F493">INDEX('0.0.1 Pokémon Dex Data'!$H$3:$H951,MATCH(E493,'0.0.1 Pokémon Dex Data'!$B$3:$B951,0))</f>
        <v>0</v>
      </c>
      <c r="G493" s="0" t="str">
        <f aca="false" t="array" ref="G493:G493">INDEX('0.0.1 Pokémon Dex Data'!$E$3:$E951,MATCH(E493,'0.0.1 Pokémon Dex Data'!$B$3:$B951,0))</f>
        <v>Gastrodon</v>
      </c>
      <c r="H493" s="0" t="str">
        <f aca="false" t="array" ref="H493:H493">INDEX('0.0.1 Pokémon Dex Data'!$Q$3:$Q951,MATCH(E493,'0.0.1 Pokémon Dex Data'!$B$3:$B951,0))</f>
        <v>Water</v>
      </c>
      <c r="I493" s="0" t="str">
        <f aca="false" t="array" ref="I493:I493">INDEX('0.0.1 Pokémon Dex Data'!$R$3:$R951,MATCH(E493,'0.0.1 Pokémon Dex Data'!$B$3:$B951,0))</f>
        <v>Ground</v>
      </c>
      <c r="J493" s="260" t="n">
        <f aca="false" t="array" ref="J493:J493">ROUND(INDEX('0.0.1 Pokémon Dex Data'!$S$3:$S951,MATCH($E493,'0.0.1 Pokémon Dex Data'!$B$3:$B951,0))*INDEX('0.0.1 Pokémon Dex Data'!T$3:T951,MATCH($E493,'0.0.1 Pokémon Dex Data'!$B$3:$B951,0)),0)</f>
        <v>169</v>
      </c>
      <c r="K493" s="260" t="n">
        <f aca="false" t="array" ref="K493:K493">ROUND(INDEX('0.0.1 Pokémon Dex Data'!$S$3:$S951,MATCH($E493,'0.0.1 Pokémon Dex Data'!$B$3:$B951,0))*INDEX('0.0.1 Pokémon Dex Data'!U$3:U951,MATCH($E493,'0.0.1 Pokémon Dex Data'!$B$3:$B951,0)),0)</f>
        <v>143</v>
      </c>
      <c r="L493" s="260" t="n">
        <f aca="false" t="array" ref="L493:L493">ROUND(INDEX('0.0.1 Pokémon Dex Data'!$S$3:$S951,MATCH($E493,'0.0.1 Pokémon Dex Data'!$B$3:$B951,0))*INDEX('0.0.1 Pokémon Dex Data'!V$3:V951,MATCH($E493,'0.0.1 Pokémon Dex Data'!$B$3:$B951,0)),0)</f>
        <v>244</v>
      </c>
      <c r="M493" s="260" t="n">
        <f aca="false" t="array" ref="M493:M493">INDEX('0.0.1 Pokémon Dex Data'!$J$3:$J951,MATCH(E493,'0.0.1 Pokémon Dex Data'!$B$3:$B951,0))</f>
        <v>1</v>
      </c>
      <c r="O493" s="490"/>
      <c r="Q493" s="367" t="n">
        <f aca="false">IF('Reverse Search'!$F$4="All (including temporary formes)",1,IF('Reverse Search'!$F$4="Base Pokémon and permanent formes only",IF(F493&lt;=1,1,0),IF(F493=0,1,0)))</f>
        <v>1</v>
      </c>
      <c r="R493" s="0" t="n">
        <f aca="false">IF('Reverse Search'!$C$7="Disable",1,IF('Reverse Search'!$D$9="Disable",1,IF(OR('Reverse Search'!$F$9=H493,'Reverse Search'!$F$9=I493),1,0)))</f>
        <v>1</v>
      </c>
      <c r="S493" s="0" t="n">
        <f aca="false">IF('Reverse Search'!$C$7="Disable",1,IF('Reverse Search'!$D$10="Disable",1,IF(OR('Reverse Search'!$F$10=H493,'Reverse Search'!$F$10=I493),1,0)))</f>
        <v>1</v>
      </c>
      <c r="T493" s="0" t="n">
        <f aca="false">INDEX($B$4:$B$22,MATCH(H493,$A$4:$A$22,0))</f>
        <v>1</v>
      </c>
      <c r="U493" s="0" t="n">
        <f aca="false">IF(ISBLANK(I493),1,INDEX($B$4:$B$22,MATCH(I493,$A$4:$A$22,0)))</f>
        <v>1</v>
      </c>
      <c r="V493" s="367" t="n">
        <f aca="false">IF('Reverse Search'!$C$7="Disable",1,IF('Reverse Search'!$D$11="Disable",1,IF('Reverse Search'!$E$11="Neutral to:",IF(ROUND(T493*U493,2)&lt;=1,1,0),IF(ROUND(T493*U493,2)&lt;1,1,0))))</f>
        <v>1</v>
      </c>
      <c r="W493" s="0" t="n">
        <f aca="false">IF('Reverse Search'!$N$7="Disable",1,IF('Reverse Search'!$I$9="Disable",1,IF('Reverse Search'!$K$9="≥",IF(J493&gt;='Reverse Search'!$L$9,1,0),IF('Reverse Search'!$K$9="≤",IF(J493&lt;='Reverse Search'!$L$9,1,0),IF(J493='Reverse Search'!$L$9,1,0)))))</f>
        <v>1</v>
      </c>
      <c r="X493" s="0" t="n">
        <f aca="false">IF('Reverse Search'!$N$7="Disable",1,IF('Reverse Search'!$I$10="Disable",1,IF('Reverse Search'!$K$10="≥",IF(K493&gt;='Reverse Search'!$L$10,1,0),IF('Reverse Search'!$K$10="≤",IF(K493&lt;='Reverse Search'!$L$10,1,0),IF(K493='Reverse Search'!$L$10,1,0)))))</f>
        <v>1</v>
      </c>
      <c r="Y493" s="367" t="n">
        <f aca="false">IF('Reverse Search'!$N$7="Disable",1,IF('Reverse Search'!$I$11="Disable",1,IF('Reverse Search'!$K$11="≥",IF(L493&gt;='Reverse Search'!$L$11,1,0),IF('Reverse Search'!$K$11="≤",IF(L493&lt;='Reverse Search'!$L$11,1,0),IF(L493='Reverse Search'!$L$11,1,0)))))</f>
        <v>1</v>
      </c>
      <c r="Z493" s="0" t="n">
        <f aca="true">IF('Reverse Search'!$C$14="Disable",1,IF('Reverse Search'!$D$16="Disable",1,IF($C$2=3,IF($M493=0,0,COUNTIF(INDIRECT("'0.0.2 Pokémon Learnset (Core)'!$D$"&amp;MATCH($E493,'0.0.2 Pokémon Learnset (Core)'!$A$1:$A951,0)&amp;":$FK$"&amp;MATCH($E493,'0.0.2 Pokémon Learnset (Core)'!$A$1:$A951,0)),'Reverse Search'!$E$21)),IF($C$2=2,COUNTIF(INDIRECT("'0.1.1 Pokémon GO Moves'!$B$"&amp;MATCH($E493,'0.1.1 Pokémon GO Moves'!$A$1:$A951,0)&amp;":$R$"&amp;MATCH($E493,'0.1.1 Pokémon GO Moves'!$A$1:$A951,0)),'Reverse Search'!$E$21),COUNTIF(INDIRECT("'0.1.1 Pokémon GO Moves'!$B$"&amp;MATCH($E493,'0.1.1 Pokémon GO Moves'!$A$1:$A951,0)&amp;":$L$"&amp;MATCH($E493,'0.1.1 Pokémon GO Moves'!$A$1:$A951,0)),'Reverse Search'!$E$21)))))</f>
        <v>1</v>
      </c>
      <c r="AA493" s="0" t="n">
        <f aca="true">IF('Reverse Search'!$C$14="Disable",1,IF('Reverse Search'!$I$16="Disable",1,IF($D$2=3,IF($M493=0,0,COUNTIF(INDIRECT("'0.0.2 Pokémon Learnset (Core)'!$D$"&amp;MATCH($E493,'0.0.2 Pokémon Learnset (Core)'!$A$1:$A951,0)&amp;":$FK$"&amp;MATCH($E493,'0.0.2 Pokémon Learnset (Core)'!$A$1:$A951,0)),'Reverse Search'!$J$21)),IF($D$2=2,COUNTIF(INDIRECT("'0.1.1 Pokémon GO Moves'!$B$"&amp;MATCH($E493,'0.1.1 Pokémon GO Moves'!$A$1:$A951,0)&amp;":$R$"&amp;MATCH($E493,'0.1.1 Pokémon GO Moves'!$A$1:$A951,0)),'Reverse Search'!$J$21),COUNTIF(INDIRECT("'0.1.1 Pokémon GO Moves'!$B$"&amp;MATCH($E493,'0.1.1 Pokémon GO Moves'!$A$1:$A951,0)&amp;":$L$"&amp;MATCH($E493,'0.1.1 Pokémon GO Moves'!$A$1:$A951,0)),'Reverse Search'!$J$21)))))</f>
        <v>0</v>
      </c>
      <c r="AB493" s="490"/>
      <c r="AC493" s="260" t="n">
        <f aca="false">IF((Q493+R493+S493+V493+W493+X493+Y493+IF(Z493&gt;=1,1,0)+IF(AA493&gt;=1,1,0))=9,G493&amp;", ",)</f>
        <v>0</v>
      </c>
    </row>
    <row r="494" customFormat="false" ht="15.75" hidden="false" customHeight="false" outlineLevel="0" collapsed="false">
      <c r="A494" s="260"/>
      <c r="B494" s="358"/>
      <c r="C494" s="260"/>
      <c r="D494" s="358"/>
      <c r="E494" s="260" t="n">
        <v>493</v>
      </c>
      <c r="F494" s="260" t="n">
        <f aca="false" t="array" ref="F494:F494">INDEX('0.0.1 Pokémon Dex Data'!$H$3:$H951,MATCH(E494,'0.0.1 Pokémon Dex Data'!$B$3:$B951,0))</f>
        <v>0</v>
      </c>
      <c r="G494" s="0" t="str">
        <f aca="false" t="array" ref="G494:G494">INDEX('0.0.1 Pokémon Dex Data'!$E$3:$E951,MATCH(E494,'0.0.1 Pokémon Dex Data'!$B$3:$B951,0))</f>
        <v>Ambipom</v>
      </c>
      <c r="H494" s="0" t="str">
        <f aca="false" t="array" ref="H494:H494">INDEX('0.0.1 Pokémon Dex Data'!$Q$3:$Q951,MATCH(E494,'0.0.1 Pokémon Dex Data'!$B$3:$B951,0))</f>
        <v>Normal</v>
      </c>
      <c r="I494" s="0" t="n">
        <f aca="false">INDEX('0.0.1 Pokémon Dex Data'!$R$3:$R951,MATCH(E494,'0.0.1 Pokémon Dex Data'!$B$3:$B951,0))</f>
        <v>0</v>
      </c>
      <c r="J494" s="260" t="n">
        <f aca="false" t="array" ref="J494:J494">ROUND(INDEX('0.0.1 Pokémon Dex Data'!$S$3:$S951,MATCH($E494,'0.0.1 Pokémon Dex Data'!$B$3:$B951,0))*INDEX('0.0.1 Pokémon Dex Data'!T$3:T951,MATCH($E494,'0.0.1 Pokémon Dex Data'!$B$3:$B951,0)),0)</f>
        <v>205</v>
      </c>
      <c r="K494" s="260" t="n">
        <f aca="false" t="array" ref="K494:K494">ROUND(INDEX('0.0.1 Pokémon Dex Data'!$S$3:$S951,MATCH($E494,'0.0.1 Pokémon Dex Data'!$B$3:$B951,0))*INDEX('0.0.1 Pokémon Dex Data'!U$3:U951,MATCH($E494,'0.0.1 Pokémon Dex Data'!$B$3:$B951,0)),0)</f>
        <v>143</v>
      </c>
      <c r="L494" s="260" t="n">
        <f aca="false" t="array" ref="L494:L494">ROUND(INDEX('0.0.1 Pokémon Dex Data'!$S$3:$S951,MATCH($E494,'0.0.1 Pokémon Dex Data'!$B$3:$B951,0))*INDEX('0.0.1 Pokémon Dex Data'!V$3:V951,MATCH($E494,'0.0.1 Pokémon Dex Data'!$B$3:$B951,0)),0)</f>
        <v>181</v>
      </c>
      <c r="M494" s="260" t="n">
        <f aca="false" t="array" ref="M494:M494">INDEX('0.0.1 Pokémon Dex Data'!$J$3:$J951,MATCH(E494,'0.0.1 Pokémon Dex Data'!$B$3:$B951,0))</f>
        <v>1</v>
      </c>
      <c r="O494" s="490"/>
      <c r="Q494" s="367" t="n">
        <f aca="false">IF('Reverse Search'!$F$4="All (including temporary formes)",1,IF('Reverse Search'!$F$4="Base Pokémon and permanent formes only",IF(F494&lt;=1,1,0),IF(F494=0,1,0)))</f>
        <v>1</v>
      </c>
      <c r="R494" s="0" t="n">
        <f aca="false">IF('Reverse Search'!$C$7="Disable",1,IF('Reverse Search'!$D$9="Disable",1,IF(OR('Reverse Search'!$F$9=H494,'Reverse Search'!$F$9=I494),1,0)))</f>
        <v>1</v>
      </c>
      <c r="S494" s="0" t="n">
        <f aca="false">IF('Reverse Search'!$C$7="Disable",1,IF('Reverse Search'!$D$10="Disable",1,IF(OR('Reverse Search'!$F$10=H494,'Reverse Search'!$F$10=I494),1,0)))</f>
        <v>1</v>
      </c>
      <c r="T494" s="0" t="n">
        <f aca="false">INDEX($B$4:$B$22,MATCH(H494,$A$4:$A$22,0))</f>
        <v>1</v>
      </c>
      <c r="U494" s="0" t="e">
        <f aca="false">IF(ISBLANK(I494),1,INDEX($B$4:$B$22,MATCH(I494,$A$4:$A$22,0)))</f>
        <v>#N/A</v>
      </c>
      <c r="V494" s="367" t="n">
        <f aca="false">IF('Reverse Search'!$C$7="Disable",1,IF('Reverse Search'!$D$11="Disable",1,IF('Reverse Search'!$E$11="Neutral to:",IF(ROUND(T494*U494,2)&lt;=1,1,0),IF(ROUND(T494*U494,2)&lt;1,1,0))))</f>
        <v>1</v>
      </c>
      <c r="W494" s="0" t="n">
        <f aca="false">IF('Reverse Search'!$N$7="Disable",1,IF('Reverse Search'!$I$9="Disable",1,IF('Reverse Search'!$K$9="≥",IF(J494&gt;='Reverse Search'!$L$9,1,0),IF('Reverse Search'!$K$9="≤",IF(J494&lt;='Reverse Search'!$L$9,1,0),IF(J494='Reverse Search'!$L$9,1,0)))))</f>
        <v>1</v>
      </c>
      <c r="X494" s="0" t="n">
        <f aca="false">IF('Reverse Search'!$N$7="Disable",1,IF('Reverse Search'!$I$10="Disable",1,IF('Reverse Search'!$K$10="≥",IF(K494&gt;='Reverse Search'!$L$10,1,0),IF('Reverse Search'!$K$10="≤",IF(K494&lt;='Reverse Search'!$L$10,1,0),IF(K494='Reverse Search'!$L$10,1,0)))))</f>
        <v>1</v>
      </c>
      <c r="Y494" s="367" t="n">
        <f aca="false">IF('Reverse Search'!$N$7="Disable",1,IF('Reverse Search'!$I$11="Disable",1,IF('Reverse Search'!$K$11="≥",IF(L494&gt;='Reverse Search'!$L$11,1,0),IF('Reverse Search'!$K$11="≤",IF(L494&lt;='Reverse Search'!$L$11,1,0),IF(L494='Reverse Search'!$L$11,1,0)))))</f>
        <v>1</v>
      </c>
      <c r="Z494" s="0" t="n">
        <f aca="true">IF('Reverse Search'!$C$14="Disable",1,IF('Reverse Search'!$D$16="Disable",1,IF($C$2=3,IF($M494=0,0,COUNTIF(INDIRECT("'0.0.2 Pokémon Learnset (Core)'!$D$"&amp;MATCH($E494,'0.0.2 Pokémon Learnset (Core)'!$A$1:$A951,0)&amp;":$FK$"&amp;MATCH($E494,'0.0.2 Pokémon Learnset (Core)'!$A$1:$A951,0)),'Reverse Search'!$E$21)),IF($C$2=2,COUNTIF(INDIRECT("'0.1.1 Pokémon GO Moves'!$B$"&amp;MATCH($E494,'0.1.1 Pokémon GO Moves'!$A$1:$A951,0)&amp;":$R$"&amp;MATCH($E494,'0.1.1 Pokémon GO Moves'!$A$1:$A951,0)),'Reverse Search'!$E$21),COUNTIF(INDIRECT("'0.1.1 Pokémon GO Moves'!$B$"&amp;MATCH($E494,'0.1.1 Pokémon GO Moves'!$A$1:$A951,0)&amp;":$L$"&amp;MATCH($E494,'0.1.1 Pokémon GO Moves'!$A$1:$A951,0)),'Reverse Search'!$E$21)))))</f>
        <v>1</v>
      </c>
      <c r="AA494" s="0" t="n">
        <f aca="true">IF('Reverse Search'!$C$14="Disable",1,IF('Reverse Search'!$I$16="Disable",1,IF($D$2=3,IF($M494=0,0,COUNTIF(INDIRECT("'0.0.2 Pokémon Learnset (Core)'!$D$"&amp;MATCH($E494,'0.0.2 Pokémon Learnset (Core)'!$A$1:$A951,0)&amp;":$FK$"&amp;MATCH($E494,'0.0.2 Pokémon Learnset (Core)'!$A$1:$A951,0)),'Reverse Search'!$J$21)),IF($D$2=2,COUNTIF(INDIRECT("'0.1.1 Pokémon GO Moves'!$B$"&amp;MATCH($E494,'0.1.1 Pokémon GO Moves'!$A$1:$A951,0)&amp;":$R$"&amp;MATCH($E494,'0.1.1 Pokémon GO Moves'!$A$1:$A951,0)),'Reverse Search'!$J$21),COUNTIF(INDIRECT("'0.1.1 Pokémon GO Moves'!$B$"&amp;MATCH($E494,'0.1.1 Pokémon GO Moves'!$A$1:$A951,0)&amp;":$L$"&amp;MATCH($E494,'0.1.1 Pokémon GO Moves'!$A$1:$A951,0)),'Reverse Search'!$J$21)))))</f>
        <v>0</v>
      </c>
      <c r="AB494" s="490"/>
      <c r="AC494" s="260" t="n">
        <f aca="false">IF((Q494+R494+S494+V494+W494+X494+Y494+IF(Z494&gt;=1,1,0)+IF(AA494&gt;=1,1,0))=9,G494&amp;", ",)</f>
        <v>0</v>
      </c>
    </row>
    <row r="495" customFormat="false" ht="15.75" hidden="false" customHeight="false" outlineLevel="0" collapsed="false">
      <c r="A495" s="260"/>
      <c r="B495" s="358"/>
      <c r="C495" s="260"/>
      <c r="D495" s="358"/>
      <c r="E495" s="260" t="n">
        <v>494</v>
      </c>
      <c r="F495" s="260" t="n">
        <f aca="false" t="array" ref="F495:F495">INDEX('0.0.1 Pokémon Dex Data'!$H$3:$H951,MATCH(E495,'0.0.1 Pokémon Dex Data'!$B$3:$B951,0))</f>
        <v>0</v>
      </c>
      <c r="G495" s="0" t="str">
        <f aca="false" t="array" ref="G495:G495">INDEX('0.0.1 Pokémon Dex Data'!$E$3:$E951,MATCH(E495,'0.0.1 Pokémon Dex Data'!$B$3:$B951,0))</f>
        <v>Drifloon</v>
      </c>
      <c r="H495" s="0" t="str">
        <f aca="false" t="array" ref="H495:H495">INDEX('0.0.1 Pokémon Dex Data'!$Q$3:$Q951,MATCH(E495,'0.0.1 Pokémon Dex Data'!$B$3:$B951,0))</f>
        <v>Ghost</v>
      </c>
      <c r="I495" s="0" t="str">
        <f aca="false" t="array" ref="I495:I495">INDEX('0.0.1 Pokémon Dex Data'!$R$3:$R951,MATCH(E495,'0.0.1 Pokémon Dex Data'!$B$3:$B951,0))</f>
        <v>Flying</v>
      </c>
      <c r="J495" s="260" t="n">
        <f aca="false" t="array" ref="J495:J495">ROUND(INDEX('0.0.1 Pokémon Dex Data'!$S$3:$S951,MATCH($E495,'0.0.1 Pokémon Dex Data'!$B$3:$B951,0))*INDEX('0.0.1 Pokémon Dex Data'!T$3:T951,MATCH($E495,'0.0.1 Pokémon Dex Data'!$B$3:$B951,0)),0)</f>
        <v>117</v>
      </c>
      <c r="K495" s="260" t="n">
        <f aca="false" t="array" ref="K495:K495">ROUND(INDEX('0.0.1 Pokémon Dex Data'!$S$3:$S951,MATCH($E495,'0.0.1 Pokémon Dex Data'!$B$3:$B951,0))*INDEX('0.0.1 Pokémon Dex Data'!U$3:U951,MATCH($E495,'0.0.1 Pokémon Dex Data'!$B$3:$B951,0)),0)</f>
        <v>80</v>
      </c>
      <c r="L495" s="260" t="n">
        <f aca="false" t="array" ref="L495:L495">ROUND(INDEX('0.0.1 Pokémon Dex Data'!$S$3:$S951,MATCH($E495,'0.0.1 Pokémon Dex Data'!$B$3:$B951,0))*INDEX('0.0.1 Pokémon Dex Data'!V$3:V951,MATCH($E495,'0.0.1 Pokémon Dex Data'!$B$3:$B951,0)),0)</f>
        <v>207</v>
      </c>
      <c r="M495" s="260" t="n">
        <f aca="false" t="array" ref="M495:M495">INDEX('0.0.1 Pokémon Dex Data'!$J$3:$J951,MATCH(E495,'0.0.1 Pokémon Dex Data'!$B$3:$B951,0))</f>
        <v>0</v>
      </c>
      <c r="O495" s="490"/>
      <c r="Q495" s="367" t="n">
        <f aca="false">IF('Reverse Search'!$F$4="All (including temporary formes)",1,IF('Reverse Search'!$F$4="Base Pokémon and permanent formes only",IF(F495&lt;=1,1,0),IF(F495=0,1,0)))</f>
        <v>1</v>
      </c>
      <c r="R495" s="0" t="n">
        <f aca="false">IF('Reverse Search'!$C$7="Disable",1,IF('Reverse Search'!$D$9="Disable",1,IF(OR('Reverse Search'!$F$9=H495,'Reverse Search'!$F$9=I495),1,0)))</f>
        <v>1</v>
      </c>
      <c r="S495" s="0" t="n">
        <f aca="false">IF('Reverse Search'!$C$7="Disable",1,IF('Reverse Search'!$D$10="Disable",1,IF(OR('Reverse Search'!$F$10=H495,'Reverse Search'!$F$10=I495),1,0)))</f>
        <v>1</v>
      </c>
      <c r="T495" s="0" t="n">
        <f aca="false">INDEX($B$4:$B$22,MATCH(H495,$A$4:$A$22,0))</f>
        <v>0.51</v>
      </c>
      <c r="U495" s="0" t="n">
        <f aca="false">IF(ISBLANK(I495),1,INDEX($B$4:$B$22,MATCH(I495,$A$4:$A$22,0)))</f>
        <v>1</v>
      </c>
      <c r="V495" s="367" t="n">
        <f aca="false">IF('Reverse Search'!$C$7="Disable",1,IF('Reverse Search'!$D$11="Disable",1,IF('Reverse Search'!$E$11="Neutral to:",IF(ROUND(T495*U495,2)&lt;=1,1,0),IF(ROUND(T495*U495,2)&lt;1,1,0))))</f>
        <v>1</v>
      </c>
      <c r="W495" s="0" t="n">
        <f aca="false">IF('Reverse Search'!$N$7="Disable",1,IF('Reverse Search'!$I$9="Disable",1,IF('Reverse Search'!$K$9="≥",IF(J495&gt;='Reverse Search'!$L$9,1,0),IF('Reverse Search'!$K$9="≤",IF(J495&lt;='Reverse Search'!$L$9,1,0),IF(J495='Reverse Search'!$L$9,1,0)))))</f>
        <v>1</v>
      </c>
      <c r="X495" s="0" t="n">
        <f aca="false">IF('Reverse Search'!$N$7="Disable",1,IF('Reverse Search'!$I$10="Disable",1,IF('Reverse Search'!$K$10="≥",IF(K495&gt;='Reverse Search'!$L$10,1,0),IF('Reverse Search'!$K$10="≤",IF(K495&lt;='Reverse Search'!$L$10,1,0),IF(K495='Reverse Search'!$L$10,1,0)))))</f>
        <v>1</v>
      </c>
      <c r="Y495" s="367" t="n">
        <f aca="false">IF('Reverse Search'!$N$7="Disable",1,IF('Reverse Search'!$I$11="Disable",1,IF('Reverse Search'!$K$11="≥",IF(L495&gt;='Reverse Search'!$L$11,1,0),IF('Reverse Search'!$K$11="≤",IF(L495&lt;='Reverse Search'!$L$11,1,0),IF(L495='Reverse Search'!$L$11,1,0)))))</f>
        <v>1</v>
      </c>
      <c r="Z495" s="0" t="n">
        <f aca="true">IF('Reverse Search'!$C$14="Disable",1,IF('Reverse Search'!$D$16="Disable",1,IF($C$2=3,IF($M495=0,0,COUNTIF(INDIRECT("'0.0.2 Pokémon Learnset (Core)'!$D$"&amp;MATCH($E495,'0.0.2 Pokémon Learnset (Core)'!$A$1:$A951,0)&amp;":$FK$"&amp;MATCH($E495,'0.0.2 Pokémon Learnset (Core)'!$A$1:$A951,0)),'Reverse Search'!$E$21)),IF($C$2=2,COUNTIF(INDIRECT("'0.1.1 Pokémon GO Moves'!$B$"&amp;MATCH($E495,'0.1.1 Pokémon GO Moves'!$A$1:$A951,0)&amp;":$R$"&amp;MATCH($E495,'0.1.1 Pokémon GO Moves'!$A$1:$A951,0)),'Reverse Search'!$E$21),COUNTIF(INDIRECT("'0.1.1 Pokémon GO Moves'!$B$"&amp;MATCH($E495,'0.1.1 Pokémon GO Moves'!$A$1:$A951,0)&amp;":$L$"&amp;MATCH($E495,'0.1.1 Pokémon GO Moves'!$A$1:$A951,0)),'Reverse Search'!$E$21)))))</f>
        <v>1</v>
      </c>
      <c r="AA495" s="0" t="n">
        <f aca="true">IF('Reverse Search'!$C$14="Disable",1,IF('Reverse Search'!$I$16="Disable",1,IF($D$2=3,IF($M495=0,0,COUNTIF(INDIRECT("'0.0.2 Pokémon Learnset (Core)'!$D$"&amp;MATCH($E495,'0.0.2 Pokémon Learnset (Core)'!$A$1:$A951,0)&amp;":$FK$"&amp;MATCH($E495,'0.0.2 Pokémon Learnset (Core)'!$A$1:$A951,0)),'Reverse Search'!$J$21)),IF($D$2=2,COUNTIF(INDIRECT("'0.1.1 Pokémon GO Moves'!$B$"&amp;MATCH($E495,'0.1.1 Pokémon GO Moves'!$A$1:$A951,0)&amp;":$R$"&amp;MATCH($E495,'0.1.1 Pokémon GO Moves'!$A$1:$A951,0)),'Reverse Search'!$J$21),COUNTIF(INDIRECT("'0.1.1 Pokémon GO Moves'!$B$"&amp;MATCH($E495,'0.1.1 Pokémon GO Moves'!$A$1:$A951,0)&amp;":$L$"&amp;MATCH($E495,'0.1.1 Pokémon GO Moves'!$A$1:$A951,0)),'Reverse Search'!$J$21)))))</f>
        <v>0</v>
      </c>
      <c r="AB495" s="490"/>
      <c r="AC495" s="260" t="n">
        <f aca="false">IF((Q495+R495+S495+V495+W495+X495+Y495+IF(Z495&gt;=1,1,0)+IF(AA495&gt;=1,1,0))=9,G495&amp;", ",)</f>
        <v>0</v>
      </c>
    </row>
    <row r="496" customFormat="false" ht="15.75" hidden="false" customHeight="false" outlineLevel="0" collapsed="false">
      <c r="A496" s="260"/>
      <c r="B496" s="358"/>
      <c r="C496" s="260"/>
      <c r="D496" s="358"/>
      <c r="E496" s="260" t="n">
        <v>495</v>
      </c>
      <c r="F496" s="260" t="n">
        <f aca="false" t="array" ref="F496:F496">INDEX('0.0.1 Pokémon Dex Data'!$H$3:$H951,MATCH(E496,'0.0.1 Pokémon Dex Data'!$B$3:$B951,0))</f>
        <v>0</v>
      </c>
      <c r="G496" s="0" t="str">
        <f aca="false" t="array" ref="G496:G496">INDEX('0.0.1 Pokémon Dex Data'!$E$3:$E951,MATCH(E496,'0.0.1 Pokémon Dex Data'!$B$3:$B951,0))</f>
        <v>Drifblim</v>
      </c>
      <c r="H496" s="0" t="str">
        <f aca="false" t="array" ref="H496:H496">INDEX('0.0.1 Pokémon Dex Data'!$Q$3:$Q951,MATCH(E496,'0.0.1 Pokémon Dex Data'!$B$3:$B951,0))</f>
        <v>Ghost</v>
      </c>
      <c r="I496" s="0" t="str">
        <f aca="false" t="array" ref="I496:I496">INDEX('0.0.1 Pokémon Dex Data'!$R$3:$R951,MATCH(E496,'0.0.1 Pokémon Dex Data'!$B$3:$B951,0))</f>
        <v>Flying</v>
      </c>
      <c r="J496" s="260" t="n">
        <f aca="false" t="array" ref="J496:J496">ROUND(INDEX('0.0.1 Pokémon Dex Data'!$S$3:$S951,MATCH($E496,'0.0.1 Pokémon Dex Data'!$B$3:$B951,0))*INDEX('0.0.1 Pokémon Dex Data'!T$3:T951,MATCH($E496,'0.0.1 Pokémon Dex Data'!$B$3:$B951,0)),0)</f>
        <v>180</v>
      </c>
      <c r="K496" s="260" t="n">
        <f aca="false" t="array" ref="K496:K496">ROUND(INDEX('0.0.1 Pokémon Dex Data'!$S$3:$S951,MATCH($E496,'0.0.1 Pokémon Dex Data'!$B$3:$B951,0))*INDEX('0.0.1 Pokémon Dex Data'!U$3:U951,MATCH($E496,'0.0.1 Pokémon Dex Data'!$B$3:$B951,0)),0)</f>
        <v>102</v>
      </c>
      <c r="L496" s="260" t="n">
        <f aca="false" t="array" ref="L496:L496">ROUND(INDEX('0.0.1 Pokémon Dex Data'!$S$3:$S951,MATCH($E496,'0.0.1 Pokémon Dex Data'!$B$3:$B951,0))*INDEX('0.0.1 Pokémon Dex Data'!V$3:V951,MATCH($E496,'0.0.1 Pokémon Dex Data'!$B$3:$B951,0)),0)</f>
        <v>312</v>
      </c>
      <c r="M496" s="260" t="n">
        <f aca="false" t="array" ref="M496:M496">INDEX('0.0.1 Pokémon Dex Data'!$J$3:$J951,MATCH(E496,'0.0.1 Pokémon Dex Data'!$B$3:$B951,0))</f>
        <v>1</v>
      </c>
      <c r="O496" s="490"/>
      <c r="Q496" s="367" t="n">
        <f aca="false">IF('Reverse Search'!$F$4="All (including temporary formes)",1,IF('Reverse Search'!$F$4="Base Pokémon and permanent formes only",IF(F496&lt;=1,1,0),IF(F496=0,1,0)))</f>
        <v>1</v>
      </c>
      <c r="R496" s="0" t="n">
        <f aca="false">IF('Reverse Search'!$C$7="Disable",1,IF('Reverse Search'!$D$9="Disable",1,IF(OR('Reverse Search'!$F$9=H496,'Reverse Search'!$F$9=I496),1,0)))</f>
        <v>1</v>
      </c>
      <c r="S496" s="0" t="n">
        <f aca="false">IF('Reverse Search'!$C$7="Disable",1,IF('Reverse Search'!$D$10="Disable",1,IF(OR('Reverse Search'!$F$10=H496,'Reverse Search'!$F$10=I496),1,0)))</f>
        <v>1</v>
      </c>
      <c r="T496" s="0" t="n">
        <f aca="false">INDEX($B$4:$B$22,MATCH(H496,$A$4:$A$22,0))</f>
        <v>0.51</v>
      </c>
      <c r="U496" s="0" t="n">
        <f aca="false">IF(ISBLANK(I496),1,INDEX($B$4:$B$22,MATCH(I496,$A$4:$A$22,0)))</f>
        <v>1</v>
      </c>
      <c r="V496" s="367" t="n">
        <f aca="false">IF('Reverse Search'!$C$7="Disable",1,IF('Reverse Search'!$D$11="Disable",1,IF('Reverse Search'!$E$11="Neutral to:",IF(ROUND(T496*U496,2)&lt;=1,1,0),IF(ROUND(T496*U496,2)&lt;1,1,0))))</f>
        <v>1</v>
      </c>
      <c r="W496" s="0" t="n">
        <f aca="false">IF('Reverse Search'!$N$7="Disable",1,IF('Reverse Search'!$I$9="Disable",1,IF('Reverse Search'!$K$9="≥",IF(J496&gt;='Reverse Search'!$L$9,1,0),IF('Reverse Search'!$K$9="≤",IF(J496&lt;='Reverse Search'!$L$9,1,0),IF(J496='Reverse Search'!$L$9,1,0)))))</f>
        <v>1</v>
      </c>
      <c r="X496" s="0" t="n">
        <f aca="false">IF('Reverse Search'!$N$7="Disable",1,IF('Reverse Search'!$I$10="Disable",1,IF('Reverse Search'!$K$10="≥",IF(K496&gt;='Reverse Search'!$L$10,1,0),IF('Reverse Search'!$K$10="≤",IF(K496&lt;='Reverse Search'!$L$10,1,0),IF(K496='Reverse Search'!$L$10,1,0)))))</f>
        <v>1</v>
      </c>
      <c r="Y496" s="367" t="n">
        <f aca="false">IF('Reverse Search'!$N$7="Disable",1,IF('Reverse Search'!$I$11="Disable",1,IF('Reverse Search'!$K$11="≥",IF(L496&gt;='Reverse Search'!$L$11,1,0),IF('Reverse Search'!$K$11="≤",IF(L496&lt;='Reverse Search'!$L$11,1,0),IF(L496='Reverse Search'!$L$11,1,0)))))</f>
        <v>1</v>
      </c>
      <c r="Z496" s="0" t="n">
        <f aca="true">IF('Reverse Search'!$C$14="Disable",1,IF('Reverse Search'!$D$16="Disable",1,IF($C$2=3,IF($M496=0,0,COUNTIF(INDIRECT("'0.0.2 Pokémon Learnset (Core)'!$D$"&amp;MATCH($E496,'0.0.2 Pokémon Learnset (Core)'!$A$1:$A951,0)&amp;":$FK$"&amp;MATCH($E496,'0.0.2 Pokémon Learnset (Core)'!$A$1:$A951,0)),'Reverse Search'!$E$21)),IF($C$2=2,COUNTIF(INDIRECT("'0.1.1 Pokémon GO Moves'!$B$"&amp;MATCH($E496,'0.1.1 Pokémon GO Moves'!$A$1:$A951,0)&amp;":$R$"&amp;MATCH($E496,'0.1.1 Pokémon GO Moves'!$A$1:$A951,0)),'Reverse Search'!$E$21),COUNTIF(INDIRECT("'0.1.1 Pokémon GO Moves'!$B$"&amp;MATCH($E496,'0.1.1 Pokémon GO Moves'!$A$1:$A951,0)&amp;":$L$"&amp;MATCH($E496,'0.1.1 Pokémon GO Moves'!$A$1:$A951,0)),'Reverse Search'!$E$21)))))</f>
        <v>1</v>
      </c>
      <c r="AA496" s="0" t="n">
        <f aca="true">IF('Reverse Search'!$C$14="Disable",1,IF('Reverse Search'!$I$16="Disable",1,IF($D$2=3,IF($M496=0,0,COUNTIF(INDIRECT("'0.0.2 Pokémon Learnset (Core)'!$D$"&amp;MATCH($E496,'0.0.2 Pokémon Learnset (Core)'!$A$1:$A951,0)&amp;":$FK$"&amp;MATCH($E496,'0.0.2 Pokémon Learnset (Core)'!$A$1:$A951,0)),'Reverse Search'!$J$21)),IF($D$2=2,COUNTIF(INDIRECT("'0.1.1 Pokémon GO Moves'!$B$"&amp;MATCH($E496,'0.1.1 Pokémon GO Moves'!$A$1:$A951,0)&amp;":$R$"&amp;MATCH($E496,'0.1.1 Pokémon GO Moves'!$A$1:$A951,0)),'Reverse Search'!$J$21),COUNTIF(INDIRECT("'0.1.1 Pokémon GO Moves'!$B$"&amp;MATCH($E496,'0.1.1 Pokémon GO Moves'!$A$1:$A951,0)&amp;":$L$"&amp;MATCH($E496,'0.1.1 Pokémon GO Moves'!$A$1:$A951,0)),'Reverse Search'!$J$21)))))</f>
        <v>0</v>
      </c>
      <c r="AB496" s="490"/>
      <c r="AC496" s="260" t="n">
        <f aca="false">IF((Q496+R496+S496+V496+W496+X496+Y496+IF(Z496&gt;=1,1,0)+IF(AA496&gt;=1,1,0))=9,G496&amp;", ",)</f>
        <v>0</v>
      </c>
    </row>
    <row r="497" customFormat="false" ht="15.75" hidden="false" customHeight="false" outlineLevel="0" collapsed="false">
      <c r="A497" s="260"/>
      <c r="B497" s="358"/>
      <c r="C497" s="260"/>
      <c r="D497" s="358"/>
      <c r="E497" s="260" t="n">
        <v>496</v>
      </c>
      <c r="F497" s="260" t="n">
        <f aca="false" t="array" ref="F497:F497">INDEX('0.0.1 Pokémon Dex Data'!$H$3:$H951,MATCH(E497,'0.0.1 Pokémon Dex Data'!$B$3:$B951,0))</f>
        <v>0</v>
      </c>
      <c r="G497" s="0" t="str">
        <f aca="false" t="array" ref="G497:G497">INDEX('0.0.1 Pokémon Dex Data'!$E$3:$E951,MATCH(E497,'0.0.1 Pokémon Dex Data'!$B$3:$B951,0))</f>
        <v>Buneary</v>
      </c>
      <c r="H497" s="0" t="str">
        <f aca="false" t="array" ref="H497:H497">INDEX('0.0.1 Pokémon Dex Data'!$Q$3:$Q951,MATCH(E497,'0.0.1 Pokémon Dex Data'!$B$3:$B951,0))</f>
        <v>Normal</v>
      </c>
      <c r="I497" s="0" t="n">
        <f aca="false">INDEX('0.0.1 Pokémon Dex Data'!$R$3:$R951,MATCH(E497,'0.0.1 Pokémon Dex Data'!$B$3:$B951,0))</f>
        <v>0</v>
      </c>
      <c r="J497" s="260" t="n">
        <f aca="false" t="array" ref="J497:J497">ROUND(INDEX('0.0.1 Pokémon Dex Data'!$S$3:$S951,MATCH($E497,'0.0.1 Pokémon Dex Data'!$B$3:$B951,0))*INDEX('0.0.1 Pokémon Dex Data'!T$3:T951,MATCH($E497,'0.0.1 Pokémon Dex Data'!$B$3:$B951,0)),0)</f>
        <v>130</v>
      </c>
      <c r="K497" s="260" t="n">
        <f aca="false" t="array" ref="K497:K497">ROUND(INDEX('0.0.1 Pokémon Dex Data'!$S$3:$S951,MATCH($E497,'0.0.1 Pokémon Dex Data'!$B$3:$B951,0))*INDEX('0.0.1 Pokémon Dex Data'!U$3:U951,MATCH($E497,'0.0.1 Pokémon Dex Data'!$B$3:$B951,0)),0)</f>
        <v>105</v>
      </c>
      <c r="L497" s="260" t="n">
        <f aca="false" t="array" ref="L497:L497">ROUND(INDEX('0.0.1 Pokémon Dex Data'!$S$3:$S951,MATCH($E497,'0.0.1 Pokémon Dex Data'!$B$3:$B951,0))*INDEX('0.0.1 Pokémon Dex Data'!V$3:V951,MATCH($E497,'0.0.1 Pokémon Dex Data'!$B$3:$B951,0)),0)</f>
        <v>146</v>
      </c>
      <c r="M497" s="260" t="n">
        <f aca="false" t="array" ref="M497:M497">INDEX('0.0.1 Pokémon Dex Data'!$J$3:$J951,MATCH(E497,'0.0.1 Pokémon Dex Data'!$B$3:$B951,0))</f>
        <v>0</v>
      </c>
      <c r="O497" s="490"/>
      <c r="Q497" s="367" t="n">
        <f aca="false">IF('Reverse Search'!$F$4="All (including temporary formes)",1,IF('Reverse Search'!$F$4="Base Pokémon and permanent formes only",IF(F497&lt;=1,1,0),IF(F497=0,1,0)))</f>
        <v>1</v>
      </c>
      <c r="R497" s="0" t="n">
        <f aca="false">IF('Reverse Search'!$C$7="Disable",1,IF('Reverse Search'!$D$9="Disable",1,IF(OR('Reverse Search'!$F$9=H497,'Reverse Search'!$F$9=I497),1,0)))</f>
        <v>1</v>
      </c>
      <c r="S497" s="0" t="n">
        <f aca="false">IF('Reverse Search'!$C$7="Disable",1,IF('Reverse Search'!$D$10="Disable",1,IF(OR('Reverse Search'!$F$10=H497,'Reverse Search'!$F$10=I497),1,0)))</f>
        <v>1</v>
      </c>
      <c r="T497" s="0" t="n">
        <f aca="false">INDEX($B$4:$B$22,MATCH(H497,$A$4:$A$22,0))</f>
        <v>1</v>
      </c>
      <c r="U497" s="0" t="e">
        <f aca="false">IF(ISBLANK(I497),1,INDEX($B$4:$B$22,MATCH(I497,$A$4:$A$22,0)))</f>
        <v>#N/A</v>
      </c>
      <c r="V497" s="367" t="n">
        <f aca="false">IF('Reverse Search'!$C$7="Disable",1,IF('Reverse Search'!$D$11="Disable",1,IF('Reverse Search'!$E$11="Neutral to:",IF(ROUND(T497*U497,2)&lt;=1,1,0),IF(ROUND(T497*U497,2)&lt;1,1,0))))</f>
        <v>1</v>
      </c>
      <c r="W497" s="0" t="n">
        <f aca="false">IF('Reverse Search'!$N$7="Disable",1,IF('Reverse Search'!$I$9="Disable",1,IF('Reverse Search'!$K$9="≥",IF(J497&gt;='Reverse Search'!$L$9,1,0),IF('Reverse Search'!$K$9="≤",IF(J497&lt;='Reverse Search'!$L$9,1,0),IF(J497='Reverse Search'!$L$9,1,0)))))</f>
        <v>1</v>
      </c>
      <c r="X497" s="0" t="n">
        <f aca="false">IF('Reverse Search'!$N$7="Disable",1,IF('Reverse Search'!$I$10="Disable",1,IF('Reverse Search'!$K$10="≥",IF(K497&gt;='Reverse Search'!$L$10,1,0),IF('Reverse Search'!$K$10="≤",IF(K497&lt;='Reverse Search'!$L$10,1,0),IF(K497='Reverse Search'!$L$10,1,0)))))</f>
        <v>1</v>
      </c>
      <c r="Y497" s="367" t="n">
        <f aca="false">IF('Reverse Search'!$N$7="Disable",1,IF('Reverse Search'!$I$11="Disable",1,IF('Reverse Search'!$K$11="≥",IF(L497&gt;='Reverse Search'!$L$11,1,0),IF('Reverse Search'!$K$11="≤",IF(L497&lt;='Reverse Search'!$L$11,1,0),IF(L497='Reverse Search'!$L$11,1,0)))))</f>
        <v>1</v>
      </c>
      <c r="Z497" s="0" t="n">
        <f aca="true">IF('Reverse Search'!$C$14="Disable",1,IF('Reverse Search'!$D$16="Disable",1,IF($C$2=3,IF($M497=0,0,COUNTIF(INDIRECT("'0.0.2 Pokémon Learnset (Core)'!$D$"&amp;MATCH($E497,'0.0.2 Pokémon Learnset (Core)'!$A$1:$A951,0)&amp;":$FK$"&amp;MATCH($E497,'0.0.2 Pokémon Learnset (Core)'!$A$1:$A951,0)),'Reverse Search'!$E$21)),IF($C$2=2,COUNTIF(INDIRECT("'0.1.1 Pokémon GO Moves'!$B$"&amp;MATCH($E497,'0.1.1 Pokémon GO Moves'!$A$1:$A951,0)&amp;":$R$"&amp;MATCH($E497,'0.1.1 Pokémon GO Moves'!$A$1:$A951,0)),'Reverse Search'!$E$21),COUNTIF(INDIRECT("'0.1.1 Pokémon GO Moves'!$B$"&amp;MATCH($E497,'0.1.1 Pokémon GO Moves'!$A$1:$A951,0)&amp;":$L$"&amp;MATCH($E497,'0.1.1 Pokémon GO Moves'!$A$1:$A951,0)),'Reverse Search'!$E$21)))))</f>
        <v>1</v>
      </c>
      <c r="AA497" s="0" t="n">
        <f aca="true">IF('Reverse Search'!$C$14="Disable",1,IF('Reverse Search'!$I$16="Disable",1,IF($D$2=3,IF($M497=0,0,COUNTIF(INDIRECT("'0.0.2 Pokémon Learnset (Core)'!$D$"&amp;MATCH($E497,'0.0.2 Pokémon Learnset (Core)'!$A$1:$A951,0)&amp;":$FK$"&amp;MATCH($E497,'0.0.2 Pokémon Learnset (Core)'!$A$1:$A951,0)),'Reverse Search'!$J$21)),IF($D$2=2,COUNTIF(INDIRECT("'0.1.1 Pokémon GO Moves'!$B$"&amp;MATCH($E497,'0.1.1 Pokémon GO Moves'!$A$1:$A951,0)&amp;":$R$"&amp;MATCH($E497,'0.1.1 Pokémon GO Moves'!$A$1:$A951,0)),'Reverse Search'!$J$21),COUNTIF(INDIRECT("'0.1.1 Pokémon GO Moves'!$B$"&amp;MATCH($E497,'0.1.1 Pokémon GO Moves'!$A$1:$A951,0)&amp;":$L$"&amp;MATCH($E497,'0.1.1 Pokémon GO Moves'!$A$1:$A951,0)),'Reverse Search'!$J$21)))))</f>
        <v>0</v>
      </c>
      <c r="AB497" s="490"/>
      <c r="AC497" s="260" t="n">
        <f aca="false">IF((Q497+R497+S497+V497+W497+X497+Y497+IF(Z497&gt;=1,1,0)+IF(AA497&gt;=1,1,0))=9,G497&amp;", ",)</f>
        <v>0</v>
      </c>
    </row>
    <row r="498" customFormat="false" ht="15.75" hidden="false" customHeight="false" outlineLevel="0" collapsed="false">
      <c r="A498" s="260"/>
      <c r="B498" s="358"/>
      <c r="C498" s="260"/>
      <c r="D498" s="358"/>
      <c r="E498" s="260" t="n">
        <v>497</v>
      </c>
      <c r="F498" s="260" t="n">
        <f aca="false" t="array" ref="F498:F498">INDEX('0.0.1 Pokémon Dex Data'!$H$3:$H951,MATCH(E498,'0.0.1 Pokémon Dex Data'!$B$3:$B951,0))</f>
        <v>0</v>
      </c>
      <c r="G498" s="0" t="str">
        <f aca="false" t="array" ref="G498:G498">INDEX('0.0.1 Pokémon Dex Data'!$E$3:$E951,MATCH(E498,'0.0.1 Pokémon Dex Data'!$B$3:$B951,0))</f>
        <v>Lopunny</v>
      </c>
      <c r="H498" s="0" t="str">
        <f aca="false" t="array" ref="H498:H498">INDEX('0.0.1 Pokémon Dex Data'!$Q$3:$Q951,MATCH(E498,'0.0.1 Pokémon Dex Data'!$B$3:$B951,0))</f>
        <v>Normal</v>
      </c>
      <c r="I498" s="0" t="n">
        <f aca="false">INDEX('0.0.1 Pokémon Dex Data'!$R$3:$R951,MATCH(E498,'0.0.1 Pokémon Dex Data'!$B$3:$B951,0))</f>
        <v>0</v>
      </c>
      <c r="J498" s="260" t="n">
        <f aca="false" t="array" ref="J498:J498">ROUND(INDEX('0.0.1 Pokémon Dex Data'!$S$3:$S951,MATCH($E498,'0.0.1 Pokémon Dex Data'!$B$3:$B951,0))*INDEX('0.0.1 Pokémon Dex Data'!T$3:T951,MATCH($E498,'0.0.1 Pokémon Dex Data'!$B$3:$B951,0)),0)</f>
        <v>156</v>
      </c>
      <c r="K498" s="260" t="n">
        <f aca="false" t="array" ref="K498:K498">ROUND(INDEX('0.0.1 Pokémon Dex Data'!$S$3:$S951,MATCH($E498,'0.0.1 Pokémon Dex Data'!$B$3:$B951,0))*INDEX('0.0.1 Pokémon Dex Data'!U$3:U951,MATCH($E498,'0.0.1 Pokémon Dex Data'!$B$3:$B951,0)),0)</f>
        <v>194</v>
      </c>
      <c r="L498" s="260" t="n">
        <f aca="false" t="array" ref="L498:L498">ROUND(INDEX('0.0.1 Pokémon Dex Data'!$S$3:$S951,MATCH($E498,'0.0.1 Pokémon Dex Data'!$B$3:$B951,0))*INDEX('0.0.1 Pokémon Dex Data'!V$3:V951,MATCH($E498,'0.0.1 Pokémon Dex Data'!$B$3:$B951,0)),0)</f>
        <v>163</v>
      </c>
      <c r="M498" s="260" t="n">
        <f aca="false" t="array" ref="M498:M498">INDEX('0.0.1 Pokémon Dex Data'!$J$3:$J951,MATCH(E498,'0.0.1 Pokémon Dex Data'!$B$3:$B951,0))</f>
        <v>1</v>
      </c>
      <c r="O498" s="490"/>
      <c r="Q498" s="367" t="n">
        <f aca="false">IF('Reverse Search'!$F$4="All (including temporary formes)",1,IF('Reverse Search'!$F$4="Base Pokémon and permanent formes only",IF(F498&lt;=1,1,0),IF(F498=0,1,0)))</f>
        <v>1</v>
      </c>
      <c r="R498" s="0" t="n">
        <f aca="false">IF('Reverse Search'!$C$7="Disable",1,IF('Reverse Search'!$D$9="Disable",1,IF(OR('Reverse Search'!$F$9=H498,'Reverse Search'!$F$9=I498),1,0)))</f>
        <v>1</v>
      </c>
      <c r="S498" s="0" t="n">
        <f aca="false">IF('Reverse Search'!$C$7="Disable",1,IF('Reverse Search'!$D$10="Disable",1,IF(OR('Reverse Search'!$F$10=H498,'Reverse Search'!$F$10=I498),1,0)))</f>
        <v>1</v>
      </c>
      <c r="T498" s="0" t="n">
        <f aca="false">INDEX($B$4:$B$22,MATCH(H498,$A$4:$A$22,0))</f>
        <v>1</v>
      </c>
      <c r="U498" s="0" t="e">
        <f aca="false">IF(ISBLANK(I498),1,INDEX($B$4:$B$22,MATCH(I498,$A$4:$A$22,0)))</f>
        <v>#N/A</v>
      </c>
      <c r="V498" s="367" t="n">
        <f aca="false">IF('Reverse Search'!$C$7="Disable",1,IF('Reverse Search'!$D$11="Disable",1,IF('Reverse Search'!$E$11="Neutral to:",IF(ROUND(T498*U498,2)&lt;=1,1,0),IF(ROUND(T498*U498,2)&lt;1,1,0))))</f>
        <v>1</v>
      </c>
      <c r="W498" s="0" t="n">
        <f aca="false">IF('Reverse Search'!$N$7="Disable",1,IF('Reverse Search'!$I$9="Disable",1,IF('Reverse Search'!$K$9="≥",IF(J498&gt;='Reverse Search'!$L$9,1,0),IF('Reverse Search'!$K$9="≤",IF(J498&lt;='Reverse Search'!$L$9,1,0),IF(J498='Reverse Search'!$L$9,1,0)))))</f>
        <v>1</v>
      </c>
      <c r="X498" s="0" t="n">
        <f aca="false">IF('Reverse Search'!$N$7="Disable",1,IF('Reverse Search'!$I$10="Disable",1,IF('Reverse Search'!$K$10="≥",IF(K498&gt;='Reverse Search'!$L$10,1,0),IF('Reverse Search'!$K$10="≤",IF(K498&lt;='Reverse Search'!$L$10,1,0),IF(K498='Reverse Search'!$L$10,1,0)))))</f>
        <v>1</v>
      </c>
      <c r="Y498" s="367" t="n">
        <f aca="false">IF('Reverse Search'!$N$7="Disable",1,IF('Reverse Search'!$I$11="Disable",1,IF('Reverse Search'!$K$11="≥",IF(L498&gt;='Reverse Search'!$L$11,1,0),IF('Reverse Search'!$K$11="≤",IF(L498&lt;='Reverse Search'!$L$11,1,0),IF(L498='Reverse Search'!$L$11,1,0)))))</f>
        <v>1</v>
      </c>
      <c r="Z498" s="0" t="n">
        <f aca="true">IF('Reverse Search'!$C$14="Disable",1,IF('Reverse Search'!$D$16="Disable",1,IF($C$2=3,IF($M498=0,0,COUNTIF(INDIRECT("'0.0.2 Pokémon Learnset (Core)'!$D$"&amp;MATCH($E498,'0.0.2 Pokémon Learnset (Core)'!$A$1:$A951,0)&amp;":$FK$"&amp;MATCH($E498,'0.0.2 Pokémon Learnset (Core)'!$A$1:$A951,0)),'Reverse Search'!$E$21)),IF($C$2=2,COUNTIF(INDIRECT("'0.1.1 Pokémon GO Moves'!$B$"&amp;MATCH($E498,'0.1.1 Pokémon GO Moves'!$A$1:$A951,0)&amp;":$R$"&amp;MATCH($E498,'0.1.1 Pokémon GO Moves'!$A$1:$A951,0)),'Reverse Search'!$E$21),COUNTIF(INDIRECT("'0.1.1 Pokémon GO Moves'!$B$"&amp;MATCH($E498,'0.1.1 Pokémon GO Moves'!$A$1:$A951,0)&amp;":$L$"&amp;MATCH($E498,'0.1.1 Pokémon GO Moves'!$A$1:$A951,0)),'Reverse Search'!$E$21)))))</f>
        <v>1</v>
      </c>
      <c r="AA498" s="0" t="n">
        <f aca="true">IF('Reverse Search'!$C$14="Disable",1,IF('Reverse Search'!$I$16="Disable",1,IF($D$2=3,IF($M498=0,0,COUNTIF(INDIRECT("'0.0.2 Pokémon Learnset (Core)'!$D$"&amp;MATCH($E498,'0.0.2 Pokémon Learnset (Core)'!$A$1:$A951,0)&amp;":$FK$"&amp;MATCH($E498,'0.0.2 Pokémon Learnset (Core)'!$A$1:$A951,0)),'Reverse Search'!$J$21)),IF($D$2=2,COUNTIF(INDIRECT("'0.1.1 Pokémon GO Moves'!$B$"&amp;MATCH($E498,'0.1.1 Pokémon GO Moves'!$A$1:$A951,0)&amp;":$R$"&amp;MATCH($E498,'0.1.1 Pokémon GO Moves'!$A$1:$A951,0)),'Reverse Search'!$J$21),COUNTIF(INDIRECT("'0.1.1 Pokémon GO Moves'!$B$"&amp;MATCH($E498,'0.1.1 Pokémon GO Moves'!$A$1:$A951,0)&amp;":$L$"&amp;MATCH($E498,'0.1.1 Pokémon GO Moves'!$A$1:$A951,0)),'Reverse Search'!$J$21)))))</f>
        <v>0</v>
      </c>
      <c r="AB498" s="490"/>
      <c r="AC498" s="260" t="n">
        <f aca="false">IF((Q498+R498+S498+V498+W498+X498+Y498+IF(Z498&gt;=1,1,0)+IF(AA498&gt;=1,1,0))=9,G498&amp;", ",)</f>
        <v>0</v>
      </c>
    </row>
    <row r="499" customFormat="false" ht="15.75" hidden="false" customHeight="false" outlineLevel="0" collapsed="false">
      <c r="A499" s="260"/>
      <c r="B499" s="358"/>
      <c r="C499" s="260"/>
      <c r="D499" s="358"/>
      <c r="E499" s="260" t="n">
        <v>498</v>
      </c>
      <c r="F499" s="260" t="n">
        <f aca="false" t="array" ref="F499:F499">INDEX('0.0.1 Pokémon Dex Data'!$H$3:$H951,MATCH(E499,'0.0.1 Pokémon Dex Data'!$B$3:$B951,0))</f>
        <v>2</v>
      </c>
      <c r="G499" s="0" t="str">
        <f aca="false" t="array" ref="G499:G499">INDEX('0.0.1 Pokémon Dex Data'!$E$3:$E951,MATCH(E499,'0.0.1 Pokémon Dex Data'!$B$3:$B951,0))</f>
        <v>Lopunny-Mega</v>
      </c>
      <c r="H499" s="0" t="str">
        <f aca="false" t="array" ref="H499:H499">INDEX('0.0.1 Pokémon Dex Data'!$Q$3:$Q951,MATCH(E499,'0.0.1 Pokémon Dex Data'!$B$3:$B951,0))</f>
        <v>Normal</v>
      </c>
      <c r="I499" s="0" t="str">
        <f aca="false" t="array" ref="I499:I499">INDEX('0.0.1 Pokémon Dex Data'!$R$3:$R951,MATCH(E499,'0.0.1 Pokémon Dex Data'!$B$3:$B951,0))</f>
        <v>Fighting</v>
      </c>
      <c r="J499" s="260" t="n">
        <f aca="false" t="array" ref="J499:J499">ROUND(INDEX('0.0.1 Pokémon Dex Data'!$S$3:$S951,MATCH($E499,'0.0.1 Pokémon Dex Data'!$B$3:$B951,0))*INDEX('0.0.1 Pokémon Dex Data'!T$3:T951,MATCH($E499,'0.0.1 Pokémon Dex Data'!$B$3:$B951,0)),0)</f>
        <v>282</v>
      </c>
      <c r="K499" s="260" t="n">
        <f aca="false" t="array" ref="K499:K499">ROUND(INDEX('0.0.1 Pokémon Dex Data'!$S$3:$S951,MATCH($E499,'0.0.1 Pokémon Dex Data'!$B$3:$B951,0))*INDEX('0.0.1 Pokémon Dex Data'!U$3:U951,MATCH($E499,'0.0.1 Pokémon Dex Data'!$B$3:$B951,0)),0)</f>
        <v>214</v>
      </c>
      <c r="L499" s="260" t="n">
        <f aca="false" t="array" ref="L499:L499">ROUND(INDEX('0.0.1 Pokémon Dex Data'!$S$3:$S951,MATCH($E499,'0.0.1 Pokémon Dex Data'!$B$3:$B951,0))*INDEX('0.0.1 Pokémon Dex Data'!V$3:V951,MATCH($E499,'0.0.1 Pokémon Dex Data'!$B$3:$B951,0)),0)</f>
        <v>163</v>
      </c>
      <c r="M499" s="260" t="n">
        <f aca="false" t="array" ref="M499:M499">INDEX('0.0.1 Pokémon Dex Data'!$J$3:$J951,MATCH(E499,'0.0.1 Pokémon Dex Data'!$B$3:$B951,0))</f>
        <v>1</v>
      </c>
      <c r="O499" s="490"/>
      <c r="Q499" s="367" t="n">
        <f aca="false">IF('Reverse Search'!$F$4="All (including temporary formes)",1,IF('Reverse Search'!$F$4="Base Pokémon and permanent formes only",IF(F499&lt;=1,1,0),IF(F499=0,1,0)))</f>
        <v>0</v>
      </c>
      <c r="R499" s="0" t="n">
        <f aca="false">IF('Reverse Search'!$C$7="Disable",1,IF('Reverse Search'!$D$9="Disable",1,IF(OR('Reverse Search'!$F$9=H499,'Reverse Search'!$F$9=I499),1,0)))</f>
        <v>1</v>
      </c>
      <c r="S499" s="0" t="n">
        <f aca="false">IF('Reverse Search'!$C$7="Disable",1,IF('Reverse Search'!$D$10="Disable",1,IF(OR('Reverse Search'!$F$10=H499,'Reverse Search'!$F$10=I499),1,0)))</f>
        <v>1</v>
      </c>
      <c r="T499" s="0" t="n">
        <f aca="false">INDEX($B$4:$B$22,MATCH(H499,$A$4:$A$22,0))</f>
        <v>1</v>
      </c>
      <c r="U499" s="0" t="n">
        <f aca="false">IF(ISBLANK(I499),1,INDEX($B$4:$B$22,MATCH(I499,$A$4:$A$22,0)))</f>
        <v>1</v>
      </c>
      <c r="V499" s="367" t="n">
        <f aca="false">IF('Reverse Search'!$C$7="Disable",1,IF('Reverse Search'!$D$11="Disable",1,IF('Reverse Search'!$E$11="Neutral to:",IF(ROUND(T499*U499,2)&lt;=1,1,0),IF(ROUND(T499*U499,2)&lt;1,1,0))))</f>
        <v>1</v>
      </c>
      <c r="W499" s="0" t="n">
        <f aca="false">IF('Reverse Search'!$N$7="Disable",1,IF('Reverse Search'!$I$9="Disable",1,IF('Reverse Search'!$K$9="≥",IF(J499&gt;='Reverse Search'!$L$9,1,0),IF('Reverse Search'!$K$9="≤",IF(J499&lt;='Reverse Search'!$L$9,1,0),IF(J499='Reverse Search'!$L$9,1,0)))))</f>
        <v>1</v>
      </c>
      <c r="X499" s="0" t="n">
        <f aca="false">IF('Reverse Search'!$N$7="Disable",1,IF('Reverse Search'!$I$10="Disable",1,IF('Reverse Search'!$K$10="≥",IF(K499&gt;='Reverse Search'!$L$10,1,0),IF('Reverse Search'!$K$10="≤",IF(K499&lt;='Reverse Search'!$L$10,1,0),IF(K499='Reverse Search'!$L$10,1,0)))))</f>
        <v>1</v>
      </c>
      <c r="Y499" s="367" t="n">
        <f aca="false">IF('Reverse Search'!$N$7="Disable",1,IF('Reverse Search'!$I$11="Disable",1,IF('Reverse Search'!$K$11="≥",IF(L499&gt;='Reverse Search'!$L$11,1,0),IF('Reverse Search'!$K$11="≤",IF(L499&lt;='Reverse Search'!$L$11,1,0),IF(L499='Reverse Search'!$L$11,1,0)))))</f>
        <v>1</v>
      </c>
      <c r="Z499" s="0" t="n">
        <f aca="true">IF('Reverse Search'!$C$14="Disable",1,IF('Reverse Search'!$D$16="Disable",1,IF($C$2=3,IF($M499=0,0,COUNTIF(INDIRECT("'0.0.2 Pokémon Learnset (Core)'!$D$"&amp;MATCH($E499,'0.0.2 Pokémon Learnset (Core)'!$A$1:$A951,0)&amp;":$FK$"&amp;MATCH($E499,'0.0.2 Pokémon Learnset (Core)'!$A$1:$A951,0)),'Reverse Search'!$E$21)),IF($C$2=2,COUNTIF(INDIRECT("'0.1.1 Pokémon GO Moves'!$B$"&amp;MATCH($E499,'0.1.1 Pokémon GO Moves'!$A$1:$A951,0)&amp;":$R$"&amp;MATCH($E499,'0.1.1 Pokémon GO Moves'!$A$1:$A951,0)),'Reverse Search'!$E$21),COUNTIF(INDIRECT("'0.1.1 Pokémon GO Moves'!$B$"&amp;MATCH($E499,'0.1.1 Pokémon GO Moves'!$A$1:$A951,0)&amp;":$L$"&amp;MATCH($E499,'0.1.1 Pokémon GO Moves'!$A$1:$A951,0)),'Reverse Search'!$E$21)))))</f>
        <v>1</v>
      </c>
      <c r="AA499" s="0" t="e">
        <f aca="true">IF('Reverse Search'!$C$14="Disable",1,IF('Reverse Search'!$I$16="Disable",1,IF($D$2=3,IF($M499=0,0,COUNTIF(INDIRECT("'0.0.2 Pokémon Learnset (Core)'!$D$"&amp;MATCH($E499,'0.0.2 Pokémon Learnset (Core)'!$A$1:$A951,0)&amp;":$FK$"&amp;MATCH($E499,'0.0.2 Pokémon Learnset (Core)'!$A$1:$A951,0)),'Reverse Search'!$J$21)),IF($D$2=2,COUNTIF(INDIRECT("'0.1.1 Pokémon GO Moves'!$B$"&amp;MATCH($E499,'0.1.1 Pokémon GO Moves'!$A$1:$A951,0)&amp;":$R$"&amp;MATCH($E499,'0.1.1 Pokémon GO Moves'!$A$1:$A951,0)),'Reverse Search'!$J$21),COUNTIF(INDIRECT("'0.1.1 Pokémon GO Moves'!$B$"&amp;MATCH($E499,'0.1.1 Pokémon GO Moves'!$A$1:$A951,0)&amp;":$L$"&amp;MATCH($E499,'0.1.1 Pokémon GO Moves'!$A$1:$A951,0)),'Reverse Search'!$J$21)))))</f>
        <v>#N/A</v>
      </c>
      <c r="AB499" s="490"/>
      <c r="AC499" s="260" t="e">
        <f aca="false">IF((Q499+R499+S499+V499+W499+X499+Y499+IF(Z499&gt;=1,1,0)+IF(AA499&gt;=1,1,0))=9,G499&amp;", ",)</f>
        <v>#N/A</v>
      </c>
    </row>
    <row r="500" customFormat="false" ht="15.75" hidden="false" customHeight="false" outlineLevel="0" collapsed="false">
      <c r="A500" s="260"/>
      <c r="B500" s="358"/>
      <c r="C500" s="260"/>
      <c r="D500" s="358"/>
      <c r="E500" s="260" t="n">
        <v>499</v>
      </c>
      <c r="F500" s="260" t="n">
        <f aca="false" t="array" ref="F500:F500">INDEX('0.0.1 Pokémon Dex Data'!$H$3:$H951,MATCH(E500,'0.0.1 Pokémon Dex Data'!$B$3:$B951,0))</f>
        <v>0</v>
      </c>
      <c r="G500" s="0" t="str">
        <f aca="false" t="array" ref="G500:G500">INDEX('0.0.1 Pokémon Dex Data'!$E$3:$E951,MATCH(E500,'0.0.1 Pokémon Dex Data'!$B$3:$B951,0))</f>
        <v>Mismagius</v>
      </c>
      <c r="H500" s="0" t="str">
        <f aca="false" t="array" ref="H500:H500">INDEX('0.0.1 Pokémon Dex Data'!$Q$3:$Q951,MATCH(E500,'0.0.1 Pokémon Dex Data'!$B$3:$B951,0))</f>
        <v>Ghost</v>
      </c>
      <c r="I500" s="0" t="n">
        <f aca="false">INDEX('0.0.1 Pokémon Dex Data'!$R$3:$R951,MATCH(E500,'0.0.1 Pokémon Dex Data'!$B$3:$B951,0))</f>
        <v>0</v>
      </c>
      <c r="J500" s="260" t="n">
        <f aca="false" t="array" ref="J500:J500">ROUND(INDEX('0.0.1 Pokémon Dex Data'!$S$3:$S951,MATCH($E500,'0.0.1 Pokémon Dex Data'!$B$3:$B951,0))*INDEX('0.0.1 Pokémon Dex Data'!T$3:T951,MATCH($E500,'0.0.1 Pokémon Dex Data'!$B$3:$B951,0)),0)</f>
        <v>211</v>
      </c>
      <c r="K500" s="260" t="n">
        <f aca="false" t="array" ref="K500:K500">ROUND(INDEX('0.0.1 Pokémon Dex Data'!$S$3:$S951,MATCH($E500,'0.0.1 Pokémon Dex Data'!$B$3:$B951,0))*INDEX('0.0.1 Pokémon Dex Data'!U$3:U951,MATCH($E500,'0.0.1 Pokémon Dex Data'!$B$3:$B951,0)),0)</f>
        <v>187</v>
      </c>
      <c r="L500" s="260" t="n">
        <f aca="false" t="array" ref="L500:L500">ROUND(INDEX('0.0.1 Pokémon Dex Data'!$S$3:$S951,MATCH($E500,'0.0.1 Pokémon Dex Data'!$B$3:$B951,0))*INDEX('0.0.1 Pokémon Dex Data'!V$3:V951,MATCH($E500,'0.0.1 Pokémon Dex Data'!$B$3:$B951,0)),0)</f>
        <v>155</v>
      </c>
      <c r="M500" s="260" t="n">
        <f aca="false" t="array" ref="M500:M500">INDEX('0.0.1 Pokémon Dex Data'!$J$3:$J951,MATCH(E500,'0.0.1 Pokémon Dex Data'!$B$3:$B951,0))</f>
        <v>1</v>
      </c>
      <c r="O500" s="490"/>
      <c r="Q500" s="367" t="n">
        <f aca="false">IF('Reverse Search'!$F$4="All (including temporary formes)",1,IF('Reverse Search'!$F$4="Base Pokémon and permanent formes only",IF(F500&lt;=1,1,0),IF(F500=0,1,0)))</f>
        <v>1</v>
      </c>
      <c r="R500" s="0" t="n">
        <f aca="false">IF('Reverse Search'!$C$7="Disable",1,IF('Reverse Search'!$D$9="Disable",1,IF(OR('Reverse Search'!$F$9=H500,'Reverse Search'!$F$9=I500),1,0)))</f>
        <v>1</v>
      </c>
      <c r="S500" s="0" t="n">
        <f aca="false">IF('Reverse Search'!$C$7="Disable",1,IF('Reverse Search'!$D$10="Disable",1,IF(OR('Reverse Search'!$F$10=H500,'Reverse Search'!$F$10=I500),1,0)))</f>
        <v>1</v>
      </c>
      <c r="T500" s="0" t="n">
        <f aca="false">INDEX($B$4:$B$22,MATCH(H500,$A$4:$A$22,0))</f>
        <v>0.51</v>
      </c>
      <c r="U500" s="0" t="e">
        <f aca="false">IF(ISBLANK(I500),1,INDEX($B$4:$B$22,MATCH(I500,$A$4:$A$22,0)))</f>
        <v>#N/A</v>
      </c>
      <c r="V500" s="367" t="n">
        <f aca="false">IF('Reverse Search'!$C$7="Disable",1,IF('Reverse Search'!$D$11="Disable",1,IF('Reverse Search'!$E$11="Neutral to:",IF(ROUND(T500*U500,2)&lt;=1,1,0),IF(ROUND(T500*U500,2)&lt;1,1,0))))</f>
        <v>1</v>
      </c>
      <c r="W500" s="0" t="n">
        <f aca="false">IF('Reverse Search'!$N$7="Disable",1,IF('Reverse Search'!$I$9="Disable",1,IF('Reverse Search'!$K$9="≥",IF(J500&gt;='Reverse Search'!$L$9,1,0),IF('Reverse Search'!$K$9="≤",IF(J500&lt;='Reverse Search'!$L$9,1,0),IF(J500='Reverse Search'!$L$9,1,0)))))</f>
        <v>1</v>
      </c>
      <c r="X500" s="0" t="n">
        <f aca="false">IF('Reverse Search'!$N$7="Disable",1,IF('Reverse Search'!$I$10="Disable",1,IF('Reverse Search'!$K$10="≥",IF(K500&gt;='Reverse Search'!$L$10,1,0),IF('Reverse Search'!$K$10="≤",IF(K500&lt;='Reverse Search'!$L$10,1,0),IF(K500='Reverse Search'!$L$10,1,0)))))</f>
        <v>1</v>
      </c>
      <c r="Y500" s="367" t="n">
        <f aca="false">IF('Reverse Search'!$N$7="Disable",1,IF('Reverse Search'!$I$11="Disable",1,IF('Reverse Search'!$K$11="≥",IF(L500&gt;='Reverse Search'!$L$11,1,0),IF('Reverse Search'!$K$11="≤",IF(L500&lt;='Reverse Search'!$L$11,1,0),IF(L500='Reverse Search'!$L$11,1,0)))))</f>
        <v>1</v>
      </c>
      <c r="Z500" s="0" t="n">
        <f aca="true">IF('Reverse Search'!$C$14="Disable",1,IF('Reverse Search'!$D$16="Disable",1,IF($C$2=3,IF($M500=0,0,COUNTIF(INDIRECT("'0.0.2 Pokémon Learnset (Core)'!$D$"&amp;MATCH($E500,'0.0.2 Pokémon Learnset (Core)'!$A$1:$A951,0)&amp;":$FK$"&amp;MATCH($E500,'0.0.2 Pokémon Learnset (Core)'!$A$1:$A951,0)),'Reverse Search'!$E$21)),IF($C$2=2,COUNTIF(INDIRECT("'0.1.1 Pokémon GO Moves'!$B$"&amp;MATCH($E500,'0.1.1 Pokémon GO Moves'!$A$1:$A951,0)&amp;":$R$"&amp;MATCH($E500,'0.1.1 Pokémon GO Moves'!$A$1:$A951,0)),'Reverse Search'!$E$21),COUNTIF(INDIRECT("'0.1.1 Pokémon GO Moves'!$B$"&amp;MATCH($E500,'0.1.1 Pokémon GO Moves'!$A$1:$A951,0)&amp;":$L$"&amp;MATCH($E500,'0.1.1 Pokémon GO Moves'!$A$1:$A951,0)),'Reverse Search'!$E$21)))))</f>
        <v>1</v>
      </c>
      <c r="AA500" s="0" t="n">
        <f aca="true">IF('Reverse Search'!$C$14="Disable",1,IF('Reverse Search'!$I$16="Disable",1,IF($D$2=3,IF($M500=0,0,COUNTIF(INDIRECT("'0.0.2 Pokémon Learnset (Core)'!$D$"&amp;MATCH($E500,'0.0.2 Pokémon Learnset (Core)'!$A$1:$A951,0)&amp;":$FK$"&amp;MATCH($E500,'0.0.2 Pokémon Learnset (Core)'!$A$1:$A951,0)),'Reverse Search'!$J$21)),IF($D$2=2,COUNTIF(INDIRECT("'0.1.1 Pokémon GO Moves'!$B$"&amp;MATCH($E500,'0.1.1 Pokémon GO Moves'!$A$1:$A951,0)&amp;":$R$"&amp;MATCH($E500,'0.1.1 Pokémon GO Moves'!$A$1:$A951,0)),'Reverse Search'!$J$21),COUNTIF(INDIRECT("'0.1.1 Pokémon GO Moves'!$B$"&amp;MATCH($E500,'0.1.1 Pokémon GO Moves'!$A$1:$A951,0)&amp;":$L$"&amp;MATCH($E500,'0.1.1 Pokémon GO Moves'!$A$1:$A951,0)),'Reverse Search'!$J$21)))))</f>
        <v>0</v>
      </c>
      <c r="AB500" s="490"/>
      <c r="AC500" s="260" t="n">
        <f aca="false">IF((Q500+R500+S500+V500+W500+X500+Y500+IF(Z500&gt;=1,1,0)+IF(AA500&gt;=1,1,0))=9,G500&amp;", ",)</f>
        <v>0</v>
      </c>
    </row>
    <row r="501" customFormat="false" ht="15.75" hidden="false" customHeight="false" outlineLevel="0" collapsed="false">
      <c r="A501" s="260"/>
      <c r="B501" s="358"/>
      <c r="C501" s="260"/>
      <c r="D501" s="358"/>
      <c r="E501" s="260" t="n">
        <v>500</v>
      </c>
      <c r="F501" s="260" t="n">
        <f aca="false" t="array" ref="F501:F501">INDEX('0.0.1 Pokémon Dex Data'!$H$3:$H951,MATCH(E501,'0.0.1 Pokémon Dex Data'!$B$3:$B951,0))</f>
        <v>0</v>
      </c>
      <c r="G501" s="0" t="str">
        <f aca="false" t="array" ref="G501:G501">INDEX('0.0.1 Pokémon Dex Data'!$E$3:$E951,MATCH(E501,'0.0.1 Pokémon Dex Data'!$B$3:$B951,0))</f>
        <v>Honchkrow</v>
      </c>
      <c r="H501" s="0" t="str">
        <f aca="false" t="array" ref="H501:H501">INDEX('0.0.1 Pokémon Dex Data'!$Q$3:$Q951,MATCH(E501,'0.0.1 Pokémon Dex Data'!$B$3:$B951,0))</f>
        <v>Dark</v>
      </c>
      <c r="I501" s="0" t="str">
        <f aca="false" t="array" ref="I501:I501">INDEX('0.0.1 Pokémon Dex Data'!$R$3:$R951,MATCH(E501,'0.0.1 Pokémon Dex Data'!$B$3:$B951,0))</f>
        <v>Flying</v>
      </c>
      <c r="J501" s="260" t="n">
        <f aca="false" t="array" ref="J501:J501">ROUND(INDEX('0.0.1 Pokémon Dex Data'!$S$3:$S951,MATCH($E501,'0.0.1 Pokémon Dex Data'!$B$3:$B951,0))*INDEX('0.0.1 Pokémon Dex Data'!T$3:T951,MATCH($E501,'0.0.1 Pokémon Dex Data'!$B$3:$B951,0)),0)</f>
        <v>243</v>
      </c>
      <c r="K501" s="260" t="n">
        <f aca="false" t="array" ref="K501:K501">ROUND(INDEX('0.0.1 Pokémon Dex Data'!$S$3:$S951,MATCH($E501,'0.0.1 Pokémon Dex Data'!$B$3:$B951,0))*INDEX('0.0.1 Pokémon Dex Data'!U$3:U951,MATCH($E501,'0.0.1 Pokémon Dex Data'!$B$3:$B951,0)),0)</f>
        <v>103</v>
      </c>
      <c r="L501" s="260" t="n">
        <f aca="false" t="array" ref="L501:L501">ROUND(INDEX('0.0.1 Pokémon Dex Data'!$S$3:$S951,MATCH($E501,'0.0.1 Pokémon Dex Data'!$B$3:$B951,0))*INDEX('0.0.1 Pokémon Dex Data'!V$3:V951,MATCH($E501,'0.0.1 Pokémon Dex Data'!$B$3:$B951,0)),0)</f>
        <v>225</v>
      </c>
      <c r="M501" s="260" t="n">
        <f aca="false" t="array" ref="M501:M501">INDEX('0.0.1 Pokémon Dex Data'!$J$3:$J951,MATCH(E501,'0.0.1 Pokémon Dex Data'!$B$3:$B951,0))</f>
        <v>1</v>
      </c>
      <c r="O501" s="490"/>
      <c r="Q501" s="367" t="n">
        <f aca="false">IF('Reverse Search'!$F$4="All (including temporary formes)",1,IF('Reverse Search'!$F$4="Base Pokémon and permanent formes only",IF(F501&lt;=1,1,0),IF(F501=0,1,0)))</f>
        <v>1</v>
      </c>
      <c r="R501" s="0" t="n">
        <f aca="false">IF('Reverse Search'!$C$7="Disable",1,IF('Reverse Search'!$D$9="Disable",1,IF(OR('Reverse Search'!$F$9=H501,'Reverse Search'!$F$9=I501),1,0)))</f>
        <v>1</v>
      </c>
      <c r="S501" s="0" t="n">
        <f aca="false">IF('Reverse Search'!$C$7="Disable",1,IF('Reverse Search'!$D$10="Disable",1,IF(OR('Reverse Search'!$F$10=H501,'Reverse Search'!$F$10=I501),1,0)))</f>
        <v>1</v>
      </c>
      <c r="T501" s="0" t="n">
        <f aca="false">INDEX($B$4:$B$22,MATCH(H501,$A$4:$A$22,0))</f>
        <v>1</v>
      </c>
      <c r="U501" s="0" t="n">
        <f aca="false">IF(ISBLANK(I501),1,INDEX($B$4:$B$22,MATCH(I501,$A$4:$A$22,0)))</f>
        <v>1</v>
      </c>
      <c r="V501" s="367" t="n">
        <f aca="false">IF('Reverse Search'!$C$7="Disable",1,IF('Reverse Search'!$D$11="Disable",1,IF('Reverse Search'!$E$11="Neutral to:",IF(ROUND(T501*U501,2)&lt;=1,1,0),IF(ROUND(T501*U501,2)&lt;1,1,0))))</f>
        <v>1</v>
      </c>
      <c r="W501" s="0" t="n">
        <f aca="false">IF('Reverse Search'!$N$7="Disable",1,IF('Reverse Search'!$I$9="Disable",1,IF('Reverse Search'!$K$9="≥",IF(J501&gt;='Reverse Search'!$L$9,1,0),IF('Reverse Search'!$K$9="≤",IF(J501&lt;='Reverse Search'!$L$9,1,0),IF(J501='Reverse Search'!$L$9,1,0)))))</f>
        <v>1</v>
      </c>
      <c r="X501" s="0" t="n">
        <f aca="false">IF('Reverse Search'!$N$7="Disable",1,IF('Reverse Search'!$I$10="Disable",1,IF('Reverse Search'!$K$10="≥",IF(K501&gt;='Reverse Search'!$L$10,1,0),IF('Reverse Search'!$K$10="≤",IF(K501&lt;='Reverse Search'!$L$10,1,0),IF(K501='Reverse Search'!$L$10,1,0)))))</f>
        <v>1</v>
      </c>
      <c r="Y501" s="367" t="n">
        <f aca="false">IF('Reverse Search'!$N$7="Disable",1,IF('Reverse Search'!$I$11="Disable",1,IF('Reverse Search'!$K$11="≥",IF(L501&gt;='Reverse Search'!$L$11,1,0),IF('Reverse Search'!$K$11="≤",IF(L501&lt;='Reverse Search'!$L$11,1,0),IF(L501='Reverse Search'!$L$11,1,0)))))</f>
        <v>1</v>
      </c>
      <c r="Z501" s="0" t="n">
        <f aca="true">IF('Reverse Search'!$C$14="Disable",1,IF('Reverse Search'!$D$16="Disable",1,IF($C$2=3,IF($M501=0,0,COUNTIF(INDIRECT("'0.0.2 Pokémon Learnset (Core)'!$D$"&amp;MATCH($E501,'0.0.2 Pokémon Learnset (Core)'!$A$1:$A951,0)&amp;":$FK$"&amp;MATCH($E501,'0.0.2 Pokémon Learnset (Core)'!$A$1:$A951,0)),'Reverse Search'!$E$21)),IF($C$2=2,COUNTIF(INDIRECT("'0.1.1 Pokémon GO Moves'!$B$"&amp;MATCH($E501,'0.1.1 Pokémon GO Moves'!$A$1:$A951,0)&amp;":$R$"&amp;MATCH($E501,'0.1.1 Pokémon GO Moves'!$A$1:$A951,0)),'Reverse Search'!$E$21),COUNTIF(INDIRECT("'0.1.1 Pokémon GO Moves'!$B$"&amp;MATCH($E501,'0.1.1 Pokémon GO Moves'!$A$1:$A951,0)&amp;":$L$"&amp;MATCH($E501,'0.1.1 Pokémon GO Moves'!$A$1:$A951,0)),'Reverse Search'!$E$21)))))</f>
        <v>1</v>
      </c>
      <c r="AA501" s="0" t="n">
        <f aca="true">IF('Reverse Search'!$C$14="Disable",1,IF('Reverse Search'!$I$16="Disable",1,IF($D$2=3,IF($M501=0,0,COUNTIF(INDIRECT("'0.0.2 Pokémon Learnset (Core)'!$D$"&amp;MATCH($E501,'0.0.2 Pokémon Learnset (Core)'!$A$1:$A951,0)&amp;":$FK$"&amp;MATCH($E501,'0.0.2 Pokémon Learnset (Core)'!$A$1:$A951,0)),'Reverse Search'!$J$21)),IF($D$2=2,COUNTIF(INDIRECT("'0.1.1 Pokémon GO Moves'!$B$"&amp;MATCH($E501,'0.1.1 Pokémon GO Moves'!$A$1:$A951,0)&amp;":$R$"&amp;MATCH($E501,'0.1.1 Pokémon GO Moves'!$A$1:$A951,0)),'Reverse Search'!$J$21),COUNTIF(INDIRECT("'0.1.1 Pokémon GO Moves'!$B$"&amp;MATCH($E501,'0.1.1 Pokémon GO Moves'!$A$1:$A951,0)&amp;":$L$"&amp;MATCH($E501,'0.1.1 Pokémon GO Moves'!$A$1:$A951,0)),'Reverse Search'!$J$21)))))</f>
        <v>0</v>
      </c>
      <c r="AB501" s="490"/>
      <c r="AC501" s="260" t="n">
        <f aca="false">IF((Q501+R501+S501+V501+W501+X501+Y501+IF(Z501&gt;=1,1,0)+IF(AA501&gt;=1,1,0))=9,G501&amp;", ",)</f>
        <v>0</v>
      </c>
    </row>
    <row r="502" customFormat="false" ht="15.75" hidden="false" customHeight="false" outlineLevel="0" collapsed="false">
      <c r="A502" s="260"/>
      <c r="B502" s="358"/>
      <c r="C502" s="260"/>
      <c r="D502" s="358"/>
      <c r="E502" s="260" t="n">
        <v>501</v>
      </c>
      <c r="F502" s="260" t="n">
        <f aca="false" t="array" ref="F502:F502">INDEX('0.0.1 Pokémon Dex Data'!$H$3:$H951,MATCH(E502,'0.0.1 Pokémon Dex Data'!$B$3:$B951,0))</f>
        <v>0</v>
      </c>
      <c r="G502" s="0" t="str">
        <f aca="false" t="array" ref="G502:G502">INDEX('0.0.1 Pokémon Dex Data'!$E$3:$E951,MATCH(E502,'0.0.1 Pokémon Dex Data'!$B$3:$B951,0))</f>
        <v>Glameow</v>
      </c>
      <c r="H502" s="0" t="str">
        <f aca="false" t="array" ref="H502:H502">INDEX('0.0.1 Pokémon Dex Data'!$Q$3:$Q951,MATCH(E502,'0.0.1 Pokémon Dex Data'!$B$3:$B951,0))</f>
        <v>Normal</v>
      </c>
      <c r="I502" s="0" t="n">
        <f aca="false">INDEX('0.0.1 Pokémon Dex Data'!$R$3:$R951,MATCH(E502,'0.0.1 Pokémon Dex Data'!$B$3:$B951,0))</f>
        <v>0</v>
      </c>
      <c r="J502" s="260" t="n">
        <f aca="false" t="array" ref="J502:J502">ROUND(INDEX('0.0.1 Pokémon Dex Data'!$S$3:$S951,MATCH($E502,'0.0.1 Pokémon Dex Data'!$B$3:$B951,0))*INDEX('0.0.1 Pokémon Dex Data'!T$3:T951,MATCH($E502,'0.0.1 Pokémon Dex Data'!$B$3:$B951,0)),0)</f>
        <v>109</v>
      </c>
      <c r="K502" s="260" t="n">
        <f aca="false" t="array" ref="K502:K502">ROUND(INDEX('0.0.1 Pokémon Dex Data'!$S$3:$S951,MATCH($E502,'0.0.1 Pokémon Dex Data'!$B$3:$B951,0))*INDEX('0.0.1 Pokémon Dex Data'!U$3:U951,MATCH($E502,'0.0.1 Pokémon Dex Data'!$B$3:$B951,0)),0)</f>
        <v>82</v>
      </c>
      <c r="L502" s="260" t="n">
        <f aca="false" t="array" ref="L502:L502">ROUND(INDEX('0.0.1 Pokémon Dex Data'!$S$3:$S951,MATCH($E502,'0.0.1 Pokémon Dex Data'!$B$3:$B951,0))*INDEX('0.0.1 Pokémon Dex Data'!V$3:V951,MATCH($E502,'0.0.1 Pokémon Dex Data'!$B$3:$B951,0)),0)</f>
        <v>135</v>
      </c>
      <c r="M502" s="260" t="n">
        <f aca="false" t="array" ref="M502:M502">INDEX('0.0.1 Pokémon Dex Data'!$J$3:$J951,MATCH(E502,'0.0.1 Pokémon Dex Data'!$B$3:$B951,0))</f>
        <v>0</v>
      </c>
      <c r="O502" s="490"/>
      <c r="Q502" s="367" t="n">
        <f aca="false">IF('Reverse Search'!$F$4="All (including temporary formes)",1,IF('Reverse Search'!$F$4="Base Pokémon and permanent formes only",IF(F502&lt;=1,1,0),IF(F502=0,1,0)))</f>
        <v>1</v>
      </c>
      <c r="R502" s="0" t="n">
        <f aca="false">IF('Reverse Search'!$C$7="Disable",1,IF('Reverse Search'!$D$9="Disable",1,IF(OR('Reverse Search'!$F$9=H502,'Reverse Search'!$F$9=I502),1,0)))</f>
        <v>1</v>
      </c>
      <c r="S502" s="0" t="n">
        <f aca="false">IF('Reverse Search'!$C$7="Disable",1,IF('Reverse Search'!$D$10="Disable",1,IF(OR('Reverse Search'!$F$10=H502,'Reverse Search'!$F$10=I502),1,0)))</f>
        <v>1</v>
      </c>
      <c r="T502" s="0" t="n">
        <f aca="false">INDEX($B$4:$B$22,MATCH(H502,$A$4:$A$22,0))</f>
        <v>1</v>
      </c>
      <c r="U502" s="0" t="e">
        <f aca="false">IF(ISBLANK(I502),1,INDEX($B$4:$B$22,MATCH(I502,$A$4:$A$22,0)))</f>
        <v>#N/A</v>
      </c>
      <c r="V502" s="367" t="n">
        <f aca="false">IF('Reverse Search'!$C$7="Disable",1,IF('Reverse Search'!$D$11="Disable",1,IF('Reverse Search'!$E$11="Neutral to:",IF(ROUND(T502*U502,2)&lt;=1,1,0),IF(ROUND(T502*U502,2)&lt;1,1,0))))</f>
        <v>1</v>
      </c>
      <c r="W502" s="0" t="n">
        <f aca="false">IF('Reverse Search'!$N$7="Disable",1,IF('Reverse Search'!$I$9="Disable",1,IF('Reverse Search'!$K$9="≥",IF(J502&gt;='Reverse Search'!$L$9,1,0),IF('Reverse Search'!$K$9="≤",IF(J502&lt;='Reverse Search'!$L$9,1,0),IF(J502='Reverse Search'!$L$9,1,0)))))</f>
        <v>1</v>
      </c>
      <c r="X502" s="0" t="n">
        <f aca="false">IF('Reverse Search'!$N$7="Disable",1,IF('Reverse Search'!$I$10="Disable",1,IF('Reverse Search'!$K$10="≥",IF(K502&gt;='Reverse Search'!$L$10,1,0),IF('Reverse Search'!$K$10="≤",IF(K502&lt;='Reverse Search'!$L$10,1,0),IF(K502='Reverse Search'!$L$10,1,0)))))</f>
        <v>1</v>
      </c>
      <c r="Y502" s="367" t="n">
        <f aca="false">IF('Reverse Search'!$N$7="Disable",1,IF('Reverse Search'!$I$11="Disable",1,IF('Reverse Search'!$K$11="≥",IF(L502&gt;='Reverse Search'!$L$11,1,0),IF('Reverse Search'!$K$11="≤",IF(L502&lt;='Reverse Search'!$L$11,1,0),IF(L502='Reverse Search'!$L$11,1,0)))))</f>
        <v>1</v>
      </c>
      <c r="Z502" s="0" t="n">
        <f aca="true">IF('Reverse Search'!$C$14="Disable",1,IF('Reverse Search'!$D$16="Disable",1,IF($C$2=3,IF($M502=0,0,COUNTIF(INDIRECT("'0.0.2 Pokémon Learnset (Core)'!$D$"&amp;MATCH($E502,'0.0.2 Pokémon Learnset (Core)'!$A$1:$A951,0)&amp;":$FK$"&amp;MATCH($E502,'0.0.2 Pokémon Learnset (Core)'!$A$1:$A951,0)),'Reverse Search'!$E$21)),IF($C$2=2,COUNTIF(INDIRECT("'0.1.1 Pokémon GO Moves'!$B$"&amp;MATCH($E502,'0.1.1 Pokémon GO Moves'!$A$1:$A951,0)&amp;":$R$"&amp;MATCH($E502,'0.1.1 Pokémon GO Moves'!$A$1:$A951,0)),'Reverse Search'!$E$21),COUNTIF(INDIRECT("'0.1.1 Pokémon GO Moves'!$B$"&amp;MATCH($E502,'0.1.1 Pokémon GO Moves'!$A$1:$A951,0)&amp;":$L$"&amp;MATCH($E502,'0.1.1 Pokémon GO Moves'!$A$1:$A951,0)),'Reverse Search'!$E$21)))))</f>
        <v>1</v>
      </c>
      <c r="AA502" s="0" t="n">
        <f aca="true">IF('Reverse Search'!$C$14="Disable",1,IF('Reverse Search'!$I$16="Disable",1,IF($D$2=3,IF($M502=0,0,COUNTIF(INDIRECT("'0.0.2 Pokémon Learnset (Core)'!$D$"&amp;MATCH($E502,'0.0.2 Pokémon Learnset (Core)'!$A$1:$A951,0)&amp;":$FK$"&amp;MATCH($E502,'0.0.2 Pokémon Learnset (Core)'!$A$1:$A951,0)),'Reverse Search'!$J$21)),IF($D$2=2,COUNTIF(INDIRECT("'0.1.1 Pokémon GO Moves'!$B$"&amp;MATCH($E502,'0.1.1 Pokémon GO Moves'!$A$1:$A951,0)&amp;":$R$"&amp;MATCH($E502,'0.1.1 Pokémon GO Moves'!$A$1:$A951,0)),'Reverse Search'!$J$21),COUNTIF(INDIRECT("'0.1.1 Pokémon GO Moves'!$B$"&amp;MATCH($E502,'0.1.1 Pokémon GO Moves'!$A$1:$A951,0)&amp;":$L$"&amp;MATCH($E502,'0.1.1 Pokémon GO Moves'!$A$1:$A951,0)),'Reverse Search'!$J$21)))))</f>
        <v>0</v>
      </c>
      <c r="AB502" s="490"/>
      <c r="AC502" s="260" t="n">
        <f aca="false">IF((Q502+R502+S502+V502+W502+X502+Y502+IF(Z502&gt;=1,1,0)+IF(AA502&gt;=1,1,0))=9,G502&amp;", ",)</f>
        <v>0</v>
      </c>
    </row>
    <row r="503" customFormat="false" ht="15.75" hidden="false" customHeight="false" outlineLevel="0" collapsed="false">
      <c r="A503" s="260"/>
      <c r="B503" s="358"/>
      <c r="C503" s="260"/>
      <c r="D503" s="358"/>
      <c r="E503" s="260" t="n">
        <v>502</v>
      </c>
      <c r="F503" s="260" t="n">
        <f aca="false" t="array" ref="F503:F503">INDEX('0.0.1 Pokémon Dex Data'!$H$3:$H951,MATCH(E503,'0.0.1 Pokémon Dex Data'!$B$3:$B951,0))</f>
        <v>0</v>
      </c>
      <c r="G503" s="0" t="str">
        <f aca="false" t="array" ref="G503:G503">INDEX('0.0.1 Pokémon Dex Data'!$E$3:$E951,MATCH(E503,'0.0.1 Pokémon Dex Data'!$B$3:$B951,0))</f>
        <v>Purugly</v>
      </c>
      <c r="H503" s="0" t="str">
        <f aca="false" t="array" ref="H503:H503">INDEX('0.0.1 Pokémon Dex Data'!$Q$3:$Q951,MATCH(E503,'0.0.1 Pokémon Dex Data'!$B$3:$B951,0))</f>
        <v>Normal</v>
      </c>
      <c r="I503" s="0" t="n">
        <f aca="false">INDEX('0.0.1 Pokémon Dex Data'!$R$3:$R951,MATCH(E503,'0.0.1 Pokémon Dex Data'!$B$3:$B951,0))</f>
        <v>0</v>
      </c>
      <c r="J503" s="260" t="n">
        <f aca="false" t="array" ref="J503:J503">ROUND(INDEX('0.0.1 Pokémon Dex Data'!$S$3:$S951,MATCH($E503,'0.0.1 Pokémon Dex Data'!$B$3:$B951,0))*INDEX('0.0.1 Pokémon Dex Data'!T$3:T951,MATCH($E503,'0.0.1 Pokémon Dex Data'!$B$3:$B951,0)),0)</f>
        <v>172</v>
      </c>
      <c r="K503" s="260" t="n">
        <f aca="false" t="array" ref="K503:K503">ROUND(INDEX('0.0.1 Pokémon Dex Data'!$S$3:$S951,MATCH($E503,'0.0.1 Pokémon Dex Data'!$B$3:$B951,0))*INDEX('0.0.1 Pokémon Dex Data'!U$3:U951,MATCH($E503,'0.0.1 Pokémon Dex Data'!$B$3:$B951,0)),0)</f>
        <v>133</v>
      </c>
      <c r="L503" s="260" t="n">
        <f aca="false" t="array" ref="L503:L503">ROUND(INDEX('0.0.1 Pokémon Dex Data'!$S$3:$S951,MATCH($E503,'0.0.1 Pokémon Dex Data'!$B$3:$B951,0))*INDEX('0.0.1 Pokémon Dex Data'!V$3:V951,MATCH($E503,'0.0.1 Pokémon Dex Data'!$B$3:$B951,0)),0)</f>
        <v>174</v>
      </c>
      <c r="M503" s="260" t="n">
        <f aca="false" t="array" ref="M503:M503">INDEX('0.0.1 Pokémon Dex Data'!$J$3:$J951,MATCH(E503,'0.0.1 Pokémon Dex Data'!$B$3:$B951,0))</f>
        <v>1</v>
      </c>
      <c r="O503" s="490"/>
      <c r="Q503" s="367" t="n">
        <f aca="false">IF('Reverse Search'!$F$4="All (including temporary formes)",1,IF('Reverse Search'!$F$4="Base Pokémon and permanent formes only",IF(F503&lt;=1,1,0),IF(F503=0,1,0)))</f>
        <v>1</v>
      </c>
      <c r="R503" s="0" t="n">
        <f aca="false">IF('Reverse Search'!$C$7="Disable",1,IF('Reverse Search'!$D$9="Disable",1,IF(OR('Reverse Search'!$F$9=H503,'Reverse Search'!$F$9=I503),1,0)))</f>
        <v>1</v>
      </c>
      <c r="S503" s="0" t="n">
        <f aca="false">IF('Reverse Search'!$C$7="Disable",1,IF('Reverse Search'!$D$10="Disable",1,IF(OR('Reverse Search'!$F$10=H503,'Reverse Search'!$F$10=I503),1,0)))</f>
        <v>1</v>
      </c>
      <c r="T503" s="0" t="n">
        <f aca="false">INDEX($B$4:$B$22,MATCH(H503,$A$4:$A$22,0))</f>
        <v>1</v>
      </c>
      <c r="U503" s="0" t="e">
        <f aca="false">IF(ISBLANK(I503),1,INDEX($B$4:$B$22,MATCH(I503,$A$4:$A$22,0)))</f>
        <v>#N/A</v>
      </c>
      <c r="V503" s="367" t="n">
        <f aca="false">IF('Reverse Search'!$C$7="Disable",1,IF('Reverse Search'!$D$11="Disable",1,IF('Reverse Search'!$E$11="Neutral to:",IF(ROUND(T503*U503,2)&lt;=1,1,0),IF(ROUND(T503*U503,2)&lt;1,1,0))))</f>
        <v>1</v>
      </c>
      <c r="W503" s="0" t="n">
        <f aca="false">IF('Reverse Search'!$N$7="Disable",1,IF('Reverse Search'!$I$9="Disable",1,IF('Reverse Search'!$K$9="≥",IF(J503&gt;='Reverse Search'!$L$9,1,0),IF('Reverse Search'!$K$9="≤",IF(J503&lt;='Reverse Search'!$L$9,1,0),IF(J503='Reverse Search'!$L$9,1,0)))))</f>
        <v>1</v>
      </c>
      <c r="X503" s="0" t="n">
        <f aca="false">IF('Reverse Search'!$N$7="Disable",1,IF('Reverse Search'!$I$10="Disable",1,IF('Reverse Search'!$K$10="≥",IF(K503&gt;='Reverse Search'!$L$10,1,0),IF('Reverse Search'!$K$10="≤",IF(K503&lt;='Reverse Search'!$L$10,1,0),IF(K503='Reverse Search'!$L$10,1,0)))))</f>
        <v>1</v>
      </c>
      <c r="Y503" s="367" t="n">
        <f aca="false">IF('Reverse Search'!$N$7="Disable",1,IF('Reverse Search'!$I$11="Disable",1,IF('Reverse Search'!$K$11="≥",IF(L503&gt;='Reverse Search'!$L$11,1,0),IF('Reverse Search'!$K$11="≤",IF(L503&lt;='Reverse Search'!$L$11,1,0),IF(L503='Reverse Search'!$L$11,1,0)))))</f>
        <v>1</v>
      </c>
      <c r="Z503" s="0" t="n">
        <f aca="true">IF('Reverse Search'!$C$14="Disable",1,IF('Reverse Search'!$D$16="Disable",1,IF($C$2=3,IF($M503=0,0,COUNTIF(INDIRECT("'0.0.2 Pokémon Learnset (Core)'!$D$"&amp;MATCH($E503,'0.0.2 Pokémon Learnset (Core)'!$A$1:$A951,0)&amp;":$FK$"&amp;MATCH($E503,'0.0.2 Pokémon Learnset (Core)'!$A$1:$A951,0)),'Reverse Search'!$E$21)),IF($C$2=2,COUNTIF(INDIRECT("'0.1.1 Pokémon GO Moves'!$B$"&amp;MATCH($E503,'0.1.1 Pokémon GO Moves'!$A$1:$A951,0)&amp;":$R$"&amp;MATCH($E503,'0.1.1 Pokémon GO Moves'!$A$1:$A951,0)),'Reverse Search'!$E$21),COUNTIF(INDIRECT("'0.1.1 Pokémon GO Moves'!$B$"&amp;MATCH($E503,'0.1.1 Pokémon GO Moves'!$A$1:$A951,0)&amp;":$L$"&amp;MATCH($E503,'0.1.1 Pokémon GO Moves'!$A$1:$A951,0)),'Reverse Search'!$E$21)))))</f>
        <v>1</v>
      </c>
      <c r="AA503" s="0" t="n">
        <f aca="true">IF('Reverse Search'!$C$14="Disable",1,IF('Reverse Search'!$I$16="Disable",1,IF($D$2=3,IF($M503=0,0,COUNTIF(INDIRECT("'0.0.2 Pokémon Learnset (Core)'!$D$"&amp;MATCH($E503,'0.0.2 Pokémon Learnset (Core)'!$A$1:$A951,0)&amp;":$FK$"&amp;MATCH($E503,'0.0.2 Pokémon Learnset (Core)'!$A$1:$A951,0)),'Reverse Search'!$J$21)),IF($D$2=2,COUNTIF(INDIRECT("'0.1.1 Pokémon GO Moves'!$B$"&amp;MATCH($E503,'0.1.1 Pokémon GO Moves'!$A$1:$A951,0)&amp;":$R$"&amp;MATCH($E503,'0.1.1 Pokémon GO Moves'!$A$1:$A951,0)),'Reverse Search'!$J$21),COUNTIF(INDIRECT("'0.1.1 Pokémon GO Moves'!$B$"&amp;MATCH($E503,'0.1.1 Pokémon GO Moves'!$A$1:$A951,0)&amp;":$L$"&amp;MATCH($E503,'0.1.1 Pokémon GO Moves'!$A$1:$A951,0)),'Reverse Search'!$J$21)))))</f>
        <v>0</v>
      </c>
      <c r="AB503" s="490"/>
      <c r="AC503" s="260" t="n">
        <f aca="false">IF((Q503+R503+S503+V503+W503+X503+Y503+IF(Z503&gt;=1,1,0)+IF(AA503&gt;=1,1,0))=9,G503&amp;", ",)</f>
        <v>0</v>
      </c>
    </row>
    <row r="504" customFormat="false" ht="15.75" hidden="false" customHeight="false" outlineLevel="0" collapsed="false">
      <c r="A504" s="260"/>
      <c r="B504" s="358"/>
      <c r="C504" s="260"/>
      <c r="D504" s="358"/>
      <c r="E504" s="260" t="n">
        <v>503</v>
      </c>
      <c r="F504" s="260" t="n">
        <f aca="false" t="array" ref="F504:F504">INDEX('0.0.1 Pokémon Dex Data'!$H$3:$H951,MATCH(E504,'0.0.1 Pokémon Dex Data'!$B$3:$B951,0))</f>
        <v>0</v>
      </c>
      <c r="G504" s="0" t="str">
        <f aca="false" t="array" ref="G504:G504">INDEX('0.0.1 Pokémon Dex Data'!$E$3:$E951,MATCH(E504,'0.0.1 Pokémon Dex Data'!$B$3:$B951,0))</f>
        <v>Chingling</v>
      </c>
      <c r="H504" s="0" t="str">
        <f aca="false" t="array" ref="H504:H504">INDEX('0.0.1 Pokémon Dex Data'!$Q$3:$Q951,MATCH(E504,'0.0.1 Pokémon Dex Data'!$B$3:$B951,0))</f>
        <v>Psychic</v>
      </c>
      <c r="I504" s="0" t="n">
        <f aca="false">INDEX('0.0.1 Pokémon Dex Data'!$R$3:$R951,MATCH(E504,'0.0.1 Pokémon Dex Data'!$B$3:$B951,0))</f>
        <v>0</v>
      </c>
      <c r="J504" s="260" t="n">
        <f aca="false" t="array" ref="J504:J504">ROUND(INDEX('0.0.1 Pokémon Dex Data'!$S$3:$S951,MATCH($E504,'0.0.1 Pokémon Dex Data'!$B$3:$B951,0))*INDEX('0.0.1 Pokémon Dex Data'!T$3:T951,MATCH($E504,'0.0.1 Pokémon Dex Data'!$B$3:$B951,0)),0)</f>
        <v>114</v>
      </c>
      <c r="K504" s="260" t="n">
        <f aca="false" t="array" ref="K504:K504">ROUND(INDEX('0.0.1 Pokémon Dex Data'!$S$3:$S951,MATCH($E504,'0.0.1 Pokémon Dex Data'!$B$3:$B951,0))*INDEX('0.0.1 Pokémon Dex Data'!U$3:U951,MATCH($E504,'0.0.1 Pokémon Dex Data'!$B$3:$B951,0)),0)</f>
        <v>94</v>
      </c>
      <c r="L504" s="260" t="n">
        <f aca="false" t="array" ref="L504:L504">ROUND(INDEX('0.0.1 Pokémon Dex Data'!$S$3:$S951,MATCH($E504,'0.0.1 Pokémon Dex Data'!$B$3:$B951,0))*INDEX('0.0.1 Pokémon Dex Data'!V$3:V951,MATCH($E504,'0.0.1 Pokémon Dex Data'!$B$3:$B951,0)),0)</f>
        <v>128</v>
      </c>
      <c r="M504" s="260" t="n">
        <f aca="false" t="array" ref="M504:M504">INDEX('0.0.1 Pokémon Dex Data'!$J$3:$J951,MATCH(E504,'0.0.1 Pokémon Dex Data'!$B$3:$B951,0))</f>
        <v>0</v>
      </c>
      <c r="O504" s="490"/>
      <c r="Q504" s="367" t="n">
        <f aca="false">IF('Reverse Search'!$F$4="All (including temporary formes)",1,IF('Reverse Search'!$F$4="Base Pokémon and permanent formes only",IF(F504&lt;=1,1,0),IF(F504=0,1,0)))</f>
        <v>1</v>
      </c>
      <c r="R504" s="0" t="n">
        <f aca="false">IF('Reverse Search'!$C$7="Disable",1,IF('Reverse Search'!$D$9="Disable",1,IF(OR('Reverse Search'!$F$9=H504,'Reverse Search'!$F$9=I504),1,0)))</f>
        <v>1</v>
      </c>
      <c r="S504" s="0" t="n">
        <f aca="false">IF('Reverse Search'!$C$7="Disable",1,IF('Reverse Search'!$D$10="Disable",1,IF(OR('Reverse Search'!$F$10=H504,'Reverse Search'!$F$10=I504),1,0)))</f>
        <v>1</v>
      </c>
      <c r="T504" s="0" t="n">
        <f aca="false">INDEX($B$4:$B$22,MATCH(H504,$A$4:$A$22,0))</f>
        <v>1</v>
      </c>
      <c r="U504" s="0" t="e">
        <f aca="false">IF(ISBLANK(I504),1,INDEX($B$4:$B$22,MATCH(I504,$A$4:$A$22,0)))</f>
        <v>#N/A</v>
      </c>
      <c r="V504" s="367" t="n">
        <f aca="false">IF('Reverse Search'!$C$7="Disable",1,IF('Reverse Search'!$D$11="Disable",1,IF('Reverse Search'!$E$11="Neutral to:",IF(ROUND(T504*U504,2)&lt;=1,1,0),IF(ROUND(T504*U504,2)&lt;1,1,0))))</f>
        <v>1</v>
      </c>
      <c r="W504" s="0" t="n">
        <f aca="false">IF('Reverse Search'!$N$7="Disable",1,IF('Reverse Search'!$I$9="Disable",1,IF('Reverse Search'!$K$9="≥",IF(J504&gt;='Reverse Search'!$L$9,1,0),IF('Reverse Search'!$K$9="≤",IF(J504&lt;='Reverse Search'!$L$9,1,0),IF(J504='Reverse Search'!$L$9,1,0)))))</f>
        <v>1</v>
      </c>
      <c r="X504" s="0" t="n">
        <f aca="false">IF('Reverse Search'!$N$7="Disable",1,IF('Reverse Search'!$I$10="Disable",1,IF('Reverse Search'!$K$10="≥",IF(K504&gt;='Reverse Search'!$L$10,1,0),IF('Reverse Search'!$K$10="≤",IF(K504&lt;='Reverse Search'!$L$10,1,0),IF(K504='Reverse Search'!$L$10,1,0)))))</f>
        <v>1</v>
      </c>
      <c r="Y504" s="367" t="n">
        <f aca="false">IF('Reverse Search'!$N$7="Disable",1,IF('Reverse Search'!$I$11="Disable",1,IF('Reverse Search'!$K$11="≥",IF(L504&gt;='Reverse Search'!$L$11,1,0),IF('Reverse Search'!$K$11="≤",IF(L504&lt;='Reverse Search'!$L$11,1,0),IF(L504='Reverse Search'!$L$11,1,0)))))</f>
        <v>1</v>
      </c>
      <c r="Z504" s="0" t="n">
        <f aca="true">IF('Reverse Search'!$C$14="Disable",1,IF('Reverse Search'!$D$16="Disable",1,IF($C$2=3,IF($M504=0,0,COUNTIF(INDIRECT("'0.0.2 Pokémon Learnset (Core)'!$D$"&amp;MATCH($E504,'0.0.2 Pokémon Learnset (Core)'!$A$1:$A951,0)&amp;":$FK$"&amp;MATCH($E504,'0.0.2 Pokémon Learnset (Core)'!$A$1:$A951,0)),'Reverse Search'!$E$21)),IF($C$2=2,COUNTIF(INDIRECT("'0.1.1 Pokémon GO Moves'!$B$"&amp;MATCH($E504,'0.1.1 Pokémon GO Moves'!$A$1:$A951,0)&amp;":$R$"&amp;MATCH($E504,'0.1.1 Pokémon GO Moves'!$A$1:$A951,0)),'Reverse Search'!$E$21),COUNTIF(INDIRECT("'0.1.1 Pokémon GO Moves'!$B$"&amp;MATCH($E504,'0.1.1 Pokémon GO Moves'!$A$1:$A951,0)&amp;":$L$"&amp;MATCH($E504,'0.1.1 Pokémon GO Moves'!$A$1:$A951,0)),'Reverse Search'!$E$21)))))</f>
        <v>1</v>
      </c>
      <c r="AA504" s="0" t="n">
        <f aca="true">IF('Reverse Search'!$C$14="Disable",1,IF('Reverse Search'!$I$16="Disable",1,IF($D$2=3,IF($M504=0,0,COUNTIF(INDIRECT("'0.0.2 Pokémon Learnset (Core)'!$D$"&amp;MATCH($E504,'0.0.2 Pokémon Learnset (Core)'!$A$1:$A951,0)&amp;":$FK$"&amp;MATCH($E504,'0.0.2 Pokémon Learnset (Core)'!$A$1:$A951,0)),'Reverse Search'!$J$21)),IF($D$2=2,COUNTIF(INDIRECT("'0.1.1 Pokémon GO Moves'!$B$"&amp;MATCH($E504,'0.1.1 Pokémon GO Moves'!$A$1:$A951,0)&amp;":$R$"&amp;MATCH($E504,'0.1.1 Pokémon GO Moves'!$A$1:$A951,0)),'Reverse Search'!$J$21),COUNTIF(INDIRECT("'0.1.1 Pokémon GO Moves'!$B$"&amp;MATCH($E504,'0.1.1 Pokémon GO Moves'!$A$1:$A951,0)&amp;":$L$"&amp;MATCH($E504,'0.1.1 Pokémon GO Moves'!$A$1:$A951,0)),'Reverse Search'!$J$21)))))</f>
        <v>0</v>
      </c>
      <c r="AB504" s="490"/>
      <c r="AC504" s="260" t="n">
        <f aca="false">IF((Q504+R504+S504+V504+W504+X504+Y504+IF(Z504&gt;=1,1,0)+IF(AA504&gt;=1,1,0))=9,G504&amp;", ",)</f>
        <v>0</v>
      </c>
    </row>
    <row r="505" customFormat="false" ht="15.75" hidden="false" customHeight="false" outlineLevel="0" collapsed="false">
      <c r="A505" s="260"/>
      <c r="B505" s="358"/>
      <c r="C505" s="260"/>
      <c r="D505" s="358"/>
      <c r="E505" s="260" t="n">
        <v>504</v>
      </c>
      <c r="F505" s="260" t="n">
        <f aca="false" t="array" ref="F505:F505">INDEX('0.0.1 Pokémon Dex Data'!$H$3:$H951,MATCH(E505,'0.0.1 Pokémon Dex Data'!$B$3:$B951,0))</f>
        <v>0</v>
      </c>
      <c r="G505" s="0" t="str">
        <f aca="false" t="array" ref="G505:G505">INDEX('0.0.1 Pokémon Dex Data'!$E$3:$E951,MATCH(E505,'0.0.1 Pokémon Dex Data'!$B$3:$B951,0))</f>
        <v>Stunky</v>
      </c>
      <c r="H505" s="0" t="str">
        <f aca="false" t="array" ref="H505:H505">INDEX('0.0.1 Pokémon Dex Data'!$Q$3:$Q951,MATCH(E505,'0.0.1 Pokémon Dex Data'!$B$3:$B951,0))</f>
        <v>Poison</v>
      </c>
      <c r="I505" s="0" t="str">
        <f aca="false" t="array" ref="I505:I505">INDEX('0.0.1 Pokémon Dex Data'!$R$3:$R951,MATCH(E505,'0.0.1 Pokémon Dex Data'!$B$3:$B951,0))</f>
        <v>Dark</v>
      </c>
      <c r="J505" s="260" t="n">
        <f aca="false" t="array" ref="J505:J505">ROUND(INDEX('0.0.1 Pokémon Dex Data'!$S$3:$S951,MATCH($E505,'0.0.1 Pokémon Dex Data'!$B$3:$B951,0))*INDEX('0.0.1 Pokémon Dex Data'!T$3:T951,MATCH($E505,'0.0.1 Pokémon Dex Data'!$B$3:$B951,0)),0)</f>
        <v>121</v>
      </c>
      <c r="K505" s="260" t="n">
        <f aca="false" t="array" ref="K505:K505">ROUND(INDEX('0.0.1 Pokémon Dex Data'!$S$3:$S951,MATCH($E505,'0.0.1 Pokémon Dex Data'!$B$3:$B951,0))*INDEX('0.0.1 Pokémon Dex Data'!U$3:U951,MATCH($E505,'0.0.1 Pokémon Dex Data'!$B$3:$B951,0)),0)</f>
        <v>90</v>
      </c>
      <c r="L505" s="260" t="n">
        <f aca="false" t="array" ref="L505:L505">ROUND(INDEX('0.0.1 Pokémon Dex Data'!$S$3:$S951,MATCH($E505,'0.0.1 Pokémon Dex Data'!$B$3:$B951,0))*INDEX('0.0.1 Pokémon Dex Data'!V$3:V951,MATCH($E505,'0.0.1 Pokémon Dex Data'!$B$3:$B951,0)),0)</f>
        <v>160</v>
      </c>
      <c r="M505" s="260" t="n">
        <f aca="false" t="array" ref="M505:M505">INDEX('0.0.1 Pokémon Dex Data'!$J$3:$J951,MATCH(E505,'0.0.1 Pokémon Dex Data'!$B$3:$B951,0))</f>
        <v>0</v>
      </c>
      <c r="O505" s="490"/>
      <c r="Q505" s="367" t="n">
        <f aca="false">IF('Reverse Search'!$F$4="All (including temporary formes)",1,IF('Reverse Search'!$F$4="Base Pokémon and permanent formes only",IF(F505&lt;=1,1,0),IF(F505=0,1,0)))</f>
        <v>1</v>
      </c>
      <c r="R505" s="0" t="n">
        <f aca="false">IF('Reverse Search'!$C$7="Disable",1,IF('Reverse Search'!$D$9="Disable",1,IF(OR('Reverse Search'!$F$9=H505,'Reverse Search'!$F$9=I505),1,0)))</f>
        <v>1</v>
      </c>
      <c r="S505" s="0" t="n">
        <f aca="false">IF('Reverse Search'!$C$7="Disable",1,IF('Reverse Search'!$D$10="Disable",1,IF(OR('Reverse Search'!$F$10=H505,'Reverse Search'!$F$10=I505),1,0)))</f>
        <v>1</v>
      </c>
      <c r="T505" s="0" t="n">
        <f aca="false">INDEX($B$4:$B$22,MATCH(H505,$A$4:$A$22,0))</f>
        <v>1</v>
      </c>
      <c r="U505" s="0" t="n">
        <f aca="false">IF(ISBLANK(I505),1,INDEX($B$4:$B$22,MATCH(I505,$A$4:$A$22,0)))</f>
        <v>1</v>
      </c>
      <c r="V505" s="367" t="n">
        <f aca="false">IF('Reverse Search'!$C$7="Disable",1,IF('Reverse Search'!$D$11="Disable",1,IF('Reverse Search'!$E$11="Neutral to:",IF(ROUND(T505*U505,2)&lt;=1,1,0),IF(ROUND(T505*U505,2)&lt;1,1,0))))</f>
        <v>1</v>
      </c>
      <c r="W505" s="0" t="n">
        <f aca="false">IF('Reverse Search'!$N$7="Disable",1,IF('Reverse Search'!$I$9="Disable",1,IF('Reverse Search'!$K$9="≥",IF(J505&gt;='Reverse Search'!$L$9,1,0),IF('Reverse Search'!$K$9="≤",IF(J505&lt;='Reverse Search'!$L$9,1,0),IF(J505='Reverse Search'!$L$9,1,0)))))</f>
        <v>1</v>
      </c>
      <c r="X505" s="0" t="n">
        <f aca="false">IF('Reverse Search'!$N$7="Disable",1,IF('Reverse Search'!$I$10="Disable",1,IF('Reverse Search'!$K$10="≥",IF(K505&gt;='Reverse Search'!$L$10,1,0),IF('Reverse Search'!$K$10="≤",IF(K505&lt;='Reverse Search'!$L$10,1,0),IF(K505='Reverse Search'!$L$10,1,0)))))</f>
        <v>1</v>
      </c>
      <c r="Y505" s="367" t="n">
        <f aca="false">IF('Reverse Search'!$N$7="Disable",1,IF('Reverse Search'!$I$11="Disable",1,IF('Reverse Search'!$K$11="≥",IF(L505&gt;='Reverse Search'!$L$11,1,0),IF('Reverse Search'!$K$11="≤",IF(L505&lt;='Reverse Search'!$L$11,1,0),IF(L505='Reverse Search'!$L$11,1,0)))))</f>
        <v>1</v>
      </c>
      <c r="Z505" s="0" t="n">
        <f aca="true">IF('Reverse Search'!$C$14="Disable",1,IF('Reverse Search'!$D$16="Disable",1,IF($C$2=3,IF($M505=0,0,COUNTIF(INDIRECT("'0.0.2 Pokémon Learnset (Core)'!$D$"&amp;MATCH($E505,'0.0.2 Pokémon Learnset (Core)'!$A$1:$A951,0)&amp;":$FK$"&amp;MATCH($E505,'0.0.2 Pokémon Learnset (Core)'!$A$1:$A951,0)),'Reverse Search'!$E$21)),IF($C$2=2,COUNTIF(INDIRECT("'0.1.1 Pokémon GO Moves'!$B$"&amp;MATCH($E505,'0.1.1 Pokémon GO Moves'!$A$1:$A951,0)&amp;":$R$"&amp;MATCH($E505,'0.1.1 Pokémon GO Moves'!$A$1:$A951,0)),'Reverse Search'!$E$21),COUNTIF(INDIRECT("'0.1.1 Pokémon GO Moves'!$B$"&amp;MATCH($E505,'0.1.1 Pokémon GO Moves'!$A$1:$A951,0)&amp;":$L$"&amp;MATCH($E505,'0.1.1 Pokémon GO Moves'!$A$1:$A951,0)),'Reverse Search'!$E$21)))))</f>
        <v>1</v>
      </c>
      <c r="AA505" s="0" t="n">
        <f aca="true">IF('Reverse Search'!$C$14="Disable",1,IF('Reverse Search'!$I$16="Disable",1,IF($D$2=3,IF($M505=0,0,COUNTIF(INDIRECT("'0.0.2 Pokémon Learnset (Core)'!$D$"&amp;MATCH($E505,'0.0.2 Pokémon Learnset (Core)'!$A$1:$A951,0)&amp;":$FK$"&amp;MATCH($E505,'0.0.2 Pokémon Learnset (Core)'!$A$1:$A951,0)),'Reverse Search'!$J$21)),IF($D$2=2,COUNTIF(INDIRECT("'0.1.1 Pokémon GO Moves'!$B$"&amp;MATCH($E505,'0.1.1 Pokémon GO Moves'!$A$1:$A951,0)&amp;":$R$"&amp;MATCH($E505,'0.1.1 Pokémon GO Moves'!$A$1:$A951,0)),'Reverse Search'!$J$21),COUNTIF(INDIRECT("'0.1.1 Pokémon GO Moves'!$B$"&amp;MATCH($E505,'0.1.1 Pokémon GO Moves'!$A$1:$A951,0)&amp;":$L$"&amp;MATCH($E505,'0.1.1 Pokémon GO Moves'!$A$1:$A951,0)),'Reverse Search'!$J$21)))))</f>
        <v>0</v>
      </c>
      <c r="AB505" s="490"/>
      <c r="AC505" s="260" t="n">
        <f aca="false">IF((Q505+R505+S505+V505+W505+X505+Y505+IF(Z505&gt;=1,1,0)+IF(AA505&gt;=1,1,0))=9,G505&amp;", ",)</f>
        <v>0</v>
      </c>
    </row>
    <row r="506" customFormat="false" ht="15.75" hidden="false" customHeight="false" outlineLevel="0" collapsed="false">
      <c r="A506" s="260"/>
      <c r="B506" s="358"/>
      <c r="C506" s="260"/>
      <c r="D506" s="358"/>
      <c r="E506" s="260" t="n">
        <v>505</v>
      </c>
      <c r="F506" s="260" t="n">
        <f aca="false" t="array" ref="F506:F506">INDEX('0.0.1 Pokémon Dex Data'!$H$3:$H951,MATCH(E506,'0.0.1 Pokémon Dex Data'!$B$3:$B951,0))</f>
        <v>0</v>
      </c>
      <c r="G506" s="0" t="str">
        <f aca="false" t="array" ref="G506:G506">INDEX('0.0.1 Pokémon Dex Data'!$E$3:$E951,MATCH(E506,'0.0.1 Pokémon Dex Data'!$B$3:$B951,0))</f>
        <v>Skuntank</v>
      </c>
      <c r="H506" s="0" t="str">
        <f aca="false" t="array" ref="H506:H506">INDEX('0.0.1 Pokémon Dex Data'!$Q$3:$Q951,MATCH(E506,'0.0.1 Pokémon Dex Data'!$B$3:$B951,0))</f>
        <v>Poison</v>
      </c>
      <c r="I506" s="0" t="str">
        <f aca="false" t="array" ref="I506:I506">INDEX('0.0.1 Pokémon Dex Data'!$R$3:$R951,MATCH(E506,'0.0.1 Pokémon Dex Data'!$B$3:$B951,0))</f>
        <v>Dark</v>
      </c>
      <c r="J506" s="260" t="n">
        <f aca="false" t="array" ref="J506:J506">ROUND(INDEX('0.0.1 Pokémon Dex Data'!$S$3:$S951,MATCH($E506,'0.0.1 Pokémon Dex Data'!$B$3:$B951,0))*INDEX('0.0.1 Pokémon Dex Data'!T$3:T951,MATCH($E506,'0.0.1 Pokémon Dex Data'!$B$3:$B951,0)),0)</f>
        <v>184</v>
      </c>
      <c r="K506" s="260" t="n">
        <f aca="false" t="array" ref="K506:K506">ROUND(INDEX('0.0.1 Pokémon Dex Data'!$S$3:$S951,MATCH($E506,'0.0.1 Pokémon Dex Data'!$B$3:$B951,0))*INDEX('0.0.1 Pokémon Dex Data'!U$3:U951,MATCH($E506,'0.0.1 Pokémon Dex Data'!$B$3:$B951,0)),0)</f>
        <v>132</v>
      </c>
      <c r="L506" s="260" t="n">
        <f aca="false" t="array" ref="L506:L506">ROUND(INDEX('0.0.1 Pokémon Dex Data'!$S$3:$S951,MATCH($E506,'0.0.1 Pokémon Dex Data'!$B$3:$B951,0))*INDEX('0.0.1 Pokémon Dex Data'!V$3:V951,MATCH($E506,'0.0.1 Pokémon Dex Data'!$B$3:$B951,0)),0)</f>
        <v>230</v>
      </c>
      <c r="M506" s="260" t="n">
        <f aca="false" t="array" ref="M506:M506">INDEX('0.0.1 Pokémon Dex Data'!$J$3:$J951,MATCH(E506,'0.0.1 Pokémon Dex Data'!$B$3:$B951,0))</f>
        <v>1</v>
      </c>
      <c r="O506" s="490"/>
      <c r="Q506" s="367" t="n">
        <f aca="false">IF('Reverse Search'!$F$4="All (including temporary formes)",1,IF('Reverse Search'!$F$4="Base Pokémon and permanent formes only",IF(F506&lt;=1,1,0),IF(F506=0,1,0)))</f>
        <v>1</v>
      </c>
      <c r="R506" s="0" t="n">
        <f aca="false">IF('Reverse Search'!$C$7="Disable",1,IF('Reverse Search'!$D$9="Disable",1,IF(OR('Reverse Search'!$F$9=H506,'Reverse Search'!$F$9=I506),1,0)))</f>
        <v>1</v>
      </c>
      <c r="S506" s="0" t="n">
        <f aca="false">IF('Reverse Search'!$C$7="Disable",1,IF('Reverse Search'!$D$10="Disable",1,IF(OR('Reverse Search'!$F$10=H506,'Reverse Search'!$F$10=I506),1,0)))</f>
        <v>1</v>
      </c>
      <c r="T506" s="0" t="n">
        <f aca="false">INDEX($B$4:$B$22,MATCH(H506,$A$4:$A$22,0))</f>
        <v>1</v>
      </c>
      <c r="U506" s="0" t="n">
        <f aca="false">IF(ISBLANK(I506),1,INDEX($B$4:$B$22,MATCH(I506,$A$4:$A$22,0)))</f>
        <v>1</v>
      </c>
      <c r="V506" s="367" t="n">
        <f aca="false">IF('Reverse Search'!$C$7="Disable",1,IF('Reverse Search'!$D$11="Disable",1,IF('Reverse Search'!$E$11="Neutral to:",IF(ROUND(T506*U506,2)&lt;=1,1,0),IF(ROUND(T506*U506,2)&lt;1,1,0))))</f>
        <v>1</v>
      </c>
      <c r="W506" s="0" t="n">
        <f aca="false">IF('Reverse Search'!$N$7="Disable",1,IF('Reverse Search'!$I$9="Disable",1,IF('Reverse Search'!$K$9="≥",IF(J506&gt;='Reverse Search'!$L$9,1,0),IF('Reverse Search'!$K$9="≤",IF(J506&lt;='Reverse Search'!$L$9,1,0),IF(J506='Reverse Search'!$L$9,1,0)))))</f>
        <v>1</v>
      </c>
      <c r="X506" s="0" t="n">
        <f aca="false">IF('Reverse Search'!$N$7="Disable",1,IF('Reverse Search'!$I$10="Disable",1,IF('Reverse Search'!$K$10="≥",IF(K506&gt;='Reverse Search'!$L$10,1,0),IF('Reverse Search'!$K$10="≤",IF(K506&lt;='Reverse Search'!$L$10,1,0),IF(K506='Reverse Search'!$L$10,1,0)))))</f>
        <v>1</v>
      </c>
      <c r="Y506" s="367" t="n">
        <f aca="false">IF('Reverse Search'!$N$7="Disable",1,IF('Reverse Search'!$I$11="Disable",1,IF('Reverse Search'!$K$11="≥",IF(L506&gt;='Reverse Search'!$L$11,1,0),IF('Reverse Search'!$K$11="≤",IF(L506&lt;='Reverse Search'!$L$11,1,0),IF(L506='Reverse Search'!$L$11,1,0)))))</f>
        <v>1</v>
      </c>
      <c r="Z506" s="0" t="n">
        <f aca="true">IF('Reverse Search'!$C$14="Disable",1,IF('Reverse Search'!$D$16="Disable",1,IF($C$2=3,IF($M506=0,0,COUNTIF(INDIRECT("'0.0.2 Pokémon Learnset (Core)'!$D$"&amp;MATCH($E506,'0.0.2 Pokémon Learnset (Core)'!$A$1:$A951,0)&amp;":$FK$"&amp;MATCH($E506,'0.0.2 Pokémon Learnset (Core)'!$A$1:$A951,0)),'Reverse Search'!$E$21)),IF($C$2=2,COUNTIF(INDIRECT("'0.1.1 Pokémon GO Moves'!$B$"&amp;MATCH($E506,'0.1.1 Pokémon GO Moves'!$A$1:$A951,0)&amp;":$R$"&amp;MATCH($E506,'0.1.1 Pokémon GO Moves'!$A$1:$A951,0)),'Reverse Search'!$E$21),COUNTIF(INDIRECT("'0.1.1 Pokémon GO Moves'!$B$"&amp;MATCH($E506,'0.1.1 Pokémon GO Moves'!$A$1:$A951,0)&amp;":$L$"&amp;MATCH($E506,'0.1.1 Pokémon GO Moves'!$A$1:$A951,0)),'Reverse Search'!$E$21)))))</f>
        <v>1</v>
      </c>
      <c r="AA506" s="0" t="n">
        <f aca="true">IF('Reverse Search'!$C$14="Disable",1,IF('Reverse Search'!$I$16="Disable",1,IF($D$2=3,IF($M506=0,0,COUNTIF(INDIRECT("'0.0.2 Pokémon Learnset (Core)'!$D$"&amp;MATCH($E506,'0.0.2 Pokémon Learnset (Core)'!$A$1:$A951,0)&amp;":$FK$"&amp;MATCH($E506,'0.0.2 Pokémon Learnset (Core)'!$A$1:$A951,0)),'Reverse Search'!$J$21)),IF($D$2=2,COUNTIF(INDIRECT("'0.1.1 Pokémon GO Moves'!$B$"&amp;MATCH($E506,'0.1.1 Pokémon GO Moves'!$A$1:$A951,0)&amp;":$R$"&amp;MATCH($E506,'0.1.1 Pokémon GO Moves'!$A$1:$A951,0)),'Reverse Search'!$J$21),COUNTIF(INDIRECT("'0.1.1 Pokémon GO Moves'!$B$"&amp;MATCH($E506,'0.1.1 Pokémon GO Moves'!$A$1:$A951,0)&amp;":$L$"&amp;MATCH($E506,'0.1.1 Pokémon GO Moves'!$A$1:$A951,0)),'Reverse Search'!$J$21)))))</f>
        <v>0</v>
      </c>
      <c r="AB506" s="490"/>
      <c r="AC506" s="260" t="n">
        <f aca="false">IF((Q506+R506+S506+V506+W506+X506+Y506+IF(Z506&gt;=1,1,0)+IF(AA506&gt;=1,1,0))=9,G506&amp;", ",)</f>
        <v>0</v>
      </c>
    </row>
    <row r="507" customFormat="false" ht="15.75" hidden="false" customHeight="false" outlineLevel="0" collapsed="false">
      <c r="A507" s="260"/>
      <c r="B507" s="358"/>
      <c r="C507" s="260"/>
      <c r="D507" s="358"/>
      <c r="E507" s="260" t="n">
        <v>506</v>
      </c>
      <c r="F507" s="260" t="n">
        <f aca="false" t="array" ref="F507:F507">INDEX('0.0.1 Pokémon Dex Data'!$H$3:$H951,MATCH(E507,'0.0.1 Pokémon Dex Data'!$B$3:$B951,0))</f>
        <v>0</v>
      </c>
      <c r="G507" s="0" t="str">
        <f aca="false" t="array" ref="G507:G507">INDEX('0.0.1 Pokémon Dex Data'!$E$3:$E951,MATCH(E507,'0.0.1 Pokémon Dex Data'!$B$3:$B951,0))</f>
        <v>Bronzor</v>
      </c>
      <c r="H507" s="0" t="str">
        <f aca="false" t="array" ref="H507:H507">INDEX('0.0.1 Pokémon Dex Data'!$Q$3:$Q951,MATCH(E507,'0.0.1 Pokémon Dex Data'!$B$3:$B951,0))</f>
        <v>Steel</v>
      </c>
      <c r="I507" s="0" t="str">
        <f aca="false" t="array" ref="I507:I507">INDEX('0.0.1 Pokémon Dex Data'!$R$3:$R951,MATCH(E507,'0.0.1 Pokémon Dex Data'!$B$3:$B951,0))</f>
        <v>Psychic</v>
      </c>
      <c r="J507" s="260" t="n">
        <f aca="false" t="array" ref="J507:J507">ROUND(INDEX('0.0.1 Pokémon Dex Data'!$S$3:$S951,MATCH($E507,'0.0.1 Pokémon Dex Data'!$B$3:$B951,0))*INDEX('0.0.1 Pokémon Dex Data'!T$3:T951,MATCH($E507,'0.0.1 Pokémon Dex Data'!$B$3:$B951,0)),0)</f>
        <v>43</v>
      </c>
      <c r="K507" s="260" t="n">
        <f aca="false" t="array" ref="K507:K507">ROUND(INDEX('0.0.1 Pokémon Dex Data'!$S$3:$S951,MATCH($E507,'0.0.1 Pokémon Dex Data'!$B$3:$B951,0))*INDEX('0.0.1 Pokémon Dex Data'!U$3:U951,MATCH($E507,'0.0.1 Pokémon Dex Data'!$B$3:$B951,0)),0)</f>
        <v>154</v>
      </c>
      <c r="L507" s="260" t="n">
        <f aca="false" t="array" ref="L507:L507">ROUND(INDEX('0.0.1 Pokémon Dex Data'!$S$3:$S951,MATCH($E507,'0.0.1 Pokémon Dex Data'!$B$3:$B951,0))*INDEX('0.0.1 Pokémon Dex Data'!V$3:V951,MATCH($E507,'0.0.1 Pokémon Dex Data'!$B$3:$B951,0)),0)</f>
        <v>149</v>
      </c>
      <c r="M507" s="260" t="n">
        <f aca="false" t="array" ref="M507:M507">INDEX('0.0.1 Pokémon Dex Data'!$J$3:$J951,MATCH(E507,'0.0.1 Pokémon Dex Data'!$B$3:$B951,0))</f>
        <v>0</v>
      </c>
      <c r="O507" s="490"/>
      <c r="Q507" s="367" t="n">
        <f aca="false">IF('Reverse Search'!$F$4="All (including temporary formes)",1,IF('Reverse Search'!$F$4="Base Pokémon and permanent formes only",IF(F507&lt;=1,1,0),IF(F507=0,1,0)))</f>
        <v>1</v>
      </c>
      <c r="R507" s="0" t="n">
        <f aca="false">IF('Reverse Search'!$C$7="Disable",1,IF('Reverse Search'!$D$9="Disable",1,IF(OR('Reverse Search'!$F$9=H507,'Reverse Search'!$F$9=I507),1,0)))</f>
        <v>1</v>
      </c>
      <c r="S507" s="0" t="n">
        <f aca="false">IF('Reverse Search'!$C$7="Disable",1,IF('Reverse Search'!$D$10="Disable",1,IF(OR('Reverse Search'!$F$10=H507,'Reverse Search'!$F$10=I507),1,0)))</f>
        <v>1</v>
      </c>
      <c r="T507" s="0" t="n">
        <f aca="false">INDEX($B$4:$B$22,MATCH(H507,$A$4:$A$22,0))</f>
        <v>0.714</v>
      </c>
      <c r="U507" s="0" t="n">
        <f aca="false">IF(ISBLANK(I507),1,INDEX($B$4:$B$22,MATCH(I507,$A$4:$A$22,0)))</f>
        <v>1</v>
      </c>
      <c r="V507" s="367" t="n">
        <f aca="false">IF('Reverse Search'!$C$7="Disable",1,IF('Reverse Search'!$D$11="Disable",1,IF('Reverse Search'!$E$11="Neutral to:",IF(ROUND(T507*U507,2)&lt;=1,1,0),IF(ROUND(T507*U507,2)&lt;1,1,0))))</f>
        <v>1</v>
      </c>
      <c r="W507" s="0" t="n">
        <f aca="false">IF('Reverse Search'!$N$7="Disable",1,IF('Reverse Search'!$I$9="Disable",1,IF('Reverse Search'!$K$9="≥",IF(J507&gt;='Reverse Search'!$L$9,1,0),IF('Reverse Search'!$K$9="≤",IF(J507&lt;='Reverse Search'!$L$9,1,0),IF(J507='Reverse Search'!$L$9,1,0)))))</f>
        <v>1</v>
      </c>
      <c r="X507" s="0" t="n">
        <f aca="false">IF('Reverse Search'!$N$7="Disable",1,IF('Reverse Search'!$I$10="Disable",1,IF('Reverse Search'!$K$10="≥",IF(K507&gt;='Reverse Search'!$L$10,1,0),IF('Reverse Search'!$K$10="≤",IF(K507&lt;='Reverse Search'!$L$10,1,0),IF(K507='Reverse Search'!$L$10,1,0)))))</f>
        <v>1</v>
      </c>
      <c r="Y507" s="367" t="n">
        <f aca="false">IF('Reverse Search'!$N$7="Disable",1,IF('Reverse Search'!$I$11="Disable",1,IF('Reverse Search'!$K$11="≥",IF(L507&gt;='Reverse Search'!$L$11,1,0),IF('Reverse Search'!$K$11="≤",IF(L507&lt;='Reverse Search'!$L$11,1,0),IF(L507='Reverse Search'!$L$11,1,0)))))</f>
        <v>1</v>
      </c>
      <c r="Z507" s="0" t="n">
        <f aca="true">IF('Reverse Search'!$C$14="Disable",1,IF('Reverse Search'!$D$16="Disable",1,IF($C$2=3,IF($M507=0,0,COUNTIF(INDIRECT("'0.0.2 Pokémon Learnset (Core)'!$D$"&amp;MATCH($E507,'0.0.2 Pokémon Learnset (Core)'!$A$1:$A951,0)&amp;":$FK$"&amp;MATCH($E507,'0.0.2 Pokémon Learnset (Core)'!$A$1:$A951,0)),'Reverse Search'!$E$21)),IF($C$2=2,COUNTIF(INDIRECT("'0.1.1 Pokémon GO Moves'!$B$"&amp;MATCH($E507,'0.1.1 Pokémon GO Moves'!$A$1:$A951,0)&amp;":$R$"&amp;MATCH($E507,'0.1.1 Pokémon GO Moves'!$A$1:$A951,0)),'Reverse Search'!$E$21),COUNTIF(INDIRECT("'0.1.1 Pokémon GO Moves'!$B$"&amp;MATCH($E507,'0.1.1 Pokémon GO Moves'!$A$1:$A951,0)&amp;":$L$"&amp;MATCH($E507,'0.1.1 Pokémon GO Moves'!$A$1:$A951,0)),'Reverse Search'!$E$21)))))</f>
        <v>1</v>
      </c>
      <c r="AA507" s="0" t="n">
        <f aca="true">IF('Reverse Search'!$C$14="Disable",1,IF('Reverse Search'!$I$16="Disable",1,IF($D$2=3,IF($M507=0,0,COUNTIF(INDIRECT("'0.0.2 Pokémon Learnset (Core)'!$D$"&amp;MATCH($E507,'0.0.2 Pokémon Learnset (Core)'!$A$1:$A951,0)&amp;":$FK$"&amp;MATCH($E507,'0.0.2 Pokémon Learnset (Core)'!$A$1:$A951,0)),'Reverse Search'!$J$21)),IF($D$2=2,COUNTIF(INDIRECT("'0.1.1 Pokémon GO Moves'!$B$"&amp;MATCH($E507,'0.1.1 Pokémon GO Moves'!$A$1:$A951,0)&amp;":$R$"&amp;MATCH($E507,'0.1.1 Pokémon GO Moves'!$A$1:$A951,0)),'Reverse Search'!$J$21),COUNTIF(INDIRECT("'0.1.1 Pokémon GO Moves'!$B$"&amp;MATCH($E507,'0.1.1 Pokémon GO Moves'!$A$1:$A951,0)&amp;":$L$"&amp;MATCH($E507,'0.1.1 Pokémon GO Moves'!$A$1:$A951,0)),'Reverse Search'!$J$21)))))</f>
        <v>0</v>
      </c>
      <c r="AB507" s="490"/>
      <c r="AC507" s="260" t="n">
        <f aca="false">IF((Q507+R507+S507+V507+W507+X507+Y507+IF(Z507&gt;=1,1,0)+IF(AA507&gt;=1,1,0))=9,G507&amp;", ",)</f>
        <v>0</v>
      </c>
    </row>
    <row r="508" customFormat="false" ht="15.75" hidden="false" customHeight="false" outlineLevel="0" collapsed="false">
      <c r="A508" s="260"/>
      <c r="B508" s="358"/>
      <c r="C508" s="260"/>
      <c r="D508" s="358"/>
      <c r="E508" s="260" t="n">
        <v>507</v>
      </c>
      <c r="F508" s="260" t="n">
        <f aca="false" t="array" ref="F508:F508">INDEX('0.0.1 Pokémon Dex Data'!$H$3:$H951,MATCH(E508,'0.0.1 Pokémon Dex Data'!$B$3:$B951,0))</f>
        <v>0</v>
      </c>
      <c r="G508" s="0" t="str">
        <f aca="false" t="array" ref="G508:G508">INDEX('0.0.1 Pokémon Dex Data'!$E$3:$E951,MATCH(E508,'0.0.1 Pokémon Dex Data'!$B$3:$B951,0))</f>
        <v>Bronzong</v>
      </c>
      <c r="H508" s="0" t="str">
        <f aca="false" t="array" ref="H508:H508">INDEX('0.0.1 Pokémon Dex Data'!$Q$3:$Q951,MATCH(E508,'0.0.1 Pokémon Dex Data'!$B$3:$B951,0))</f>
        <v>Steel</v>
      </c>
      <c r="I508" s="0" t="str">
        <f aca="false" t="array" ref="I508:I508">INDEX('0.0.1 Pokémon Dex Data'!$R$3:$R951,MATCH(E508,'0.0.1 Pokémon Dex Data'!$B$3:$B951,0))</f>
        <v>Psychic</v>
      </c>
      <c r="J508" s="260" t="n">
        <f aca="false" t="array" ref="J508:J508">ROUND(INDEX('0.0.1 Pokémon Dex Data'!$S$3:$S951,MATCH($E508,'0.0.1 Pokémon Dex Data'!$B$3:$B951,0))*INDEX('0.0.1 Pokémon Dex Data'!T$3:T951,MATCH($E508,'0.0.1 Pokémon Dex Data'!$B$3:$B951,0)),0)</f>
        <v>161</v>
      </c>
      <c r="K508" s="260" t="n">
        <f aca="false" t="array" ref="K508:K508">ROUND(INDEX('0.0.1 Pokémon Dex Data'!$S$3:$S951,MATCH($E508,'0.0.1 Pokémon Dex Data'!$B$3:$B951,0))*INDEX('0.0.1 Pokémon Dex Data'!U$3:U951,MATCH($E508,'0.0.1 Pokémon Dex Data'!$B$3:$B951,0)),0)</f>
        <v>213</v>
      </c>
      <c r="L508" s="260" t="n">
        <f aca="false" t="array" ref="L508:L508">ROUND(INDEX('0.0.1 Pokémon Dex Data'!$S$3:$S951,MATCH($E508,'0.0.1 Pokémon Dex Data'!$B$3:$B951,0))*INDEX('0.0.1 Pokémon Dex Data'!V$3:V951,MATCH($E508,'0.0.1 Pokémon Dex Data'!$B$3:$B951,0)),0)</f>
        <v>167</v>
      </c>
      <c r="M508" s="260" t="n">
        <f aca="false" t="array" ref="M508:M508">INDEX('0.0.1 Pokémon Dex Data'!$J$3:$J951,MATCH(E508,'0.0.1 Pokémon Dex Data'!$B$3:$B951,0))</f>
        <v>1</v>
      </c>
      <c r="O508" s="490"/>
      <c r="Q508" s="367" t="n">
        <f aca="false">IF('Reverse Search'!$F$4="All (including temporary formes)",1,IF('Reverse Search'!$F$4="Base Pokémon and permanent formes only",IF(F508&lt;=1,1,0),IF(F508=0,1,0)))</f>
        <v>1</v>
      </c>
      <c r="R508" s="0" t="n">
        <f aca="false">IF('Reverse Search'!$C$7="Disable",1,IF('Reverse Search'!$D$9="Disable",1,IF(OR('Reverse Search'!$F$9=H508,'Reverse Search'!$F$9=I508),1,0)))</f>
        <v>1</v>
      </c>
      <c r="S508" s="0" t="n">
        <f aca="false">IF('Reverse Search'!$C$7="Disable",1,IF('Reverse Search'!$D$10="Disable",1,IF(OR('Reverse Search'!$F$10=H508,'Reverse Search'!$F$10=I508),1,0)))</f>
        <v>1</v>
      </c>
      <c r="T508" s="0" t="n">
        <f aca="false">INDEX($B$4:$B$22,MATCH(H508,$A$4:$A$22,0))</f>
        <v>0.714</v>
      </c>
      <c r="U508" s="0" t="n">
        <f aca="false">IF(ISBLANK(I508),1,INDEX($B$4:$B$22,MATCH(I508,$A$4:$A$22,0)))</f>
        <v>1</v>
      </c>
      <c r="V508" s="367" t="n">
        <f aca="false">IF('Reverse Search'!$C$7="Disable",1,IF('Reverse Search'!$D$11="Disable",1,IF('Reverse Search'!$E$11="Neutral to:",IF(ROUND(T508*U508,2)&lt;=1,1,0),IF(ROUND(T508*U508,2)&lt;1,1,0))))</f>
        <v>1</v>
      </c>
      <c r="W508" s="0" t="n">
        <f aca="false">IF('Reverse Search'!$N$7="Disable",1,IF('Reverse Search'!$I$9="Disable",1,IF('Reverse Search'!$K$9="≥",IF(J508&gt;='Reverse Search'!$L$9,1,0),IF('Reverse Search'!$K$9="≤",IF(J508&lt;='Reverse Search'!$L$9,1,0),IF(J508='Reverse Search'!$L$9,1,0)))))</f>
        <v>1</v>
      </c>
      <c r="X508" s="0" t="n">
        <f aca="false">IF('Reverse Search'!$N$7="Disable",1,IF('Reverse Search'!$I$10="Disable",1,IF('Reverse Search'!$K$10="≥",IF(K508&gt;='Reverse Search'!$L$10,1,0),IF('Reverse Search'!$K$10="≤",IF(K508&lt;='Reverse Search'!$L$10,1,0),IF(K508='Reverse Search'!$L$10,1,0)))))</f>
        <v>1</v>
      </c>
      <c r="Y508" s="367" t="n">
        <f aca="false">IF('Reverse Search'!$N$7="Disable",1,IF('Reverse Search'!$I$11="Disable",1,IF('Reverse Search'!$K$11="≥",IF(L508&gt;='Reverse Search'!$L$11,1,0),IF('Reverse Search'!$K$11="≤",IF(L508&lt;='Reverse Search'!$L$11,1,0),IF(L508='Reverse Search'!$L$11,1,0)))))</f>
        <v>1</v>
      </c>
      <c r="Z508" s="0" t="n">
        <f aca="true">IF('Reverse Search'!$C$14="Disable",1,IF('Reverse Search'!$D$16="Disable",1,IF($C$2=3,IF($M508=0,0,COUNTIF(INDIRECT("'0.0.2 Pokémon Learnset (Core)'!$D$"&amp;MATCH($E508,'0.0.2 Pokémon Learnset (Core)'!$A$1:$A951,0)&amp;":$FK$"&amp;MATCH($E508,'0.0.2 Pokémon Learnset (Core)'!$A$1:$A951,0)),'Reverse Search'!$E$21)),IF($C$2=2,COUNTIF(INDIRECT("'0.1.1 Pokémon GO Moves'!$B$"&amp;MATCH($E508,'0.1.1 Pokémon GO Moves'!$A$1:$A951,0)&amp;":$R$"&amp;MATCH($E508,'0.1.1 Pokémon GO Moves'!$A$1:$A951,0)),'Reverse Search'!$E$21),COUNTIF(INDIRECT("'0.1.1 Pokémon GO Moves'!$B$"&amp;MATCH($E508,'0.1.1 Pokémon GO Moves'!$A$1:$A951,0)&amp;":$L$"&amp;MATCH($E508,'0.1.1 Pokémon GO Moves'!$A$1:$A951,0)),'Reverse Search'!$E$21)))))</f>
        <v>1</v>
      </c>
      <c r="AA508" s="0" t="n">
        <f aca="true">IF('Reverse Search'!$C$14="Disable",1,IF('Reverse Search'!$I$16="Disable",1,IF($D$2=3,IF($M508=0,0,COUNTIF(INDIRECT("'0.0.2 Pokémon Learnset (Core)'!$D$"&amp;MATCH($E508,'0.0.2 Pokémon Learnset (Core)'!$A$1:$A951,0)&amp;":$FK$"&amp;MATCH($E508,'0.0.2 Pokémon Learnset (Core)'!$A$1:$A951,0)),'Reverse Search'!$J$21)),IF($D$2=2,COUNTIF(INDIRECT("'0.1.1 Pokémon GO Moves'!$B$"&amp;MATCH($E508,'0.1.1 Pokémon GO Moves'!$A$1:$A951,0)&amp;":$R$"&amp;MATCH($E508,'0.1.1 Pokémon GO Moves'!$A$1:$A951,0)),'Reverse Search'!$J$21),COUNTIF(INDIRECT("'0.1.1 Pokémon GO Moves'!$B$"&amp;MATCH($E508,'0.1.1 Pokémon GO Moves'!$A$1:$A951,0)&amp;":$L$"&amp;MATCH($E508,'0.1.1 Pokémon GO Moves'!$A$1:$A951,0)),'Reverse Search'!$J$21)))))</f>
        <v>0</v>
      </c>
      <c r="AB508" s="490"/>
      <c r="AC508" s="260" t="n">
        <f aca="false">IF((Q508+R508+S508+V508+W508+X508+Y508+IF(Z508&gt;=1,1,0)+IF(AA508&gt;=1,1,0))=9,G508&amp;", ",)</f>
        <v>0</v>
      </c>
    </row>
    <row r="509" customFormat="false" ht="15.75" hidden="false" customHeight="false" outlineLevel="0" collapsed="false">
      <c r="A509" s="260"/>
      <c r="B509" s="358"/>
      <c r="C509" s="260"/>
      <c r="D509" s="358"/>
      <c r="E509" s="260" t="n">
        <v>508</v>
      </c>
      <c r="F509" s="260" t="n">
        <f aca="false" t="array" ref="F509:F509">INDEX('0.0.1 Pokémon Dex Data'!$H$3:$H951,MATCH(E509,'0.0.1 Pokémon Dex Data'!$B$3:$B951,0))</f>
        <v>0</v>
      </c>
      <c r="G509" s="0" t="str">
        <f aca="false" t="array" ref="G509:G509">INDEX('0.0.1 Pokémon Dex Data'!$E$3:$E951,MATCH(E509,'0.0.1 Pokémon Dex Data'!$B$3:$B951,0))</f>
        <v>Bonsly</v>
      </c>
      <c r="H509" s="0" t="str">
        <f aca="false" t="array" ref="H509:H509">INDEX('0.0.1 Pokémon Dex Data'!$Q$3:$Q951,MATCH(E509,'0.0.1 Pokémon Dex Data'!$B$3:$B951,0))</f>
        <v>Rock</v>
      </c>
      <c r="I509" s="0" t="n">
        <f aca="false">INDEX('0.0.1 Pokémon Dex Data'!$R$3:$R951,MATCH(E509,'0.0.1 Pokémon Dex Data'!$B$3:$B951,0))</f>
        <v>0</v>
      </c>
      <c r="J509" s="260" t="n">
        <f aca="false" t="array" ref="J509:J509">ROUND(INDEX('0.0.1 Pokémon Dex Data'!$S$3:$S951,MATCH($E509,'0.0.1 Pokémon Dex Data'!$B$3:$B951,0))*INDEX('0.0.1 Pokémon Dex Data'!T$3:T951,MATCH($E509,'0.0.1 Pokémon Dex Data'!$B$3:$B951,0)),0)</f>
        <v>124</v>
      </c>
      <c r="K509" s="260" t="n">
        <f aca="false" t="array" ref="K509:K509">ROUND(INDEX('0.0.1 Pokémon Dex Data'!$S$3:$S951,MATCH($E509,'0.0.1 Pokémon Dex Data'!$B$3:$B951,0))*INDEX('0.0.1 Pokémon Dex Data'!U$3:U951,MATCH($E509,'0.0.1 Pokémon Dex Data'!$B$3:$B951,0)),0)</f>
        <v>133</v>
      </c>
      <c r="L509" s="260" t="n">
        <f aca="false" t="array" ref="L509:L509">ROUND(INDEX('0.0.1 Pokémon Dex Data'!$S$3:$S951,MATCH($E509,'0.0.1 Pokémon Dex Data'!$B$3:$B951,0))*INDEX('0.0.1 Pokémon Dex Data'!V$3:V951,MATCH($E509,'0.0.1 Pokémon Dex Data'!$B$3:$B951,0)),0)</f>
        <v>137</v>
      </c>
      <c r="M509" s="260" t="n">
        <f aca="false" t="array" ref="M509:M509">INDEX('0.0.1 Pokémon Dex Data'!$J$3:$J951,MATCH(E509,'0.0.1 Pokémon Dex Data'!$B$3:$B951,0))</f>
        <v>0</v>
      </c>
      <c r="O509" s="490"/>
      <c r="Q509" s="367" t="n">
        <f aca="false">IF('Reverse Search'!$F$4="All (including temporary formes)",1,IF('Reverse Search'!$F$4="Base Pokémon and permanent formes only",IF(F509&lt;=1,1,0),IF(F509=0,1,0)))</f>
        <v>1</v>
      </c>
      <c r="R509" s="0" t="n">
        <f aca="false">IF('Reverse Search'!$C$7="Disable",1,IF('Reverse Search'!$D$9="Disable",1,IF(OR('Reverse Search'!$F$9=H509,'Reverse Search'!$F$9=I509),1,0)))</f>
        <v>1</v>
      </c>
      <c r="S509" s="0" t="n">
        <f aca="false">IF('Reverse Search'!$C$7="Disable",1,IF('Reverse Search'!$D$10="Disable",1,IF(OR('Reverse Search'!$F$10=H509,'Reverse Search'!$F$10=I509),1,0)))</f>
        <v>1</v>
      </c>
      <c r="T509" s="0" t="n">
        <f aca="false">INDEX($B$4:$B$22,MATCH(H509,$A$4:$A$22,0))</f>
        <v>0.714</v>
      </c>
      <c r="U509" s="0" t="e">
        <f aca="false">IF(ISBLANK(I509),1,INDEX($B$4:$B$22,MATCH(I509,$A$4:$A$22,0)))</f>
        <v>#N/A</v>
      </c>
      <c r="V509" s="367" t="n">
        <f aca="false">IF('Reverse Search'!$C$7="Disable",1,IF('Reverse Search'!$D$11="Disable",1,IF('Reverse Search'!$E$11="Neutral to:",IF(ROUND(T509*U509,2)&lt;=1,1,0),IF(ROUND(T509*U509,2)&lt;1,1,0))))</f>
        <v>1</v>
      </c>
      <c r="W509" s="0" t="n">
        <f aca="false">IF('Reverse Search'!$N$7="Disable",1,IF('Reverse Search'!$I$9="Disable",1,IF('Reverse Search'!$K$9="≥",IF(J509&gt;='Reverse Search'!$L$9,1,0),IF('Reverse Search'!$K$9="≤",IF(J509&lt;='Reverse Search'!$L$9,1,0),IF(J509='Reverse Search'!$L$9,1,0)))))</f>
        <v>1</v>
      </c>
      <c r="X509" s="0" t="n">
        <f aca="false">IF('Reverse Search'!$N$7="Disable",1,IF('Reverse Search'!$I$10="Disable",1,IF('Reverse Search'!$K$10="≥",IF(K509&gt;='Reverse Search'!$L$10,1,0),IF('Reverse Search'!$K$10="≤",IF(K509&lt;='Reverse Search'!$L$10,1,0),IF(K509='Reverse Search'!$L$10,1,0)))))</f>
        <v>1</v>
      </c>
      <c r="Y509" s="367" t="n">
        <f aca="false">IF('Reverse Search'!$N$7="Disable",1,IF('Reverse Search'!$I$11="Disable",1,IF('Reverse Search'!$K$11="≥",IF(L509&gt;='Reverse Search'!$L$11,1,0),IF('Reverse Search'!$K$11="≤",IF(L509&lt;='Reverse Search'!$L$11,1,0),IF(L509='Reverse Search'!$L$11,1,0)))))</f>
        <v>1</v>
      </c>
      <c r="Z509" s="0" t="n">
        <f aca="true">IF('Reverse Search'!$C$14="Disable",1,IF('Reverse Search'!$D$16="Disable",1,IF($C$2=3,IF($M509=0,0,COUNTIF(INDIRECT("'0.0.2 Pokémon Learnset (Core)'!$D$"&amp;MATCH($E509,'0.0.2 Pokémon Learnset (Core)'!$A$1:$A951,0)&amp;":$FK$"&amp;MATCH($E509,'0.0.2 Pokémon Learnset (Core)'!$A$1:$A951,0)),'Reverse Search'!$E$21)),IF($C$2=2,COUNTIF(INDIRECT("'0.1.1 Pokémon GO Moves'!$B$"&amp;MATCH($E509,'0.1.1 Pokémon GO Moves'!$A$1:$A951,0)&amp;":$R$"&amp;MATCH($E509,'0.1.1 Pokémon GO Moves'!$A$1:$A951,0)),'Reverse Search'!$E$21),COUNTIF(INDIRECT("'0.1.1 Pokémon GO Moves'!$B$"&amp;MATCH($E509,'0.1.1 Pokémon GO Moves'!$A$1:$A951,0)&amp;":$L$"&amp;MATCH($E509,'0.1.1 Pokémon GO Moves'!$A$1:$A951,0)),'Reverse Search'!$E$21)))))</f>
        <v>1</v>
      </c>
      <c r="AA509" s="0" t="n">
        <f aca="true">IF('Reverse Search'!$C$14="Disable",1,IF('Reverse Search'!$I$16="Disable",1,IF($D$2=3,IF($M509=0,0,COUNTIF(INDIRECT("'0.0.2 Pokémon Learnset (Core)'!$D$"&amp;MATCH($E509,'0.0.2 Pokémon Learnset (Core)'!$A$1:$A951,0)&amp;":$FK$"&amp;MATCH($E509,'0.0.2 Pokémon Learnset (Core)'!$A$1:$A951,0)),'Reverse Search'!$J$21)),IF($D$2=2,COUNTIF(INDIRECT("'0.1.1 Pokémon GO Moves'!$B$"&amp;MATCH($E509,'0.1.1 Pokémon GO Moves'!$A$1:$A951,0)&amp;":$R$"&amp;MATCH($E509,'0.1.1 Pokémon GO Moves'!$A$1:$A951,0)),'Reverse Search'!$J$21),COUNTIF(INDIRECT("'0.1.1 Pokémon GO Moves'!$B$"&amp;MATCH($E509,'0.1.1 Pokémon GO Moves'!$A$1:$A951,0)&amp;":$L$"&amp;MATCH($E509,'0.1.1 Pokémon GO Moves'!$A$1:$A951,0)),'Reverse Search'!$J$21)))))</f>
        <v>0</v>
      </c>
      <c r="AB509" s="490"/>
      <c r="AC509" s="260" t="n">
        <f aca="false">IF((Q509+R509+S509+V509+W509+X509+Y509+IF(Z509&gt;=1,1,0)+IF(AA509&gt;=1,1,0))=9,G509&amp;", ",)</f>
        <v>0</v>
      </c>
    </row>
    <row r="510" customFormat="false" ht="15.75" hidden="false" customHeight="false" outlineLevel="0" collapsed="false">
      <c r="A510" s="260"/>
      <c r="B510" s="358"/>
      <c r="C510" s="260"/>
      <c r="D510" s="358"/>
      <c r="E510" s="260" t="n">
        <v>509</v>
      </c>
      <c r="F510" s="260" t="n">
        <f aca="false" t="array" ref="F510:F510">INDEX('0.0.1 Pokémon Dex Data'!$H$3:$H951,MATCH(E510,'0.0.1 Pokémon Dex Data'!$B$3:$B951,0))</f>
        <v>0</v>
      </c>
      <c r="G510" s="0" t="str">
        <f aca="false" t="array" ref="G510:G510">INDEX('0.0.1 Pokémon Dex Data'!$E$3:$E951,MATCH(E510,'0.0.1 Pokémon Dex Data'!$B$3:$B951,0))</f>
        <v>Mime Jr.</v>
      </c>
      <c r="H510" s="0" t="str">
        <f aca="false" t="array" ref="H510:H510">INDEX('0.0.1 Pokémon Dex Data'!$Q$3:$Q951,MATCH(E510,'0.0.1 Pokémon Dex Data'!$B$3:$B951,0))</f>
        <v>Psychic</v>
      </c>
      <c r="I510" s="0" t="str">
        <f aca="false" t="array" ref="I510:I510">INDEX('0.0.1 Pokémon Dex Data'!$R$3:$R951,MATCH(E510,'0.0.1 Pokémon Dex Data'!$B$3:$B951,0))</f>
        <v>Fairy</v>
      </c>
      <c r="J510" s="260" t="n">
        <f aca="false" t="array" ref="J510:J510">ROUND(INDEX('0.0.1 Pokémon Dex Data'!$S$3:$S951,MATCH($E510,'0.0.1 Pokémon Dex Data'!$B$3:$B951,0))*INDEX('0.0.1 Pokémon Dex Data'!T$3:T951,MATCH($E510,'0.0.1 Pokémon Dex Data'!$B$3:$B951,0)),0)</f>
        <v>125</v>
      </c>
      <c r="K510" s="260" t="n">
        <f aca="false" t="array" ref="K510:K510">ROUND(INDEX('0.0.1 Pokémon Dex Data'!$S$3:$S951,MATCH($E510,'0.0.1 Pokémon Dex Data'!$B$3:$B951,0))*INDEX('0.0.1 Pokémon Dex Data'!U$3:U951,MATCH($E510,'0.0.1 Pokémon Dex Data'!$B$3:$B951,0)),0)</f>
        <v>142</v>
      </c>
      <c r="L510" s="260" t="n">
        <f aca="false" t="array" ref="L510:L510">ROUND(INDEX('0.0.1 Pokémon Dex Data'!$S$3:$S951,MATCH($E510,'0.0.1 Pokémon Dex Data'!$B$3:$B951,0))*INDEX('0.0.1 Pokémon Dex Data'!V$3:V951,MATCH($E510,'0.0.1 Pokémon Dex Data'!$B$3:$B951,0)),0)</f>
        <v>85</v>
      </c>
      <c r="M510" s="260" t="n">
        <f aca="false" t="array" ref="M510:M510">INDEX('0.0.1 Pokémon Dex Data'!$J$3:$J951,MATCH(E510,'0.0.1 Pokémon Dex Data'!$B$3:$B951,0))</f>
        <v>0</v>
      </c>
      <c r="O510" s="490"/>
      <c r="Q510" s="367" t="n">
        <f aca="false">IF('Reverse Search'!$F$4="All (including temporary formes)",1,IF('Reverse Search'!$F$4="Base Pokémon and permanent formes only",IF(F510&lt;=1,1,0),IF(F510=0,1,0)))</f>
        <v>1</v>
      </c>
      <c r="R510" s="0" t="n">
        <f aca="false">IF('Reverse Search'!$C$7="Disable",1,IF('Reverse Search'!$D$9="Disable",1,IF(OR('Reverse Search'!$F$9=H510,'Reverse Search'!$F$9=I510),1,0)))</f>
        <v>1</v>
      </c>
      <c r="S510" s="0" t="n">
        <f aca="false">IF('Reverse Search'!$C$7="Disable",1,IF('Reverse Search'!$D$10="Disable",1,IF(OR('Reverse Search'!$F$10=H510,'Reverse Search'!$F$10=I510),1,0)))</f>
        <v>1</v>
      </c>
      <c r="T510" s="0" t="n">
        <f aca="false">INDEX($B$4:$B$22,MATCH(H510,$A$4:$A$22,0))</f>
        <v>1</v>
      </c>
      <c r="U510" s="0" t="n">
        <f aca="false">IF(ISBLANK(I510),1,INDEX($B$4:$B$22,MATCH(I510,$A$4:$A$22,0)))</f>
        <v>1</v>
      </c>
      <c r="V510" s="367" t="n">
        <f aca="false">IF('Reverse Search'!$C$7="Disable",1,IF('Reverse Search'!$D$11="Disable",1,IF('Reverse Search'!$E$11="Neutral to:",IF(ROUND(T510*U510,2)&lt;=1,1,0),IF(ROUND(T510*U510,2)&lt;1,1,0))))</f>
        <v>1</v>
      </c>
      <c r="W510" s="0" t="n">
        <f aca="false">IF('Reverse Search'!$N$7="Disable",1,IF('Reverse Search'!$I$9="Disable",1,IF('Reverse Search'!$K$9="≥",IF(J510&gt;='Reverse Search'!$L$9,1,0),IF('Reverse Search'!$K$9="≤",IF(J510&lt;='Reverse Search'!$L$9,1,0),IF(J510='Reverse Search'!$L$9,1,0)))))</f>
        <v>1</v>
      </c>
      <c r="X510" s="0" t="n">
        <f aca="false">IF('Reverse Search'!$N$7="Disable",1,IF('Reverse Search'!$I$10="Disable",1,IF('Reverse Search'!$K$10="≥",IF(K510&gt;='Reverse Search'!$L$10,1,0),IF('Reverse Search'!$K$10="≤",IF(K510&lt;='Reverse Search'!$L$10,1,0),IF(K510='Reverse Search'!$L$10,1,0)))))</f>
        <v>1</v>
      </c>
      <c r="Y510" s="367" t="n">
        <f aca="false">IF('Reverse Search'!$N$7="Disable",1,IF('Reverse Search'!$I$11="Disable",1,IF('Reverse Search'!$K$11="≥",IF(L510&gt;='Reverse Search'!$L$11,1,0),IF('Reverse Search'!$K$11="≤",IF(L510&lt;='Reverse Search'!$L$11,1,0),IF(L510='Reverse Search'!$L$11,1,0)))))</f>
        <v>1</v>
      </c>
      <c r="Z510" s="0" t="n">
        <f aca="true">IF('Reverse Search'!$C$14="Disable",1,IF('Reverse Search'!$D$16="Disable",1,IF($C$2=3,IF($M510=0,0,COUNTIF(INDIRECT("'0.0.2 Pokémon Learnset (Core)'!$D$"&amp;MATCH($E510,'0.0.2 Pokémon Learnset (Core)'!$A$1:$A951,0)&amp;":$FK$"&amp;MATCH($E510,'0.0.2 Pokémon Learnset (Core)'!$A$1:$A951,0)),'Reverse Search'!$E$21)),IF($C$2=2,COUNTIF(INDIRECT("'0.1.1 Pokémon GO Moves'!$B$"&amp;MATCH($E510,'0.1.1 Pokémon GO Moves'!$A$1:$A951,0)&amp;":$R$"&amp;MATCH($E510,'0.1.1 Pokémon GO Moves'!$A$1:$A951,0)),'Reverse Search'!$E$21),COUNTIF(INDIRECT("'0.1.1 Pokémon GO Moves'!$B$"&amp;MATCH($E510,'0.1.1 Pokémon GO Moves'!$A$1:$A951,0)&amp;":$L$"&amp;MATCH($E510,'0.1.1 Pokémon GO Moves'!$A$1:$A951,0)),'Reverse Search'!$E$21)))))</f>
        <v>1</v>
      </c>
      <c r="AA510" s="0" t="n">
        <f aca="true">IF('Reverse Search'!$C$14="Disable",1,IF('Reverse Search'!$I$16="Disable",1,IF($D$2=3,IF($M510=0,0,COUNTIF(INDIRECT("'0.0.2 Pokémon Learnset (Core)'!$D$"&amp;MATCH($E510,'0.0.2 Pokémon Learnset (Core)'!$A$1:$A951,0)&amp;":$FK$"&amp;MATCH($E510,'0.0.2 Pokémon Learnset (Core)'!$A$1:$A951,0)),'Reverse Search'!$J$21)),IF($D$2=2,COUNTIF(INDIRECT("'0.1.1 Pokémon GO Moves'!$B$"&amp;MATCH($E510,'0.1.1 Pokémon GO Moves'!$A$1:$A951,0)&amp;":$R$"&amp;MATCH($E510,'0.1.1 Pokémon GO Moves'!$A$1:$A951,0)),'Reverse Search'!$J$21),COUNTIF(INDIRECT("'0.1.1 Pokémon GO Moves'!$B$"&amp;MATCH($E510,'0.1.1 Pokémon GO Moves'!$A$1:$A951,0)&amp;":$L$"&amp;MATCH($E510,'0.1.1 Pokémon GO Moves'!$A$1:$A951,0)),'Reverse Search'!$J$21)))))</f>
        <v>0</v>
      </c>
      <c r="AB510" s="490"/>
      <c r="AC510" s="260" t="n">
        <f aca="false">IF((Q510+R510+S510+V510+W510+X510+Y510+IF(Z510&gt;=1,1,0)+IF(AA510&gt;=1,1,0))=9,G510&amp;", ",)</f>
        <v>0</v>
      </c>
    </row>
    <row r="511" customFormat="false" ht="15.75" hidden="false" customHeight="false" outlineLevel="0" collapsed="false">
      <c r="A511" s="260"/>
      <c r="B511" s="358"/>
      <c r="C511" s="260"/>
      <c r="D511" s="358"/>
      <c r="E511" s="260" t="n">
        <v>510</v>
      </c>
      <c r="F511" s="260" t="n">
        <f aca="false" t="array" ref="F511:F511">INDEX('0.0.1 Pokémon Dex Data'!$H$3:$H951,MATCH(E511,'0.0.1 Pokémon Dex Data'!$B$3:$B951,0))</f>
        <v>0</v>
      </c>
      <c r="G511" s="0" t="str">
        <f aca="false" t="array" ref="G511:G511">INDEX('0.0.1 Pokémon Dex Data'!$E$3:$E951,MATCH(E511,'0.0.1 Pokémon Dex Data'!$B$3:$B951,0))</f>
        <v>Happiny</v>
      </c>
      <c r="H511" s="0" t="str">
        <f aca="false" t="array" ref="H511:H511">INDEX('0.0.1 Pokémon Dex Data'!$Q$3:$Q951,MATCH(E511,'0.0.1 Pokémon Dex Data'!$B$3:$B951,0))</f>
        <v>Normal</v>
      </c>
      <c r="I511" s="0" t="n">
        <f aca="false">INDEX('0.0.1 Pokémon Dex Data'!$R$3:$R951,MATCH(E511,'0.0.1 Pokémon Dex Data'!$B$3:$B951,0))</f>
        <v>0</v>
      </c>
      <c r="J511" s="260" t="n">
        <f aca="false" t="array" ref="J511:J511">ROUND(INDEX('0.0.1 Pokémon Dex Data'!$S$3:$S951,MATCH($E511,'0.0.1 Pokémon Dex Data'!$B$3:$B951,0))*INDEX('0.0.1 Pokémon Dex Data'!T$3:T951,MATCH($E511,'0.0.1 Pokémon Dex Data'!$B$3:$B951,0)),0)</f>
        <v>25</v>
      </c>
      <c r="K511" s="260" t="n">
        <f aca="false" t="array" ref="K511:K511">ROUND(INDEX('0.0.1 Pokémon Dex Data'!$S$3:$S951,MATCH($E511,'0.0.1 Pokémon Dex Data'!$B$3:$B951,0))*INDEX('0.0.1 Pokémon Dex Data'!U$3:U951,MATCH($E511,'0.0.1 Pokémon Dex Data'!$B$3:$B951,0)),0)</f>
        <v>77</v>
      </c>
      <c r="L511" s="260" t="n">
        <f aca="false" t="array" ref="L511:L511">ROUND(INDEX('0.0.1 Pokémon Dex Data'!$S$3:$S951,MATCH($E511,'0.0.1 Pokémon Dex Data'!$B$3:$B951,0))*INDEX('0.0.1 Pokémon Dex Data'!V$3:V951,MATCH($E511,'0.0.1 Pokémon Dex Data'!$B$3:$B951,0)),0)</f>
        <v>225</v>
      </c>
      <c r="M511" s="260" t="n">
        <f aca="false" t="array" ref="M511:M511">INDEX('0.0.1 Pokémon Dex Data'!$J$3:$J951,MATCH(E511,'0.0.1 Pokémon Dex Data'!$B$3:$B951,0))</f>
        <v>0</v>
      </c>
      <c r="O511" s="490"/>
      <c r="Q511" s="367" t="n">
        <f aca="false">IF('Reverse Search'!$F$4="All (including temporary formes)",1,IF('Reverse Search'!$F$4="Base Pokémon and permanent formes only",IF(F511&lt;=1,1,0),IF(F511=0,1,0)))</f>
        <v>1</v>
      </c>
      <c r="R511" s="0" t="n">
        <f aca="false">IF('Reverse Search'!$C$7="Disable",1,IF('Reverse Search'!$D$9="Disable",1,IF(OR('Reverse Search'!$F$9=H511,'Reverse Search'!$F$9=I511),1,0)))</f>
        <v>1</v>
      </c>
      <c r="S511" s="0" t="n">
        <f aca="false">IF('Reverse Search'!$C$7="Disable",1,IF('Reverse Search'!$D$10="Disable",1,IF(OR('Reverse Search'!$F$10=H511,'Reverse Search'!$F$10=I511),1,0)))</f>
        <v>1</v>
      </c>
      <c r="T511" s="0" t="n">
        <f aca="false">INDEX($B$4:$B$22,MATCH(H511,$A$4:$A$22,0))</f>
        <v>1</v>
      </c>
      <c r="U511" s="0" t="e">
        <f aca="false">IF(ISBLANK(I511),1,INDEX($B$4:$B$22,MATCH(I511,$A$4:$A$22,0)))</f>
        <v>#N/A</v>
      </c>
      <c r="V511" s="367" t="n">
        <f aca="false">IF('Reverse Search'!$C$7="Disable",1,IF('Reverse Search'!$D$11="Disable",1,IF('Reverse Search'!$E$11="Neutral to:",IF(ROUND(T511*U511,2)&lt;=1,1,0),IF(ROUND(T511*U511,2)&lt;1,1,0))))</f>
        <v>1</v>
      </c>
      <c r="W511" s="0" t="n">
        <f aca="false">IF('Reverse Search'!$N$7="Disable",1,IF('Reverse Search'!$I$9="Disable",1,IF('Reverse Search'!$K$9="≥",IF(J511&gt;='Reverse Search'!$L$9,1,0),IF('Reverse Search'!$K$9="≤",IF(J511&lt;='Reverse Search'!$L$9,1,0),IF(J511='Reverse Search'!$L$9,1,0)))))</f>
        <v>1</v>
      </c>
      <c r="X511" s="0" t="n">
        <f aca="false">IF('Reverse Search'!$N$7="Disable",1,IF('Reverse Search'!$I$10="Disable",1,IF('Reverse Search'!$K$10="≥",IF(K511&gt;='Reverse Search'!$L$10,1,0),IF('Reverse Search'!$K$10="≤",IF(K511&lt;='Reverse Search'!$L$10,1,0),IF(K511='Reverse Search'!$L$10,1,0)))))</f>
        <v>1</v>
      </c>
      <c r="Y511" s="367" t="n">
        <f aca="false">IF('Reverse Search'!$N$7="Disable",1,IF('Reverse Search'!$I$11="Disable",1,IF('Reverse Search'!$K$11="≥",IF(L511&gt;='Reverse Search'!$L$11,1,0),IF('Reverse Search'!$K$11="≤",IF(L511&lt;='Reverse Search'!$L$11,1,0),IF(L511='Reverse Search'!$L$11,1,0)))))</f>
        <v>1</v>
      </c>
      <c r="Z511" s="0" t="n">
        <f aca="true">IF('Reverse Search'!$C$14="Disable",1,IF('Reverse Search'!$D$16="Disable",1,IF($C$2=3,IF($M511=0,0,COUNTIF(INDIRECT("'0.0.2 Pokémon Learnset (Core)'!$D$"&amp;MATCH($E511,'0.0.2 Pokémon Learnset (Core)'!$A$1:$A951,0)&amp;":$FK$"&amp;MATCH($E511,'0.0.2 Pokémon Learnset (Core)'!$A$1:$A951,0)),'Reverse Search'!$E$21)),IF($C$2=2,COUNTIF(INDIRECT("'0.1.1 Pokémon GO Moves'!$B$"&amp;MATCH($E511,'0.1.1 Pokémon GO Moves'!$A$1:$A951,0)&amp;":$R$"&amp;MATCH($E511,'0.1.1 Pokémon GO Moves'!$A$1:$A951,0)),'Reverse Search'!$E$21),COUNTIF(INDIRECT("'0.1.1 Pokémon GO Moves'!$B$"&amp;MATCH($E511,'0.1.1 Pokémon GO Moves'!$A$1:$A951,0)&amp;":$L$"&amp;MATCH($E511,'0.1.1 Pokémon GO Moves'!$A$1:$A951,0)),'Reverse Search'!$E$21)))))</f>
        <v>1</v>
      </c>
      <c r="AA511" s="0" t="n">
        <f aca="true">IF('Reverse Search'!$C$14="Disable",1,IF('Reverse Search'!$I$16="Disable",1,IF($D$2=3,IF($M511=0,0,COUNTIF(INDIRECT("'0.0.2 Pokémon Learnset (Core)'!$D$"&amp;MATCH($E511,'0.0.2 Pokémon Learnset (Core)'!$A$1:$A951,0)&amp;":$FK$"&amp;MATCH($E511,'0.0.2 Pokémon Learnset (Core)'!$A$1:$A951,0)),'Reverse Search'!$J$21)),IF($D$2=2,COUNTIF(INDIRECT("'0.1.1 Pokémon GO Moves'!$B$"&amp;MATCH($E511,'0.1.1 Pokémon GO Moves'!$A$1:$A951,0)&amp;":$R$"&amp;MATCH($E511,'0.1.1 Pokémon GO Moves'!$A$1:$A951,0)),'Reverse Search'!$J$21),COUNTIF(INDIRECT("'0.1.1 Pokémon GO Moves'!$B$"&amp;MATCH($E511,'0.1.1 Pokémon GO Moves'!$A$1:$A951,0)&amp;":$L$"&amp;MATCH($E511,'0.1.1 Pokémon GO Moves'!$A$1:$A951,0)),'Reverse Search'!$J$21)))))</f>
        <v>0</v>
      </c>
      <c r="AB511" s="490"/>
      <c r="AC511" s="260" t="n">
        <f aca="false">IF((Q511+R511+S511+V511+W511+X511+Y511+IF(Z511&gt;=1,1,0)+IF(AA511&gt;=1,1,0))=9,G511&amp;", ",)</f>
        <v>0</v>
      </c>
    </row>
    <row r="512" customFormat="false" ht="15.75" hidden="false" customHeight="false" outlineLevel="0" collapsed="false">
      <c r="A512" s="260"/>
      <c r="B512" s="358"/>
      <c r="C512" s="260"/>
      <c r="D512" s="358"/>
      <c r="E512" s="260" t="n">
        <v>511</v>
      </c>
      <c r="F512" s="260" t="n">
        <f aca="false" t="array" ref="F512:F512">INDEX('0.0.1 Pokémon Dex Data'!$H$3:$H951,MATCH(E512,'0.0.1 Pokémon Dex Data'!$B$3:$B951,0))</f>
        <v>0</v>
      </c>
      <c r="G512" s="0" t="str">
        <f aca="false" t="array" ref="G512:G512">INDEX('0.0.1 Pokémon Dex Data'!$E$3:$E951,MATCH(E512,'0.0.1 Pokémon Dex Data'!$B$3:$B951,0))</f>
        <v>Chatot</v>
      </c>
      <c r="H512" s="0" t="str">
        <f aca="false" t="array" ref="H512:H512">INDEX('0.0.1 Pokémon Dex Data'!$Q$3:$Q951,MATCH(E512,'0.0.1 Pokémon Dex Data'!$B$3:$B951,0))</f>
        <v>Normal</v>
      </c>
      <c r="I512" s="0" t="str">
        <f aca="false" t="array" ref="I512:I512">INDEX('0.0.1 Pokémon Dex Data'!$R$3:$R951,MATCH(E512,'0.0.1 Pokémon Dex Data'!$B$3:$B951,0))</f>
        <v>Flying</v>
      </c>
      <c r="J512" s="260" t="n">
        <f aca="false" t="array" ref="J512:J512">ROUND(INDEX('0.0.1 Pokémon Dex Data'!$S$3:$S951,MATCH($E512,'0.0.1 Pokémon Dex Data'!$B$3:$B951,0))*INDEX('0.0.1 Pokémon Dex Data'!T$3:T951,MATCH($E512,'0.0.1 Pokémon Dex Data'!$B$3:$B951,0)),0)</f>
        <v>183</v>
      </c>
      <c r="K512" s="260" t="n">
        <f aca="false" t="array" ref="K512:K512">ROUND(INDEX('0.0.1 Pokémon Dex Data'!$S$3:$S951,MATCH($E512,'0.0.1 Pokémon Dex Data'!$B$3:$B951,0))*INDEX('0.0.1 Pokémon Dex Data'!U$3:U951,MATCH($E512,'0.0.1 Pokémon Dex Data'!$B$3:$B951,0)),0)</f>
        <v>91</v>
      </c>
      <c r="L512" s="260" t="n">
        <f aca="false" t="array" ref="L512:L512">ROUND(INDEX('0.0.1 Pokémon Dex Data'!$S$3:$S951,MATCH($E512,'0.0.1 Pokémon Dex Data'!$B$3:$B951,0))*INDEX('0.0.1 Pokémon Dex Data'!V$3:V951,MATCH($E512,'0.0.1 Pokémon Dex Data'!$B$3:$B951,0)),0)</f>
        <v>183</v>
      </c>
      <c r="M512" s="260" t="n">
        <f aca="false" t="array" ref="M512:M512">INDEX('0.0.1 Pokémon Dex Data'!$J$3:$J951,MATCH(E512,'0.0.1 Pokémon Dex Data'!$B$3:$B951,0))</f>
        <v>1</v>
      </c>
      <c r="O512" s="490"/>
      <c r="Q512" s="367" t="n">
        <f aca="false">IF('Reverse Search'!$F$4="All (including temporary formes)",1,IF('Reverse Search'!$F$4="Base Pokémon and permanent formes only",IF(F512&lt;=1,1,0),IF(F512=0,1,0)))</f>
        <v>1</v>
      </c>
      <c r="R512" s="0" t="n">
        <f aca="false">IF('Reverse Search'!$C$7="Disable",1,IF('Reverse Search'!$D$9="Disable",1,IF(OR('Reverse Search'!$F$9=H512,'Reverse Search'!$F$9=I512),1,0)))</f>
        <v>1</v>
      </c>
      <c r="S512" s="0" t="n">
        <f aca="false">IF('Reverse Search'!$C$7="Disable",1,IF('Reverse Search'!$D$10="Disable",1,IF(OR('Reverse Search'!$F$10=H512,'Reverse Search'!$F$10=I512),1,0)))</f>
        <v>1</v>
      </c>
      <c r="T512" s="0" t="n">
        <f aca="false">INDEX($B$4:$B$22,MATCH(H512,$A$4:$A$22,0))</f>
        <v>1</v>
      </c>
      <c r="U512" s="0" t="n">
        <f aca="false">IF(ISBLANK(I512),1,INDEX($B$4:$B$22,MATCH(I512,$A$4:$A$22,0)))</f>
        <v>1</v>
      </c>
      <c r="V512" s="367" t="n">
        <f aca="false">IF('Reverse Search'!$C$7="Disable",1,IF('Reverse Search'!$D$11="Disable",1,IF('Reverse Search'!$E$11="Neutral to:",IF(ROUND(T512*U512,2)&lt;=1,1,0),IF(ROUND(T512*U512,2)&lt;1,1,0))))</f>
        <v>1</v>
      </c>
      <c r="W512" s="0" t="n">
        <f aca="false">IF('Reverse Search'!$N$7="Disable",1,IF('Reverse Search'!$I$9="Disable",1,IF('Reverse Search'!$K$9="≥",IF(J512&gt;='Reverse Search'!$L$9,1,0),IF('Reverse Search'!$K$9="≤",IF(J512&lt;='Reverse Search'!$L$9,1,0),IF(J512='Reverse Search'!$L$9,1,0)))))</f>
        <v>1</v>
      </c>
      <c r="X512" s="0" t="n">
        <f aca="false">IF('Reverse Search'!$N$7="Disable",1,IF('Reverse Search'!$I$10="Disable",1,IF('Reverse Search'!$K$10="≥",IF(K512&gt;='Reverse Search'!$L$10,1,0),IF('Reverse Search'!$K$10="≤",IF(K512&lt;='Reverse Search'!$L$10,1,0),IF(K512='Reverse Search'!$L$10,1,0)))))</f>
        <v>1</v>
      </c>
      <c r="Y512" s="367" t="n">
        <f aca="false">IF('Reverse Search'!$N$7="Disable",1,IF('Reverse Search'!$I$11="Disable",1,IF('Reverse Search'!$K$11="≥",IF(L512&gt;='Reverse Search'!$L$11,1,0),IF('Reverse Search'!$K$11="≤",IF(L512&lt;='Reverse Search'!$L$11,1,0),IF(L512='Reverse Search'!$L$11,1,0)))))</f>
        <v>1</v>
      </c>
      <c r="Z512" s="0" t="n">
        <f aca="true">IF('Reverse Search'!$C$14="Disable",1,IF('Reverse Search'!$D$16="Disable",1,IF($C$2=3,IF($M512=0,0,COUNTIF(INDIRECT("'0.0.2 Pokémon Learnset (Core)'!$D$"&amp;MATCH($E512,'0.0.2 Pokémon Learnset (Core)'!$A$1:$A951,0)&amp;":$FK$"&amp;MATCH($E512,'0.0.2 Pokémon Learnset (Core)'!$A$1:$A951,0)),'Reverse Search'!$E$21)),IF($C$2=2,COUNTIF(INDIRECT("'0.1.1 Pokémon GO Moves'!$B$"&amp;MATCH($E512,'0.1.1 Pokémon GO Moves'!$A$1:$A951,0)&amp;":$R$"&amp;MATCH($E512,'0.1.1 Pokémon GO Moves'!$A$1:$A951,0)),'Reverse Search'!$E$21),COUNTIF(INDIRECT("'0.1.1 Pokémon GO Moves'!$B$"&amp;MATCH($E512,'0.1.1 Pokémon GO Moves'!$A$1:$A951,0)&amp;":$L$"&amp;MATCH($E512,'0.1.1 Pokémon GO Moves'!$A$1:$A951,0)),'Reverse Search'!$E$21)))))</f>
        <v>1</v>
      </c>
      <c r="AA512" s="0" t="n">
        <f aca="true">IF('Reverse Search'!$C$14="Disable",1,IF('Reverse Search'!$I$16="Disable",1,IF($D$2=3,IF($M512=0,0,COUNTIF(INDIRECT("'0.0.2 Pokémon Learnset (Core)'!$D$"&amp;MATCH($E512,'0.0.2 Pokémon Learnset (Core)'!$A$1:$A951,0)&amp;":$FK$"&amp;MATCH($E512,'0.0.2 Pokémon Learnset (Core)'!$A$1:$A951,0)),'Reverse Search'!$J$21)),IF($D$2=2,COUNTIF(INDIRECT("'0.1.1 Pokémon GO Moves'!$B$"&amp;MATCH($E512,'0.1.1 Pokémon GO Moves'!$A$1:$A951,0)&amp;":$R$"&amp;MATCH($E512,'0.1.1 Pokémon GO Moves'!$A$1:$A951,0)),'Reverse Search'!$J$21),COUNTIF(INDIRECT("'0.1.1 Pokémon GO Moves'!$B$"&amp;MATCH($E512,'0.1.1 Pokémon GO Moves'!$A$1:$A951,0)&amp;":$L$"&amp;MATCH($E512,'0.1.1 Pokémon GO Moves'!$A$1:$A951,0)),'Reverse Search'!$J$21)))))</f>
        <v>0</v>
      </c>
      <c r="AB512" s="490"/>
      <c r="AC512" s="260" t="n">
        <f aca="false">IF((Q512+R512+S512+V512+W512+X512+Y512+IF(Z512&gt;=1,1,0)+IF(AA512&gt;=1,1,0))=9,G512&amp;", ",)</f>
        <v>0</v>
      </c>
    </row>
    <row r="513" customFormat="false" ht="15.75" hidden="false" customHeight="false" outlineLevel="0" collapsed="false">
      <c r="A513" s="260"/>
      <c r="B513" s="358"/>
      <c r="C513" s="260"/>
      <c r="D513" s="358"/>
      <c r="E513" s="260" t="n">
        <v>512</v>
      </c>
      <c r="F513" s="260" t="n">
        <f aca="false" t="array" ref="F513:F513">INDEX('0.0.1 Pokémon Dex Data'!$H$3:$H951,MATCH(E513,'0.0.1 Pokémon Dex Data'!$B$3:$B951,0))</f>
        <v>0</v>
      </c>
      <c r="G513" s="0" t="str">
        <f aca="false" t="array" ref="G513:G513">INDEX('0.0.1 Pokémon Dex Data'!$E$3:$E951,MATCH(E513,'0.0.1 Pokémon Dex Data'!$B$3:$B951,0))</f>
        <v>Spiritomb</v>
      </c>
      <c r="H513" s="0" t="str">
        <f aca="false" t="array" ref="H513:H513">INDEX('0.0.1 Pokémon Dex Data'!$Q$3:$Q951,MATCH(E513,'0.0.1 Pokémon Dex Data'!$B$3:$B951,0))</f>
        <v>Ghost</v>
      </c>
      <c r="I513" s="0" t="str">
        <f aca="false" t="array" ref="I513:I513">INDEX('0.0.1 Pokémon Dex Data'!$R$3:$R951,MATCH(E513,'0.0.1 Pokémon Dex Data'!$B$3:$B951,0))</f>
        <v>Dark</v>
      </c>
      <c r="J513" s="260" t="n">
        <f aca="false" t="array" ref="J513:J513">ROUND(INDEX('0.0.1 Pokémon Dex Data'!$S$3:$S951,MATCH($E513,'0.0.1 Pokémon Dex Data'!$B$3:$B951,0))*INDEX('0.0.1 Pokémon Dex Data'!T$3:T951,MATCH($E513,'0.0.1 Pokémon Dex Data'!$B$3:$B951,0)),0)</f>
        <v>169</v>
      </c>
      <c r="K513" s="260" t="n">
        <f aca="false" t="array" ref="K513:K513">ROUND(INDEX('0.0.1 Pokémon Dex Data'!$S$3:$S951,MATCH($E513,'0.0.1 Pokémon Dex Data'!$B$3:$B951,0))*INDEX('0.0.1 Pokémon Dex Data'!U$3:U951,MATCH($E513,'0.0.1 Pokémon Dex Data'!$B$3:$B951,0)),0)</f>
        <v>199</v>
      </c>
      <c r="L513" s="260" t="n">
        <f aca="false" t="array" ref="L513:L513">ROUND(INDEX('0.0.1 Pokémon Dex Data'!$S$3:$S951,MATCH($E513,'0.0.1 Pokémon Dex Data'!$B$3:$B951,0))*INDEX('0.0.1 Pokémon Dex Data'!V$3:V951,MATCH($E513,'0.0.1 Pokémon Dex Data'!$B$3:$B951,0)),0)</f>
        <v>137</v>
      </c>
      <c r="M513" s="260" t="n">
        <f aca="false" t="array" ref="M513:M513">INDEX('0.0.1 Pokémon Dex Data'!$J$3:$J951,MATCH(E513,'0.0.1 Pokémon Dex Data'!$B$3:$B951,0))</f>
        <v>1</v>
      </c>
      <c r="O513" s="490"/>
      <c r="Q513" s="367" t="n">
        <f aca="false">IF('Reverse Search'!$F$4="All (including temporary formes)",1,IF('Reverse Search'!$F$4="Base Pokémon and permanent formes only",IF(F513&lt;=1,1,0),IF(F513=0,1,0)))</f>
        <v>1</v>
      </c>
      <c r="R513" s="0" t="n">
        <f aca="false">IF('Reverse Search'!$C$7="Disable",1,IF('Reverse Search'!$D$9="Disable",1,IF(OR('Reverse Search'!$F$9=H513,'Reverse Search'!$F$9=I513),1,0)))</f>
        <v>1</v>
      </c>
      <c r="S513" s="0" t="n">
        <f aca="false">IF('Reverse Search'!$C$7="Disable",1,IF('Reverse Search'!$D$10="Disable",1,IF(OR('Reverse Search'!$F$10=H513,'Reverse Search'!$F$10=I513),1,0)))</f>
        <v>1</v>
      </c>
      <c r="T513" s="0" t="n">
        <f aca="false">INDEX($B$4:$B$22,MATCH(H513,$A$4:$A$22,0))</f>
        <v>0.51</v>
      </c>
      <c r="U513" s="0" t="n">
        <f aca="false">IF(ISBLANK(I513),1,INDEX($B$4:$B$22,MATCH(I513,$A$4:$A$22,0)))</f>
        <v>1</v>
      </c>
      <c r="V513" s="367" t="n">
        <f aca="false">IF('Reverse Search'!$C$7="Disable",1,IF('Reverse Search'!$D$11="Disable",1,IF('Reverse Search'!$E$11="Neutral to:",IF(ROUND(T513*U513,2)&lt;=1,1,0),IF(ROUND(T513*U513,2)&lt;1,1,0))))</f>
        <v>1</v>
      </c>
      <c r="W513" s="0" t="n">
        <f aca="false">IF('Reverse Search'!$N$7="Disable",1,IF('Reverse Search'!$I$9="Disable",1,IF('Reverse Search'!$K$9="≥",IF(J513&gt;='Reverse Search'!$L$9,1,0),IF('Reverse Search'!$K$9="≤",IF(J513&lt;='Reverse Search'!$L$9,1,0),IF(J513='Reverse Search'!$L$9,1,0)))))</f>
        <v>1</v>
      </c>
      <c r="X513" s="0" t="n">
        <f aca="false">IF('Reverse Search'!$N$7="Disable",1,IF('Reverse Search'!$I$10="Disable",1,IF('Reverse Search'!$K$10="≥",IF(K513&gt;='Reverse Search'!$L$10,1,0),IF('Reverse Search'!$K$10="≤",IF(K513&lt;='Reverse Search'!$L$10,1,0),IF(K513='Reverse Search'!$L$10,1,0)))))</f>
        <v>1</v>
      </c>
      <c r="Y513" s="367" t="n">
        <f aca="false">IF('Reverse Search'!$N$7="Disable",1,IF('Reverse Search'!$I$11="Disable",1,IF('Reverse Search'!$K$11="≥",IF(L513&gt;='Reverse Search'!$L$11,1,0),IF('Reverse Search'!$K$11="≤",IF(L513&lt;='Reverse Search'!$L$11,1,0),IF(L513='Reverse Search'!$L$11,1,0)))))</f>
        <v>1</v>
      </c>
      <c r="Z513" s="0" t="n">
        <f aca="true">IF('Reverse Search'!$C$14="Disable",1,IF('Reverse Search'!$D$16="Disable",1,IF($C$2=3,IF($M513=0,0,COUNTIF(INDIRECT("'0.0.2 Pokémon Learnset (Core)'!$D$"&amp;MATCH($E513,'0.0.2 Pokémon Learnset (Core)'!$A$1:$A951,0)&amp;":$FK$"&amp;MATCH($E513,'0.0.2 Pokémon Learnset (Core)'!$A$1:$A951,0)),'Reverse Search'!$E$21)),IF($C$2=2,COUNTIF(INDIRECT("'0.1.1 Pokémon GO Moves'!$B$"&amp;MATCH($E513,'0.1.1 Pokémon GO Moves'!$A$1:$A951,0)&amp;":$R$"&amp;MATCH($E513,'0.1.1 Pokémon GO Moves'!$A$1:$A951,0)),'Reverse Search'!$E$21),COUNTIF(INDIRECT("'0.1.1 Pokémon GO Moves'!$B$"&amp;MATCH($E513,'0.1.1 Pokémon GO Moves'!$A$1:$A951,0)&amp;":$L$"&amp;MATCH($E513,'0.1.1 Pokémon GO Moves'!$A$1:$A951,0)),'Reverse Search'!$E$21)))))</f>
        <v>1</v>
      </c>
      <c r="AA513" s="0" t="n">
        <f aca="true">IF('Reverse Search'!$C$14="Disable",1,IF('Reverse Search'!$I$16="Disable",1,IF($D$2=3,IF($M513=0,0,COUNTIF(INDIRECT("'0.0.2 Pokémon Learnset (Core)'!$D$"&amp;MATCH($E513,'0.0.2 Pokémon Learnset (Core)'!$A$1:$A951,0)&amp;":$FK$"&amp;MATCH($E513,'0.0.2 Pokémon Learnset (Core)'!$A$1:$A951,0)),'Reverse Search'!$J$21)),IF($D$2=2,COUNTIF(INDIRECT("'0.1.1 Pokémon GO Moves'!$B$"&amp;MATCH($E513,'0.1.1 Pokémon GO Moves'!$A$1:$A951,0)&amp;":$R$"&amp;MATCH($E513,'0.1.1 Pokémon GO Moves'!$A$1:$A951,0)),'Reverse Search'!$J$21),COUNTIF(INDIRECT("'0.1.1 Pokémon GO Moves'!$B$"&amp;MATCH($E513,'0.1.1 Pokémon GO Moves'!$A$1:$A951,0)&amp;":$L$"&amp;MATCH($E513,'0.1.1 Pokémon GO Moves'!$A$1:$A951,0)),'Reverse Search'!$J$21)))))</f>
        <v>0</v>
      </c>
      <c r="AB513" s="490"/>
      <c r="AC513" s="260" t="n">
        <f aca="false">IF((Q513+R513+S513+V513+W513+X513+Y513+IF(Z513&gt;=1,1,0)+IF(AA513&gt;=1,1,0))=9,G513&amp;", ",)</f>
        <v>0</v>
      </c>
    </row>
    <row r="514" customFormat="false" ht="15.75" hidden="false" customHeight="false" outlineLevel="0" collapsed="false">
      <c r="A514" s="260"/>
      <c r="B514" s="358"/>
      <c r="C514" s="260"/>
      <c r="D514" s="358"/>
      <c r="E514" s="260" t="n">
        <v>513</v>
      </c>
      <c r="F514" s="260" t="n">
        <f aca="false" t="array" ref="F514:F514">INDEX('0.0.1 Pokémon Dex Data'!$H$3:$H951,MATCH(E514,'0.0.1 Pokémon Dex Data'!$B$3:$B951,0))</f>
        <v>0</v>
      </c>
      <c r="G514" s="0" t="str">
        <f aca="false" t="array" ref="G514:G514">INDEX('0.0.1 Pokémon Dex Data'!$E$3:$E951,MATCH(E514,'0.0.1 Pokémon Dex Data'!$B$3:$B951,0))</f>
        <v>Gible</v>
      </c>
      <c r="H514" s="0" t="str">
        <f aca="false" t="array" ref="H514:H514">INDEX('0.0.1 Pokémon Dex Data'!$Q$3:$Q951,MATCH(E514,'0.0.1 Pokémon Dex Data'!$B$3:$B951,0))</f>
        <v>Dragon</v>
      </c>
      <c r="I514" s="0" t="str">
        <f aca="false" t="array" ref="I514:I514">INDEX('0.0.1 Pokémon Dex Data'!$R$3:$R951,MATCH(E514,'0.0.1 Pokémon Dex Data'!$B$3:$B951,0))</f>
        <v>Ground</v>
      </c>
      <c r="J514" s="260" t="n">
        <f aca="false" t="array" ref="J514:J514">ROUND(INDEX('0.0.1 Pokémon Dex Data'!$S$3:$S951,MATCH($E514,'0.0.1 Pokémon Dex Data'!$B$3:$B951,0))*INDEX('0.0.1 Pokémon Dex Data'!T$3:T951,MATCH($E514,'0.0.1 Pokémon Dex Data'!$B$3:$B951,0)),0)</f>
        <v>124</v>
      </c>
      <c r="K514" s="260" t="n">
        <f aca="false" t="array" ref="K514:K514">ROUND(INDEX('0.0.1 Pokémon Dex Data'!$S$3:$S951,MATCH($E514,'0.0.1 Pokémon Dex Data'!$B$3:$B951,0))*INDEX('0.0.1 Pokémon Dex Data'!U$3:U951,MATCH($E514,'0.0.1 Pokémon Dex Data'!$B$3:$B951,0)),0)</f>
        <v>84</v>
      </c>
      <c r="L514" s="260" t="n">
        <f aca="false" t="array" ref="L514:L514">ROUND(INDEX('0.0.1 Pokémon Dex Data'!$S$3:$S951,MATCH($E514,'0.0.1 Pokémon Dex Data'!$B$3:$B951,0))*INDEX('0.0.1 Pokémon Dex Data'!V$3:V951,MATCH($E514,'0.0.1 Pokémon Dex Data'!$B$3:$B951,0)),0)</f>
        <v>151</v>
      </c>
      <c r="M514" s="260" t="n">
        <f aca="false" t="array" ref="M514:M514">INDEX('0.0.1 Pokémon Dex Data'!$J$3:$J951,MATCH(E514,'0.0.1 Pokémon Dex Data'!$B$3:$B951,0))</f>
        <v>0</v>
      </c>
      <c r="O514" s="490"/>
      <c r="Q514" s="367" t="n">
        <f aca="false">IF('Reverse Search'!$F$4="All (including temporary formes)",1,IF('Reverse Search'!$F$4="Base Pokémon and permanent formes only",IF(F514&lt;=1,1,0),IF(F514=0,1,0)))</f>
        <v>1</v>
      </c>
      <c r="R514" s="0" t="n">
        <f aca="false">IF('Reverse Search'!$C$7="Disable",1,IF('Reverse Search'!$D$9="Disable",1,IF(OR('Reverse Search'!$F$9=H514,'Reverse Search'!$F$9=I514),1,0)))</f>
        <v>1</v>
      </c>
      <c r="S514" s="0" t="n">
        <f aca="false">IF('Reverse Search'!$C$7="Disable",1,IF('Reverse Search'!$D$10="Disable",1,IF(OR('Reverse Search'!$F$10=H514,'Reverse Search'!$F$10=I514),1,0)))</f>
        <v>1</v>
      </c>
      <c r="T514" s="0" t="n">
        <f aca="false">INDEX($B$4:$B$22,MATCH(H514,$A$4:$A$22,0))</f>
        <v>1</v>
      </c>
      <c r="U514" s="0" t="n">
        <f aca="false">IF(ISBLANK(I514),1,INDEX($B$4:$B$22,MATCH(I514,$A$4:$A$22,0)))</f>
        <v>1</v>
      </c>
      <c r="V514" s="367" t="n">
        <f aca="false">IF('Reverse Search'!$C$7="Disable",1,IF('Reverse Search'!$D$11="Disable",1,IF('Reverse Search'!$E$11="Neutral to:",IF(ROUND(T514*U514,2)&lt;=1,1,0),IF(ROUND(T514*U514,2)&lt;1,1,0))))</f>
        <v>1</v>
      </c>
      <c r="W514" s="0" t="n">
        <f aca="false">IF('Reverse Search'!$N$7="Disable",1,IF('Reverse Search'!$I$9="Disable",1,IF('Reverse Search'!$K$9="≥",IF(J514&gt;='Reverse Search'!$L$9,1,0),IF('Reverse Search'!$K$9="≤",IF(J514&lt;='Reverse Search'!$L$9,1,0),IF(J514='Reverse Search'!$L$9,1,0)))))</f>
        <v>1</v>
      </c>
      <c r="X514" s="0" t="n">
        <f aca="false">IF('Reverse Search'!$N$7="Disable",1,IF('Reverse Search'!$I$10="Disable",1,IF('Reverse Search'!$K$10="≥",IF(K514&gt;='Reverse Search'!$L$10,1,0),IF('Reverse Search'!$K$10="≤",IF(K514&lt;='Reverse Search'!$L$10,1,0),IF(K514='Reverse Search'!$L$10,1,0)))))</f>
        <v>1</v>
      </c>
      <c r="Y514" s="367" t="n">
        <f aca="false">IF('Reverse Search'!$N$7="Disable",1,IF('Reverse Search'!$I$11="Disable",1,IF('Reverse Search'!$K$11="≥",IF(L514&gt;='Reverse Search'!$L$11,1,0),IF('Reverse Search'!$K$11="≤",IF(L514&lt;='Reverse Search'!$L$11,1,0),IF(L514='Reverse Search'!$L$11,1,0)))))</f>
        <v>1</v>
      </c>
      <c r="Z514" s="0" t="n">
        <f aca="true">IF('Reverse Search'!$C$14="Disable",1,IF('Reverse Search'!$D$16="Disable",1,IF($C$2=3,IF($M514=0,0,COUNTIF(INDIRECT("'0.0.2 Pokémon Learnset (Core)'!$D$"&amp;MATCH($E514,'0.0.2 Pokémon Learnset (Core)'!$A$1:$A951,0)&amp;":$FK$"&amp;MATCH($E514,'0.0.2 Pokémon Learnset (Core)'!$A$1:$A951,0)),'Reverse Search'!$E$21)),IF($C$2=2,COUNTIF(INDIRECT("'0.1.1 Pokémon GO Moves'!$B$"&amp;MATCH($E514,'0.1.1 Pokémon GO Moves'!$A$1:$A951,0)&amp;":$R$"&amp;MATCH($E514,'0.1.1 Pokémon GO Moves'!$A$1:$A951,0)),'Reverse Search'!$E$21),COUNTIF(INDIRECT("'0.1.1 Pokémon GO Moves'!$B$"&amp;MATCH($E514,'0.1.1 Pokémon GO Moves'!$A$1:$A951,0)&amp;":$L$"&amp;MATCH($E514,'0.1.1 Pokémon GO Moves'!$A$1:$A951,0)),'Reverse Search'!$E$21)))))</f>
        <v>1</v>
      </c>
      <c r="AA514" s="0" t="n">
        <f aca="true">IF('Reverse Search'!$C$14="Disable",1,IF('Reverse Search'!$I$16="Disable",1,IF($D$2=3,IF($M514=0,0,COUNTIF(INDIRECT("'0.0.2 Pokémon Learnset (Core)'!$D$"&amp;MATCH($E514,'0.0.2 Pokémon Learnset (Core)'!$A$1:$A951,0)&amp;":$FK$"&amp;MATCH($E514,'0.0.2 Pokémon Learnset (Core)'!$A$1:$A951,0)),'Reverse Search'!$J$21)),IF($D$2=2,COUNTIF(INDIRECT("'0.1.1 Pokémon GO Moves'!$B$"&amp;MATCH($E514,'0.1.1 Pokémon GO Moves'!$A$1:$A951,0)&amp;":$R$"&amp;MATCH($E514,'0.1.1 Pokémon GO Moves'!$A$1:$A951,0)),'Reverse Search'!$J$21),COUNTIF(INDIRECT("'0.1.1 Pokémon GO Moves'!$B$"&amp;MATCH($E514,'0.1.1 Pokémon GO Moves'!$A$1:$A951,0)&amp;":$L$"&amp;MATCH($E514,'0.1.1 Pokémon GO Moves'!$A$1:$A951,0)),'Reverse Search'!$J$21)))))</f>
        <v>0</v>
      </c>
      <c r="AB514" s="490"/>
      <c r="AC514" s="260" t="n">
        <f aca="false">IF((Q514+R514+S514+V514+W514+X514+Y514+IF(Z514&gt;=1,1,0)+IF(AA514&gt;=1,1,0))=9,G514&amp;", ",)</f>
        <v>0</v>
      </c>
    </row>
    <row r="515" customFormat="false" ht="15.75" hidden="false" customHeight="false" outlineLevel="0" collapsed="false">
      <c r="A515" s="260"/>
      <c r="B515" s="358"/>
      <c r="C515" s="260"/>
      <c r="D515" s="358"/>
      <c r="E515" s="260" t="n">
        <v>514</v>
      </c>
      <c r="F515" s="260" t="n">
        <f aca="false" t="array" ref="F515:F515">INDEX('0.0.1 Pokémon Dex Data'!$H$3:$H951,MATCH(E515,'0.0.1 Pokémon Dex Data'!$B$3:$B951,0))</f>
        <v>0</v>
      </c>
      <c r="G515" s="0" t="str">
        <f aca="false" t="array" ref="G515:G515">INDEX('0.0.1 Pokémon Dex Data'!$E$3:$E951,MATCH(E515,'0.0.1 Pokémon Dex Data'!$B$3:$B951,0))</f>
        <v>Gabite</v>
      </c>
      <c r="H515" s="0" t="str">
        <f aca="false" t="array" ref="H515:H515">INDEX('0.0.1 Pokémon Dex Data'!$Q$3:$Q951,MATCH(E515,'0.0.1 Pokémon Dex Data'!$B$3:$B951,0))</f>
        <v>Dragon</v>
      </c>
      <c r="I515" s="0" t="str">
        <f aca="false" t="array" ref="I515:I515">INDEX('0.0.1 Pokémon Dex Data'!$R$3:$R951,MATCH(E515,'0.0.1 Pokémon Dex Data'!$B$3:$B951,0))</f>
        <v>Ground</v>
      </c>
      <c r="J515" s="260" t="n">
        <f aca="false" t="array" ref="J515:J515">ROUND(INDEX('0.0.1 Pokémon Dex Data'!$S$3:$S951,MATCH($E515,'0.0.1 Pokémon Dex Data'!$B$3:$B951,0))*INDEX('0.0.1 Pokémon Dex Data'!T$3:T951,MATCH($E515,'0.0.1 Pokémon Dex Data'!$B$3:$B951,0)),0)</f>
        <v>172</v>
      </c>
      <c r="K515" s="260" t="n">
        <f aca="false" t="array" ref="K515:K515">ROUND(INDEX('0.0.1 Pokémon Dex Data'!$S$3:$S951,MATCH($E515,'0.0.1 Pokémon Dex Data'!$B$3:$B951,0))*INDEX('0.0.1 Pokémon Dex Data'!U$3:U951,MATCH($E515,'0.0.1 Pokémon Dex Data'!$B$3:$B951,0)),0)</f>
        <v>125</v>
      </c>
      <c r="L515" s="260" t="n">
        <f aca="false" t="array" ref="L515:L515">ROUND(INDEX('0.0.1 Pokémon Dex Data'!$S$3:$S951,MATCH($E515,'0.0.1 Pokémon Dex Data'!$B$3:$B951,0))*INDEX('0.0.1 Pokémon Dex Data'!V$3:V951,MATCH($E515,'0.0.1 Pokémon Dex Data'!$B$3:$B951,0)),0)</f>
        <v>169</v>
      </c>
      <c r="M515" s="260" t="n">
        <f aca="false" t="array" ref="M515:M515">INDEX('0.0.1 Pokémon Dex Data'!$J$3:$J951,MATCH(E515,'0.0.1 Pokémon Dex Data'!$B$3:$B951,0))</f>
        <v>0</v>
      </c>
      <c r="O515" s="490"/>
      <c r="Q515" s="367" t="n">
        <f aca="false">IF('Reverse Search'!$F$4="All (including temporary formes)",1,IF('Reverse Search'!$F$4="Base Pokémon and permanent formes only",IF(F515&lt;=1,1,0),IF(F515=0,1,0)))</f>
        <v>1</v>
      </c>
      <c r="R515" s="0" t="n">
        <f aca="false">IF('Reverse Search'!$C$7="Disable",1,IF('Reverse Search'!$D$9="Disable",1,IF(OR('Reverse Search'!$F$9=H515,'Reverse Search'!$F$9=I515),1,0)))</f>
        <v>1</v>
      </c>
      <c r="S515" s="0" t="n">
        <f aca="false">IF('Reverse Search'!$C$7="Disable",1,IF('Reverse Search'!$D$10="Disable",1,IF(OR('Reverse Search'!$F$10=H515,'Reverse Search'!$F$10=I515),1,0)))</f>
        <v>1</v>
      </c>
      <c r="T515" s="0" t="n">
        <f aca="false">INDEX($B$4:$B$22,MATCH(H515,$A$4:$A$22,0))</f>
        <v>1</v>
      </c>
      <c r="U515" s="0" t="n">
        <f aca="false">IF(ISBLANK(I515),1,INDEX($B$4:$B$22,MATCH(I515,$A$4:$A$22,0)))</f>
        <v>1</v>
      </c>
      <c r="V515" s="367" t="n">
        <f aca="false">IF('Reverse Search'!$C$7="Disable",1,IF('Reverse Search'!$D$11="Disable",1,IF('Reverse Search'!$E$11="Neutral to:",IF(ROUND(T515*U515,2)&lt;=1,1,0),IF(ROUND(T515*U515,2)&lt;1,1,0))))</f>
        <v>1</v>
      </c>
      <c r="W515" s="0" t="n">
        <f aca="false">IF('Reverse Search'!$N$7="Disable",1,IF('Reverse Search'!$I$9="Disable",1,IF('Reverse Search'!$K$9="≥",IF(J515&gt;='Reverse Search'!$L$9,1,0),IF('Reverse Search'!$K$9="≤",IF(J515&lt;='Reverse Search'!$L$9,1,0),IF(J515='Reverse Search'!$L$9,1,0)))))</f>
        <v>1</v>
      </c>
      <c r="X515" s="0" t="n">
        <f aca="false">IF('Reverse Search'!$N$7="Disable",1,IF('Reverse Search'!$I$10="Disable",1,IF('Reverse Search'!$K$10="≥",IF(K515&gt;='Reverse Search'!$L$10,1,0),IF('Reverse Search'!$K$10="≤",IF(K515&lt;='Reverse Search'!$L$10,1,0),IF(K515='Reverse Search'!$L$10,1,0)))))</f>
        <v>1</v>
      </c>
      <c r="Y515" s="367" t="n">
        <f aca="false">IF('Reverse Search'!$N$7="Disable",1,IF('Reverse Search'!$I$11="Disable",1,IF('Reverse Search'!$K$11="≥",IF(L515&gt;='Reverse Search'!$L$11,1,0),IF('Reverse Search'!$K$11="≤",IF(L515&lt;='Reverse Search'!$L$11,1,0),IF(L515='Reverse Search'!$L$11,1,0)))))</f>
        <v>1</v>
      </c>
      <c r="Z515" s="0" t="n">
        <f aca="true">IF('Reverse Search'!$C$14="Disable",1,IF('Reverse Search'!$D$16="Disable",1,IF($C$2=3,IF($M515=0,0,COUNTIF(INDIRECT("'0.0.2 Pokémon Learnset (Core)'!$D$"&amp;MATCH($E515,'0.0.2 Pokémon Learnset (Core)'!$A$1:$A951,0)&amp;":$FK$"&amp;MATCH($E515,'0.0.2 Pokémon Learnset (Core)'!$A$1:$A951,0)),'Reverse Search'!$E$21)),IF($C$2=2,COUNTIF(INDIRECT("'0.1.1 Pokémon GO Moves'!$B$"&amp;MATCH($E515,'0.1.1 Pokémon GO Moves'!$A$1:$A951,0)&amp;":$R$"&amp;MATCH($E515,'0.1.1 Pokémon GO Moves'!$A$1:$A951,0)),'Reverse Search'!$E$21),COUNTIF(INDIRECT("'0.1.1 Pokémon GO Moves'!$B$"&amp;MATCH($E515,'0.1.1 Pokémon GO Moves'!$A$1:$A951,0)&amp;":$L$"&amp;MATCH($E515,'0.1.1 Pokémon GO Moves'!$A$1:$A951,0)),'Reverse Search'!$E$21)))))</f>
        <v>1</v>
      </c>
      <c r="AA515" s="0" t="n">
        <f aca="true">IF('Reverse Search'!$C$14="Disable",1,IF('Reverse Search'!$I$16="Disable",1,IF($D$2=3,IF($M515=0,0,COUNTIF(INDIRECT("'0.0.2 Pokémon Learnset (Core)'!$D$"&amp;MATCH($E515,'0.0.2 Pokémon Learnset (Core)'!$A$1:$A951,0)&amp;":$FK$"&amp;MATCH($E515,'0.0.2 Pokémon Learnset (Core)'!$A$1:$A951,0)),'Reverse Search'!$J$21)),IF($D$2=2,COUNTIF(INDIRECT("'0.1.1 Pokémon GO Moves'!$B$"&amp;MATCH($E515,'0.1.1 Pokémon GO Moves'!$A$1:$A951,0)&amp;":$R$"&amp;MATCH($E515,'0.1.1 Pokémon GO Moves'!$A$1:$A951,0)),'Reverse Search'!$J$21),COUNTIF(INDIRECT("'0.1.1 Pokémon GO Moves'!$B$"&amp;MATCH($E515,'0.1.1 Pokémon GO Moves'!$A$1:$A951,0)&amp;":$L$"&amp;MATCH($E515,'0.1.1 Pokémon GO Moves'!$A$1:$A951,0)),'Reverse Search'!$J$21)))))</f>
        <v>0</v>
      </c>
      <c r="AB515" s="490"/>
      <c r="AC515" s="260" t="n">
        <f aca="false">IF((Q515+R515+S515+V515+W515+X515+Y515+IF(Z515&gt;=1,1,0)+IF(AA515&gt;=1,1,0))=9,G515&amp;", ",)</f>
        <v>0</v>
      </c>
    </row>
    <row r="516" customFormat="false" ht="15.75" hidden="false" customHeight="false" outlineLevel="0" collapsed="false">
      <c r="A516" s="260"/>
      <c r="B516" s="358"/>
      <c r="C516" s="260"/>
      <c r="D516" s="358"/>
      <c r="E516" s="260" t="n">
        <v>515</v>
      </c>
      <c r="F516" s="260" t="n">
        <f aca="false" t="array" ref="F516:F516">INDEX('0.0.1 Pokémon Dex Data'!$H$3:$H951,MATCH(E516,'0.0.1 Pokémon Dex Data'!$B$3:$B951,0))</f>
        <v>0</v>
      </c>
      <c r="G516" s="0" t="str">
        <f aca="false" t="array" ref="G516:G516">INDEX('0.0.1 Pokémon Dex Data'!$E$3:$E951,MATCH(E516,'0.0.1 Pokémon Dex Data'!$B$3:$B951,0))</f>
        <v>Garchomp</v>
      </c>
      <c r="H516" s="0" t="str">
        <f aca="false" t="array" ref="H516:H516">INDEX('0.0.1 Pokémon Dex Data'!$Q$3:$Q951,MATCH(E516,'0.0.1 Pokémon Dex Data'!$B$3:$B951,0))</f>
        <v>Dragon</v>
      </c>
      <c r="I516" s="0" t="str">
        <f aca="false" t="array" ref="I516:I516">INDEX('0.0.1 Pokémon Dex Data'!$R$3:$R951,MATCH(E516,'0.0.1 Pokémon Dex Data'!$B$3:$B951,0))</f>
        <v>Ground</v>
      </c>
      <c r="J516" s="260" t="n">
        <f aca="false" t="array" ref="J516:J516">ROUND(INDEX('0.0.1 Pokémon Dex Data'!$S$3:$S951,MATCH($E516,'0.0.1 Pokémon Dex Data'!$B$3:$B951,0))*INDEX('0.0.1 Pokémon Dex Data'!T$3:T951,MATCH($E516,'0.0.1 Pokémon Dex Data'!$B$3:$B951,0)),0)</f>
        <v>261</v>
      </c>
      <c r="K516" s="260" t="n">
        <f aca="false" t="array" ref="K516:K516">ROUND(INDEX('0.0.1 Pokémon Dex Data'!$S$3:$S951,MATCH($E516,'0.0.1 Pokémon Dex Data'!$B$3:$B951,0))*INDEX('0.0.1 Pokémon Dex Data'!U$3:U951,MATCH($E516,'0.0.1 Pokémon Dex Data'!$B$3:$B951,0)),0)</f>
        <v>193</v>
      </c>
      <c r="L516" s="260" t="n">
        <f aca="false" t="array" ref="L516:L516">ROUND(INDEX('0.0.1 Pokémon Dex Data'!$S$3:$S951,MATCH($E516,'0.0.1 Pokémon Dex Data'!$B$3:$B951,0))*INDEX('0.0.1 Pokémon Dex Data'!V$3:V951,MATCH($E516,'0.0.1 Pokémon Dex Data'!$B$3:$B951,0)),0)</f>
        <v>239</v>
      </c>
      <c r="M516" s="260" t="n">
        <f aca="false" t="array" ref="M516:M516">INDEX('0.0.1 Pokémon Dex Data'!$J$3:$J951,MATCH(E516,'0.0.1 Pokémon Dex Data'!$B$3:$B951,0))</f>
        <v>1</v>
      </c>
      <c r="O516" s="490"/>
      <c r="Q516" s="367" t="n">
        <f aca="false">IF('Reverse Search'!$F$4="All (including temporary formes)",1,IF('Reverse Search'!$F$4="Base Pokémon and permanent formes only",IF(F516&lt;=1,1,0),IF(F516=0,1,0)))</f>
        <v>1</v>
      </c>
      <c r="R516" s="0" t="n">
        <f aca="false">IF('Reverse Search'!$C$7="Disable",1,IF('Reverse Search'!$D$9="Disable",1,IF(OR('Reverse Search'!$F$9=H516,'Reverse Search'!$F$9=I516),1,0)))</f>
        <v>1</v>
      </c>
      <c r="S516" s="0" t="n">
        <f aca="false">IF('Reverse Search'!$C$7="Disable",1,IF('Reverse Search'!$D$10="Disable",1,IF(OR('Reverse Search'!$F$10=H516,'Reverse Search'!$F$10=I516),1,0)))</f>
        <v>1</v>
      </c>
      <c r="T516" s="0" t="n">
        <f aca="false">INDEX($B$4:$B$22,MATCH(H516,$A$4:$A$22,0))</f>
        <v>1</v>
      </c>
      <c r="U516" s="0" t="n">
        <f aca="false">IF(ISBLANK(I516),1,INDEX($B$4:$B$22,MATCH(I516,$A$4:$A$22,0)))</f>
        <v>1</v>
      </c>
      <c r="V516" s="367" t="n">
        <f aca="false">IF('Reverse Search'!$C$7="Disable",1,IF('Reverse Search'!$D$11="Disable",1,IF('Reverse Search'!$E$11="Neutral to:",IF(ROUND(T516*U516,2)&lt;=1,1,0),IF(ROUND(T516*U516,2)&lt;1,1,0))))</f>
        <v>1</v>
      </c>
      <c r="W516" s="0" t="n">
        <f aca="false">IF('Reverse Search'!$N$7="Disable",1,IF('Reverse Search'!$I$9="Disable",1,IF('Reverse Search'!$K$9="≥",IF(J516&gt;='Reverse Search'!$L$9,1,0),IF('Reverse Search'!$K$9="≤",IF(J516&lt;='Reverse Search'!$L$9,1,0),IF(J516='Reverse Search'!$L$9,1,0)))))</f>
        <v>1</v>
      </c>
      <c r="X516" s="0" t="n">
        <f aca="false">IF('Reverse Search'!$N$7="Disable",1,IF('Reverse Search'!$I$10="Disable",1,IF('Reverse Search'!$K$10="≥",IF(K516&gt;='Reverse Search'!$L$10,1,0),IF('Reverse Search'!$K$10="≤",IF(K516&lt;='Reverse Search'!$L$10,1,0),IF(K516='Reverse Search'!$L$10,1,0)))))</f>
        <v>1</v>
      </c>
      <c r="Y516" s="367" t="n">
        <f aca="false">IF('Reverse Search'!$N$7="Disable",1,IF('Reverse Search'!$I$11="Disable",1,IF('Reverse Search'!$K$11="≥",IF(L516&gt;='Reverse Search'!$L$11,1,0),IF('Reverse Search'!$K$11="≤",IF(L516&lt;='Reverse Search'!$L$11,1,0),IF(L516='Reverse Search'!$L$11,1,0)))))</f>
        <v>1</v>
      </c>
      <c r="Z516" s="0" t="n">
        <f aca="true">IF('Reverse Search'!$C$14="Disable",1,IF('Reverse Search'!$D$16="Disable",1,IF($C$2=3,IF($M516=0,0,COUNTIF(INDIRECT("'0.0.2 Pokémon Learnset (Core)'!$D$"&amp;MATCH($E516,'0.0.2 Pokémon Learnset (Core)'!$A$1:$A951,0)&amp;":$FK$"&amp;MATCH($E516,'0.0.2 Pokémon Learnset (Core)'!$A$1:$A951,0)),'Reverse Search'!$E$21)),IF($C$2=2,COUNTIF(INDIRECT("'0.1.1 Pokémon GO Moves'!$B$"&amp;MATCH($E516,'0.1.1 Pokémon GO Moves'!$A$1:$A951,0)&amp;":$R$"&amp;MATCH($E516,'0.1.1 Pokémon GO Moves'!$A$1:$A951,0)),'Reverse Search'!$E$21),COUNTIF(INDIRECT("'0.1.1 Pokémon GO Moves'!$B$"&amp;MATCH($E516,'0.1.1 Pokémon GO Moves'!$A$1:$A951,0)&amp;":$L$"&amp;MATCH($E516,'0.1.1 Pokémon GO Moves'!$A$1:$A951,0)),'Reverse Search'!$E$21)))))</f>
        <v>1</v>
      </c>
      <c r="AA516" s="0" t="n">
        <f aca="true">IF('Reverse Search'!$C$14="Disable",1,IF('Reverse Search'!$I$16="Disable",1,IF($D$2=3,IF($M516=0,0,COUNTIF(INDIRECT("'0.0.2 Pokémon Learnset (Core)'!$D$"&amp;MATCH($E516,'0.0.2 Pokémon Learnset (Core)'!$A$1:$A951,0)&amp;":$FK$"&amp;MATCH($E516,'0.0.2 Pokémon Learnset (Core)'!$A$1:$A951,0)),'Reverse Search'!$J$21)),IF($D$2=2,COUNTIF(INDIRECT("'0.1.1 Pokémon GO Moves'!$B$"&amp;MATCH($E516,'0.1.1 Pokémon GO Moves'!$A$1:$A951,0)&amp;":$R$"&amp;MATCH($E516,'0.1.1 Pokémon GO Moves'!$A$1:$A951,0)),'Reverse Search'!$J$21),COUNTIF(INDIRECT("'0.1.1 Pokémon GO Moves'!$B$"&amp;MATCH($E516,'0.1.1 Pokémon GO Moves'!$A$1:$A951,0)&amp;":$L$"&amp;MATCH($E516,'0.1.1 Pokémon GO Moves'!$A$1:$A951,0)),'Reverse Search'!$J$21)))))</f>
        <v>0</v>
      </c>
      <c r="AB516" s="490"/>
      <c r="AC516" s="260" t="n">
        <f aca="false">IF((Q516+R516+S516+V516+W516+X516+Y516+IF(Z516&gt;=1,1,0)+IF(AA516&gt;=1,1,0))=9,G516&amp;", ",)</f>
        <v>0</v>
      </c>
    </row>
    <row r="517" customFormat="false" ht="15.75" hidden="false" customHeight="false" outlineLevel="0" collapsed="false">
      <c r="A517" s="260"/>
      <c r="B517" s="358"/>
      <c r="C517" s="260"/>
      <c r="D517" s="358"/>
      <c r="E517" s="260" t="n">
        <v>516</v>
      </c>
      <c r="F517" s="260" t="n">
        <f aca="false" t="array" ref="F517:F517">INDEX('0.0.1 Pokémon Dex Data'!$H$3:$H951,MATCH(E517,'0.0.1 Pokémon Dex Data'!$B$3:$B951,0))</f>
        <v>2</v>
      </c>
      <c r="G517" s="0" t="str">
        <f aca="false" t="array" ref="G517:G517">INDEX('0.0.1 Pokémon Dex Data'!$E$3:$E951,MATCH(E517,'0.0.1 Pokémon Dex Data'!$B$3:$B951,0))</f>
        <v>Garchomp-Mega</v>
      </c>
      <c r="H517" s="0" t="str">
        <f aca="false" t="array" ref="H517:H517">INDEX('0.0.1 Pokémon Dex Data'!$Q$3:$Q951,MATCH(E517,'0.0.1 Pokémon Dex Data'!$B$3:$B951,0))</f>
        <v>Dragon</v>
      </c>
      <c r="I517" s="0" t="str">
        <f aca="false" t="array" ref="I517:I517">INDEX('0.0.1 Pokémon Dex Data'!$R$3:$R951,MATCH(E517,'0.0.1 Pokémon Dex Data'!$B$3:$B951,0))</f>
        <v>Ground</v>
      </c>
      <c r="J517" s="260" t="n">
        <f aca="false" t="array" ref="J517:J517">ROUND(INDEX('0.0.1 Pokémon Dex Data'!$S$3:$S951,MATCH($E517,'0.0.1 Pokémon Dex Data'!$B$3:$B951,0))*INDEX('0.0.1 Pokémon Dex Data'!T$3:T951,MATCH($E517,'0.0.1 Pokémon Dex Data'!$B$3:$B951,0)),0)</f>
        <v>339</v>
      </c>
      <c r="K517" s="260" t="n">
        <f aca="false" t="array" ref="K517:K517">ROUND(INDEX('0.0.1 Pokémon Dex Data'!$S$3:$S951,MATCH($E517,'0.0.1 Pokémon Dex Data'!$B$3:$B951,0))*INDEX('0.0.1 Pokémon Dex Data'!U$3:U951,MATCH($E517,'0.0.1 Pokémon Dex Data'!$B$3:$B951,0)),0)</f>
        <v>222</v>
      </c>
      <c r="L517" s="260" t="n">
        <f aca="false" t="array" ref="L517:L517">ROUND(INDEX('0.0.1 Pokémon Dex Data'!$S$3:$S951,MATCH($E517,'0.0.1 Pokémon Dex Data'!$B$3:$B951,0))*INDEX('0.0.1 Pokémon Dex Data'!V$3:V951,MATCH($E517,'0.0.1 Pokémon Dex Data'!$B$3:$B951,0)),0)</f>
        <v>239</v>
      </c>
      <c r="M517" s="260" t="n">
        <f aca="false" t="array" ref="M517:M517">INDEX('0.0.1 Pokémon Dex Data'!$J$3:$J951,MATCH(E517,'0.0.1 Pokémon Dex Data'!$B$3:$B951,0))</f>
        <v>1</v>
      </c>
      <c r="O517" s="490"/>
      <c r="Q517" s="367" t="n">
        <f aca="false">IF('Reverse Search'!$F$4="All (including temporary formes)",1,IF('Reverse Search'!$F$4="Base Pokémon and permanent formes only",IF(F517&lt;=1,1,0),IF(F517=0,1,0)))</f>
        <v>0</v>
      </c>
      <c r="R517" s="0" t="n">
        <f aca="false">IF('Reverse Search'!$C$7="Disable",1,IF('Reverse Search'!$D$9="Disable",1,IF(OR('Reverse Search'!$F$9=H517,'Reverse Search'!$F$9=I517),1,0)))</f>
        <v>1</v>
      </c>
      <c r="S517" s="0" t="n">
        <f aca="false">IF('Reverse Search'!$C$7="Disable",1,IF('Reverse Search'!$D$10="Disable",1,IF(OR('Reverse Search'!$F$10=H517,'Reverse Search'!$F$10=I517),1,0)))</f>
        <v>1</v>
      </c>
      <c r="T517" s="0" t="n">
        <f aca="false">INDEX($B$4:$B$22,MATCH(H517,$A$4:$A$22,0))</f>
        <v>1</v>
      </c>
      <c r="U517" s="0" t="n">
        <f aca="false">IF(ISBLANK(I517),1,INDEX($B$4:$B$22,MATCH(I517,$A$4:$A$22,0)))</f>
        <v>1</v>
      </c>
      <c r="V517" s="367" t="n">
        <f aca="false">IF('Reverse Search'!$C$7="Disable",1,IF('Reverse Search'!$D$11="Disable",1,IF('Reverse Search'!$E$11="Neutral to:",IF(ROUND(T517*U517,2)&lt;=1,1,0),IF(ROUND(T517*U517,2)&lt;1,1,0))))</f>
        <v>1</v>
      </c>
      <c r="W517" s="0" t="n">
        <f aca="false">IF('Reverse Search'!$N$7="Disable",1,IF('Reverse Search'!$I$9="Disable",1,IF('Reverse Search'!$K$9="≥",IF(J517&gt;='Reverse Search'!$L$9,1,0),IF('Reverse Search'!$K$9="≤",IF(J517&lt;='Reverse Search'!$L$9,1,0),IF(J517='Reverse Search'!$L$9,1,0)))))</f>
        <v>1</v>
      </c>
      <c r="X517" s="0" t="n">
        <f aca="false">IF('Reverse Search'!$N$7="Disable",1,IF('Reverse Search'!$I$10="Disable",1,IF('Reverse Search'!$K$10="≥",IF(K517&gt;='Reverse Search'!$L$10,1,0),IF('Reverse Search'!$K$10="≤",IF(K517&lt;='Reverse Search'!$L$10,1,0),IF(K517='Reverse Search'!$L$10,1,0)))))</f>
        <v>1</v>
      </c>
      <c r="Y517" s="367" t="n">
        <f aca="false">IF('Reverse Search'!$N$7="Disable",1,IF('Reverse Search'!$I$11="Disable",1,IF('Reverse Search'!$K$11="≥",IF(L517&gt;='Reverse Search'!$L$11,1,0),IF('Reverse Search'!$K$11="≤",IF(L517&lt;='Reverse Search'!$L$11,1,0),IF(L517='Reverse Search'!$L$11,1,0)))))</f>
        <v>1</v>
      </c>
      <c r="Z517" s="0" t="n">
        <f aca="true">IF('Reverse Search'!$C$14="Disable",1,IF('Reverse Search'!$D$16="Disable",1,IF($C$2=3,IF($M517=0,0,COUNTIF(INDIRECT("'0.0.2 Pokémon Learnset (Core)'!$D$"&amp;MATCH($E517,'0.0.2 Pokémon Learnset (Core)'!$A$1:$A951,0)&amp;":$FK$"&amp;MATCH($E517,'0.0.2 Pokémon Learnset (Core)'!$A$1:$A951,0)),'Reverse Search'!$E$21)),IF($C$2=2,COUNTIF(INDIRECT("'0.1.1 Pokémon GO Moves'!$B$"&amp;MATCH($E517,'0.1.1 Pokémon GO Moves'!$A$1:$A951,0)&amp;":$R$"&amp;MATCH($E517,'0.1.1 Pokémon GO Moves'!$A$1:$A951,0)),'Reverse Search'!$E$21),COUNTIF(INDIRECT("'0.1.1 Pokémon GO Moves'!$B$"&amp;MATCH($E517,'0.1.1 Pokémon GO Moves'!$A$1:$A951,0)&amp;":$L$"&amp;MATCH($E517,'0.1.1 Pokémon GO Moves'!$A$1:$A951,0)),'Reverse Search'!$E$21)))))</f>
        <v>1</v>
      </c>
      <c r="AA517" s="0" t="e">
        <f aca="true">IF('Reverse Search'!$C$14="Disable",1,IF('Reverse Search'!$I$16="Disable",1,IF($D$2=3,IF($M517=0,0,COUNTIF(INDIRECT("'0.0.2 Pokémon Learnset (Core)'!$D$"&amp;MATCH($E517,'0.0.2 Pokémon Learnset (Core)'!$A$1:$A951,0)&amp;":$FK$"&amp;MATCH($E517,'0.0.2 Pokémon Learnset (Core)'!$A$1:$A951,0)),'Reverse Search'!$J$21)),IF($D$2=2,COUNTIF(INDIRECT("'0.1.1 Pokémon GO Moves'!$B$"&amp;MATCH($E517,'0.1.1 Pokémon GO Moves'!$A$1:$A951,0)&amp;":$R$"&amp;MATCH($E517,'0.1.1 Pokémon GO Moves'!$A$1:$A951,0)),'Reverse Search'!$J$21),COUNTIF(INDIRECT("'0.1.1 Pokémon GO Moves'!$B$"&amp;MATCH($E517,'0.1.1 Pokémon GO Moves'!$A$1:$A951,0)&amp;":$L$"&amp;MATCH($E517,'0.1.1 Pokémon GO Moves'!$A$1:$A951,0)),'Reverse Search'!$J$21)))))</f>
        <v>#N/A</v>
      </c>
      <c r="AB517" s="490"/>
      <c r="AC517" s="260" t="e">
        <f aca="false">IF((Q517+R517+S517+V517+W517+X517+Y517+IF(Z517&gt;=1,1,0)+IF(AA517&gt;=1,1,0))=9,G517&amp;", ",)</f>
        <v>#N/A</v>
      </c>
    </row>
    <row r="518" customFormat="false" ht="15.75" hidden="false" customHeight="false" outlineLevel="0" collapsed="false">
      <c r="A518" s="260"/>
      <c r="B518" s="358"/>
      <c r="C518" s="260"/>
      <c r="D518" s="358"/>
      <c r="E518" s="260" t="n">
        <v>517</v>
      </c>
      <c r="F518" s="260" t="n">
        <f aca="false" t="array" ref="F518:F518">INDEX('0.0.1 Pokémon Dex Data'!$H$3:$H951,MATCH(E518,'0.0.1 Pokémon Dex Data'!$B$3:$B951,0))</f>
        <v>0</v>
      </c>
      <c r="G518" s="0" t="str">
        <f aca="false" t="array" ref="G518:G518">INDEX('0.0.1 Pokémon Dex Data'!$E$3:$E951,MATCH(E518,'0.0.1 Pokémon Dex Data'!$B$3:$B951,0))</f>
        <v>Munchlax</v>
      </c>
      <c r="H518" s="0" t="str">
        <f aca="false" t="array" ref="H518:H518">INDEX('0.0.1 Pokémon Dex Data'!$Q$3:$Q951,MATCH(E518,'0.0.1 Pokémon Dex Data'!$B$3:$B951,0))</f>
        <v>Normal</v>
      </c>
      <c r="I518" s="0" t="n">
        <f aca="false">INDEX('0.0.1 Pokémon Dex Data'!$R$3:$R951,MATCH(E518,'0.0.1 Pokémon Dex Data'!$B$3:$B951,0))</f>
        <v>0</v>
      </c>
      <c r="J518" s="260" t="n">
        <f aca="false" t="array" ref="J518:J518">ROUND(INDEX('0.0.1 Pokémon Dex Data'!$S$3:$S951,MATCH($E518,'0.0.1 Pokémon Dex Data'!$B$3:$B951,0))*INDEX('0.0.1 Pokémon Dex Data'!T$3:T951,MATCH($E518,'0.0.1 Pokémon Dex Data'!$B$3:$B951,0)),0)</f>
        <v>137</v>
      </c>
      <c r="K518" s="260" t="n">
        <f aca="false" t="array" ref="K518:K518">ROUND(INDEX('0.0.1 Pokémon Dex Data'!$S$3:$S951,MATCH($E518,'0.0.1 Pokémon Dex Data'!$B$3:$B951,0))*INDEX('0.0.1 Pokémon Dex Data'!U$3:U951,MATCH($E518,'0.0.1 Pokémon Dex Data'!$B$3:$B951,0)),0)</f>
        <v>117</v>
      </c>
      <c r="L518" s="260" t="n">
        <f aca="false" t="array" ref="L518:L518">ROUND(INDEX('0.0.1 Pokémon Dex Data'!$S$3:$S951,MATCH($E518,'0.0.1 Pokémon Dex Data'!$B$3:$B951,0))*INDEX('0.0.1 Pokémon Dex Data'!V$3:V951,MATCH($E518,'0.0.1 Pokémon Dex Data'!$B$3:$B951,0)),0)</f>
        <v>286</v>
      </c>
      <c r="M518" s="260" t="n">
        <f aca="false" t="array" ref="M518:M518">INDEX('0.0.1 Pokémon Dex Data'!$J$3:$J951,MATCH(E518,'0.0.1 Pokémon Dex Data'!$B$3:$B951,0))</f>
        <v>0</v>
      </c>
      <c r="O518" s="490"/>
      <c r="Q518" s="367" t="n">
        <f aca="false">IF('Reverse Search'!$F$4="All (including temporary formes)",1,IF('Reverse Search'!$F$4="Base Pokémon and permanent formes only",IF(F518&lt;=1,1,0),IF(F518=0,1,0)))</f>
        <v>1</v>
      </c>
      <c r="R518" s="0" t="n">
        <f aca="false">IF('Reverse Search'!$C$7="Disable",1,IF('Reverse Search'!$D$9="Disable",1,IF(OR('Reverse Search'!$F$9=H518,'Reverse Search'!$F$9=I518),1,0)))</f>
        <v>1</v>
      </c>
      <c r="S518" s="0" t="n">
        <f aca="false">IF('Reverse Search'!$C$7="Disable",1,IF('Reverse Search'!$D$10="Disable",1,IF(OR('Reverse Search'!$F$10=H518,'Reverse Search'!$F$10=I518),1,0)))</f>
        <v>1</v>
      </c>
      <c r="T518" s="0" t="n">
        <f aca="false">INDEX($B$4:$B$22,MATCH(H518,$A$4:$A$22,0))</f>
        <v>1</v>
      </c>
      <c r="U518" s="0" t="e">
        <f aca="false">IF(ISBLANK(I518),1,INDEX($B$4:$B$22,MATCH(I518,$A$4:$A$22,0)))</f>
        <v>#N/A</v>
      </c>
      <c r="V518" s="367" t="n">
        <f aca="false">IF('Reverse Search'!$C$7="Disable",1,IF('Reverse Search'!$D$11="Disable",1,IF('Reverse Search'!$E$11="Neutral to:",IF(ROUND(T518*U518,2)&lt;=1,1,0),IF(ROUND(T518*U518,2)&lt;1,1,0))))</f>
        <v>1</v>
      </c>
      <c r="W518" s="0" t="n">
        <f aca="false">IF('Reverse Search'!$N$7="Disable",1,IF('Reverse Search'!$I$9="Disable",1,IF('Reverse Search'!$K$9="≥",IF(J518&gt;='Reverse Search'!$L$9,1,0),IF('Reverse Search'!$K$9="≤",IF(J518&lt;='Reverse Search'!$L$9,1,0),IF(J518='Reverse Search'!$L$9,1,0)))))</f>
        <v>1</v>
      </c>
      <c r="X518" s="0" t="n">
        <f aca="false">IF('Reverse Search'!$N$7="Disable",1,IF('Reverse Search'!$I$10="Disable",1,IF('Reverse Search'!$K$10="≥",IF(K518&gt;='Reverse Search'!$L$10,1,0),IF('Reverse Search'!$K$10="≤",IF(K518&lt;='Reverse Search'!$L$10,1,0),IF(K518='Reverse Search'!$L$10,1,0)))))</f>
        <v>1</v>
      </c>
      <c r="Y518" s="367" t="n">
        <f aca="false">IF('Reverse Search'!$N$7="Disable",1,IF('Reverse Search'!$I$11="Disable",1,IF('Reverse Search'!$K$11="≥",IF(L518&gt;='Reverse Search'!$L$11,1,0),IF('Reverse Search'!$K$11="≤",IF(L518&lt;='Reverse Search'!$L$11,1,0),IF(L518='Reverse Search'!$L$11,1,0)))))</f>
        <v>1</v>
      </c>
      <c r="Z518" s="0" t="n">
        <f aca="true">IF('Reverse Search'!$C$14="Disable",1,IF('Reverse Search'!$D$16="Disable",1,IF($C$2=3,IF($M518=0,0,COUNTIF(INDIRECT("'0.0.2 Pokémon Learnset (Core)'!$D$"&amp;MATCH($E518,'0.0.2 Pokémon Learnset (Core)'!$A$1:$A951,0)&amp;":$FK$"&amp;MATCH($E518,'0.0.2 Pokémon Learnset (Core)'!$A$1:$A951,0)),'Reverse Search'!$E$21)),IF($C$2=2,COUNTIF(INDIRECT("'0.1.1 Pokémon GO Moves'!$B$"&amp;MATCH($E518,'0.1.1 Pokémon GO Moves'!$A$1:$A951,0)&amp;":$R$"&amp;MATCH($E518,'0.1.1 Pokémon GO Moves'!$A$1:$A951,0)),'Reverse Search'!$E$21),COUNTIF(INDIRECT("'0.1.1 Pokémon GO Moves'!$B$"&amp;MATCH($E518,'0.1.1 Pokémon GO Moves'!$A$1:$A951,0)&amp;":$L$"&amp;MATCH($E518,'0.1.1 Pokémon GO Moves'!$A$1:$A951,0)),'Reverse Search'!$E$21)))))</f>
        <v>1</v>
      </c>
      <c r="AA518" s="0" t="n">
        <f aca="true">IF('Reverse Search'!$C$14="Disable",1,IF('Reverse Search'!$I$16="Disable",1,IF($D$2=3,IF($M518=0,0,COUNTIF(INDIRECT("'0.0.2 Pokémon Learnset (Core)'!$D$"&amp;MATCH($E518,'0.0.2 Pokémon Learnset (Core)'!$A$1:$A951,0)&amp;":$FK$"&amp;MATCH($E518,'0.0.2 Pokémon Learnset (Core)'!$A$1:$A951,0)),'Reverse Search'!$J$21)),IF($D$2=2,COUNTIF(INDIRECT("'0.1.1 Pokémon GO Moves'!$B$"&amp;MATCH($E518,'0.1.1 Pokémon GO Moves'!$A$1:$A951,0)&amp;":$R$"&amp;MATCH($E518,'0.1.1 Pokémon GO Moves'!$A$1:$A951,0)),'Reverse Search'!$J$21),COUNTIF(INDIRECT("'0.1.1 Pokémon GO Moves'!$B$"&amp;MATCH($E518,'0.1.1 Pokémon GO Moves'!$A$1:$A951,0)&amp;":$L$"&amp;MATCH($E518,'0.1.1 Pokémon GO Moves'!$A$1:$A951,0)),'Reverse Search'!$J$21)))))</f>
        <v>0</v>
      </c>
      <c r="AB518" s="490"/>
      <c r="AC518" s="260" t="n">
        <f aca="false">IF((Q518+R518+S518+V518+W518+X518+Y518+IF(Z518&gt;=1,1,0)+IF(AA518&gt;=1,1,0))=9,G518&amp;", ",)</f>
        <v>0</v>
      </c>
    </row>
    <row r="519" customFormat="false" ht="15.75" hidden="false" customHeight="false" outlineLevel="0" collapsed="false">
      <c r="A519" s="260"/>
      <c r="B519" s="358"/>
      <c r="C519" s="260"/>
      <c r="D519" s="358"/>
      <c r="E519" s="260" t="n">
        <v>518</v>
      </c>
      <c r="F519" s="260" t="n">
        <f aca="false" t="array" ref="F519:F519">INDEX('0.0.1 Pokémon Dex Data'!$H$3:$H951,MATCH(E519,'0.0.1 Pokémon Dex Data'!$B$3:$B951,0))</f>
        <v>0</v>
      </c>
      <c r="G519" s="0" t="str">
        <f aca="false" t="array" ref="G519:G519">INDEX('0.0.1 Pokémon Dex Data'!$E$3:$E951,MATCH(E519,'0.0.1 Pokémon Dex Data'!$B$3:$B951,0))</f>
        <v>Riolu</v>
      </c>
      <c r="H519" s="0" t="str">
        <f aca="false" t="array" ref="H519:H519">INDEX('0.0.1 Pokémon Dex Data'!$Q$3:$Q951,MATCH(E519,'0.0.1 Pokémon Dex Data'!$B$3:$B951,0))</f>
        <v>Fighting</v>
      </c>
      <c r="I519" s="0" t="n">
        <f aca="false">INDEX('0.0.1 Pokémon Dex Data'!$R$3:$R951,MATCH(E519,'0.0.1 Pokémon Dex Data'!$B$3:$B951,0))</f>
        <v>0</v>
      </c>
      <c r="J519" s="260" t="n">
        <f aca="false" t="array" ref="J519:J519">ROUND(INDEX('0.0.1 Pokémon Dex Data'!$S$3:$S951,MATCH($E519,'0.0.1 Pokémon Dex Data'!$B$3:$B951,0))*INDEX('0.0.1 Pokémon Dex Data'!T$3:T951,MATCH($E519,'0.0.1 Pokémon Dex Data'!$B$3:$B951,0)),0)</f>
        <v>127</v>
      </c>
      <c r="K519" s="260" t="n">
        <f aca="false" t="array" ref="K519:K519">ROUND(INDEX('0.0.1 Pokémon Dex Data'!$S$3:$S951,MATCH($E519,'0.0.1 Pokémon Dex Data'!$B$3:$B951,0))*INDEX('0.0.1 Pokémon Dex Data'!U$3:U951,MATCH($E519,'0.0.1 Pokémon Dex Data'!$B$3:$B951,0)),0)</f>
        <v>78</v>
      </c>
      <c r="L519" s="260" t="n">
        <f aca="false" t="array" ref="L519:L519">ROUND(INDEX('0.0.1 Pokémon Dex Data'!$S$3:$S951,MATCH($E519,'0.0.1 Pokémon Dex Data'!$B$3:$B951,0))*INDEX('0.0.1 Pokémon Dex Data'!V$3:V951,MATCH($E519,'0.0.1 Pokémon Dex Data'!$B$3:$B951,0)),0)</f>
        <v>120</v>
      </c>
      <c r="M519" s="260" t="n">
        <f aca="false" t="array" ref="M519:M519">INDEX('0.0.1 Pokémon Dex Data'!$J$3:$J951,MATCH(E519,'0.0.1 Pokémon Dex Data'!$B$3:$B951,0))</f>
        <v>0</v>
      </c>
      <c r="O519" s="490"/>
      <c r="Q519" s="367" t="n">
        <f aca="false">IF('Reverse Search'!$F$4="All (including temporary formes)",1,IF('Reverse Search'!$F$4="Base Pokémon and permanent formes only",IF(F519&lt;=1,1,0),IF(F519=0,1,0)))</f>
        <v>1</v>
      </c>
      <c r="R519" s="0" t="n">
        <f aca="false">IF('Reverse Search'!$C$7="Disable",1,IF('Reverse Search'!$D$9="Disable",1,IF(OR('Reverse Search'!$F$9=H519,'Reverse Search'!$F$9=I519),1,0)))</f>
        <v>1</v>
      </c>
      <c r="S519" s="0" t="n">
        <f aca="false">IF('Reverse Search'!$C$7="Disable",1,IF('Reverse Search'!$D$10="Disable",1,IF(OR('Reverse Search'!$F$10=H519,'Reverse Search'!$F$10=I519),1,0)))</f>
        <v>1</v>
      </c>
      <c r="T519" s="0" t="n">
        <f aca="false">INDEX($B$4:$B$22,MATCH(H519,$A$4:$A$22,0))</f>
        <v>1</v>
      </c>
      <c r="U519" s="0" t="e">
        <f aca="false">IF(ISBLANK(I519),1,INDEX($B$4:$B$22,MATCH(I519,$A$4:$A$22,0)))</f>
        <v>#N/A</v>
      </c>
      <c r="V519" s="367" t="n">
        <f aca="false">IF('Reverse Search'!$C$7="Disable",1,IF('Reverse Search'!$D$11="Disable",1,IF('Reverse Search'!$E$11="Neutral to:",IF(ROUND(T519*U519,2)&lt;=1,1,0),IF(ROUND(T519*U519,2)&lt;1,1,0))))</f>
        <v>1</v>
      </c>
      <c r="W519" s="0" t="n">
        <f aca="false">IF('Reverse Search'!$N$7="Disable",1,IF('Reverse Search'!$I$9="Disable",1,IF('Reverse Search'!$K$9="≥",IF(J519&gt;='Reverse Search'!$L$9,1,0),IF('Reverse Search'!$K$9="≤",IF(J519&lt;='Reverse Search'!$L$9,1,0),IF(J519='Reverse Search'!$L$9,1,0)))))</f>
        <v>1</v>
      </c>
      <c r="X519" s="0" t="n">
        <f aca="false">IF('Reverse Search'!$N$7="Disable",1,IF('Reverse Search'!$I$10="Disable",1,IF('Reverse Search'!$K$10="≥",IF(K519&gt;='Reverse Search'!$L$10,1,0),IF('Reverse Search'!$K$10="≤",IF(K519&lt;='Reverse Search'!$L$10,1,0),IF(K519='Reverse Search'!$L$10,1,0)))))</f>
        <v>1</v>
      </c>
      <c r="Y519" s="367" t="n">
        <f aca="false">IF('Reverse Search'!$N$7="Disable",1,IF('Reverse Search'!$I$11="Disable",1,IF('Reverse Search'!$K$11="≥",IF(L519&gt;='Reverse Search'!$L$11,1,0),IF('Reverse Search'!$K$11="≤",IF(L519&lt;='Reverse Search'!$L$11,1,0),IF(L519='Reverse Search'!$L$11,1,0)))))</f>
        <v>1</v>
      </c>
      <c r="Z519" s="0" t="n">
        <f aca="true">IF('Reverse Search'!$C$14="Disable",1,IF('Reverse Search'!$D$16="Disable",1,IF($C$2=3,IF($M519=0,0,COUNTIF(INDIRECT("'0.0.2 Pokémon Learnset (Core)'!$D$"&amp;MATCH($E519,'0.0.2 Pokémon Learnset (Core)'!$A$1:$A951,0)&amp;":$FK$"&amp;MATCH($E519,'0.0.2 Pokémon Learnset (Core)'!$A$1:$A951,0)),'Reverse Search'!$E$21)),IF($C$2=2,COUNTIF(INDIRECT("'0.1.1 Pokémon GO Moves'!$B$"&amp;MATCH($E519,'0.1.1 Pokémon GO Moves'!$A$1:$A951,0)&amp;":$R$"&amp;MATCH($E519,'0.1.1 Pokémon GO Moves'!$A$1:$A951,0)),'Reverse Search'!$E$21),COUNTIF(INDIRECT("'0.1.1 Pokémon GO Moves'!$B$"&amp;MATCH($E519,'0.1.1 Pokémon GO Moves'!$A$1:$A951,0)&amp;":$L$"&amp;MATCH($E519,'0.1.1 Pokémon GO Moves'!$A$1:$A951,0)),'Reverse Search'!$E$21)))))</f>
        <v>1</v>
      </c>
      <c r="AA519" s="0" t="n">
        <f aca="true">IF('Reverse Search'!$C$14="Disable",1,IF('Reverse Search'!$I$16="Disable",1,IF($D$2=3,IF($M519=0,0,COUNTIF(INDIRECT("'0.0.2 Pokémon Learnset (Core)'!$D$"&amp;MATCH($E519,'0.0.2 Pokémon Learnset (Core)'!$A$1:$A951,0)&amp;":$FK$"&amp;MATCH($E519,'0.0.2 Pokémon Learnset (Core)'!$A$1:$A951,0)),'Reverse Search'!$J$21)),IF($D$2=2,COUNTIF(INDIRECT("'0.1.1 Pokémon GO Moves'!$B$"&amp;MATCH($E519,'0.1.1 Pokémon GO Moves'!$A$1:$A951,0)&amp;":$R$"&amp;MATCH($E519,'0.1.1 Pokémon GO Moves'!$A$1:$A951,0)),'Reverse Search'!$J$21),COUNTIF(INDIRECT("'0.1.1 Pokémon GO Moves'!$B$"&amp;MATCH($E519,'0.1.1 Pokémon GO Moves'!$A$1:$A951,0)&amp;":$L$"&amp;MATCH($E519,'0.1.1 Pokémon GO Moves'!$A$1:$A951,0)),'Reverse Search'!$J$21)))))</f>
        <v>0</v>
      </c>
      <c r="AB519" s="490"/>
      <c r="AC519" s="260" t="n">
        <f aca="false">IF((Q519+R519+S519+V519+W519+X519+Y519+IF(Z519&gt;=1,1,0)+IF(AA519&gt;=1,1,0))=9,G519&amp;", ",)</f>
        <v>0</v>
      </c>
    </row>
    <row r="520" customFormat="false" ht="15.75" hidden="false" customHeight="false" outlineLevel="0" collapsed="false">
      <c r="A520" s="260"/>
      <c r="B520" s="358"/>
      <c r="C520" s="260"/>
      <c r="D520" s="358"/>
      <c r="E520" s="260" t="n">
        <v>519</v>
      </c>
      <c r="F520" s="260" t="n">
        <f aca="false" t="array" ref="F520:F520">INDEX('0.0.1 Pokémon Dex Data'!$H$3:$H951,MATCH(E520,'0.0.1 Pokémon Dex Data'!$B$3:$B951,0))</f>
        <v>0</v>
      </c>
      <c r="G520" s="0" t="str">
        <f aca="false" t="array" ref="G520:G520">INDEX('0.0.1 Pokémon Dex Data'!$E$3:$E951,MATCH(E520,'0.0.1 Pokémon Dex Data'!$B$3:$B951,0))</f>
        <v>Lucario</v>
      </c>
      <c r="H520" s="0" t="str">
        <f aca="false" t="array" ref="H520:H520">INDEX('0.0.1 Pokémon Dex Data'!$Q$3:$Q951,MATCH(E520,'0.0.1 Pokémon Dex Data'!$B$3:$B951,0))</f>
        <v>Fighting</v>
      </c>
      <c r="I520" s="0" t="str">
        <f aca="false" t="array" ref="I520:I520">INDEX('0.0.1 Pokémon Dex Data'!$R$3:$R951,MATCH(E520,'0.0.1 Pokémon Dex Data'!$B$3:$B951,0))</f>
        <v>Steel</v>
      </c>
      <c r="J520" s="260" t="n">
        <f aca="false" t="array" ref="J520:J520">ROUND(INDEX('0.0.1 Pokémon Dex Data'!$S$3:$S951,MATCH($E520,'0.0.1 Pokémon Dex Data'!$B$3:$B951,0))*INDEX('0.0.1 Pokémon Dex Data'!T$3:T951,MATCH($E520,'0.0.1 Pokémon Dex Data'!$B$3:$B951,0)),0)</f>
        <v>236</v>
      </c>
      <c r="K520" s="260" t="n">
        <f aca="false" t="array" ref="K520:K520">ROUND(INDEX('0.0.1 Pokémon Dex Data'!$S$3:$S951,MATCH($E520,'0.0.1 Pokémon Dex Data'!$B$3:$B951,0))*INDEX('0.0.1 Pokémon Dex Data'!U$3:U951,MATCH($E520,'0.0.1 Pokémon Dex Data'!$B$3:$B951,0)),0)</f>
        <v>144</v>
      </c>
      <c r="L520" s="260" t="n">
        <f aca="false" t="array" ref="L520:L520">ROUND(INDEX('0.0.1 Pokémon Dex Data'!$S$3:$S951,MATCH($E520,'0.0.1 Pokémon Dex Data'!$B$3:$B951,0))*INDEX('0.0.1 Pokémon Dex Data'!V$3:V951,MATCH($E520,'0.0.1 Pokémon Dex Data'!$B$3:$B951,0)),0)</f>
        <v>172</v>
      </c>
      <c r="M520" s="260" t="n">
        <f aca="false" t="array" ref="M520:M520">INDEX('0.0.1 Pokémon Dex Data'!$J$3:$J951,MATCH(E520,'0.0.1 Pokémon Dex Data'!$B$3:$B951,0))</f>
        <v>1</v>
      </c>
      <c r="O520" s="490"/>
      <c r="Q520" s="367" t="n">
        <f aca="false">IF('Reverse Search'!$F$4="All (including temporary formes)",1,IF('Reverse Search'!$F$4="Base Pokémon and permanent formes only",IF(F520&lt;=1,1,0),IF(F520=0,1,0)))</f>
        <v>1</v>
      </c>
      <c r="R520" s="0" t="n">
        <f aca="false">IF('Reverse Search'!$C$7="Disable",1,IF('Reverse Search'!$D$9="Disable",1,IF(OR('Reverse Search'!$F$9=H520,'Reverse Search'!$F$9=I520),1,0)))</f>
        <v>1</v>
      </c>
      <c r="S520" s="0" t="n">
        <f aca="false">IF('Reverse Search'!$C$7="Disable",1,IF('Reverse Search'!$D$10="Disable",1,IF(OR('Reverse Search'!$F$10=H520,'Reverse Search'!$F$10=I520),1,0)))</f>
        <v>1</v>
      </c>
      <c r="T520" s="0" t="n">
        <f aca="false">INDEX($B$4:$B$22,MATCH(H520,$A$4:$A$22,0))</f>
        <v>1</v>
      </c>
      <c r="U520" s="0" t="n">
        <f aca="false">IF(ISBLANK(I520),1,INDEX($B$4:$B$22,MATCH(I520,$A$4:$A$22,0)))</f>
        <v>0.714</v>
      </c>
      <c r="V520" s="367" t="n">
        <f aca="false">IF('Reverse Search'!$C$7="Disable",1,IF('Reverse Search'!$D$11="Disable",1,IF('Reverse Search'!$E$11="Neutral to:",IF(ROUND(T520*U520,2)&lt;=1,1,0),IF(ROUND(T520*U520,2)&lt;1,1,0))))</f>
        <v>1</v>
      </c>
      <c r="W520" s="0" t="n">
        <f aca="false">IF('Reverse Search'!$N$7="Disable",1,IF('Reverse Search'!$I$9="Disable",1,IF('Reverse Search'!$K$9="≥",IF(J520&gt;='Reverse Search'!$L$9,1,0),IF('Reverse Search'!$K$9="≤",IF(J520&lt;='Reverse Search'!$L$9,1,0),IF(J520='Reverse Search'!$L$9,1,0)))))</f>
        <v>1</v>
      </c>
      <c r="X520" s="0" t="n">
        <f aca="false">IF('Reverse Search'!$N$7="Disable",1,IF('Reverse Search'!$I$10="Disable",1,IF('Reverse Search'!$K$10="≥",IF(K520&gt;='Reverse Search'!$L$10,1,0),IF('Reverse Search'!$K$10="≤",IF(K520&lt;='Reverse Search'!$L$10,1,0),IF(K520='Reverse Search'!$L$10,1,0)))))</f>
        <v>1</v>
      </c>
      <c r="Y520" s="367" t="n">
        <f aca="false">IF('Reverse Search'!$N$7="Disable",1,IF('Reverse Search'!$I$11="Disable",1,IF('Reverse Search'!$K$11="≥",IF(L520&gt;='Reverse Search'!$L$11,1,0),IF('Reverse Search'!$K$11="≤",IF(L520&lt;='Reverse Search'!$L$11,1,0),IF(L520='Reverse Search'!$L$11,1,0)))))</f>
        <v>1</v>
      </c>
      <c r="Z520" s="0" t="n">
        <f aca="true">IF('Reverse Search'!$C$14="Disable",1,IF('Reverse Search'!$D$16="Disable",1,IF($C$2=3,IF($M520=0,0,COUNTIF(INDIRECT("'0.0.2 Pokémon Learnset (Core)'!$D$"&amp;MATCH($E520,'0.0.2 Pokémon Learnset (Core)'!$A$1:$A951,0)&amp;":$FK$"&amp;MATCH($E520,'0.0.2 Pokémon Learnset (Core)'!$A$1:$A951,0)),'Reverse Search'!$E$21)),IF($C$2=2,COUNTIF(INDIRECT("'0.1.1 Pokémon GO Moves'!$B$"&amp;MATCH($E520,'0.1.1 Pokémon GO Moves'!$A$1:$A951,0)&amp;":$R$"&amp;MATCH($E520,'0.1.1 Pokémon GO Moves'!$A$1:$A951,0)),'Reverse Search'!$E$21),COUNTIF(INDIRECT("'0.1.1 Pokémon GO Moves'!$B$"&amp;MATCH($E520,'0.1.1 Pokémon GO Moves'!$A$1:$A951,0)&amp;":$L$"&amp;MATCH($E520,'0.1.1 Pokémon GO Moves'!$A$1:$A951,0)),'Reverse Search'!$E$21)))))</f>
        <v>1</v>
      </c>
      <c r="AA520" s="0" t="n">
        <f aca="true">IF('Reverse Search'!$C$14="Disable",1,IF('Reverse Search'!$I$16="Disable",1,IF($D$2=3,IF($M520=0,0,COUNTIF(INDIRECT("'0.0.2 Pokémon Learnset (Core)'!$D$"&amp;MATCH($E520,'0.0.2 Pokémon Learnset (Core)'!$A$1:$A951,0)&amp;":$FK$"&amp;MATCH($E520,'0.0.2 Pokémon Learnset (Core)'!$A$1:$A951,0)),'Reverse Search'!$J$21)),IF($D$2=2,COUNTIF(INDIRECT("'0.1.1 Pokémon GO Moves'!$B$"&amp;MATCH($E520,'0.1.1 Pokémon GO Moves'!$A$1:$A951,0)&amp;":$R$"&amp;MATCH($E520,'0.1.1 Pokémon GO Moves'!$A$1:$A951,0)),'Reverse Search'!$J$21),COUNTIF(INDIRECT("'0.1.1 Pokémon GO Moves'!$B$"&amp;MATCH($E520,'0.1.1 Pokémon GO Moves'!$A$1:$A951,0)&amp;":$L$"&amp;MATCH($E520,'0.1.1 Pokémon GO Moves'!$A$1:$A951,0)),'Reverse Search'!$J$21)))))</f>
        <v>0</v>
      </c>
      <c r="AB520" s="490"/>
      <c r="AC520" s="260" t="n">
        <f aca="false">IF((Q520+R520+S520+V520+W520+X520+Y520+IF(Z520&gt;=1,1,0)+IF(AA520&gt;=1,1,0))=9,G520&amp;", ",)</f>
        <v>0</v>
      </c>
    </row>
    <row r="521" customFormat="false" ht="15.75" hidden="false" customHeight="false" outlineLevel="0" collapsed="false">
      <c r="A521" s="260"/>
      <c r="B521" s="358"/>
      <c r="C521" s="260"/>
      <c r="D521" s="358"/>
      <c r="E521" s="260" t="n">
        <v>520</v>
      </c>
      <c r="F521" s="260" t="n">
        <f aca="false" t="array" ref="F521:F521">INDEX('0.0.1 Pokémon Dex Data'!$H$3:$H951,MATCH(E521,'0.0.1 Pokémon Dex Data'!$B$3:$B951,0))</f>
        <v>2</v>
      </c>
      <c r="G521" s="0" t="str">
        <f aca="false" t="array" ref="G521:G521">INDEX('0.0.1 Pokémon Dex Data'!$E$3:$E951,MATCH(E521,'0.0.1 Pokémon Dex Data'!$B$3:$B951,0))</f>
        <v>Lucario-Mega</v>
      </c>
      <c r="H521" s="0" t="str">
        <f aca="false" t="array" ref="H521:H521">INDEX('0.0.1 Pokémon Dex Data'!$Q$3:$Q951,MATCH(E521,'0.0.1 Pokémon Dex Data'!$B$3:$B951,0))</f>
        <v>Fighting</v>
      </c>
      <c r="I521" s="0" t="str">
        <f aca="false" t="array" ref="I521:I521">INDEX('0.0.1 Pokémon Dex Data'!$R$3:$R951,MATCH(E521,'0.0.1 Pokémon Dex Data'!$B$3:$B951,0))</f>
        <v>Steel</v>
      </c>
      <c r="J521" s="260" t="n">
        <f aca="false" t="array" ref="J521:J521">ROUND(INDEX('0.0.1 Pokémon Dex Data'!$S$3:$S951,MATCH($E521,'0.0.1 Pokémon Dex Data'!$B$3:$B951,0))*INDEX('0.0.1 Pokémon Dex Data'!T$3:T951,MATCH($E521,'0.0.1 Pokémon Dex Data'!$B$3:$B951,0)),0)</f>
        <v>310</v>
      </c>
      <c r="K521" s="260" t="n">
        <f aca="false" t="array" ref="K521:K521">ROUND(INDEX('0.0.1 Pokémon Dex Data'!$S$3:$S951,MATCH($E521,'0.0.1 Pokémon Dex Data'!$B$3:$B951,0))*INDEX('0.0.1 Pokémon Dex Data'!U$3:U951,MATCH($E521,'0.0.1 Pokémon Dex Data'!$B$3:$B951,0)),0)</f>
        <v>175</v>
      </c>
      <c r="L521" s="260" t="n">
        <f aca="false" t="array" ref="L521:L521">ROUND(INDEX('0.0.1 Pokémon Dex Data'!$S$3:$S951,MATCH($E521,'0.0.1 Pokémon Dex Data'!$B$3:$B951,0))*INDEX('0.0.1 Pokémon Dex Data'!V$3:V951,MATCH($E521,'0.0.1 Pokémon Dex Data'!$B$3:$B951,0)),0)</f>
        <v>172</v>
      </c>
      <c r="M521" s="260" t="n">
        <f aca="false" t="array" ref="M521:M521">INDEX('0.0.1 Pokémon Dex Data'!$J$3:$J951,MATCH(E521,'0.0.1 Pokémon Dex Data'!$B$3:$B951,0))</f>
        <v>1</v>
      </c>
      <c r="O521" s="490"/>
      <c r="Q521" s="367" t="n">
        <f aca="false">IF('Reverse Search'!$F$4="All (including temporary formes)",1,IF('Reverse Search'!$F$4="Base Pokémon and permanent formes only",IF(F521&lt;=1,1,0),IF(F521=0,1,0)))</f>
        <v>0</v>
      </c>
      <c r="R521" s="0" t="n">
        <f aca="false">IF('Reverse Search'!$C$7="Disable",1,IF('Reverse Search'!$D$9="Disable",1,IF(OR('Reverse Search'!$F$9=H521,'Reverse Search'!$F$9=I521),1,0)))</f>
        <v>1</v>
      </c>
      <c r="S521" s="0" t="n">
        <f aca="false">IF('Reverse Search'!$C$7="Disable",1,IF('Reverse Search'!$D$10="Disable",1,IF(OR('Reverse Search'!$F$10=H521,'Reverse Search'!$F$10=I521),1,0)))</f>
        <v>1</v>
      </c>
      <c r="T521" s="0" t="n">
        <f aca="false">INDEX($B$4:$B$22,MATCH(H521,$A$4:$A$22,0))</f>
        <v>1</v>
      </c>
      <c r="U521" s="0" t="n">
        <f aca="false">IF(ISBLANK(I521),1,INDEX($B$4:$B$22,MATCH(I521,$A$4:$A$22,0)))</f>
        <v>0.714</v>
      </c>
      <c r="V521" s="367" t="n">
        <f aca="false">IF('Reverse Search'!$C$7="Disable",1,IF('Reverse Search'!$D$11="Disable",1,IF('Reverse Search'!$E$11="Neutral to:",IF(ROUND(T521*U521,2)&lt;=1,1,0),IF(ROUND(T521*U521,2)&lt;1,1,0))))</f>
        <v>1</v>
      </c>
      <c r="W521" s="0" t="n">
        <f aca="false">IF('Reverse Search'!$N$7="Disable",1,IF('Reverse Search'!$I$9="Disable",1,IF('Reverse Search'!$K$9="≥",IF(J521&gt;='Reverse Search'!$L$9,1,0),IF('Reverse Search'!$K$9="≤",IF(J521&lt;='Reverse Search'!$L$9,1,0),IF(J521='Reverse Search'!$L$9,1,0)))))</f>
        <v>1</v>
      </c>
      <c r="X521" s="0" t="n">
        <f aca="false">IF('Reverse Search'!$N$7="Disable",1,IF('Reverse Search'!$I$10="Disable",1,IF('Reverse Search'!$K$10="≥",IF(K521&gt;='Reverse Search'!$L$10,1,0),IF('Reverse Search'!$K$10="≤",IF(K521&lt;='Reverse Search'!$L$10,1,0),IF(K521='Reverse Search'!$L$10,1,0)))))</f>
        <v>1</v>
      </c>
      <c r="Y521" s="367" t="n">
        <f aca="false">IF('Reverse Search'!$N$7="Disable",1,IF('Reverse Search'!$I$11="Disable",1,IF('Reverse Search'!$K$11="≥",IF(L521&gt;='Reverse Search'!$L$11,1,0),IF('Reverse Search'!$K$11="≤",IF(L521&lt;='Reverse Search'!$L$11,1,0),IF(L521='Reverse Search'!$L$11,1,0)))))</f>
        <v>1</v>
      </c>
      <c r="Z521" s="0" t="n">
        <f aca="true">IF('Reverse Search'!$C$14="Disable",1,IF('Reverse Search'!$D$16="Disable",1,IF($C$2=3,IF($M521=0,0,COUNTIF(INDIRECT("'0.0.2 Pokémon Learnset (Core)'!$D$"&amp;MATCH($E521,'0.0.2 Pokémon Learnset (Core)'!$A$1:$A951,0)&amp;":$FK$"&amp;MATCH($E521,'0.0.2 Pokémon Learnset (Core)'!$A$1:$A951,0)),'Reverse Search'!$E$21)),IF($C$2=2,COUNTIF(INDIRECT("'0.1.1 Pokémon GO Moves'!$B$"&amp;MATCH($E521,'0.1.1 Pokémon GO Moves'!$A$1:$A951,0)&amp;":$R$"&amp;MATCH($E521,'0.1.1 Pokémon GO Moves'!$A$1:$A951,0)),'Reverse Search'!$E$21),COUNTIF(INDIRECT("'0.1.1 Pokémon GO Moves'!$B$"&amp;MATCH($E521,'0.1.1 Pokémon GO Moves'!$A$1:$A951,0)&amp;":$L$"&amp;MATCH($E521,'0.1.1 Pokémon GO Moves'!$A$1:$A951,0)),'Reverse Search'!$E$21)))))</f>
        <v>1</v>
      </c>
      <c r="AA521" s="0" t="e">
        <f aca="true">IF('Reverse Search'!$C$14="Disable",1,IF('Reverse Search'!$I$16="Disable",1,IF($D$2=3,IF($M521=0,0,COUNTIF(INDIRECT("'0.0.2 Pokémon Learnset (Core)'!$D$"&amp;MATCH($E521,'0.0.2 Pokémon Learnset (Core)'!$A$1:$A951,0)&amp;":$FK$"&amp;MATCH($E521,'0.0.2 Pokémon Learnset (Core)'!$A$1:$A951,0)),'Reverse Search'!$J$21)),IF($D$2=2,COUNTIF(INDIRECT("'0.1.1 Pokémon GO Moves'!$B$"&amp;MATCH($E521,'0.1.1 Pokémon GO Moves'!$A$1:$A951,0)&amp;":$R$"&amp;MATCH($E521,'0.1.1 Pokémon GO Moves'!$A$1:$A951,0)),'Reverse Search'!$J$21),COUNTIF(INDIRECT("'0.1.1 Pokémon GO Moves'!$B$"&amp;MATCH($E521,'0.1.1 Pokémon GO Moves'!$A$1:$A951,0)&amp;":$L$"&amp;MATCH($E521,'0.1.1 Pokémon GO Moves'!$A$1:$A951,0)),'Reverse Search'!$J$21)))))</f>
        <v>#N/A</v>
      </c>
      <c r="AB521" s="490"/>
      <c r="AC521" s="260" t="e">
        <f aca="false">IF((Q521+R521+S521+V521+W521+X521+Y521+IF(Z521&gt;=1,1,0)+IF(AA521&gt;=1,1,0))=9,G521&amp;", ",)</f>
        <v>#N/A</v>
      </c>
    </row>
    <row r="522" customFormat="false" ht="15.75" hidden="false" customHeight="false" outlineLevel="0" collapsed="false">
      <c r="A522" s="260"/>
      <c r="B522" s="358"/>
      <c r="C522" s="260"/>
      <c r="D522" s="358"/>
      <c r="E522" s="260" t="n">
        <v>521</v>
      </c>
      <c r="F522" s="260" t="n">
        <f aca="false" t="array" ref="F522:F522">INDEX('0.0.1 Pokémon Dex Data'!$H$3:$H951,MATCH(E522,'0.0.1 Pokémon Dex Data'!$B$3:$B951,0))</f>
        <v>0</v>
      </c>
      <c r="G522" s="0" t="str">
        <f aca="false" t="array" ref="G522:G522">INDEX('0.0.1 Pokémon Dex Data'!$E$3:$E951,MATCH(E522,'0.0.1 Pokémon Dex Data'!$B$3:$B951,0))</f>
        <v>Hippopotas</v>
      </c>
      <c r="H522" s="0" t="str">
        <f aca="false" t="array" ref="H522:H522">INDEX('0.0.1 Pokémon Dex Data'!$Q$3:$Q951,MATCH(E522,'0.0.1 Pokémon Dex Data'!$B$3:$B951,0))</f>
        <v>Ground</v>
      </c>
      <c r="I522" s="0" t="n">
        <f aca="false">INDEX('0.0.1 Pokémon Dex Data'!$R$3:$R951,MATCH(E522,'0.0.1 Pokémon Dex Data'!$B$3:$B951,0))</f>
        <v>0</v>
      </c>
      <c r="J522" s="260" t="n">
        <f aca="false" t="array" ref="J522:J522">ROUND(INDEX('0.0.1 Pokémon Dex Data'!$S$3:$S951,MATCH($E522,'0.0.1 Pokémon Dex Data'!$B$3:$B951,0))*INDEX('0.0.1 Pokémon Dex Data'!T$3:T951,MATCH($E522,'0.0.1 Pokémon Dex Data'!$B$3:$B951,0)),0)</f>
        <v>124</v>
      </c>
      <c r="K522" s="260" t="n">
        <f aca="false" t="array" ref="K522:K522">ROUND(INDEX('0.0.1 Pokémon Dex Data'!$S$3:$S951,MATCH($E522,'0.0.1 Pokémon Dex Data'!$B$3:$B951,0))*INDEX('0.0.1 Pokémon Dex Data'!U$3:U951,MATCH($E522,'0.0.1 Pokémon Dex Data'!$B$3:$B951,0)),0)</f>
        <v>118</v>
      </c>
      <c r="L522" s="260" t="n">
        <f aca="false" t="array" ref="L522:L522">ROUND(INDEX('0.0.1 Pokémon Dex Data'!$S$3:$S951,MATCH($E522,'0.0.1 Pokémon Dex Data'!$B$3:$B951,0))*INDEX('0.0.1 Pokémon Dex Data'!V$3:V951,MATCH($E522,'0.0.1 Pokémon Dex Data'!$B$3:$B951,0)),0)</f>
        <v>169</v>
      </c>
      <c r="M522" s="260" t="n">
        <f aca="false" t="array" ref="M522:M522">INDEX('0.0.1 Pokémon Dex Data'!$J$3:$J951,MATCH(E522,'0.0.1 Pokémon Dex Data'!$B$3:$B951,0))</f>
        <v>0</v>
      </c>
      <c r="O522" s="490"/>
      <c r="Q522" s="367" t="n">
        <f aca="false">IF('Reverse Search'!$F$4="All (including temporary formes)",1,IF('Reverse Search'!$F$4="Base Pokémon and permanent formes only",IF(F522&lt;=1,1,0),IF(F522=0,1,0)))</f>
        <v>1</v>
      </c>
      <c r="R522" s="0" t="n">
        <f aca="false">IF('Reverse Search'!$C$7="Disable",1,IF('Reverse Search'!$D$9="Disable",1,IF(OR('Reverse Search'!$F$9=H522,'Reverse Search'!$F$9=I522),1,0)))</f>
        <v>1</v>
      </c>
      <c r="S522" s="0" t="n">
        <f aca="false">IF('Reverse Search'!$C$7="Disable",1,IF('Reverse Search'!$D$10="Disable",1,IF(OR('Reverse Search'!$F$10=H522,'Reverse Search'!$F$10=I522),1,0)))</f>
        <v>1</v>
      </c>
      <c r="T522" s="0" t="n">
        <f aca="false">INDEX($B$4:$B$22,MATCH(H522,$A$4:$A$22,0))</f>
        <v>1</v>
      </c>
      <c r="U522" s="0" t="e">
        <f aca="false">IF(ISBLANK(I522),1,INDEX($B$4:$B$22,MATCH(I522,$A$4:$A$22,0)))</f>
        <v>#N/A</v>
      </c>
      <c r="V522" s="367" t="n">
        <f aca="false">IF('Reverse Search'!$C$7="Disable",1,IF('Reverse Search'!$D$11="Disable",1,IF('Reverse Search'!$E$11="Neutral to:",IF(ROUND(T522*U522,2)&lt;=1,1,0),IF(ROUND(T522*U522,2)&lt;1,1,0))))</f>
        <v>1</v>
      </c>
      <c r="W522" s="0" t="n">
        <f aca="false">IF('Reverse Search'!$N$7="Disable",1,IF('Reverse Search'!$I$9="Disable",1,IF('Reverse Search'!$K$9="≥",IF(J522&gt;='Reverse Search'!$L$9,1,0),IF('Reverse Search'!$K$9="≤",IF(J522&lt;='Reverse Search'!$L$9,1,0),IF(J522='Reverse Search'!$L$9,1,0)))))</f>
        <v>1</v>
      </c>
      <c r="X522" s="0" t="n">
        <f aca="false">IF('Reverse Search'!$N$7="Disable",1,IF('Reverse Search'!$I$10="Disable",1,IF('Reverse Search'!$K$10="≥",IF(K522&gt;='Reverse Search'!$L$10,1,0),IF('Reverse Search'!$K$10="≤",IF(K522&lt;='Reverse Search'!$L$10,1,0),IF(K522='Reverse Search'!$L$10,1,0)))))</f>
        <v>1</v>
      </c>
      <c r="Y522" s="367" t="n">
        <f aca="false">IF('Reverse Search'!$N$7="Disable",1,IF('Reverse Search'!$I$11="Disable",1,IF('Reverse Search'!$K$11="≥",IF(L522&gt;='Reverse Search'!$L$11,1,0),IF('Reverse Search'!$K$11="≤",IF(L522&lt;='Reverse Search'!$L$11,1,0),IF(L522='Reverse Search'!$L$11,1,0)))))</f>
        <v>1</v>
      </c>
      <c r="Z522" s="0" t="n">
        <f aca="true">IF('Reverse Search'!$C$14="Disable",1,IF('Reverse Search'!$D$16="Disable",1,IF($C$2=3,IF($M522=0,0,COUNTIF(INDIRECT("'0.0.2 Pokémon Learnset (Core)'!$D$"&amp;MATCH($E522,'0.0.2 Pokémon Learnset (Core)'!$A$1:$A951,0)&amp;":$FK$"&amp;MATCH($E522,'0.0.2 Pokémon Learnset (Core)'!$A$1:$A951,0)),'Reverse Search'!$E$21)),IF($C$2=2,COUNTIF(INDIRECT("'0.1.1 Pokémon GO Moves'!$B$"&amp;MATCH($E522,'0.1.1 Pokémon GO Moves'!$A$1:$A951,0)&amp;":$R$"&amp;MATCH($E522,'0.1.1 Pokémon GO Moves'!$A$1:$A951,0)),'Reverse Search'!$E$21),COUNTIF(INDIRECT("'0.1.1 Pokémon GO Moves'!$B$"&amp;MATCH($E522,'0.1.1 Pokémon GO Moves'!$A$1:$A951,0)&amp;":$L$"&amp;MATCH($E522,'0.1.1 Pokémon GO Moves'!$A$1:$A951,0)),'Reverse Search'!$E$21)))))</f>
        <v>1</v>
      </c>
      <c r="AA522" s="0" t="n">
        <f aca="true">IF('Reverse Search'!$C$14="Disable",1,IF('Reverse Search'!$I$16="Disable",1,IF($D$2=3,IF($M522=0,0,COUNTIF(INDIRECT("'0.0.2 Pokémon Learnset (Core)'!$D$"&amp;MATCH($E522,'0.0.2 Pokémon Learnset (Core)'!$A$1:$A951,0)&amp;":$FK$"&amp;MATCH($E522,'0.0.2 Pokémon Learnset (Core)'!$A$1:$A951,0)),'Reverse Search'!$J$21)),IF($D$2=2,COUNTIF(INDIRECT("'0.1.1 Pokémon GO Moves'!$B$"&amp;MATCH($E522,'0.1.1 Pokémon GO Moves'!$A$1:$A951,0)&amp;":$R$"&amp;MATCH($E522,'0.1.1 Pokémon GO Moves'!$A$1:$A951,0)),'Reverse Search'!$J$21),COUNTIF(INDIRECT("'0.1.1 Pokémon GO Moves'!$B$"&amp;MATCH($E522,'0.1.1 Pokémon GO Moves'!$A$1:$A951,0)&amp;":$L$"&amp;MATCH($E522,'0.1.1 Pokémon GO Moves'!$A$1:$A951,0)),'Reverse Search'!$J$21)))))</f>
        <v>0</v>
      </c>
      <c r="AB522" s="490"/>
      <c r="AC522" s="260" t="n">
        <f aca="false">IF((Q522+R522+S522+V522+W522+X522+Y522+IF(Z522&gt;=1,1,0)+IF(AA522&gt;=1,1,0))=9,G522&amp;", ",)</f>
        <v>0</v>
      </c>
    </row>
    <row r="523" customFormat="false" ht="15.75" hidden="false" customHeight="false" outlineLevel="0" collapsed="false">
      <c r="A523" s="260"/>
      <c r="B523" s="358"/>
      <c r="C523" s="260"/>
      <c r="D523" s="358"/>
      <c r="E523" s="260" t="n">
        <v>522</v>
      </c>
      <c r="F523" s="260" t="n">
        <f aca="false" t="array" ref="F523:F523">INDEX('0.0.1 Pokémon Dex Data'!$H$3:$H951,MATCH(E523,'0.0.1 Pokémon Dex Data'!$B$3:$B951,0))</f>
        <v>0</v>
      </c>
      <c r="G523" s="0" t="str">
        <f aca="false" t="array" ref="G523:G523">INDEX('0.0.1 Pokémon Dex Data'!$E$3:$E951,MATCH(E523,'0.0.1 Pokémon Dex Data'!$B$3:$B951,0))</f>
        <v>Hippowdon</v>
      </c>
      <c r="H523" s="0" t="str">
        <f aca="false" t="array" ref="H523:H523">INDEX('0.0.1 Pokémon Dex Data'!$Q$3:$Q951,MATCH(E523,'0.0.1 Pokémon Dex Data'!$B$3:$B951,0))</f>
        <v>Ground</v>
      </c>
      <c r="I523" s="0" t="n">
        <f aca="false">INDEX('0.0.1 Pokémon Dex Data'!$R$3:$R951,MATCH(E523,'0.0.1 Pokémon Dex Data'!$B$3:$B951,0))</f>
        <v>0</v>
      </c>
      <c r="J523" s="260" t="n">
        <f aca="false" t="array" ref="J523:J523">ROUND(INDEX('0.0.1 Pokémon Dex Data'!$S$3:$S951,MATCH($E523,'0.0.1 Pokémon Dex Data'!$B$3:$B951,0))*INDEX('0.0.1 Pokémon Dex Data'!T$3:T951,MATCH($E523,'0.0.1 Pokémon Dex Data'!$B$3:$B951,0)),0)</f>
        <v>201</v>
      </c>
      <c r="K523" s="260" t="n">
        <f aca="false" t="array" ref="K523:K523">ROUND(INDEX('0.0.1 Pokémon Dex Data'!$S$3:$S951,MATCH($E523,'0.0.1 Pokémon Dex Data'!$B$3:$B951,0))*INDEX('0.0.1 Pokémon Dex Data'!U$3:U951,MATCH($E523,'0.0.1 Pokémon Dex Data'!$B$3:$B951,0)),0)</f>
        <v>191</v>
      </c>
      <c r="L523" s="260" t="n">
        <f aca="false" t="array" ref="L523:L523">ROUND(INDEX('0.0.1 Pokémon Dex Data'!$S$3:$S951,MATCH($E523,'0.0.1 Pokémon Dex Data'!$B$3:$B951,0))*INDEX('0.0.1 Pokémon Dex Data'!V$3:V951,MATCH($E523,'0.0.1 Pokémon Dex Data'!$B$3:$B951,0)),0)</f>
        <v>239</v>
      </c>
      <c r="M523" s="260" t="n">
        <f aca="false" t="array" ref="M523:M523">INDEX('0.0.1 Pokémon Dex Data'!$J$3:$J951,MATCH(E523,'0.0.1 Pokémon Dex Data'!$B$3:$B951,0))</f>
        <v>1</v>
      </c>
      <c r="O523" s="490"/>
      <c r="Q523" s="367" t="n">
        <f aca="false">IF('Reverse Search'!$F$4="All (including temporary formes)",1,IF('Reverse Search'!$F$4="Base Pokémon and permanent formes only",IF(F523&lt;=1,1,0),IF(F523=0,1,0)))</f>
        <v>1</v>
      </c>
      <c r="R523" s="0" t="n">
        <f aca="false">IF('Reverse Search'!$C$7="Disable",1,IF('Reverse Search'!$D$9="Disable",1,IF(OR('Reverse Search'!$F$9=H523,'Reverse Search'!$F$9=I523),1,0)))</f>
        <v>1</v>
      </c>
      <c r="S523" s="0" t="n">
        <f aca="false">IF('Reverse Search'!$C$7="Disable",1,IF('Reverse Search'!$D$10="Disable",1,IF(OR('Reverse Search'!$F$10=H523,'Reverse Search'!$F$10=I523),1,0)))</f>
        <v>1</v>
      </c>
      <c r="T523" s="0" t="n">
        <f aca="false">INDEX($B$4:$B$22,MATCH(H523,$A$4:$A$22,0))</f>
        <v>1</v>
      </c>
      <c r="U523" s="0" t="e">
        <f aca="false">IF(ISBLANK(I523),1,INDEX($B$4:$B$22,MATCH(I523,$A$4:$A$22,0)))</f>
        <v>#N/A</v>
      </c>
      <c r="V523" s="367" t="n">
        <f aca="false">IF('Reverse Search'!$C$7="Disable",1,IF('Reverse Search'!$D$11="Disable",1,IF('Reverse Search'!$E$11="Neutral to:",IF(ROUND(T523*U523,2)&lt;=1,1,0),IF(ROUND(T523*U523,2)&lt;1,1,0))))</f>
        <v>1</v>
      </c>
      <c r="W523" s="0" t="n">
        <f aca="false">IF('Reverse Search'!$N$7="Disable",1,IF('Reverse Search'!$I$9="Disable",1,IF('Reverse Search'!$K$9="≥",IF(J523&gt;='Reverse Search'!$L$9,1,0),IF('Reverse Search'!$K$9="≤",IF(J523&lt;='Reverse Search'!$L$9,1,0),IF(J523='Reverse Search'!$L$9,1,0)))))</f>
        <v>1</v>
      </c>
      <c r="X523" s="0" t="n">
        <f aca="false">IF('Reverse Search'!$N$7="Disable",1,IF('Reverse Search'!$I$10="Disable",1,IF('Reverse Search'!$K$10="≥",IF(K523&gt;='Reverse Search'!$L$10,1,0),IF('Reverse Search'!$K$10="≤",IF(K523&lt;='Reverse Search'!$L$10,1,0),IF(K523='Reverse Search'!$L$10,1,0)))))</f>
        <v>1</v>
      </c>
      <c r="Y523" s="367" t="n">
        <f aca="false">IF('Reverse Search'!$N$7="Disable",1,IF('Reverse Search'!$I$11="Disable",1,IF('Reverse Search'!$K$11="≥",IF(L523&gt;='Reverse Search'!$L$11,1,0),IF('Reverse Search'!$K$11="≤",IF(L523&lt;='Reverse Search'!$L$11,1,0),IF(L523='Reverse Search'!$L$11,1,0)))))</f>
        <v>1</v>
      </c>
      <c r="Z523" s="0" t="n">
        <f aca="true">IF('Reverse Search'!$C$14="Disable",1,IF('Reverse Search'!$D$16="Disable",1,IF($C$2=3,IF($M523=0,0,COUNTIF(INDIRECT("'0.0.2 Pokémon Learnset (Core)'!$D$"&amp;MATCH($E523,'0.0.2 Pokémon Learnset (Core)'!$A$1:$A951,0)&amp;":$FK$"&amp;MATCH($E523,'0.0.2 Pokémon Learnset (Core)'!$A$1:$A951,0)),'Reverse Search'!$E$21)),IF($C$2=2,COUNTIF(INDIRECT("'0.1.1 Pokémon GO Moves'!$B$"&amp;MATCH($E523,'0.1.1 Pokémon GO Moves'!$A$1:$A951,0)&amp;":$R$"&amp;MATCH($E523,'0.1.1 Pokémon GO Moves'!$A$1:$A951,0)),'Reverse Search'!$E$21),COUNTIF(INDIRECT("'0.1.1 Pokémon GO Moves'!$B$"&amp;MATCH($E523,'0.1.1 Pokémon GO Moves'!$A$1:$A951,0)&amp;":$L$"&amp;MATCH($E523,'0.1.1 Pokémon GO Moves'!$A$1:$A951,0)),'Reverse Search'!$E$21)))))</f>
        <v>1</v>
      </c>
      <c r="AA523" s="0" t="n">
        <f aca="true">IF('Reverse Search'!$C$14="Disable",1,IF('Reverse Search'!$I$16="Disable",1,IF($D$2=3,IF($M523=0,0,COUNTIF(INDIRECT("'0.0.2 Pokémon Learnset (Core)'!$D$"&amp;MATCH($E523,'0.0.2 Pokémon Learnset (Core)'!$A$1:$A951,0)&amp;":$FK$"&amp;MATCH($E523,'0.0.2 Pokémon Learnset (Core)'!$A$1:$A951,0)),'Reverse Search'!$J$21)),IF($D$2=2,COUNTIF(INDIRECT("'0.1.1 Pokémon GO Moves'!$B$"&amp;MATCH($E523,'0.1.1 Pokémon GO Moves'!$A$1:$A951,0)&amp;":$R$"&amp;MATCH($E523,'0.1.1 Pokémon GO Moves'!$A$1:$A951,0)),'Reverse Search'!$J$21),COUNTIF(INDIRECT("'0.1.1 Pokémon GO Moves'!$B$"&amp;MATCH($E523,'0.1.1 Pokémon GO Moves'!$A$1:$A951,0)&amp;":$L$"&amp;MATCH($E523,'0.1.1 Pokémon GO Moves'!$A$1:$A951,0)),'Reverse Search'!$J$21)))))</f>
        <v>0</v>
      </c>
      <c r="AB523" s="490"/>
      <c r="AC523" s="260" t="n">
        <f aca="false">IF((Q523+R523+S523+V523+W523+X523+Y523+IF(Z523&gt;=1,1,0)+IF(AA523&gt;=1,1,0))=9,G523&amp;", ",)</f>
        <v>0</v>
      </c>
    </row>
    <row r="524" customFormat="false" ht="15.75" hidden="false" customHeight="false" outlineLevel="0" collapsed="false">
      <c r="A524" s="260"/>
      <c r="B524" s="358"/>
      <c r="C524" s="260"/>
      <c r="D524" s="358"/>
      <c r="E524" s="260" t="n">
        <v>523</v>
      </c>
      <c r="F524" s="260" t="n">
        <f aca="false" t="array" ref="F524:F524">INDEX('0.0.1 Pokémon Dex Data'!$H$3:$H951,MATCH(E524,'0.0.1 Pokémon Dex Data'!$B$3:$B951,0))</f>
        <v>0</v>
      </c>
      <c r="G524" s="0" t="str">
        <f aca="false" t="array" ref="G524:G524">INDEX('0.0.1 Pokémon Dex Data'!$E$3:$E951,MATCH(E524,'0.0.1 Pokémon Dex Data'!$B$3:$B951,0))</f>
        <v>Skorupi</v>
      </c>
      <c r="H524" s="0" t="str">
        <f aca="false" t="array" ref="H524:H524">INDEX('0.0.1 Pokémon Dex Data'!$Q$3:$Q951,MATCH(E524,'0.0.1 Pokémon Dex Data'!$B$3:$B951,0))</f>
        <v>Poison</v>
      </c>
      <c r="I524" s="0" t="str">
        <f aca="false" t="array" ref="I524:I524">INDEX('0.0.1 Pokémon Dex Data'!$R$3:$R951,MATCH(E524,'0.0.1 Pokémon Dex Data'!$B$3:$B951,0))</f>
        <v>Bug</v>
      </c>
      <c r="J524" s="260" t="n">
        <f aca="false" t="array" ref="J524:J524">ROUND(INDEX('0.0.1 Pokémon Dex Data'!$S$3:$S951,MATCH($E524,'0.0.1 Pokémon Dex Data'!$B$3:$B951,0))*INDEX('0.0.1 Pokémon Dex Data'!T$3:T951,MATCH($E524,'0.0.1 Pokémon Dex Data'!$B$3:$B951,0)),0)</f>
        <v>93</v>
      </c>
      <c r="K524" s="260" t="n">
        <f aca="false" t="array" ref="K524:K524">ROUND(INDEX('0.0.1 Pokémon Dex Data'!$S$3:$S951,MATCH($E524,'0.0.1 Pokémon Dex Data'!$B$3:$B951,0))*INDEX('0.0.1 Pokémon Dex Data'!U$3:U951,MATCH($E524,'0.0.1 Pokémon Dex Data'!$B$3:$B951,0)),0)</f>
        <v>151</v>
      </c>
      <c r="L524" s="260" t="n">
        <f aca="false" t="array" ref="L524:L524">ROUND(INDEX('0.0.1 Pokémon Dex Data'!$S$3:$S951,MATCH($E524,'0.0.1 Pokémon Dex Data'!$B$3:$B951,0))*INDEX('0.0.1 Pokémon Dex Data'!V$3:V951,MATCH($E524,'0.0.1 Pokémon Dex Data'!$B$3:$B951,0)),0)</f>
        <v>120</v>
      </c>
      <c r="M524" s="260" t="n">
        <f aca="false" t="array" ref="M524:M524">INDEX('0.0.1 Pokémon Dex Data'!$J$3:$J951,MATCH(E524,'0.0.1 Pokémon Dex Data'!$B$3:$B951,0))</f>
        <v>0</v>
      </c>
      <c r="O524" s="490"/>
      <c r="Q524" s="367" t="n">
        <f aca="false">IF('Reverse Search'!$F$4="All (including temporary formes)",1,IF('Reverse Search'!$F$4="Base Pokémon and permanent formes only",IF(F524&lt;=1,1,0),IF(F524=0,1,0)))</f>
        <v>1</v>
      </c>
      <c r="R524" s="0" t="n">
        <f aca="false">IF('Reverse Search'!$C$7="Disable",1,IF('Reverse Search'!$D$9="Disable",1,IF(OR('Reverse Search'!$F$9=H524,'Reverse Search'!$F$9=I524),1,0)))</f>
        <v>1</v>
      </c>
      <c r="S524" s="0" t="n">
        <f aca="false">IF('Reverse Search'!$C$7="Disable",1,IF('Reverse Search'!$D$10="Disable",1,IF(OR('Reverse Search'!$F$10=H524,'Reverse Search'!$F$10=I524),1,0)))</f>
        <v>1</v>
      </c>
      <c r="T524" s="0" t="n">
        <f aca="false">INDEX($B$4:$B$22,MATCH(H524,$A$4:$A$22,0))</f>
        <v>1</v>
      </c>
      <c r="U524" s="0" t="n">
        <f aca="false">IF(ISBLANK(I524),1,INDEX($B$4:$B$22,MATCH(I524,$A$4:$A$22,0)))</f>
        <v>1</v>
      </c>
      <c r="V524" s="367" t="n">
        <f aca="false">IF('Reverse Search'!$C$7="Disable",1,IF('Reverse Search'!$D$11="Disable",1,IF('Reverse Search'!$E$11="Neutral to:",IF(ROUND(T524*U524,2)&lt;=1,1,0),IF(ROUND(T524*U524,2)&lt;1,1,0))))</f>
        <v>1</v>
      </c>
      <c r="W524" s="0" t="n">
        <f aca="false">IF('Reverse Search'!$N$7="Disable",1,IF('Reverse Search'!$I$9="Disable",1,IF('Reverse Search'!$K$9="≥",IF(J524&gt;='Reverse Search'!$L$9,1,0),IF('Reverse Search'!$K$9="≤",IF(J524&lt;='Reverse Search'!$L$9,1,0),IF(J524='Reverse Search'!$L$9,1,0)))))</f>
        <v>1</v>
      </c>
      <c r="X524" s="0" t="n">
        <f aca="false">IF('Reverse Search'!$N$7="Disable",1,IF('Reverse Search'!$I$10="Disable",1,IF('Reverse Search'!$K$10="≥",IF(K524&gt;='Reverse Search'!$L$10,1,0),IF('Reverse Search'!$K$10="≤",IF(K524&lt;='Reverse Search'!$L$10,1,0),IF(K524='Reverse Search'!$L$10,1,0)))))</f>
        <v>1</v>
      </c>
      <c r="Y524" s="367" t="n">
        <f aca="false">IF('Reverse Search'!$N$7="Disable",1,IF('Reverse Search'!$I$11="Disable",1,IF('Reverse Search'!$K$11="≥",IF(L524&gt;='Reverse Search'!$L$11,1,0),IF('Reverse Search'!$K$11="≤",IF(L524&lt;='Reverse Search'!$L$11,1,0),IF(L524='Reverse Search'!$L$11,1,0)))))</f>
        <v>1</v>
      </c>
      <c r="Z524" s="0" t="n">
        <f aca="true">IF('Reverse Search'!$C$14="Disable",1,IF('Reverse Search'!$D$16="Disable",1,IF($C$2=3,IF($M524=0,0,COUNTIF(INDIRECT("'0.0.2 Pokémon Learnset (Core)'!$D$"&amp;MATCH($E524,'0.0.2 Pokémon Learnset (Core)'!$A$1:$A951,0)&amp;":$FK$"&amp;MATCH($E524,'0.0.2 Pokémon Learnset (Core)'!$A$1:$A951,0)),'Reverse Search'!$E$21)),IF($C$2=2,COUNTIF(INDIRECT("'0.1.1 Pokémon GO Moves'!$B$"&amp;MATCH($E524,'0.1.1 Pokémon GO Moves'!$A$1:$A951,0)&amp;":$R$"&amp;MATCH($E524,'0.1.1 Pokémon GO Moves'!$A$1:$A951,0)),'Reverse Search'!$E$21),COUNTIF(INDIRECT("'0.1.1 Pokémon GO Moves'!$B$"&amp;MATCH($E524,'0.1.1 Pokémon GO Moves'!$A$1:$A951,0)&amp;":$L$"&amp;MATCH($E524,'0.1.1 Pokémon GO Moves'!$A$1:$A951,0)),'Reverse Search'!$E$21)))))</f>
        <v>1</v>
      </c>
      <c r="AA524" s="0" t="n">
        <f aca="true">IF('Reverse Search'!$C$14="Disable",1,IF('Reverse Search'!$I$16="Disable",1,IF($D$2=3,IF($M524=0,0,COUNTIF(INDIRECT("'0.0.2 Pokémon Learnset (Core)'!$D$"&amp;MATCH($E524,'0.0.2 Pokémon Learnset (Core)'!$A$1:$A951,0)&amp;":$FK$"&amp;MATCH($E524,'0.0.2 Pokémon Learnset (Core)'!$A$1:$A951,0)),'Reverse Search'!$J$21)),IF($D$2=2,COUNTIF(INDIRECT("'0.1.1 Pokémon GO Moves'!$B$"&amp;MATCH($E524,'0.1.1 Pokémon GO Moves'!$A$1:$A951,0)&amp;":$R$"&amp;MATCH($E524,'0.1.1 Pokémon GO Moves'!$A$1:$A951,0)),'Reverse Search'!$J$21),COUNTIF(INDIRECT("'0.1.1 Pokémon GO Moves'!$B$"&amp;MATCH($E524,'0.1.1 Pokémon GO Moves'!$A$1:$A951,0)&amp;":$L$"&amp;MATCH($E524,'0.1.1 Pokémon GO Moves'!$A$1:$A951,0)),'Reverse Search'!$J$21)))))</f>
        <v>0</v>
      </c>
      <c r="AB524" s="490"/>
      <c r="AC524" s="260" t="n">
        <f aca="false">IF((Q524+R524+S524+V524+W524+X524+Y524+IF(Z524&gt;=1,1,0)+IF(AA524&gt;=1,1,0))=9,G524&amp;", ",)</f>
        <v>0</v>
      </c>
    </row>
    <row r="525" customFormat="false" ht="15.75" hidden="false" customHeight="false" outlineLevel="0" collapsed="false">
      <c r="A525" s="260"/>
      <c r="B525" s="358"/>
      <c r="C525" s="260"/>
      <c r="D525" s="358"/>
      <c r="E525" s="260" t="n">
        <v>524</v>
      </c>
      <c r="F525" s="260" t="n">
        <f aca="false" t="array" ref="F525:F525">INDEX('0.0.1 Pokémon Dex Data'!$H$3:$H951,MATCH(E525,'0.0.1 Pokémon Dex Data'!$B$3:$B951,0))</f>
        <v>0</v>
      </c>
      <c r="G525" s="0" t="str">
        <f aca="false" t="array" ref="G525:G525">INDEX('0.0.1 Pokémon Dex Data'!$E$3:$E951,MATCH(E525,'0.0.1 Pokémon Dex Data'!$B$3:$B951,0))</f>
        <v>Drapion</v>
      </c>
      <c r="H525" s="0" t="str">
        <f aca="false" t="array" ref="H525:H525">INDEX('0.0.1 Pokémon Dex Data'!$Q$3:$Q951,MATCH(E525,'0.0.1 Pokémon Dex Data'!$B$3:$B951,0))</f>
        <v>Poison</v>
      </c>
      <c r="I525" s="0" t="str">
        <f aca="false" t="array" ref="I525:I525">INDEX('0.0.1 Pokémon Dex Data'!$R$3:$R951,MATCH(E525,'0.0.1 Pokémon Dex Data'!$B$3:$B951,0))</f>
        <v>Dark</v>
      </c>
      <c r="J525" s="260" t="n">
        <f aca="false" t="array" ref="J525:J525">ROUND(INDEX('0.0.1 Pokémon Dex Data'!$S$3:$S951,MATCH($E525,'0.0.1 Pokémon Dex Data'!$B$3:$B951,0))*INDEX('0.0.1 Pokémon Dex Data'!T$3:T951,MATCH($E525,'0.0.1 Pokémon Dex Data'!$B$3:$B951,0)),0)</f>
        <v>180</v>
      </c>
      <c r="K525" s="260" t="n">
        <f aca="false" t="array" ref="K525:K525">ROUND(INDEX('0.0.1 Pokémon Dex Data'!$S$3:$S951,MATCH($E525,'0.0.1 Pokémon Dex Data'!$B$3:$B951,0))*INDEX('0.0.1 Pokémon Dex Data'!U$3:U951,MATCH($E525,'0.0.1 Pokémon Dex Data'!$B$3:$B951,0)),0)</f>
        <v>202</v>
      </c>
      <c r="L525" s="260" t="n">
        <f aca="false" t="array" ref="L525:L525">ROUND(INDEX('0.0.1 Pokémon Dex Data'!$S$3:$S951,MATCH($E525,'0.0.1 Pokémon Dex Data'!$B$3:$B951,0))*INDEX('0.0.1 Pokémon Dex Data'!V$3:V951,MATCH($E525,'0.0.1 Pokémon Dex Data'!$B$3:$B951,0)),0)</f>
        <v>172</v>
      </c>
      <c r="M525" s="260" t="n">
        <f aca="false" t="array" ref="M525:M525">INDEX('0.0.1 Pokémon Dex Data'!$J$3:$J951,MATCH(E525,'0.0.1 Pokémon Dex Data'!$B$3:$B951,0))</f>
        <v>1</v>
      </c>
      <c r="O525" s="490"/>
      <c r="Q525" s="367" t="n">
        <f aca="false">IF('Reverse Search'!$F$4="All (including temporary formes)",1,IF('Reverse Search'!$F$4="Base Pokémon and permanent formes only",IF(F525&lt;=1,1,0),IF(F525=0,1,0)))</f>
        <v>1</v>
      </c>
      <c r="R525" s="0" t="n">
        <f aca="false">IF('Reverse Search'!$C$7="Disable",1,IF('Reverse Search'!$D$9="Disable",1,IF(OR('Reverse Search'!$F$9=H525,'Reverse Search'!$F$9=I525),1,0)))</f>
        <v>1</v>
      </c>
      <c r="S525" s="0" t="n">
        <f aca="false">IF('Reverse Search'!$C$7="Disable",1,IF('Reverse Search'!$D$10="Disable",1,IF(OR('Reverse Search'!$F$10=H525,'Reverse Search'!$F$10=I525),1,0)))</f>
        <v>1</v>
      </c>
      <c r="T525" s="0" t="n">
        <f aca="false">INDEX($B$4:$B$22,MATCH(H525,$A$4:$A$22,0))</f>
        <v>1</v>
      </c>
      <c r="U525" s="0" t="n">
        <f aca="false">IF(ISBLANK(I525),1,INDEX($B$4:$B$22,MATCH(I525,$A$4:$A$22,0)))</f>
        <v>1</v>
      </c>
      <c r="V525" s="367" t="n">
        <f aca="false">IF('Reverse Search'!$C$7="Disable",1,IF('Reverse Search'!$D$11="Disable",1,IF('Reverse Search'!$E$11="Neutral to:",IF(ROUND(T525*U525,2)&lt;=1,1,0),IF(ROUND(T525*U525,2)&lt;1,1,0))))</f>
        <v>1</v>
      </c>
      <c r="W525" s="0" t="n">
        <f aca="false">IF('Reverse Search'!$N$7="Disable",1,IF('Reverse Search'!$I$9="Disable",1,IF('Reverse Search'!$K$9="≥",IF(J525&gt;='Reverse Search'!$L$9,1,0),IF('Reverse Search'!$K$9="≤",IF(J525&lt;='Reverse Search'!$L$9,1,0),IF(J525='Reverse Search'!$L$9,1,0)))))</f>
        <v>1</v>
      </c>
      <c r="X525" s="0" t="n">
        <f aca="false">IF('Reverse Search'!$N$7="Disable",1,IF('Reverse Search'!$I$10="Disable",1,IF('Reverse Search'!$K$10="≥",IF(K525&gt;='Reverse Search'!$L$10,1,0),IF('Reverse Search'!$K$10="≤",IF(K525&lt;='Reverse Search'!$L$10,1,0),IF(K525='Reverse Search'!$L$10,1,0)))))</f>
        <v>1</v>
      </c>
      <c r="Y525" s="367" t="n">
        <f aca="false">IF('Reverse Search'!$N$7="Disable",1,IF('Reverse Search'!$I$11="Disable",1,IF('Reverse Search'!$K$11="≥",IF(L525&gt;='Reverse Search'!$L$11,1,0),IF('Reverse Search'!$K$11="≤",IF(L525&lt;='Reverse Search'!$L$11,1,0),IF(L525='Reverse Search'!$L$11,1,0)))))</f>
        <v>1</v>
      </c>
      <c r="Z525" s="0" t="n">
        <f aca="true">IF('Reverse Search'!$C$14="Disable",1,IF('Reverse Search'!$D$16="Disable",1,IF($C$2=3,IF($M525=0,0,COUNTIF(INDIRECT("'0.0.2 Pokémon Learnset (Core)'!$D$"&amp;MATCH($E525,'0.0.2 Pokémon Learnset (Core)'!$A$1:$A951,0)&amp;":$FK$"&amp;MATCH($E525,'0.0.2 Pokémon Learnset (Core)'!$A$1:$A951,0)),'Reverse Search'!$E$21)),IF($C$2=2,COUNTIF(INDIRECT("'0.1.1 Pokémon GO Moves'!$B$"&amp;MATCH($E525,'0.1.1 Pokémon GO Moves'!$A$1:$A951,0)&amp;":$R$"&amp;MATCH($E525,'0.1.1 Pokémon GO Moves'!$A$1:$A951,0)),'Reverse Search'!$E$21),COUNTIF(INDIRECT("'0.1.1 Pokémon GO Moves'!$B$"&amp;MATCH($E525,'0.1.1 Pokémon GO Moves'!$A$1:$A951,0)&amp;":$L$"&amp;MATCH($E525,'0.1.1 Pokémon GO Moves'!$A$1:$A951,0)),'Reverse Search'!$E$21)))))</f>
        <v>1</v>
      </c>
      <c r="AA525" s="0" t="n">
        <f aca="true">IF('Reverse Search'!$C$14="Disable",1,IF('Reverse Search'!$I$16="Disable",1,IF($D$2=3,IF($M525=0,0,COUNTIF(INDIRECT("'0.0.2 Pokémon Learnset (Core)'!$D$"&amp;MATCH($E525,'0.0.2 Pokémon Learnset (Core)'!$A$1:$A951,0)&amp;":$FK$"&amp;MATCH($E525,'0.0.2 Pokémon Learnset (Core)'!$A$1:$A951,0)),'Reverse Search'!$J$21)),IF($D$2=2,COUNTIF(INDIRECT("'0.1.1 Pokémon GO Moves'!$B$"&amp;MATCH($E525,'0.1.1 Pokémon GO Moves'!$A$1:$A951,0)&amp;":$R$"&amp;MATCH($E525,'0.1.1 Pokémon GO Moves'!$A$1:$A951,0)),'Reverse Search'!$J$21),COUNTIF(INDIRECT("'0.1.1 Pokémon GO Moves'!$B$"&amp;MATCH($E525,'0.1.1 Pokémon GO Moves'!$A$1:$A951,0)&amp;":$L$"&amp;MATCH($E525,'0.1.1 Pokémon GO Moves'!$A$1:$A951,0)),'Reverse Search'!$J$21)))))</f>
        <v>0</v>
      </c>
      <c r="AB525" s="490"/>
      <c r="AC525" s="260" t="n">
        <f aca="false">IF((Q525+R525+S525+V525+W525+X525+Y525+IF(Z525&gt;=1,1,0)+IF(AA525&gt;=1,1,0))=9,G525&amp;", ",)</f>
        <v>0</v>
      </c>
    </row>
    <row r="526" customFormat="false" ht="15.75" hidden="false" customHeight="false" outlineLevel="0" collapsed="false">
      <c r="A526" s="260"/>
      <c r="B526" s="358"/>
      <c r="C526" s="260"/>
      <c r="D526" s="358"/>
      <c r="E526" s="260" t="n">
        <v>525</v>
      </c>
      <c r="F526" s="260" t="n">
        <f aca="false" t="array" ref="F526:F526">INDEX('0.0.1 Pokémon Dex Data'!$H$3:$H951,MATCH(E526,'0.0.1 Pokémon Dex Data'!$B$3:$B951,0))</f>
        <v>0</v>
      </c>
      <c r="G526" s="0" t="str">
        <f aca="false" t="array" ref="G526:G526">INDEX('0.0.1 Pokémon Dex Data'!$E$3:$E951,MATCH(E526,'0.0.1 Pokémon Dex Data'!$B$3:$B951,0))</f>
        <v>Croagunk</v>
      </c>
      <c r="H526" s="0" t="str">
        <f aca="false" t="array" ref="H526:H526">INDEX('0.0.1 Pokémon Dex Data'!$Q$3:$Q951,MATCH(E526,'0.0.1 Pokémon Dex Data'!$B$3:$B951,0))</f>
        <v>Poison</v>
      </c>
      <c r="I526" s="0" t="str">
        <f aca="false" t="array" ref="I526:I526">INDEX('0.0.1 Pokémon Dex Data'!$R$3:$R951,MATCH(E526,'0.0.1 Pokémon Dex Data'!$B$3:$B951,0))</f>
        <v>Fighting</v>
      </c>
      <c r="J526" s="260" t="n">
        <f aca="false" t="array" ref="J526:J526">ROUND(INDEX('0.0.1 Pokémon Dex Data'!$S$3:$S951,MATCH($E526,'0.0.1 Pokémon Dex Data'!$B$3:$B951,0))*INDEX('0.0.1 Pokémon Dex Data'!T$3:T951,MATCH($E526,'0.0.1 Pokémon Dex Data'!$B$3:$B951,0)),0)</f>
        <v>116</v>
      </c>
      <c r="K526" s="260" t="n">
        <f aca="false" t="array" ref="K526:K526">ROUND(INDEX('0.0.1 Pokémon Dex Data'!$S$3:$S951,MATCH($E526,'0.0.1 Pokémon Dex Data'!$B$3:$B951,0))*INDEX('0.0.1 Pokémon Dex Data'!U$3:U951,MATCH($E526,'0.0.1 Pokémon Dex Data'!$B$3:$B951,0)),0)</f>
        <v>76</v>
      </c>
      <c r="L526" s="260" t="n">
        <f aca="false" t="array" ref="L526:L526">ROUND(INDEX('0.0.1 Pokémon Dex Data'!$S$3:$S951,MATCH($E526,'0.0.1 Pokémon Dex Data'!$B$3:$B951,0))*INDEX('0.0.1 Pokémon Dex Data'!V$3:V951,MATCH($E526,'0.0.1 Pokémon Dex Data'!$B$3:$B951,0)),0)</f>
        <v>134</v>
      </c>
      <c r="M526" s="260" t="n">
        <f aca="false" t="array" ref="M526:M526">INDEX('0.0.1 Pokémon Dex Data'!$J$3:$J951,MATCH(E526,'0.0.1 Pokémon Dex Data'!$B$3:$B951,0))</f>
        <v>0</v>
      </c>
      <c r="O526" s="490"/>
      <c r="Q526" s="367" t="n">
        <f aca="false">IF('Reverse Search'!$F$4="All (including temporary formes)",1,IF('Reverse Search'!$F$4="Base Pokémon and permanent formes only",IF(F526&lt;=1,1,0),IF(F526=0,1,0)))</f>
        <v>1</v>
      </c>
      <c r="R526" s="0" t="n">
        <f aca="false">IF('Reverse Search'!$C$7="Disable",1,IF('Reverse Search'!$D$9="Disable",1,IF(OR('Reverse Search'!$F$9=H526,'Reverse Search'!$F$9=I526),1,0)))</f>
        <v>1</v>
      </c>
      <c r="S526" s="0" t="n">
        <f aca="false">IF('Reverse Search'!$C$7="Disable",1,IF('Reverse Search'!$D$10="Disable",1,IF(OR('Reverse Search'!$F$10=H526,'Reverse Search'!$F$10=I526),1,0)))</f>
        <v>1</v>
      </c>
      <c r="T526" s="0" t="n">
        <f aca="false">INDEX($B$4:$B$22,MATCH(H526,$A$4:$A$22,0))</f>
        <v>1</v>
      </c>
      <c r="U526" s="0" t="n">
        <f aca="false">IF(ISBLANK(I526),1,INDEX($B$4:$B$22,MATCH(I526,$A$4:$A$22,0)))</f>
        <v>1</v>
      </c>
      <c r="V526" s="367" t="n">
        <f aca="false">IF('Reverse Search'!$C$7="Disable",1,IF('Reverse Search'!$D$11="Disable",1,IF('Reverse Search'!$E$11="Neutral to:",IF(ROUND(T526*U526,2)&lt;=1,1,0),IF(ROUND(T526*U526,2)&lt;1,1,0))))</f>
        <v>1</v>
      </c>
      <c r="W526" s="0" t="n">
        <f aca="false">IF('Reverse Search'!$N$7="Disable",1,IF('Reverse Search'!$I$9="Disable",1,IF('Reverse Search'!$K$9="≥",IF(J526&gt;='Reverse Search'!$L$9,1,0),IF('Reverse Search'!$K$9="≤",IF(J526&lt;='Reverse Search'!$L$9,1,0),IF(J526='Reverse Search'!$L$9,1,0)))))</f>
        <v>1</v>
      </c>
      <c r="X526" s="0" t="n">
        <f aca="false">IF('Reverse Search'!$N$7="Disable",1,IF('Reverse Search'!$I$10="Disable",1,IF('Reverse Search'!$K$10="≥",IF(K526&gt;='Reverse Search'!$L$10,1,0),IF('Reverse Search'!$K$10="≤",IF(K526&lt;='Reverse Search'!$L$10,1,0),IF(K526='Reverse Search'!$L$10,1,0)))))</f>
        <v>1</v>
      </c>
      <c r="Y526" s="367" t="n">
        <f aca="false">IF('Reverse Search'!$N$7="Disable",1,IF('Reverse Search'!$I$11="Disable",1,IF('Reverse Search'!$K$11="≥",IF(L526&gt;='Reverse Search'!$L$11,1,0),IF('Reverse Search'!$K$11="≤",IF(L526&lt;='Reverse Search'!$L$11,1,0),IF(L526='Reverse Search'!$L$11,1,0)))))</f>
        <v>1</v>
      </c>
      <c r="Z526" s="0" t="n">
        <f aca="true">IF('Reverse Search'!$C$14="Disable",1,IF('Reverse Search'!$D$16="Disable",1,IF($C$2=3,IF($M526=0,0,COUNTIF(INDIRECT("'0.0.2 Pokémon Learnset (Core)'!$D$"&amp;MATCH($E526,'0.0.2 Pokémon Learnset (Core)'!$A$1:$A951,0)&amp;":$FK$"&amp;MATCH($E526,'0.0.2 Pokémon Learnset (Core)'!$A$1:$A951,0)),'Reverse Search'!$E$21)),IF($C$2=2,COUNTIF(INDIRECT("'0.1.1 Pokémon GO Moves'!$B$"&amp;MATCH($E526,'0.1.1 Pokémon GO Moves'!$A$1:$A951,0)&amp;":$R$"&amp;MATCH($E526,'0.1.1 Pokémon GO Moves'!$A$1:$A951,0)),'Reverse Search'!$E$21),COUNTIF(INDIRECT("'0.1.1 Pokémon GO Moves'!$B$"&amp;MATCH($E526,'0.1.1 Pokémon GO Moves'!$A$1:$A951,0)&amp;":$L$"&amp;MATCH($E526,'0.1.1 Pokémon GO Moves'!$A$1:$A951,0)),'Reverse Search'!$E$21)))))</f>
        <v>1</v>
      </c>
      <c r="AA526" s="0" t="n">
        <f aca="true">IF('Reverse Search'!$C$14="Disable",1,IF('Reverse Search'!$I$16="Disable",1,IF($D$2=3,IF($M526=0,0,COUNTIF(INDIRECT("'0.0.2 Pokémon Learnset (Core)'!$D$"&amp;MATCH($E526,'0.0.2 Pokémon Learnset (Core)'!$A$1:$A951,0)&amp;":$FK$"&amp;MATCH($E526,'0.0.2 Pokémon Learnset (Core)'!$A$1:$A951,0)),'Reverse Search'!$J$21)),IF($D$2=2,COUNTIF(INDIRECT("'0.1.1 Pokémon GO Moves'!$B$"&amp;MATCH($E526,'0.1.1 Pokémon GO Moves'!$A$1:$A951,0)&amp;":$R$"&amp;MATCH($E526,'0.1.1 Pokémon GO Moves'!$A$1:$A951,0)),'Reverse Search'!$J$21),COUNTIF(INDIRECT("'0.1.1 Pokémon GO Moves'!$B$"&amp;MATCH($E526,'0.1.1 Pokémon GO Moves'!$A$1:$A951,0)&amp;":$L$"&amp;MATCH($E526,'0.1.1 Pokémon GO Moves'!$A$1:$A951,0)),'Reverse Search'!$J$21)))))</f>
        <v>0</v>
      </c>
      <c r="AB526" s="490"/>
      <c r="AC526" s="260" t="n">
        <f aca="false">IF((Q526+R526+S526+V526+W526+X526+Y526+IF(Z526&gt;=1,1,0)+IF(AA526&gt;=1,1,0))=9,G526&amp;", ",)</f>
        <v>0</v>
      </c>
    </row>
    <row r="527" customFormat="false" ht="15.75" hidden="false" customHeight="false" outlineLevel="0" collapsed="false">
      <c r="A527" s="260"/>
      <c r="B527" s="358"/>
      <c r="C527" s="260"/>
      <c r="D527" s="358"/>
      <c r="E527" s="260" t="n">
        <v>526</v>
      </c>
      <c r="F527" s="260" t="n">
        <f aca="false" t="array" ref="F527:F527">INDEX('0.0.1 Pokémon Dex Data'!$H$3:$H951,MATCH(E527,'0.0.1 Pokémon Dex Data'!$B$3:$B951,0))</f>
        <v>0</v>
      </c>
      <c r="G527" s="0" t="str">
        <f aca="false" t="array" ref="G527:G527">INDEX('0.0.1 Pokémon Dex Data'!$E$3:$E951,MATCH(E527,'0.0.1 Pokémon Dex Data'!$B$3:$B951,0))</f>
        <v>Toxicroak</v>
      </c>
      <c r="H527" s="0" t="str">
        <f aca="false" t="array" ref="H527:H527">INDEX('0.0.1 Pokémon Dex Data'!$Q$3:$Q951,MATCH(E527,'0.0.1 Pokémon Dex Data'!$B$3:$B951,0))</f>
        <v>Poison</v>
      </c>
      <c r="I527" s="0" t="str">
        <f aca="false" t="array" ref="I527:I527">INDEX('0.0.1 Pokémon Dex Data'!$R$3:$R951,MATCH(E527,'0.0.1 Pokémon Dex Data'!$B$3:$B951,0))</f>
        <v>Fighting</v>
      </c>
      <c r="J527" s="260" t="n">
        <f aca="false" t="array" ref="J527:J527">ROUND(INDEX('0.0.1 Pokémon Dex Data'!$S$3:$S951,MATCH($E527,'0.0.1 Pokémon Dex Data'!$B$3:$B951,0))*INDEX('0.0.1 Pokémon Dex Data'!T$3:T951,MATCH($E527,'0.0.1 Pokémon Dex Data'!$B$3:$B951,0)),0)</f>
        <v>211</v>
      </c>
      <c r="K527" s="260" t="n">
        <f aca="false" t="array" ref="K527:K527">ROUND(INDEX('0.0.1 Pokémon Dex Data'!$S$3:$S951,MATCH($E527,'0.0.1 Pokémon Dex Data'!$B$3:$B951,0))*INDEX('0.0.1 Pokémon Dex Data'!U$3:U951,MATCH($E527,'0.0.1 Pokémon Dex Data'!$B$3:$B951,0)),0)</f>
        <v>133</v>
      </c>
      <c r="L527" s="260" t="n">
        <f aca="false" t="array" ref="L527:L527">ROUND(INDEX('0.0.1 Pokémon Dex Data'!$S$3:$S951,MATCH($E527,'0.0.1 Pokémon Dex Data'!$B$3:$B951,0))*INDEX('0.0.1 Pokémon Dex Data'!V$3:V951,MATCH($E527,'0.0.1 Pokémon Dex Data'!$B$3:$B951,0)),0)</f>
        <v>195</v>
      </c>
      <c r="M527" s="260" t="n">
        <f aca="false" t="array" ref="M527:M527">INDEX('0.0.1 Pokémon Dex Data'!$J$3:$J951,MATCH(E527,'0.0.1 Pokémon Dex Data'!$B$3:$B951,0))</f>
        <v>1</v>
      </c>
      <c r="O527" s="490"/>
      <c r="Q527" s="367" t="n">
        <f aca="false">IF('Reverse Search'!$F$4="All (including temporary formes)",1,IF('Reverse Search'!$F$4="Base Pokémon and permanent formes only",IF(F527&lt;=1,1,0),IF(F527=0,1,0)))</f>
        <v>1</v>
      </c>
      <c r="R527" s="0" t="n">
        <f aca="false">IF('Reverse Search'!$C$7="Disable",1,IF('Reverse Search'!$D$9="Disable",1,IF(OR('Reverse Search'!$F$9=H527,'Reverse Search'!$F$9=I527),1,0)))</f>
        <v>1</v>
      </c>
      <c r="S527" s="0" t="n">
        <f aca="false">IF('Reverse Search'!$C$7="Disable",1,IF('Reverse Search'!$D$10="Disable",1,IF(OR('Reverse Search'!$F$10=H527,'Reverse Search'!$F$10=I527),1,0)))</f>
        <v>1</v>
      </c>
      <c r="T527" s="0" t="n">
        <f aca="false">INDEX($B$4:$B$22,MATCH(H527,$A$4:$A$22,0))</f>
        <v>1</v>
      </c>
      <c r="U527" s="0" t="n">
        <f aca="false">IF(ISBLANK(I527),1,INDEX($B$4:$B$22,MATCH(I527,$A$4:$A$22,0)))</f>
        <v>1</v>
      </c>
      <c r="V527" s="367" t="n">
        <f aca="false">IF('Reverse Search'!$C$7="Disable",1,IF('Reverse Search'!$D$11="Disable",1,IF('Reverse Search'!$E$11="Neutral to:",IF(ROUND(T527*U527,2)&lt;=1,1,0),IF(ROUND(T527*U527,2)&lt;1,1,0))))</f>
        <v>1</v>
      </c>
      <c r="W527" s="0" t="n">
        <f aca="false">IF('Reverse Search'!$N$7="Disable",1,IF('Reverse Search'!$I$9="Disable",1,IF('Reverse Search'!$K$9="≥",IF(J527&gt;='Reverse Search'!$L$9,1,0),IF('Reverse Search'!$K$9="≤",IF(J527&lt;='Reverse Search'!$L$9,1,0),IF(J527='Reverse Search'!$L$9,1,0)))))</f>
        <v>1</v>
      </c>
      <c r="X527" s="0" t="n">
        <f aca="false">IF('Reverse Search'!$N$7="Disable",1,IF('Reverse Search'!$I$10="Disable",1,IF('Reverse Search'!$K$10="≥",IF(K527&gt;='Reverse Search'!$L$10,1,0),IF('Reverse Search'!$K$10="≤",IF(K527&lt;='Reverse Search'!$L$10,1,0),IF(K527='Reverse Search'!$L$10,1,0)))))</f>
        <v>1</v>
      </c>
      <c r="Y527" s="367" t="n">
        <f aca="false">IF('Reverse Search'!$N$7="Disable",1,IF('Reverse Search'!$I$11="Disable",1,IF('Reverse Search'!$K$11="≥",IF(L527&gt;='Reverse Search'!$L$11,1,0),IF('Reverse Search'!$K$11="≤",IF(L527&lt;='Reverse Search'!$L$11,1,0),IF(L527='Reverse Search'!$L$11,1,0)))))</f>
        <v>1</v>
      </c>
      <c r="Z527" s="0" t="n">
        <f aca="true">IF('Reverse Search'!$C$14="Disable",1,IF('Reverse Search'!$D$16="Disable",1,IF($C$2=3,IF($M527=0,0,COUNTIF(INDIRECT("'0.0.2 Pokémon Learnset (Core)'!$D$"&amp;MATCH($E527,'0.0.2 Pokémon Learnset (Core)'!$A$1:$A951,0)&amp;":$FK$"&amp;MATCH($E527,'0.0.2 Pokémon Learnset (Core)'!$A$1:$A951,0)),'Reverse Search'!$E$21)),IF($C$2=2,COUNTIF(INDIRECT("'0.1.1 Pokémon GO Moves'!$B$"&amp;MATCH($E527,'0.1.1 Pokémon GO Moves'!$A$1:$A951,0)&amp;":$R$"&amp;MATCH($E527,'0.1.1 Pokémon GO Moves'!$A$1:$A951,0)),'Reverse Search'!$E$21),COUNTIF(INDIRECT("'0.1.1 Pokémon GO Moves'!$B$"&amp;MATCH($E527,'0.1.1 Pokémon GO Moves'!$A$1:$A951,0)&amp;":$L$"&amp;MATCH($E527,'0.1.1 Pokémon GO Moves'!$A$1:$A951,0)),'Reverse Search'!$E$21)))))</f>
        <v>1</v>
      </c>
      <c r="AA527" s="0" t="n">
        <f aca="true">IF('Reverse Search'!$C$14="Disable",1,IF('Reverse Search'!$I$16="Disable",1,IF($D$2=3,IF($M527=0,0,COUNTIF(INDIRECT("'0.0.2 Pokémon Learnset (Core)'!$D$"&amp;MATCH($E527,'0.0.2 Pokémon Learnset (Core)'!$A$1:$A951,0)&amp;":$FK$"&amp;MATCH($E527,'0.0.2 Pokémon Learnset (Core)'!$A$1:$A951,0)),'Reverse Search'!$J$21)),IF($D$2=2,COUNTIF(INDIRECT("'0.1.1 Pokémon GO Moves'!$B$"&amp;MATCH($E527,'0.1.1 Pokémon GO Moves'!$A$1:$A951,0)&amp;":$R$"&amp;MATCH($E527,'0.1.1 Pokémon GO Moves'!$A$1:$A951,0)),'Reverse Search'!$J$21),COUNTIF(INDIRECT("'0.1.1 Pokémon GO Moves'!$B$"&amp;MATCH($E527,'0.1.1 Pokémon GO Moves'!$A$1:$A951,0)&amp;":$L$"&amp;MATCH($E527,'0.1.1 Pokémon GO Moves'!$A$1:$A951,0)),'Reverse Search'!$J$21)))))</f>
        <v>0</v>
      </c>
      <c r="AB527" s="490"/>
      <c r="AC527" s="260" t="n">
        <f aca="false">IF((Q527+R527+S527+V527+W527+X527+Y527+IF(Z527&gt;=1,1,0)+IF(AA527&gt;=1,1,0))=9,G527&amp;", ",)</f>
        <v>0</v>
      </c>
    </row>
    <row r="528" customFormat="false" ht="15.75" hidden="false" customHeight="false" outlineLevel="0" collapsed="false">
      <c r="A528" s="260"/>
      <c r="B528" s="358"/>
      <c r="C528" s="260"/>
      <c r="D528" s="358"/>
      <c r="E528" s="260" t="n">
        <v>527</v>
      </c>
      <c r="F528" s="260" t="n">
        <f aca="false" t="array" ref="F528:F528">INDEX('0.0.1 Pokémon Dex Data'!$H$3:$H951,MATCH(E528,'0.0.1 Pokémon Dex Data'!$B$3:$B951,0))</f>
        <v>0</v>
      </c>
      <c r="G528" s="0" t="str">
        <f aca="false" t="array" ref="G528:G528">INDEX('0.0.1 Pokémon Dex Data'!$E$3:$E951,MATCH(E528,'0.0.1 Pokémon Dex Data'!$B$3:$B951,0))</f>
        <v>Carnivine</v>
      </c>
      <c r="H528" s="0" t="str">
        <f aca="false" t="array" ref="H528:H528">INDEX('0.0.1 Pokémon Dex Data'!$Q$3:$Q951,MATCH(E528,'0.0.1 Pokémon Dex Data'!$B$3:$B951,0))</f>
        <v>Grass</v>
      </c>
      <c r="I528" s="0" t="n">
        <f aca="false">INDEX('0.0.1 Pokémon Dex Data'!$R$3:$R951,MATCH(E528,'0.0.1 Pokémon Dex Data'!$B$3:$B951,0))</f>
        <v>0</v>
      </c>
      <c r="J528" s="260" t="n">
        <f aca="false" t="array" ref="J528:J528">ROUND(INDEX('0.0.1 Pokémon Dex Data'!$S$3:$S951,MATCH($E528,'0.0.1 Pokémon Dex Data'!$B$3:$B951,0))*INDEX('0.0.1 Pokémon Dex Data'!T$3:T951,MATCH($E528,'0.0.1 Pokémon Dex Data'!$B$3:$B951,0)),0)</f>
        <v>187</v>
      </c>
      <c r="K528" s="260" t="n">
        <f aca="false" t="array" ref="K528:K528">ROUND(INDEX('0.0.1 Pokémon Dex Data'!$S$3:$S951,MATCH($E528,'0.0.1 Pokémon Dex Data'!$B$3:$B951,0))*INDEX('0.0.1 Pokémon Dex Data'!U$3:U951,MATCH($E528,'0.0.1 Pokémon Dex Data'!$B$3:$B951,0)),0)</f>
        <v>136</v>
      </c>
      <c r="L528" s="260" t="n">
        <f aca="false" t="array" ref="L528:L528">ROUND(INDEX('0.0.1 Pokémon Dex Data'!$S$3:$S951,MATCH($E528,'0.0.1 Pokémon Dex Data'!$B$3:$B951,0))*INDEX('0.0.1 Pokémon Dex Data'!V$3:V951,MATCH($E528,'0.0.1 Pokémon Dex Data'!$B$3:$B951,0)),0)</f>
        <v>179</v>
      </c>
      <c r="M528" s="260" t="n">
        <f aca="false" t="array" ref="M528:M528">INDEX('0.0.1 Pokémon Dex Data'!$J$3:$J951,MATCH(E528,'0.0.1 Pokémon Dex Data'!$B$3:$B951,0))</f>
        <v>1</v>
      </c>
      <c r="O528" s="490"/>
      <c r="Q528" s="367" t="n">
        <f aca="false">IF('Reverse Search'!$F$4="All (including temporary formes)",1,IF('Reverse Search'!$F$4="Base Pokémon and permanent formes only",IF(F528&lt;=1,1,0),IF(F528=0,1,0)))</f>
        <v>1</v>
      </c>
      <c r="R528" s="0" t="n">
        <f aca="false">IF('Reverse Search'!$C$7="Disable",1,IF('Reverse Search'!$D$9="Disable",1,IF(OR('Reverse Search'!$F$9=H528,'Reverse Search'!$F$9=I528),1,0)))</f>
        <v>1</v>
      </c>
      <c r="S528" s="0" t="n">
        <f aca="false">IF('Reverse Search'!$C$7="Disable",1,IF('Reverse Search'!$D$10="Disable",1,IF(OR('Reverse Search'!$F$10=H528,'Reverse Search'!$F$10=I528),1,0)))</f>
        <v>1</v>
      </c>
      <c r="T528" s="0" t="n">
        <f aca="false">INDEX($B$4:$B$22,MATCH(H528,$A$4:$A$22,0))</f>
        <v>1</v>
      </c>
      <c r="U528" s="0" t="e">
        <f aca="false">IF(ISBLANK(I528),1,INDEX($B$4:$B$22,MATCH(I528,$A$4:$A$22,0)))</f>
        <v>#N/A</v>
      </c>
      <c r="V528" s="367" t="n">
        <f aca="false">IF('Reverse Search'!$C$7="Disable",1,IF('Reverse Search'!$D$11="Disable",1,IF('Reverse Search'!$E$11="Neutral to:",IF(ROUND(T528*U528,2)&lt;=1,1,0),IF(ROUND(T528*U528,2)&lt;1,1,0))))</f>
        <v>1</v>
      </c>
      <c r="W528" s="0" t="n">
        <f aca="false">IF('Reverse Search'!$N$7="Disable",1,IF('Reverse Search'!$I$9="Disable",1,IF('Reverse Search'!$K$9="≥",IF(J528&gt;='Reverse Search'!$L$9,1,0),IF('Reverse Search'!$K$9="≤",IF(J528&lt;='Reverse Search'!$L$9,1,0),IF(J528='Reverse Search'!$L$9,1,0)))))</f>
        <v>1</v>
      </c>
      <c r="X528" s="0" t="n">
        <f aca="false">IF('Reverse Search'!$N$7="Disable",1,IF('Reverse Search'!$I$10="Disable",1,IF('Reverse Search'!$K$10="≥",IF(K528&gt;='Reverse Search'!$L$10,1,0),IF('Reverse Search'!$K$10="≤",IF(K528&lt;='Reverse Search'!$L$10,1,0),IF(K528='Reverse Search'!$L$10,1,0)))))</f>
        <v>1</v>
      </c>
      <c r="Y528" s="367" t="n">
        <f aca="false">IF('Reverse Search'!$N$7="Disable",1,IF('Reverse Search'!$I$11="Disable",1,IF('Reverse Search'!$K$11="≥",IF(L528&gt;='Reverse Search'!$L$11,1,0),IF('Reverse Search'!$K$11="≤",IF(L528&lt;='Reverse Search'!$L$11,1,0),IF(L528='Reverse Search'!$L$11,1,0)))))</f>
        <v>1</v>
      </c>
      <c r="Z528" s="0" t="n">
        <f aca="true">IF('Reverse Search'!$C$14="Disable",1,IF('Reverse Search'!$D$16="Disable",1,IF($C$2=3,IF($M528=0,0,COUNTIF(INDIRECT("'0.0.2 Pokémon Learnset (Core)'!$D$"&amp;MATCH($E528,'0.0.2 Pokémon Learnset (Core)'!$A$1:$A951,0)&amp;":$FK$"&amp;MATCH($E528,'0.0.2 Pokémon Learnset (Core)'!$A$1:$A951,0)),'Reverse Search'!$E$21)),IF($C$2=2,COUNTIF(INDIRECT("'0.1.1 Pokémon GO Moves'!$B$"&amp;MATCH($E528,'0.1.1 Pokémon GO Moves'!$A$1:$A951,0)&amp;":$R$"&amp;MATCH($E528,'0.1.1 Pokémon GO Moves'!$A$1:$A951,0)),'Reverse Search'!$E$21),COUNTIF(INDIRECT("'0.1.1 Pokémon GO Moves'!$B$"&amp;MATCH($E528,'0.1.1 Pokémon GO Moves'!$A$1:$A951,0)&amp;":$L$"&amp;MATCH($E528,'0.1.1 Pokémon GO Moves'!$A$1:$A951,0)),'Reverse Search'!$E$21)))))</f>
        <v>1</v>
      </c>
      <c r="AA528" s="0" t="n">
        <f aca="true">IF('Reverse Search'!$C$14="Disable",1,IF('Reverse Search'!$I$16="Disable",1,IF($D$2=3,IF($M528=0,0,COUNTIF(INDIRECT("'0.0.2 Pokémon Learnset (Core)'!$D$"&amp;MATCH($E528,'0.0.2 Pokémon Learnset (Core)'!$A$1:$A951,0)&amp;":$FK$"&amp;MATCH($E528,'0.0.2 Pokémon Learnset (Core)'!$A$1:$A951,0)),'Reverse Search'!$J$21)),IF($D$2=2,COUNTIF(INDIRECT("'0.1.1 Pokémon GO Moves'!$B$"&amp;MATCH($E528,'0.1.1 Pokémon GO Moves'!$A$1:$A951,0)&amp;":$R$"&amp;MATCH($E528,'0.1.1 Pokémon GO Moves'!$A$1:$A951,0)),'Reverse Search'!$J$21),COUNTIF(INDIRECT("'0.1.1 Pokémon GO Moves'!$B$"&amp;MATCH($E528,'0.1.1 Pokémon GO Moves'!$A$1:$A951,0)&amp;":$L$"&amp;MATCH($E528,'0.1.1 Pokémon GO Moves'!$A$1:$A951,0)),'Reverse Search'!$J$21)))))</f>
        <v>0</v>
      </c>
      <c r="AB528" s="490"/>
      <c r="AC528" s="260" t="n">
        <f aca="false">IF((Q528+R528+S528+V528+W528+X528+Y528+IF(Z528&gt;=1,1,0)+IF(AA528&gt;=1,1,0))=9,G528&amp;", ",)</f>
        <v>0</v>
      </c>
    </row>
    <row r="529" customFormat="false" ht="15.75" hidden="false" customHeight="false" outlineLevel="0" collapsed="false">
      <c r="A529" s="260"/>
      <c r="B529" s="358"/>
      <c r="C529" s="260"/>
      <c r="D529" s="358"/>
      <c r="E529" s="260" t="n">
        <v>528</v>
      </c>
      <c r="F529" s="260" t="n">
        <f aca="false" t="array" ref="F529:F529">INDEX('0.0.1 Pokémon Dex Data'!$H$3:$H951,MATCH(E529,'0.0.1 Pokémon Dex Data'!$B$3:$B951,0))</f>
        <v>0</v>
      </c>
      <c r="G529" s="0" t="str">
        <f aca="false" t="array" ref="G529:G529">INDEX('0.0.1 Pokémon Dex Data'!$E$3:$E951,MATCH(E529,'0.0.1 Pokémon Dex Data'!$B$3:$B951,0))</f>
        <v>Finneon</v>
      </c>
      <c r="H529" s="0" t="str">
        <f aca="false" t="array" ref="H529:H529">INDEX('0.0.1 Pokémon Dex Data'!$Q$3:$Q951,MATCH(E529,'0.0.1 Pokémon Dex Data'!$B$3:$B951,0))</f>
        <v>Water</v>
      </c>
      <c r="I529" s="0" t="n">
        <f aca="false">INDEX('0.0.1 Pokémon Dex Data'!$R$3:$R951,MATCH(E529,'0.0.1 Pokémon Dex Data'!$B$3:$B951,0))</f>
        <v>0</v>
      </c>
      <c r="J529" s="260" t="n">
        <f aca="false" t="array" ref="J529:J529">ROUND(INDEX('0.0.1 Pokémon Dex Data'!$S$3:$S951,MATCH($E529,'0.0.1 Pokémon Dex Data'!$B$3:$B951,0))*INDEX('0.0.1 Pokémon Dex Data'!T$3:T951,MATCH($E529,'0.0.1 Pokémon Dex Data'!$B$3:$B951,0)),0)</f>
        <v>96</v>
      </c>
      <c r="K529" s="260" t="n">
        <f aca="false" t="array" ref="K529:K529">ROUND(INDEX('0.0.1 Pokémon Dex Data'!$S$3:$S951,MATCH($E529,'0.0.1 Pokémon Dex Data'!$B$3:$B951,0))*INDEX('0.0.1 Pokémon Dex Data'!U$3:U951,MATCH($E529,'0.0.1 Pokémon Dex Data'!$B$3:$B951,0)),0)</f>
        <v>116</v>
      </c>
      <c r="L529" s="260" t="n">
        <f aca="false" t="array" ref="L529:L529">ROUND(INDEX('0.0.1 Pokémon Dex Data'!$S$3:$S951,MATCH($E529,'0.0.1 Pokémon Dex Data'!$B$3:$B951,0))*INDEX('0.0.1 Pokémon Dex Data'!V$3:V951,MATCH($E529,'0.0.1 Pokémon Dex Data'!$B$3:$B951,0)),0)</f>
        <v>135</v>
      </c>
      <c r="M529" s="260" t="n">
        <f aca="false" t="array" ref="M529:M529">INDEX('0.0.1 Pokémon Dex Data'!$J$3:$J951,MATCH(E529,'0.0.1 Pokémon Dex Data'!$B$3:$B951,0))</f>
        <v>0</v>
      </c>
      <c r="O529" s="490"/>
      <c r="Q529" s="367" t="n">
        <f aca="false">IF('Reverse Search'!$F$4="All (including temporary formes)",1,IF('Reverse Search'!$F$4="Base Pokémon and permanent formes only",IF(F529&lt;=1,1,0),IF(F529=0,1,0)))</f>
        <v>1</v>
      </c>
      <c r="R529" s="0" t="n">
        <f aca="false">IF('Reverse Search'!$C$7="Disable",1,IF('Reverse Search'!$D$9="Disable",1,IF(OR('Reverse Search'!$F$9=H529,'Reverse Search'!$F$9=I529),1,0)))</f>
        <v>1</v>
      </c>
      <c r="S529" s="0" t="n">
        <f aca="false">IF('Reverse Search'!$C$7="Disable",1,IF('Reverse Search'!$D$10="Disable",1,IF(OR('Reverse Search'!$F$10=H529,'Reverse Search'!$F$10=I529),1,0)))</f>
        <v>1</v>
      </c>
      <c r="T529" s="0" t="n">
        <f aca="false">INDEX($B$4:$B$22,MATCH(H529,$A$4:$A$22,0))</f>
        <v>1</v>
      </c>
      <c r="U529" s="0" t="e">
        <f aca="false">IF(ISBLANK(I529),1,INDEX($B$4:$B$22,MATCH(I529,$A$4:$A$22,0)))</f>
        <v>#N/A</v>
      </c>
      <c r="V529" s="367" t="n">
        <f aca="false">IF('Reverse Search'!$C$7="Disable",1,IF('Reverse Search'!$D$11="Disable",1,IF('Reverse Search'!$E$11="Neutral to:",IF(ROUND(T529*U529,2)&lt;=1,1,0),IF(ROUND(T529*U529,2)&lt;1,1,0))))</f>
        <v>1</v>
      </c>
      <c r="W529" s="0" t="n">
        <f aca="false">IF('Reverse Search'!$N$7="Disable",1,IF('Reverse Search'!$I$9="Disable",1,IF('Reverse Search'!$K$9="≥",IF(J529&gt;='Reverse Search'!$L$9,1,0),IF('Reverse Search'!$K$9="≤",IF(J529&lt;='Reverse Search'!$L$9,1,0),IF(J529='Reverse Search'!$L$9,1,0)))))</f>
        <v>1</v>
      </c>
      <c r="X529" s="0" t="n">
        <f aca="false">IF('Reverse Search'!$N$7="Disable",1,IF('Reverse Search'!$I$10="Disable",1,IF('Reverse Search'!$K$10="≥",IF(K529&gt;='Reverse Search'!$L$10,1,0),IF('Reverse Search'!$K$10="≤",IF(K529&lt;='Reverse Search'!$L$10,1,0),IF(K529='Reverse Search'!$L$10,1,0)))))</f>
        <v>1</v>
      </c>
      <c r="Y529" s="367" t="n">
        <f aca="false">IF('Reverse Search'!$N$7="Disable",1,IF('Reverse Search'!$I$11="Disable",1,IF('Reverse Search'!$K$11="≥",IF(L529&gt;='Reverse Search'!$L$11,1,0),IF('Reverse Search'!$K$11="≤",IF(L529&lt;='Reverse Search'!$L$11,1,0),IF(L529='Reverse Search'!$L$11,1,0)))))</f>
        <v>1</v>
      </c>
      <c r="Z529" s="0" t="n">
        <f aca="true">IF('Reverse Search'!$C$14="Disable",1,IF('Reverse Search'!$D$16="Disable",1,IF($C$2=3,IF($M529=0,0,COUNTIF(INDIRECT("'0.0.2 Pokémon Learnset (Core)'!$D$"&amp;MATCH($E529,'0.0.2 Pokémon Learnset (Core)'!$A$1:$A951,0)&amp;":$FK$"&amp;MATCH($E529,'0.0.2 Pokémon Learnset (Core)'!$A$1:$A951,0)),'Reverse Search'!$E$21)),IF($C$2=2,COUNTIF(INDIRECT("'0.1.1 Pokémon GO Moves'!$B$"&amp;MATCH($E529,'0.1.1 Pokémon GO Moves'!$A$1:$A951,0)&amp;":$R$"&amp;MATCH($E529,'0.1.1 Pokémon GO Moves'!$A$1:$A951,0)),'Reverse Search'!$E$21),COUNTIF(INDIRECT("'0.1.1 Pokémon GO Moves'!$B$"&amp;MATCH($E529,'0.1.1 Pokémon GO Moves'!$A$1:$A951,0)&amp;":$L$"&amp;MATCH($E529,'0.1.1 Pokémon GO Moves'!$A$1:$A951,0)),'Reverse Search'!$E$21)))))</f>
        <v>1</v>
      </c>
      <c r="AA529" s="0" t="n">
        <f aca="true">IF('Reverse Search'!$C$14="Disable",1,IF('Reverse Search'!$I$16="Disable",1,IF($D$2=3,IF($M529=0,0,COUNTIF(INDIRECT("'0.0.2 Pokémon Learnset (Core)'!$D$"&amp;MATCH($E529,'0.0.2 Pokémon Learnset (Core)'!$A$1:$A951,0)&amp;":$FK$"&amp;MATCH($E529,'0.0.2 Pokémon Learnset (Core)'!$A$1:$A951,0)),'Reverse Search'!$J$21)),IF($D$2=2,COUNTIF(INDIRECT("'0.1.1 Pokémon GO Moves'!$B$"&amp;MATCH($E529,'0.1.1 Pokémon GO Moves'!$A$1:$A951,0)&amp;":$R$"&amp;MATCH($E529,'0.1.1 Pokémon GO Moves'!$A$1:$A951,0)),'Reverse Search'!$J$21),COUNTIF(INDIRECT("'0.1.1 Pokémon GO Moves'!$B$"&amp;MATCH($E529,'0.1.1 Pokémon GO Moves'!$A$1:$A951,0)&amp;":$L$"&amp;MATCH($E529,'0.1.1 Pokémon GO Moves'!$A$1:$A951,0)),'Reverse Search'!$J$21)))))</f>
        <v>0</v>
      </c>
      <c r="AB529" s="490"/>
      <c r="AC529" s="260" t="n">
        <f aca="false">IF((Q529+R529+S529+V529+W529+X529+Y529+IF(Z529&gt;=1,1,0)+IF(AA529&gt;=1,1,0))=9,G529&amp;", ",)</f>
        <v>0</v>
      </c>
    </row>
    <row r="530" customFormat="false" ht="15.75" hidden="false" customHeight="false" outlineLevel="0" collapsed="false">
      <c r="A530" s="260"/>
      <c r="B530" s="358"/>
      <c r="C530" s="260"/>
      <c r="D530" s="358"/>
      <c r="E530" s="260" t="n">
        <v>529</v>
      </c>
      <c r="F530" s="260" t="n">
        <f aca="false" t="array" ref="F530:F530">INDEX('0.0.1 Pokémon Dex Data'!$H$3:$H951,MATCH(E530,'0.0.1 Pokémon Dex Data'!$B$3:$B951,0))</f>
        <v>0</v>
      </c>
      <c r="G530" s="0" t="str">
        <f aca="false" t="array" ref="G530:G530">INDEX('0.0.1 Pokémon Dex Data'!$E$3:$E951,MATCH(E530,'0.0.1 Pokémon Dex Data'!$B$3:$B951,0))</f>
        <v>Lumineon</v>
      </c>
      <c r="H530" s="0" t="str">
        <f aca="false" t="array" ref="H530:H530">INDEX('0.0.1 Pokémon Dex Data'!$Q$3:$Q951,MATCH(E530,'0.0.1 Pokémon Dex Data'!$B$3:$B951,0))</f>
        <v>Water</v>
      </c>
      <c r="I530" s="0" t="n">
        <f aca="false">INDEX('0.0.1 Pokémon Dex Data'!$R$3:$R951,MATCH(E530,'0.0.1 Pokémon Dex Data'!$B$3:$B951,0))</f>
        <v>0</v>
      </c>
      <c r="J530" s="260" t="n">
        <f aca="false" t="array" ref="J530:J530">ROUND(INDEX('0.0.1 Pokémon Dex Data'!$S$3:$S951,MATCH($E530,'0.0.1 Pokémon Dex Data'!$B$3:$B951,0))*INDEX('0.0.1 Pokémon Dex Data'!T$3:T951,MATCH($E530,'0.0.1 Pokémon Dex Data'!$B$3:$B951,0)),0)</f>
        <v>142</v>
      </c>
      <c r="K530" s="260" t="n">
        <f aca="false" t="array" ref="K530:K530">ROUND(INDEX('0.0.1 Pokémon Dex Data'!$S$3:$S951,MATCH($E530,'0.0.1 Pokémon Dex Data'!$B$3:$B951,0))*INDEX('0.0.1 Pokémon Dex Data'!U$3:U951,MATCH($E530,'0.0.1 Pokémon Dex Data'!$B$3:$B951,0)),0)</f>
        <v>170</v>
      </c>
      <c r="L530" s="260" t="n">
        <f aca="false" t="array" ref="L530:L530">ROUND(INDEX('0.0.1 Pokémon Dex Data'!$S$3:$S951,MATCH($E530,'0.0.1 Pokémon Dex Data'!$B$3:$B951,0))*INDEX('0.0.1 Pokémon Dex Data'!V$3:V951,MATCH($E530,'0.0.1 Pokémon Dex Data'!$B$3:$B951,0)),0)</f>
        <v>170</v>
      </c>
      <c r="M530" s="260" t="n">
        <f aca="false" t="array" ref="M530:M530">INDEX('0.0.1 Pokémon Dex Data'!$J$3:$J951,MATCH(E530,'0.0.1 Pokémon Dex Data'!$B$3:$B951,0))</f>
        <v>1</v>
      </c>
      <c r="O530" s="490"/>
      <c r="Q530" s="367" t="n">
        <f aca="false">IF('Reverse Search'!$F$4="All (including temporary formes)",1,IF('Reverse Search'!$F$4="Base Pokémon and permanent formes only",IF(F530&lt;=1,1,0),IF(F530=0,1,0)))</f>
        <v>1</v>
      </c>
      <c r="R530" s="0" t="n">
        <f aca="false">IF('Reverse Search'!$C$7="Disable",1,IF('Reverse Search'!$D$9="Disable",1,IF(OR('Reverse Search'!$F$9=H530,'Reverse Search'!$F$9=I530),1,0)))</f>
        <v>1</v>
      </c>
      <c r="S530" s="0" t="n">
        <f aca="false">IF('Reverse Search'!$C$7="Disable",1,IF('Reverse Search'!$D$10="Disable",1,IF(OR('Reverse Search'!$F$10=H530,'Reverse Search'!$F$10=I530),1,0)))</f>
        <v>1</v>
      </c>
      <c r="T530" s="0" t="n">
        <f aca="false">INDEX($B$4:$B$22,MATCH(H530,$A$4:$A$22,0))</f>
        <v>1</v>
      </c>
      <c r="U530" s="0" t="e">
        <f aca="false">IF(ISBLANK(I530),1,INDEX($B$4:$B$22,MATCH(I530,$A$4:$A$22,0)))</f>
        <v>#N/A</v>
      </c>
      <c r="V530" s="367" t="n">
        <f aca="false">IF('Reverse Search'!$C$7="Disable",1,IF('Reverse Search'!$D$11="Disable",1,IF('Reverse Search'!$E$11="Neutral to:",IF(ROUND(T530*U530,2)&lt;=1,1,0),IF(ROUND(T530*U530,2)&lt;1,1,0))))</f>
        <v>1</v>
      </c>
      <c r="W530" s="0" t="n">
        <f aca="false">IF('Reverse Search'!$N$7="Disable",1,IF('Reverse Search'!$I$9="Disable",1,IF('Reverse Search'!$K$9="≥",IF(J530&gt;='Reverse Search'!$L$9,1,0),IF('Reverse Search'!$K$9="≤",IF(J530&lt;='Reverse Search'!$L$9,1,0),IF(J530='Reverse Search'!$L$9,1,0)))))</f>
        <v>1</v>
      </c>
      <c r="X530" s="0" t="n">
        <f aca="false">IF('Reverse Search'!$N$7="Disable",1,IF('Reverse Search'!$I$10="Disable",1,IF('Reverse Search'!$K$10="≥",IF(K530&gt;='Reverse Search'!$L$10,1,0),IF('Reverse Search'!$K$10="≤",IF(K530&lt;='Reverse Search'!$L$10,1,0),IF(K530='Reverse Search'!$L$10,1,0)))))</f>
        <v>1</v>
      </c>
      <c r="Y530" s="367" t="n">
        <f aca="false">IF('Reverse Search'!$N$7="Disable",1,IF('Reverse Search'!$I$11="Disable",1,IF('Reverse Search'!$K$11="≥",IF(L530&gt;='Reverse Search'!$L$11,1,0),IF('Reverse Search'!$K$11="≤",IF(L530&lt;='Reverse Search'!$L$11,1,0),IF(L530='Reverse Search'!$L$11,1,0)))))</f>
        <v>1</v>
      </c>
      <c r="Z530" s="0" t="n">
        <f aca="true">IF('Reverse Search'!$C$14="Disable",1,IF('Reverse Search'!$D$16="Disable",1,IF($C$2=3,IF($M530=0,0,COUNTIF(INDIRECT("'0.0.2 Pokémon Learnset (Core)'!$D$"&amp;MATCH($E530,'0.0.2 Pokémon Learnset (Core)'!$A$1:$A951,0)&amp;":$FK$"&amp;MATCH($E530,'0.0.2 Pokémon Learnset (Core)'!$A$1:$A951,0)),'Reverse Search'!$E$21)),IF($C$2=2,COUNTIF(INDIRECT("'0.1.1 Pokémon GO Moves'!$B$"&amp;MATCH($E530,'0.1.1 Pokémon GO Moves'!$A$1:$A951,0)&amp;":$R$"&amp;MATCH($E530,'0.1.1 Pokémon GO Moves'!$A$1:$A951,0)),'Reverse Search'!$E$21),COUNTIF(INDIRECT("'0.1.1 Pokémon GO Moves'!$B$"&amp;MATCH($E530,'0.1.1 Pokémon GO Moves'!$A$1:$A951,0)&amp;":$L$"&amp;MATCH($E530,'0.1.1 Pokémon GO Moves'!$A$1:$A951,0)),'Reverse Search'!$E$21)))))</f>
        <v>1</v>
      </c>
      <c r="AA530" s="0" t="n">
        <f aca="true">IF('Reverse Search'!$C$14="Disable",1,IF('Reverse Search'!$I$16="Disable",1,IF($D$2=3,IF($M530=0,0,COUNTIF(INDIRECT("'0.0.2 Pokémon Learnset (Core)'!$D$"&amp;MATCH($E530,'0.0.2 Pokémon Learnset (Core)'!$A$1:$A951,0)&amp;":$FK$"&amp;MATCH($E530,'0.0.2 Pokémon Learnset (Core)'!$A$1:$A951,0)),'Reverse Search'!$J$21)),IF($D$2=2,COUNTIF(INDIRECT("'0.1.1 Pokémon GO Moves'!$B$"&amp;MATCH($E530,'0.1.1 Pokémon GO Moves'!$A$1:$A951,0)&amp;":$R$"&amp;MATCH($E530,'0.1.1 Pokémon GO Moves'!$A$1:$A951,0)),'Reverse Search'!$J$21),COUNTIF(INDIRECT("'0.1.1 Pokémon GO Moves'!$B$"&amp;MATCH($E530,'0.1.1 Pokémon GO Moves'!$A$1:$A951,0)&amp;":$L$"&amp;MATCH($E530,'0.1.1 Pokémon GO Moves'!$A$1:$A951,0)),'Reverse Search'!$J$21)))))</f>
        <v>0</v>
      </c>
      <c r="AB530" s="490"/>
      <c r="AC530" s="260" t="n">
        <f aca="false">IF((Q530+R530+S530+V530+W530+X530+Y530+IF(Z530&gt;=1,1,0)+IF(AA530&gt;=1,1,0))=9,G530&amp;", ",)</f>
        <v>0</v>
      </c>
    </row>
    <row r="531" customFormat="false" ht="15.75" hidden="false" customHeight="false" outlineLevel="0" collapsed="false">
      <c r="A531" s="260"/>
      <c r="B531" s="358"/>
      <c r="C531" s="260"/>
      <c r="D531" s="358"/>
      <c r="E531" s="260" t="n">
        <v>530</v>
      </c>
      <c r="F531" s="260" t="n">
        <f aca="false" t="array" ref="F531:F531">INDEX('0.0.1 Pokémon Dex Data'!$H$3:$H951,MATCH(E531,'0.0.1 Pokémon Dex Data'!$B$3:$B951,0))</f>
        <v>0</v>
      </c>
      <c r="G531" s="0" t="str">
        <f aca="false" t="array" ref="G531:G531">INDEX('0.0.1 Pokémon Dex Data'!$E$3:$E951,MATCH(E531,'0.0.1 Pokémon Dex Data'!$B$3:$B951,0))</f>
        <v>Mantyke</v>
      </c>
      <c r="H531" s="0" t="str">
        <f aca="false" t="array" ref="H531:H531">INDEX('0.0.1 Pokémon Dex Data'!$Q$3:$Q951,MATCH(E531,'0.0.1 Pokémon Dex Data'!$B$3:$B951,0))</f>
        <v>Water</v>
      </c>
      <c r="I531" s="0" t="str">
        <f aca="false" t="array" ref="I531:I531">INDEX('0.0.1 Pokémon Dex Data'!$R$3:$R951,MATCH(E531,'0.0.1 Pokémon Dex Data'!$B$3:$B951,0))</f>
        <v>Flying</v>
      </c>
      <c r="J531" s="260" t="n">
        <f aca="false" t="array" ref="J531:J531">ROUND(INDEX('0.0.1 Pokémon Dex Data'!$S$3:$S951,MATCH($E531,'0.0.1 Pokémon Dex Data'!$B$3:$B951,0))*INDEX('0.0.1 Pokémon Dex Data'!T$3:T951,MATCH($E531,'0.0.1 Pokémon Dex Data'!$B$3:$B951,0)),0)</f>
        <v>105</v>
      </c>
      <c r="K531" s="260" t="n">
        <f aca="false" t="array" ref="K531:K531">ROUND(INDEX('0.0.1 Pokémon Dex Data'!$S$3:$S951,MATCH($E531,'0.0.1 Pokémon Dex Data'!$B$3:$B951,0))*INDEX('0.0.1 Pokémon Dex Data'!U$3:U951,MATCH($E531,'0.0.1 Pokémon Dex Data'!$B$3:$B951,0)),0)</f>
        <v>179</v>
      </c>
      <c r="L531" s="260" t="n">
        <f aca="false" t="array" ref="L531:L531">ROUND(INDEX('0.0.1 Pokémon Dex Data'!$S$3:$S951,MATCH($E531,'0.0.1 Pokémon Dex Data'!$B$3:$B951,0))*INDEX('0.0.1 Pokémon Dex Data'!V$3:V951,MATCH($E531,'0.0.1 Pokémon Dex Data'!$B$3:$B951,0)),0)</f>
        <v>128</v>
      </c>
      <c r="M531" s="260" t="n">
        <f aca="false" t="array" ref="M531:M531">INDEX('0.0.1 Pokémon Dex Data'!$J$3:$J951,MATCH(E531,'0.0.1 Pokémon Dex Data'!$B$3:$B951,0))</f>
        <v>0</v>
      </c>
      <c r="O531" s="490"/>
      <c r="Q531" s="367" t="n">
        <f aca="false">IF('Reverse Search'!$F$4="All (including temporary formes)",1,IF('Reverse Search'!$F$4="Base Pokémon and permanent formes only",IF(F531&lt;=1,1,0),IF(F531=0,1,0)))</f>
        <v>1</v>
      </c>
      <c r="R531" s="0" t="n">
        <f aca="false">IF('Reverse Search'!$C$7="Disable",1,IF('Reverse Search'!$D$9="Disable",1,IF(OR('Reverse Search'!$F$9=H531,'Reverse Search'!$F$9=I531),1,0)))</f>
        <v>1</v>
      </c>
      <c r="S531" s="0" t="n">
        <f aca="false">IF('Reverse Search'!$C$7="Disable",1,IF('Reverse Search'!$D$10="Disable",1,IF(OR('Reverse Search'!$F$10=H531,'Reverse Search'!$F$10=I531),1,0)))</f>
        <v>1</v>
      </c>
      <c r="T531" s="0" t="n">
        <f aca="false">INDEX($B$4:$B$22,MATCH(H531,$A$4:$A$22,0))</f>
        <v>1</v>
      </c>
      <c r="U531" s="0" t="n">
        <f aca="false">IF(ISBLANK(I531),1,INDEX($B$4:$B$22,MATCH(I531,$A$4:$A$22,0)))</f>
        <v>1</v>
      </c>
      <c r="V531" s="367" t="n">
        <f aca="false">IF('Reverse Search'!$C$7="Disable",1,IF('Reverse Search'!$D$11="Disable",1,IF('Reverse Search'!$E$11="Neutral to:",IF(ROUND(T531*U531,2)&lt;=1,1,0),IF(ROUND(T531*U531,2)&lt;1,1,0))))</f>
        <v>1</v>
      </c>
      <c r="W531" s="0" t="n">
        <f aca="false">IF('Reverse Search'!$N$7="Disable",1,IF('Reverse Search'!$I$9="Disable",1,IF('Reverse Search'!$K$9="≥",IF(J531&gt;='Reverse Search'!$L$9,1,0),IF('Reverse Search'!$K$9="≤",IF(J531&lt;='Reverse Search'!$L$9,1,0),IF(J531='Reverse Search'!$L$9,1,0)))))</f>
        <v>1</v>
      </c>
      <c r="X531" s="0" t="n">
        <f aca="false">IF('Reverse Search'!$N$7="Disable",1,IF('Reverse Search'!$I$10="Disable",1,IF('Reverse Search'!$K$10="≥",IF(K531&gt;='Reverse Search'!$L$10,1,0),IF('Reverse Search'!$K$10="≤",IF(K531&lt;='Reverse Search'!$L$10,1,0),IF(K531='Reverse Search'!$L$10,1,0)))))</f>
        <v>1</v>
      </c>
      <c r="Y531" s="367" t="n">
        <f aca="false">IF('Reverse Search'!$N$7="Disable",1,IF('Reverse Search'!$I$11="Disable",1,IF('Reverse Search'!$K$11="≥",IF(L531&gt;='Reverse Search'!$L$11,1,0),IF('Reverse Search'!$K$11="≤",IF(L531&lt;='Reverse Search'!$L$11,1,0),IF(L531='Reverse Search'!$L$11,1,0)))))</f>
        <v>1</v>
      </c>
      <c r="Z531" s="0" t="n">
        <f aca="true">IF('Reverse Search'!$C$14="Disable",1,IF('Reverse Search'!$D$16="Disable",1,IF($C$2=3,IF($M531=0,0,COUNTIF(INDIRECT("'0.0.2 Pokémon Learnset (Core)'!$D$"&amp;MATCH($E531,'0.0.2 Pokémon Learnset (Core)'!$A$1:$A951,0)&amp;":$FK$"&amp;MATCH($E531,'0.0.2 Pokémon Learnset (Core)'!$A$1:$A951,0)),'Reverse Search'!$E$21)),IF($C$2=2,COUNTIF(INDIRECT("'0.1.1 Pokémon GO Moves'!$B$"&amp;MATCH($E531,'0.1.1 Pokémon GO Moves'!$A$1:$A951,0)&amp;":$R$"&amp;MATCH($E531,'0.1.1 Pokémon GO Moves'!$A$1:$A951,0)),'Reverse Search'!$E$21),COUNTIF(INDIRECT("'0.1.1 Pokémon GO Moves'!$B$"&amp;MATCH($E531,'0.1.1 Pokémon GO Moves'!$A$1:$A951,0)&amp;":$L$"&amp;MATCH($E531,'0.1.1 Pokémon GO Moves'!$A$1:$A951,0)),'Reverse Search'!$E$21)))))</f>
        <v>1</v>
      </c>
      <c r="AA531" s="0" t="n">
        <f aca="true">IF('Reverse Search'!$C$14="Disable",1,IF('Reverse Search'!$I$16="Disable",1,IF($D$2=3,IF($M531=0,0,COUNTIF(INDIRECT("'0.0.2 Pokémon Learnset (Core)'!$D$"&amp;MATCH($E531,'0.0.2 Pokémon Learnset (Core)'!$A$1:$A951,0)&amp;":$FK$"&amp;MATCH($E531,'0.0.2 Pokémon Learnset (Core)'!$A$1:$A951,0)),'Reverse Search'!$J$21)),IF($D$2=2,COUNTIF(INDIRECT("'0.1.1 Pokémon GO Moves'!$B$"&amp;MATCH($E531,'0.1.1 Pokémon GO Moves'!$A$1:$A951,0)&amp;":$R$"&amp;MATCH($E531,'0.1.1 Pokémon GO Moves'!$A$1:$A951,0)),'Reverse Search'!$J$21),COUNTIF(INDIRECT("'0.1.1 Pokémon GO Moves'!$B$"&amp;MATCH($E531,'0.1.1 Pokémon GO Moves'!$A$1:$A951,0)&amp;":$L$"&amp;MATCH($E531,'0.1.1 Pokémon GO Moves'!$A$1:$A951,0)),'Reverse Search'!$J$21)))))</f>
        <v>0</v>
      </c>
      <c r="AB531" s="490"/>
      <c r="AC531" s="260" t="n">
        <f aca="false">IF((Q531+R531+S531+V531+W531+X531+Y531+IF(Z531&gt;=1,1,0)+IF(AA531&gt;=1,1,0))=9,G531&amp;", ",)</f>
        <v>0</v>
      </c>
    </row>
    <row r="532" customFormat="false" ht="15.75" hidden="false" customHeight="false" outlineLevel="0" collapsed="false">
      <c r="A532" s="260"/>
      <c r="B532" s="358"/>
      <c r="C532" s="260"/>
      <c r="D532" s="358"/>
      <c r="E532" s="260" t="n">
        <v>531</v>
      </c>
      <c r="F532" s="260" t="n">
        <f aca="false" t="array" ref="F532:F532">INDEX('0.0.1 Pokémon Dex Data'!$H$3:$H951,MATCH(E532,'0.0.1 Pokémon Dex Data'!$B$3:$B951,0))</f>
        <v>0</v>
      </c>
      <c r="G532" s="0" t="str">
        <f aca="false" t="array" ref="G532:G532">INDEX('0.0.1 Pokémon Dex Data'!$E$3:$E951,MATCH(E532,'0.0.1 Pokémon Dex Data'!$B$3:$B951,0))</f>
        <v>Snover</v>
      </c>
      <c r="H532" s="0" t="str">
        <f aca="false" t="array" ref="H532:H532">INDEX('0.0.1 Pokémon Dex Data'!$Q$3:$Q951,MATCH(E532,'0.0.1 Pokémon Dex Data'!$B$3:$B951,0))</f>
        <v>Grass</v>
      </c>
      <c r="I532" s="0" t="str">
        <f aca="false" t="array" ref="I532:I532">INDEX('0.0.1 Pokémon Dex Data'!$R$3:$R951,MATCH(E532,'0.0.1 Pokémon Dex Data'!$B$3:$B951,0))</f>
        <v>Ice</v>
      </c>
      <c r="J532" s="260" t="n">
        <f aca="false" t="array" ref="J532:J532">ROUND(INDEX('0.0.1 Pokémon Dex Data'!$S$3:$S951,MATCH($E532,'0.0.1 Pokémon Dex Data'!$B$3:$B951,0))*INDEX('0.0.1 Pokémon Dex Data'!T$3:T951,MATCH($E532,'0.0.1 Pokémon Dex Data'!$B$3:$B951,0)),0)</f>
        <v>115</v>
      </c>
      <c r="K532" s="260" t="n">
        <f aca="false" t="array" ref="K532:K532">ROUND(INDEX('0.0.1 Pokémon Dex Data'!$S$3:$S951,MATCH($E532,'0.0.1 Pokémon Dex Data'!$B$3:$B951,0))*INDEX('0.0.1 Pokémon Dex Data'!U$3:U951,MATCH($E532,'0.0.1 Pokémon Dex Data'!$B$3:$B951,0)),0)</f>
        <v>105</v>
      </c>
      <c r="L532" s="260" t="n">
        <f aca="false" t="array" ref="L532:L532">ROUND(INDEX('0.0.1 Pokémon Dex Data'!$S$3:$S951,MATCH($E532,'0.0.1 Pokémon Dex Data'!$B$3:$B951,0))*INDEX('0.0.1 Pokémon Dex Data'!V$3:V951,MATCH($E532,'0.0.1 Pokémon Dex Data'!$B$3:$B951,0)),0)</f>
        <v>155</v>
      </c>
      <c r="M532" s="260" t="n">
        <f aca="false" t="array" ref="M532:M532">INDEX('0.0.1 Pokémon Dex Data'!$J$3:$J951,MATCH(E532,'0.0.1 Pokémon Dex Data'!$B$3:$B951,0))</f>
        <v>0</v>
      </c>
      <c r="O532" s="490"/>
      <c r="Q532" s="367" t="n">
        <f aca="false">IF('Reverse Search'!$F$4="All (including temporary formes)",1,IF('Reverse Search'!$F$4="Base Pokémon and permanent formes only",IF(F532&lt;=1,1,0),IF(F532=0,1,0)))</f>
        <v>1</v>
      </c>
      <c r="R532" s="0" t="n">
        <f aca="false">IF('Reverse Search'!$C$7="Disable",1,IF('Reverse Search'!$D$9="Disable",1,IF(OR('Reverse Search'!$F$9=H532,'Reverse Search'!$F$9=I532),1,0)))</f>
        <v>1</v>
      </c>
      <c r="S532" s="0" t="n">
        <f aca="false">IF('Reverse Search'!$C$7="Disable",1,IF('Reverse Search'!$D$10="Disable",1,IF(OR('Reverse Search'!$F$10=H532,'Reverse Search'!$F$10=I532),1,0)))</f>
        <v>1</v>
      </c>
      <c r="T532" s="0" t="n">
        <f aca="false">INDEX($B$4:$B$22,MATCH(H532,$A$4:$A$22,0))</f>
        <v>1</v>
      </c>
      <c r="U532" s="0" t="n">
        <f aca="false">IF(ISBLANK(I532),1,INDEX($B$4:$B$22,MATCH(I532,$A$4:$A$22,0)))</f>
        <v>1</v>
      </c>
      <c r="V532" s="367" t="n">
        <f aca="false">IF('Reverse Search'!$C$7="Disable",1,IF('Reverse Search'!$D$11="Disable",1,IF('Reverse Search'!$E$11="Neutral to:",IF(ROUND(T532*U532,2)&lt;=1,1,0),IF(ROUND(T532*U532,2)&lt;1,1,0))))</f>
        <v>1</v>
      </c>
      <c r="W532" s="0" t="n">
        <f aca="false">IF('Reverse Search'!$N$7="Disable",1,IF('Reverse Search'!$I$9="Disable",1,IF('Reverse Search'!$K$9="≥",IF(J532&gt;='Reverse Search'!$L$9,1,0),IF('Reverse Search'!$K$9="≤",IF(J532&lt;='Reverse Search'!$L$9,1,0),IF(J532='Reverse Search'!$L$9,1,0)))))</f>
        <v>1</v>
      </c>
      <c r="X532" s="0" t="n">
        <f aca="false">IF('Reverse Search'!$N$7="Disable",1,IF('Reverse Search'!$I$10="Disable",1,IF('Reverse Search'!$K$10="≥",IF(K532&gt;='Reverse Search'!$L$10,1,0),IF('Reverse Search'!$K$10="≤",IF(K532&lt;='Reverse Search'!$L$10,1,0),IF(K532='Reverse Search'!$L$10,1,0)))))</f>
        <v>1</v>
      </c>
      <c r="Y532" s="367" t="n">
        <f aca="false">IF('Reverse Search'!$N$7="Disable",1,IF('Reverse Search'!$I$11="Disable",1,IF('Reverse Search'!$K$11="≥",IF(L532&gt;='Reverse Search'!$L$11,1,0),IF('Reverse Search'!$K$11="≤",IF(L532&lt;='Reverse Search'!$L$11,1,0),IF(L532='Reverse Search'!$L$11,1,0)))))</f>
        <v>1</v>
      </c>
      <c r="Z532" s="0" t="n">
        <f aca="true">IF('Reverse Search'!$C$14="Disable",1,IF('Reverse Search'!$D$16="Disable",1,IF($C$2=3,IF($M532=0,0,COUNTIF(INDIRECT("'0.0.2 Pokémon Learnset (Core)'!$D$"&amp;MATCH($E532,'0.0.2 Pokémon Learnset (Core)'!$A$1:$A951,0)&amp;":$FK$"&amp;MATCH($E532,'0.0.2 Pokémon Learnset (Core)'!$A$1:$A951,0)),'Reverse Search'!$E$21)),IF($C$2=2,COUNTIF(INDIRECT("'0.1.1 Pokémon GO Moves'!$B$"&amp;MATCH($E532,'0.1.1 Pokémon GO Moves'!$A$1:$A951,0)&amp;":$R$"&amp;MATCH($E532,'0.1.1 Pokémon GO Moves'!$A$1:$A951,0)),'Reverse Search'!$E$21),COUNTIF(INDIRECT("'0.1.1 Pokémon GO Moves'!$B$"&amp;MATCH($E532,'0.1.1 Pokémon GO Moves'!$A$1:$A951,0)&amp;":$L$"&amp;MATCH($E532,'0.1.1 Pokémon GO Moves'!$A$1:$A951,0)),'Reverse Search'!$E$21)))))</f>
        <v>1</v>
      </c>
      <c r="AA532" s="0" t="n">
        <f aca="true">IF('Reverse Search'!$C$14="Disable",1,IF('Reverse Search'!$I$16="Disable",1,IF($D$2=3,IF($M532=0,0,COUNTIF(INDIRECT("'0.0.2 Pokémon Learnset (Core)'!$D$"&amp;MATCH($E532,'0.0.2 Pokémon Learnset (Core)'!$A$1:$A951,0)&amp;":$FK$"&amp;MATCH($E532,'0.0.2 Pokémon Learnset (Core)'!$A$1:$A951,0)),'Reverse Search'!$J$21)),IF($D$2=2,COUNTIF(INDIRECT("'0.1.1 Pokémon GO Moves'!$B$"&amp;MATCH($E532,'0.1.1 Pokémon GO Moves'!$A$1:$A951,0)&amp;":$R$"&amp;MATCH($E532,'0.1.1 Pokémon GO Moves'!$A$1:$A951,0)),'Reverse Search'!$J$21),COUNTIF(INDIRECT("'0.1.1 Pokémon GO Moves'!$B$"&amp;MATCH($E532,'0.1.1 Pokémon GO Moves'!$A$1:$A951,0)&amp;":$L$"&amp;MATCH($E532,'0.1.1 Pokémon GO Moves'!$A$1:$A951,0)),'Reverse Search'!$J$21)))))</f>
        <v>0</v>
      </c>
      <c r="AB532" s="490"/>
      <c r="AC532" s="260" t="n">
        <f aca="false">IF((Q532+R532+S532+V532+W532+X532+Y532+IF(Z532&gt;=1,1,0)+IF(AA532&gt;=1,1,0))=9,G532&amp;", ",)</f>
        <v>0</v>
      </c>
    </row>
    <row r="533" customFormat="false" ht="15.75" hidden="false" customHeight="false" outlineLevel="0" collapsed="false">
      <c r="A533" s="260"/>
      <c r="B533" s="358"/>
      <c r="C533" s="260"/>
      <c r="D533" s="358"/>
      <c r="E533" s="260" t="n">
        <v>532</v>
      </c>
      <c r="F533" s="260" t="n">
        <f aca="false" t="array" ref="F533:F533">INDEX('0.0.1 Pokémon Dex Data'!$H$3:$H951,MATCH(E533,'0.0.1 Pokémon Dex Data'!$B$3:$B951,0))</f>
        <v>0</v>
      </c>
      <c r="G533" s="0" t="str">
        <f aca="false" t="array" ref="G533:G533">INDEX('0.0.1 Pokémon Dex Data'!$E$3:$E951,MATCH(E533,'0.0.1 Pokémon Dex Data'!$B$3:$B951,0))</f>
        <v>Abomasnow</v>
      </c>
      <c r="H533" s="0" t="str">
        <f aca="false" t="array" ref="H533:H533">INDEX('0.0.1 Pokémon Dex Data'!$Q$3:$Q951,MATCH(E533,'0.0.1 Pokémon Dex Data'!$B$3:$B951,0))</f>
        <v>Grass</v>
      </c>
      <c r="I533" s="0" t="str">
        <f aca="false" t="array" ref="I533:I533">INDEX('0.0.1 Pokémon Dex Data'!$R$3:$R951,MATCH(E533,'0.0.1 Pokémon Dex Data'!$B$3:$B951,0))</f>
        <v>Ice</v>
      </c>
      <c r="J533" s="260" t="n">
        <f aca="false" t="array" ref="J533:J533">ROUND(INDEX('0.0.1 Pokémon Dex Data'!$S$3:$S951,MATCH($E533,'0.0.1 Pokémon Dex Data'!$B$3:$B951,0))*INDEX('0.0.1 Pokémon Dex Data'!T$3:T951,MATCH($E533,'0.0.1 Pokémon Dex Data'!$B$3:$B951,0)),0)</f>
        <v>178</v>
      </c>
      <c r="K533" s="260" t="n">
        <f aca="false" t="array" ref="K533:K533">ROUND(INDEX('0.0.1 Pokémon Dex Data'!$S$3:$S951,MATCH($E533,'0.0.1 Pokémon Dex Data'!$B$3:$B951,0))*INDEX('0.0.1 Pokémon Dex Data'!U$3:U951,MATCH($E533,'0.0.1 Pokémon Dex Data'!$B$3:$B951,0)),0)</f>
        <v>158</v>
      </c>
      <c r="L533" s="260" t="n">
        <f aca="false" t="array" ref="L533:L533">ROUND(INDEX('0.0.1 Pokémon Dex Data'!$S$3:$S951,MATCH($E533,'0.0.1 Pokémon Dex Data'!$B$3:$B951,0))*INDEX('0.0.1 Pokémon Dex Data'!V$3:V951,MATCH($E533,'0.0.1 Pokémon Dex Data'!$B$3:$B951,0)),0)</f>
        <v>207</v>
      </c>
      <c r="M533" s="260" t="n">
        <f aca="false" t="array" ref="M533:M533">INDEX('0.0.1 Pokémon Dex Data'!$J$3:$J951,MATCH(E533,'0.0.1 Pokémon Dex Data'!$B$3:$B951,0))</f>
        <v>1</v>
      </c>
      <c r="O533" s="490"/>
      <c r="Q533" s="367" t="n">
        <f aca="false">IF('Reverse Search'!$F$4="All (including temporary formes)",1,IF('Reverse Search'!$F$4="Base Pokémon and permanent formes only",IF(F533&lt;=1,1,0),IF(F533=0,1,0)))</f>
        <v>1</v>
      </c>
      <c r="R533" s="0" t="n">
        <f aca="false">IF('Reverse Search'!$C$7="Disable",1,IF('Reverse Search'!$D$9="Disable",1,IF(OR('Reverse Search'!$F$9=H533,'Reverse Search'!$F$9=I533),1,0)))</f>
        <v>1</v>
      </c>
      <c r="S533" s="0" t="n">
        <f aca="false">IF('Reverse Search'!$C$7="Disable",1,IF('Reverse Search'!$D$10="Disable",1,IF(OR('Reverse Search'!$F$10=H533,'Reverse Search'!$F$10=I533),1,0)))</f>
        <v>1</v>
      </c>
      <c r="T533" s="0" t="n">
        <f aca="false">INDEX($B$4:$B$22,MATCH(H533,$A$4:$A$22,0))</f>
        <v>1</v>
      </c>
      <c r="U533" s="0" t="n">
        <f aca="false">IF(ISBLANK(I533),1,INDEX($B$4:$B$22,MATCH(I533,$A$4:$A$22,0)))</f>
        <v>1</v>
      </c>
      <c r="V533" s="367" t="n">
        <f aca="false">IF('Reverse Search'!$C$7="Disable",1,IF('Reverse Search'!$D$11="Disable",1,IF('Reverse Search'!$E$11="Neutral to:",IF(ROUND(T533*U533,2)&lt;=1,1,0),IF(ROUND(T533*U533,2)&lt;1,1,0))))</f>
        <v>1</v>
      </c>
      <c r="W533" s="0" t="n">
        <f aca="false">IF('Reverse Search'!$N$7="Disable",1,IF('Reverse Search'!$I$9="Disable",1,IF('Reverse Search'!$K$9="≥",IF(J533&gt;='Reverse Search'!$L$9,1,0),IF('Reverse Search'!$K$9="≤",IF(J533&lt;='Reverse Search'!$L$9,1,0),IF(J533='Reverse Search'!$L$9,1,0)))))</f>
        <v>1</v>
      </c>
      <c r="X533" s="0" t="n">
        <f aca="false">IF('Reverse Search'!$N$7="Disable",1,IF('Reverse Search'!$I$10="Disable",1,IF('Reverse Search'!$K$10="≥",IF(K533&gt;='Reverse Search'!$L$10,1,0),IF('Reverse Search'!$K$10="≤",IF(K533&lt;='Reverse Search'!$L$10,1,0),IF(K533='Reverse Search'!$L$10,1,0)))))</f>
        <v>1</v>
      </c>
      <c r="Y533" s="367" t="n">
        <f aca="false">IF('Reverse Search'!$N$7="Disable",1,IF('Reverse Search'!$I$11="Disable",1,IF('Reverse Search'!$K$11="≥",IF(L533&gt;='Reverse Search'!$L$11,1,0),IF('Reverse Search'!$K$11="≤",IF(L533&lt;='Reverse Search'!$L$11,1,0),IF(L533='Reverse Search'!$L$11,1,0)))))</f>
        <v>1</v>
      </c>
      <c r="Z533" s="0" t="n">
        <f aca="true">IF('Reverse Search'!$C$14="Disable",1,IF('Reverse Search'!$D$16="Disable",1,IF($C$2=3,IF($M533=0,0,COUNTIF(INDIRECT("'0.0.2 Pokémon Learnset (Core)'!$D$"&amp;MATCH($E533,'0.0.2 Pokémon Learnset (Core)'!$A$1:$A951,0)&amp;":$FK$"&amp;MATCH($E533,'0.0.2 Pokémon Learnset (Core)'!$A$1:$A951,0)),'Reverse Search'!$E$21)),IF($C$2=2,COUNTIF(INDIRECT("'0.1.1 Pokémon GO Moves'!$B$"&amp;MATCH($E533,'0.1.1 Pokémon GO Moves'!$A$1:$A951,0)&amp;":$R$"&amp;MATCH($E533,'0.1.1 Pokémon GO Moves'!$A$1:$A951,0)),'Reverse Search'!$E$21),COUNTIF(INDIRECT("'0.1.1 Pokémon GO Moves'!$B$"&amp;MATCH($E533,'0.1.1 Pokémon GO Moves'!$A$1:$A951,0)&amp;":$L$"&amp;MATCH($E533,'0.1.1 Pokémon GO Moves'!$A$1:$A951,0)),'Reverse Search'!$E$21)))))</f>
        <v>1</v>
      </c>
      <c r="AA533" s="0" t="n">
        <f aca="true">IF('Reverse Search'!$C$14="Disable",1,IF('Reverse Search'!$I$16="Disable",1,IF($D$2=3,IF($M533=0,0,COUNTIF(INDIRECT("'0.0.2 Pokémon Learnset (Core)'!$D$"&amp;MATCH($E533,'0.0.2 Pokémon Learnset (Core)'!$A$1:$A951,0)&amp;":$FK$"&amp;MATCH($E533,'0.0.2 Pokémon Learnset (Core)'!$A$1:$A951,0)),'Reverse Search'!$J$21)),IF($D$2=2,COUNTIF(INDIRECT("'0.1.1 Pokémon GO Moves'!$B$"&amp;MATCH($E533,'0.1.1 Pokémon GO Moves'!$A$1:$A951,0)&amp;":$R$"&amp;MATCH($E533,'0.1.1 Pokémon GO Moves'!$A$1:$A951,0)),'Reverse Search'!$J$21),COUNTIF(INDIRECT("'0.1.1 Pokémon GO Moves'!$B$"&amp;MATCH($E533,'0.1.1 Pokémon GO Moves'!$A$1:$A951,0)&amp;":$L$"&amp;MATCH($E533,'0.1.1 Pokémon GO Moves'!$A$1:$A951,0)),'Reverse Search'!$J$21)))))</f>
        <v>0</v>
      </c>
      <c r="AB533" s="490"/>
      <c r="AC533" s="260" t="n">
        <f aca="false">IF((Q533+R533+S533+V533+W533+X533+Y533+IF(Z533&gt;=1,1,0)+IF(AA533&gt;=1,1,0))=9,G533&amp;", ",)</f>
        <v>0</v>
      </c>
    </row>
    <row r="534" customFormat="false" ht="15.75" hidden="false" customHeight="false" outlineLevel="0" collapsed="false">
      <c r="A534" s="260"/>
      <c r="B534" s="358"/>
      <c r="C534" s="260"/>
      <c r="D534" s="358"/>
      <c r="E534" s="260" t="n">
        <v>533</v>
      </c>
      <c r="F534" s="260" t="n">
        <f aca="false" t="array" ref="F534:F534">INDEX('0.0.1 Pokémon Dex Data'!$H$3:$H951,MATCH(E534,'0.0.1 Pokémon Dex Data'!$B$3:$B951,0))</f>
        <v>2</v>
      </c>
      <c r="G534" s="0" t="str">
        <f aca="false" t="array" ref="G534:G534">INDEX('0.0.1 Pokémon Dex Data'!$E$3:$E951,MATCH(E534,'0.0.1 Pokémon Dex Data'!$B$3:$B951,0))</f>
        <v>Abomasnow-Mega</v>
      </c>
      <c r="H534" s="0" t="str">
        <f aca="false" t="array" ref="H534:H534">INDEX('0.0.1 Pokémon Dex Data'!$Q$3:$Q951,MATCH(E534,'0.0.1 Pokémon Dex Data'!$B$3:$B951,0))</f>
        <v>Grass</v>
      </c>
      <c r="I534" s="0" t="str">
        <f aca="false" t="array" ref="I534:I534">INDEX('0.0.1 Pokémon Dex Data'!$R$3:$R951,MATCH(E534,'0.0.1 Pokémon Dex Data'!$B$3:$B951,0))</f>
        <v>Ice</v>
      </c>
      <c r="J534" s="260" t="n">
        <f aca="false" t="array" ref="J534:J534">ROUND(INDEX('0.0.1 Pokémon Dex Data'!$S$3:$S951,MATCH($E534,'0.0.1 Pokémon Dex Data'!$B$3:$B951,0))*INDEX('0.0.1 Pokémon Dex Data'!T$3:T951,MATCH($E534,'0.0.1 Pokémon Dex Data'!$B$3:$B951,0)),0)</f>
        <v>240</v>
      </c>
      <c r="K534" s="260" t="n">
        <f aca="false" t="array" ref="K534:K534">ROUND(INDEX('0.0.1 Pokémon Dex Data'!$S$3:$S951,MATCH($E534,'0.0.1 Pokémon Dex Data'!$B$3:$B951,0))*INDEX('0.0.1 Pokémon Dex Data'!U$3:U951,MATCH($E534,'0.0.1 Pokémon Dex Data'!$B$3:$B951,0)),0)</f>
        <v>191</v>
      </c>
      <c r="L534" s="260" t="n">
        <f aca="false" t="array" ref="L534:L534">ROUND(INDEX('0.0.1 Pokémon Dex Data'!$S$3:$S951,MATCH($E534,'0.0.1 Pokémon Dex Data'!$B$3:$B951,0))*INDEX('0.0.1 Pokémon Dex Data'!V$3:V951,MATCH($E534,'0.0.1 Pokémon Dex Data'!$B$3:$B951,0)),0)</f>
        <v>207</v>
      </c>
      <c r="M534" s="260" t="n">
        <f aca="false" t="array" ref="M534:M534">INDEX('0.0.1 Pokémon Dex Data'!$J$3:$J951,MATCH(E534,'0.0.1 Pokémon Dex Data'!$B$3:$B951,0))</f>
        <v>1</v>
      </c>
      <c r="O534" s="490"/>
      <c r="Q534" s="367" t="n">
        <f aca="false">IF('Reverse Search'!$F$4="All (including temporary formes)",1,IF('Reverse Search'!$F$4="Base Pokémon and permanent formes only",IF(F534&lt;=1,1,0),IF(F534=0,1,0)))</f>
        <v>0</v>
      </c>
      <c r="R534" s="0" t="n">
        <f aca="false">IF('Reverse Search'!$C$7="Disable",1,IF('Reverse Search'!$D$9="Disable",1,IF(OR('Reverse Search'!$F$9=H534,'Reverse Search'!$F$9=I534),1,0)))</f>
        <v>1</v>
      </c>
      <c r="S534" s="0" t="n">
        <f aca="false">IF('Reverse Search'!$C$7="Disable",1,IF('Reverse Search'!$D$10="Disable",1,IF(OR('Reverse Search'!$F$10=H534,'Reverse Search'!$F$10=I534),1,0)))</f>
        <v>1</v>
      </c>
      <c r="T534" s="0" t="n">
        <f aca="false">INDEX($B$4:$B$22,MATCH(H534,$A$4:$A$22,0))</f>
        <v>1</v>
      </c>
      <c r="U534" s="0" t="n">
        <f aca="false">IF(ISBLANK(I534),1,INDEX($B$4:$B$22,MATCH(I534,$A$4:$A$22,0)))</f>
        <v>1</v>
      </c>
      <c r="V534" s="367" t="n">
        <f aca="false">IF('Reverse Search'!$C$7="Disable",1,IF('Reverse Search'!$D$11="Disable",1,IF('Reverse Search'!$E$11="Neutral to:",IF(ROUND(T534*U534,2)&lt;=1,1,0),IF(ROUND(T534*U534,2)&lt;1,1,0))))</f>
        <v>1</v>
      </c>
      <c r="W534" s="0" t="n">
        <f aca="false">IF('Reverse Search'!$N$7="Disable",1,IF('Reverse Search'!$I$9="Disable",1,IF('Reverse Search'!$K$9="≥",IF(J534&gt;='Reverse Search'!$L$9,1,0),IF('Reverse Search'!$K$9="≤",IF(J534&lt;='Reverse Search'!$L$9,1,0),IF(J534='Reverse Search'!$L$9,1,0)))))</f>
        <v>1</v>
      </c>
      <c r="X534" s="0" t="n">
        <f aca="false">IF('Reverse Search'!$N$7="Disable",1,IF('Reverse Search'!$I$10="Disable",1,IF('Reverse Search'!$K$10="≥",IF(K534&gt;='Reverse Search'!$L$10,1,0),IF('Reverse Search'!$K$10="≤",IF(K534&lt;='Reverse Search'!$L$10,1,0),IF(K534='Reverse Search'!$L$10,1,0)))))</f>
        <v>1</v>
      </c>
      <c r="Y534" s="367" t="n">
        <f aca="false">IF('Reverse Search'!$N$7="Disable",1,IF('Reverse Search'!$I$11="Disable",1,IF('Reverse Search'!$K$11="≥",IF(L534&gt;='Reverse Search'!$L$11,1,0),IF('Reverse Search'!$K$11="≤",IF(L534&lt;='Reverse Search'!$L$11,1,0),IF(L534='Reverse Search'!$L$11,1,0)))))</f>
        <v>1</v>
      </c>
      <c r="Z534" s="0" t="n">
        <f aca="true">IF('Reverse Search'!$C$14="Disable",1,IF('Reverse Search'!$D$16="Disable",1,IF($C$2=3,IF($M534=0,0,COUNTIF(INDIRECT("'0.0.2 Pokémon Learnset (Core)'!$D$"&amp;MATCH($E534,'0.0.2 Pokémon Learnset (Core)'!$A$1:$A951,0)&amp;":$FK$"&amp;MATCH($E534,'0.0.2 Pokémon Learnset (Core)'!$A$1:$A951,0)),'Reverse Search'!$E$21)),IF($C$2=2,COUNTIF(INDIRECT("'0.1.1 Pokémon GO Moves'!$B$"&amp;MATCH($E534,'0.1.1 Pokémon GO Moves'!$A$1:$A951,0)&amp;":$R$"&amp;MATCH($E534,'0.1.1 Pokémon GO Moves'!$A$1:$A951,0)),'Reverse Search'!$E$21),COUNTIF(INDIRECT("'0.1.1 Pokémon GO Moves'!$B$"&amp;MATCH($E534,'0.1.1 Pokémon GO Moves'!$A$1:$A951,0)&amp;":$L$"&amp;MATCH($E534,'0.1.1 Pokémon GO Moves'!$A$1:$A951,0)),'Reverse Search'!$E$21)))))</f>
        <v>1</v>
      </c>
      <c r="AA534" s="0" t="e">
        <f aca="true">IF('Reverse Search'!$C$14="Disable",1,IF('Reverse Search'!$I$16="Disable",1,IF($D$2=3,IF($M534=0,0,COUNTIF(INDIRECT("'0.0.2 Pokémon Learnset (Core)'!$D$"&amp;MATCH($E534,'0.0.2 Pokémon Learnset (Core)'!$A$1:$A951,0)&amp;":$FK$"&amp;MATCH($E534,'0.0.2 Pokémon Learnset (Core)'!$A$1:$A951,0)),'Reverse Search'!$J$21)),IF($D$2=2,COUNTIF(INDIRECT("'0.1.1 Pokémon GO Moves'!$B$"&amp;MATCH($E534,'0.1.1 Pokémon GO Moves'!$A$1:$A951,0)&amp;":$R$"&amp;MATCH($E534,'0.1.1 Pokémon GO Moves'!$A$1:$A951,0)),'Reverse Search'!$J$21),COUNTIF(INDIRECT("'0.1.1 Pokémon GO Moves'!$B$"&amp;MATCH($E534,'0.1.1 Pokémon GO Moves'!$A$1:$A951,0)&amp;":$L$"&amp;MATCH($E534,'0.1.1 Pokémon GO Moves'!$A$1:$A951,0)),'Reverse Search'!$J$21)))))</f>
        <v>#N/A</v>
      </c>
      <c r="AB534" s="490"/>
      <c r="AC534" s="260" t="e">
        <f aca="false">IF((Q534+R534+S534+V534+W534+X534+Y534+IF(Z534&gt;=1,1,0)+IF(AA534&gt;=1,1,0))=9,G534&amp;", ",)</f>
        <v>#N/A</v>
      </c>
    </row>
    <row r="535" customFormat="false" ht="15.75" hidden="false" customHeight="false" outlineLevel="0" collapsed="false">
      <c r="A535" s="260"/>
      <c r="B535" s="358"/>
      <c r="C535" s="260"/>
      <c r="D535" s="358"/>
      <c r="E535" s="260" t="n">
        <v>534</v>
      </c>
      <c r="F535" s="260" t="n">
        <f aca="false" t="array" ref="F535:F535">INDEX('0.0.1 Pokémon Dex Data'!$H$3:$H951,MATCH(E535,'0.0.1 Pokémon Dex Data'!$B$3:$B951,0))</f>
        <v>0</v>
      </c>
      <c r="G535" s="0" t="str">
        <f aca="false" t="array" ref="G535:G535">INDEX('0.0.1 Pokémon Dex Data'!$E$3:$E951,MATCH(E535,'0.0.1 Pokémon Dex Data'!$B$3:$B951,0))</f>
        <v>Weavile</v>
      </c>
      <c r="H535" s="0" t="str">
        <f aca="false" t="array" ref="H535:H535">INDEX('0.0.1 Pokémon Dex Data'!$Q$3:$Q951,MATCH(E535,'0.0.1 Pokémon Dex Data'!$B$3:$B951,0))</f>
        <v>Dark</v>
      </c>
      <c r="I535" s="0" t="str">
        <f aca="false" t="array" ref="I535:I535">INDEX('0.0.1 Pokémon Dex Data'!$R$3:$R951,MATCH(E535,'0.0.1 Pokémon Dex Data'!$B$3:$B951,0))</f>
        <v>Ice</v>
      </c>
      <c r="J535" s="260" t="n">
        <f aca="false" t="array" ref="J535:J535">ROUND(INDEX('0.0.1 Pokémon Dex Data'!$S$3:$S951,MATCH($E535,'0.0.1 Pokémon Dex Data'!$B$3:$B951,0))*INDEX('0.0.1 Pokémon Dex Data'!T$3:T951,MATCH($E535,'0.0.1 Pokémon Dex Data'!$B$3:$B951,0)),0)</f>
        <v>243</v>
      </c>
      <c r="K535" s="260" t="n">
        <f aca="false" t="array" ref="K535:K535">ROUND(INDEX('0.0.1 Pokémon Dex Data'!$S$3:$S951,MATCH($E535,'0.0.1 Pokémon Dex Data'!$B$3:$B951,0))*INDEX('0.0.1 Pokémon Dex Data'!U$3:U951,MATCH($E535,'0.0.1 Pokémon Dex Data'!$B$3:$B951,0)),0)</f>
        <v>171</v>
      </c>
      <c r="L535" s="260" t="n">
        <f aca="false" t="array" ref="L535:L535">ROUND(INDEX('0.0.1 Pokémon Dex Data'!$S$3:$S951,MATCH($E535,'0.0.1 Pokémon Dex Data'!$B$3:$B951,0))*INDEX('0.0.1 Pokémon Dex Data'!V$3:V951,MATCH($E535,'0.0.1 Pokémon Dex Data'!$B$3:$B951,0)),0)</f>
        <v>172</v>
      </c>
      <c r="M535" s="260" t="n">
        <f aca="false" t="array" ref="M535:M535">INDEX('0.0.1 Pokémon Dex Data'!$J$3:$J951,MATCH(E535,'0.0.1 Pokémon Dex Data'!$B$3:$B951,0))</f>
        <v>1</v>
      </c>
      <c r="O535" s="490"/>
      <c r="Q535" s="367" t="n">
        <f aca="false">IF('Reverse Search'!$F$4="All (including temporary formes)",1,IF('Reverse Search'!$F$4="Base Pokémon and permanent formes only",IF(F535&lt;=1,1,0),IF(F535=0,1,0)))</f>
        <v>1</v>
      </c>
      <c r="R535" s="0" t="n">
        <f aca="false">IF('Reverse Search'!$C$7="Disable",1,IF('Reverse Search'!$D$9="Disable",1,IF(OR('Reverse Search'!$F$9=H535,'Reverse Search'!$F$9=I535),1,0)))</f>
        <v>1</v>
      </c>
      <c r="S535" s="0" t="n">
        <f aca="false">IF('Reverse Search'!$C$7="Disable",1,IF('Reverse Search'!$D$10="Disable",1,IF(OR('Reverse Search'!$F$10=H535,'Reverse Search'!$F$10=I535),1,0)))</f>
        <v>1</v>
      </c>
      <c r="T535" s="0" t="n">
        <f aca="false">INDEX($B$4:$B$22,MATCH(H535,$A$4:$A$22,0))</f>
        <v>1</v>
      </c>
      <c r="U535" s="0" t="n">
        <f aca="false">IF(ISBLANK(I535),1,INDEX($B$4:$B$22,MATCH(I535,$A$4:$A$22,0)))</f>
        <v>1</v>
      </c>
      <c r="V535" s="367" t="n">
        <f aca="false">IF('Reverse Search'!$C$7="Disable",1,IF('Reverse Search'!$D$11="Disable",1,IF('Reverse Search'!$E$11="Neutral to:",IF(ROUND(T535*U535,2)&lt;=1,1,0),IF(ROUND(T535*U535,2)&lt;1,1,0))))</f>
        <v>1</v>
      </c>
      <c r="W535" s="0" t="n">
        <f aca="false">IF('Reverse Search'!$N$7="Disable",1,IF('Reverse Search'!$I$9="Disable",1,IF('Reverse Search'!$K$9="≥",IF(J535&gt;='Reverse Search'!$L$9,1,0),IF('Reverse Search'!$K$9="≤",IF(J535&lt;='Reverse Search'!$L$9,1,0),IF(J535='Reverse Search'!$L$9,1,0)))))</f>
        <v>1</v>
      </c>
      <c r="X535" s="0" t="n">
        <f aca="false">IF('Reverse Search'!$N$7="Disable",1,IF('Reverse Search'!$I$10="Disable",1,IF('Reverse Search'!$K$10="≥",IF(K535&gt;='Reverse Search'!$L$10,1,0),IF('Reverse Search'!$K$10="≤",IF(K535&lt;='Reverse Search'!$L$10,1,0),IF(K535='Reverse Search'!$L$10,1,0)))))</f>
        <v>1</v>
      </c>
      <c r="Y535" s="367" t="n">
        <f aca="false">IF('Reverse Search'!$N$7="Disable",1,IF('Reverse Search'!$I$11="Disable",1,IF('Reverse Search'!$K$11="≥",IF(L535&gt;='Reverse Search'!$L$11,1,0),IF('Reverse Search'!$K$11="≤",IF(L535&lt;='Reverse Search'!$L$11,1,0),IF(L535='Reverse Search'!$L$11,1,0)))))</f>
        <v>1</v>
      </c>
      <c r="Z535" s="0" t="n">
        <f aca="true">IF('Reverse Search'!$C$14="Disable",1,IF('Reverse Search'!$D$16="Disable",1,IF($C$2=3,IF($M535=0,0,COUNTIF(INDIRECT("'0.0.2 Pokémon Learnset (Core)'!$D$"&amp;MATCH($E535,'0.0.2 Pokémon Learnset (Core)'!$A$1:$A951,0)&amp;":$FK$"&amp;MATCH($E535,'0.0.2 Pokémon Learnset (Core)'!$A$1:$A951,0)),'Reverse Search'!$E$21)),IF($C$2=2,COUNTIF(INDIRECT("'0.1.1 Pokémon GO Moves'!$B$"&amp;MATCH($E535,'0.1.1 Pokémon GO Moves'!$A$1:$A951,0)&amp;":$R$"&amp;MATCH($E535,'0.1.1 Pokémon GO Moves'!$A$1:$A951,0)),'Reverse Search'!$E$21),COUNTIF(INDIRECT("'0.1.1 Pokémon GO Moves'!$B$"&amp;MATCH($E535,'0.1.1 Pokémon GO Moves'!$A$1:$A951,0)&amp;":$L$"&amp;MATCH($E535,'0.1.1 Pokémon GO Moves'!$A$1:$A951,0)),'Reverse Search'!$E$21)))))</f>
        <v>1</v>
      </c>
      <c r="AA535" s="0" t="n">
        <f aca="true">IF('Reverse Search'!$C$14="Disable",1,IF('Reverse Search'!$I$16="Disable",1,IF($D$2=3,IF($M535=0,0,COUNTIF(INDIRECT("'0.0.2 Pokémon Learnset (Core)'!$D$"&amp;MATCH($E535,'0.0.2 Pokémon Learnset (Core)'!$A$1:$A951,0)&amp;":$FK$"&amp;MATCH($E535,'0.0.2 Pokémon Learnset (Core)'!$A$1:$A951,0)),'Reverse Search'!$J$21)),IF($D$2=2,COUNTIF(INDIRECT("'0.1.1 Pokémon GO Moves'!$B$"&amp;MATCH($E535,'0.1.1 Pokémon GO Moves'!$A$1:$A951,0)&amp;":$R$"&amp;MATCH($E535,'0.1.1 Pokémon GO Moves'!$A$1:$A951,0)),'Reverse Search'!$J$21),COUNTIF(INDIRECT("'0.1.1 Pokémon GO Moves'!$B$"&amp;MATCH($E535,'0.1.1 Pokémon GO Moves'!$A$1:$A951,0)&amp;":$L$"&amp;MATCH($E535,'0.1.1 Pokémon GO Moves'!$A$1:$A951,0)),'Reverse Search'!$J$21)))))</f>
        <v>0</v>
      </c>
      <c r="AB535" s="490"/>
      <c r="AC535" s="260" t="n">
        <f aca="false">IF((Q535+R535+S535+V535+W535+X535+Y535+IF(Z535&gt;=1,1,0)+IF(AA535&gt;=1,1,0))=9,G535&amp;", ",)</f>
        <v>0</v>
      </c>
    </row>
    <row r="536" customFormat="false" ht="15.75" hidden="false" customHeight="false" outlineLevel="0" collapsed="false">
      <c r="A536" s="260"/>
      <c r="B536" s="358"/>
      <c r="C536" s="260"/>
      <c r="D536" s="358"/>
      <c r="E536" s="260" t="n">
        <v>535</v>
      </c>
      <c r="F536" s="260" t="n">
        <f aca="false" t="array" ref="F536:F536">INDEX('0.0.1 Pokémon Dex Data'!$H$3:$H951,MATCH(E536,'0.0.1 Pokémon Dex Data'!$B$3:$B951,0))</f>
        <v>0</v>
      </c>
      <c r="G536" s="0" t="str">
        <f aca="false" t="array" ref="G536:G536">INDEX('0.0.1 Pokémon Dex Data'!$E$3:$E951,MATCH(E536,'0.0.1 Pokémon Dex Data'!$B$3:$B951,0))</f>
        <v>Magnezone</v>
      </c>
      <c r="H536" s="0" t="str">
        <f aca="false" t="array" ref="H536:H536">INDEX('0.0.1 Pokémon Dex Data'!$Q$3:$Q951,MATCH(E536,'0.0.1 Pokémon Dex Data'!$B$3:$B951,0))</f>
        <v>Steel</v>
      </c>
      <c r="I536" s="0" t="str">
        <f aca="false" t="array" ref="I536:I536">INDEX('0.0.1 Pokémon Dex Data'!$R$3:$R951,MATCH(E536,'0.0.1 Pokémon Dex Data'!$B$3:$B951,0))</f>
        <v>Electric</v>
      </c>
      <c r="J536" s="260" t="n">
        <f aca="false" t="array" ref="J536:J536">ROUND(INDEX('0.0.1 Pokémon Dex Data'!$S$3:$S951,MATCH($E536,'0.0.1 Pokémon Dex Data'!$B$3:$B951,0))*INDEX('0.0.1 Pokémon Dex Data'!T$3:T951,MATCH($E536,'0.0.1 Pokémon Dex Data'!$B$3:$B951,0)),0)</f>
        <v>238</v>
      </c>
      <c r="K536" s="260" t="n">
        <f aca="false" t="array" ref="K536:K536">ROUND(INDEX('0.0.1 Pokémon Dex Data'!$S$3:$S951,MATCH($E536,'0.0.1 Pokémon Dex Data'!$B$3:$B951,0))*INDEX('0.0.1 Pokémon Dex Data'!U$3:U951,MATCH($E536,'0.0.1 Pokémon Dex Data'!$B$3:$B951,0)),0)</f>
        <v>205</v>
      </c>
      <c r="L536" s="260" t="n">
        <f aca="false" t="array" ref="L536:L536">ROUND(INDEX('0.0.1 Pokémon Dex Data'!$S$3:$S951,MATCH($E536,'0.0.1 Pokémon Dex Data'!$B$3:$B951,0))*INDEX('0.0.1 Pokémon Dex Data'!V$3:V951,MATCH($E536,'0.0.1 Pokémon Dex Data'!$B$3:$B951,0)),0)</f>
        <v>172</v>
      </c>
      <c r="M536" s="260" t="n">
        <f aca="false" t="array" ref="M536:M536">INDEX('0.0.1 Pokémon Dex Data'!$J$3:$J951,MATCH(E536,'0.0.1 Pokémon Dex Data'!$B$3:$B951,0))</f>
        <v>1</v>
      </c>
      <c r="O536" s="490"/>
      <c r="Q536" s="367" t="n">
        <f aca="false">IF('Reverse Search'!$F$4="All (including temporary formes)",1,IF('Reverse Search'!$F$4="Base Pokémon and permanent formes only",IF(F536&lt;=1,1,0),IF(F536=0,1,0)))</f>
        <v>1</v>
      </c>
      <c r="R536" s="0" t="n">
        <f aca="false">IF('Reverse Search'!$C$7="Disable",1,IF('Reverse Search'!$D$9="Disable",1,IF(OR('Reverse Search'!$F$9=H536,'Reverse Search'!$F$9=I536),1,0)))</f>
        <v>1</v>
      </c>
      <c r="S536" s="0" t="n">
        <f aca="false">IF('Reverse Search'!$C$7="Disable",1,IF('Reverse Search'!$D$10="Disable",1,IF(OR('Reverse Search'!$F$10=H536,'Reverse Search'!$F$10=I536),1,0)))</f>
        <v>1</v>
      </c>
      <c r="T536" s="0" t="n">
        <f aca="false">INDEX($B$4:$B$22,MATCH(H536,$A$4:$A$22,0))</f>
        <v>0.714</v>
      </c>
      <c r="U536" s="0" t="n">
        <f aca="false">IF(ISBLANK(I536),1,INDEX($B$4:$B$22,MATCH(I536,$A$4:$A$22,0)))</f>
        <v>1</v>
      </c>
      <c r="V536" s="367" t="n">
        <f aca="false">IF('Reverse Search'!$C$7="Disable",1,IF('Reverse Search'!$D$11="Disable",1,IF('Reverse Search'!$E$11="Neutral to:",IF(ROUND(T536*U536,2)&lt;=1,1,0),IF(ROUND(T536*U536,2)&lt;1,1,0))))</f>
        <v>1</v>
      </c>
      <c r="W536" s="0" t="n">
        <f aca="false">IF('Reverse Search'!$N$7="Disable",1,IF('Reverse Search'!$I$9="Disable",1,IF('Reverse Search'!$K$9="≥",IF(J536&gt;='Reverse Search'!$L$9,1,0),IF('Reverse Search'!$K$9="≤",IF(J536&lt;='Reverse Search'!$L$9,1,0),IF(J536='Reverse Search'!$L$9,1,0)))))</f>
        <v>1</v>
      </c>
      <c r="X536" s="0" t="n">
        <f aca="false">IF('Reverse Search'!$N$7="Disable",1,IF('Reverse Search'!$I$10="Disable",1,IF('Reverse Search'!$K$10="≥",IF(K536&gt;='Reverse Search'!$L$10,1,0),IF('Reverse Search'!$K$10="≤",IF(K536&lt;='Reverse Search'!$L$10,1,0),IF(K536='Reverse Search'!$L$10,1,0)))))</f>
        <v>1</v>
      </c>
      <c r="Y536" s="367" t="n">
        <f aca="false">IF('Reverse Search'!$N$7="Disable",1,IF('Reverse Search'!$I$11="Disable",1,IF('Reverse Search'!$K$11="≥",IF(L536&gt;='Reverse Search'!$L$11,1,0),IF('Reverse Search'!$K$11="≤",IF(L536&lt;='Reverse Search'!$L$11,1,0),IF(L536='Reverse Search'!$L$11,1,0)))))</f>
        <v>1</v>
      </c>
      <c r="Z536" s="0" t="n">
        <f aca="true">IF('Reverse Search'!$C$14="Disable",1,IF('Reverse Search'!$D$16="Disable",1,IF($C$2=3,IF($M536=0,0,COUNTIF(INDIRECT("'0.0.2 Pokémon Learnset (Core)'!$D$"&amp;MATCH($E536,'0.0.2 Pokémon Learnset (Core)'!$A$1:$A951,0)&amp;":$FK$"&amp;MATCH($E536,'0.0.2 Pokémon Learnset (Core)'!$A$1:$A951,0)),'Reverse Search'!$E$21)),IF($C$2=2,COUNTIF(INDIRECT("'0.1.1 Pokémon GO Moves'!$B$"&amp;MATCH($E536,'0.1.1 Pokémon GO Moves'!$A$1:$A951,0)&amp;":$R$"&amp;MATCH($E536,'0.1.1 Pokémon GO Moves'!$A$1:$A951,0)),'Reverse Search'!$E$21),COUNTIF(INDIRECT("'0.1.1 Pokémon GO Moves'!$B$"&amp;MATCH($E536,'0.1.1 Pokémon GO Moves'!$A$1:$A951,0)&amp;":$L$"&amp;MATCH($E536,'0.1.1 Pokémon GO Moves'!$A$1:$A951,0)),'Reverse Search'!$E$21)))))</f>
        <v>1</v>
      </c>
      <c r="AA536" s="0" t="n">
        <f aca="true">IF('Reverse Search'!$C$14="Disable",1,IF('Reverse Search'!$I$16="Disable",1,IF($D$2=3,IF($M536=0,0,COUNTIF(INDIRECT("'0.0.2 Pokémon Learnset (Core)'!$D$"&amp;MATCH($E536,'0.0.2 Pokémon Learnset (Core)'!$A$1:$A951,0)&amp;":$FK$"&amp;MATCH($E536,'0.0.2 Pokémon Learnset (Core)'!$A$1:$A951,0)),'Reverse Search'!$J$21)),IF($D$2=2,COUNTIF(INDIRECT("'0.1.1 Pokémon GO Moves'!$B$"&amp;MATCH($E536,'0.1.1 Pokémon GO Moves'!$A$1:$A951,0)&amp;":$R$"&amp;MATCH($E536,'0.1.1 Pokémon GO Moves'!$A$1:$A951,0)),'Reverse Search'!$J$21),COUNTIF(INDIRECT("'0.1.1 Pokémon GO Moves'!$B$"&amp;MATCH($E536,'0.1.1 Pokémon GO Moves'!$A$1:$A951,0)&amp;":$L$"&amp;MATCH($E536,'0.1.1 Pokémon GO Moves'!$A$1:$A951,0)),'Reverse Search'!$J$21)))))</f>
        <v>0</v>
      </c>
      <c r="AB536" s="490"/>
      <c r="AC536" s="260" t="n">
        <f aca="false">IF((Q536+R536+S536+V536+W536+X536+Y536+IF(Z536&gt;=1,1,0)+IF(AA536&gt;=1,1,0))=9,G536&amp;", ",)</f>
        <v>0</v>
      </c>
    </row>
    <row r="537" customFormat="false" ht="15.75" hidden="false" customHeight="false" outlineLevel="0" collapsed="false">
      <c r="A537" s="260"/>
      <c r="B537" s="358"/>
      <c r="C537" s="260"/>
      <c r="D537" s="358"/>
      <c r="E537" s="260" t="n">
        <v>536</v>
      </c>
      <c r="F537" s="260" t="n">
        <f aca="false" t="array" ref="F537:F537">INDEX('0.0.1 Pokémon Dex Data'!$H$3:$H951,MATCH(E537,'0.0.1 Pokémon Dex Data'!$B$3:$B951,0))</f>
        <v>0</v>
      </c>
      <c r="G537" s="0" t="str">
        <f aca="false" t="array" ref="G537:G537">INDEX('0.0.1 Pokémon Dex Data'!$E$3:$E951,MATCH(E537,'0.0.1 Pokémon Dex Data'!$B$3:$B951,0))</f>
        <v>Lickilicky</v>
      </c>
      <c r="H537" s="0" t="str">
        <f aca="false" t="array" ref="H537:H537">INDEX('0.0.1 Pokémon Dex Data'!$Q$3:$Q951,MATCH(E537,'0.0.1 Pokémon Dex Data'!$B$3:$B951,0))</f>
        <v>Normal</v>
      </c>
      <c r="I537" s="0" t="n">
        <f aca="false">INDEX('0.0.1 Pokémon Dex Data'!$R$3:$R951,MATCH(E537,'0.0.1 Pokémon Dex Data'!$B$3:$B951,0))</f>
        <v>0</v>
      </c>
      <c r="J537" s="260" t="n">
        <f aca="false" t="array" ref="J537:J537">ROUND(INDEX('0.0.1 Pokémon Dex Data'!$S$3:$S951,MATCH($E537,'0.0.1 Pokémon Dex Data'!$B$3:$B951,0))*INDEX('0.0.1 Pokémon Dex Data'!T$3:T951,MATCH($E537,'0.0.1 Pokémon Dex Data'!$B$3:$B951,0)),0)</f>
        <v>161</v>
      </c>
      <c r="K537" s="260" t="n">
        <f aca="false" t="array" ref="K537:K537">ROUND(INDEX('0.0.1 Pokémon Dex Data'!$S$3:$S951,MATCH($E537,'0.0.1 Pokémon Dex Data'!$B$3:$B951,0))*INDEX('0.0.1 Pokémon Dex Data'!U$3:U951,MATCH($E537,'0.0.1 Pokémon Dex Data'!$B$3:$B951,0)),0)</f>
        <v>181</v>
      </c>
      <c r="L537" s="260" t="n">
        <f aca="false" t="array" ref="L537:L537">ROUND(INDEX('0.0.1 Pokémon Dex Data'!$S$3:$S951,MATCH($E537,'0.0.1 Pokémon Dex Data'!$B$3:$B951,0))*INDEX('0.0.1 Pokémon Dex Data'!V$3:V951,MATCH($E537,'0.0.1 Pokémon Dex Data'!$B$3:$B951,0)),0)</f>
        <v>242</v>
      </c>
      <c r="M537" s="260" t="n">
        <f aca="false" t="array" ref="M537:M537">INDEX('0.0.1 Pokémon Dex Data'!$J$3:$J951,MATCH(E537,'0.0.1 Pokémon Dex Data'!$B$3:$B951,0))</f>
        <v>1</v>
      </c>
      <c r="O537" s="490"/>
      <c r="Q537" s="367" t="n">
        <f aca="false">IF('Reverse Search'!$F$4="All (including temporary formes)",1,IF('Reverse Search'!$F$4="Base Pokémon and permanent formes only",IF(F537&lt;=1,1,0),IF(F537=0,1,0)))</f>
        <v>1</v>
      </c>
      <c r="R537" s="0" t="n">
        <f aca="false">IF('Reverse Search'!$C$7="Disable",1,IF('Reverse Search'!$D$9="Disable",1,IF(OR('Reverse Search'!$F$9=H537,'Reverse Search'!$F$9=I537),1,0)))</f>
        <v>1</v>
      </c>
      <c r="S537" s="0" t="n">
        <f aca="false">IF('Reverse Search'!$C$7="Disable",1,IF('Reverse Search'!$D$10="Disable",1,IF(OR('Reverse Search'!$F$10=H537,'Reverse Search'!$F$10=I537),1,0)))</f>
        <v>1</v>
      </c>
      <c r="T537" s="0" t="n">
        <f aca="false">INDEX($B$4:$B$22,MATCH(H537,$A$4:$A$22,0))</f>
        <v>1</v>
      </c>
      <c r="U537" s="0" t="e">
        <f aca="false">IF(ISBLANK(I537),1,INDEX($B$4:$B$22,MATCH(I537,$A$4:$A$22,0)))</f>
        <v>#N/A</v>
      </c>
      <c r="V537" s="367" t="n">
        <f aca="false">IF('Reverse Search'!$C$7="Disable",1,IF('Reverse Search'!$D$11="Disable",1,IF('Reverse Search'!$E$11="Neutral to:",IF(ROUND(T537*U537,2)&lt;=1,1,0),IF(ROUND(T537*U537,2)&lt;1,1,0))))</f>
        <v>1</v>
      </c>
      <c r="W537" s="0" t="n">
        <f aca="false">IF('Reverse Search'!$N$7="Disable",1,IF('Reverse Search'!$I$9="Disable",1,IF('Reverse Search'!$K$9="≥",IF(J537&gt;='Reverse Search'!$L$9,1,0),IF('Reverse Search'!$K$9="≤",IF(J537&lt;='Reverse Search'!$L$9,1,0),IF(J537='Reverse Search'!$L$9,1,0)))))</f>
        <v>1</v>
      </c>
      <c r="X537" s="0" t="n">
        <f aca="false">IF('Reverse Search'!$N$7="Disable",1,IF('Reverse Search'!$I$10="Disable",1,IF('Reverse Search'!$K$10="≥",IF(K537&gt;='Reverse Search'!$L$10,1,0),IF('Reverse Search'!$K$10="≤",IF(K537&lt;='Reverse Search'!$L$10,1,0),IF(K537='Reverse Search'!$L$10,1,0)))))</f>
        <v>1</v>
      </c>
      <c r="Y537" s="367" t="n">
        <f aca="false">IF('Reverse Search'!$N$7="Disable",1,IF('Reverse Search'!$I$11="Disable",1,IF('Reverse Search'!$K$11="≥",IF(L537&gt;='Reverse Search'!$L$11,1,0),IF('Reverse Search'!$K$11="≤",IF(L537&lt;='Reverse Search'!$L$11,1,0),IF(L537='Reverse Search'!$L$11,1,0)))))</f>
        <v>1</v>
      </c>
      <c r="Z537" s="0" t="n">
        <f aca="true">IF('Reverse Search'!$C$14="Disable",1,IF('Reverse Search'!$D$16="Disable",1,IF($C$2=3,IF($M537=0,0,COUNTIF(INDIRECT("'0.0.2 Pokémon Learnset (Core)'!$D$"&amp;MATCH($E537,'0.0.2 Pokémon Learnset (Core)'!$A$1:$A951,0)&amp;":$FK$"&amp;MATCH($E537,'0.0.2 Pokémon Learnset (Core)'!$A$1:$A951,0)),'Reverse Search'!$E$21)),IF($C$2=2,COUNTIF(INDIRECT("'0.1.1 Pokémon GO Moves'!$B$"&amp;MATCH($E537,'0.1.1 Pokémon GO Moves'!$A$1:$A951,0)&amp;":$R$"&amp;MATCH($E537,'0.1.1 Pokémon GO Moves'!$A$1:$A951,0)),'Reverse Search'!$E$21),COUNTIF(INDIRECT("'0.1.1 Pokémon GO Moves'!$B$"&amp;MATCH($E537,'0.1.1 Pokémon GO Moves'!$A$1:$A951,0)&amp;":$L$"&amp;MATCH($E537,'0.1.1 Pokémon GO Moves'!$A$1:$A951,0)),'Reverse Search'!$E$21)))))</f>
        <v>1</v>
      </c>
      <c r="AA537" s="0" t="n">
        <f aca="true">IF('Reverse Search'!$C$14="Disable",1,IF('Reverse Search'!$I$16="Disable",1,IF($D$2=3,IF($M537=0,0,COUNTIF(INDIRECT("'0.0.2 Pokémon Learnset (Core)'!$D$"&amp;MATCH($E537,'0.0.2 Pokémon Learnset (Core)'!$A$1:$A951,0)&amp;":$FK$"&amp;MATCH($E537,'0.0.2 Pokémon Learnset (Core)'!$A$1:$A951,0)),'Reverse Search'!$J$21)),IF($D$2=2,COUNTIF(INDIRECT("'0.1.1 Pokémon GO Moves'!$B$"&amp;MATCH($E537,'0.1.1 Pokémon GO Moves'!$A$1:$A951,0)&amp;":$R$"&amp;MATCH($E537,'0.1.1 Pokémon GO Moves'!$A$1:$A951,0)),'Reverse Search'!$J$21),COUNTIF(INDIRECT("'0.1.1 Pokémon GO Moves'!$B$"&amp;MATCH($E537,'0.1.1 Pokémon GO Moves'!$A$1:$A951,0)&amp;":$L$"&amp;MATCH($E537,'0.1.1 Pokémon GO Moves'!$A$1:$A951,0)),'Reverse Search'!$J$21)))))</f>
        <v>0</v>
      </c>
      <c r="AB537" s="490"/>
      <c r="AC537" s="260" t="n">
        <f aca="false">IF((Q537+R537+S537+V537+W537+X537+Y537+IF(Z537&gt;=1,1,0)+IF(AA537&gt;=1,1,0))=9,G537&amp;", ",)</f>
        <v>0</v>
      </c>
    </row>
    <row r="538" customFormat="false" ht="15.75" hidden="false" customHeight="false" outlineLevel="0" collapsed="false">
      <c r="A538" s="260"/>
      <c r="B538" s="358"/>
      <c r="C538" s="260"/>
      <c r="D538" s="358"/>
      <c r="E538" s="260" t="n">
        <v>537</v>
      </c>
      <c r="F538" s="260" t="n">
        <f aca="false" t="array" ref="F538:F538">INDEX('0.0.1 Pokémon Dex Data'!$H$3:$H951,MATCH(E538,'0.0.1 Pokémon Dex Data'!$B$3:$B951,0))</f>
        <v>0</v>
      </c>
      <c r="G538" s="0" t="str">
        <f aca="false" t="array" ref="G538:G538">INDEX('0.0.1 Pokémon Dex Data'!$E$3:$E951,MATCH(E538,'0.0.1 Pokémon Dex Data'!$B$3:$B951,0))</f>
        <v>Rhyperior</v>
      </c>
      <c r="H538" s="0" t="str">
        <f aca="false" t="array" ref="H538:H538">INDEX('0.0.1 Pokémon Dex Data'!$Q$3:$Q951,MATCH(E538,'0.0.1 Pokémon Dex Data'!$B$3:$B951,0))</f>
        <v>Rock</v>
      </c>
      <c r="I538" s="0" t="str">
        <f aca="false" t="array" ref="I538:I538">INDEX('0.0.1 Pokémon Dex Data'!$R$3:$R951,MATCH(E538,'0.0.1 Pokémon Dex Data'!$B$3:$B951,0))</f>
        <v>Ground</v>
      </c>
      <c r="J538" s="260" t="n">
        <f aca="false" t="array" ref="J538:J538">ROUND(INDEX('0.0.1 Pokémon Dex Data'!$S$3:$S951,MATCH($E538,'0.0.1 Pokémon Dex Data'!$B$3:$B951,0))*INDEX('0.0.1 Pokémon Dex Data'!T$3:T951,MATCH($E538,'0.0.1 Pokémon Dex Data'!$B$3:$B951,0)),0)</f>
        <v>241</v>
      </c>
      <c r="K538" s="260" t="n">
        <f aca="false" t="array" ref="K538:K538">ROUND(INDEX('0.0.1 Pokémon Dex Data'!$S$3:$S951,MATCH($E538,'0.0.1 Pokémon Dex Data'!$B$3:$B951,0))*INDEX('0.0.1 Pokémon Dex Data'!U$3:U951,MATCH($E538,'0.0.1 Pokémon Dex Data'!$B$3:$B951,0)),0)</f>
        <v>190</v>
      </c>
      <c r="L538" s="260" t="n">
        <f aca="false" t="array" ref="L538:L538">ROUND(INDEX('0.0.1 Pokémon Dex Data'!$S$3:$S951,MATCH($E538,'0.0.1 Pokémon Dex Data'!$B$3:$B951,0))*INDEX('0.0.1 Pokémon Dex Data'!V$3:V951,MATCH($E538,'0.0.1 Pokémon Dex Data'!$B$3:$B951,0)),0)</f>
        <v>251</v>
      </c>
      <c r="M538" s="260" t="n">
        <f aca="false" t="array" ref="M538:M538">INDEX('0.0.1 Pokémon Dex Data'!$J$3:$J951,MATCH(E538,'0.0.1 Pokémon Dex Data'!$B$3:$B951,0))</f>
        <v>1</v>
      </c>
      <c r="O538" s="490"/>
      <c r="Q538" s="367" t="n">
        <f aca="false">IF('Reverse Search'!$F$4="All (including temporary formes)",1,IF('Reverse Search'!$F$4="Base Pokémon and permanent formes only",IF(F538&lt;=1,1,0),IF(F538=0,1,0)))</f>
        <v>1</v>
      </c>
      <c r="R538" s="0" t="n">
        <f aca="false">IF('Reverse Search'!$C$7="Disable",1,IF('Reverse Search'!$D$9="Disable",1,IF(OR('Reverse Search'!$F$9=H538,'Reverse Search'!$F$9=I538),1,0)))</f>
        <v>1</v>
      </c>
      <c r="S538" s="0" t="n">
        <f aca="false">IF('Reverse Search'!$C$7="Disable",1,IF('Reverse Search'!$D$10="Disable",1,IF(OR('Reverse Search'!$F$10=H538,'Reverse Search'!$F$10=I538),1,0)))</f>
        <v>1</v>
      </c>
      <c r="T538" s="0" t="n">
        <f aca="false">INDEX($B$4:$B$22,MATCH(H538,$A$4:$A$22,0))</f>
        <v>0.714</v>
      </c>
      <c r="U538" s="0" t="n">
        <f aca="false">IF(ISBLANK(I538),1,INDEX($B$4:$B$22,MATCH(I538,$A$4:$A$22,0)))</f>
        <v>1</v>
      </c>
      <c r="V538" s="367" t="n">
        <f aca="false">IF('Reverse Search'!$C$7="Disable",1,IF('Reverse Search'!$D$11="Disable",1,IF('Reverse Search'!$E$11="Neutral to:",IF(ROUND(T538*U538,2)&lt;=1,1,0),IF(ROUND(T538*U538,2)&lt;1,1,0))))</f>
        <v>1</v>
      </c>
      <c r="W538" s="0" t="n">
        <f aca="false">IF('Reverse Search'!$N$7="Disable",1,IF('Reverse Search'!$I$9="Disable",1,IF('Reverse Search'!$K$9="≥",IF(J538&gt;='Reverse Search'!$L$9,1,0),IF('Reverse Search'!$K$9="≤",IF(J538&lt;='Reverse Search'!$L$9,1,0),IF(J538='Reverse Search'!$L$9,1,0)))))</f>
        <v>1</v>
      </c>
      <c r="X538" s="0" t="n">
        <f aca="false">IF('Reverse Search'!$N$7="Disable",1,IF('Reverse Search'!$I$10="Disable",1,IF('Reverse Search'!$K$10="≥",IF(K538&gt;='Reverse Search'!$L$10,1,0),IF('Reverse Search'!$K$10="≤",IF(K538&lt;='Reverse Search'!$L$10,1,0),IF(K538='Reverse Search'!$L$10,1,0)))))</f>
        <v>1</v>
      </c>
      <c r="Y538" s="367" t="n">
        <f aca="false">IF('Reverse Search'!$N$7="Disable",1,IF('Reverse Search'!$I$11="Disable",1,IF('Reverse Search'!$K$11="≥",IF(L538&gt;='Reverse Search'!$L$11,1,0),IF('Reverse Search'!$K$11="≤",IF(L538&lt;='Reverse Search'!$L$11,1,0),IF(L538='Reverse Search'!$L$11,1,0)))))</f>
        <v>1</v>
      </c>
      <c r="Z538" s="0" t="n">
        <f aca="true">IF('Reverse Search'!$C$14="Disable",1,IF('Reverse Search'!$D$16="Disable",1,IF($C$2=3,IF($M538=0,0,COUNTIF(INDIRECT("'0.0.2 Pokémon Learnset (Core)'!$D$"&amp;MATCH($E538,'0.0.2 Pokémon Learnset (Core)'!$A$1:$A951,0)&amp;":$FK$"&amp;MATCH($E538,'0.0.2 Pokémon Learnset (Core)'!$A$1:$A951,0)),'Reverse Search'!$E$21)),IF($C$2=2,COUNTIF(INDIRECT("'0.1.1 Pokémon GO Moves'!$B$"&amp;MATCH($E538,'0.1.1 Pokémon GO Moves'!$A$1:$A951,0)&amp;":$R$"&amp;MATCH($E538,'0.1.1 Pokémon GO Moves'!$A$1:$A951,0)),'Reverse Search'!$E$21),COUNTIF(INDIRECT("'0.1.1 Pokémon GO Moves'!$B$"&amp;MATCH($E538,'0.1.1 Pokémon GO Moves'!$A$1:$A951,0)&amp;":$L$"&amp;MATCH($E538,'0.1.1 Pokémon GO Moves'!$A$1:$A951,0)),'Reverse Search'!$E$21)))))</f>
        <v>1</v>
      </c>
      <c r="AA538" s="0" t="n">
        <f aca="true">IF('Reverse Search'!$C$14="Disable",1,IF('Reverse Search'!$I$16="Disable",1,IF($D$2=3,IF($M538=0,0,COUNTIF(INDIRECT("'0.0.2 Pokémon Learnset (Core)'!$D$"&amp;MATCH($E538,'0.0.2 Pokémon Learnset (Core)'!$A$1:$A951,0)&amp;":$FK$"&amp;MATCH($E538,'0.0.2 Pokémon Learnset (Core)'!$A$1:$A951,0)),'Reverse Search'!$J$21)),IF($D$2=2,COUNTIF(INDIRECT("'0.1.1 Pokémon GO Moves'!$B$"&amp;MATCH($E538,'0.1.1 Pokémon GO Moves'!$A$1:$A951,0)&amp;":$R$"&amp;MATCH($E538,'0.1.1 Pokémon GO Moves'!$A$1:$A951,0)),'Reverse Search'!$J$21),COUNTIF(INDIRECT("'0.1.1 Pokémon GO Moves'!$B$"&amp;MATCH($E538,'0.1.1 Pokémon GO Moves'!$A$1:$A951,0)&amp;":$L$"&amp;MATCH($E538,'0.1.1 Pokémon GO Moves'!$A$1:$A951,0)),'Reverse Search'!$J$21)))))</f>
        <v>0</v>
      </c>
      <c r="AB538" s="490"/>
      <c r="AC538" s="260" t="n">
        <f aca="false">IF((Q538+R538+S538+V538+W538+X538+Y538+IF(Z538&gt;=1,1,0)+IF(AA538&gt;=1,1,0))=9,G538&amp;", ",)</f>
        <v>0</v>
      </c>
    </row>
    <row r="539" customFormat="false" ht="15.75" hidden="false" customHeight="false" outlineLevel="0" collapsed="false">
      <c r="A539" s="260"/>
      <c r="B539" s="358"/>
      <c r="C539" s="260"/>
      <c r="D539" s="358"/>
      <c r="E539" s="260" t="n">
        <v>538</v>
      </c>
      <c r="F539" s="260" t="n">
        <f aca="false" t="array" ref="F539:F539">INDEX('0.0.1 Pokémon Dex Data'!$H$3:$H951,MATCH(E539,'0.0.1 Pokémon Dex Data'!$B$3:$B951,0))</f>
        <v>0</v>
      </c>
      <c r="G539" s="0" t="str">
        <f aca="false" t="array" ref="G539:G539">INDEX('0.0.1 Pokémon Dex Data'!$E$3:$E951,MATCH(E539,'0.0.1 Pokémon Dex Data'!$B$3:$B951,0))</f>
        <v>Tangrowth</v>
      </c>
      <c r="H539" s="0" t="str">
        <f aca="false" t="array" ref="H539:H539">INDEX('0.0.1 Pokémon Dex Data'!$Q$3:$Q951,MATCH(E539,'0.0.1 Pokémon Dex Data'!$B$3:$B951,0))</f>
        <v>Grass</v>
      </c>
      <c r="I539" s="0" t="n">
        <f aca="false">INDEX('0.0.1 Pokémon Dex Data'!$R$3:$R951,MATCH(E539,'0.0.1 Pokémon Dex Data'!$B$3:$B951,0))</f>
        <v>0</v>
      </c>
      <c r="J539" s="260" t="n">
        <f aca="false" t="array" ref="J539:J539">ROUND(INDEX('0.0.1 Pokémon Dex Data'!$S$3:$S951,MATCH($E539,'0.0.1 Pokémon Dex Data'!$B$3:$B951,0))*INDEX('0.0.1 Pokémon Dex Data'!T$3:T951,MATCH($E539,'0.0.1 Pokémon Dex Data'!$B$3:$B951,0)),0)</f>
        <v>207</v>
      </c>
      <c r="K539" s="260" t="n">
        <f aca="false" t="array" ref="K539:K539">ROUND(INDEX('0.0.1 Pokémon Dex Data'!$S$3:$S951,MATCH($E539,'0.0.1 Pokémon Dex Data'!$B$3:$B951,0))*INDEX('0.0.1 Pokémon Dex Data'!U$3:U951,MATCH($E539,'0.0.1 Pokémon Dex Data'!$B$3:$B951,0)),0)</f>
        <v>184</v>
      </c>
      <c r="L539" s="260" t="n">
        <f aca="false" t="array" ref="L539:L539">ROUND(INDEX('0.0.1 Pokémon Dex Data'!$S$3:$S951,MATCH($E539,'0.0.1 Pokémon Dex Data'!$B$3:$B951,0))*INDEX('0.0.1 Pokémon Dex Data'!V$3:V951,MATCH($E539,'0.0.1 Pokémon Dex Data'!$B$3:$B951,0)),0)</f>
        <v>225</v>
      </c>
      <c r="M539" s="260" t="n">
        <f aca="false" t="array" ref="M539:M539">INDEX('0.0.1 Pokémon Dex Data'!$J$3:$J951,MATCH(E539,'0.0.1 Pokémon Dex Data'!$B$3:$B951,0))</f>
        <v>1</v>
      </c>
      <c r="O539" s="490"/>
      <c r="Q539" s="367" t="n">
        <f aca="false">IF('Reverse Search'!$F$4="All (including temporary formes)",1,IF('Reverse Search'!$F$4="Base Pokémon and permanent formes only",IF(F539&lt;=1,1,0),IF(F539=0,1,0)))</f>
        <v>1</v>
      </c>
      <c r="R539" s="0" t="n">
        <f aca="false">IF('Reverse Search'!$C$7="Disable",1,IF('Reverse Search'!$D$9="Disable",1,IF(OR('Reverse Search'!$F$9=H539,'Reverse Search'!$F$9=I539),1,0)))</f>
        <v>1</v>
      </c>
      <c r="S539" s="0" t="n">
        <f aca="false">IF('Reverse Search'!$C$7="Disable",1,IF('Reverse Search'!$D$10="Disable",1,IF(OR('Reverse Search'!$F$10=H539,'Reverse Search'!$F$10=I539),1,0)))</f>
        <v>1</v>
      </c>
      <c r="T539" s="0" t="n">
        <f aca="false">INDEX($B$4:$B$22,MATCH(H539,$A$4:$A$22,0))</f>
        <v>1</v>
      </c>
      <c r="U539" s="0" t="e">
        <f aca="false">IF(ISBLANK(I539),1,INDEX($B$4:$B$22,MATCH(I539,$A$4:$A$22,0)))</f>
        <v>#N/A</v>
      </c>
      <c r="V539" s="367" t="n">
        <f aca="false">IF('Reverse Search'!$C$7="Disable",1,IF('Reverse Search'!$D$11="Disable",1,IF('Reverse Search'!$E$11="Neutral to:",IF(ROUND(T539*U539,2)&lt;=1,1,0),IF(ROUND(T539*U539,2)&lt;1,1,0))))</f>
        <v>1</v>
      </c>
      <c r="W539" s="0" t="n">
        <f aca="false">IF('Reverse Search'!$N$7="Disable",1,IF('Reverse Search'!$I$9="Disable",1,IF('Reverse Search'!$K$9="≥",IF(J539&gt;='Reverse Search'!$L$9,1,0),IF('Reverse Search'!$K$9="≤",IF(J539&lt;='Reverse Search'!$L$9,1,0),IF(J539='Reverse Search'!$L$9,1,0)))))</f>
        <v>1</v>
      </c>
      <c r="X539" s="0" t="n">
        <f aca="false">IF('Reverse Search'!$N$7="Disable",1,IF('Reverse Search'!$I$10="Disable",1,IF('Reverse Search'!$K$10="≥",IF(K539&gt;='Reverse Search'!$L$10,1,0),IF('Reverse Search'!$K$10="≤",IF(K539&lt;='Reverse Search'!$L$10,1,0),IF(K539='Reverse Search'!$L$10,1,0)))))</f>
        <v>1</v>
      </c>
      <c r="Y539" s="367" t="n">
        <f aca="false">IF('Reverse Search'!$N$7="Disable",1,IF('Reverse Search'!$I$11="Disable",1,IF('Reverse Search'!$K$11="≥",IF(L539&gt;='Reverse Search'!$L$11,1,0),IF('Reverse Search'!$K$11="≤",IF(L539&lt;='Reverse Search'!$L$11,1,0),IF(L539='Reverse Search'!$L$11,1,0)))))</f>
        <v>1</v>
      </c>
      <c r="Z539" s="0" t="n">
        <f aca="true">IF('Reverse Search'!$C$14="Disable",1,IF('Reverse Search'!$D$16="Disable",1,IF($C$2=3,IF($M539=0,0,COUNTIF(INDIRECT("'0.0.2 Pokémon Learnset (Core)'!$D$"&amp;MATCH($E539,'0.0.2 Pokémon Learnset (Core)'!$A$1:$A951,0)&amp;":$FK$"&amp;MATCH($E539,'0.0.2 Pokémon Learnset (Core)'!$A$1:$A951,0)),'Reverse Search'!$E$21)),IF($C$2=2,COUNTIF(INDIRECT("'0.1.1 Pokémon GO Moves'!$B$"&amp;MATCH($E539,'0.1.1 Pokémon GO Moves'!$A$1:$A951,0)&amp;":$R$"&amp;MATCH($E539,'0.1.1 Pokémon GO Moves'!$A$1:$A951,0)),'Reverse Search'!$E$21),COUNTIF(INDIRECT("'0.1.1 Pokémon GO Moves'!$B$"&amp;MATCH($E539,'0.1.1 Pokémon GO Moves'!$A$1:$A951,0)&amp;":$L$"&amp;MATCH($E539,'0.1.1 Pokémon GO Moves'!$A$1:$A951,0)),'Reverse Search'!$E$21)))))</f>
        <v>1</v>
      </c>
      <c r="AA539" s="0" t="n">
        <f aca="true">IF('Reverse Search'!$C$14="Disable",1,IF('Reverse Search'!$I$16="Disable",1,IF($D$2=3,IF($M539=0,0,COUNTIF(INDIRECT("'0.0.2 Pokémon Learnset (Core)'!$D$"&amp;MATCH($E539,'0.0.2 Pokémon Learnset (Core)'!$A$1:$A951,0)&amp;":$FK$"&amp;MATCH($E539,'0.0.2 Pokémon Learnset (Core)'!$A$1:$A951,0)),'Reverse Search'!$J$21)),IF($D$2=2,COUNTIF(INDIRECT("'0.1.1 Pokémon GO Moves'!$B$"&amp;MATCH($E539,'0.1.1 Pokémon GO Moves'!$A$1:$A951,0)&amp;":$R$"&amp;MATCH($E539,'0.1.1 Pokémon GO Moves'!$A$1:$A951,0)),'Reverse Search'!$J$21),COUNTIF(INDIRECT("'0.1.1 Pokémon GO Moves'!$B$"&amp;MATCH($E539,'0.1.1 Pokémon GO Moves'!$A$1:$A951,0)&amp;":$L$"&amp;MATCH($E539,'0.1.1 Pokémon GO Moves'!$A$1:$A951,0)),'Reverse Search'!$J$21)))))</f>
        <v>0</v>
      </c>
      <c r="AB539" s="490"/>
      <c r="AC539" s="260" t="n">
        <f aca="false">IF((Q539+R539+S539+V539+W539+X539+Y539+IF(Z539&gt;=1,1,0)+IF(AA539&gt;=1,1,0))=9,G539&amp;", ",)</f>
        <v>0</v>
      </c>
    </row>
    <row r="540" customFormat="false" ht="15.75" hidden="false" customHeight="false" outlineLevel="0" collapsed="false">
      <c r="A540" s="260"/>
      <c r="B540" s="358"/>
      <c r="C540" s="260"/>
      <c r="D540" s="358"/>
      <c r="E540" s="260" t="n">
        <v>539</v>
      </c>
      <c r="F540" s="260" t="n">
        <f aca="false" t="array" ref="F540:F540">INDEX('0.0.1 Pokémon Dex Data'!$H$3:$H951,MATCH(E540,'0.0.1 Pokémon Dex Data'!$B$3:$B951,0))</f>
        <v>0</v>
      </c>
      <c r="G540" s="0" t="str">
        <f aca="false" t="array" ref="G540:G540">INDEX('0.0.1 Pokémon Dex Data'!$E$3:$E951,MATCH(E540,'0.0.1 Pokémon Dex Data'!$B$3:$B951,0))</f>
        <v>Electivire</v>
      </c>
      <c r="H540" s="0" t="str">
        <f aca="false" t="array" ref="H540:H540">INDEX('0.0.1 Pokémon Dex Data'!$Q$3:$Q951,MATCH(E540,'0.0.1 Pokémon Dex Data'!$B$3:$B951,0))</f>
        <v>Electric</v>
      </c>
      <c r="I540" s="0" t="n">
        <f aca="false">INDEX('0.0.1 Pokémon Dex Data'!$R$3:$R951,MATCH(E540,'0.0.1 Pokémon Dex Data'!$B$3:$B951,0))</f>
        <v>0</v>
      </c>
      <c r="J540" s="260" t="n">
        <f aca="false" t="array" ref="J540:J540">ROUND(INDEX('0.0.1 Pokémon Dex Data'!$S$3:$S951,MATCH($E540,'0.0.1 Pokémon Dex Data'!$B$3:$B951,0))*INDEX('0.0.1 Pokémon Dex Data'!T$3:T951,MATCH($E540,'0.0.1 Pokémon Dex Data'!$B$3:$B951,0)),0)</f>
        <v>249</v>
      </c>
      <c r="K540" s="260" t="n">
        <f aca="false" t="array" ref="K540:K540">ROUND(INDEX('0.0.1 Pokémon Dex Data'!$S$3:$S951,MATCH($E540,'0.0.1 Pokémon Dex Data'!$B$3:$B951,0))*INDEX('0.0.1 Pokémon Dex Data'!U$3:U951,MATCH($E540,'0.0.1 Pokémon Dex Data'!$B$3:$B951,0)),0)</f>
        <v>163</v>
      </c>
      <c r="L540" s="260" t="n">
        <f aca="false" t="array" ref="L540:L540">ROUND(INDEX('0.0.1 Pokémon Dex Data'!$S$3:$S951,MATCH($E540,'0.0.1 Pokémon Dex Data'!$B$3:$B951,0))*INDEX('0.0.1 Pokémon Dex Data'!V$3:V951,MATCH($E540,'0.0.1 Pokémon Dex Data'!$B$3:$B951,0)),0)</f>
        <v>181</v>
      </c>
      <c r="M540" s="260" t="n">
        <f aca="false" t="array" ref="M540:M540">INDEX('0.0.1 Pokémon Dex Data'!$J$3:$J951,MATCH(E540,'0.0.1 Pokémon Dex Data'!$B$3:$B951,0))</f>
        <v>1</v>
      </c>
      <c r="O540" s="490"/>
      <c r="Q540" s="367" t="n">
        <f aca="false">IF('Reverse Search'!$F$4="All (including temporary formes)",1,IF('Reverse Search'!$F$4="Base Pokémon and permanent formes only",IF(F540&lt;=1,1,0),IF(F540=0,1,0)))</f>
        <v>1</v>
      </c>
      <c r="R540" s="0" t="n">
        <f aca="false">IF('Reverse Search'!$C$7="Disable",1,IF('Reverse Search'!$D$9="Disable",1,IF(OR('Reverse Search'!$F$9=H540,'Reverse Search'!$F$9=I540),1,0)))</f>
        <v>1</v>
      </c>
      <c r="S540" s="0" t="n">
        <f aca="false">IF('Reverse Search'!$C$7="Disable",1,IF('Reverse Search'!$D$10="Disable",1,IF(OR('Reverse Search'!$F$10=H540,'Reverse Search'!$F$10=I540),1,0)))</f>
        <v>1</v>
      </c>
      <c r="T540" s="0" t="n">
        <f aca="false">INDEX($B$4:$B$22,MATCH(H540,$A$4:$A$22,0))</f>
        <v>1</v>
      </c>
      <c r="U540" s="0" t="e">
        <f aca="false">IF(ISBLANK(I540),1,INDEX($B$4:$B$22,MATCH(I540,$A$4:$A$22,0)))</f>
        <v>#N/A</v>
      </c>
      <c r="V540" s="367" t="n">
        <f aca="false">IF('Reverse Search'!$C$7="Disable",1,IF('Reverse Search'!$D$11="Disable",1,IF('Reverse Search'!$E$11="Neutral to:",IF(ROUND(T540*U540,2)&lt;=1,1,0),IF(ROUND(T540*U540,2)&lt;1,1,0))))</f>
        <v>1</v>
      </c>
      <c r="W540" s="0" t="n">
        <f aca="false">IF('Reverse Search'!$N$7="Disable",1,IF('Reverse Search'!$I$9="Disable",1,IF('Reverse Search'!$K$9="≥",IF(J540&gt;='Reverse Search'!$L$9,1,0),IF('Reverse Search'!$K$9="≤",IF(J540&lt;='Reverse Search'!$L$9,1,0),IF(J540='Reverse Search'!$L$9,1,0)))))</f>
        <v>1</v>
      </c>
      <c r="X540" s="0" t="n">
        <f aca="false">IF('Reverse Search'!$N$7="Disable",1,IF('Reverse Search'!$I$10="Disable",1,IF('Reverse Search'!$K$10="≥",IF(K540&gt;='Reverse Search'!$L$10,1,0),IF('Reverse Search'!$K$10="≤",IF(K540&lt;='Reverse Search'!$L$10,1,0),IF(K540='Reverse Search'!$L$10,1,0)))))</f>
        <v>1</v>
      </c>
      <c r="Y540" s="367" t="n">
        <f aca="false">IF('Reverse Search'!$N$7="Disable",1,IF('Reverse Search'!$I$11="Disable",1,IF('Reverse Search'!$K$11="≥",IF(L540&gt;='Reverse Search'!$L$11,1,0),IF('Reverse Search'!$K$11="≤",IF(L540&lt;='Reverse Search'!$L$11,1,0),IF(L540='Reverse Search'!$L$11,1,0)))))</f>
        <v>1</v>
      </c>
      <c r="Z540" s="0" t="n">
        <f aca="true">IF('Reverse Search'!$C$14="Disable",1,IF('Reverse Search'!$D$16="Disable",1,IF($C$2=3,IF($M540=0,0,COUNTIF(INDIRECT("'0.0.2 Pokémon Learnset (Core)'!$D$"&amp;MATCH($E540,'0.0.2 Pokémon Learnset (Core)'!$A$1:$A951,0)&amp;":$FK$"&amp;MATCH($E540,'0.0.2 Pokémon Learnset (Core)'!$A$1:$A951,0)),'Reverse Search'!$E$21)),IF($C$2=2,COUNTIF(INDIRECT("'0.1.1 Pokémon GO Moves'!$B$"&amp;MATCH($E540,'0.1.1 Pokémon GO Moves'!$A$1:$A951,0)&amp;":$R$"&amp;MATCH($E540,'0.1.1 Pokémon GO Moves'!$A$1:$A951,0)),'Reverse Search'!$E$21),COUNTIF(INDIRECT("'0.1.1 Pokémon GO Moves'!$B$"&amp;MATCH($E540,'0.1.1 Pokémon GO Moves'!$A$1:$A951,0)&amp;":$L$"&amp;MATCH($E540,'0.1.1 Pokémon GO Moves'!$A$1:$A951,0)),'Reverse Search'!$E$21)))))</f>
        <v>1</v>
      </c>
      <c r="AA540" s="0" t="n">
        <f aca="true">IF('Reverse Search'!$C$14="Disable",1,IF('Reverse Search'!$I$16="Disable",1,IF($D$2=3,IF($M540=0,0,COUNTIF(INDIRECT("'0.0.2 Pokémon Learnset (Core)'!$D$"&amp;MATCH($E540,'0.0.2 Pokémon Learnset (Core)'!$A$1:$A951,0)&amp;":$FK$"&amp;MATCH($E540,'0.0.2 Pokémon Learnset (Core)'!$A$1:$A951,0)),'Reverse Search'!$J$21)),IF($D$2=2,COUNTIF(INDIRECT("'0.1.1 Pokémon GO Moves'!$B$"&amp;MATCH($E540,'0.1.1 Pokémon GO Moves'!$A$1:$A951,0)&amp;":$R$"&amp;MATCH($E540,'0.1.1 Pokémon GO Moves'!$A$1:$A951,0)),'Reverse Search'!$J$21),COUNTIF(INDIRECT("'0.1.1 Pokémon GO Moves'!$B$"&amp;MATCH($E540,'0.1.1 Pokémon GO Moves'!$A$1:$A951,0)&amp;":$L$"&amp;MATCH($E540,'0.1.1 Pokémon GO Moves'!$A$1:$A951,0)),'Reverse Search'!$J$21)))))</f>
        <v>0</v>
      </c>
      <c r="AB540" s="490"/>
      <c r="AC540" s="260" t="n">
        <f aca="false">IF((Q540+R540+S540+V540+W540+X540+Y540+IF(Z540&gt;=1,1,0)+IF(AA540&gt;=1,1,0))=9,G540&amp;", ",)</f>
        <v>0</v>
      </c>
    </row>
    <row r="541" customFormat="false" ht="15.75" hidden="false" customHeight="false" outlineLevel="0" collapsed="false">
      <c r="A541" s="260"/>
      <c r="B541" s="358"/>
      <c r="C541" s="260"/>
      <c r="D541" s="358"/>
      <c r="E541" s="260" t="n">
        <v>540</v>
      </c>
      <c r="F541" s="260" t="n">
        <f aca="false" t="array" ref="F541:F541">INDEX('0.0.1 Pokémon Dex Data'!$H$3:$H951,MATCH(E541,'0.0.1 Pokémon Dex Data'!$B$3:$B951,0))</f>
        <v>0</v>
      </c>
      <c r="G541" s="0" t="str">
        <f aca="false" t="array" ref="G541:G541">INDEX('0.0.1 Pokémon Dex Data'!$E$3:$E951,MATCH(E541,'0.0.1 Pokémon Dex Data'!$B$3:$B951,0))</f>
        <v>Magmortar</v>
      </c>
      <c r="H541" s="0" t="str">
        <f aca="false" t="array" ref="H541:H541">INDEX('0.0.1 Pokémon Dex Data'!$Q$3:$Q951,MATCH(E541,'0.0.1 Pokémon Dex Data'!$B$3:$B951,0))</f>
        <v>Fire</v>
      </c>
      <c r="I541" s="0" t="n">
        <f aca="false">INDEX('0.0.1 Pokémon Dex Data'!$R$3:$R951,MATCH(E541,'0.0.1 Pokémon Dex Data'!$B$3:$B951,0))</f>
        <v>0</v>
      </c>
      <c r="J541" s="260" t="n">
        <f aca="false" t="array" ref="J541:J541">ROUND(INDEX('0.0.1 Pokémon Dex Data'!$S$3:$S951,MATCH($E541,'0.0.1 Pokémon Dex Data'!$B$3:$B951,0))*INDEX('0.0.1 Pokémon Dex Data'!T$3:T951,MATCH($E541,'0.0.1 Pokémon Dex Data'!$B$3:$B951,0)),0)</f>
        <v>247</v>
      </c>
      <c r="K541" s="260" t="n">
        <f aca="false" t="array" ref="K541:K541">ROUND(INDEX('0.0.1 Pokémon Dex Data'!$S$3:$S951,MATCH($E541,'0.0.1 Pokémon Dex Data'!$B$3:$B951,0))*INDEX('0.0.1 Pokémon Dex Data'!U$3:U951,MATCH($E541,'0.0.1 Pokémon Dex Data'!$B$3:$B951,0)),0)</f>
        <v>172</v>
      </c>
      <c r="L541" s="260" t="n">
        <f aca="false" t="array" ref="L541:L541">ROUND(INDEX('0.0.1 Pokémon Dex Data'!$S$3:$S951,MATCH($E541,'0.0.1 Pokémon Dex Data'!$B$3:$B951,0))*INDEX('0.0.1 Pokémon Dex Data'!V$3:V951,MATCH($E541,'0.0.1 Pokémon Dex Data'!$B$3:$B951,0)),0)</f>
        <v>181</v>
      </c>
      <c r="M541" s="260" t="n">
        <f aca="false" t="array" ref="M541:M541">INDEX('0.0.1 Pokémon Dex Data'!$J$3:$J951,MATCH(E541,'0.0.1 Pokémon Dex Data'!$B$3:$B951,0))</f>
        <v>1</v>
      </c>
      <c r="O541" s="490"/>
      <c r="Q541" s="367" t="n">
        <f aca="false">IF('Reverse Search'!$F$4="All (including temporary formes)",1,IF('Reverse Search'!$F$4="Base Pokémon and permanent formes only",IF(F541&lt;=1,1,0),IF(F541=0,1,0)))</f>
        <v>1</v>
      </c>
      <c r="R541" s="0" t="n">
        <f aca="false">IF('Reverse Search'!$C$7="Disable",1,IF('Reverse Search'!$D$9="Disable",1,IF(OR('Reverse Search'!$F$9=H541,'Reverse Search'!$F$9=I541),1,0)))</f>
        <v>1</v>
      </c>
      <c r="S541" s="0" t="n">
        <f aca="false">IF('Reverse Search'!$C$7="Disable",1,IF('Reverse Search'!$D$10="Disable",1,IF(OR('Reverse Search'!$F$10=H541,'Reverse Search'!$F$10=I541),1,0)))</f>
        <v>1</v>
      </c>
      <c r="T541" s="0" t="n">
        <f aca="false">INDEX($B$4:$B$22,MATCH(H541,$A$4:$A$22,0))</f>
        <v>1</v>
      </c>
      <c r="U541" s="0" t="e">
        <f aca="false">IF(ISBLANK(I541),1,INDEX($B$4:$B$22,MATCH(I541,$A$4:$A$22,0)))</f>
        <v>#N/A</v>
      </c>
      <c r="V541" s="367" t="n">
        <f aca="false">IF('Reverse Search'!$C$7="Disable",1,IF('Reverse Search'!$D$11="Disable",1,IF('Reverse Search'!$E$11="Neutral to:",IF(ROUND(T541*U541,2)&lt;=1,1,0),IF(ROUND(T541*U541,2)&lt;1,1,0))))</f>
        <v>1</v>
      </c>
      <c r="W541" s="0" t="n">
        <f aca="false">IF('Reverse Search'!$N$7="Disable",1,IF('Reverse Search'!$I$9="Disable",1,IF('Reverse Search'!$K$9="≥",IF(J541&gt;='Reverse Search'!$L$9,1,0),IF('Reverse Search'!$K$9="≤",IF(J541&lt;='Reverse Search'!$L$9,1,0),IF(J541='Reverse Search'!$L$9,1,0)))))</f>
        <v>1</v>
      </c>
      <c r="X541" s="0" t="n">
        <f aca="false">IF('Reverse Search'!$N$7="Disable",1,IF('Reverse Search'!$I$10="Disable",1,IF('Reverse Search'!$K$10="≥",IF(K541&gt;='Reverse Search'!$L$10,1,0),IF('Reverse Search'!$K$10="≤",IF(K541&lt;='Reverse Search'!$L$10,1,0),IF(K541='Reverse Search'!$L$10,1,0)))))</f>
        <v>1</v>
      </c>
      <c r="Y541" s="367" t="n">
        <f aca="false">IF('Reverse Search'!$N$7="Disable",1,IF('Reverse Search'!$I$11="Disable",1,IF('Reverse Search'!$K$11="≥",IF(L541&gt;='Reverse Search'!$L$11,1,0),IF('Reverse Search'!$K$11="≤",IF(L541&lt;='Reverse Search'!$L$11,1,0),IF(L541='Reverse Search'!$L$11,1,0)))))</f>
        <v>1</v>
      </c>
      <c r="Z541" s="0" t="n">
        <f aca="true">IF('Reverse Search'!$C$14="Disable",1,IF('Reverse Search'!$D$16="Disable",1,IF($C$2=3,IF($M541=0,0,COUNTIF(INDIRECT("'0.0.2 Pokémon Learnset (Core)'!$D$"&amp;MATCH($E541,'0.0.2 Pokémon Learnset (Core)'!$A$1:$A951,0)&amp;":$FK$"&amp;MATCH($E541,'0.0.2 Pokémon Learnset (Core)'!$A$1:$A951,0)),'Reverse Search'!$E$21)),IF($C$2=2,COUNTIF(INDIRECT("'0.1.1 Pokémon GO Moves'!$B$"&amp;MATCH($E541,'0.1.1 Pokémon GO Moves'!$A$1:$A951,0)&amp;":$R$"&amp;MATCH($E541,'0.1.1 Pokémon GO Moves'!$A$1:$A951,0)),'Reverse Search'!$E$21),COUNTIF(INDIRECT("'0.1.1 Pokémon GO Moves'!$B$"&amp;MATCH($E541,'0.1.1 Pokémon GO Moves'!$A$1:$A951,0)&amp;":$L$"&amp;MATCH($E541,'0.1.1 Pokémon GO Moves'!$A$1:$A951,0)),'Reverse Search'!$E$21)))))</f>
        <v>1</v>
      </c>
      <c r="AA541" s="0" t="n">
        <f aca="true">IF('Reverse Search'!$C$14="Disable",1,IF('Reverse Search'!$I$16="Disable",1,IF($D$2=3,IF($M541=0,0,COUNTIF(INDIRECT("'0.0.2 Pokémon Learnset (Core)'!$D$"&amp;MATCH($E541,'0.0.2 Pokémon Learnset (Core)'!$A$1:$A951,0)&amp;":$FK$"&amp;MATCH($E541,'0.0.2 Pokémon Learnset (Core)'!$A$1:$A951,0)),'Reverse Search'!$J$21)),IF($D$2=2,COUNTIF(INDIRECT("'0.1.1 Pokémon GO Moves'!$B$"&amp;MATCH($E541,'0.1.1 Pokémon GO Moves'!$A$1:$A951,0)&amp;":$R$"&amp;MATCH($E541,'0.1.1 Pokémon GO Moves'!$A$1:$A951,0)),'Reverse Search'!$J$21),COUNTIF(INDIRECT("'0.1.1 Pokémon GO Moves'!$B$"&amp;MATCH($E541,'0.1.1 Pokémon GO Moves'!$A$1:$A951,0)&amp;":$L$"&amp;MATCH($E541,'0.1.1 Pokémon GO Moves'!$A$1:$A951,0)),'Reverse Search'!$J$21)))))</f>
        <v>0</v>
      </c>
      <c r="AB541" s="490"/>
      <c r="AC541" s="260" t="n">
        <f aca="false">IF((Q541+R541+S541+V541+W541+X541+Y541+IF(Z541&gt;=1,1,0)+IF(AA541&gt;=1,1,0))=9,G541&amp;", ",)</f>
        <v>0</v>
      </c>
    </row>
    <row r="542" customFormat="false" ht="15.75" hidden="false" customHeight="false" outlineLevel="0" collapsed="false">
      <c r="A542" s="260"/>
      <c r="B542" s="358"/>
      <c r="C542" s="260"/>
      <c r="D542" s="358"/>
      <c r="E542" s="260" t="n">
        <v>541</v>
      </c>
      <c r="F542" s="260" t="n">
        <f aca="false" t="array" ref="F542:F542">INDEX('0.0.1 Pokémon Dex Data'!$H$3:$H951,MATCH(E542,'0.0.1 Pokémon Dex Data'!$B$3:$B951,0))</f>
        <v>0</v>
      </c>
      <c r="G542" s="0" t="str">
        <f aca="false" t="array" ref="G542:G542">INDEX('0.0.1 Pokémon Dex Data'!$E$3:$E951,MATCH(E542,'0.0.1 Pokémon Dex Data'!$B$3:$B951,0))</f>
        <v>Togekiss</v>
      </c>
      <c r="H542" s="0" t="str">
        <f aca="false" t="array" ref="H542:H542">INDEX('0.0.1 Pokémon Dex Data'!$Q$3:$Q951,MATCH(E542,'0.0.1 Pokémon Dex Data'!$B$3:$B951,0))</f>
        <v>Fairy</v>
      </c>
      <c r="I542" s="0" t="str">
        <f aca="false" t="array" ref="I542:I542">INDEX('0.0.1 Pokémon Dex Data'!$R$3:$R951,MATCH(E542,'0.0.1 Pokémon Dex Data'!$B$3:$B951,0))</f>
        <v>Flying</v>
      </c>
      <c r="J542" s="260" t="n">
        <f aca="false" t="array" ref="J542:J542">ROUND(INDEX('0.0.1 Pokémon Dex Data'!$S$3:$S951,MATCH($E542,'0.0.1 Pokémon Dex Data'!$B$3:$B951,0))*INDEX('0.0.1 Pokémon Dex Data'!T$3:T951,MATCH($E542,'0.0.1 Pokémon Dex Data'!$B$3:$B951,0)),0)</f>
        <v>225</v>
      </c>
      <c r="K542" s="260" t="n">
        <f aca="false" t="array" ref="K542:K542">ROUND(INDEX('0.0.1 Pokémon Dex Data'!$S$3:$S951,MATCH($E542,'0.0.1 Pokémon Dex Data'!$B$3:$B951,0))*INDEX('0.0.1 Pokémon Dex Data'!U$3:U951,MATCH($E542,'0.0.1 Pokémon Dex Data'!$B$3:$B951,0)),0)</f>
        <v>217</v>
      </c>
      <c r="L542" s="260" t="n">
        <f aca="false" t="array" ref="L542:L542">ROUND(INDEX('0.0.1 Pokémon Dex Data'!$S$3:$S951,MATCH($E542,'0.0.1 Pokémon Dex Data'!$B$3:$B951,0))*INDEX('0.0.1 Pokémon Dex Data'!V$3:V951,MATCH($E542,'0.0.1 Pokémon Dex Data'!$B$3:$B951,0)),0)</f>
        <v>198</v>
      </c>
      <c r="M542" s="260" t="n">
        <f aca="false" t="array" ref="M542:M542">INDEX('0.0.1 Pokémon Dex Data'!$J$3:$J951,MATCH(E542,'0.0.1 Pokémon Dex Data'!$B$3:$B951,0))</f>
        <v>1</v>
      </c>
      <c r="O542" s="490"/>
      <c r="Q542" s="367" t="n">
        <f aca="false">IF('Reverse Search'!$F$4="All (including temporary formes)",1,IF('Reverse Search'!$F$4="Base Pokémon and permanent formes only",IF(F542&lt;=1,1,0),IF(F542=0,1,0)))</f>
        <v>1</v>
      </c>
      <c r="R542" s="0" t="n">
        <f aca="false">IF('Reverse Search'!$C$7="Disable",1,IF('Reverse Search'!$D$9="Disable",1,IF(OR('Reverse Search'!$F$9=H542,'Reverse Search'!$F$9=I542),1,0)))</f>
        <v>1</v>
      </c>
      <c r="S542" s="0" t="n">
        <f aca="false">IF('Reverse Search'!$C$7="Disable",1,IF('Reverse Search'!$D$10="Disable",1,IF(OR('Reverse Search'!$F$10=H542,'Reverse Search'!$F$10=I542),1,0)))</f>
        <v>1</v>
      </c>
      <c r="T542" s="0" t="n">
        <f aca="false">INDEX($B$4:$B$22,MATCH(H542,$A$4:$A$22,0))</f>
        <v>1</v>
      </c>
      <c r="U542" s="0" t="n">
        <f aca="false">IF(ISBLANK(I542),1,INDEX($B$4:$B$22,MATCH(I542,$A$4:$A$22,0)))</f>
        <v>1</v>
      </c>
      <c r="V542" s="367" t="n">
        <f aca="false">IF('Reverse Search'!$C$7="Disable",1,IF('Reverse Search'!$D$11="Disable",1,IF('Reverse Search'!$E$11="Neutral to:",IF(ROUND(T542*U542,2)&lt;=1,1,0),IF(ROUND(T542*U542,2)&lt;1,1,0))))</f>
        <v>1</v>
      </c>
      <c r="W542" s="0" t="n">
        <f aca="false">IF('Reverse Search'!$N$7="Disable",1,IF('Reverse Search'!$I$9="Disable",1,IF('Reverse Search'!$K$9="≥",IF(J542&gt;='Reverse Search'!$L$9,1,0),IF('Reverse Search'!$K$9="≤",IF(J542&lt;='Reverse Search'!$L$9,1,0),IF(J542='Reverse Search'!$L$9,1,0)))))</f>
        <v>1</v>
      </c>
      <c r="X542" s="0" t="n">
        <f aca="false">IF('Reverse Search'!$N$7="Disable",1,IF('Reverse Search'!$I$10="Disable",1,IF('Reverse Search'!$K$10="≥",IF(K542&gt;='Reverse Search'!$L$10,1,0),IF('Reverse Search'!$K$10="≤",IF(K542&lt;='Reverse Search'!$L$10,1,0),IF(K542='Reverse Search'!$L$10,1,0)))))</f>
        <v>1</v>
      </c>
      <c r="Y542" s="367" t="n">
        <f aca="false">IF('Reverse Search'!$N$7="Disable",1,IF('Reverse Search'!$I$11="Disable",1,IF('Reverse Search'!$K$11="≥",IF(L542&gt;='Reverse Search'!$L$11,1,0),IF('Reverse Search'!$K$11="≤",IF(L542&lt;='Reverse Search'!$L$11,1,0),IF(L542='Reverse Search'!$L$11,1,0)))))</f>
        <v>1</v>
      </c>
      <c r="Z542" s="0" t="n">
        <f aca="true">IF('Reverse Search'!$C$14="Disable",1,IF('Reverse Search'!$D$16="Disable",1,IF($C$2=3,IF($M542=0,0,COUNTIF(INDIRECT("'0.0.2 Pokémon Learnset (Core)'!$D$"&amp;MATCH($E542,'0.0.2 Pokémon Learnset (Core)'!$A$1:$A951,0)&amp;":$FK$"&amp;MATCH($E542,'0.0.2 Pokémon Learnset (Core)'!$A$1:$A951,0)),'Reverse Search'!$E$21)),IF($C$2=2,COUNTIF(INDIRECT("'0.1.1 Pokémon GO Moves'!$B$"&amp;MATCH($E542,'0.1.1 Pokémon GO Moves'!$A$1:$A951,0)&amp;":$R$"&amp;MATCH($E542,'0.1.1 Pokémon GO Moves'!$A$1:$A951,0)),'Reverse Search'!$E$21),COUNTIF(INDIRECT("'0.1.1 Pokémon GO Moves'!$B$"&amp;MATCH($E542,'0.1.1 Pokémon GO Moves'!$A$1:$A951,0)&amp;":$L$"&amp;MATCH($E542,'0.1.1 Pokémon GO Moves'!$A$1:$A951,0)),'Reverse Search'!$E$21)))))</f>
        <v>1</v>
      </c>
      <c r="AA542" s="0" t="n">
        <f aca="true">IF('Reverse Search'!$C$14="Disable",1,IF('Reverse Search'!$I$16="Disable",1,IF($D$2=3,IF($M542=0,0,COUNTIF(INDIRECT("'0.0.2 Pokémon Learnset (Core)'!$D$"&amp;MATCH($E542,'0.0.2 Pokémon Learnset (Core)'!$A$1:$A951,0)&amp;":$FK$"&amp;MATCH($E542,'0.0.2 Pokémon Learnset (Core)'!$A$1:$A951,0)),'Reverse Search'!$J$21)),IF($D$2=2,COUNTIF(INDIRECT("'0.1.1 Pokémon GO Moves'!$B$"&amp;MATCH($E542,'0.1.1 Pokémon GO Moves'!$A$1:$A951,0)&amp;":$R$"&amp;MATCH($E542,'0.1.1 Pokémon GO Moves'!$A$1:$A951,0)),'Reverse Search'!$J$21),COUNTIF(INDIRECT("'0.1.1 Pokémon GO Moves'!$B$"&amp;MATCH($E542,'0.1.1 Pokémon GO Moves'!$A$1:$A951,0)&amp;":$L$"&amp;MATCH($E542,'0.1.1 Pokémon GO Moves'!$A$1:$A951,0)),'Reverse Search'!$J$21)))))</f>
        <v>0</v>
      </c>
      <c r="AB542" s="490"/>
      <c r="AC542" s="260" t="n">
        <f aca="false">IF((Q542+R542+S542+V542+W542+X542+Y542+IF(Z542&gt;=1,1,0)+IF(AA542&gt;=1,1,0))=9,G542&amp;", ",)</f>
        <v>0</v>
      </c>
    </row>
    <row r="543" customFormat="false" ht="15.75" hidden="false" customHeight="false" outlineLevel="0" collapsed="false">
      <c r="A543" s="260"/>
      <c r="B543" s="358"/>
      <c r="C543" s="260"/>
      <c r="D543" s="358"/>
      <c r="E543" s="260" t="n">
        <v>542</v>
      </c>
      <c r="F543" s="260" t="n">
        <f aca="false" t="array" ref="F543:F543">INDEX('0.0.1 Pokémon Dex Data'!$H$3:$H951,MATCH(E543,'0.0.1 Pokémon Dex Data'!$B$3:$B951,0))</f>
        <v>0</v>
      </c>
      <c r="G543" s="0" t="str">
        <f aca="false" t="array" ref="G543:G543">INDEX('0.0.1 Pokémon Dex Data'!$E$3:$E951,MATCH(E543,'0.0.1 Pokémon Dex Data'!$B$3:$B951,0))</f>
        <v>Yanmega</v>
      </c>
      <c r="H543" s="0" t="str">
        <f aca="false" t="array" ref="H543:H543">INDEX('0.0.1 Pokémon Dex Data'!$Q$3:$Q951,MATCH(E543,'0.0.1 Pokémon Dex Data'!$B$3:$B951,0))</f>
        <v>Bug</v>
      </c>
      <c r="I543" s="0" t="str">
        <f aca="false" t="array" ref="I543:I543">INDEX('0.0.1 Pokémon Dex Data'!$R$3:$R951,MATCH(E543,'0.0.1 Pokémon Dex Data'!$B$3:$B951,0))</f>
        <v>Flying</v>
      </c>
      <c r="J543" s="260" t="n">
        <f aca="false" t="array" ref="J543:J543">ROUND(INDEX('0.0.1 Pokémon Dex Data'!$S$3:$S951,MATCH($E543,'0.0.1 Pokémon Dex Data'!$B$3:$B951,0))*INDEX('0.0.1 Pokémon Dex Data'!T$3:T951,MATCH($E543,'0.0.1 Pokémon Dex Data'!$B$3:$B951,0)),0)</f>
        <v>231</v>
      </c>
      <c r="K543" s="260" t="n">
        <f aca="false" t="array" ref="K543:K543">ROUND(INDEX('0.0.1 Pokémon Dex Data'!$S$3:$S951,MATCH($E543,'0.0.1 Pokémon Dex Data'!$B$3:$B951,0))*INDEX('0.0.1 Pokémon Dex Data'!U$3:U951,MATCH($E543,'0.0.1 Pokémon Dex Data'!$B$3:$B951,0)),0)</f>
        <v>156</v>
      </c>
      <c r="L543" s="260" t="n">
        <f aca="false" t="array" ref="L543:L543">ROUND(INDEX('0.0.1 Pokémon Dex Data'!$S$3:$S951,MATCH($E543,'0.0.1 Pokémon Dex Data'!$B$3:$B951,0))*INDEX('0.0.1 Pokémon Dex Data'!V$3:V951,MATCH($E543,'0.0.1 Pokémon Dex Data'!$B$3:$B951,0)),0)</f>
        <v>200</v>
      </c>
      <c r="M543" s="260" t="n">
        <f aca="false" t="array" ref="M543:M543">INDEX('0.0.1 Pokémon Dex Data'!$J$3:$J951,MATCH(E543,'0.0.1 Pokémon Dex Data'!$B$3:$B951,0))</f>
        <v>1</v>
      </c>
      <c r="O543" s="490"/>
      <c r="Q543" s="367" t="n">
        <f aca="false">IF('Reverse Search'!$F$4="All (including temporary formes)",1,IF('Reverse Search'!$F$4="Base Pokémon and permanent formes only",IF(F543&lt;=1,1,0),IF(F543=0,1,0)))</f>
        <v>1</v>
      </c>
      <c r="R543" s="0" t="n">
        <f aca="false">IF('Reverse Search'!$C$7="Disable",1,IF('Reverse Search'!$D$9="Disable",1,IF(OR('Reverse Search'!$F$9=H543,'Reverse Search'!$F$9=I543),1,0)))</f>
        <v>1</v>
      </c>
      <c r="S543" s="0" t="n">
        <f aca="false">IF('Reverse Search'!$C$7="Disable",1,IF('Reverse Search'!$D$10="Disable",1,IF(OR('Reverse Search'!$F$10=H543,'Reverse Search'!$F$10=I543),1,0)))</f>
        <v>1</v>
      </c>
      <c r="T543" s="0" t="n">
        <f aca="false">INDEX($B$4:$B$22,MATCH(H543,$A$4:$A$22,0))</f>
        <v>1</v>
      </c>
      <c r="U543" s="0" t="n">
        <f aca="false">IF(ISBLANK(I543),1,INDEX($B$4:$B$22,MATCH(I543,$A$4:$A$22,0)))</f>
        <v>1</v>
      </c>
      <c r="V543" s="367" t="n">
        <f aca="false">IF('Reverse Search'!$C$7="Disable",1,IF('Reverse Search'!$D$11="Disable",1,IF('Reverse Search'!$E$11="Neutral to:",IF(ROUND(T543*U543,2)&lt;=1,1,0),IF(ROUND(T543*U543,2)&lt;1,1,0))))</f>
        <v>1</v>
      </c>
      <c r="W543" s="0" t="n">
        <f aca="false">IF('Reverse Search'!$N$7="Disable",1,IF('Reverse Search'!$I$9="Disable",1,IF('Reverse Search'!$K$9="≥",IF(J543&gt;='Reverse Search'!$L$9,1,0),IF('Reverse Search'!$K$9="≤",IF(J543&lt;='Reverse Search'!$L$9,1,0),IF(J543='Reverse Search'!$L$9,1,0)))))</f>
        <v>1</v>
      </c>
      <c r="X543" s="0" t="n">
        <f aca="false">IF('Reverse Search'!$N$7="Disable",1,IF('Reverse Search'!$I$10="Disable",1,IF('Reverse Search'!$K$10="≥",IF(K543&gt;='Reverse Search'!$L$10,1,0),IF('Reverse Search'!$K$10="≤",IF(K543&lt;='Reverse Search'!$L$10,1,0),IF(K543='Reverse Search'!$L$10,1,0)))))</f>
        <v>1</v>
      </c>
      <c r="Y543" s="367" t="n">
        <f aca="false">IF('Reverse Search'!$N$7="Disable",1,IF('Reverse Search'!$I$11="Disable",1,IF('Reverse Search'!$K$11="≥",IF(L543&gt;='Reverse Search'!$L$11,1,0),IF('Reverse Search'!$K$11="≤",IF(L543&lt;='Reverse Search'!$L$11,1,0),IF(L543='Reverse Search'!$L$11,1,0)))))</f>
        <v>1</v>
      </c>
      <c r="Z543" s="0" t="n">
        <f aca="true">IF('Reverse Search'!$C$14="Disable",1,IF('Reverse Search'!$D$16="Disable",1,IF($C$2=3,IF($M543=0,0,COUNTIF(INDIRECT("'0.0.2 Pokémon Learnset (Core)'!$D$"&amp;MATCH($E543,'0.0.2 Pokémon Learnset (Core)'!$A$1:$A951,0)&amp;":$FK$"&amp;MATCH($E543,'0.0.2 Pokémon Learnset (Core)'!$A$1:$A951,0)),'Reverse Search'!$E$21)),IF($C$2=2,COUNTIF(INDIRECT("'0.1.1 Pokémon GO Moves'!$B$"&amp;MATCH($E543,'0.1.1 Pokémon GO Moves'!$A$1:$A951,0)&amp;":$R$"&amp;MATCH($E543,'0.1.1 Pokémon GO Moves'!$A$1:$A951,0)),'Reverse Search'!$E$21),COUNTIF(INDIRECT("'0.1.1 Pokémon GO Moves'!$B$"&amp;MATCH($E543,'0.1.1 Pokémon GO Moves'!$A$1:$A951,0)&amp;":$L$"&amp;MATCH($E543,'0.1.1 Pokémon GO Moves'!$A$1:$A951,0)),'Reverse Search'!$E$21)))))</f>
        <v>1</v>
      </c>
      <c r="AA543" s="0" t="n">
        <f aca="true">IF('Reverse Search'!$C$14="Disable",1,IF('Reverse Search'!$I$16="Disable",1,IF($D$2=3,IF($M543=0,0,COUNTIF(INDIRECT("'0.0.2 Pokémon Learnset (Core)'!$D$"&amp;MATCH($E543,'0.0.2 Pokémon Learnset (Core)'!$A$1:$A951,0)&amp;":$FK$"&amp;MATCH($E543,'0.0.2 Pokémon Learnset (Core)'!$A$1:$A951,0)),'Reverse Search'!$J$21)),IF($D$2=2,COUNTIF(INDIRECT("'0.1.1 Pokémon GO Moves'!$B$"&amp;MATCH($E543,'0.1.1 Pokémon GO Moves'!$A$1:$A951,0)&amp;":$R$"&amp;MATCH($E543,'0.1.1 Pokémon GO Moves'!$A$1:$A951,0)),'Reverse Search'!$J$21),COUNTIF(INDIRECT("'0.1.1 Pokémon GO Moves'!$B$"&amp;MATCH($E543,'0.1.1 Pokémon GO Moves'!$A$1:$A951,0)&amp;":$L$"&amp;MATCH($E543,'0.1.1 Pokémon GO Moves'!$A$1:$A951,0)),'Reverse Search'!$J$21)))))</f>
        <v>0</v>
      </c>
      <c r="AB543" s="490"/>
      <c r="AC543" s="260" t="n">
        <f aca="false">IF((Q543+R543+S543+V543+W543+X543+Y543+IF(Z543&gt;=1,1,0)+IF(AA543&gt;=1,1,0))=9,G543&amp;", ",)</f>
        <v>0</v>
      </c>
    </row>
    <row r="544" customFormat="false" ht="15.75" hidden="false" customHeight="false" outlineLevel="0" collapsed="false">
      <c r="A544" s="260"/>
      <c r="B544" s="358"/>
      <c r="C544" s="260"/>
      <c r="D544" s="358"/>
      <c r="E544" s="260" t="n">
        <v>543</v>
      </c>
      <c r="F544" s="260" t="n">
        <f aca="false" t="array" ref="F544:F544">INDEX('0.0.1 Pokémon Dex Data'!$H$3:$H951,MATCH(E544,'0.0.1 Pokémon Dex Data'!$B$3:$B951,0))</f>
        <v>0</v>
      </c>
      <c r="G544" s="0" t="str">
        <f aca="false" t="array" ref="G544:G544">INDEX('0.0.1 Pokémon Dex Data'!$E$3:$E951,MATCH(E544,'0.0.1 Pokémon Dex Data'!$B$3:$B951,0))</f>
        <v>Leafeon</v>
      </c>
      <c r="H544" s="0" t="str">
        <f aca="false" t="array" ref="H544:H544">INDEX('0.0.1 Pokémon Dex Data'!$Q$3:$Q951,MATCH(E544,'0.0.1 Pokémon Dex Data'!$B$3:$B951,0))</f>
        <v>Grass</v>
      </c>
      <c r="I544" s="0" t="n">
        <f aca="false">INDEX('0.0.1 Pokémon Dex Data'!$R$3:$R951,MATCH(E544,'0.0.1 Pokémon Dex Data'!$B$3:$B951,0))</f>
        <v>0</v>
      </c>
      <c r="J544" s="260" t="n">
        <f aca="false" t="array" ref="J544:J544">ROUND(INDEX('0.0.1 Pokémon Dex Data'!$S$3:$S951,MATCH($E544,'0.0.1 Pokémon Dex Data'!$B$3:$B951,0))*INDEX('0.0.1 Pokémon Dex Data'!T$3:T951,MATCH($E544,'0.0.1 Pokémon Dex Data'!$B$3:$B951,0)),0)</f>
        <v>216</v>
      </c>
      <c r="K544" s="260" t="n">
        <f aca="false" t="array" ref="K544:K544">ROUND(INDEX('0.0.1 Pokémon Dex Data'!$S$3:$S951,MATCH($E544,'0.0.1 Pokémon Dex Data'!$B$3:$B951,0))*INDEX('0.0.1 Pokémon Dex Data'!U$3:U951,MATCH($E544,'0.0.1 Pokémon Dex Data'!$B$3:$B951,0)),0)</f>
        <v>219</v>
      </c>
      <c r="L544" s="260" t="n">
        <f aca="false" t="array" ref="L544:L544">ROUND(INDEX('0.0.1 Pokémon Dex Data'!$S$3:$S951,MATCH($E544,'0.0.1 Pokémon Dex Data'!$B$3:$B951,0))*INDEX('0.0.1 Pokémon Dex Data'!V$3:V951,MATCH($E544,'0.0.1 Pokémon Dex Data'!$B$3:$B951,0)),0)</f>
        <v>163</v>
      </c>
      <c r="M544" s="260" t="n">
        <f aca="false" t="array" ref="M544:M544">INDEX('0.0.1 Pokémon Dex Data'!$J$3:$J951,MATCH(E544,'0.0.1 Pokémon Dex Data'!$B$3:$B951,0))</f>
        <v>1</v>
      </c>
      <c r="O544" s="490"/>
      <c r="Q544" s="367" t="n">
        <f aca="false">IF('Reverse Search'!$F$4="All (including temporary formes)",1,IF('Reverse Search'!$F$4="Base Pokémon and permanent formes only",IF(F544&lt;=1,1,0),IF(F544=0,1,0)))</f>
        <v>1</v>
      </c>
      <c r="R544" s="0" t="n">
        <f aca="false">IF('Reverse Search'!$C$7="Disable",1,IF('Reverse Search'!$D$9="Disable",1,IF(OR('Reverse Search'!$F$9=H544,'Reverse Search'!$F$9=I544),1,0)))</f>
        <v>1</v>
      </c>
      <c r="S544" s="0" t="n">
        <f aca="false">IF('Reverse Search'!$C$7="Disable",1,IF('Reverse Search'!$D$10="Disable",1,IF(OR('Reverse Search'!$F$10=H544,'Reverse Search'!$F$10=I544),1,0)))</f>
        <v>1</v>
      </c>
      <c r="T544" s="0" t="n">
        <f aca="false">INDEX($B$4:$B$22,MATCH(H544,$A$4:$A$22,0))</f>
        <v>1</v>
      </c>
      <c r="U544" s="0" t="e">
        <f aca="false">IF(ISBLANK(I544),1,INDEX($B$4:$B$22,MATCH(I544,$A$4:$A$22,0)))</f>
        <v>#N/A</v>
      </c>
      <c r="V544" s="367" t="n">
        <f aca="false">IF('Reverse Search'!$C$7="Disable",1,IF('Reverse Search'!$D$11="Disable",1,IF('Reverse Search'!$E$11="Neutral to:",IF(ROUND(T544*U544,2)&lt;=1,1,0),IF(ROUND(T544*U544,2)&lt;1,1,0))))</f>
        <v>1</v>
      </c>
      <c r="W544" s="0" t="n">
        <f aca="false">IF('Reverse Search'!$N$7="Disable",1,IF('Reverse Search'!$I$9="Disable",1,IF('Reverse Search'!$K$9="≥",IF(J544&gt;='Reverse Search'!$L$9,1,0),IF('Reverse Search'!$K$9="≤",IF(J544&lt;='Reverse Search'!$L$9,1,0),IF(J544='Reverse Search'!$L$9,1,0)))))</f>
        <v>1</v>
      </c>
      <c r="X544" s="0" t="n">
        <f aca="false">IF('Reverse Search'!$N$7="Disable",1,IF('Reverse Search'!$I$10="Disable",1,IF('Reverse Search'!$K$10="≥",IF(K544&gt;='Reverse Search'!$L$10,1,0),IF('Reverse Search'!$K$10="≤",IF(K544&lt;='Reverse Search'!$L$10,1,0),IF(K544='Reverse Search'!$L$10,1,0)))))</f>
        <v>1</v>
      </c>
      <c r="Y544" s="367" t="n">
        <f aca="false">IF('Reverse Search'!$N$7="Disable",1,IF('Reverse Search'!$I$11="Disable",1,IF('Reverse Search'!$K$11="≥",IF(L544&gt;='Reverse Search'!$L$11,1,0),IF('Reverse Search'!$K$11="≤",IF(L544&lt;='Reverse Search'!$L$11,1,0),IF(L544='Reverse Search'!$L$11,1,0)))))</f>
        <v>1</v>
      </c>
      <c r="Z544" s="0" t="n">
        <f aca="true">IF('Reverse Search'!$C$14="Disable",1,IF('Reverse Search'!$D$16="Disable",1,IF($C$2=3,IF($M544=0,0,COUNTIF(INDIRECT("'0.0.2 Pokémon Learnset (Core)'!$D$"&amp;MATCH($E544,'0.0.2 Pokémon Learnset (Core)'!$A$1:$A951,0)&amp;":$FK$"&amp;MATCH($E544,'0.0.2 Pokémon Learnset (Core)'!$A$1:$A951,0)),'Reverse Search'!$E$21)),IF($C$2=2,COUNTIF(INDIRECT("'0.1.1 Pokémon GO Moves'!$B$"&amp;MATCH($E544,'0.1.1 Pokémon GO Moves'!$A$1:$A951,0)&amp;":$R$"&amp;MATCH($E544,'0.1.1 Pokémon GO Moves'!$A$1:$A951,0)),'Reverse Search'!$E$21),COUNTIF(INDIRECT("'0.1.1 Pokémon GO Moves'!$B$"&amp;MATCH($E544,'0.1.1 Pokémon GO Moves'!$A$1:$A951,0)&amp;":$L$"&amp;MATCH($E544,'0.1.1 Pokémon GO Moves'!$A$1:$A951,0)),'Reverse Search'!$E$21)))))</f>
        <v>1</v>
      </c>
      <c r="AA544" s="0" t="n">
        <f aca="true">IF('Reverse Search'!$C$14="Disable",1,IF('Reverse Search'!$I$16="Disable",1,IF($D$2=3,IF($M544=0,0,COUNTIF(INDIRECT("'0.0.2 Pokémon Learnset (Core)'!$D$"&amp;MATCH($E544,'0.0.2 Pokémon Learnset (Core)'!$A$1:$A951,0)&amp;":$FK$"&amp;MATCH($E544,'0.0.2 Pokémon Learnset (Core)'!$A$1:$A951,0)),'Reverse Search'!$J$21)),IF($D$2=2,COUNTIF(INDIRECT("'0.1.1 Pokémon GO Moves'!$B$"&amp;MATCH($E544,'0.1.1 Pokémon GO Moves'!$A$1:$A951,0)&amp;":$R$"&amp;MATCH($E544,'0.1.1 Pokémon GO Moves'!$A$1:$A951,0)),'Reverse Search'!$J$21),COUNTIF(INDIRECT("'0.1.1 Pokémon GO Moves'!$B$"&amp;MATCH($E544,'0.1.1 Pokémon GO Moves'!$A$1:$A951,0)&amp;":$L$"&amp;MATCH($E544,'0.1.1 Pokémon GO Moves'!$A$1:$A951,0)),'Reverse Search'!$J$21)))))</f>
        <v>0</v>
      </c>
      <c r="AB544" s="490"/>
      <c r="AC544" s="260" t="n">
        <f aca="false">IF((Q544+R544+S544+V544+W544+X544+Y544+IF(Z544&gt;=1,1,0)+IF(AA544&gt;=1,1,0))=9,G544&amp;", ",)</f>
        <v>0</v>
      </c>
    </row>
    <row r="545" customFormat="false" ht="15.75" hidden="false" customHeight="false" outlineLevel="0" collapsed="false">
      <c r="A545" s="260"/>
      <c r="B545" s="358"/>
      <c r="C545" s="260"/>
      <c r="D545" s="358"/>
      <c r="E545" s="260" t="n">
        <v>544</v>
      </c>
      <c r="F545" s="260" t="n">
        <f aca="false" t="array" ref="F545:F545">INDEX('0.0.1 Pokémon Dex Data'!$H$3:$H951,MATCH(E545,'0.0.1 Pokémon Dex Data'!$B$3:$B951,0))</f>
        <v>0</v>
      </c>
      <c r="G545" s="0" t="str">
        <f aca="false" t="array" ref="G545:G545">INDEX('0.0.1 Pokémon Dex Data'!$E$3:$E951,MATCH(E545,'0.0.1 Pokémon Dex Data'!$B$3:$B951,0))</f>
        <v>Glaceon</v>
      </c>
      <c r="H545" s="0" t="str">
        <f aca="false" t="array" ref="H545:H545">INDEX('0.0.1 Pokémon Dex Data'!$Q$3:$Q951,MATCH(E545,'0.0.1 Pokémon Dex Data'!$B$3:$B951,0))</f>
        <v>Ice</v>
      </c>
      <c r="I545" s="0" t="n">
        <f aca="false">INDEX('0.0.1 Pokémon Dex Data'!$R$3:$R951,MATCH(E545,'0.0.1 Pokémon Dex Data'!$B$3:$B951,0))</f>
        <v>0</v>
      </c>
      <c r="J545" s="260" t="n">
        <f aca="false" t="array" ref="J545:J545">ROUND(INDEX('0.0.1 Pokémon Dex Data'!$S$3:$S951,MATCH($E545,'0.0.1 Pokémon Dex Data'!$B$3:$B951,0))*INDEX('0.0.1 Pokémon Dex Data'!T$3:T951,MATCH($E545,'0.0.1 Pokémon Dex Data'!$B$3:$B951,0)),0)</f>
        <v>238</v>
      </c>
      <c r="K545" s="260" t="n">
        <f aca="false" t="array" ref="K545:K545">ROUND(INDEX('0.0.1 Pokémon Dex Data'!$S$3:$S951,MATCH($E545,'0.0.1 Pokémon Dex Data'!$B$3:$B951,0))*INDEX('0.0.1 Pokémon Dex Data'!U$3:U951,MATCH($E545,'0.0.1 Pokémon Dex Data'!$B$3:$B951,0)),0)</f>
        <v>205</v>
      </c>
      <c r="L545" s="260" t="n">
        <f aca="false" t="array" ref="L545:L545">ROUND(INDEX('0.0.1 Pokémon Dex Data'!$S$3:$S951,MATCH($E545,'0.0.1 Pokémon Dex Data'!$B$3:$B951,0))*INDEX('0.0.1 Pokémon Dex Data'!V$3:V951,MATCH($E545,'0.0.1 Pokémon Dex Data'!$B$3:$B951,0)),0)</f>
        <v>163</v>
      </c>
      <c r="M545" s="260" t="n">
        <f aca="false" t="array" ref="M545:M545">INDEX('0.0.1 Pokémon Dex Data'!$J$3:$J951,MATCH(E545,'0.0.1 Pokémon Dex Data'!$B$3:$B951,0))</f>
        <v>1</v>
      </c>
      <c r="O545" s="490"/>
      <c r="Q545" s="367" t="n">
        <f aca="false">IF('Reverse Search'!$F$4="All (including temporary formes)",1,IF('Reverse Search'!$F$4="Base Pokémon and permanent formes only",IF(F545&lt;=1,1,0),IF(F545=0,1,0)))</f>
        <v>1</v>
      </c>
      <c r="R545" s="0" t="n">
        <f aca="false">IF('Reverse Search'!$C$7="Disable",1,IF('Reverse Search'!$D$9="Disable",1,IF(OR('Reverse Search'!$F$9=H545,'Reverse Search'!$F$9=I545),1,0)))</f>
        <v>1</v>
      </c>
      <c r="S545" s="0" t="n">
        <f aca="false">IF('Reverse Search'!$C$7="Disable",1,IF('Reverse Search'!$D$10="Disable",1,IF(OR('Reverse Search'!$F$10=H545,'Reverse Search'!$F$10=I545),1,0)))</f>
        <v>1</v>
      </c>
      <c r="T545" s="0" t="n">
        <f aca="false">INDEX($B$4:$B$22,MATCH(H545,$A$4:$A$22,0))</f>
        <v>1</v>
      </c>
      <c r="U545" s="0" t="e">
        <f aca="false">IF(ISBLANK(I545),1,INDEX($B$4:$B$22,MATCH(I545,$A$4:$A$22,0)))</f>
        <v>#N/A</v>
      </c>
      <c r="V545" s="367" t="n">
        <f aca="false">IF('Reverse Search'!$C$7="Disable",1,IF('Reverse Search'!$D$11="Disable",1,IF('Reverse Search'!$E$11="Neutral to:",IF(ROUND(T545*U545,2)&lt;=1,1,0),IF(ROUND(T545*U545,2)&lt;1,1,0))))</f>
        <v>1</v>
      </c>
      <c r="W545" s="0" t="n">
        <f aca="false">IF('Reverse Search'!$N$7="Disable",1,IF('Reverse Search'!$I$9="Disable",1,IF('Reverse Search'!$K$9="≥",IF(J545&gt;='Reverse Search'!$L$9,1,0),IF('Reverse Search'!$K$9="≤",IF(J545&lt;='Reverse Search'!$L$9,1,0),IF(J545='Reverse Search'!$L$9,1,0)))))</f>
        <v>1</v>
      </c>
      <c r="X545" s="0" t="n">
        <f aca="false">IF('Reverse Search'!$N$7="Disable",1,IF('Reverse Search'!$I$10="Disable",1,IF('Reverse Search'!$K$10="≥",IF(K545&gt;='Reverse Search'!$L$10,1,0),IF('Reverse Search'!$K$10="≤",IF(K545&lt;='Reverse Search'!$L$10,1,0),IF(K545='Reverse Search'!$L$10,1,0)))))</f>
        <v>1</v>
      </c>
      <c r="Y545" s="367" t="n">
        <f aca="false">IF('Reverse Search'!$N$7="Disable",1,IF('Reverse Search'!$I$11="Disable",1,IF('Reverse Search'!$K$11="≥",IF(L545&gt;='Reverse Search'!$L$11,1,0),IF('Reverse Search'!$K$11="≤",IF(L545&lt;='Reverse Search'!$L$11,1,0),IF(L545='Reverse Search'!$L$11,1,0)))))</f>
        <v>1</v>
      </c>
      <c r="Z545" s="0" t="n">
        <f aca="true">IF('Reverse Search'!$C$14="Disable",1,IF('Reverse Search'!$D$16="Disable",1,IF($C$2=3,IF($M545=0,0,COUNTIF(INDIRECT("'0.0.2 Pokémon Learnset (Core)'!$D$"&amp;MATCH($E545,'0.0.2 Pokémon Learnset (Core)'!$A$1:$A951,0)&amp;":$FK$"&amp;MATCH($E545,'0.0.2 Pokémon Learnset (Core)'!$A$1:$A951,0)),'Reverse Search'!$E$21)),IF($C$2=2,COUNTIF(INDIRECT("'0.1.1 Pokémon GO Moves'!$B$"&amp;MATCH($E545,'0.1.1 Pokémon GO Moves'!$A$1:$A951,0)&amp;":$R$"&amp;MATCH($E545,'0.1.1 Pokémon GO Moves'!$A$1:$A951,0)),'Reverse Search'!$E$21),COUNTIF(INDIRECT("'0.1.1 Pokémon GO Moves'!$B$"&amp;MATCH($E545,'0.1.1 Pokémon GO Moves'!$A$1:$A951,0)&amp;":$L$"&amp;MATCH($E545,'0.1.1 Pokémon GO Moves'!$A$1:$A951,0)),'Reverse Search'!$E$21)))))</f>
        <v>1</v>
      </c>
      <c r="AA545" s="0" t="n">
        <f aca="true">IF('Reverse Search'!$C$14="Disable",1,IF('Reverse Search'!$I$16="Disable",1,IF($D$2=3,IF($M545=0,0,COUNTIF(INDIRECT("'0.0.2 Pokémon Learnset (Core)'!$D$"&amp;MATCH($E545,'0.0.2 Pokémon Learnset (Core)'!$A$1:$A951,0)&amp;":$FK$"&amp;MATCH($E545,'0.0.2 Pokémon Learnset (Core)'!$A$1:$A951,0)),'Reverse Search'!$J$21)),IF($D$2=2,COUNTIF(INDIRECT("'0.1.1 Pokémon GO Moves'!$B$"&amp;MATCH($E545,'0.1.1 Pokémon GO Moves'!$A$1:$A951,0)&amp;":$R$"&amp;MATCH($E545,'0.1.1 Pokémon GO Moves'!$A$1:$A951,0)),'Reverse Search'!$J$21),COUNTIF(INDIRECT("'0.1.1 Pokémon GO Moves'!$B$"&amp;MATCH($E545,'0.1.1 Pokémon GO Moves'!$A$1:$A951,0)&amp;":$L$"&amp;MATCH($E545,'0.1.1 Pokémon GO Moves'!$A$1:$A951,0)),'Reverse Search'!$J$21)))))</f>
        <v>0</v>
      </c>
      <c r="AB545" s="490"/>
      <c r="AC545" s="260" t="n">
        <f aca="false">IF((Q545+R545+S545+V545+W545+X545+Y545+IF(Z545&gt;=1,1,0)+IF(AA545&gt;=1,1,0))=9,G545&amp;", ",)</f>
        <v>0</v>
      </c>
    </row>
    <row r="546" customFormat="false" ht="15.75" hidden="false" customHeight="false" outlineLevel="0" collapsed="false">
      <c r="A546" s="260"/>
      <c r="B546" s="358"/>
      <c r="C546" s="260"/>
      <c r="D546" s="358"/>
      <c r="E546" s="260" t="n">
        <v>545</v>
      </c>
      <c r="F546" s="260" t="n">
        <f aca="false" t="array" ref="F546:F546">INDEX('0.0.1 Pokémon Dex Data'!$H$3:$H951,MATCH(E546,'0.0.1 Pokémon Dex Data'!$B$3:$B951,0))</f>
        <v>0</v>
      </c>
      <c r="G546" s="0" t="str">
        <f aca="false" t="array" ref="G546:G546">INDEX('0.0.1 Pokémon Dex Data'!$E$3:$E951,MATCH(E546,'0.0.1 Pokémon Dex Data'!$B$3:$B951,0))</f>
        <v>Gliscor</v>
      </c>
      <c r="H546" s="0" t="str">
        <f aca="false" t="array" ref="H546:H546">INDEX('0.0.1 Pokémon Dex Data'!$Q$3:$Q951,MATCH(E546,'0.0.1 Pokémon Dex Data'!$B$3:$B951,0))</f>
        <v>Ground</v>
      </c>
      <c r="I546" s="0" t="str">
        <f aca="false" t="array" ref="I546:I546">INDEX('0.0.1 Pokémon Dex Data'!$R$3:$R951,MATCH(E546,'0.0.1 Pokémon Dex Data'!$B$3:$B951,0))</f>
        <v>Flying</v>
      </c>
      <c r="J546" s="260" t="n">
        <f aca="false" t="array" ref="J546:J546">ROUND(INDEX('0.0.1 Pokémon Dex Data'!$S$3:$S951,MATCH($E546,'0.0.1 Pokémon Dex Data'!$B$3:$B951,0))*INDEX('0.0.1 Pokémon Dex Data'!T$3:T951,MATCH($E546,'0.0.1 Pokémon Dex Data'!$B$3:$B951,0)),0)</f>
        <v>185</v>
      </c>
      <c r="K546" s="260" t="n">
        <f aca="false" t="array" ref="K546:K546">ROUND(INDEX('0.0.1 Pokémon Dex Data'!$S$3:$S951,MATCH($E546,'0.0.1 Pokémon Dex Data'!$B$3:$B951,0))*INDEX('0.0.1 Pokémon Dex Data'!U$3:U951,MATCH($E546,'0.0.1 Pokémon Dex Data'!$B$3:$B951,0)),0)</f>
        <v>222</v>
      </c>
      <c r="L546" s="260" t="n">
        <f aca="false" t="array" ref="L546:L546">ROUND(INDEX('0.0.1 Pokémon Dex Data'!$S$3:$S951,MATCH($E546,'0.0.1 Pokémon Dex Data'!$B$3:$B951,0))*INDEX('0.0.1 Pokémon Dex Data'!V$3:V951,MATCH($E546,'0.0.1 Pokémon Dex Data'!$B$3:$B951,0)),0)</f>
        <v>181</v>
      </c>
      <c r="M546" s="260" t="n">
        <f aca="false" t="array" ref="M546:M546">INDEX('0.0.1 Pokémon Dex Data'!$J$3:$J951,MATCH(E546,'0.0.1 Pokémon Dex Data'!$B$3:$B951,0))</f>
        <v>1</v>
      </c>
      <c r="O546" s="490"/>
      <c r="Q546" s="367" t="n">
        <f aca="false">IF('Reverse Search'!$F$4="All (including temporary formes)",1,IF('Reverse Search'!$F$4="Base Pokémon and permanent formes only",IF(F546&lt;=1,1,0),IF(F546=0,1,0)))</f>
        <v>1</v>
      </c>
      <c r="R546" s="0" t="n">
        <f aca="false">IF('Reverse Search'!$C$7="Disable",1,IF('Reverse Search'!$D$9="Disable",1,IF(OR('Reverse Search'!$F$9=H546,'Reverse Search'!$F$9=I546),1,0)))</f>
        <v>1</v>
      </c>
      <c r="S546" s="0" t="n">
        <f aca="false">IF('Reverse Search'!$C$7="Disable",1,IF('Reverse Search'!$D$10="Disable",1,IF(OR('Reverse Search'!$F$10=H546,'Reverse Search'!$F$10=I546),1,0)))</f>
        <v>1</v>
      </c>
      <c r="T546" s="0" t="n">
        <f aca="false">INDEX($B$4:$B$22,MATCH(H546,$A$4:$A$22,0))</f>
        <v>1</v>
      </c>
      <c r="U546" s="0" t="n">
        <f aca="false">IF(ISBLANK(I546),1,INDEX($B$4:$B$22,MATCH(I546,$A$4:$A$22,0)))</f>
        <v>1</v>
      </c>
      <c r="V546" s="367" t="n">
        <f aca="false">IF('Reverse Search'!$C$7="Disable",1,IF('Reverse Search'!$D$11="Disable",1,IF('Reverse Search'!$E$11="Neutral to:",IF(ROUND(T546*U546,2)&lt;=1,1,0),IF(ROUND(T546*U546,2)&lt;1,1,0))))</f>
        <v>1</v>
      </c>
      <c r="W546" s="0" t="n">
        <f aca="false">IF('Reverse Search'!$N$7="Disable",1,IF('Reverse Search'!$I$9="Disable",1,IF('Reverse Search'!$K$9="≥",IF(J546&gt;='Reverse Search'!$L$9,1,0),IF('Reverse Search'!$K$9="≤",IF(J546&lt;='Reverse Search'!$L$9,1,0),IF(J546='Reverse Search'!$L$9,1,0)))))</f>
        <v>1</v>
      </c>
      <c r="X546" s="0" t="n">
        <f aca="false">IF('Reverse Search'!$N$7="Disable",1,IF('Reverse Search'!$I$10="Disable",1,IF('Reverse Search'!$K$10="≥",IF(K546&gt;='Reverse Search'!$L$10,1,0),IF('Reverse Search'!$K$10="≤",IF(K546&lt;='Reverse Search'!$L$10,1,0),IF(K546='Reverse Search'!$L$10,1,0)))))</f>
        <v>1</v>
      </c>
      <c r="Y546" s="367" t="n">
        <f aca="false">IF('Reverse Search'!$N$7="Disable",1,IF('Reverse Search'!$I$11="Disable",1,IF('Reverse Search'!$K$11="≥",IF(L546&gt;='Reverse Search'!$L$11,1,0),IF('Reverse Search'!$K$11="≤",IF(L546&lt;='Reverse Search'!$L$11,1,0),IF(L546='Reverse Search'!$L$11,1,0)))))</f>
        <v>1</v>
      </c>
      <c r="Z546" s="0" t="n">
        <f aca="true">IF('Reverse Search'!$C$14="Disable",1,IF('Reverse Search'!$D$16="Disable",1,IF($C$2=3,IF($M546=0,0,COUNTIF(INDIRECT("'0.0.2 Pokémon Learnset (Core)'!$D$"&amp;MATCH($E546,'0.0.2 Pokémon Learnset (Core)'!$A$1:$A951,0)&amp;":$FK$"&amp;MATCH($E546,'0.0.2 Pokémon Learnset (Core)'!$A$1:$A951,0)),'Reverse Search'!$E$21)),IF($C$2=2,COUNTIF(INDIRECT("'0.1.1 Pokémon GO Moves'!$B$"&amp;MATCH($E546,'0.1.1 Pokémon GO Moves'!$A$1:$A951,0)&amp;":$R$"&amp;MATCH($E546,'0.1.1 Pokémon GO Moves'!$A$1:$A951,0)),'Reverse Search'!$E$21),COUNTIF(INDIRECT("'0.1.1 Pokémon GO Moves'!$B$"&amp;MATCH($E546,'0.1.1 Pokémon GO Moves'!$A$1:$A951,0)&amp;":$L$"&amp;MATCH($E546,'0.1.1 Pokémon GO Moves'!$A$1:$A951,0)),'Reverse Search'!$E$21)))))</f>
        <v>1</v>
      </c>
      <c r="AA546" s="0" t="n">
        <f aca="true">IF('Reverse Search'!$C$14="Disable",1,IF('Reverse Search'!$I$16="Disable",1,IF($D$2=3,IF($M546=0,0,COUNTIF(INDIRECT("'0.0.2 Pokémon Learnset (Core)'!$D$"&amp;MATCH($E546,'0.0.2 Pokémon Learnset (Core)'!$A$1:$A951,0)&amp;":$FK$"&amp;MATCH($E546,'0.0.2 Pokémon Learnset (Core)'!$A$1:$A951,0)),'Reverse Search'!$J$21)),IF($D$2=2,COUNTIF(INDIRECT("'0.1.1 Pokémon GO Moves'!$B$"&amp;MATCH($E546,'0.1.1 Pokémon GO Moves'!$A$1:$A951,0)&amp;":$R$"&amp;MATCH($E546,'0.1.1 Pokémon GO Moves'!$A$1:$A951,0)),'Reverse Search'!$J$21),COUNTIF(INDIRECT("'0.1.1 Pokémon GO Moves'!$B$"&amp;MATCH($E546,'0.1.1 Pokémon GO Moves'!$A$1:$A951,0)&amp;":$L$"&amp;MATCH($E546,'0.1.1 Pokémon GO Moves'!$A$1:$A951,0)),'Reverse Search'!$J$21)))))</f>
        <v>0</v>
      </c>
      <c r="AB546" s="490"/>
      <c r="AC546" s="260" t="n">
        <f aca="false">IF((Q546+R546+S546+V546+W546+X546+Y546+IF(Z546&gt;=1,1,0)+IF(AA546&gt;=1,1,0))=9,G546&amp;", ",)</f>
        <v>0</v>
      </c>
    </row>
    <row r="547" customFormat="false" ht="15.75" hidden="false" customHeight="false" outlineLevel="0" collapsed="false">
      <c r="A547" s="260"/>
      <c r="B547" s="358"/>
      <c r="C547" s="260"/>
      <c r="D547" s="358"/>
      <c r="E547" s="260" t="n">
        <v>546</v>
      </c>
      <c r="F547" s="260" t="n">
        <f aca="false" t="array" ref="F547:F547">INDEX('0.0.1 Pokémon Dex Data'!$H$3:$H951,MATCH(E547,'0.0.1 Pokémon Dex Data'!$B$3:$B951,0))</f>
        <v>0</v>
      </c>
      <c r="G547" s="0" t="str">
        <f aca="false" t="array" ref="G547:G547">INDEX('0.0.1 Pokémon Dex Data'!$E$3:$E951,MATCH(E547,'0.0.1 Pokémon Dex Data'!$B$3:$B951,0))</f>
        <v>Mamoswine</v>
      </c>
      <c r="H547" s="0" t="str">
        <f aca="false" t="array" ref="H547:H547">INDEX('0.0.1 Pokémon Dex Data'!$Q$3:$Q951,MATCH(E547,'0.0.1 Pokémon Dex Data'!$B$3:$B951,0))</f>
        <v>Ice</v>
      </c>
      <c r="I547" s="0" t="str">
        <f aca="false" t="array" ref="I547:I547">INDEX('0.0.1 Pokémon Dex Data'!$R$3:$R951,MATCH(E547,'0.0.1 Pokémon Dex Data'!$B$3:$B951,0))</f>
        <v>Ground</v>
      </c>
      <c r="J547" s="260" t="n">
        <f aca="false" t="array" ref="J547:J547">ROUND(INDEX('0.0.1 Pokémon Dex Data'!$S$3:$S951,MATCH($E547,'0.0.1 Pokémon Dex Data'!$B$3:$B951,0))*INDEX('0.0.1 Pokémon Dex Data'!T$3:T951,MATCH($E547,'0.0.1 Pokémon Dex Data'!$B$3:$B951,0)),0)</f>
        <v>247</v>
      </c>
      <c r="K547" s="260" t="n">
        <f aca="false" t="array" ref="K547:K547">ROUND(INDEX('0.0.1 Pokémon Dex Data'!$S$3:$S951,MATCH($E547,'0.0.1 Pokémon Dex Data'!$B$3:$B951,0))*INDEX('0.0.1 Pokémon Dex Data'!U$3:U951,MATCH($E547,'0.0.1 Pokémon Dex Data'!$B$3:$B951,0)),0)</f>
        <v>146</v>
      </c>
      <c r="L547" s="260" t="n">
        <f aca="false" t="array" ref="L547:L547">ROUND(INDEX('0.0.1 Pokémon Dex Data'!$S$3:$S951,MATCH($E547,'0.0.1 Pokémon Dex Data'!$B$3:$B951,0))*INDEX('0.0.1 Pokémon Dex Data'!V$3:V951,MATCH($E547,'0.0.1 Pokémon Dex Data'!$B$3:$B951,0)),0)</f>
        <v>242</v>
      </c>
      <c r="M547" s="260" t="n">
        <f aca="false" t="array" ref="M547:M547">INDEX('0.0.1 Pokémon Dex Data'!$J$3:$J951,MATCH(E547,'0.0.1 Pokémon Dex Data'!$B$3:$B951,0))</f>
        <v>1</v>
      </c>
      <c r="O547" s="490"/>
      <c r="Q547" s="367" t="n">
        <f aca="false">IF('Reverse Search'!$F$4="All (including temporary formes)",1,IF('Reverse Search'!$F$4="Base Pokémon and permanent formes only",IF(F547&lt;=1,1,0),IF(F547=0,1,0)))</f>
        <v>1</v>
      </c>
      <c r="R547" s="0" t="n">
        <f aca="false">IF('Reverse Search'!$C$7="Disable",1,IF('Reverse Search'!$D$9="Disable",1,IF(OR('Reverse Search'!$F$9=H547,'Reverse Search'!$F$9=I547),1,0)))</f>
        <v>1</v>
      </c>
      <c r="S547" s="0" t="n">
        <f aca="false">IF('Reverse Search'!$C$7="Disable",1,IF('Reverse Search'!$D$10="Disable",1,IF(OR('Reverse Search'!$F$10=H547,'Reverse Search'!$F$10=I547),1,0)))</f>
        <v>1</v>
      </c>
      <c r="T547" s="0" t="n">
        <f aca="false">INDEX($B$4:$B$22,MATCH(H547,$A$4:$A$22,0))</f>
        <v>1</v>
      </c>
      <c r="U547" s="0" t="n">
        <f aca="false">IF(ISBLANK(I547),1,INDEX($B$4:$B$22,MATCH(I547,$A$4:$A$22,0)))</f>
        <v>1</v>
      </c>
      <c r="V547" s="367" t="n">
        <f aca="false">IF('Reverse Search'!$C$7="Disable",1,IF('Reverse Search'!$D$11="Disable",1,IF('Reverse Search'!$E$11="Neutral to:",IF(ROUND(T547*U547,2)&lt;=1,1,0),IF(ROUND(T547*U547,2)&lt;1,1,0))))</f>
        <v>1</v>
      </c>
      <c r="W547" s="0" t="n">
        <f aca="false">IF('Reverse Search'!$N$7="Disable",1,IF('Reverse Search'!$I$9="Disable",1,IF('Reverse Search'!$K$9="≥",IF(J547&gt;='Reverse Search'!$L$9,1,0),IF('Reverse Search'!$K$9="≤",IF(J547&lt;='Reverse Search'!$L$9,1,0),IF(J547='Reverse Search'!$L$9,1,0)))))</f>
        <v>1</v>
      </c>
      <c r="X547" s="0" t="n">
        <f aca="false">IF('Reverse Search'!$N$7="Disable",1,IF('Reverse Search'!$I$10="Disable",1,IF('Reverse Search'!$K$10="≥",IF(K547&gt;='Reverse Search'!$L$10,1,0),IF('Reverse Search'!$K$10="≤",IF(K547&lt;='Reverse Search'!$L$10,1,0),IF(K547='Reverse Search'!$L$10,1,0)))))</f>
        <v>1</v>
      </c>
      <c r="Y547" s="367" t="n">
        <f aca="false">IF('Reverse Search'!$N$7="Disable",1,IF('Reverse Search'!$I$11="Disable",1,IF('Reverse Search'!$K$11="≥",IF(L547&gt;='Reverse Search'!$L$11,1,0),IF('Reverse Search'!$K$11="≤",IF(L547&lt;='Reverse Search'!$L$11,1,0),IF(L547='Reverse Search'!$L$11,1,0)))))</f>
        <v>1</v>
      </c>
      <c r="Z547" s="0" t="n">
        <f aca="true">IF('Reverse Search'!$C$14="Disable",1,IF('Reverse Search'!$D$16="Disable",1,IF($C$2=3,IF($M547=0,0,COUNTIF(INDIRECT("'0.0.2 Pokémon Learnset (Core)'!$D$"&amp;MATCH($E547,'0.0.2 Pokémon Learnset (Core)'!$A$1:$A951,0)&amp;":$FK$"&amp;MATCH($E547,'0.0.2 Pokémon Learnset (Core)'!$A$1:$A951,0)),'Reverse Search'!$E$21)),IF($C$2=2,COUNTIF(INDIRECT("'0.1.1 Pokémon GO Moves'!$B$"&amp;MATCH($E547,'0.1.1 Pokémon GO Moves'!$A$1:$A951,0)&amp;":$R$"&amp;MATCH($E547,'0.1.1 Pokémon GO Moves'!$A$1:$A951,0)),'Reverse Search'!$E$21),COUNTIF(INDIRECT("'0.1.1 Pokémon GO Moves'!$B$"&amp;MATCH($E547,'0.1.1 Pokémon GO Moves'!$A$1:$A951,0)&amp;":$L$"&amp;MATCH($E547,'0.1.1 Pokémon GO Moves'!$A$1:$A951,0)),'Reverse Search'!$E$21)))))</f>
        <v>1</v>
      </c>
      <c r="AA547" s="0" t="n">
        <f aca="true">IF('Reverse Search'!$C$14="Disable",1,IF('Reverse Search'!$I$16="Disable",1,IF($D$2=3,IF($M547=0,0,COUNTIF(INDIRECT("'0.0.2 Pokémon Learnset (Core)'!$D$"&amp;MATCH($E547,'0.0.2 Pokémon Learnset (Core)'!$A$1:$A951,0)&amp;":$FK$"&amp;MATCH($E547,'0.0.2 Pokémon Learnset (Core)'!$A$1:$A951,0)),'Reverse Search'!$J$21)),IF($D$2=2,COUNTIF(INDIRECT("'0.1.1 Pokémon GO Moves'!$B$"&amp;MATCH($E547,'0.1.1 Pokémon GO Moves'!$A$1:$A951,0)&amp;":$R$"&amp;MATCH($E547,'0.1.1 Pokémon GO Moves'!$A$1:$A951,0)),'Reverse Search'!$J$21),COUNTIF(INDIRECT("'0.1.1 Pokémon GO Moves'!$B$"&amp;MATCH($E547,'0.1.1 Pokémon GO Moves'!$A$1:$A951,0)&amp;":$L$"&amp;MATCH($E547,'0.1.1 Pokémon GO Moves'!$A$1:$A951,0)),'Reverse Search'!$J$21)))))</f>
        <v>0</v>
      </c>
      <c r="AB547" s="490"/>
      <c r="AC547" s="260" t="n">
        <f aca="false">IF((Q547+R547+S547+V547+W547+X547+Y547+IF(Z547&gt;=1,1,0)+IF(AA547&gt;=1,1,0))=9,G547&amp;", ",)</f>
        <v>0</v>
      </c>
    </row>
    <row r="548" customFormat="false" ht="15.75" hidden="false" customHeight="false" outlineLevel="0" collapsed="false">
      <c r="A548" s="260"/>
      <c r="B548" s="358"/>
      <c r="C548" s="260"/>
      <c r="D548" s="358"/>
      <c r="E548" s="260" t="n">
        <v>547</v>
      </c>
      <c r="F548" s="260" t="n">
        <f aca="false" t="array" ref="F548:F548">INDEX('0.0.1 Pokémon Dex Data'!$H$3:$H951,MATCH(E548,'0.0.1 Pokémon Dex Data'!$B$3:$B951,0))</f>
        <v>0</v>
      </c>
      <c r="G548" s="0" t="str">
        <f aca="false" t="array" ref="G548:G548">INDEX('0.0.1 Pokémon Dex Data'!$E$3:$E951,MATCH(E548,'0.0.1 Pokémon Dex Data'!$B$3:$B951,0))</f>
        <v>Porygon-Z</v>
      </c>
      <c r="H548" s="0" t="str">
        <f aca="false" t="array" ref="H548:H548">INDEX('0.0.1 Pokémon Dex Data'!$Q$3:$Q951,MATCH(E548,'0.0.1 Pokémon Dex Data'!$B$3:$B951,0))</f>
        <v>Normal</v>
      </c>
      <c r="I548" s="0" t="n">
        <f aca="false">INDEX('0.0.1 Pokémon Dex Data'!$R$3:$R951,MATCH(E548,'0.0.1 Pokémon Dex Data'!$B$3:$B951,0))</f>
        <v>0</v>
      </c>
      <c r="J548" s="260" t="n">
        <f aca="false" t="array" ref="J548:J548">ROUND(INDEX('0.0.1 Pokémon Dex Data'!$S$3:$S951,MATCH($E548,'0.0.1 Pokémon Dex Data'!$B$3:$B951,0))*INDEX('0.0.1 Pokémon Dex Data'!T$3:T951,MATCH($E548,'0.0.1 Pokémon Dex Data'!$B$3:$B951,0)),0)</f>
        <v>264</v>
      </c>
      <c r="K548" s="260" t="n">
        <f aca="false" t="array" ref="K548:K548">ROUND(INDEX('0.0.1 Pokémon Dex Data'!$S$3:$S951,MATCH($E548,'0.0.1 Pokémon Dex Data'!$B$3:$B951,0))*INDEX('0.0.1 Pokémon Dex Data'!U$3:U951,MATCH($E548,'0.0.1 Pokémon Dex Data'!$B$3:$B951,0)),0)</f>
        <v>150</v>
      </c>
      <c r="L548" s="260" t="n">
        <f aca="false" t="array" ref="L548:L548">ROUND(INDEX('0.0.1 Pokémon Dex Data'!$S$3:$S951,MATCH($E548,'0.0.1 Pokémon Dex Data'!$B$3:$B951,0))*INDEX('0.0.1 Pokémon Dex Data'!V$3:V951,MATCH($E548,'0.0.1 Pokémon Dex Data'!$B$3:$B951,0)),0)</f>
        <v>198</v>
      </c>
      <c r="M548" s="260" t="n">
        <f aca="false" t="array" ref="M548:M548">INDEX('0.0.1 Pokémon Dex Data'!$J$3:$J951,MATCH(E548,'0.0.1 Pokémon Dex Data'!$B$3:$B951,0))</f>
        <v>1</v>
      </c>
      <c r="O548" s="490"/>
      <c r="Q548" s="367" t="n">
        <f aca="false">IF('Reverse Search'!$F$4="All (including temporary formes)",1,IF('Reverse Search'!$F$4="Base Pokémon and permanent formes only",IF(F548&lt;=1,1,0),IF(F548=0,1,0)))</f>
        <v>1</v>
      </c>
      <c r="R548" s="0" t="n">
        <f aca="false">IF('Reverse Search'!$C$7="Disable",1,IF('Reverse Search'!$D$9="Disable",1,IF(OR('Reverse Search'!$F$9=H548,'Reverse Search'!$F$9=I548),1,0)))</f>
        <v>1</v>
      </c>
      <c r="S548" s="0" t="n">
        <f aca="false">IF('Reverse Search'!$C$7="Disable",1,IF('Reverse Search'!$D$10="Disable",1,IF(OR('Reverse Search'!$F$10=H548,'Reverse Search'!$F$10=I548),1,0)))</f>
        <v>1</v>
      </c>
      <c r="T548" s="0" t="n">
        <f aca="false">INDEX($B$4:$B$22,MATCH(H548,$A$4:$A$22,0))</f>
        <v>1</v>
      </c>
      <c r="U548" s="0" t="e">
        <f aca="false">IF(ISBLANK(I548),1,INDEX($B$4:$B$22,MATCH(I548,$A$4:$A$22,0)))</f>
        <v>#N/A</v>
      </c>
      <c r="V548" s="367" t="n">
        <f aca="false">IF('Reverse Search'!$C$7="Disable",1,IF('Reverse Search'!$D$11="Disable",1,IF('Reverse Search'!$E$11="Neutral to:",IF(ROUND(T548*U548,2)&lt;=1,1,0),IF(ROUND(T548*U548,2)&lt;1,1,0))))</f>
        <v>1</v>
      </c>
      <c r="W548" s="0" t="n">
        <f aca="false">IF('Reverse Search'!$N$7="Disable",1,IF('Reverse Search'!$I$9="Disable",1,IF('Reverse Search'!$K$9="≥",IF(J548&gt;='Reverse Search'!$L$9,1,0),IF('Reverse Search'!$K$9="≤",IF(J548&lt;='Reverse Search'!$L$9,1,0),IF(J548='Reverse Search'!$L$9,1,0)))))</f>
        <v>1</v>
      </c>
      <c r="X548" s="0" t="n">
        <f aca="false">IF('Reverse Search'!$N$7="Disable",1,IF('Reverse Search'!$I$10="Disable",1,IF('Reverse Search'!$K$10="≥",IF(K548&gt;='Reverse Search'!$L$10,1,0),IF('Reverse Search'!$K$10="≤",IF(K548&lt;='Reverse Search'!$L$10,1,0),IF(K548='Reverse Search'!$L$10,1,0)))))</f>
        <v>1</v>
      </c>
      <c r="Y548" s="367" t="n">
        <f aca="false">IF('Reverse Search'!$N$7="Disable",1,IF('Reverse Search'!$I$11="Disable",1,IF('Reverse Search'!$K$11="≥",IF(L548&gt;='Reverse Search'!$L$11,1,0),IF('Reverse Search'!$K$11="≤",IF(L548&lt;='Reverse Search'!$L$11,1,0),IF(L548='Reverse Search'!$L$11,1,0)))))</f>
        <v>1</v>
      </c>
      <c r="Z548" s="0" t="n">
        <f aca="true">IF('Reverse Search'!$C$14="Disable",1,IF('Reverse Search'!$D$16="Disable",1,IF($C$2=3,IF($M548=0,0,COUNTIF(INDIRECT("'0.0.2 Pokémon Learnset (Core)'!$D$"&amp;MATCH($E548,'0.0.2 Pokémon Learnset (Core)'!$A$1:$A951,0)&amp;":$FK$"&amp;MATCH($E548,'0.0.2 Pokémon Learnset (Core)'!$A$1:$A951,0)),'Reverse Search'!$E$21)),IF($C$2=2,COUNTIF(INDIRECT("'0.1.1 Pokémon GO Moves'!$B$"&amp;MATCH($E548,'0.1.1 Pokémon GO Moves'!$A$1:$A951,0)&amp;":$R$"&amp;MATCH($E548,'0.1.1 Pokémon GO Moves'!$A$1:$A951,0)),'Reverse Search'!$E$21),COUNTIF(INDIRECT("'0.1.1 Pokémon GO Moves'!$B$"&amp;MATCH($E548,'0.1.1 Pokémon GO Moves'!$A$1:$A951,0)&amp;":$L$"&amp;MATCH($E548,'0.1.1 Pokémon GO Moves'!$A$1:$A951,0)),'Reverse Search'!$E$21)))))</f>
        <v>1</v>
      </c>
      <c r="AA548" s="0" t="n">
        <f aca="true">IF('Reverse Search'!$C$14="Disable",1,IF('Reverse Search'!$I$16="Disable",1,IF($D$2=3,IF($M548=0,0,COUNTIF(INDIRECT("'0.0.2 Pokémon Learnset (Core)'!$D$"&amp;MATCH($E548,'0.0.2 Pokémon Learnset (Core)'!$A$1:$A951,0)&amp;":$FK$"&amp;MATCH($E548,'0.0.2 Pokémon Learnset (Core)'!$A$1:$A951,0)),'Reverse Search'!$J$21)),IF($D$2=2,COUNTIF(INDIRECT("'0.1.1 Pokémon GO Moves'!$B$"&amp;MATCH($E548,'0.1.1 Pokémon GO Moves'!$A$1:$A951,0)&amp;":$R$"&amp;MATCH($E548,'0.1.1 Pokémon GO Moves'!$A$1:$A951,0)),'Reverse Search'!$J$21),COUNTIF(INDIRECT("'0.1.1 Pokémon GO Moves'!$B$"&amp;MATCH($E548,'0.1.1 Pokémon GO Moves'!$A$1:$A951,0)&amp;":$L$"&amp;MATCH($E548,'0.1.1 Pokémon GO Moves'!$A$1:$A951,0)),'Reverse Search'!$J$21)))))</f>
        <v>0</v>
      </c>
      <c r="AB548" s="490"/>
      <c r="AC548" s="260" t="n">
        <f aca="false">IF((Q548+R548+S548+V548+W548+X548+Y548+IF(Z548&gt;=1,1,0)+IF(AA548&gt;=1,1,0))=9,G548&amp;", ",)</f>
        <v>0</v>
      </c>
    </row>
    <row r="549" customFormat="false" ht="15.75" hidden="false" customHeight="false" outlineLevel="0" collapsed="false">
      <c r="A549" s="260"/>
      <c r="B549" s="358"/>
      <c r="C549" s="260"/>
      <c r="D549" s="358"/>
      <c r="E549" s="260" t="n">
        <v>548</v>
      </c>
      <c r="F549" s="260" t="n">
        <f aca="false" t="array" ref="F549:F549">INDEX('0.0.1 Pokémon Dex Data'!$H$3:$H951,MATCH(E549,'0.0.1 Pokémon Dex Data'!$B$3:$B951,0))</f>
        <v>0</v>
      </c>
      <c r="G549" s="0" t="str">
        <f aca="false" t="array" ref="G549:G549">INDEX('0.0.1 Pokémon Dex Data'!$E$3:$E951,MATCH(E549,'0.0.1 Pokémon Dex Data'!$B$3:$B951,0))</f>
        <v>Gallade</v>
      </c>
      <c r="H549" s="0" t="str">
        <f aca="false" t="array" ref="H549:H549">INDEX('0.0.1 Pokémon Dex Data'!$Q$3:$Q951,MATCH(E549,'0.0.1 Pokémon Dex Data'!$B$3:$B951,0))</f>
        <v>Psychic</v>
      </c>
      <c r="I549" s="0" t="str">
        <f aca="false" t="array" ref="I549:I549">INDEX('0.0.1 Pokémon Dex Data'!$R$3:$R951,MATCH(E549,'0.0.1 Pokémon Dex Data'!$B$3:$B951,0))</f>
        <v>Fighting</v>
      </c>
      <c r="J549" s="260" t="n">
        <f aca="false" t="array" ref="J549:J549">ROUND(INDEX('0.0.1 Pokémon Dex Data'!$S$3:$S951,MATCH($E549,'0.0.1 Pokémon Dex Data'!$B$3:$B951,0))*INDEX('0.0.1 Pokémon Dex Data'!T$3:T951,MATCH($E549,'0.0.1 Pokémon Dex Data'!$B$3:$B951,0)),0)</f>
        <v>237</v>
      </c>
      <c r="K549" s="260" t="n">
        <f aca="false" t="array" ref="K549:K549">ROUND(INDEX('0.0.1 Pokémon Dex Data'!$S$3:$S951,MATCH($E549,'0.0.1 Pokémon Dex Data'!$B$3:$B951,0))*INDEX('0.0.1 Pokémon Dex Data'!U$3:U951,MATCH($E549,'0.0.1 Pokémon Dex Data'!$B$3:$B951,0)),0)</f>
        <v>195</v>
      </c>
      <c r="L549" s="260" t="n">
        <f aca="false" t="array" ref="L549:L549">ROUND(INDEX('0.0.1 Pokémon Dex Data'!$S$3:$S951,MATCH($E549,'0.0.1 Pokémon Dex Data'!$B$3:$B951,0))*INDEX('0.0.1 Pokémon Dex Data'!V$3:V951,MATCH($E549,'0.0.1 Pokémon Dex Data'!$B$3:$B951,0)),0)</f>
        <v>169</v>
      </c>
      <c r="M549" s="260" t="n">
        <f aca="false" t="array" ref="M549:M549">INDEX('0.0.1 Pokémon Dex Data'!$J$3:$J951,MATCH(E549,'0.0.1 Pokémon Dex Data'!$B$3:$B951,0))</f>
        <v>1</v>
      </c>
      <c r="O549" s="490"/>
      <c r="Q549" s="367" t="n">
        <f aca="false">IF('Reverse Search'!$F$4="All (including temporary formes)",1,IF('Reverse Search'!$F$4="Base Pokémon and permanent formes only",IF(F549&lt;=1,1,0),IF(F549=0,1,0)))</f>
        <v>1</v>
      </c>
      <c r="R549" s="0" t="n">
        <f aca="false">IF('Reverse Search'!$C$7="Disable",1,IF('Reverse Search'!$D$9="Disable",1,IF(OR('Reverse Search'!$F$9=H549,'Reverse Search'!$F$9=I549),1,0)))</f>
        <v>1</v>
      </c>
      <c r="S549" s="0" t="n">
        <f aca="false">IF('Reverse Search'!$C$7="Disable",1,IF('Reverse Search'!$D$10="Disable",1,IF(OR('Reverse Search'!$F$10=H549,'Reverse Search'!$F$10=I549),1,0)))</f>
        <v>1</v>
      </c>
      <c r="T549" s="0" t="n">
        <f aca="false">INDEX($B$4:$B$22,MATCH(H549,$A$4:$A$22,0))</f>
        <v>1</v>
      </c>
      <c r="U549" s="0" t="n">
        <f aca="false">IF(ISBLANK(I549),1,INDEX($B$4:$B$22,MATCH(I549,$A$4:$A$22,0)))</f>
        <v>1</v>
      </c>
      <c r="V549" s="367" t="n">
        <f aca="false">IF('Reverse Search'!$C$7="Disable",1,IF('Reverse Search'!$D$11="Disable",1,IF('Reverse Search'!$E$11="Neutral to:",IF(ROUND(T549*U549,2)&lt;=1,1,0),IF(ROUND(T549*U549,2)&lt;1,1,0))))</f>
        <v>1</v>
      </c>
      <c r="W549" s="0" t="n">
        <f aca="false">IF('Reverse Search'!$N$7="Disable",1,IF('Reverse Search'!$I$9="Disable",1,IF('Reverse Search'!$K$9="≥",IF(J549&gt;='Reverse Search'!$L$9,1,0),IF('Reverse Search'!$K$9="≤",IF(J549&lt;='Reverse Search'!$L$9,1,0),IF(J549='Reverse Search'!$L$9,1,0)))))</f>
        <v>1</v>
      </c>
      <c r="X549" s="0" t="n">
        <f aca="false">IF('Reverse Search'!$N$7="Disable",1,IF('Reverse Search'!$I$10="Disable",1,IF('Reverse Search'!$K$10="≥",IF(K549&gt;='Reverse Search'!$L$10,1,0),IF('Reverse Search'!$K$10="≤",IF(K549&lt;='Reverse Search'!$L$10,1,0),IF(K549='Reverse Search'!$L$10,1,0)))))</f>
        <v>1</v>
      </c>
      <c r="Y549" s="367" t="n">
        <f aca="false">IF('Reverse Search'!$N$7="Disable",1,IF('Reverse Search'!$I$11="Disable",1,IF('Reverse Search'!$K$11="≥",IF(L549&gt;='Reverse Search'!$L$11,1,0),IF('Reverse Search'!$K$11="≤",IF(L549&lt;='Reverse Search'!$L$11,1,0),IF(L549='Reverse Search'!$L$11,1,0)))))</f>
        <v>1</v>
      </c>
      <c r="Z549" s="0" t="n">
        <f aca="true">IF('Reverse Search'!$C$14="Disable",1,IF('Reverse Search'!$D$16="Disable",1,IF($C$2=3,IF($M549=0,0,COUNTIF(INDIRECT("'0.0.2 Pokémon Learnset (Core)'!$D$"&amp;MATCH($E549,'0.0.2 Pokémon Learnset (Core)'!$A$1:$A951,0)&amp;":$FK$"&amp;MATCH($E549,'0.0.2 Pokémon Learnset (Core)'!$A$1:$A951,0)),'Reverse Search'!$E$21)),IF($C$2=2,COUNTIF(INDIRECT("'0.1.1 Pokémon GO Moves'!$B$"&amp;MATCH($E549,'0.1.1 Pokémon GO Moves'!$A$1:$A951,0)&amp;":$R$"&amp;MATCH($E549,'0.1.1 Pokémon GO Moves'!$A$1:$A951,0)),'Reverse Search'!$E$21),COUNTIF(INDIRECT("'0.1.1 Pokémon GO Moves'!$B$"&amp;MATCH($E549,'0.1.1 Pokémon GO Moves'!$A$1:$A951,0)&amp;":$L$"&amp;MATCH($E549,'0.1.1 Pokémon GO Moves'!$A$1:$A951,0)),'Reverse Search'!$E$21)))))</f>
        <v>1</v>
      </c>
      <c r="AA549" s="0" t="n">
        <f aca="true">IF('Reverse Search'!$C$14="Disable",1,IF('Reverse Search'!$I$16="Disable",1,IF($D$2=3,IF($M549=0,0,COUNTIF(INDIRECT("'0.0.2 Pokémon Learnset (Core)'!$D$"&amp;MATCH($E549,'0.0.2 Pokémon Learnset (Core)'!$A$1:$A951,0)&amp;":$FK$"&amp;MATCH($E549,'0.0.2 Pokémon Learnset (Core)'!$A$1:$A951,0)),'Reverse Search'!$J$21)),IF($D$2=2,COUNTIF(INDIRECT("'0.1.1 Pokémon GO Moves'!$B$"&amp;MATCH($E549,'0.1.1 Pokémon GO Moves'!$A$1:$A951,0)&amp;":$R$"&amp;MATCH($E549,'0.1.1 Pokémon GO Moves'!$A$1:$A951,0)),'Reverse Search'!$J$21),COUNTIF(INDIRECT("'0.1.1 Pokémon GO Moves'!$B$"&amp;MATCH($E549,'0.1.1 Pokémon GO Moves'!$A$1:$A951,0)&amp;":$L$"&amp;MATCH($E549,'0.1.1 Pokémon GO Moves'!$A$1:$A951,0)),'Reverse Search'!$J$21)))))</f>
        <v>0</v>
      </c>
      <c r="AB549" s="490"/>
      <c r="AC549" s="260" t="n">
        <f aca="false">IF((Q549+R549+S549+V549+W549+X549+Y549+IF(Z549&gt;=1,1,0)+IF(AA549&gt;=1,1,0))=9,G549&amp;", ",)</f>
        <v>0</v>
      </c>
    </row>
    <row r="550" customFormat="false" ht="15.75" hidden="false" customHeight="false" outlineLevel="0" collapsed="false">
      <c r="A550" s="260"/>
      <c r="B550" s="358"/>
      <c r="C550" s="260"/>
      <c r="D550" s="358"/>
      <c r="E550" s="260" t="n">
        <v>549</v>
      </c>
      <c r="F550" s="260" t="n">
        <f aca="false" t="array" ref="F550:F550">INDEX('0.0.1 Pokémon Dex Data'!$H$3:$H951,MATCH(E550,'0.0.1 Pokémon Dex Data'!$B$3:$B951,0))</f>
        <v>2</v>
      </c>
      <c r="G550" s="0" t="str">
        <f aca="false" t="array" ref="G550:G550">INDEX('0.0.1 Pokémon Dex Data'!$E$3:$E951,MATCH(E550,'0.0.1 Pokémon Dex Data'!$B$3:$B951,0))</f>
        <v>Gallade-Mega</v>
      </c>
      <c r="H550" s="0" t="str">
        <f aca="false" t="array" ref="H550:H550">INDEX('0.0.1 Pokémon Dex Data'!$Q$3:$Q951,MATCH(E550,'0.0.1 Pokémon Dex Data'!$B$3:$B951,0))</f>
        <v>Psychic</v>
      </c>
      <c r="I550" s="0" t="str">
        <f aca="false" t="array" ref="I550:I550">INDEX('0.0.1 Pokémon Dex Data'!$R$3:$R951,MATCH(E550,'0.0.1 Pokémon Dex Data'!$B$3:$B951,0))</f>
        <v>Fighting</v>
      </c>
      <c r="J550" s="260" t="n">
        <f aca="false" t="array" ref="J550:J550">ROUND(INDEX('0.0.1 Pokémon Dex Data'!$S$3:$S951,MATCH($E550,'0.0.1 Pokémon Dex Data'!$B$3:$B951,0))*INDEX('0.0.1 Pokémon Dex Data'!T$3:T951,MATCH($E550,'0.0.1 Pokémon Dex Data'!$B$3:$B951,0)),0)</f>
        <v>326</v>
      </c>
      <c r="K550" s="260" t="n">
        <f aca="false" t="array" ref="K550:K550">ROUND(INDEX('0.0.1 Pokémon Dex Data'!$S$3:$S951,MATCH($E550,'0.0.1 Pokémon Dex Data'!$B$3:$B951,0))*INDEX('0.0.1 Pokémon Dex Data'!U$3:U951,MATCH($E550,'0.0.1 Pokémon Dex Data'!$B$3:$B951,0)),0)</f>
        <v>230</v>
      </c>
      <c r="L550" s="260" t="n">
        <f aca="false" t="array" ref="L550:L550">ROUND(INDEX('0.0.1 Pokémon Dex Data'!$S$3:$S951,MATCH($E550,'0.0.1 Pokémon Dex Data'!$B$3:$B951,0))*INDEX('0.0.1 Pokémon Dex Data'!V$3:V951,MATCH($E550,'0.0.1 Pokémon Dex Data'!$B$3:$B951,0)),0)</f>
        <v>169</v>
      </c>
      <c r="M550" s="260" t="n">
        <f aca="false" t="array" ref="M550:M550">INDEX('0.0.1 Pokémon Dex Data'!$J$3:$J951,MATCH(E550,'0.0.1 Pokémon Dex Data'!$B$3:$B951,0))</f>
        <v>1</v>
      </c>
      <c r="O550" s="490"/>
      <c r="Q550" s="367" t="n">
        <f aca="false">IF('Reverse Search'!$F$4="All (including temporary formes)",1,IF('Reverse Search'!$F$4="Base Pokémon and permanent formes only",IF(F550&lt;=1,1,0),IF(F550=0,1,0)))</f>
        <v>0</v>
      </c>
      <c r="R550" s="0" t="n">
        <f aca="false">IF('Reverse Search'!$C$7="Disable",1,IF('Reverse Search'!$D$9="Disable",1,IF(OR('Reverse Search'!$F$9=H550,'Reverse Search'!$F$9=I550),1,0)))</f>
        <v>1</v>
      </c>
      <c r="S550" s="0" t="n">
        <f aca="false">IF('Reverse Search'!$C$7="Disable",1,IF('Reverse Search'!$D$10="Disable",1,IF(OR('Reverse Search'!$F$10=H550,'Reverse Search'!$F$10=I550),1,0)))</f>
        <v>1</v>
      </c>
      <c r="T550" s="0" t="n">
        <f aca="false">INDEX($B$4:$B$22,MATCH(H550,$A$4:$A$22,0))</f>
        <v>1</v>
      </c>
      <c r="U550" s="0" t="n">
        <f aca="false">IF(ISBLANK(I550),1,INDEX($B$4:$B$22,MATCH(I550,$A$4:$A$22,0)))</f>
        <v>1</v>
      </c>
      <c r="V550" s="367" t="n">
        <f aca="false">IF('Reverse Search'!$C$7="Disable",1,IF('Reverse Search'!$D$11="Disable",1,IF('Reverse Search'!$E$11="Neutral to:",IF(ROUND(T550*U550,2)&lt;=1,1,0),IF(ROUND(T550*U550,2)&lt;1,1,0))))</f>
        <v>1</v>
      </c>
      <c r="W550" s="0" t="n">
        <f aca="false">IF('Reverse Search'!$N$7="Disable",1,IF('Reverse Search'!$I$9="Disable",1,IF('Reverse Search'!$K$9="≥",IF(J550&gt;='Reverse Search'!$L$9,1,0),IF('Reverse Search'!$K$9="≤",IF(J550&lt;='Reverse Search'!$L$9,1,0),IF(J550='Reverse Search'!$L$9,1,0)))))</f>
        <v>1</v>
      </c>
      <c r="X550" s="0" t="n">
        <f aca="false">IF('Reverse Search'!$N$7="Disable",1,IF('Reverse Search'!$I$10="Disable",1,IF('Reverse Search'!$K$10="≥",IF(K550&gt;='Reverse Search'!$L$10,1,0),IF('Reverse Search'!$K$10="≤",IF(K550&lt;='Reverse Search'!$L$10,1,0),IF(K550='Reverse Search'!$L$10,1,0)))))</f>
        <v>1</v>
      </c>
      <c r="Y550" s="367" t="n">
        <f aca="false">IF('Reverse Search'!$N$7="Disable",1,IF('Reverse Search'!$I$11="Disable",1,IF('Reverse Search'!$K$11="≥",IF(L550&gt;='Reverse Search'!$L$11,1,0),IF('Reverse Search'!$K$11="≤",IF(L550&lt;='Reverse Search'!$L$11,1,0),IF(L550='Reverse Search'!$L$11,1,0)))))</f>
        <v>1</v>
      </c>
      <c r="Z550" s="0" t="n">
        <f aca="true">IF('Reverse Search'!$C$14="Disable",1,IF('Reverse Search'!$D$16="Disable",1,IF($C$2=3,IF($M550=0,0,COUNTIF(INDIRECT("'0.0.2 Pokémon Learnset (Core)'!$D$"&amp;MATCH($E550,'0.0.2 Pokémon Learnset (Core)'!$A$1:$A951,0)&amp;":$FK$"&amp;MATCH($E550,'0.0.2 Pokémon Learnset (Core)'!$A$1:$A951,0)),'Reverse Search'!$E$21)),IF($C$2=2,COUNTIF(INDIRECT("'0.1.1 Pokémon GO Moves'!$B$"&amp;MATCH($E550,'0.1.1 Pokémon GO Moves'!$A$1:$A951,0)&amp;":$R$"&amp;MATCH($E550,'0.1.1 Pokémon GO Moves'!$A$1:$A951,0)),'Reverse Search'!$E$21),COUNTIF(INDIRECT("'0.1.1 Pokémon GO Moves'!$B$"&amp;MATCH($E550,'0.1.1 Pokémon GO Moves'!$A$1:$A951,0)&amp;":$L$"&amp;MATCH($E550,'0.1.1 Pokémon GO Moves'!$A$1:$A951,0)),'Reverse Search'!$E$21)))))</f>
        <v>1</v>
      </c>
      <c r="AA550" s="0" t="e">
        <f aca="true">IF('Reverse Search'!$C$14="Disable",1,IF('Reverse Search'!$I$16="Disable",1,IF($D$2=3,IF($M550=0,0,COUNTIF(INDIRECT("'0.0.2 Pokémon Learnset (Core)'!$D$"&amp;MATCH($E550,'0.0.2 Pokémon Learnset (Core)'!$A$1:$A951,0)&amp;":$FK$"&amp;MATCH($E550,'0.0.2 Pokémon Learnset (Core)'!$A$1:$A951,0)),'Reverse Search'!$J$21)),IF($D$2=2,COUNTIF(INDIRECT("'0.1.1 Pokémon GO Moves'!$B$"&amp;MATCH($E550,'0.1.1 Pokémon GO Moves'!$A$1:$A951,0)&amp;":$R$"&amp;MATCH($E550,'0.1.1 Pokémon GO Moves'!$A$1:$A951,0)),'Reverse Search'!$J$21),COUNTIF(INDIRECT("'0.1.1 Pokémon GO Moves'!$B$"&amp;MATCH($E550,'0.1.1 Pokémon GO Moves'!$A$1:$A951,0)&amp;":$L$"&amp;MATCH($E550,'0.1.1 Pokémon GO Moves'!$A$1:$A951,0)),'Reverse Search'!$J$21)))))</f>
        <v>#N/A</v>
      </c>
      <c r="AB550" s="490"/>
      <c r="AC550" s="260" t="e">
        <f aca="false">IF((Q550+R550+S550+V550+W550+X550+Y550+IF(Z550&gt;=1,1,0)+IF(AA550&gt;=1,1,0))=9,G550&amp;", ",)</f>
        <v>#N/A</v>
      </c>
    </row>
    <row r="551" customFormat="false" ht="15.75" hidden="false" customHeight="false" outlineLevel="0" collapsed="false">
      <c r="A551" s="260"/>
      <c r="B551" s="358"/>
      <c r="C551" s="260"/>
      <c r="D551" s="358"/>
      <c r="E551" s="260" t="n">
        <v>550</v>
      </c>
      <c r="F551" s="260" t="n">
        <f aca="false" t="array" ref="F551:F551">INDEX('0.0.1 Pokémon Dex Data'!$H$3:$H951,MATCH(E551,'0.0.1 Pokémon Dex Data'!$B$3:$B951,0))</f>
        <v>0</v>
      </c>
      <c r="G551" s="0" t="str">
        <f aca="false" t="array" ref="G551:G551">INDEX('0.0.1 Pokémon Dex Data'!$E$3:$E951,MATCH(E551,'0.0.1 Pokémon Dex Data'!$B$3:$B951,0))</f>
        <v>Probopass</v>
      </c>
      <c r="H551" s="0" t="str">
        <f aca="false" t="array" ref="H551:H551">INDEX('0.0.1 Pokémon Dex Data'!$Q$3:$Q951,MATCH(E551,'0.0.1 Pokémon Dex Data'!$B$3:$B951,0))</f>
        <v>Rock</v>
      </c>
      <c r="I551" s="0" t="str">
        <f aca="false" t="array" ref="I551:I551">INDEX('0.0.1 Pokémon Dex Data'!$R$3:$R951,MATCH(E551,'0.0.1 Pokémon Dex Data'!$B$3:$B951,0))</f>
        <v>Steel</v>
      </c>
      <c r="J551" s="260" t="n">
        <f aca="false" t="array" ref="J551:J551">ROUND(INDEX('0.0.1 Pokémon Dex Data'!$S$3:$S951,MATCH($E551,'0.0.1 Pokémon Dex Data'!$B$3:$B951,0))*INDEX('0.0.1 Pokémon Dex Data'!T$3:T951,MATCH($E551,'0.0.1 Pokémon Dex Data'!$B$3:$B951,0)),0)</f>
        <v>135</v>
      </c>
      <c r="K551" s="260" t="n">
        <f aca="false" t="array" ref="K551:K551">ROUND(INDEX('0.0.1 Pokémon Dex Data'!$S$3:$S951,MATCH($E551,'0.0.1 Pokémon Dex Data'!$B$3:$B951,0))*INDEX('0.0.1 Pokémon Dex Data'!U$3:U951,MATCH($E551,'0.0.1 Pokémon Dex Data'!$B$3:$B951,0)),0)</f>
        <v>275</v>
      </c>
      <c r="L551" s="260" t="n">
        <f aca="false" t="array" ref="L551:L551">ROUND(INDEX('0.0.1 Pokémon Dex Data'!$S$3:$S951,MATCH($E551,'0.0.1 Pokémon Dex Data'!$B$3:$B951,0))*INDEX('0.0.1 Pokémon Dex Data'!V$3:V951,MATCH($E551,'0.0.1 Pokémon Dex Data'!$B$3:$B951,0)),0)</f>
        <v>155</v>
      </c>
      <c r="M551" s="260" t="n">
        <f aca="false" t="array" ref="M551:M551">INDEX('0.0.1 Pokémon Dex Data'!$J$3:$J951,MATCH(E551,'0.0.1 Pokémon Dex Data'!$B$3:$B951,0))</f>
        <v>1</v>
      </c>
      <c r="O551" s="490"/>
      <c r="Q551" s="367" t="n">
        <f aca="false">IF('Reverse Search'!$F$4="All (including temporary formes)",1,IF('Reverse Search'!$F$4="Base Pokémon and permanent formes only",IF(F551&lt;=1,1,0),IF(F551=0,1,0)))</f>
        <v>1</v>
      </c>
      <c r="R551" s="0" t="n">
        <f aca="false">IF('Reverse Search'!$C$7="Disable",1,IF('Reverse Search'!$D$9="Disable",1,IF(OR('Reverse Search'!$F$9=H551,'Reverse Search'!$F$9=I551),1,0)))</f>
        <v>1</v>
      </c>
      <c r="S551" s="0" t="n">
        <f aca="false">IF('Reverse Search'!$C$7="Disable",1,IF('Reverse Search'!$D$10="Disable",1,IF(OR('Reverse Search'!$F$10=H551,'Reverse Search'!$F$10=I551),1,0)))</f>
        <v>1</v>
      </c>
      <c r="T551" s="0" t="n">
        <f aca="false">INDEX($B$4:$B$22,MATCH(H551,$A$4:$A$22,0))</f>
        <v>0.714</v>
      </c>
      <c r="U551" s="0" t="n">
        <f aca="false">IF(ISBLANK(I551),1,INDEX($B$4:$B$22,MATCH(I551,$A$4:$A$22,0)))</f>
        <v>0.714</v>
      </c>
      <c r="V551" s="367" t="n">
        <f aca="false">IF('Reverse Search'!$C$7="Disable",1,IF('Reverse Search'!$D$11="Disable",1,IF('Reverse Search'!$E$11="Neutral to:",IF(ROUND(T551*U551,2)&lt;=1,1,0),IF(ROUND(T551*U551,2)&lt;1,1,0))))</f>
        <v>1</v>
      </c>
      <c r="W551" s="0" t="n">
        <f aca="false">IF('Reverse Search'!$N$7="Disable",1,IF('Reverse Search'!$I$9="Disable",1,IF('Reverse Search'!$K$9="≥",IF(J551&gt;='Reverse Search'!$L$9,1,0),IF('Reverse Search'!$K$9="≤",IF(J551&lt;='Reverse Search'!$L$9,1,0),IF(J551='Reverse Search'!$L$9,1,0)))))</f>
        <v>1</v>
      </c>
      <c r="X551" s="0" t="n">
        <f aca="false">IF('Reverse Search'!$N$7="Disable",1,IF('Reverse Search'!$I$10="Disable",1,IF('Reverse Search'!$K$10="≥",IF(K551&gt;='Reverse Search'!$L$10,1,0),IF('Reverse Search'!$K$10="≤",IF(K551&lt;='Reverse Search'!$L$10,1,0),IF(K551='Reverse Search'!$L$10,1,0)))))</f>
        <v>1</v>
      </c>
      <c r="Y551" s="367" t="n">
        <f aca="false">IF('Reverse Search'!$N$7="Disable",1,IF('Reverse Search'!$I$11="Disable",1,IF('Reverse Search'!$K$11="≥",IF(L551&gt;='Reverse Search'!$L$11,1,0),IF('Reverse Search'!$K$11="≤",IF(L551&lt;='Reverse Search'!$L$11,1,0),IF(L551='Reverse Search'!$L$11,1,0)))))</f>
        <v>1</v>
      </c>
      <c r="Z551" s="0" t="n">
        <f aca="true">IF('Reverse Search'!$C$14="Disable",1,IF('Reverse Search'!$D$16="Disable",1,IF($C$2=3,IF($M551=0,0,COUNTIF(INDIRECT("'0.0.2 Pokémon Learnset (Core)'!$D$"&amp;MATCH($E551,'0.0.2 Pokémon Learnset (Core)'!$A$1:$A951,0)&amp;":$FK$"&amp;MATCH($E551,'0.0.2 Pokémon Learnset (Core)'!$A$1:$A951,0)),'Reverse Search'!$E$21)),IF($C$2=2,COUNTIF(INDIRECT("'0.1.1 Pokémon GO Moves'!$B$"&amp;MATCH($E551,'0.1.1 Pokémon GO Moves'!$A$1:$A951,0)&amp;":$R$"&amp;MATCH($E551,'0.1.1 Pokémon GO Moves'!$A$1:$A951,0)),'Reverse Search'!$E$21),COUNTIF(INDIRECT("'0.1.1 Pokémon GO Moves'!$B$"&amp;MATCH($E551,'0.1.1 Pokémon GO Moves'!$A$1:$A951,0)&amp;":$L$"&amp;MATCH($E551,'0.1.1 Pokémon GO Moves'!$A$1:$A951,0)),'Reverse Search'!$E$21)))))</f>
        <v>1</v>
      </c>
      <c r="AA551" s="0" t="n">
        <f aca="true">IF('Reverse Search'!$C$14="Disable",1,IF('Reverse Search'!$I$16="Disable",1,IF($D$2=3,IF($M551=0,0,COUNTIF(INDIRECT("'0.0.2 Pokémon Learnset (Core)'!$D$"&amp;MATCH($E551,'0.0.2 Pokémon Learnset (Core)'!$A$1:$A951,0)&amp;":$FK$"&amp;MATCH($E551,'0.0.2 Pokémon Learnset (Core)'!$A$1:$A951,0)),'Reverse Search'!$J$21)),IF($D$2=2,COUNTIF(INDIRECT("'0.1.1 Pokémon GO Moves'!$B$"&amp;MATCH($E551,'0.1.1 Pokémon GO Moves'!$A$1:$A951,0)&amp;":$R$"&amp;MATCH($E551,'0.1.1 Pokémon GO Moves'!$A$1:$A951,0)),'Reverse Search'!$J$21),COUNTIF(INDIRECT("'0.1.1 Pokémon GO Moves'!$B$"&amp;MATCH($E551,'0.1.1 Pokémon GO Moves'!$A$1:$A951,0)&amp;":$L$"&amp;MATCH($E551,'0.1.1 Pokémon GO Moves'!$A$1:$A951,0)),'Reverse Search'!$J$21)))))</f>
        <v>0</v>
      </c>
      <c r="AB551" s="490"/>
      <c r="AC551" s="260" t="n">
        <f aca="false">IF((Q551+R551+S551+V551+W551+X551+Y551+IF(Z551&gt;=1,1,0)+IF(AA551&gt;=1,1,0))=9,G551&amp;", ",)</f>
        <v>0</v>
      </c>
    </row>
    <row r="552" customFormat="false" ht="15.75" hidden="false" customHeight="false" outlineLevel="0" collapsed="false">
      <c r="A552" s="260"/>
      <c r="B552" s="358"/>
      <c r="C552" s="260"/>
      <c r="D552" s="358"/>
      <c r="E552" s="260" t="n">
        <v>551</v>
      </c>
      <c r="F552" s="260" t="n">
        <f aca="false" t="array" ref="F552:F552">INDEX('0.0.1 Pokémon Dex Data'!$H$3:$H951,MATCH(E552,'0.0.1 Pokémon Dex Data'!$B$3:$B951,0))</f>
        <v>0</v>
      </c>
      <c r="G552" s="0" t="str">
        <f aca="false" t="array" ref="G552:G552">INDEX('0.0.1 Pokémon Dex Data'!$E$3:$E951,MATCH(E552,'0.0.1 Pokémon Dex Data'!$B$3:$B951,0))</f>
        <v>Dusknoir</v>
      </c>
      <c r="H552" s="0" t="str">
        <f aca="false" t="array" ref="H552:H552">INDEX('0.0.1 Pokémon Dex Data'!$Q$3:$Q951,MATCH(E552,'0.0.1 Pokémon Dex Data'!$B$3:$B951,0))</f>
        <v>Ghost</v>
      </c>
      <c r="I552" s="0" t="n">
        <f aca="false">INDEX('0.0.1 Pokémon Dex Data'!$R$3:$R951,MATCH(E552,'0.0.1 Pokémon Dex Data'!$B$3:$B951,0))</f>
        <v>0</v>
      </c>
      <c r="J552" s="260" t="n">
        <f aca="false" t="array" ref="J552:J552">ROUND(INDEX('0.0.1 Pokémon Dex Data'!$S$3:$S951,MATCH($E552,'0.0.1 Pokémon Dex Data'!$B$3:$B951,0))*INDEX('0.0.1 Pokémon Dex Data'!T$3:T951,MATCH($E552,'0.0.1 Pokémon Dex Data'!$B$3:$B951,0)),0)</f>
        <v>180</v>
      </c>
      <c r="K552" s="260" t="n">
        <f aca="false" t="array" ref="K552:K552">ROUND(INDEX('0.0.1 Pokémon Dex Data'!$S$3:$S951,MATCH($E552,'0.0.1 Pokémon Dex Data'!$B$3:$B951,0))*INDEX('0.0.1 Pokémon Dex Data'!U$3:U951,MATCH($E552,'0.0.1 Pokémon Dex Data'!$B$3:$B951,0)),0)</f>
        <v>254</v>
      </c>
      <c r="L552" s="260" t="n">
        <f aca="false" t="array" ref="L552:L552">ROUND(INDEX('0.0.1 Pokémon Dex Data'!$S$3:$S951,MATCH($E552,'0.0.1 Pokémon Dex Data'!$B$3:$B951,0))*INDEX('0.0.1 Pokémon Dex Data'!V$3:V951,MATCH($E552,'0.0.1 Pokémon Dex Data'!$B$3:$B951,0)),0)</f>
        <v>128</v>
      </c>
      <c r="M552" s="260" t="n">
        <f aca="false" t="array" ref="M552:M552">INDEX('0.0.1 Pokémon Dex Data'!$J$3:$J951,MATCH(E552,'0.0.1 Pokémon Dex Data'!$B$3:$B951,0))</f>
        <v>1</v>
      </c>
      <c r="O552" s="490"/>
      <c r="Q552" s="367" t="n">
        <f aca="false">IF('Reverse Search'!$F$4="All (including temporary formes)",1,IF('Reverse Search'!$F$4="Base Pokémon and permanent formes only",IF(F552&lt;=1,1,0),IF(F552=0,1,0)))</f>
        <v>1</v>
      </c>
      <c r="R552" s="0" t="n">
        <f aca="false">IF('Reverse Search'!$C$7="Disable",1,IF('Reverse Search'!$D$9="Disable",1,IF(OR('Reverse Search'!$F$9=H552,'Reverse Search'!$F$9=I552),1,0)))</f>
        <v>1</v>
      </c>
      <c r="S552" s="0" t="n">
        <f aca="false">IF('Reverse Search'!$C$7="Disable",1,IF('Reverse Search'!$D$10="Disable",1,IF(OR('Reverse Search'!$F$10=H552,'Reverse Search'!$F$10=I552),1,0)))</f>
        <v>1</v>
      </c>
      <c r="T552" s="0" t="n">
        <f aca="false">INDEX($B$4:$B$22,MATCH(H552,$A$4:$A$22,0))</f>
        <v>0.51</v>
      </c>
      <c r="U552" s="0" t="e">
        <f aca="false">IF(ISBLANK(I552),1,INDEX($B$4:$B$22,MATCH(I552,$A$4:$A$22,0)))</f>
        <v>#N/A</v>
      </c>
      <c r="V552" s="367" t="n">
        <f aca="false">IF('Reverse Search'!$C$7="Disable",1,IF('Reverse Search'!$D$11="Disable",1,IF('Reverse Search'!$E$11="Neutral to:",IF(ROUND(T552*U552,2)&lt;=1,1,0),IF(ROUND(T552*U552,2)&lt;1,1,0))))</f>
        <v>1</v>
      </c>
      <c r="W552" s="0" t="n">
        <f aca="false">IF('Reverse Search'!$N$7="Disable",1,IF('Reverse Search'!$I$9="Disable",1,IF('Reverse Search'!$K$9="≥",IF(J552&gt;='Reverse Search'!$L$9,1,0),IF('Reverse Search'!$K$9="≤",IF(J552&lt;='Reverse Search'!$L$9,1,0),IF(J552='Reverse Search'!$L$9,1,0)))))</f>
        <v>1</v>
      </c>
      <c r="X552" s="0" t="n">
        <f aca="false">IF('Reverse Search'!$N$7="Disable",1,IF('Reverse Search'!$I$10="Disable",1,IF('Reverse Search'!$K$10="≥",IF(K552&gt;='Reverse Search'!$L$10,1,0),IF('Reverse Search'!$K$10="≤",IF(K552&lt;='Reverse Search'!$L$10,1,0),IF(K552='Reverse Search'!$L$10,1,0)))))</f>
        <v>1</v>
      </c>
      <c r="Y552" s="367" t="n">
        <f aca="false">IF('Reverse Search'!$N$7="Disable",1,IF('Reverse Search'!$I$11="Disable",1,IF('Reverse Search'!$K$11="≥",IF(L552&gt;='Reverse Search'!$L$11,1,0),IF('Reverse Search'!$K$11="≤",IF(L552&lt;='Reverse Search'!$L$11,1,0),IF(L552='Reverse Search'!$L$11,1,0)))))</f>
        <v>1</v>
      </c>
      <c r="Z552" s="0" t="n">
        <f aca="true">IF('Reverse Search'!$C$14="Disable",1,IF('Reverse Search'!$D$16="Disable",1,IF($C$2=3,IF($M552=0,0,COUNTIF(INDIRECT("'0.0.2 Pokémon Learnset (Core)'!$D$"&amp;MATCH($E552,'0.0.2 Pokémon Learnset (Core)'!$A$1:$A951,0)&amp;":$FK$"&amp;MATCH($E552,'0.0.2 Pokémon Learnset (Core)'!$A$1:$A951,0)),'Reverse Search'!$E$21)),IF($C$2=2,COUNTIF(INDIRECT("'0.1.1 Pokémon GO Moves'!$B$"&amp;MATCH($E552,'0.1.1 Pokémon GO Moves'!$A$1:$A951,0)&amp;":$R$"&amp;MATCH($E552,'0.1.1 Pokémon GO Moves'!$A$1:$A951,0)),'Reverse Search'!$E$21),COUNTIF(INDIRECT("'0.1.1 Pokémon GO Moves'!$B$"&amp;MATCH($E552,'0.1.1 Pokémon GO Moves'!$A$1:$A951,0)&amp;":$L$"&amp;MATCH($E552,'0.1.1 Pokémon GO Moves'!$A$1:$A951,0)),'Reverse Search'!$E$21)))))</f>
        <v>1</v>
      </c>
      <c r="AA552" s="0" t="n">
        <f aca="true">IF('Reverse Search'!$C$14="Disable",1,IF('Reverse Search'!$I$16="Disable",1,IF($D$2=3,IF($M552=0,0,COUNTIF(INDIRECT("'0.0.2 Pokémon Learnset (Core)'!$D$"&amp;MATCH($E552,'0.0.2 Pokémon Learnset (Core)'!$A$1:$A951,0)&amp;":$FK$"&amp;MATCH($E552,'0.0.2 Pokémon Learnset (Core)'!$A$1:$A951,0)),'Reverse Search'!$J$21)),IF($D$2=2,COUNTIF(INDIRECT("'0.1.1 Pokémon GO Moves'!$B$"&amp;MATCH($E552,'0.1.1 Pokémon GO Moves'!$A$1:$A951,0)&amp;":$R$"&amp;MATCH($E552,'0.1.1 Pokémon GO Moves'!$A$1:$A951,0)),'Reverse Search'!$J$21),COUNTIF(INDIRECT("'0.1.1 Pokémon GO Moves'!$B$"&amp;MATCH($E552,'0.1.1 Pokémon GO Moves'!$A$1:$A951,0)&amp;":$L$"&amp;MATCH($E552,'0.1.1 Pokémon GO Moves'!$A$1:$A951,0)),'Reverse Search'!$J$21)))))</f>
        <v>0</v>
      </c>
      <c r="AB552" s="490"/>
      <c r="AC552" s="260" t="n">
        <f aca="false">IF((Q552+R552+S552+V552+W552+X552+Y552+IF(Z552&gt;=1,1,0)+IF(AA552&gt;=1,1,0))=9,G552&amp;", ",)</f>
        <v>0</v>
      </c>
    </row>
    <row r="553" customFormat="false" ht="15.75" hidden="false" customHeight="false" outlineLevel="0" collapsed="false">
      <c r="A553" s="260"/>
      <c r="B553" s="358"/>
      <c r="C553" s="260"/>
      <c r="D553" s="358"/>
      <c r="E553" s="260" t="n">
        <v>552</v>
      </c>
      <c r="F553" s="260" t="n">
        <f aca="false" t="array" ref="F553:F553">INDEX('0.0.1 Pokémon Dex Data'!$H$3:$H951,MATCH(E553,'0.0.1 Pokémon Dex Data'!$B$3:$B951,0))</f>
        <v>0</v>
      </c>
      <c r="G553" s="0" t="str">
        <f aca="false" t="array" ref="G553:G553">INDEX('0.0.1 Pokémon Dex Data'!$E$3:$E951,MATCH(E553,'0.0.1 Pokémon Dex Data'!$B$3:$B951,0))</f>
        <v>Froslass</v>
      </c>
      <c r="H553" s="0" t="str">
        <f aca="false" t="array" ref="H553:H553">INDEX('0.0.1 Pokémon Dex Data'!$Q$3:$Q951,MATCH(E553,'0.0.1 Pokémon Dex Data'!$B$3:$B951,0))</f>
        <v>Ice</v>
      </c>
      <c r="I553" s="0" t="str">
        <f aca="false" t="array" ref="I553:I553">INDEX('0.0.1 Pokémon Dex Data'!$R$3:$R951,MATCH(E553,'0.0.1 Pokémon Dex Data'!$B$3:$B951,0))</f>
        <v>Ghost</v>
      </c>
      <c r="J553" s="260" t="n">
        <f aca="false" t="array" ref="J553:J553">ROUND(INDEX('0.0.1 Pokémon Dex Data'!$S$3:$S951,MATCH($E553,'0.0.1 Pokémon Dex Data'!$B$3:$B951,0))*INDEX('0.0.1 Pokémon Dex Data'!T$3:T951,MATCH($E553,'0.0.1 Pokémon Dex Data'!$B$3:$B951,0)),0)</f>
        <v>171</v>
      </c>
      <c r="K553" s="260" t="n">
        <f aca="false" t="array" ref="K553:K553">ROUND(INDEX('0.0.1 Pokémon Dex Data'!$S$3:$S951,MATCH($E553,'0.0.1 Pokémon Dex Data'!$B$3:$B951,0))*INDEX('0.0.1 Pokémon Dex Data'!U$3:U951,MATCH($E553,'0.0.1 Pokémon Dex Data'!$B$3:$B951,0)),0)</f>
        <v>150</v>
      </c>
      <c r="L553" s="260" t="n">
        <f aca="false" t="array" ref="L553:L553">ROUND(INDEX('0.0.1 Pokémon Dex Data'!$S$3:$S951,MATCH($E553,'0.0.1 Pokémon Dex Data'!$B$3:$B951,0))*INDEX('0.0.1 Pokémon Dex Data'!V$3:V951,MATCH($E553,'0.0.1 Pokémon Dex Data'!$B$3:$B951,0)),0)</f>
        <v>172</v>
      </c>
      <c r="M553" s="260" t="n">
        <f aca="false" t="array" ref="M553:M553">INDEX('0.0.1 Pokémon Dex Data'!$J$3:$J951,MATCH(E553,'0.0.1 Pokémon Dex Data'!$B$3:$B951,0))</f>
        <v>1</v>
      </c>
      <c r="O553" s="490"/>
      <c r="Q553" s="367" t="n">
        <f aca="false">IF('Reverse Search'!$F$4="All (including temporary formes)",1,IF('Reverse Search'!$F$4="Base Pokémon and permanent formes only",IF(F553&lt;=1,1,0),IF(F553=0,1,0)))</f>
        <v>1</v>
      </c>
      <c r="R553" s="0" t="n">
        <f aca="false">IF('Reverse Search'!$C$7="Disable",1,IF('Reverse Search'!$D$9="Disable",1,IF(OR('Reverse Search'!$F$9=H553,'Reverse Search'!$F$9=I553),1,0)))</f>
        <v>1</v>
      </c>
      <c r="S553" s="0" t="n">
        <f aca="false">IF('Reverse Search'!$C$7="Disable",1,IF('Reverse Search'!$D$10="Disable",1,IF(OR('Reverse Search'!$F$10=H553,'Reverse Search'!$F$10=I553),1,0)))</f>
        <v>1</v>
      </c>
      <c r="T553" s="0" t="n">
        <f aca="false">INDEX($B$4:$B$22,MATCH(H553,$A$4:$A$22,0))</f>
        <v>1</v>
      </c>
      <c r="U553" s="0" t="n">
        <f aca="false">IF(ISBLANK(I553),1,INDEX($B$4:$B$22,MATCH(I553,$A$4:$A$22,0)))</f>
        <v>0.51</v>
      </c>
      <c r="V553" s="367" t="n">
        <f aca="false">IF('Reverse Search'!$C$7="Disable",1,IF('Reverse Search'!$D$11="Disable",1,IF('Reverse Search'!$E$11="Neutral to:",IF(ROUND(T553*U553,2)&lt;=1,1,0),IF(ROUND(T553*U553,2)&lt;1,1,0))))</f>
        <v>1</v>
      </c>
      <c r="W553" s="0" t="n">
        <f aca="false">IF('Reverse Search'!$N$7="Disable",1,IF('Reverse Search'!$I$9="Disable",1,IF('Reverse Search'!$K$9="≥",IF(J553&gt;='Reverse Search'!$L$9,1,0),IF('Reverse Search'!$K$9="≤",IF(J553&lt;='Reverse Search'!$L$9,1,0),IF(J553='Reverse Search'!$L$9,1,0)))))</f>
        <v>1</v>
      </c>
      <c r="X553" s="0" t="n">
        <f aca="false">IF('Reverse Search'!$N$7="Disable",1,IF('Reverse Search'!$I$10="Disable",1,IF('Reverse Search'!$K$10="≥",IF(K553&gt;='Reverse Search'!$L$10,1,0),IF('Reverse Search'!$K$10="≤",IF(K553&lt;='Reverse Search'!$L$10,1,0),IF(K553='Reverse Search'!$L$10,1,0)))))</f>
        <v>1</v>
      </c>
      <c r="Y553" s="367" t="n">
        <f aca="false">IF('Reverse Search'!$N$7="Disable",1,IF('Reverse Search'!$I$11="Disable",1,IF('Reverse Search'!$K$11="≥",IF(L553&gt;='Reverse Search'!$L$11,1,0),IF('Reverse Search'!$K$11="≤",IF(L553&lt;='Reverse Search'!$L$11,1,0),IF(L553='Reverse Search'!$L$11,1,0)))))</f>
        <v>1</v>
      </c>
      <c r="Z553" s="0" t="n">
        <f aca="true">IF('Reverse Search'!$C$14="Disable",1,IF('Reverse Search'!$D$16="Disable",1,IF($C$2=3,IF($M553=0,0,COUNTIF(INDIRECT("'0.0.2 Pokémon Learnset (Core)'!$D$"&amp;MATCH($E553,'0.0.2 Pokémon Learnset (Core)'!$A$1:$A951,0)&amp;":$FK$"&amp;MATCH($E553,'0.0.2 Pokémon Learnset (Core)'!$A$1:$A951,0)),'Reverse Search'!$E$21)),IF($C$2=2,COUNTIF(INDIRECT("'0.1.1 Pokémon GO Moves'!$B$"&amp;MATCH($E553,'0.1.1 Pokémon GO Moves'!$A$1:$A951,0)&amp;":$R$"&amp;MATCH($E553,'0.1.1 Pokémon GO Moves'!$A$1:$A951,0)),'Reverse Search'!$E$21),COUNTIF(INDIRECT("'0.1.1 Pokémon GO Moves'!$B$"&amp;MATCH($E553,'0.1.1 Pokémon GO Moves'!$A$1:$A951,0)&amp;":$L$"&amp;MATCH($E553,'0.1.1 Pokémon GO Moves'!$A$1:$A951,0)),'Reverse Search'!$E$21)))))</f>
        <v>1</v>
      </c>
      <c r="AA553" s="0" t="n">
        <f aca="true">IF('Reverse Search'!$C$14="Disable",1,IF('Reverse Search'!$I$16="Disable",1,IF($D$2=3,IF($M553=0,0,COUNTIF(INDIRECT("'0.0.2 Pokémon Learnset (Core)'!$D$"&amp;MATCH($E553,'0.0.2 Pokémon Learnset (Core)'!$A$1:$A951,0)&amp;":$FK$"&amp;MATCH($E553,'0.0.2 Pokémon Learnset (Core)'!$A$1:$A951,0)),'Reverse Search'!$J$21)),IF($D$2=2,COUNTIF(INDIRECT("'0.1.1 Pokémon GO Moves'!$B$"&amp;MATCH($E553,'0.1.1 Pokémon GO Moves'!$A$1:$A951,0)&amp;":$R$"&amp;MATCH($E553,'0.1.1 Pokémon GO Moves'!$A$1:$A951,0)),'Reverse Search'!$J$21),COUNTIF(INDIRECT("'0.1.1 Pokémon GO Moves'!$B$"&amp;MATCH($E553,'0.1.1 Pokémon GO Moves'!$A$1:$A951,0)&amp;":$L$"&amp;MATCH($E553,'0.1.1 Pokémon GO Moves'!$A$1:$A951,0)),'Reverse Search'!$J$21)))))</f>
        <v>0</v>
      </c>
      <c r="AB553" s="490"/>
      <c r="AC553" s="260" t="n">
        <f aca="false">IF((Q553+R553+S553+V553+W553+X553+Y553+IF(Z553&gt;=1,1,0)+IF(AA553&gt;=1,1,0))=9,G553&amp;", ",)</f>
        <v>0</v>
      </c>
    </row>
    <row r="554" customFormat="false" ht="15.75" hidden="false" customHeight="false" outlineLevel="0" collapsed="false">
      <c r="A554" s="260"/>
      <c r="B554" s="358"/>
      <c r="C554" s="260"/>
      <c r="D554" s="358"/>
      <c r="E554" s="260" t="n">
        <v>553</v>
      </c>
      <c r="F554" s="260" t="n">
        <f aca="false" t="array" ref="F554:F554">INDEX('0.0.1 Pokémon Dex Data'!$H$3:$H951,MATCH(E554,'0.0.1 Pokémon Dex Data'!$B$3:$B951,0))</f>
        <v>0</v>
      </c>
      <c r="G554" s="0" t="str">
        <f aca="false" t="array" ref="G554:G554">INDEX('0.0.1 Pokémon Dex Data'!$E$3:$E951,MATCH(E554,'0.0.1 Pokémon Dex Data'!$B$3:$B951,0))</f>
        <v>Rotom</v>
      </c>
      <c r="H554" s="0" t="str">
        <f aca="false" t="array" ref="H554:H554">INDEX('0.0.1 Pokémon Dex Data'!$Q$3:$Q951,MATCH(E554,'0.0.1 Pokémon Dex Data'!$B$3:$B951,0))</f>
        <v>Electric</v>
      </c>
      <c r="I554" s="0" t="str">
        <f aca="false" t="array" ref="I554:I554">INDEX('0.0.1 Pokémon Dex Data'!$R$3:$R951,MATCH(E554,'0.0.1 Pokémon Dex Data'!$B$3:$B951,0))</f>
        <v>Ghost</v>
      </c>
      <c r="J554" s="260" t="n">
        <f aca="false" t="array" ref="J554:J554">ROUND(INDEX('0.0.1 Pokémon Dex Data'!$S$3:$S951,MATCH($E554,'0.0.1 Pokémon Dex Data'!$B$3:$B951,0))*INDEX('0.0.1 Pokémon Dex Data'!T$3:T951,MATCH($E554,'0.0.1 Pokémon Dex Data'!$B$3:$B951,0)),0)</f>
        <v>185</v>
      </c>
      <c r="K554" s="260" t="n">
        <f aca="false" t="array" ref="K554:K554">ROUND(INDEX('0.0.1 Pokémon Dex Data'!$S$3:$S951,MATCH($E554,'0.0.1 Pokémon Dex Data'!$B$3:$B951,0))*INDEX('0.0.1 Pokémon Dex Data'!U$3:U951,MATCH($E554,'0.0.1 Pokémon Dex Data'!$B$3:$B951,0)),0)</f>
        <v>159</v>
      </c>
      <c r="L554" s="260" t="n">
        <f aca="false" t="array" ref="L554:L554">ROUND(INDEX('0.0.1 Pokémon Dex Data'!$S$3:$S951,MATCH($E554,'0.0.1 Pokémon Dex Data'!$B$3:$B951,0))*INDEX('0.0.1 Pokémon Dex Data'!V$3:V951,MATCH($E554,'0.0.1 Pokémon Dex Data'!$B$3:$B951,0)),0)</f>
        <v>137</v>
      </c>
      <c r="M554" s="260" t="n">
        <f aca="false" t="array" ref="M554:M554">INDEX('0.0.1 Pokémon Dex Data'!$J$3:$J951,MATCH(E554,'0.0.1 Pokémon Dex Data'!$B$3:$B951,0))</f>
        <v>1</v>
      </c>
      <c r="O554" s="490"/>
      <c r="Q554" s="367" t="n">
        <f aca="false">IF('Reverse Search'!$F$4="All (including temporary formes)",1,IF('Reverse Search'!$F$4="Base Pokémon and permanent formes only",IF(F554&lt;=1,1,0),IF(F554=0,1,0)))</f>
        <v>1</v>
      </c>
      <c r="R554" s="0" t="n">
        <f aca="false">IF('Reverse Search'!$C$7="Disable",1,IF('Reverse Search'!$D$9="Disable",1,IF(OR('Reverse Search'!$F$9=H554,'Reverse Search'!$F$9=I554),1,0)))</f>
        <v>1</v>
      </c>
      <c r="S554" s="0" t="n">
        <f aca="false">IF('Reverse Search'!$C$7="Disable",1,IF('Reverse Search'!$D$10="Disable",1,IF(OR('Reverse Search'!$F$10=H554,'Reverse Search'!$F$10=I554),1,0)))</f>
        <v>1</v>
      </c>
      <c r="T554" s="0" t="n">
        <f aca="false">INDEX($B$4:$B$22,MATCH(H554,$A$4:$A$22,0))</f>
        <v>1</v>
      </c>
      <c r="U554" s="0" t="n">
        <f aca="false">IF(ISBLANK(I554),1,INDEX($B$4:$B$22,MATCH(I554,$A$4:$A$22,0)))</f>
        <v>0.51</v>
      </c>
      <c r="V554" s="367" t="n">
        <f aca="false">IF('Reverse Search'!$C$7="Disable",1,IF('Reverse Search'!$D$11="Disable",1,IF('Reverse Search'!$E$11="Neutral to:",IF(ROUND(T554*U554,2)&lt;=1,1,0),IF(ROUND(T554*U554,2)&lt;1,1,0))))</f>
        <v>1</v>
      </c>
      <c r="W554" s="0" t="n">
        <f aca="false">IF('Reverse Search'!$N$7="Disable",1,IF('Reverse Search'!$I$9="Disable",1,IF('Reverse Search'!$K$9="≥",IF(J554&gt;='Reverse Search'!$L$9,1,0),IF('Reverse Search'!$K$9="≤",IF(J554&lt;='Reverse Search'!$L$9,1,0),IF(J554='Reverse Search'!$L$9,1,0)))))</f>
        <v>1</v>
      </c>
      <c r="X554" s="0" t="n">
        <f aca="false">IF('Reverse Search'!$N$7="Disable",1,IF('Reverse Search'!$I$10="Disable",1,IF('Reverse Search'!$K$10="≥",IF(K554&gt;='Reverse Search'!$L$10,1,0),IF('Reverse Search'!$K$10="≤",IF(K554&lt;='Reverse Search'!$L$10,1,0),IF(K554='Reverse Search'!$L$10,1,0)))))</f>
        <v>1</v>
      </c>
      <c r="Y554" s="367" t="n">
        <f aca="false">IF('Reverse Search'!$N$7="Disable",1,IF('Reverse Search'!$I$11="Disable",1,IF('Reverse Search'!$K$11="≥",IF(L554&gt;='Reverse Search'!$L$11,1,0),IF('Reverse Search'!$K$11="≤",IF(L554&lt;='Reverse Search'!$L$11,1,0),IF(L554='Reverse Search'!$L$11,1,0)))))</f>
        <v>1</v>
      </c>
      <c r="Z554" s="0" t="n">
        <f aca="true">IF('Reverse Search'!$C$14="Disable",1,IF('Reverse Search'!$D$16="Disable",1,IF($C$2=3,IF($M554=0,0,COUNTIF(INDIRECT("'0.0.2 Pokémon Learnset (Core)'!$D$"&amp;MATCH($E554,'0.0.2 Pokémon Learnset (Core)'!$A$1:$A951,0)&amp;":$FK$"&amp;MATCH($E554,'0.0.2 Pokémon Learnset (Core)'!$A$1:$A951,0)),'Reverse Search'!$E$21)),IF($C$2=2,COUNTIF(INDIRECT("'0.1.1 Pokémon GO Moves'!$B$"&amp;MATCH($E554,'0.1.1 Pokémon GO Moves'!$A$1:$A951,0)&amp;":$R$"&amp;MATCH($E554,'0.1.1 Pokémon GO Moves'!$A$1:$A951,0)),'Reverse Search'!$E$21),COUNTIF(INDIRECT("'0.1.1 Pokémon GO Moves'!$B$"&amp;MATCH($E554,'0.1.1 Pokémon GO Moves'!$A$1:$A951,0)&amp;":$L$"&amp;MATCH($E554,'0.1.1 Pokémon GO Moves'!$A$1:$A951,0)),'Reverse Search'!$E$21)))))</f>
        <v>1</v>
      </c>
      <c r="AA554" s="0" t="n">
        <f aca="true">IF('Reverse Search'!$C$14="Disable",1,IF('Reverse Search'!$I$16="Disable",1,IF($D$2=3,IF($M554=0,0,COUNTIF(INDIRECT("'0.0.2 Pokémon Learnset (Core)'!$D$"&amp;MATCH($E554,'0.0.2 Pokémon Learnset (Core)'!$A$1:$A951,0)&amp;":$FK$"&amp;MATCH($E554,'0.0.2 Pokémon Learnset (Core)'!$A$1:$A951,0)),'Reverse Search'!$J$21)),IF($D$2=2,COUNTIF(INDIRECT("'0.1.1 Pokémon GO Moves'!$B$"&amp;MATCH($E554,'0.1.1 Pokémon GO Moves'!$A$1:$A951,0)&amp;":$R$"&amp;MATCH($E554,'0.1.1 Pokémon GO Moves'!$A$1:$A951,0)),'Reverse Search'!$J$21),COUNTIF(INDIRECT("'0.1.1 Pokémon GO Moves'!$B$"&amp;MATCH($E554,'0.1.1 Pokémon GO Moves'!$A$1:$A951,0)&amp;":$L$"&amp;MATCH($E554,'0.1.1 Pokémon GO Moves'!$A$1:$A951,0)),'Reverse Search'!$J$21)))))</f>
        <v>0</v>
      </c>
      <c r="AB554" s="490"/>
      <c r="AC554" s="260" t="n">
        <f aca="false">IF((Q554+R554+S554+V554+W554+X554+Y554+IF(Z554&gt;=1,1,0)+IF(AA554&gt;=1,1,0))=9,G554&amp;", ",)</f>
        <v>0</v>
      </c>
    </row>
    <row r="555" customFormat="false" ht="15.75" hidden="false" customHeight="false" outlineLevel="0" collapsed="false">
      <c r="A555" s="260"/>
      <c r="B555" s="358"/>
      <c r="C555" s="260"/>
      <c r="D555" s="358"/>
      <c r="E555" s="260" t="n">
        <v>554</v>
      </c>
      <c r="F555" s="260" t="n">
        <f aca="false" t="array" ref="F555:F555">INDEX('0.0.1 Pokémon Dex Data'!$H$3:$H951,MATCH(E555,'0.0.1 Pokémon Dex Data'!$B$3:$B951,0))</f>
        <v>1</v>
      </c>
      <c r="G555" s="0" t="str">
        <f aca="false" t="array" ref="G555:G555">INDEX('0.0.1 Pokémon Dex Data'!$E$3:$E951,MATCH(E555,'0.0.1 Pokémon Dex Data'!$B$3:$B951,0))</f>
        <v>Rotom-Heat</v>
      </c>
      <c r="H555" s="0" t="str">
        <f aca="false" t="array" ref="H555:H555">INDEX('0.0.1 Pokémon Dex Data'!$Q$3:$Q951,MATCH(E555,'0.0.1 Pokémon Dex Data'!$B$3:$B951,0))</f>
        <v>Electric</v>
      </c>
      <c r="I555" s="0" t="str">
        <f aca="false" t="array" ref="I555:I555">INDEX('0.0.1 Pokémon Dex Data'!$R$3:$R951,MATCH(E555,'0.0.1 Pokémon Dex Data'!$B$3:$B951,0))</f>
        <v>Fire</v>
      </c>
      <c r="J555" s="260" t="n">
        <f aca="false" t="array" ref="J555:J555">ROUND(INDEX('0.0.1 Pokémon Dex Data'!$S$3:$S951,MATCH($E555,'0.0.1 Pokémon Dex Data'!$B$3:$B951,0))*INDEX('0.0.1 Pokémon Dex Data'!T$3:T951,MATCH($E555,'0.0.1 Pokémon Dex Data'!$B$3:$B951,0)),0)</f>
        <v>204</v>
      </c>
      <c r="K555" s="260" t="n">
        <f aca="false" t="array" ref="K555:K555">ROUND(INDEX('0.0.1 Pokémon Dex Data'!$S$3:$S951,MATCH($E555,'0.0.1 Pokémon Dex Data'!$B$3:$B951,0))*INDEX('0.0.1 Pokémon Dex Data'!U$3:U951,MATCH($E555,'0.0.1 Pokémon Dex Data'!$B$3:$B951,0)),0)</f>
        <v>219</v>
      </c>
      <c r="L555" s="260" t="n">
        <f aca="false" t="array" ref="L555:L555">ROUND(INDEX('0.0.1 Pokémon Dex Data'!$S$3:$S951,MATCH($E555,'0.0.1 Pokémon Dex Data'!$B$3:$B951,0))*INDEX('0.0.1 Pokémon Dex Data'!V$3:V951,MATCH($E555,'0.0.1 Pokémon Dex Data'!$B$3:$B951,0)),0)</f>
        <v>137</v>
      </c>
      <c r="M555" s="260" t="n">
        <f aca="false" t="array" ref="M555:M555">INDEX('0.0.1 Pokémon Dex Data'!$J$3:$J951,MATCH(E555,'0.0.1 Pokémon Dex Data'!$B$3:$B951,0))</f>
        <v>1</v>
      </c>
      <c r="O555" s="490"/>
      <c r="Q555" s="367" t="n">
        <f aca="false">IF('Reverse Search'!$F$4="All (including temporary formes)",1,IF('Reverse Search'!$F$4="Base Pokémon and permanent formes only",IF(F555&lt;=1,1,0),IF(F555=0,1,0)))</f>
        <v>0</v>
      </c>
      <c r="R555" s="0" t="n">
        <f aca="false">IF('Reverse Search'!$C$7="Disable",1,IF('Reverse Search'!$D$9="Disable",1,IF(OR('Reverse Search'!$F$9=H555,'Reverse Search'!$F$9=I555),1,0)))</f>
        <v>1</v>
      </c>
      <c r="S555" s="0" t="n">
        <f aca="false">IF('Reverse Search'!$C$7="Disable",1,IF('Reverse Search'!$D$10="Disable",1,IF(OR('Reverse Search'!$F$10=H555,'Reverse Search'!$F$10=I555),1,0)))</f>
        <v>1</v>
      </c>
      <c r="T555" s="0" t="n">
        <f aca="false">INDEX($B$4:$B$22,MATCH(H555,$A$4:$A$22,0))</f>
        <v>1</v>
      </c>
      <c r="U555" s="0" t="n">
        <f aca="false">IF(ISBLANK(I555),1,INDEX($B$4:$B$22,MATCH(I555,$A$4:$A$22,0)))</f>
        <v>1</v>
      </c>
      <c r="V555" s="367" t="n">
        <f aca="false">IF('Reverse Search'!$C$7="Disable",1,IF('Reverse Search'!$D$11="Disable",1,IF('Reverse Search'!$E$11="Neutral to:",IF(ROUND(T555*U555,2)&lt;=1,1,0),IF(ROUND(T555*U555,2)&lt;1,1,0))))</f>
        <v>1</v>
      </c>
      <c r="W555" s="0" t="n">
        <f aca="false">IF('Reverse Search'!$N$7="Disable",1,IF('Reverse Search'!$I$9="Disable",1,IF('Reverse Search'!$K$9="≥",IF(J555&gt;='Reverse Search'!$L$9,1,0),IF('Reverse Search'!$K$9="≤",IF(J555&lt;='Reverse Search'!$L$9,1,0),IF(J555='Reverse Search'!$L$9,1,0)))))</f>
        <v>1</v>
      </c>
      <c r="X555" s="0" t="n">
        <f aca="false">IF('Reverse Search'!$N$7="Disable",1,IF('Reverse Search'!$I$10="Disable",1,IF('Reverse Search'!$K$10="≥",IF(K555&gt;='Reverse Search'!$L$10,1,0),IF('Reverse Search'!$K$10="≤",IF(K555&lt;='Reverse Search'!$L$10,1,0),IF(K555='Reverse Search'!$L$10,1,0)))))</f>
        <v>1</v>
      </c>
      <c r="Y555" s="367" t="n">
        <f aca="false">IF('Reverse Search'!$N$7="Disable",1,IF('Reverse Search'!$I$11="Disable",1,IF('Reverse Search'!$K$11="≥",IF(L555&gt;='Reverse Search'!$L$11,1,0),IF('Reverse Search'!$K$11="≤",IF(L555&lt;='Reverse Search'!$L$11,1,0),IF(L555='Reverse Search'!$L$11,1,0)))))</f>
        <v>1</v>
      </c>
      <c r="Z555" s="0" t="n">
        <f aca="true">IF('Reverse Search'!$C$14="Disable",1,IF('Reverse Search'!$D$16="Disable",1,IF($C$2=3,IF($M555=0,0,COUNTIF(INDIRECT("'0.0.2 Pokémon Learnset (Core)'!$D$"&amp;MATCH($E555,'0.0.2 Pokémon Learnset (Core)'!$A$1:$A951,0)&amp;":$FK$"&amp;MATCH($E555,'0.0.2 Pokémon Learnset (Core)'!$A$1:$A951,0)),'Reverse Search'!$E$21)),IF($C$2=2,COUNTIF(INDIRECT("'0.1.1 Pokémon GO Moves'!$B$"&amp;MATCH($E555,'0.1.1 Pokémon GO Moves'!$A$1:$A951,0)&amp;":$R$"&amp;MATCH($E555,'0.1.1 Pokémon GO Moves'!$A$1:$A951,0)),'Reverse Search'!$E$21),COUNTIF(INDIRECT("'0.1.1 Pokémon GO Moves'!$B$"&amp;MATCH($E555,'0.1.1 Pokémon GO Moves'!$A$1:$A951,0)&amp;":$L$"&amp;MATCH($E555,'0.1.1 Pokémon GO Moves'!$A$1:$A951,0)),'Reverse Search'!$E$21)))))</f>
        <v>1</v>
      </c>
      <c r="AA555" s="0" t="e">
        <f aca="true">IF('Reverse Search'!$C$14="Disable",1,IF('Reverse Search'!$I$16="Disable",1,IF($D$2=3,IF($M555=0,0,COUNTIF(INDIRECT("'0.0.2 Pokémon Learnset (Core)'!$D$"&amp;MATCH($E555,'0.0.2 Pokémon Learnset (Core)'!$A$1:$A951,0)&amp;":$FK$"&amp;MATCH($E555,'0.0.2 Pokémon Learnset (Core)'!$A$1:$A951,0)),'Reverse Search'!$J$21)),IF($D$2=2,COUNTIF(INDIRECT("'0.1.1 Pokémon GO Moves'!$B$"&amp;MATCH($E555,'0.1.1 Pokémon GO Moves'!$A$1:$A951,0)&amp;":$R$"&amp;MATCH($E555,'0.1.1 Pokémon GO Moves'!$A$1:$A951,0)),'Reverse Search'!$J$21),COUNTIF(INDIRECT("'0.1.1 Pokémon GO Moves'!$B$"&amp;MATCH($E555,'0.1.1 Pokémon GO Moves'!$A$1:$A951,0)&amp;":$L$"&amp;MATCH($E555,'0.1.1 Pokémon GO Moves'!$A$1:$A951,0)),'Reverse Search'!$J$21)))))</f>
        <v>#N/A</v>
      </c>
      <c r="AB555" s="490"/>
      <c r="AC555" s="260" t="e">
        <f aca="false">IF((Q555+R555+S555+V555+W555+X555+Y555+IF(Z555&gt;=1,1,0)+IF(AA555&gt;=1,1,0))=9,G555&amp;", ",)</f>
        <v>#N/A</v>
      </c>
    </row>
    <row r="556" customFormat="false" ht="15.75" hidden="false" customHeight="false" outlineLevel="0" collapsed="false">
      <c r="A556" s="260"/>
      <c r="B556" s="358"/>
      <c r="C556" s="260"/>
      <c r="D556" s="358"/>
      <c r="E556" s="260" t="n">
        <v>555</v>
      </c>
      <c r="F556" s="260" t="n">
        <f aca="false" t="array" ref="F556:F556">INDEX('0.0.1 Pokémon Dex Data'!$H$3:$H951,MATCH(E556,'0.0.1 Pokémon Dex Data'!$B$3:$B951,0))</f>
        <v>1</v>
      </c>
      <c r="G556" s="0" t="str">
        <f aca="false" t="array" ref="G556:G556">INDEX('0.0.1 Pokémon Dex Data'!$E$3:$E951,MATCH(E556,'0.0.1 Pokémon Dex Data'!$B$3:$B951,0))</f>
        <v>Rotom-Wash</v>
      </c>
      <c r="H556" s="0" t="str">
        <f aca="false" t="array" ref="H556:H556">INDEX('0.0.1 Pokémon Dex Data'!$Q$3:$Q951,MATCH(E556,'0.0.1 Pokémon Dex Data'!$B$3:$B951,0))</f>
        <v>Electric</v>
      </c>
      <c r="I556" s="0" t="str">
        <f aca="false" t="array" ref="I556:I556">INDEX('0.0.1 Pokémon Dex Data'!$R$3:$R951,MATCH(E556,'0.0.1 Pokémon Dex Data'!$B$3:$B951,0))</f>
        <v>Water</v>
      </c>
      <c r="J556" s="260" t="n">
        <f aca="false" t="array" ref="J556:J556">ROUND(INDEX('0.0.1 Pokémon Dex Data'!$S$3:$S951,MATCH($E556,'0.0.1 Pokémon Dex Data'!$B$3:$B951,0))*INDEX('0.0.1 Pokémon Dex Data'!T$3:T951,MATCH($E556,'0.0.1 Pokémon Dex Data'!$B$3:$B951,0)),0)</f>
        <v>204</v>
      </c>
      <c r="K556" s="260" t="n">
        <f aca="false" t="array" ref="K556:K556">ROUND(INDEX('0.0.1 Pokémon Dex Data'!$S$3:$S951,MATCH($E556,'0.0.1 Pokémon Dex Data'!$B$3:$B951,0))*INDEX('0.0.1 Pokémon Dex Data'!U$3:U951,MATCH($E556,'0.0.1 Pokémon Dex Data'!$B$3:$B951,0)),0)</f>
        <v>219</v>
      </c>
      <c r="L556" s="260" t="n">
        <f aca="false" t="array" ref="L556:L556">ROUND(INDEX('0.0.1 Pokémon Dex Data'!$S$3:$S951,MATCH($E556,'0.0.1 Pokémon Dex Data'!$B$3:$B951,0))*INDEX('0.0.1 Pokémon Dex Data'!V$3:V951,MATCH($E556,'0.0.1 Pokémon Dex Data'!$B$3:$B951,0)),0)</f>
        <v>137</v>
      </c>
      <c r="M556" s="260" t="n">
        <f aca="false" t="array" ref="M556:M556">INDEX('0.0.1 Pokémon Dex Data'!$J$3:$J951,MATCH(E556,'0.0.1 Pokémon Dex Data'!$B$3:$B951,0))</f>
        <v>1</v>
      </c>
      <c r="O556" s="490"/>
      <c r="Q556" s="367" t="n">
        <f aca="false">IF('Reverse Search'!$F$4="All (including temporary formes)",1,IF('Reverse Search'!$F$4="Base Pokémon and permanent formes only",IF(F556&lt;=1,1,0),IF(F556=0,1,0)))</f>
        <v>0</v>
      </c>
      <c r="R556" s="0" t="n">
        <f aca="false">IF('Reverse Search'!$C$7="Disable",1,IF('Reverse Search'!$D$9="Disable",1,IF(OR('Reverse Search'!$F$9=H556,'Reverse Search'!$F$9=I556),1,0)))</f>
        <v>1</v>
      </c>
      <c r="S556" s="0" t="n">
        <f aca="false">IF('Reverse Search'!$C$7="Disable",1,IF('Reverse Search'!$D$10="Disable",1,IF(OR('Reverse Search'!$F$10=H556,'Reverse Search'!$F$10=I556),1,0)))</f>
        <v>1</v>
      </c>
      <c r="T556" s="0" t="n">
        <f aca="false">INDEX($B$4:$B$22,MATCH(H556,$A$4:$A$22,0))</f>
        <v>1</v>
      </c>
      <c r="U556" s="0" t="n">
        <f aca="false">IF(ISBLANK(I556),1,INDEX($B$4:$B$22,MATCH(I556,$A$4:$A$22,0)))</f>
        <v>1</v>
      </c>
      <c r="V556" s="367" t="n">
        <f aca="false">IF('Reverse Search'!$C$7="Disable",1,IF('Reverse Search'!$D$11="Disable",1,IF('Reverse Search'!$E$11="Neutral to:",IF(ROUND(T556*U556,2)&lt;=1,1,0),IF(ROUND(T556*U556,2)&lt;1,1,0))))</f>
        <v>1</v>
      </c>
      <c r="W556" s="0" t="n">
        <f aca="false">IF('Reverse Search'!$N$7="Disable",1,IF('Reverse Search'!$I$9="Disable",1,IF('Reverse Search'!$K$9="≥",IF(J556&gt;='Reverse Search'!$L$9,1,0),IF('Reverse Search'!$K$9="≤",IF(J556&lt;='Reverse Search'!$L$9,1,0),IF(J556='Reverse Search'!$L$9,1,0)))))</f>
        <v>1</v>
      </c>
      <c r="X556" s="0" t="n">
        <f aca="false">IF('Reverse Search'!$N$7="Disable",1,IF('Reverse Search'!$I$10="Disable",1,IF('Reverse Search'!$K$10="≥",IF(K556&gt;='Reverse Search'!$L$10,1,0),IF('Reverse Search'!$K$10="≤",IF(K556&lt;='Reverse Search'!$L$10,1,0),IF(K556='Reverse Search'!$L$10,1,0)))))</f>
        <v>1</v>
      </c>
      <c r="Y556" s="367" t="n">
        <f aca="false">IF('Reverse Search'!$N$7="Disable",1,IF('Reverse Search'!$I$11="Disable",1,IF('Reverse Search'!$K$11="≥",IF(L556&gt;='Reverse Search'!$L$11,1,0),IF('Reverse Search'!$K$11="≤",IF(L556&lt;='Reverse Search'!$L$11,1,0),IF(L556='Reverse Search'!$L$11,1,0)))))</f>
        <v>1</v>
      </c>
      <c r="Z556" s="0" t="n">
        <f aca="true">IF('Reverse Search'!$C$14="Disable",1,IF('Reverse Search'!$D$16="Disable",1,IF($C$2=3,IF($M556=0,0,COUNTIF(INDIRECT("'0.0.2 Pokémon Learnset (Core)'!$D$"&amp;MATCH($E556,'0.0.2 Pokémon Learnset (Core)'!$A$1:$A951,0)&amp;":$FK$"&amp;MATCH($E556,'0.0.2 Pokémon Learnset (Core)'!$A$1:$A951,0)),'Reverse Search'!$E$21)),IF($C$2=2,COUNTIF(INDIRECT("'0.1.1 Pokémon GO Moves'!$B$"&amp;MATCH($E556,'0.1.1 Pokémon GO Moves'!$A$1:$A951,0)&amp;":$R$"&amp;MATCH($E556,'0.1.1 Pokémon GO Moves'!$A$1:$A951,0)),'Reverse Search'!$E$21),COUNTIF(INDIRECT("'0.1.1 Pokémon GO Moves'!$B$"&amp;MATCH($E556,'0.1.1 Pokémon GO Moves'!$A$1:$A951,0)&amp;":$L$"&amp;MATCH($E556,'0.1.1 Pokémon GO Moves'!$A$1:$A951,0)),'Reverse Search'!$E$21)))))</f>
        <v>1</v>
      </c>
      <c r="AA556" s="0" t="e">
        <f aca="true">IF('Reverse Search'!$C$14="Disable",1,IF('Reverse Search'!$I$16="Disable",1,IF($D$2=3,IF($M556=0,0,COUNTIF(INDIRECT("'0.0.2 Pokémon Learnset (Core)'!$D$"&amp;MATCH($E556,'0.0.2 Pokémon Learnset (Core)'!$A$1:$A951,0)&amp;":$FK$"&amp;MATCH($E556,'0.0.2 Pokémon Learnset (Core)'!$A$1:$A951,0)),'Reverse Search'!$J$21)),IF($D$2=2,COUNTIF(INDIRECT("'0.1.1 Pokémon GO Moves'!$B$"&amp;MATCH($E556,'0.1.1 Pokémon GO Moves'!$A$1:$A951,0)&amp;":$R$"&amp;MATCH($E556,'0.1.1 Pokémon GO Moves'!$A$1:$A951,0)),'Reverse Search'!$J$21),COUNTIF(INDIRECT("'0.1.1 Pokémon GO Moves'!$B$"&amp;MATCH($E556,'0.1.1 Pokémon GO Moves'!$A$1:$A951,0)&amp;":$L$"&amp;MATCH($E556,'0.1.1 Pokémon GO Moves'!$A$1:$A951,0)),'Reverse Search'!$J$21)))))</f>
        <v>#N/A</v>
      </c>
      <c r="AB556" s="490"/>
      <c r="AC556" s="260" t="e">
        <f aca="false">IF((Q556+R556+S556+V556+W556+X556+Y556+IF(Z556&gt;=1,1,0)+IF(AA556&gt;=1,1,0))=9,G556&amp;", ",)</f>
        <v>#N/A</v>
      </c>
    </row>
    <row r="557" customFormat="false" ht="15.75" hidden="false" customHeight="false" outlineLevel="0" collapsed="false">
      <c r="A557" s="260"/>
      <c r="B557" s="358"/>
      <c r="C557" s="260"/>
      <c r="D557" s="358"/>
      <c r="E557" s="260" t="n">
        <v>556</v>
      </c>
      <c r="F557" s="260" t="n">
        <f aca="false" t="array" ref="F557:F557">INDEX('0.0.1 Pokémon Dex Data'!$H$3:$H951,MATCH(E557,'0.0.1 Pokémon Dex Data'!$B$3:$B951,0))</f>
        <v>1</v>
      </c>
      <c r="G557" s="0" t="str">
        <f aca="false" t="array" ref="G557:G557">INDEX('0.0.1 Pokémon Dex Data'!$E$3:$E951,MATCH(E557,'0.0.1 Pokémon Dex Data'!$B$3:$B951,0))</f>
        <v>Rotom-Frost</v>
      </c>
      <c r="H557" s="0" t="str">
        <f aca="false" t="array" ref="H557:H557">INDEX('0.0.1 Pokémon Dex Data'!$Q$3:$Q951,MATCH(E557,'0.0.1 Pokémon Dex Data'!$B$3:$B951,0))</f>
        <v>Electric</v>
      </c>
      <c r="I557" s="0" t="str">
        <f aca="false" t="array" ref="I557:I557">INDEX('0.0.1 Pokémon Dex Data'!$R$3:$R951,MATCH(E557,'0.0.1 Pokémon Dex Data'!$B$3:$B951,0))</f>
        <v>Ice</v>
      </c>
      <c r="J557" s="260" t="n">
        <f aca="false" t="array" ref="J557:J557">ROUND(INDEX('0.0.1 Pokémon Dex Data'!$S$3:$S951,MATCH($E557,'0.0.1 Pokémon Dex Data'!$B$3:$B951,0))*INDEX('0.0.1 Pokémon Dex Data'!T$3:T951,MATCH($E557,'0.0.1 Pokémon Dex Data'!$B$3:$B951,0)),0)</f>
        <v>204</v>
      </c>
      <c r="K557" s="260" t="n">
        <f aca="false" t="array" ref="K557:K557">ROUND(INDEX('0.0.1 Pokémon Dex Data'!$S$3:$S951,MATCH($E557,'0.0.1 Pokémon Dex Data'!$B$3:$B951,0))*INDEX('0.0.1 Pokémon Dex Data'!U$3:U951,MATCH($E557,'0.0.1 Pokémon Dex Data'!$B$3:$B951,0)),0)</f>
        <v>219</v>
      </c>
      <c r="L557" s="260" t="n">
        <f aca="false" t="array" ref="L557:L557">ROUND(INDEX('0.0.1 Pokémon Dex Data'!$S$3:$S951,MATCH($E557,'0.0.1 Pokémon Dex Data'!$B$3:$B951,0))*INDEX('0.0.1 Pokémon Dex Data'!V$3:V951,MATCH($E557,'0.0.1 Pokémon Dex Data'!$B$3:$B951,0)),0)</f>
        <v>137</v>
      </c>
      <c r="M557" s="260" t="n">
        <f aca="false" t="array" ref="M557:M557">INDEX('0.0.1 Pokémon Dex Data'!$J$3:$J951,MATCH(E557,'0.0.1 Pokémon Dex Data'!$B$3:$B951,0))</f>
        <v>1</v>
      </c>
      <c r="O557" s="490"/>
      <c r="Q557" s="367" t="n">
        <f aca="false">IF('Reverse Search'!$F$4="All (including temporary formes)",1,IF('Reverse Search'!$F$4="Base Pokémon and permanent formes only",IF(F557&lt;=1,1,0),IF(F557=0,1,0)))</f>
        <v>0</v>
      </c>
      <c r="R557" s="0" t="n">
        <f aca="false">IF('Reverse Search'!$C$7="Disable",1,IF('Reverse Search'!$D$9="Disable",1,IF(OR('Reverse Search'!$F$9=H557,'Reverse Search'!$F$9=I557),1,0)))</f>
        <v>1</v>
      </c>
      <c r="S557" s="0" t="n">
        <f aca="false">IF('Reverse Search'!$C$7="Disable",1,IF('Reverse Search'!$D$10="Disable",1,IF(OR('Reverse Search'!$F$10=H557,'Reverse Search'!$F$10=I557),1,0)))</f>
        <v>1</v>
      </c>
      <c r="T557" s="0" t="n">
        <f aca="false">INDEX($B$4:$B$22,MATCH(H557,$A$4:$A$22,0))</f>
        <v>1</v>
      </c>
      <c r="U557" s="0" t="n">
        <f aca="false">IF(ISBLANK(I557),1,INDEX($B$4:$B$22,MATCH(I557,$A$4:$A$22,0)))</f>
        <v>1</v>
      </c>
      <c r="V557" s="367" t="n">
        <f aca="false">IF('Reverse Search'!$C$7="Disable",1,IF('Reverse Search'!$D$11="Disable",1,IF('Reverse Search'!$E$11="Neutral to:",IF(ROUND(T557*U557,2)&lt;=1,1,0),IF(ROUND(T557*U557,2)&lt;1,1,0))))</f>
        <v>1</v>
      </c>
      <c r="W557" s="0" t="n">
        <f aca="false">IF('Reverse Search'!$N$7="Disable",1,IF('Reverse Search'!$I$9="Disable",1,IF('Reverse Search'!$K$9="≥",IF(J557&gt;='Reverse Search'!$L$9,1,0),IF('Reverse Search'!$K$9="≤",IF(J557&lt;='Reverse Search'!$L$9,1,0),IF(J557='Reverse Search'!$L$9,1,0)))))</f>
        <v>1</v>
      </c>
      <c r="X557" s="0" t="n">
        <f aca="false">IF('Reverse Search'!$N$7="Disable",1,IF('Reverse Search'!$I$10="Disable",1,IF('Reverse Search'!$K$10="≥",IF(K557&gt;='Reverse Search'!$L$10,1,0),IF('Reverse Search'!$K$10="≤",IF(K557&lt;='Reverse Search'!$L$10,1,0),IF(K557='Reverse Search'!$L$10,1,0)))))</f>
        <v>1</v>
      </c>
      <c r="Y557" s="367" t="n">
        <f aca="false">IF('Reverse Search'!$N$7="Disable",1,IF('Reverse Search'!$I$11="Disable",1,IF('Reverse Search'!$K$11="≥",IF(L557&gt;='Reverse Search'!$L$11,1,0),IF('Reverse Search'!$K$11="≤",IF(L557&lt;='Reverse Search'!$L$11,1,0),IF(L557='Reverse Search'!$L$11,1,0)))))</f>
        <v>1</v>
      </c>
      <c r="Z557" s="0" t="n">
        <f aca="true">IF('Reverse Search'!$C$14="Disable",1,IF('Reverse Search'!$D$16="Disable",1,IF($C$2=3,IF($M557=0,0,COUNTIF(INDIRECT("'0.0.2 Pokémon Learnset (Core)'!$D$"&amp;MATCH($E557,'0.0.2 Pokémon Learnset (Core)'!$A$1:$A951,0)&amp;":$FK$"&amp;MATCH($E557,'0.0.2 Pokémon Learnset (Core)'!$A$1:$A951,0)),'Reverse Search'!$E$21)),IF($C$2=2,COUNTIF(INDIRECT("'0.1.1 Pokémon GO Moves'!$B$"&amp;MATCH($E557,'0.1.1 Pokémon GO Moves'!$A$1:$A951,0)&amp;":$R$"&amp;MATCH($E557,'0.1.1 Pokémon GO Moves'!$A$1:$A951,0)),'Reverse Search'!$E$21),COUNTIF(INDIRECT("'0.1.1 Pokémon GO Moves'!$B$"&amp;MATCH($E557,'0.1.1 Pokémon GO Moves'!$A$1:$A951,0)&amp;":$L$"&amp;MATCH($E557,'0.1.1 Pokémon GO Moves'!$A$1:$A951,0)),'Reverse Search'!$E$21)))))</f>
        <v>1</v>
      </c>
      <c r="AA557" s="0" t="e">
        <f aca="true">IF('Reverse Search'!$C$14="Disable",1,IF('Reverse Search'!$I$16="Disable",1,IF($D$2=3,IF($M557=0,0,COUNTIF(INDIRECT("'0.0.2 Pokémon Learnset (Core)'!$D$"&amp;MATCH($E557,'0.0.2 Pokémon Learnset (Core)'!$A$1:$A951,0)&amp;":$FK$"&amp;MATCH($E557,'0.0.2 Pokémon Learnset (Core)'!$A$1:$A951,0)),'Reverse Search'!$J$21)),IF($D$2=2,COUNTIF(INDIRECT("'0.1.1 Pokémon GO Moves'!$B$"&amp;MATCH($E557,'0.1.1 Pokémon GO Moves'!$A$1:$A951,0)&amp;":$R$"&amp;MATCH($E557,'0.1.1 Pokémon GO Moves'!$A$1:$A951,0)),'Reverse Search'!$J$21),COUNTIF(INDIRECT("'0.1.1 Pokémon GO Moves'!$B$"&amp;MATCH($E557,'0.1.1 Pokémon GO Moves'!$A$1:$A951,0)&amp;":$L$"&amp;MATCH($E557,'0.1.1 Pokémon GO Moves'!$A$1:$A951,0)),'Reverse Search'!$J$21)))))</f>
        <v>#N/A</v>
      </c>
      <c r="AB557" s="490"/>
      <c r="AC557" s="260" t="e">
        <f aca="false">IF((Q557+R557+S557+V557+W557+X557+Y557+IF(Z557&gt;=1,1,0)+IF(AA557&gt;=1,1,0))=9,G557&amp;", ",)</f>
        <v>#N/A</v>
      </c>
    </row>
    <row r="558" customFormat="false" ht="15.75" hidden="false" customHeight="false" outlineLevel="0" collapsed="false">
      <c r="A558" s="260"/>
      <c r="B558" s="358"/>
      <c r="C558" s="260"/>
      <c r="D558" s="358"/>
      <c r="E558" s="260" t="n">
        <v>557</v>
      </c>
      <c r="F558" s="260" t="n">
        <f aca="false" t="array" ref="F558:F558">INDEX('0.0.1 Pokémon Dex Data'!$H$3:$H951,MATCH(E558,'0.0.1 Pokémon Dex Data'!$B$3:$B951,0))</f>
        <v>1</v>
      </c>
      <c r="G558" s="0" t="str">
        <f aca="false" t="array" ref="G558:G558">INDEX('0.0.1 Pokémon Dex Data'!$E$3:$E951,MATCH(E558,'0.0.1 Pokémon Dex Data'!$B$3:$B951,0))</f>
        <v>Rotom-Fan</v>
      </c>
      <c r="H558" s="0" t="str">
        <f aca="false" t="array" ref="H558:H558">INDEX('0.0.1 Pokémon Dex Data'!$Q$3:$Q951,MATCH(E558,'0.0.1 Pokémon Dex Data'!$B$3:$B951,0))</f>
        <v>Electric</v>
      </c>
      <c r="I558" s="0" t="str">
        <f aca="false" t="array" ref="I558:I558">INDEX('0.0.1 Pokémon Dex Data'!$R$3:$R951,MATCH(E558,'0.0.1 Pokémon Dex Data'!$B$3:$B951,0))</f>
        <v>Flying</v>
      </c>
      <c r="J558" s="260" t="n">
        <f aca="false" t="array" ref="J558:J558">ROUND(INDEX('0.0.1 Pokémon Dex Data'!$S$3:$S951,MATCH($E558,'0.0.1 Pokémon Dex Data'!$B$3:$B951,0))*INDEX('0.0.1 Pokémon Dex Data'!T$3:T951,MATCH($E558,'0.0.1 Pokémon Dex Data'!$B$3:$B951,0)),0)</f>
        <v>204</v>
      </c>
      <c r="K558" s="260" t="n">
        <f aca="false" t="array" ref="K558:K558">ROUND(INDEX('0.0.1 Pokémon Dex Data'!$S$3:$S951,MATCH($E558,'0.0.1 Pokémon Dex Data'!$B$3:$B951,0))*INDEX('0.0.1 Pokémon Dex Data'!U$3:U951,MATCH($E558,'0.0.1 Pokémon Dex Data'!$B$3:$B951,0)),0)</f>
        <v>219</v>
      </c>
      <c r="L558" s="260" t="n">
        <f aca="false" t="array" ref="L558:L558">ROUND(INDEX('0.0.1 Pokémon Dex Data'!$S$3:$S951,MATCH($E558,'0.0.1 Pokémon Dex Data'!$B$3:$B951,0))*INDEX('0.0.1 Pokémon Dex Data'!V$3:V951,MATCH($E558,'0.0.1 Pokémon Dex Data'!$B$3:$B951,0)),0)</f>
        <v>137</v>
      </c>
      <c r="M558" s="260" t="n">
        <f aca="false" t="array" ref="M558:M558">INDEX('0.0.1 Pokémon Dex Data'!$J$3:$J951,MATCH(E558,'0.0.1 Pokémon Dex Data'!$B$3:$B951,0))</f>
        <v>1</v>
      </c>
      <c r="O558" s="490"/>
      <c r="Q558" s="367" t="n">
        <f aca="false">IF('Reverse Search'!$F$4="All (including temporary formes)",1,IF('Reverse Search'!$F$4="Base Pokémon and permanent formes only",IF(F558&lt;=1,1,0),IF(F558=0,1,0)))</f>
        <v>0</v>
      </c>
      <c r="R558" s="0" t="n">
        <f aca="false">IF('Reverse Search'!$C$7="Disable",1,IF('Reverse Search'!$D$9="Disable",1,IF(OR('Reverse Search'!$F$9=H558,'Reverse Search'!$F$9=I558),1,0)))</f>
        <v>1</v>
      </c>
      <c r="S558" s="0" t="n">
        <f aca="false">IF('Reverse Search'!$C$7="Disable",1,IF('Reverse Search'!$D$10="Disable",1,IF(OR('Reverse Search'!$F$10=H558,'Reverse Search'!$F$10=I558),1,0)))</f>
        <v>1</v>
      </c>
      <c r="T558" s="0" t="n">
        <f aca="false">INDEX($B$4:$B$22,MATCH(H558,$A$4:$A$22,0))</f>
        <v>1</v>
      </c>
      <c r="U558" s="0" t="n">
        <f aca="false">IF(ISBLANK(I558),1,INDEX($B$4:$B$22,MATCH(I558,$A$4:$A$22,0)))</f>
        <v>1</v>
      </c>
      <c r="V558" s="367" t="n">
        <f aca="false">IF('Reverse Search'!$C$7="Disable",1,IF('Reverse Search'!$D$11="Disable",1,IF('Reverse Search'!$E$11="Neutral to:",IF(ROUND(T558*U558,2)&lt;=1,1,0),IF(ROUND(T558*U558,2)&lt;1,1,0))))</f>
        <v>1</v>
      </c>
      <c r="W558" s="0" t="n">
        <f aca="false">IF('Reverse Search'!$N$7="Disable",1,IF('Reverse Search'!$I$9="Disable",1,IF('Reverse Search'!$K$9="≥",IF(J558&gt;='Reverse Search'!$L$9,1,0),IF('Reverse Search'!$K$9="≤",IF(J558&lt;='Reverse Search'!$L$9,1,0),IF(J558='Reverse Search'!$L$9,1,0)))))</f>
        <v>1</v>
      </c>
      <c r="X558" s="0" t="n">
        <f aca="false">IF('Reverse Search'!$N$7="Disable",1,IF('Reverse Search'!$I$10="Disable",1,IF('Reverse Search'!$K$10="≥",IF(K558&gt;='Reverse Search'!$L$10,1,0),IF('Reverse Search'!$K$10="≤",IF(K558&lt;='Reverse Search'!$L$10,1,0),IF(K558='Reverse Search'!$L$10,1,0)))))</f>
        <v>1</v>
      </c>
      <c r="Y558" s="367" t="n">
        <f aca="false">IF('Reverse Search'!$N$7="Disable",1,IF('Reverse Search'!$I$11="Disable",1,IF('Reverse Search'!$K$11="≥",IF(L558&gt;='Reverse Search'!$L$11,1,0),IF('Reverse Search'!$K$11="≤",IF(L558&lt;='Reverse Search'!$L$11,1,0),IF(L558='Reverse Search'!$L$11,1,0)))))</f>
        <v>1</v>
      </c>
      <c r="Z558" s="0" t="n">
        <f aca="true">IF('Reverse Search'!$C$14="Disable",1,IF('Reverse Search'!$D$16="Disable",1,IF($C$2=3,IF($M558=0,0,COUNTIF(INDIRECT("'0.0.2 Pokémon Learnset (Core)'!$D$"&amp;MATCH($E558,'0.0.2 Pokémon Learnset (Core)'!$A$1:$A951,0)&amp;":$FK$"&amp;MATCH($E558,'0.0.2 Pokémon Learnset (Core)'!$A$1:$A951,0)),'Reverse Search'!$E$21)),IF($C$2=2,COUNTIF(INDIRECT("'0.1.1 Pokémon GO Moves'!$B$"&amp;MATCH($E558,'0.1.1 Pokémon GO Moves'!$A$1:$A951,0)&amp;":$R$"&amp;MATCH($E558,'0.1.1 Pokémon GO Moves'!$A$1:$A951,0)),'Reverse Search'!$E$21),COUNTIF(INDIRECT("'0.1.1 Pokémon GO Moves'!$B$"&amp;MATCH($E558,'0.1.1 Pokémon GO Moves'!$A$1:$A951,0)&amp;":$L$"&amp;MATCH($E558,'0.1.1 Pokémon GO Moves'!$A$1:$A951,0)),'Reverse Search'!$E$21)))))</f>
        <v>1</v>
      </c>
      <c r="AA558" s="0" t="e">
        <f aca="true">IF('Reverse Search'!$C$14="Disable",1,IF('Reverse Search'!$I$16="Disable",1,IF($D$2=3,IF($M558=0,0,COUNTIF(INDIRECT("'0.0.2 Pokémon Learnset (Core)'!$D$"&amp;MATCH($E558,'0.0.2 Pokémon Learnset (Core)'!$A$1:$A951,0)&amp;":$FK$"&amp;MATCH($E558,'0.0.2 Pokémon Learnset (Core)'!$A$1:$A951,0)),'Reverse Search'!$J$21)),IF($D$2=2,COUNTIF(INDIRECT("'0.1.1 Pokémon GO Moves'!$B$"&amp;MATCH($E558,'0.1.1 Pokémon GO Moves'!$A$1:$A951,0)&amp;":$R$"&amp;MATCH($E558,'0.1.1 Pokémon GO Moves'!$A$1:$A951,0)),'Reverse Search'!$J$21),COUNTIF(INDIRECT("'0.1.1 Pokémon GO Moves'!$B$"&amp;MATCH($E558,'0.1.1 Pokémon GO Moves'!$A$1:$A951,0)&amp;":$L$"&amp;MATCH($E558,'0.1.1 Pokémon GO Moves'!$A$1:$A951,0)),'Reverse Search'!$J$21)))))</f>
        <v>#N/A</v>
      </c>
      <c r="AB558" s="490"/>
      <c r="AC558" s="260" t="e">
        <f aca="false">IF((Q558+R558+S558+V558+W558+X558+Y558+IF(Z558&gt;=1,1,0)+IF(AA558&gt;=1,1,0))=9,G558&amp;", ",)</f>
        <v>#N/A</v>
      </c>
    </row>
    <row r="559" customFormat="false" ht="15.75" hidden="false" customHeight="false" outlineLevel="0" collapsed="false">
      <c r="A559" s="260"/>
      <c r="B559" s="358"/>
      <c r="C559" s="260"/>
      <c r="D559" s="358"/>
      <c r="E559" s="260" t="n">
        <v>558</v>
      </c>
      <c r="F559" s="260" t="n">
        <f aca="false" t="array" ref="F559:F559">INDEX('0.0.1 Pokémon Dex Data'!$H$3:$H951,MATCH(E559,'0.0.1 Pokémon Dex Data'!$B$3:$B951,0))</f>
        <v>1</v>
      </c>
      <c r="G559" s="0" t="str">
        <f aca="false" t="array" ref="G559:G559">INDEX('0.0.1 Pokémon Dex Data'!$E$3:$E951,MATCH(E559,'0.0.1 Pokémon Dex Data'!$B$3:$B951,0))</f>
        <v>Rotom-Mow</v>
      </c>
      <c r="H559" s="0" t="str">
        <f aca="false" t="array" ref="H559:H559">INDEX('0.0.1 Pokémon Dex Data'!$Q$3:$Q951,MATCH(E559,'0.0.1 Pokémon Dex Data'!$B$3:$B951,0))</f>
        <v>Electric</v>
      </c>
      <c r="I559" s="0" t="str">
        <f aca="false" t="array" ref="I559:I559">INDEX('0.0.1 Pokémon Dex Data'!$R$3:$R951,MATCH(E559,'0.0.1 Pokémon Dex Data'!$B$3:$B951,0))</f>
        <v>Grass</v>
      </c>
      <c r="J559" s="260" t="n">
        <f aca="false" t="array" ref="J559:J559">ROUND(INDEX('0.0.1 Pokémon Dex Data'!$S$3:$S951,MATCH($E559,'0.0.1 Pokémon Dex Data'!$B$3:$B951,0))*INDEX('0.0.1 Pokémon Dex Data'!T$3:T951,MATCH($E559,'0.0.1 Pokémon Dex Data'!$B$3:$B951,0)),0)</f>
        <v>204</v>
      </c>
      <c r="K559" s="260" t="n">
        <f aca="false" t="array" ref="K559:K559">ROUND(INDEX('0.0.1 Pokémon Dex Data'!$S$3:$S951,MATCH($E559,'0.0.1 Pokémon Dex Data'!$B$3:$B951,0))*INDEX('0.0.1 Pokémon Dex Data'!U$3:U951,MATCH($E559,'0.0.1 Pokémon Dex Data'!$B$3:$B951,0)),0)</f>
        <v>219</v>
      </c>
      <c r="L559" s="260" t="n">
        <f aca="false" t="array" ref="L559:L559">ROUND(INDEX('0.0.1 Pokémon Dex Data'!$S$3:$S951,MATCH($E559,'0.0.1 Pokémon Dex Data'!$B$3:$B951,0))*INDEX('0.0.1 Pokémon Dex Data'!V$3:V951,MATCH($E559,'0.0.1 Pokémon Dex Data'!$B$3:$B951,0)),0)</f>
        <v>137</v>
      </c>
      <c r="M559" s="260" t="n">
        <f aca="false" t="array" ref="M559:M559">INDEX('0.0.1 Pokémon Dex Data'!$J$3:$J951,MATCH(E559,'0.0.1 Pokémon Dex Data'!$B$3:$B951,0))</f>
        <v>1</v>
      </c>
      <c r="O559" s="490"/>
      <c r="Q559" s="367" t="n">
        <f aca="false">IF('Reverse Search'!$F$4="All (including temporary formes)",1,IF('Reverse Search'!$F$4="Base Pokémon and permanent formes only",IF(F559&lt;=1,1,0),IF(F559=0,1,0)))</f>
        <v>0</v>
      </c>
      <c r="R559" s="0" t="n">
        <f aca="false">IF('Reverse Search'!$C$7="Disable",1,IF('Reverse Search'!$D$9="Disable",1,IF(OR('Reverse Search'!$F$9=H559,'Reverse Search'!$F$9=I559),1,0)))</f>
        <v>1</v>
      </c>
      <c r="S559" s="0" t="n">
        <f aca="false">IF('Reverse Search'!$C$7="Disable",1,IF('Reverse Search'!$D$10="Disable",1,IF(OR('Reverse Search'!$F$10=H559,'Reverse Search'!$F$10=I559),1,0)))</f>
        <v>1</v>
      </c>
      <c r="T559" s="0" t="n">
        <f aca="false">INDEX($B$4:$B$22,MATCH(H559,$A$4:$A$22,0))</f>
        <v>1</v>
      </c>
      <c r="U559" s="0" t="n">
        <f aca="false">IF(ISBLANK(I559),1,INDEX($B$4:$B$22,MATCH(I559,$A$4:$A$22,0)))</f>
        <v>1</v>
      </c>
      <c r="V559" s="367" t="n">
        <f aca="false">IF('Reverse Search'!$C$7="Disable",1,IF('Reverse Search'!$D$11="Disable",1,IF('Reverse Search'!$E$11="Neutral to:",IF(ROUND(T559*U559,2)&lt;=1,1,0),IF(ROUND(T559*U559,2)&lt;1,1,0))))</f>
        <v>1</v>
      </c>
      <c r="W559" s="0" t="n">
        <f aca="false">IF('Reverse Search'!$N$7="Disable",1,IF('Reverse Search'!$I$9="Disable",1,IF('Reverse Search'!$K$9="≥",IF(J559&gt;='Reverse Search'!$L$9,1,0),IF('Reverse Search'!$K$9="≤",IF(J559&lt;='Reverse Search'!$L$9,1,0),IF(J559='Reverse Search'!$L$9,1,0)))))</f>
        <v>1</v>
      </c>
      <c r="X559" s="0" t="n">
        <f aca="false">IF('Reverse Search'!$N$7="Disable",1,IF('Reverse Search'!$I$10="Disable",1,IF('Reverse Search'!$K$10="≥",IF(K559&gt;='Reverse Search'!$L$10,1,0),IF('Reverse Search'!$K$10="≤",IF(K559&lt;='Reverse Search'!$L$10,1,0),IF(K559='Reverse Search'!$L$10,1,0)))))</f>
        <v>1</v>
      </c>
      <c r="Y559" s="367" t="n">
        <f aca="false">IF('Reverse Search'!$N$7="Disable",1,IF('Reverse Search'!$I$11="Disable",1,IF('Reverse Search'!$K$11="≥",IF(L559&gt;='Reverse Search'!$L$11,1,0),IF('Reverse Search'!$K$11="≤",IF(L559&lt;='Reverse Search'!$L$11,1,0),IF(L559='Reverse Search'!$L$11,1,0)))))</f>
        <v>1</v>
      </c>
      <c r="Z559" s="0" t="n">
        <f aca="true">IF('Reverse Search'!$C$14="Disable",1,IF('Reverse Search'!$D$16="Disable",1,IF($C$2=3,IF($M559=0,0,COUNTIF(INDIRECT("'0.0.2 Pokémon Learnset (Core)'!$D$"&amp;MATCH($E559,'0.0.2 Pokémon Learnset (Core)'!$A$1:$A951,0)&amp;":$FK$"&amp;MATCH($E559,'0.0.2 Pokémon Learnset (Core)'!$A$1:$A951,0)),'Reverse Search'!$E$21)),IF($C$2=2,COUNTIF(INDIRECT("'0.1.1 Pokémon GO Moves'!$B$"&amp;MATCH($E559,'0.1.1 Pokémon GO Moves'!$A$1:$A951,0)&amp;":$R$"&amp;MATCH($E559,'0.1.1 Pokémon GO Moves'!$A$1:$A951,0)),'Reverse Search'!$E$21),COUNTIF(INDIRECT("'0.1.1 Pokémon GO Moves'!$B$"&amp;MATCH($E559,'0.1.1 Pokémon GO Moves'!$A$1:$A951,0)&amp;":$L$"&amp;MATCH($E559,'0.1.1 Pokémon GO Moves'!$A$1:$A951,0)),'Reverse Search'!$E$21)))))</f>
        <v>1</v>
      </c>
      <c r="AA559" s="0" t="e">
        <f aca="true">IF('Reverse Search'!$C$14="Disable",1,IF('Reverse Search'!$I$16="Disable",1,IF($D$2=3,IF($M559=0,0,COUNTIF(INDIRECT("'0.0.2 Pokémon Learnset (Core)'!$D$"&amp;MATCH($E559,'0.0.2 Pokémon Learnset (Core)'!$A$1:$A951,0)&amp;":$FK$"&amp;MATCH($E559,'0.0.2 Pokémon Learnset (Core)'!$A$1:$A951,0)),'Reverse Search'!$J$21)),IF($D$2=2,COUNTIF(INDIRECT("'0.1.1 Pokémon GO Moves'!$B$"&amp;MATCH($E559,'0.1.1 Pokémon GO Moves'!$A$1:$A951,0)&amp;":$R$"&amp;MATCH($E559,'0.1.1 Pokémon GO Moves'!$A$1:$A951,0)),'Reverse Search'!$J$21),COUNTIF(INDIRECT("'0.1.1 Pokémon GO Moves'!$B$"&amp;MATCH($E559,'0.1.1 Pokémon GO Moves'!$A$1:$A951,0)&amp;":$L$"&amp;MATCH($E559,'0.1.1 Pokémon GO Moves'!$A$1:$A951,0)),'Reverse Search'!$J$21)))))</f>
        <v>#N/A</v>
      </c>
      <c r="AB559" s="490"/>
      <c r="AC559" s="260" t="e">
        <f aca="false">IF((Q559+R559+S559+V559+W559+X559+Y559+IF(Z559&gt;=1,1,0)+IF(AA559&gt;=1,1,0))=9,G559&amp;", ",)</f>
        <v>#N/A</v>
      </c>
    </row>
    <row r="560" customFormat="false" ht="15.75" hidden="false" customHeight="false" outlineLevel="0" collapsed="false">
      <c r="A560" s="260"/>
      <c r="B560" s="358"/>
      <c r="C560" s="260"/>
      <c r="D560" s="358"/>
      <c r="E560" s="260" t="n">
        <v>559</v>
      </c>
      <c r="F560" s="260" t="n">
        <f aca="false" t="array" ref="F560:F560">INDEX('0.0.1 Pokémon Dex Data'!$H$3:$H951,MATCH(E560,'0.0.1 Pokémon Dex Data'!$B$3:$B951,0))</f>
        <v>0</v>
      </c>
      <c r="G560" s="0" t="str">
        <f aca="false" t="array" ref="G560:G560">INDEX('0.0.1 Pokémon Dex Data'!$E$3:$E951,MATCH(E560,'0.0.1 Pokémon Dex Data'!$B$3:$B951,0))</f>
        <v>Uxie</v>
      </c>
      <c r="H560" s="0" t="str">
        <f aca="false" t="array" ref="H560:H560">INDEX('0.0.1 Pokémon Dex Data'!$Q$3:$Q951,MATCH(E560,'0.0.1 Pokémon Dex Data'!$B$3:$B951,0))</f>
        <v>Psychic</v>
      </c>
      <c r="I560" s="0" t="n">
        <f aca="false">INDEX('0.0.1 Pokémon Dex Data'!$R$3:$R951,MATCH(E560,'0.0.1 Pokémon Dex Data'!$B$3:$B951,0))</f>
        <v>0</v>
      </c>
      <c r="J560" s="260" t="n">
        <f aca="false" t="array" ref="J560:J560">ROUND(INDEX('0.0.1 Pokémon Dex Data'!$S$3:$S951,MATCH($E560,'0.0.1 Pokémon Dex Data'!$B$3:$B951,0))*INDEX('0.0.1 Pokémon Dex Data'!T$3:T951,MATCH($E560,'0.0.1 Pokémon Dex Data'!$B$3:$B951,0)),0)</f>
        <v>156</v>
      </c>
      <c r="K560" s="260" t="n">
        <f aca="false" t="array" ref="K560:K560">ROUND(INDEX('0.0.1 Pokémon Dex Data'!$S$3:$S951,MATCH($E560,'0.0.1 Pokémon Dex Data'!$B$3:$B951,0))*INDEX('0.0.1 Pokémon Dex Data'!U$3:U951,MATCH($E560,'0.0.1 Pokémon Dex Data'!$B$3:$B951,0)),0)</f>
        <v>270</v>
      </c>
      <c r="L560" s="260" t="n">
        <f aca="false" t="array" ref="L560:L560">ROUND(INDEX('0.0.1 Pokémon Dex Data'!$S$3:$S951,MATCH($E560,'0.0.1 Pokémon Dex Data'!$B$3:$B951,0))*INDEX('0.0.1 Pokémon Dex Data'!V$3:V951,MATCH($E560,'0.0.1 Pokémon Dex Data'!$B$3:$B951,0)),0)</f>
        <v>181</v>
      </c>
      <c r="M560" s="260" t="n">
        <f aca="false" t="array" ref="M560:M560">INDEX('0.0.1 Pokémon Dex Data'!$J$3:$J951,MATCH(E560,'0.0.1 Pokémon Dex Data'!$B$3:$B951,0))</f>
        <v>1</v>
      </c>
      <c r="O560" s="490"/>
      <c r="Q560" s="367" t="n">
        <f aca="false">IF('Reverse Search'!$F$4="All (including temporary formes)",1,IF('Reverse Search'!$F$4="Base Pokémon and permanent formes only",IF(F560&lt;=1,1,0),IF(F560=0,1,0)))</f>
        <v>1</v>
      </c>
      <c r="R560" s="0" t="n">
        <f aca="false">IF('Reverse Search'!$C$7="Disable",1,IF('Reverse Search'!$D$9="Disable",1,IF(OR('Reverse Search'!$F$9=H560,'Reverse Search'!$F$9=I560),1,0)))</f>
        <v>1</v>
      </c>
      <c r="S560" s="0" t="n">
        <f aca="false">IF('Reverse Search'!$C$7="Disable",1,IF('Reverse Search'!$D$10="Disable",1,IF(OR('Reverse Search'!$F$10=H560,'Reverse Search'!$F$10=I560),1,0)))</f>
        <v>1</v>
      </c>
      <c r="T560" s="0" t="n">
        <f aca="false">INDEX($B$4:$B$22,MATCH(H560,$A$4:$A$22,0))</f>
        <v>1</v>
      </c>
      <c r="U560" s="0" t="e">
        <f aca="false">IF(ISBLANK(I560),1,INDEX($B$4:$B$22,MATCH(I560,$A$4:$A$22,0)))</f>
        <v>#N/A</v>
      </c>
      <c r="V560" s="367" t="n">
        <f aca="false">IF('Reverse Search'!$C$7="Disable",1,IF('Reverse Search'!$D$11="Disable",1,IF('Reverse Search'!$E$11="Neutral to:",IF(ROUND(T560*U560,2)&lt;=1,1,0),IF(ROUND(T560*U560,2)&lt;1,1,0))))</f>
        <v>1</v>
      </c>
      <c r="W560" s="0" t="n">
        <f aca="false">IF('Reverse Search'!$N$7="Disable",1,IF('Reverse Search'!$I$9="Disable",1,IF('Reverse Search'!$K$9="≥",IF(J560&gt;='Reverse Search'!$L$9,1,0),IF('Reverse Search'!$K$9="≤",IF(J560&lt;='Reverse Search'!$L$9,1,0),IF(J560='Reverse Search'!$L$9,1,0)))))</f>
        <v>1</v>
      </c>
      <c r="X560" s="0" t="n">
        <f aca="false">IF('Reverse Search'!$N$7="Disable",1,IF('Reverse Search'!$I$10="Disable",1,IF('Reverse Search'!$K$10="≥",IF(K560&gt;='Reverse Search'!$L$10,1,0),IF('Reverse Search'!$K$10="≤",IF(K560&lt;='Reverse Search'!$L$10,1,0),IF(K560='Reverse Search'!$L$10,1,0)))))</f>
        <v>1</v>
      </c>
      <c r="Y560" s="367" t="n">
        <f aca="false">IF('Reverse Search'!$N$7="Disable",1,IF('Reverse Search'!$I$11="Disable",1,IF('Reverse Search'!$K$11="≥",IF(L560&gt;='Reverse Search'!$L$11,1,0),IF('Reverse Search'!$K$11="≤",IF(L560&lt;='Reverse Search'!$L$11,1,0),IF(L560='Reverse Search'!$L$11,1,0)))))</f>
        <v>1</v>
      </c>
      <c r="Z560" s="0" t="n">
        <f aca="true">IF('Reverse Search'!$C$14="Disable",1,IF('Reverse Search'!$D$16="Disable",1,IF($C$2=3,IF($M560=0,0,COUNTIF(INDIRECT("'0.0.2 Pokémon Learnset (Core)'!$D$"&amp;MATCH($E560,'0.0.2 Pokémon Learnset (Core)'!$A$1:$A951,0)&amp;":$FK$"&amp;MATCH($E560,'0.0.2 Pokémon Learnset (Core)'!$A$1:$A951,0)),'Reverse Search'!$E$21)),IF($C$2=2,COUNTIF(INDIRECT("'0.1.1 Pokémon GO Moves'!$B$"&amp;MATCH($E560,'0.1.1 Pokémon GO Moves'!$A$1:$A951,0)&amp;":$R$"&amp;MATCH($E560,'0.1.1 Pokémon GO Moves'!$A$1:$A951,0)),'Reverse Search'!$E$21),COUNTIF(INDIRECT("'0.1.1 Pokémon GO Moves'!$B$"&amp;MATCH($E560,'0.1.1 Pokémon GO Moves'!$A$1:$A951,0)&amp;":$L$"&amp;MATCH($E560,'0.1.1 Pokémon GO Moves'!$A$1:$A951,0)),'Reverse Search'!$E$21)))))</f>
        <v>1</v>
      </c>
      <c r="AA560" s="0" t="n">
        <f aca="true">IF('Reverse Search'!$C$14="Disable",1,IF('Reverse Search'!$I$16="Disable",1,IF($D$2=3,IF($M560=0,0,COUNTIF(INDIRECT("'0.0.2 Pokémon Learnset (Core)'!$D$"&amp;MATCH($E560,'0.0.2 Pokémon Learnset (Core)'!$A$1:$A951,0)&amp;":$FK$"&amp;MATCH($E560,'0.0.2 Pokémon Learnset (Core)'!$A$1:$A951,0)),'Reverse Search'!$J$21)),IF($D$2=2,COUNTIF(INDIRECT("'0.1.1 Pokémon GO Moves'!$B$"&amp;MATCH($E560,'0.1.1 Pokémon GO Moves'!$A$1:$A951,0)&amp;":$R$"&amp;MATCH($E560,'0.1.1 Pokémon GO Moves'!$A$1:$A951,0)),'Reverse Search'!$J$21),COUNTIF(INDIRECT("'0.1.1 Pokémon GO Moves'!$B$"&amp;MATCH($E560,'0.1.1 Pokémon GO Moves'!$A$1:$A951,0)&amp;":$L$"&amp;MATCH($E560,'0.1.1 Pokémon GO Moves'!$A$1:$A951,0)),'Reverse Search'!$J$21)))))</f>
        <v>0</v>
      </c>
      <c r="AB560" s="490"/>
      <c r="AC560" s="260" t="n">
        <f aca="false">IF((Q560+R560+S560+V560+W560+X560+Y560+IF(Z560&gt;=1,1,0)+IF(AA560&gt;=1,1,0))=9,G560&amp;", ",)</f>
        <v>0</v>
      </c>
    </row>
    <row r="561" customFormat="false" ht="15.75" hidden="false" customHeight="false" outlineLevel="0" collapsed="false">
      <c r="A561" s="260"/>
      <c r="B561" s="358"/>
      <c r="C561" s="260"/>
      <c r="D561" s="358"/>
      <c r="E561" s="260" t="n">
        <v>560</v>
      </c>
      <c r="F561" s="260" t="n">
        <f aca="false" t="array" ref="F561:F561">INDEX('0.0.1 Pokémon Dex Data'!$H$3:$H951,MATCH(E561,'0.0.1 Pokémon Dex Data'!$B$3:$B951,0))</f>
        <v>0</v>
      </c>
      <c r="G561" s="0" t="str">
        <f aca="false" t="array" ref="G561:G561">INDEX('0.0.1 Pokémon Dex Data'!$E$3:$E951,MATCH(E561,'0.0.1 Pokémon Dex Data'!$B$3:$B951,0))</f>
        <v>Mesprit</v>
      </c>
      <c r="H561" s="0" t="str">
        <f aca="false" t="array" ref="H561:H561">INDEX('0.0.1 Pokémon Dex Data'!$Q$3:$Q951,MATCH(E561,'0.0.1 Pokémon Dex Data'!$B$3:$B951,0))</f>
        <v>Psychic</v>
      </c>
      <c r="I561" s="0" t="n">
        <f aca="false">INDEX('0.0.1 Pokémon Dex Data'!$R$3:$R951,MATCH(E561,'0.0.1 Pokémon Dex Data'!$B$3:$B951,0))</f>
        <v>0</v>
      </c>
      <c r="J561" s="260" t="n">
        <f aca="false" t="array" ref="J561:J561">ROUND(INDEX('0.0.1 Pokémon Dex Data'!$S$3:$S951,MATCH($E561,'0.0.1 Pokémon Dex Data'!$B$3:$B951,0))*INDEX('0.0.1 Pokémon Dex Data'!T$3:T951,MATCH($E561,'0.0.1 Pokémon Dex Data'!$B$3:$B951,0)),0)</f>
        <v>212</v>
      </c>
      <c r="K561" s="260" t="n">
        <f aca="false" t="array" ref="K561:K561">ROUND(INDEX('0.0.1 Pokémon Dex Data'!$S$3:$S951,MATCH($E561,'0.0.1 Pokémon Dex Data'!$B$3:$B951,0))*INDEX('0.0.1 Pokémon Dex Data'!U$3:U951,MATCH($E561,'0.0.1 Pokémon Dex Data'!$B$3:$B951,0)),0)</f>
        <v>212</v>
      </c>
      <c r="L561" s="260" t="n">
        <f aca="false" t="array" ref="L561:L561">ROUND(INDEX('0.0.1 Pokémon Dex Data'!$S$3:$S951,MATCH($E561,'0.0.1 Pokémon Dex Data'!$B$3:$B951,0))*INDEX('0.0.1 Pokémon Dex Data'!V$3:V951,MATCH($E561,'0.0.1 Pokémon Dex Data'!$B$3:$B951,0)),0)</f>
        <v>190</v>
      </c>
      <c r="M561" s="260" t="n">
        <f aca="false" t="array" ref="M561:M561">INDEX('0.0.1 Pokémon Dex Data'!$J$3:$J951,MATCH(E561,'0.0.1 Pokémon Dex Data'!$B$3:$B951,0))</f>
        <v>1</v>
      </c>
      <c r="O561" s="490"/>
      <c r="Q561" s="367" t="n">
        <f aca="false">IF('Reverse Search'!$F$4="All (including temporary formes)",1,IF('Reverse Search'!$F$4="Base Pokémon and permanent formes only",IF(F561&lt;=1,1,0),IF(F561=0,1,0)))</f>
        <v>1</v>
      </c>
      <c r="R561" s="0" t="n">
        <f aca="false">IF('Reverse Search'!$C$7="Disable",1,IF('Reverse Search'!$D$9="Disable",1,IF(OR('Reverse Search'!$F$9=H561,'Reverse Search'!$F$9=I561),1,0)))</f>
        <v>1</v>
      </c>
      <c r="S561" s="0" t="n">
        <f aca="false">IF('Reverse Search'!$C$7="Disable",1,IF('Reverse Search'!$D$10="Disable",1,IF(OR('Reverse Search'!$F$10=H561,'Reverse Search'!$F$10=I561),1,0)))</f>
        <v>1</v>
      </c>
      <c r="T561" s="0" t="n">
        <f aca="false">INDEX($B$4:$B$22,MATCH(H561,$A$4:$A$22,0))</f>
        <v>1</v>
      </c>
      <c r="U561" s="0" t="e">
        <f aca="false">IF(ISBLANK(I561),1,INDEX($B$4:$B$22,MATCH(I561,$A$4:$A$22,0)))</f>
        <v>#N/A</v>
      </c>
      <c r="V561" s="367" t="n">
        <f aca="false">IF('Reverse Search'!$C$7="Disable",1,IF('Reverse Search'!$D$11="Disable",1,IF('Reverse Search'!$E$11="Neutral to:",IF(ROUND(T561*U561,2)&lt;=1,1,0),IF(ROUND(T561*U561,2)&lt;1,1,0))))</f>
        <v>1</v>
      </c>
      <c r="W561" s="0" t="n">
        <f aca="false">IF('Reverse Search'!$N$7="Disable",1,IF('Reverse Search'!$I$9="Disable",1,IF('Reverse Search'!$K$9="≥",IF(J561&gt;='Reverse Search'!$L$9,1,0),IF('Reverse Search'!$K$9="≤",IF(J561&lt;='Reverse Search'!$L$9,1,0),IF(J561='Reverse Search'!$L$9,1,0)))))</f>
        <v>1</v>
      </c>
      <c r="X561" s="0" t="n">
        <f aca="false">IF('Reverse Search'!$N$7="Disable",1,IF('Reverse Search'!$I$10="Disable",1,IF('Reverse Search'!$K$10="≥",IF(K561&gt;='Reverse Search'!$L$10,1,0),IF('Reverse Search'!$K$10="≤",IF(K561&lt;='Reverse Search'!$L$10,1,0),IF(K561='Reverse Search'!$L$10,1,0)))))</f>
        <v>1</v>
      </c>
      <c r="Y561" s="367" t="n">
        <f aca="false">IF('Reverse Search'!$N$7="Disable",1,IF('Reverse Search'!$I$11="Disable",1,IF('Reverse Search'!$K$11="≥",IF(L561&gt;='Reverse Search'!$L$11,1,0),IF('Reverse Search'!$K$11="≤",IF(L561&lt;='Reverse Search'!$L$11,1,0),IF(L561='Reverse Search'!$L$11,1,0)))))</f>
        <v>1</v>
      </c>
      <c r="Z561" s="0" t="n">
        <f aca="true">IF('Reverse Search'!$C$14="Disable",1,IF('Reverse Search'!$D$16="Disable",1,IF($C$2=3,IF($M561=0,0,COUNTIF(INDIRECT("'0.0.2 Pokémon Learnset (Core)'!$D$"&amp;MATCH($E561,'0.0.2 Pokémon Learnset (Core)'!$A$1:$A951,0)&amp;":$FK$"&amp;MATCH($E561,'0.0.2 Pokémon Learnset (Core)'!$A$1:$A951,0)),'Reverse Search'!$E$21)),IF($C$2=2,COUNTIF(INDIRECT("'0.1.1 Pokémon GO Moves'!$B$"&amp;MATCH($E561,'0.1.1 Pokémon GO Moves'!$A$1:$A951,0)&amp;":$R$"&amp;MATCH($E561,'0.1.1 Pokémon GO Moves'!$A$1:$A951,0)),'Reverse Search'!$E$21),COUNTIF(INDIRECT("'0.1.1 Pokémon GO Moves'!$B$"&amp;MATCH($E561,'0.1.1 Pokémon GO Moves'!$A$1:$A951,0)&amp;":$L$"&amp;MATCH($E561,'0.1.1 Pokémon GO Moves'!$A$1:$A951,0)),'Reverse Search'!$E$21)))))</f>
        <v>1</v>
      </c>
      <c r="AA561" s="0" t="n">
        <f aca="true">IF('Reverse Search'!$C$14="Disable",1,IF('Reverse Search'!$I$16="Disable",1,IF($D$2=3,IF($M561=0,0,COUNTIF(INDIRECT("'0.0.2 Pokémon Learnset (Core)'!$D$"&amp;MATCH($E561,'0.0.2 Pokémon Learnset (Core)'!$A$1:$A951,0)&amp;":$FK$"&amp;MATCH($E561,'0.0.2 Pokémon Learnset (Core)'!$A$1:$A951,0)),'Reverse Search'!$J$21)),IF($D$2=2,COUNTIF(INDIRECT("'0.1.1 Pokémon GO Moves'!$B$"&amp;MATCH($E561,'0.1.1 Pokémon GO Moves'!$A$1:$A951,0)&amp;":$R$"&amp;MATCH($E561,'0.1.1 Pokémon GO Moves'!$A$1:$A951,0)),'Reverse Search'!$J$21),COUNTIF(INDIRECT("'0.1.1 Pokémon GO Moves'!$B$"&amp;MATCH($E561,'0.1.1 Pokémon GO Moves'!$A$1:$A951,0)&amp;":$L$"&amp;MATCH($E561,'0.1.1 Pokémon GO Moves'!$A$1:$A951,0)),'Reverse Search'!$J$21)))))</f>
        <v>0</v>
      </c>
      <c r="AB561" s="490"/>
      <c r="AC561" s="260" t="n">
        <f aca="false">IF((Q561+R561+S561+V561+W561+X561+Y561+IF(Z561&gt;=1,1,0)+IF(AA561&gt;=1,1,0))=9,G561&amp;", ",)</f>
        <v>0</v>
      </c>
    </row>
    <row r="562" customFormat="false" ht="15.75" hidden="false" customHeight="false" outlineLevel="0" collapsed="false">
      <c r="A562" s="260"/>
      <c r="B562" s="358"/>
      <c r="C562" s="260"/>
      <c r="D562" s="358"/>
      <c r="E562" s="260" t="n">
        <v>561</v>
      </c>
      <c r="F562" s="260" t="n">
        <f aca="false" t="array" ref="F562:F562">INDEX('0.0.1 Pokémon Dex Data'!$H$3:$H951,MATCH(E562,'0.0.1 Pokémon Dex Data'!$B$3:$B951,0))</f>
        <v>0</v>
      </c>
      <c r="G562" s="0" t="str">
        <f aca="false" t="array" ref="G562:G562">INDEX('0.0.1 Pokémon Dex Data'!$E$3:$E951,MATCH(E562,'0.0.1 Pokémon Dex Data'!$B$3:$B951,0))</f>
        <v>Azelf</v>
      </c>
      <c r="H562" s="0" t="str">
        <f aca="false" t="array" ref="H562:H562">INDEX('0.0.1 Pokémon Dex Data'!$Q$3:$Q951,MATCH(E562,'0.0.1 Pokémon Dex Data'!$B$3:$B951,0))</f>
        <v>Psychic</v>
      </c>
      <c r="I562" s="0" t="n">
        <f aca="false">INDEX('0.0.1 Pokémon Dex Data'!$R$3:$R951,MATCH(E562,'0.0.1 Pokémon Dex Data'!$B$3:$B951,0))</f>
        <v>0</v>
      </c>
      <c r="J562" s="260" t="n">
        <f aca="false" t="array" ref="J562:J562">ROUND(INDEX('0.0.1 Pokémon Dex Data'!$S$3:$S951,MATCH($E562,'0.0.1 Pokémon Dex Data'!$B$3:$B951,0))*INDEX('0.0.1 Pokémon Dex Data'!T$3:T951,MATCH($E562,'0.0.1 Pokémon Dex Data'!$B$3:$B951,0)),0)</f>
        <v>270</v>
      </c>
      <c r="K562" s="260" t="n">
        <f aca="false" t="array" ref="K562:K562">ROUND(INDEX('0.0.1 Pokémon Dex Data'!$S$3:$S951,MATCH($E562,'0.0.1 Pokémon Dex Data'!$B$3:$B951,0))*INDEX('0.0.1 Pokémon Dex Data'!U$3:U951,MATCH($E562,'0.0.1 Pokémon Dex Data'!$B$3:$B951,0)),0)</f>
        <v>151</v>
      </c>
      <c r="L562" s="260" t="n">
        <f aca="false" t="array" ref="L562:L562">ROUND(INDEX('0.0.1 Pokémon Dex Data'!$S$3:$S951,MATCH($E562,'0.0.1 Pokémon Dex Data'!$B$3:$B951,0))*INDEX('0.0.1 Pokémon Dex Data'!V$3:V951,MATCH($E562,'0.0.1 Pokémon Dex Data'!$B$3:$B951,0)),0)</f>
        <v>181</v>
      </c>
      <c r="M562" s="260" t="n">
        <f aca="false" t="array" ref="M562:M562">INDEX('0.0.1 Pokémon Dex Data'!$J$3:$J951,MATCH(E562,'0.0.1 Pokémon Dex Data'!$B$3:$B951,0))</f>
        <v>1</v>
      </c>
      <c r="O562" s="490"/>
      <c r="Q562" s="367" t="n">
        <f aca="false">IF('Reverse Search'!$F$4="All (including temporary formes)",1,IF('Reverse Search'!$F$4="Base Pokémon and permanent formes only",IF(F562&lt;=1,1,0),IF(F562=0,1,0)))</f>
        <v>1</v>
      </c>
      <c r="R562" s="0" t="n">
        <f aca="false">IF('Reverse Search'!$C$7="Disable",1,IF('Reverse Search'!$D$9="Disable",1,IF(OR('Reverse Search'!$F$9=H562,'Reverse Search'!$F$9=I562),1,0)))</f>
        <v>1</v>
      </c>
      <c r="S562" s="0" t="n">
        <f aca="false">IF('Reverse Search'!$C$7="Disable",1,IF('Reverse Search'!$D$10="Disable",1,IF(OR('Reverse Search'!$F$10=H562,'Reverse Search'!$F$10=I562),1,0)))</f>
        <v>1</v>
      </c>
      <c r="T562" s="0" t="n">
        <f aca="false">INDEX($B$4:$B$22,MATCH(H562,$A$4:$A$22,0))</f>
        <v>1</v>
      </c>
      <c r="U562" s="0" t="e">
        <f aca="false">IF(ISBLANK(I562),1,INDEX($B$4:$B$22,MATCH(I562,$A$4:$A$22,0)))</f>
        <v>#N/A</v>
      </c>
      <c r="V562" s="367" t="n">
        <f aca="false">IF('Reverse Search'!$C$7="Disable",1,IF('Reverse Search'!$D$11="Disable",1,IF('Reverse Search'!$E$11="Neutral to:",IF(ROUND(T562*U562,2)&lt;=1,1,0),IF(ROUND(T562*U562,2)&lt;1,1,0))))</f>
        <v>1</v>
      </c>
      <c r="W562" s="0" t="n">
        <f aca="false">IF('Reverse Search'!$N$7="Disable",1,IF('Reverse Search'!$I$9="Disable",1,IF('Reverse Search'!$K$9="≥",IF(J562&gt;='Reverse Search'!$L$9,1,0),IF('Reverse Search'!$K$9="≤",IF(J562&lt;='Reverse Search'!$L$9,1,0),IF(J562='Reverse Search'!$L$9,1,0)))))</f>
        <v>1</v>
      </c>
      <c r="X562" s="0" t="n">
        <f aca="false">IF('Reverse Search'!$N$7="Disable",1,IF('Reverse Search'!$I$10="Disable",1,IF('Reverse Search'!$K$10="≥",IF(K562&gt;='Reverse Search'!$L$10,1,0),IF('Reverse Search'!$K$10="≤",IF(K562&lt;='Reverse Search'!$L$10,1,0),IF(K562='Reverse Search'!$L$10,1,0)))))</f>
        <v>1</v>
      </c>
      <c r="Y562" s="367" t="n">
        <f aca="false">IF('Reverse Search'!$N$7="Disable",1,IF('Reverse Search'!$I$11="Disable",1,IF('Reverse Search'!$K$11="≥",IF(L562&gt;='Reverse Search'!$L$11,1,0),IF('Reverse Search'!$K$11="≤",IF(L562&lt;='Reverse Search'!$L$11,1,0),IF(L562='Reverse Search'!$L$11,1,0)))))</f>
        <v>1</v>
      </c>
      <c r="Z562" s="0" t="n">
        <f aca="true">IF('Reverse Search'!$C$14="Disable",1,IF('Reverse Search'!$D$16="Disable",1,IF($C$2=3,IF($M562=0,0,COUNTIF(INDIRECT("'0.0.2 Pokémon Learnset (Core)'!$D$"&amp;MATCH($E562,'0.0.2 Pokémon Learnset (Core)'!$A$1:$A951,0)&amp;":$FK$"&amp;MATCH($E562,'0.0.2 Pokémon Learnset (Core)'!$A$1:$A951,0)),'Reverse Search'!$E$21)),IF($C$2=2,COUNTIF(INDIRECT("'0.1.1 Pokémon GO Moves'!$B$"&amp;MATCH($E562,'0.1.1 Pokémon GO Moves'!$A$1:$A951,0)&amp;":$R$"&amp;MATCH($E562,'0.1.1 Pokémon GO Moves'!$A$1:$A951,0)),'Reverse Search'!$E$21),COUNTIF(INDIRECT("'0.1.1 Pokémon GO Moves'!$B$"&amp;MATCH($E562,'0.1.1 Pokémon GO Moves'!$A$1:$A951,0)&amp;":$L$"&amp;MATCH($E562,'0.1.1 Pokémon GO Moves'!$A$1:$A951,0)),'Reverse Search'!$E$21)))))</f>
        <v>1</v>
      </c>
      <c r="AA562" s="0" t="n">
        <f aca="true">IF('Reverse Search'!$C$14="Disable",1,IF('Reverse Search'!$I$16="Disable",1,IF($D$2=3,IF($M562=0,0,COUNTIF(INDIRECT("'0.0.2 Pokémon Learnset (Core)'!$D$"&amp;MATCH($E562,'0.0.2 Pokémon Learnset (Core)'!$A$1:$A951,0)&amp;":$FK$"&amp;MATCH($E562,'0.0.2 Pokémon Learnset (Core)'!$A$1:$A951,0)),'Reverse Search'!$J$21)),IF($D$2=2,COUNTIF(INDIRECT("'0.1.1 Pokémon GO Moves'!$B$"&amp;MATCH($E562,'0.1.1 Pokémon GO Moves'!$A$1:$A951,0)&amp;":$R$"&amp;MATCH($E562,'0.1.1 Pokémon GO Moves'!$A$1:$A951,0)),'Reverse Search'!$J$21),COUNTIF(INDIRECT("'0.1.1 Pokémon GO Moves'!$B$"&amp;MATCH($E562,'0.1.1 Pokémon GO Moves'!$A$1:$A951,0)&amp;":$L$"&amp;MATCH($E562,'0.1.1 Pokémon GO Moves'!$A$1:$A951,0)),'Reverse Search'!$J$21)))))</f>
        <v>0</v>
      </c>
      <c r="AB562" s="490"/>
      <c r="AC562" s="260" t="n">
        <f aca="false">IF((Q562+R562+S562+V562+W562+X562+Y562+IF(Z562&gt;=1,1,0)+IF(AA562&gt;=1,1,0))=9,G562&amp;", ",)</f>
        <v>0</v>
      </c>
    </row>
    <row r="563" customFormat="false" ht="15.75" hidden="false" customHeight="false" outlineLevel="0" collapsed="false">
      <c r="A563" s="260"/>
      <c r="B563" s="358"/>
      <c r="C563" s="260"/>
      <c r="D563" s="358"/>
      <c r="E563" s="260" t="n">
        <v>562</v>
      </c>
      <c r="F563" s="260" t="n">
        <f aca="false" t="array" ref="F563:F563">INDEX('0.0.1 Pokémon Dex Data'!$H$3:$H951,MATCH(E563,'0.0.1 Pokémon Dex Data'!$B$3:$B951,0))</f>
        <v>0</v>
      </c>
      <c r="G563" s="0" t="str">
        <f aca="false" t="array" ref="G563:G563">INDEX('0.0.1 Pokémon Dex Data'!$E$3:$E951,MATCH(E563,'0.0.1 Pokémon Dex Data'!$B$3:$B951,0))</f>
        <v>Dialga</v>
      </c>
      <c r="H563" s="0" t="str">
        <f aca="false" t="array" ref="H563:H563">INDEX('0.0.1 Pokémon Dex Data'!$Q$3:$Q951,MATCH(E563,'0.0.1 Pokémon Dex Data'!$B$3:$B951,0))</f>
        <v>Steel</v>
      </c>
      <c r="I563" s="0" t="str">
        <f aca="false" t="array" ref="I563:I563">INDEX('0.0.1 Pokémon Dex Data'!$R$3:$R951,MATCH(E563,'0.0.1 Pokémon Dex Data'!$B$3:$B951,0))</f>
        <v>Dragon</v>
      </c>
      <c r="J563" s="260" t="n">
        <f aca="false" t="array" ref="J563:J563">ROUND(INDEX('0.0.1 Pokémon Dex Data'!$S$3:$S951,MATCH($E563,'0.0.1 Pokémon Dex Data'!$B$3:$B951,0))*INDEX('0.0.1 Pokémon Dex Data'!T$3:T951,MATCH($E563,'0.0.1 Pokémon Dex Data'!$B$3:$B951,0)),0)</f>
        <v>275</v>
      </c>
      <c r="K563" s="260" t="n">
        <f aca="false" t="array" ref="K563:K563">ROUND(INDEX('0.0.1 Pokémon Dex Data'!$S$3:$S951,MATCH($E563,'0.0.1 Pokémon Dex Data'!$B$3:$B951,0))*INDEX('0.0.1 Pokémon Dex Data'!U$3:U951,MATCH($E563,'0.0.1 Pokémon Dex Data'!$B$3:$B951,0)),0)</f>
        <v>211</v>
      </c>
      <c r="L563" s="260" t="n">
        <f aca="false" t="array" ref="L563:L563">ROUND(INDEX('0.0.1 Pokémon Dex Data'!$S$3:$S951,MATCH($E563,'0.0.1 Pokémon Dex Data'!$B$3:$B951,0))*INDEX('0.0.1 Pokémon Dex Data'!V$3:V951,MATCH($E563,'0.0.1 Pokémon Dex Data'!$B$3:$B951,0)),0)</f>
        <v>205</v>
      </c>
      <c r="M563" s="260" t="n">
        <f aca="false" t="array" ref="M563:M563">INDEX('0.0.1 Pokémon Dex Data'!$J$3:$J951,MATCH(E563,'0.0.1 Pokémon Dex Data'!$B$3:$B951,0))</f>
        <v>1</v>
      </c>
      <c r="O563" s="490"/>
      <c r="Q563" s="367" t="n">
        <f aca="false">IF('Reverse Search'!$F$4="All (including temporary formes)",1,IF('Reverse Search'!$F$4="Base Pokémon and permanent formes only",IF(F563&lt;=1,1,0),IF(F563=0,1,0)))</f>
        <v>1</v>
      </c>
      <c r="R563" s="0" t="n">
        <f aca="false">IF('Reverse Search'!$C$7="Disable",1,IF('Reverse Search'!$D$9="Disable",1,IF(OR('Reverse Search'!$F$9=H563,'Reverse Search'!$F$9=I563),1,0)))</f>
        <v>1</v>
      </c>
      <c r="S563" s="0" t="n">
        <f aca="false">IF('Reverse Search'!$C$7="Disable",1,IF('Reverse Search'!$D$10="Disable",1,IF(OR('Reverse Search'!$F$10=H563,'Reverse Search'!$F$10=I563),1,0)))</f>
        <v>1</v>
      </c>
      <c r="T563" s="0" t="n">
        <f aca="false">INDEX($B$4:$B$22,MATCH(H563,$A$4:$A$22,0))</f>
        <v>0.714</v>
      </c>
      <c r="U563" s="0" t="n">
        <f aca="false">IF(ISBLANK(I563),1,INDEX($B$4:$B$22,MATCH(I563,$A$4:$A$22,0)))</f>
        <v>1</v>
      </c>
      <c r="V563" s="367" t="n">
        <f aca="false">IF('Reverse Search'!$C$7="Disable",1,IF('Reverse Search'!$D$11="Disable",1,IF('Reverse Search'!$E$11="Neutral to:",IF(ROUND(T563*U563,2)&lt;=1,1,0),IF(ROUND(T563*U563,2)&lt;1,1,0))))</f>
        <v>1</v>
      </c>
      <c r="W563" s="0" t="n">
        <f aca="false">IF('Reverse Search'!$N$7="Disable",1,IF('Reverse Search'!$I$9="Disable",1,IF('Reverse Search'!$K$9="≥",IF(J563&gt;='Reverse Search'!$L$9,1,0),IF('Reverse Search'!$K$9="≤",IF(J563&lt;='Reverse Search'!$L$9,1,0),IF(J563='Reverse Search'!$L$9,1,0)))))</f>
        <v>1</v>
      </c>
      <c r="X563" s="0" t="n">
        <f aca="false">IF('Reverse Search'!$N$7="Disable",1,IF('Reverse Search'!$I$10="Disable",1,IF('Reverse Search'!$K$10="≥",IF(K563&gt;='Reverse Search'!$L$10,1,0),IF('Reverse Search'!$K$10="≤",IF(K563&lt;='Reverse Search'!$L$10,1,0),IF(K563='Reverse Search'!$L$10,1,0)))))</f>
        <v>1</v>
      </c>
      <c r="Y563" s="367" t="n">
        <f aca="false">IF('Reverse Search'!$N$7="Disable",1,IF('Reverse Search'!$I$11="Disable",1,IF('Reverse Search'!$K$11="≥",IF(L563&gt;='Reverse Search'!$L$11,1,0),IF('Reverse Search'!$K$11="≤",IF(L563&lt;='Reverse Search'!$L$11,1,0),IF(L563='Reverse Search'!$L$11,1,0)))))</f>
        <v>1</v>
      </c>
      <c r="Z563" s="0" t="n">
        <f aca="true">IF('Reverse Search'!$C$14="Disable",1,IF('Reverse Search'!$D$16="Disable",1,IF($C$2=3,IF($M563=0,0,COUNTIF(INDIRECT("'0.0.2 Pokémon Learnset (Core)'!$D$"&amp;MATCH($E563,'0.0.2 Pokémon Learnset (Core)'!$A$1:$A951,0)&amp;":$FK$"&amp;MATCH($E563,'0.0.2 Pokémon Learnset (Core)'!$A$1:$A951,0)),'Reverse Search'!$E$21)),IF($C$2=2,COUNTIF(INDIRECT("'0.1.1 Pokémon GO Moves'!$B$"&amp;MATCH($E563,'0.1.1 Pokémon GO Moves'!$A$1:$A951,0)&amp;":$R$"&amp;MATCH($E563,'0.1.1 Pokémon GO Moves'!$A$1:$A951,0)),'Reverse Search'!$E$21),COUNTIF(INDIRECT("'0.1.1 Pokémon GO Moves'!$B$"&amp;MATCH($E563,'0.1.1 Pokémon GO Moves'!$A$1:$A951,0)&amp;":$L$"&amp;MATCH($E563,'0.1.1 Pokémon GO Moves'!$A$1:$A951,0)),'Reverse Search'!$E$21)))))</f>
        <v>1</v>
      </c>
      <c r="AA563" s="0" t="n">
        <f aca="true">IF('Reverse Search'!$C$14="Disable",1,IF('Reverse Search'!$I$16="Disable",1,IF($D$2=3,IF($M563=0,0,COUNTIF(INDIRECT("'0.0.2 Pokémon Learnset (Core)'!$D$"&amp;MATCH($E563,'0.0.2 Pokémon Learnset (Core)'!$A$1:$A951,0)&amp;":$FK$"&amp;MATCH($E563,'0.0.2 Pokémon Learnset (Core)'!$A$1:$A951,0)),'Reverse Search'!$J$21)),IF($D$2=2,COUNTIF(INDIRECT("'0.1.1 Pokémon GO Moves'!$B$"&amp;MATCH($E563,'0.1.1 Pokémon GO Moves'!$A$1:$A951,0)&amp;":$R$"&amp;MATCH($E563,'0.1.1 Pokémon GO Moves'!$A$1:$A951,0)),'Reverse Search'!$J$21),COUNTIF(INDIRECT("'0.1.1 Pokémon GO Moves'!$B$"&amp;MATCH($E563,'0.1.1 Pokémon GO Moves'!$A$1:$A951,0)&amp;":$L$"&amp;MATCH($E563,'0.1.1 Pokémon GO Moves'!$A$1:$A951,0)),'Reverse Search'!$J$21)))))</f>
        <v>0</v>
      </c>
      <c r="AB563" s="490"/>
      <c r="AC563" s="260" t="n">
        <f aca="false">IF((Q563+R563+S563+V563+W563+X563+Y563+IF(Z563&gt;=1,1,0)+IF(AA563&gt;=1,1,0))=9,G563&amp;", ",)</f>
        <v>0</v>
      </c>
    </row>
    <row r="564" customFormat="false" ht="15.75" hidden="false" customHeight="false" outlineLevel="0" collapsed="false">
      <c r="A564" s="260"/>
      <c r="B564" s="358"/>
      <c r="C564" s="260"/>
      <c r="D564" s="358"/>
      <c r="E564" s="260" t="n">
        <v>563</v>
      </c>
      <c r="F564" s="260" t="n">
        <f aca="false" t="array" ref="F564:F564">INDEX('0.0.1 Pokémon Dex Data'!$H$3:$H951,MATCH(E564,'0.0.1 Pokémon Dex Data'!$B$3:$B951,0))</f>
        <v>0</v>
      </c>
      <c r="G564" s="0" t="str">
        <f aca="false" t="array" ref="G564:G564">INDEX('0.0.1 Pokémon Dex Data'!$E$3:$E951,MATCH(E564,'0.0.1 Pokémon Dex Data'!$B$3:$B951,0))</f>
        <v>Palkia</v>
      </c>
      <c r="H564" s="0" t="str">
        <f aca="false" t="array" ref="H564:H564">INDEX('0.0.1 Pokémon Dex Data'!$Q$3:$Q951,MATCH(E564,'0.0.1 Pokémon Dex Data'!$B$3:$B951,0))</f>
        <v>Water</v>
      </c>
      <c r="I564" s="0" t="str">
        <f aca="false" t="array" ref="I564:I564">INDEX('0.0.1 Pokémon Dex Data'!$R$3:$R951,MATCH(E564,'0.0.1 Pokémon Dex Data'!$B$3:$B951,0))</f>
        <v>Dragon</v>
      </c>
      <c r="J564" s="260" t="n">
        <f aca="false" t="array" ref="J564:J564">ROUND(INDEX('0.0.1 Pokémon Dex Data'!$S$3:$S951,MATCH($E564,'0.0.1 Pokémon Dex Data'!$B$3:$B951,0))*INDEX('0.0.1 Pokémon Dex Data'!T$3:T951,MATCH($E564,'0.0.1 Pokémon Dex Data'!$B$3:$B951,0)),0)</f>
        <v>280</v>
      </c>
      <c r="K564" s="260" t="n">
        <f aca="false" t="array" ref="K564:K564">ROUND(INDEX('0.0.1 Pokémon Dex Data'!$S$3:$S951,MATCH($E564,'0.0.1 Pokémon Dex Data'!$B$3:$B951,0))*INDEX('0.0.1 Pokémon Dex Data'!U$3:U951,MATCH($E564,'0.0.1 Pokémon Dex Data'!$B$3:$B951,0)),0)</f>
        <v>215</v>
      </c>
      <c r="L564" s="260" t="n">
        <f aca="false" t="array" ref="L564:L564">ROUND(INDEX('0.0.1 Pokémon Dex Data'!$S$3:$S951,MATCH($E564,'0.0.1 Pokémon Dex Data'!$B$3:$B951,0))*INDEX('0.0.1 Pokémon Dex Data'!V$3:V951,MATCH($E564,'0.0.1 Pokémon Dex Data'!$B$3:$B951,0)),0)</f>
        <v>188</v>
      </c>
      <c r="M564" s="260" t="n">
        <f aca="false" t="array" ref="M564:M564">INDEX('0.0.1 Pokémon Dex Data'!$J$3:$J951,MATCH(E564,'0.0.1 Pokémon Dex Data'!$B$3:$B951,0))</f>
        <v>1</v>
      </c>
      <c r="O564" s="490"/>
      <c r="Q564" s="367" t="n">
        <f aca="false">IF('Reverse Search'!$F$4="All (including temporary formes)",1,IF('Reverse Search'!$F$4="Base Pokémon and permanent formes only",IF(F564&lt;=1,1,0),IF(F564=0,1,0)))</f>
        <v>1</v>
      </c>
      <c r="R564" s="0" t="n">
        <f aca="false">IF('Reverse Search'!$C$7="Disable",1,IF('Reverse Search'!$D$9="Disable",1,IF(OR('Reverse Search'!$F$9=H564,'Reverse Search'!$F$9=I564),1,0)))</f>
        <v>1</v>
      </c>
      <c r="S564" s="0" t="n">
        <f aca="false">IF('Reverse Search'!$C$7="Disable",1,IF('Reverse Search'!$D$10="Disable",1,IF(OR('Reverse Search'!$F$10=H564,'Reverse Search'!$F$10=I564),1,0)))</f>
        <v>1</v>
      </c>
      <c r="T564" s="0" t="n">
        <f aca="false">INDEX($B$4:$B$22,MATCH(H564,$A$4:$A$22,0))</f>
        <v>1</v>
      </c>
      <c r="U564" s="0" t="n">
        <f aca="false">IF(ISBLANK(I564),1,INDEX($B$4:$B$22,MATCH(I564,$A$4:$A$22,0)))</f>
        <v>1</v>
      </c>
      <c r="V564" s="367" t="n">
        <f aca="false">IF('Reverse Search'!$C$7="Disable",1,IF('Reverse Search'!$D$11="Disable",1,IF('Reverse Search'!$E$11="Neutral to:",IF(ROUND(T564*U564,2)&lt;=1,1,0),IF(ROUND(T564*U564,2)&lt;1,1,0))))</f>
        <v>1</v>
      </c>
      <c r="W564" s="0" t="n">
        <f aca="false">IF('Reverse Search'!$N$7="Disable",1,IF('Reverse Search'!$I$9="Disable",1,IF('Reverse Search'!$K$9="≥",IF(J564&gt;='Reverse Search'!$L$9,1,0),IF('Reverse Search'!$K$9="≤",IF(J564&lt;='Reverse Search'!$L$9,1,0),IF(J564='Reverse Search'!$L$9,1,0)))))</f>
        <v>1</v>
      </c>
      <c r="X564" s="0" t="n">
        <f aca="false">IF('Reverse Search'!$N$7="Disable",1,IF('Reverse Search'!$I$10="Disable",1,IF('Reverse Search'!$K$10="≥",IF(K564&gt;='Reverse Search'!$L$10,1,0),IF('Reverse Search'!$K$10="≤",IF(K564&lt;='Reverse Search'!$L$10,1,0),IF(K564='Reverse Search'!$L$10,1,0)))))</f>
        <v>1</v>
      </c>
      <c r="Y564" s="367" t="n">
        <f aca="false">IF('Reverse Search'!$N$7="Disable",1,IF('Reverse Search'!$I$11="Disable",1,IF('Reverse Search'!$K$11="≥",IF(L564&gt;='Reverse Search'!$L$11,1,0),IF('Reverse Search'!$K$11="≤",IF(L564&lt;='Reverse Search'!$L$11,1,0),IF(L564='Reverse Search'!$L$11,1,0)))))</f>
        <v>1</v>
      </c>
      <c r="Z564" s="0" t="n">
        <f aca="true">IF('Reverse Search'!$C$14="Disable",1,IF('Reverse Search'!$D$16="Disable",1,IF($C$2=3,IF($M564=0,0,COUNTIF(INDIRECT("'0.0.2 Pokémon Learnset (Core)'!$D$"&amp;MATCH($E564,'0.0.2 Pokémon Learnset (Core)'!$A$1:$A951,0)&amp;":$FK$"&amp;MATCH($E564,'0.0.2 Pokémon Learnset (Core)'!$A$1:$A951,0)),'Reverse Search'!$E$21)),IF($C$2=2,COUNTIF(INDIRECT("'0.1.1 Pokémon GO Moves'!$B$"&amp;MATCH($E564,'0.1.1 Pokémon GO Moves'!$A$1:$A951,0)&amp;":$R$"&amp;MATCH($E564,'0.1.1 Pokémon GO Moves'!$A$1:$A951,0)),'Reverse Search'!$E$21),COUNTIF(INDIRECT("'0.1.1 Pokémon GO Moves'!$B$"&amp;MATCH($E564,'0.1.1 Pokémon GO Moves'!$A$1:$A951,0)&amp;":$L$"&amp;MATCH($E564,'0.1.1 Pokémon GO Moves'!$A$1:$A951,0)),'Reverse Search'!$E$21)))))</f>
        <v>1</v>
      </c>
      <c r="AA564" s="0" t="n">
        <f aca="true">IF('Reverse Search'!$C$14="Disable",1,IF('Reverse Search'!$I$16="Disable",1,IF($D$2=3,IF($M564=0,0,COUNTIF(INDIRECT("'0.0.2 Pokémon Learnset (Core)'!$D$"&amp;MATCH($E564,'0.0.2 Pokémon Learnset (Core)'!$A$1:$A951,0)&amp;":$FK$"&amp;MATCH($E564,'0.0.2 Pokémon Learnset (Core)'!$A$1:$A951,0)),'Reverse Search'!$J$21)),IF($D$2=2,COUNTIF(INDIRECT("'0.1.1 Pokémon GO Moves'!$B$"&amp;MATCH($E564,'0.1.1 Pokémon GO Moves'!$A$1:$A951,0)&amp;":$R$"&amp;MATCH($E564,'0.1.1 Pokémon GO Moves'!$A$1:$A951,0)),'Reverse Search'!$J$21),COUNTIF(INDIRECT("'0.1.1 Pokémon GO Moves'!$B$"&amp;MATCH($E564,'0.1.1 Pokémon GO Moves'!$A$1:$A951,0)&amp;":$L$"&amp;MATCH($E564,'0.1.1 Pokémon GO Moves'!$A$1:$A951,0)),'Reverse Search'!$J$21)))))</f>
        <v>0</v>
      </c>
      <c r="AB564" s="490"/>
      <c r="AC564" s="260" t="n">
        <f aca="false">IF((Q564+R564+S564+V564+W564+X564+Y564+IF(Z564&gt;=1,1,0)+IF(AA564&gt;=1,1,0))=9,G564&amp;", ",)</f>
        <v>0</v>
      </c>
    </row>
    <row r="565" customFormat="false" ht="15.75" hidden="false" customHeight="false" outlineLevel="0" collapsed="false">
      <c r="A565" s="260"/>
      <c r="B565" s="358"/>
      <c r="C565" s="260"/>
      <c r="D565" s="358"/>
      <c r="E565" s="260" t="n">
        <v>564</v>
      </c>
      <c r="F565" s="260" t="n">
        <f aca="false" t="array" ref="F565:F565">INDEX('0.0.1 Pokémon Dex Data'!$H$3:$H951,MATCH(E565,'0.0.1 Pokémon Dex Data'!$B$3:$B951,0))</f>
        <v>0</v>
      </c>
      <c r="G565" s="0" t="str">
        <f aca="false" t="array" ref="G565:G565">INDEX('0.0.1 Pokémon Dex Data'!$E$3:$E951,MATCH(E565,'0.0.1 Pokémon Dex Data'!$B$3:$B951,0))</f>
        <v>Heatran</v>
      </c>
      <c r="H565" s="0" t="str">
        <f aca="false" t="array" ref="H565:H565">INDEX('0.0.1 Pokémon Dex Data'!$Q$3:$Q951,MATCH(E565,'0.0.1 Pokémon Dex Data'!$B$3:$B951,0))</f>
        <v>Fire</v>
      </c>
      <c r="I565" s="0" t="str">
        <f aca="false" t="array" ref="I565:I565">INDEX('0.0.1 Pokémon Dex Data'!$R$3:$R951,MATCH(E565,'0.0.1 Pokémon Dex Data'!$B$3:$B951,0))</f>
        <v>Steel</v>
      </c>
      <c r="J565" s="260" t="n">
        <f aca="false" t="array" ref="J565:J565">ROUND(INDEX('0.0.1 Pokémon Dex Data'!$S$3:$S951,MATCH($E565,'0.0.1 Pokémon Dex Data'!$B$3:$B951,0))*INDEX('0.0.1 Pokémon Dex Data'!T$3:T951,MATCH($E565,'0.0.1 Pokémon Dex Data'!$B$3:$B951,0)),0)</f>
        <v>251</v>
      </c>
      <c r="K565" s="260" t="n">
        <f aca="false" t="array" ref="K565:K565">ROUND(INDEX('0.0.1 Pokémon Dex Data'!$S$3:$S951,MATCH($E565,'0.0.1 Pokémon Dex Data'!$B$3:$B951,0))*INDEX('0.0.1 Pokémon Dex Data'!U$3:U951,MATCH($E565,'0.0.1 Pokémon Dex Data'!$B$3:$B951,0)),0)</f>
        <v>213</v>
      </c>
      <c r="L565" s="260" t="n">
        <f aca="false" t="array" ref="L565:L565">ROUND(INDEX('0.0.1 Pokémon Dex Data'!$S$3:$S951,MATCH($E565,'0.0.1 Pokémon Dex Data'!$B$3:$B951,0))*INDEX('0.0.1 Pokémon Dex Data'!V$3:V951,MATCH($E565,'0.0.1 Pokémon Dex Data'!$B$3:$B951,0)),0)</f>
        <v>209</v>
      </c>
      <c r="M565" s="260" t="n">
        <f aca="false" t="array" ref="M565:M565">INDEX('0.0.1 Pokémon Dex Data'!$J$3:$J951,MATCH(E565,'0.0.1 Pokémon Dex Data'!$B$3:$B951,0))</f>
        <v>1</v>
      </c>
      <c r="O565" s="490"/>
      <c r="Q565" s="367" t="n">
        <f aca="false">IF('Reverse Search'!$F$4="All (including temporary formes)",1,IF('Reverse Search'!$F$4="Base Pokémon and permanent formes only",IF(F565&lt;=1,1,0),IF(F565=0,1,0)))</f>
        <v>1</v>
      </c>
      <c r="R565" s="0" t="n">
        <f aca="false">IF('Reverse Search'!$C$7="Disable",1,IF('Reverse Search'!$D$9="Disable",1,IF(OR('Reverse Search'!$F$9=H565,'Reverse Search'!$F$9=I565),1,0)))</f>
        <v>1</v>
      </c>
      <c r="S565" s="0" t="n">
        <f aca="false">IF('Reverse Search'!$C$7="Disable",1,IF('Reverse Search'!$D$10="Disable",1,IF(OR('Reverse Search'!$F$10=H565,'Reverse Search'!$F$10=I565),1,0)))</f>
        <v>1</v>
      </c>
      <c r="T565" s="0" t="n">
        <f aca="false">INDEX($B$4:$B$22,MATCH(H565,$A$4:$A$22,0))</f>
        <v>1</v>
      </c>
      <c r="U565" s="0" t="n">
        <f aca="false">IF(ISBLANK(I565),1,INDEX($B$4:$B$22,MATCH(I565,$A$4:$A$22,0)))</f>
        <v>0.714</v>
      </c>
      <c r="V565" s="367" t="n">
        <f aca="false">IF('Reverse Search'!$C$7="Disable",1,IF('Reverse Search'!$D$11="Disable",1,IF('Reverse Search'!$E$11="Neutral to:",IF(ROUND(T565*U565,2)&lt;=1,1,0),IF(ROUND(T565*U565,2)&lt;1,1,0))))</f>
        <v>1</v>
      </c>
      <c r="W565" s="0" t="n">
        <f aca="false">IF('Reverse Search'!$N$7="Disable",1,IF('Reverse Search'!$I$9="Disable",1,IF('Reverse Search'!$K$9="≥",IF(J565&gt;='Reverse Search'!$L$9,1,0),IF('Reverse Search'!$K$9="≤",IF(J565&lt;='Reverse Search'!$L$9,1,0),IF(J565='Reverse Search'!$L$9,1,0)))))</f>
        <v>1</v>
      </c>
      <c r="X565" s="0" t="n">
        <f aca="false">IF('Reverse Search'!$N$7="Disable",1,IF('Reverse Search'!$I$10="Disable",1,IF('Reverse Search'!$K$10="≥",IF(K565&gt;='Reverse Search'!$L$10,1,0),IF('Reverse Search'!$K$10="≤",IF(K565&lt;='Reverse Search'!$L$10,1,0),IF(K565='Reverse Search'!$L$10,1,0)))))</f>
        <v>1</v>
      </c>
      <c r="Y565" s="367" t="n">
        <f aca="false">IF('Reverse Search'!$N$7="Disable",1,IF('Reverse Search'!$I$11="Disable",1,IF('Reverse Search'!$K$11="≥",IF(L565&gt;='Reverse Search'!$L$11,1,0),IF('Reverse Search'!$K$11="≤",IF(L565&lt;='Reverse Search'!$L$11,1,0),IF(L565='Reverse Search'!$L$11,1,0)))))</f>
        <v>1</v>
      </c>
      <c r="Z565" s="0" t="n">
        <f aca="true">IF('Reverse Search'!$C$14="Disable",1,IF('Reverse Search'!$D$16="Disable",1,IF($C$2=3,IF($M565=0,0,COUNTIF(INDIRECT("'0.0.2 Pokémon Learnset (Core)'!$D$"&amp;MATCH($E565,'0.0.2 Pokémon Learnset (Core)'!$A$1:$A951,0)&amp;":$FK$"&amp;MATCH($E565,'0.0.2 Pokémon Learnset (Core)'!$A$1:$A951,0)),'Reverse Search'!$E$21)),IF($C$2=2,COUNTIF(INDIRECT("'0.1.1 Pokémon GO Moves'!$B$"&amp;MATCH($E565,'0.1.1 Pokémon GO Moves'!$A$1:$A951,0)&amp;":$R$"&amp;MATCH($E565,'0.1.1 Pokémon GO Moves'!$A$1:$A951,0)),'Reverse Search'!$E$21),COUNTIF(INDIRECT("'0.1.1 Pokémon GO Moves'!$B$"&amp;MATCH($E565,'0.1.1 Pokémon GO Moves'!$A$1:$A951,0)&amp;":$L$"&amp;MATCH($E565,'0.1.1 Pokémon GO Moves'!$A$1:$A951,0)),'Reverse Search'!$E$21)))))</f>
        <v>1</v>
      </c>
      <c r="AA565" s="0" t="n">
        <f aca="true">IF('Reverse Search'!$C$14="Disable",1,IF('Reverse Search'!$I$16="Disable",1,IF($D$2=3,IF($M565=0,0,COUNTIF(INDIRECT("'0.0.2 Pokémon Learnset (Core)'!$D$"&amp;MATCH($E565,'0.0.2 Pokémon Learnset (Core)'!$A$1:$A951,0)&amp;":$FK$"&amp;MATCH($E565,'0.0.2 Pokémon Learnset (Core)'!$A$1:$A951,0)),'Reverse Search'!$J$21)),IF($D$2=2,COUNTIF(INDIRECT("'0.1.1 Pokémon GO Moves'!$B$"&amp;MATCH($E565,'0.1.1 Pokémon GO Moves'!$A$1:$A951,0)&amp;":$R$"&amp;MATCH($E565,'0.1.1 Pokémon GO Moves'!$A$1:$A951,0)),'Reverse Search'!$J$21),COUNTIF(INDIRECT("'0.1.1 Pokémon GO Moves'!$B$"&amp;MATCH($E565,'0.1.1 Pokémon GO Moves'!$A$1:$A951,0)&amp;":$L$"&amp;MATCH($E565,'0.1.1 Pokémon GO Moves'!$A$1:$A951,0)),'Reverse Search'!$J$21)))))</f>
        <v>0</v>
      </c>
      <c r="AB565" s="490"/>
      <c r="AC565" s="260" t="n">
        <f aca="false">IF((Q565+R565+S565+V565+W565+X565+Y565+IF(Z565&gt;=1,1,0)+IF(AA565&gt;=1,1,0))=9,G565&amp;", ",)</f>
        <v>0</v>
      </c>
    </row>
    <row r="566" customFormat="false" ht="15.75" hidden="false" customHeight="false" outlineLevel="0" collapsed="false">
      <c r="A566" s="260"/>
      <c r="B566" s="358"/>
      <c r="C566" s="260"/>
      <c r="D566" s="358"/>
      <c r="E566" s="260" t="n">
        <v>565</v>
      </c>
      <c r="F566" s="260" t="n">
        <f aca="false" t="array" ref="F566:F566">INDEX('0.0.1 Pokémon Dex Data'!$H$3:$H951,MATCH(E566,'0.0.1 Pokémon Dex Data'!$B$3:$B951,0))</f>
        <v>0</v>
      </c>
      <c r="G566" s="0" t="str">
        <f aca="false" t="array" ref="G566:G566">INDEX('0.0.1 Pokémon Dex Data'!$E$3:$E951,MATCH(E566,'0.0.1 Pokémon Dex Data'!$B$3:$B951,0))</f>
        <v>Regigigas</v>
      </c>
      <c r="H566" s="0" t="str">
        <f aca="false" t="array" ref="H566:H566">INDEX('0.0.1 Pokémon Dex Data'!$Q$3:$Q951,MATCH(E566,'0.0.1 Pokémon Dex Data'!$B$3:$B951,0))</f>
        <v>Normal</v>
      </c>
      <c r="I566" s="0" t="n">
        <f aca="false">INDEX('0.0.1 Pokémon Dex Data'!$R$3:$R951,MATCH(E566,'0.0.1 Pokémon Dex Data'!$B$3:$B951,0))</f>
        <v>0</v>
      </c>
      <c r="J566" s="260" t="n">
        <f aca="false" t="array" ref="J566:J566">ROUND(INDEX('0.0.1 Pokémon Dex Data'!$S$3:$S951,MATCH($E566,'0.0.1 Pokémon Dex Data'!$B$3:$B951,0))*INDEX('0.0.1 Pokémon Dex Data'!T$3:T951,MATCH($E566,'0.0.1 Pokémon Dex Data'!$B$3:$B951,0)),0)</f>
        <v>286</v>
      </c>
      <c r="K566" s="260" t="n">
        <f aca="false" t="array" ref="K566:K566">ROUND(INDEX('0.0.1 Pokémon Dex Data'!$S$3:$S951,MATCH($E566,'0.0.1 Pokémon Dex Data'!$B$3:$B951,0))*INDEX('0.0.1 Pokémon Dex Data'!U$3:U951,MATCH($E566,'0.0.1 Pokémon Dex Data'!$B$3:$B951,0)),0)</f>
        <v>210</v>
      </c>
      <c r="L566" s="260" t="n">
        <f aca="false" t="array" ref="L566:L566">ROUND(INDEX('0.0.1 Pokémon Dex Data'!$S$3:$S951,MATCH($E566,'0.0.1 Pokémon Dex Data'!$B$3:$B951,0))*INDEX('0.0.1 Pokémon Dex Data'!V$3:V951,MATCH($E566,'0.0.1 Pokémon Dex Data'!$B$3:$B951,0)),0)</f>
        <v>220</v>
      </c>
      <c r="M566" s="260" t="n">
        <f aca="false" t="array" ref="M566:M566">INDEX('0.0.1 Pokémon Dex Data'!$J$3:$J951,MATCH(E566,'0.0.1 Pokémon Dex Data'!$B$3:$B951,0))</f>
        <v>1</v>
      </c>
      <c r="O566" s="490"/>
      <c r="Q566" s="367" t="n">
        <f aca="false">IF('Reverse Search'!$F$4="All (including temporary formes)",1,IF('Reverse Search'!$F$4="Base Pokémon and permanent formes only",IF(F566&lt;=1,1,0),IF(F566=0,1,0)))</f>
        <v>1</v>
      </c>
      <c r="R566" s="0" t="n">
        <f aca="false">IF('Reverse Search'!$C$7="Disable",1,IF('Reverse Search'!$D$9="Disable",1,IF(OR('Reverse Search'!$F$9=H566,'Reverse Search'!$F$9=I566),1,0)))</f>
        <v>1</v>
      </c>
      <c r="S566" s="0" t="n">
        <f aca="false">IF('Reverse Search'!$C$7="Disable",1,IF('Reverse Search'!$D$10="Disable",1,IF(OR('Reverse Search'!$F$10=H566,'Reverse Search'!$F$10=I566),1,0)))</f>
        <v>1</v>
      </c>
      <c r="T566" s="0" t="n">
        <f aca="false">INDEX($B$4:$B$22,MATCH(H566,$A$4:$A$22,0))</f>
        <v>1</v>
      </c>
      <c r="U566" s="0" t="e">
        <f aca="false">IF(ISBLANK(I566),1,INDEX($B$4:$B$22,MATCH(I566,$A$4:$A$22,0)))</f>
        <v>#N/A</v>
      </c>
      <c r="V566" s="367" t="n">
        <f aca="false">IF('Reverse Search'!$C$7="Disable",1,IF('Reverse Search'!$D$11="Disable",1,IF('Reverse Search'!$E$11="Neutral to:",IF(ROUND(T566*U566,2)&lt;=1,1,0),IF(ROUND(T566*U566,2)&lt;1,1,0))))</f>
        <v>1</v>
      </c>
      <c r="W566" s="0" t="n">
        <f aca="false">IF('Reverse Search'!$N$7="Disable",1,IF('Reverse Search'!$I$9="Disable",1,IF('Reverse Search'!$K$9="≥",IF(J566&gt;='Reverse Search'!$L$9,1,0),IF('Reverse Search'!$K$9="≤",IF(J566&lt;='Reverse Search'!$L$9,1,0),IF(J566='Reverse Search'!$L$9,1,0)))))</f>
        <v>1</v>
      </c>
      <c r="X566" s="0" t="n">
        <f aca="false">IF('Reverse Search'!$N$7="Disable",1,IF('Reverse Search'!$I$10="Disable",1,IF('Reverse Search'!$K$10="≥",IF(K566&gt;='Reverse Search'!$L$10,1,0),IF('Reverse Search'!$K$10="≤",IF(K566&lt;='Reverse Search'!$L$10,1,0),IF(K566='Reverse Search'!$L$10,1,0)))))</f>
        <v>1</v>
      </c>
      <c r="Y566" s="367" t="n">
        <f aca="false">IF('Reverse Search'!$N$7="Disable",1,IF('Reverse Search'!$I$11="Disable",1,IF('Reverse Search'!$K$11="≥",IF(L566&gt;='Reverse Search'!$L$11,1,0),IF('Reverse Search'!$K$11="≤",IF(L566&lt;='Reverse Search'!$L$11,1,0),IF(L566='Reverse Search'!$L$11,1,0)))))</f>
        <v>1</v>
      </c>
      <c r="Z566" s="0" t="n">
        <f aca="true">IF('Reverse Search'!$C$14="Disable",1,IF('Reverse Search'!$D$16="Disable",1,IF($C$2=3,IF($M566=0,0,COUNTIF(INDIRECT("'0.0.2 Pokémon Learnset (Core)'!$D$"&amp;MATCH($E566,'0.0.2 Pokémon Learnset (Core)'!$A$1:$A951,0)&amp;":$FK$"&amp;MATCH($E566,'0.0.2 Pokémon Learnset (Core)'!$A$1:$A951,0)),'Reverse Search'!$E$21)),IF($C$2=2,COUNTIF(INDIRECT("'0.1.1 Pokémon GO Moves'!$B$"&amp;MATCH($E566,'0.1.1 Pokémon GO Moves'!$A$1:$A951,0)&amp;":$R$"&amp;MATCH($E566,'0.1.1 Pokémon GO Moves'!$A$1:$A951,0)),'Reverse Search'!$E$21),COUNTIF(INDIRECT("'0.1.1 Pokémon GO Moves'!$B$"&amp;MATCH($E566,'0.1.1 Pokémon GO Moves'!$A$1:$A951,0)&amp;":$L$"&amp;MATCH($E566,'0.1.1 Pokémon GO Moves'!$A$1:$A951,0)),'Reverse Search'!$E$21)))))</f>
        <v>1</v>
      </c>
      <c r="AA566" s="0" t="n">
        <f aca="true">IF('Reverse Search'!$C$14="Disable",1,IF('Reverse Search'!$I$16="Disable",1,IF($D$2=3,IF($M566=0,0,COUNTIF(INDIRECT("'0.0.2 Pokémon Learnset (Core)'!$D$"&amp;MATCH($E566,'0.0.2 Pokémon Learnset (Core)'!$A$1:$A951,0)&amp;":$FK$"&amp;MATCH($E566,'0.0.2 Pokémon Learnset (Core)'!$A$1:$A951,0)),'Reverse Search'!$J$21)),IF($D$2=2,COUNTIF(INDIRECT("'0.1.1 Pokémon GO Moves'!$B$"&amp;MATCH($E566,'0.1.1 Pokémon GO Moves'!$A$1:$A951,0)&amp;":$R$"&amp;MATCH($E566,'0.1.1 Pokémon GO Moves'!$A$1:$A951,0)),'Reverse Search'!$J$21),COUNTIF(INDIRECT("'0.1.1 Pokémon GO Moves'!$B$"&amp;MATCH($E566,'0.1.1 Pokémon GO Moves'!$A$1:$A951,0)&amp;":$L$"&amp;MATCH($E566,'0.1.1 Pokémon GO Moves'!$A$1:$A951,0)),'Reverse Search'!$J$21)))))</f>
        <v>0</v>
      </c>
      <c r="AB566" s="490"/>
      <c r="AC566" s="260" t="n">
        <f aca="false">IF((Q566+R566+S566+V566+W566+X566+Y566+IF(Z566&gt;=1,1,0)+IF(AA566&gt;=1,1,0))=9,G566&amp;", ",)</f>
        <v>0</v>
      </c>
    </row>
    <row r="567" customFormat="false" ht="15.75" hidden="false" customHeight="false" outlineLevel="0" collapsed="false">
      <c r="A567" s="260"/>
      <c r="B567" s="358"/>
      <c r="C567" s="260"/>
      <c r="D567" s="358"/>
      <c r="E567" s="260" t="n">
        <v>566</v>
      </c>
      <c r="F567" s="260" t="n">
        <f aca="false" t="array" ref="F567:F567">INDEX('0.0.1 Pokémon Dex Data'!$H$3:$H951,MATCH(E567,'0.0.1 Pokémon Dex Data'!$B$3:$B951,0))</f>
        <v>0</v>
      </c>
      <c r="G567" s="0" t="str">
        <f aca="false" t="array" ref="G567:G567">INDEX('0.0.1 Pokémon Dex Data'!$E$3:$E951,MATCH(E567,'0.0.1 Pokémon Dex Data'!$B$3:$B951,0))</f>
        <v>Giratina</v>
      </c>
      <c r="H567" s="0" t="str">
        <f aca="false" t="array" ref="H567:H567">INDEX('0.0.1 Pokémon Dex Data'!$Q$3:$Q951,MATCH(E567,'0.0.1 Pokémon Dex Data'!$B$3:$B951,0))</f>
        <v>Ghost</v>
      </c>
      <c r="I567" s="0" t="str">
        <f aca="false" t="array" ref="I567:I567">INDEX('0.0.1 Pokémon Dex Data'!$R$3:$R951,MATCH(E567,'0.0.1 Pokémon Dex Data'!$B$3:$B951,0))</f>
        <v>Dragon</v>
      </c>
      <c r="J567" s="260" t="n">
        <f aca="false" t="array" ref="J567:J567">ROUND(INDEX('0.0.1 Pokémon Dex Data'!$S$3:$S951,MATCH($E567,'0.0.1 Pokémon Dex Data'!$B$3:$B951,0))*INDEX('0.0.1 Pokémon Dex Data'!T$3:T951,MATCH($E567,'0.0.1 Pokémon Dex Data'!$B$3:$B951,0)),0)</f>
        <v>187</v>
      </c>
      <c r="K567" s="260" t="n">
        <f aca="false" t="array" ref="K567:K567">ROUND(INDEX('0.0.1 Pokémon Dex Data'!$S$3:$S951,MATCH($E567,'0.0.1 Pokémon Dex Data'!$B$3:$B951,0))*INDEX('0.0.1 Pokémon Dex Data'!U$3:U951,MATCH($E567,'0.0.1 Pokémon Dex Data'!$B$3:$B951,0)),0)</f>
        <v>225</v>
      </c>
      <c r="L567" s="260" t="n">
        <f aca="false" t="array" ref="L567:L567">ROUND(INDEX('0.0.1 Pokémon Dex Data'!$S$3:$S951,MATCH($E567,'0.0.1 Pokémon Dex Data'!$B$3:$B951,0))*INDEX('0.0.1 Pokémon Dex Data'!V$3:V951,MATCH($E567,'0.0.1 Pokémon Dex Data'!$B$3:$B951,0)),0)</f>
        <v>284</v>
      </c>
      <c r="M567" s="260" t="n">
        <f aca="false" t="array" ref="M567:M567">INDEX('0.0.1 Pokémon Dex Data'!$J$3:$J951,MATCH(E567,'0.0.1 Pokémon Dex Data'!$B$3:$B951,0))</f>
        <v>1</v>
      </c>
      <c r="O567" s="490"/>
      <c r="Q567" s="367" t="n">
        <f aca="false">IF('Reverse Search'!$F$4="All (including temporary formes)",1,IF('Reverse Search'!$F$4="Base Pokémon and permanent formes only",IF(F567&lt;=1,1,0),IF(F567=0,1,0)))</f>
        <v>1</v>
      </c>
      <c r="R567" s="0" t="n">
        <f aca="false">IF('Reverse Search'!$C$7="Disable",1,IF('Reverse Search'!$D$9="Disable",1,IF(OR('Reverse Search'!$F$9=H567,'Reverse Search'!$F$9=I567),1,0)))</f>
        <v>1</v>
      </c>
      <c r="S567" s="0" t="n">
        <f aca="false">IF('Reverse Search'!$C$7="Disable",1,IF('Reverse Search'!$D$10="Disable",1,IF(OR('Reverse Search'!$F$10=H567,'Reverse Search'!$F$10=I567),1,0)))</f>
        <v>1</v>
      </c>
      <c r="T567" s="0" t="n">
        <f aca="false">INDEX($B$4:$B$22,MATCH(H567,$A$4:$A$22,0))</f>
        <v>0.51</v>
      </c>
      <c r="U567" s="0" t="n">
        <f aca="false">IF(ISBLANK(I567),1,INDEX($B$4:$B$22,MATCH(I567,$A$4:$A$22,0)))</f>
        <v>1</v>
      </c>
      <c r="V567" s="367" t="n">
        <f aca="false">IF('Reverse Search'!$C$7="Disable",1,IF('Reverse Search'!$D$11="Disable",1,IF('Reverse Search'!$E$11="Neutral to:",IF(ROUND(T567*U567,2)&lt;=1,1,0),IF(ROUND(T567*U567,2)&lt;1,1,0))))</f>
        <v>1</v>
      </c>
      <c r="W567" s="0" t="n">
        <f aca="false">IF('Reverse Search'!$N$7="Disable",1,IF('Reverse Search'!$I$9="Disable",1,IF('Reverse Search'!$K$9="≥",IF(J567&gt;='Reverse Search'!$L$9,1,0),IF('Reverse Search'!$K$9="≤",IF(J567&lt;='Reverse Search'!$L$9,1,0),IF(J567='Reverse Search'!$L$9,1,0)))))</f>
        <v>1</v>
      </c>
      <c r="X567" s="0" t="n">
        <f aca="false">IF('Reverse Search'!$N$7="Disable",1,IF('Reverse Search'!$I$10="Disable",1,IF('Reverse Search'!$K$10="≥",IF(K567&gt;='Reverse Search'!$L$10,1,0),IF('Reverse Search'!$K$10="≤",IF(K567&lt;='Reverse Search'!$L$10,1,0),IF(K567='Reverse Search'!$L$10,1,0)))))</f>
        <v>1</v>
      </c>
      <c r="Y567" s="367" t="n">
        <f aca="false">IF('Reverse Search'!$N$7="Disable",1,IF('Reverse Search'!$I$11="Disable",1,IF('Reverse Search'!$K$11="≥",IF(L567&gt;='Reverse Search'!$L$11,1,0),IF('Reverse Search'!$K$11="≤",IF(L567&lt;='Reverse Search'!$L$11,1,0),IF(L567='Reverse Search'!$L$11,1,0)))))</f>
        <v>1</v>
      </c>
      <c r="Z567" s="0" t="n">
        <f aca="true">IF('Reverse Search'!$C$14="Disable",1,IF('Reverse Search'!$D$16="Disable",1,IF($C$2=3,IF($M567=0,0,COUNTIF(INDIRECT("'0.0.2 Pokémon Learnset (Core)'!$D$"&amp;MATCH($E567,'0.0.2 Pokémon Learnset (Core)'!$A$1:$A951,0)&amp;":$FK$"&amp;MATCH($E567,'0.0.2 Pokémon Learnset (Core)'!$A$1:$A951,0)),'Reverse Search'!$E$21)),IF($C$2=2,COUNTIF(INDIRECT("'0.1.1 Pokémon GO Moves'!$B$"&amp;MATCH($E567,'0.1.1 Pokémon GO Moves'!$A$1:$A951,0)&amp;":$R$"&amp;MATCH($E567,'0.1.1 Pokémon GO Moves'!$A$1:$A951,0)),'Reverse Search'!$E$21),COUNTIF(INDIRECT("'0.1.1 Pokémon GO Moves'!$B$"&amp;MATCH($E567,'0.1.1 Pokémon GO Moves'!$A$1:$A951,0)&amp;":$L$"&amp;MATCH($E567,'0.1.1 Pokémon GO Moves'!$A$1:$A951,0)),'Reverse Search'!$E$21)))))</f>
        <v>1</v>
      </c>
      <c r="AA567" s="0" t="n">
        <f aca="true">IF('Reverse Search'!$C$14="Disable",1,IF('Reverse Search'!$I$16="Disable",1,IF($D$2=3,IF($M567=0,0,COUNTIF(INDIRECT("'0.0.2 Pokémon Learnset (Core)'!$D$"&amp;MATCH($E567,'0.0.2 Pokémon Learnset (Core)'!$A$1:$A951,0)&amp;":$FK$"&amp;MATCH($E567,'0.0.2 Pokémon Learnset (Core)'!$A$1:$A951,0)),'Reverse Search'!$J$21)),IF($D$2=2,COUNTIF(INDIRECT("'0.1.1 Pokémon GO Moves'!$B$"&amp;MATCH($E567,'0.1.1 Pokémon GO Moves'!$A$1:$A951,0)&amp;":$R$"&amp;MATCH($E567,'0.1.1 Pokémon GO Moves'!$A$1:$A951,0)),'Reverse Search'!$J$21),COUNTIF(INDIRECT("'0.1.1 Pokémon GO Moves'!$B$"&amp;MATCH($E567,'0.1.1 Pokémon GO Moves'!$A$1:$A951,0)&amp;":$L$"&amp;MATCH($E567,'0.1.1 Pokémon GO Moves'!$A$1:$A951,0)),'Reverse Search'!$J$21)))))</f>
        <v>0</v>
      </c>
      <c r="AB567" s="490"/>
      <c r="AC567" s="260" t="n">
        <f aca="false">IF((Q567+R567+S567+V567+W567+X567+Y567+IF(Z567&gt;=1,1,0)+IF(AA567&gt;=1,1,0))=9,G567&amp;", ",)</f>
        <v>0</v>
      </c>
    </row>
    <row r="568" customFormat="false" ht="15.75" hidden="false" customHeight="false" outlineLevel="0" collapsed="false">
      <c r="A568" s="260"/>
      <c r="B568" s="358"/>
      <c r="C568" s="260"/>
      <c r="D568" s="358"/>
      <c r="E568" s="260" t="n">
        <v>567</v>
      </c>
      <c r="F568" s="260" t="n">
        <f aca="false" t="array" ref="F568:F568">INDEX('0.0.1 Pokémon Dex Data'!$H$3:$H951,MATCH(E568,'0.0.1 Pokémon Dex Data'!$B$3:$B951,0))</f>
        <v>1</v>
      </c>
      <c r="G568" s="0" t="str">
        <f aca="false" t="array" ref="G568:G568">INDEX('0.0.1 Pokémon Dex Data'!$E$3:$E951,MATCH(E568,'0.0.1 Pokémon Dex Data'!$B$3:$B951,0))</f>
        <v>Giratina-Origin</v>
      </c>
      <c r="H568" s="0" t="str">
        <f aca="false" t="array" ref="H568:H568">INDEX('0.0.1 Pokémon Dex Data'!$Q$3:$Q951,MATCH(E568,'0.0.1 Pokémon Dex Data'!$B$3:$B951,0))</f>
        <v>Ghost</v>
      </c>
      <c r="I568" s="0" t="str">
        <f aca="false" t="array" ref="I568:I568">INDEX('0.0.1 Pokémon Dex Data'!$R$3:$R951,MATCH(E568,'0.0.1 Pokémon Dex Data'!$B$3:$B951,0))</f>
        <v>Dragon</v>
      </c>
      <c r="J568" s="260" t="n">
        <f aca="false" t="array" ref="J568:J568">ROUND(INDEX('0.0.1 Pokémon Dex Data'!$S$3:$S951,MATCH($E568,'0.0.1 Pokémon Dex Data'!$B$3:$B951,0))*INDEX('0.0.1 Pokémon Dex Data'!T$3:T951,MATCH($E568,'0.0.1 Pokémon Dex Data'!$B$3:$B951,0)),0)</f>
        <v>225</v>
      </c>
      <c r="K568" s="260" t="n">
        <f aca="false" t="array" ref="K568:K568">ROUND(INDEX('0.0.1 Pokémon Dex Data'!$S$3:$S951,MATCH($E568,'0.0.1 Pokémon Dex Data'!$B$3:$B951,0))*INDEX('0.0.1 Pokémon Dex Data'!U$3:U951,MATCH($E568,'0.0.1 Pokémon Dex Data'!$B$3:$B951,0)),0)</f>
        <v>187</v>
      </c>
      <c r="L568" s="260" t="n">
        <f aca="false" t="array" ref="L568:L568">ROUND(INDEX('0.0.1 Pokémon Dex Data'!$S$3:$S951,MATCH($E568,'0.0.1 Pokémon Dex Data'!$B$3:$B951,0))*INDEX('0.0.1 Pokémon Dex Data'!V$3:V951,MATCH($E568,'0.0.1 Pokémon Dex Data'!$B$3:$B951,0)),0)</f>
        <v>284</v>
      </c>
      <c r="M568" s="260" t="n">
        <f aca="false" t="array" ref="M568:M568">INDEX('0.0.1 Pokémon Dex Data'!$J$3:$J951,MATCH(E568,'0.0.1 Pokémon Dex Data'!$B$3:$B951,0))</f>
        <v>1</v>
      </c>
      <c r="O568" s="490"/>
      <c r="Q568" s="367" t="n">
        <f aca="false">IF('Reverse Search'!$F$4="All (including temporary formes)",1,IF('Reverse Search'!$F$4="Base Pokémon and permanent formes only",IF(F568&lt;=1,1,0),IF(F568=0,1,0)))</f>
        <v>0</v>
      </c>
      <c r="R568" s="0" t="n">
        <f aca="false">IF('Reverse Search'!$C$7="Disable",1,IF('Reverse Search'!$D$9="Disable",1,IF(OR('Reverse Search'!$F$9=H568,'Reverse Search'!$F$9=I568),1,0)))</f>
        <v>1</v>
      </c>
      <c r="S568" s="0" t="n">
        <f aca="false">IF('Reverse Search'!$C$7="Disable",1,IF('Reverse Search'!$D$10="Disable",1,IF(OR('Reverse Search'!$F$10=H568,'Reverse Search'!$F$10=I568),1,0)))</f>
        <v>1</v>
      </c>
      <c r="T568" s="0" t="n">
        <f aca="false">INDEX($B$4:$B$22,MATCH(H568,$A$4:$A$22,0))</f>
        <v>0.51</v>
      </c>
      <c r="U568" s="0" t="n">
        <f aca="false">IF(ISBLANK(I568),1,INDEX($B$4:$B$22,MATCH(I568,$A$4:$A$22,0)))</f>
        <v>1</v>
      </c>
      <c r="V568" s="367" t="n">
        <f aca="false">IF('Reverse Search'!$C$7="Disable",1,IF('Reverse Search'!$D$11="Disable",1,IF('Reverse Search'!$E$11="Neutral to:",IF(ROUND(T568*U568,2)&lt;=1,1,0),IF(ROUND(T568*U568,2)&lt;1,1,0))))</f>
        <v>1</v>
      </c>
      <c r="W568" s="0" t="n">
        <f aca="false">IF('Reverse Search'!$N$7="Disable",1,IF('Reverse Search'!$I$9="Disable",1,IF('Reverse Search'!$K$9="≥",IF(J568&gt;='Reverse Search'!$L$9,1,0),IF('Reverse Search'!$K$9="≤",IF(J568&lt;='Reverse Search'!$L$9,1,0),IF(J568='Reverse Search'!$L$9,1,0)))))</f>
        <v>1</v>
      </c>
      <c r="X568" s="0" t="n">
        <f aca="false">IF('Reverse Search'!$N$7="Disable",1,IF('Reverse Search'!$I$10="Disable",1,IF('Reverse Search'!$K$10="≥",IF(K568&gt;='Reverse Search'!$L$10,1,0),IF('Reverse Search'!$K$10="≤",IF(K568&lt;='Reverse Search'!$L$10,1,0),IF(K568='Reverse Search'!$L$10,1,0)))))</f>
        <v>1</v>
      </c>
      <c r="Y568" s="367" t="n">
        <f aca="false">IF('Reverse Search'!$N$7="Disable",1,IF('Reverse Search'!$I$11="Disable",1,IF('Reverse Search'!$K$11="≥",IF(L568&gt;='Reverse Search'!$L$11,1,0),IF('Reverse Search'!$K$11="≤",IF(L568&lt;='Reverse Search'!$L$11,1,0),IF(L568='Reverse Search'!$L$11,1,0)))))</f>
        <v>1</v>
      </c>
      <c r="Z568" s="0" t="n">
        <f aca="true">IF('Reverse Search'!$C$14="Disable",1,IF('Reverse Search'!$D$16="Disable",1,IF($C$2=3,IF($M568=0,0,COUNTIF(INDIRECT("'0.0.2 Pokémon Learnset (Core)'!$D$"&amp;MATCH($E568,'0.0.2 Pokémon Learnset (Core)'!$A$1:$A951,0)&amp;":$FK$"&amp;MATCH($E568,'0.0.2 Pokémon Learnset (Core)'!$A$1:$A951,0)),'Reverse Search'!$E$21)),IF($C$2=2,COUNTIF(INDIRECT("'0.1.1 Pokémon GO Moves'!$B$"&amp;MATCH($E568,'0.1.1 Pokémon GO Moves'!$A$1:$A951,0)&amp;":$R$"&amp;MATCH($E568,'0.1.1 Pokémon GO Moves'!$A$1:$A951,0)),'Reverse Search'!$E$21),COUNTIF(INDIRECT("'0.1.1 Pokémon GO Moves'!$B$"&amp;MATCH($E568,'0.1.1 Pokémon GO Moves'!$A$1:$A951,0)&amp;":$L$"&amp;MATCH($E568,'0.1.1 Pokémon GO Moves'!$A$1:$A951,0)),'Reverse Search'!$E$21)))))</f>
        <v>1</v>
      </c>
      <c r="AA568" s="0" t="e">
        <f aca="true">IF('Reverse Search'!$C$14="Disable",1,IF('Reverse Search'!$I$16="Disable",1,IF($D$2=3,IF($M568=0,0,COUNTIF(INDIRECT("'0.0.2 Pokémon Learnset (Core)'!$D$"&amp;MATCH($E568,'0.0.2 Pokémon Learnset (Core)'!$A$1:$A951,0)&amp;":$FK$"&amp;MATCH($E568,'0.0.2 Pokémon Learnset (Core)'!$A$1:$A951,0)),'Reverse Search'!$J$21)),IF($D$2=2,COUNTIF(INDIRECT("'0.1.1 Pokémon GO Moves'!$B$"&amp;MATCH($E568,'0.1.1 Pokémon GO Moves'!$A$1:$A951,0)&amp;":$R$"&amp;MATCH($E568,'0.1.1 Pokémon GO Moves'!$A$1:$A951,0)),'Reverse Search'!$J$21),COUNTIF(INDIRECT("'0.1.1 Pokémon GO Moves'!$B$"&amp;MATCH($E568,'0.1.1 Pokémon GO Moves'!$A$1:$A951,0)&amp;":$L$"&amp;MATCH($E568,'0.1.1 Pokémon GO Moves'!$A$1:$A951,0)),'Reverse Search'!$J$21)))))</f>
        <v>#N/A</v>
      </c>
      <c r="AB568" s="490"/>
      <c r="AC568" s="260" t="e">
        <f aca="false">IF((Q568+R568+S568+V568+W568+X568+Y568+IF(Z568&gt;=1,1,0)+IF(AA568&gt;=1,1,0))=9,G568&amp;", ",)</f>
        <v>#N/A</v>
      </c>
    </row>
    <row r="569" customFormat="false" ht="15.75" hidden="false" customHeight="false" outlineLevel="0" collapsed="false">
      <c r="A569" s="260"/>
      <c r="B569" s="358"/>
      <c r="C569" s="260"/>
      <c r="D569" s="358"/>
      <c r="E569" s="260" t="n">
        <v>568</v>
      </c>
      <c r="F569" s="260" t="n">
        <f aca="false" t="array" ref="F569:F569">INDEX('0.0.1 Pokémon Dex Data'!$H$3:$H951,MATCH(E569,'0.0.1 Pokémon Dex Data'!$B$3:$B951,0))</f>
        <v>0</v>
      </c>
      <c r="G569" s="0" t="str">
        <f aca="false" t="array" ref="G569:G569">INDEX('0.0.1 Pokémon Dex Data'!$E$3:$E951,MATCH(E569,'0.0.1 Pokémon Dex Data'!$B$3:$B951,0))</f>
        <v>Cresselia</v>
      </c>
      <c r="H569" s="0" t="str">
        <f aca="false" t="array" ref="H569:H569">INDEX('0.0.1 Pokémon Dex Data'!$Q$3:$Q951,MATCH(E569,'0.0.1 Pokémon Dex Data'!$B$3:$B951,0))</f>
        <v>Psychic</v>
      </c>
      <c r="I569" s="0" t="n">
        <f aca="false">INDEX('0.0.1 Pokémon Dex Data'!$R$3:$R951,MATCH(E569,'0.0.1 Pokémon Dex Data'!$B$3:$B951,0))</f>
        <v>0</v>
      </c>
      <c r="J569" s="260" t="n">
        <f aca="false" t="array" ref="J569:J569">ROUND(INDEX('0.0.1 Pokémon Dex Data'!$S$3:$S951,MATCH($E569,'0.0.1 Pokémon Dex Data'!$B$3:$B951,0))*INDEX('0.0.1 Pokémon Dex Data'!T$3:T951,MATCH($E569,'0.0.1 Pokémon Dex Data'!$B$3:$B951,0)),0)</f>
        <v>152</v>
      </c>
      <c r="K569" s="260" t="n">
        <f aca="false" t="array" ref="K569:K569">ROUND(INDEX('0.0.1 Pokémon Dex Data'!$S$3:$S951,MATCH($E569,'0.0.1 Pokémon Dex Data'!$B$3:$B951,0))*INDEX('0.0.1 Pokémon Dex Data'!U$3:U951,MATCH($E569,'0.0.1 Pokémon Dex Data'!$B$3:$B951,0)),0)</f>
        <v>258</v>
      </c>
      <c r="L569" s="260" t="n">
        <f aca="false" t="array" ref="L569:L569">ROUND(INDEX('0.0.1 Pokémon Dex Data'!$S$3:$S951,MATCH($E569,'0.0.1 Pokémon Dex Data'!$B$3:$B951,0))*INDEX('0.0.1 Pokémon Dex Data'!V$3:V951,MATCH($E569,'0.0.1 Pokémon Dex Data'!$B$3:$B951,0)),0)</f>
        <v>260</v>
      </c>
      <c r="M569" s="260" t="n">
        <f aca="false" t="array" ref="M569:M569">INDEX('0.0.1 Pokémon Dex Data'!$J$3:$J951,MATCH(E569,'0.0.1 Pokémon Dex Data'!$B$3:$B951,0))</f>
        <v>1</v>
      </c>
      <c r="O569" s="490"/>
      <c r="Q569" s="367" t="n">
        <f aca="false">IF('Reverse Search'!$F$4="All (including temporary formes)",1,IF('Reverse Search'!$F$4="Base Pokémon and permanent formes only",IF(F569&lt;=1,1,0),IF(F569=0,1,0)))</f>
        <v>1</v>
      </c>
      <c r="R569" s="0" t="n">
        <f aca="false">IF('Reverse Search'!$C$7="Disable",1,IF('Reverse Search'!$D$9="Disable",1,IF(OR('Reverse Search'!$F$9=H569,'Reverse Search'!$F$9=I569),1,0)))</f>
        <v>1</v>
      </c>
      <c r="S569" s="0" t="n">
        <f aca="false">IF('Reverse Search'!$C$7="Disable",1,IF('Reverse Search'!$D$10="Disable",1,IF(OR('Reverse Search'!$F$10=H569,'Reverse Search'!$F$10=I569),1,0)))</f>
        <v>1</v>
      </c>
      <c r="T569" s="0" t="n">
        <f aca="false">INDEX($B$4:$B$22,MATCH(H569,$A$4:$A$22,0))</f>
        <v>1</v>
      </c>
      <c r="U569" s="0" t="e">
        <f aca="false">IF(ISBLANK(I569),1,INDEX($B$4:$B$22,MATCH(I569,$A$4:$A$22,0)))</f>
        <v>#N/A</v>
      </c>
      <c r="V569" s="367" t="n">
        <f aca="false">IF('Reverse Search'!$C$7="Disable",1,IF('Reverse Search'!$D$11="Disable",1,IF('Reverse Search'!$E$11="Neutral to:",IF(ROUND(T569*U569,2)&lt;=1,1,0),IF(ROUND(T569*U569,2)&lt;1,1,0))))</f>
        <v>1</v>
      </c>
      <c r="W569" s="0" t="n">
        <f aca="false">IF('Reverse Search'!$N$7="Disable",1,IF('Reverse Search'!$I$9="Disable",1,IF('Reverse Search'!$K$9="≥",IF(J569&gt;='Reverse Search'!$L$9,1,0),IF('Reverse Search'!$K$9="≤",IF(J569&lt;='Reverse Search'!$L$9,1,0),IF(J569='Reverse Search'!$L$9,1,0)))))</f>
        <v>1</v>
      </c>
      <c r="X569" s="0" t="n">
        <f aca="false">IF('Reverse Search'!$N$7="Disable",1,IF('Reverse Search'!$I$10="Disable",1,IF('Reverse Search'!$K$10="≥",IF(K569&gt;='Reverse Search'!$L$10,1,0),IF('Reverse Search'!$K$10="≤",IF(K569&lt;='Reverse Search'!$L$10,1,0),IF(K569='Reverse Search'!$L$10,1,0)))))</f>
        <v>1</v>
      </c>
      <c r="Y569" s="367" t="n">
        <f aca="false">IF('Reverse Search'!$N$7="Disable",1,IF('Reverse Search'!$I$11="Disable",1,IF('Reverse Search'!$K$11="≥",IF(L569&gt;='Reverse Search'!$L$11,1,0),IF('Reverse Search'!$K$11="≤",IF(L569&lt;='Reverse Search'!$L$11,1,0),IF(L569='Reverse Search'!$L$11,1,0)))))</f>
        <v>1</v>
      </c>
      <c r="Z569" s="0" t="n">
        <f aca="true">IF('Reverse Search'!$C$14="Disable",1,IF('Reverse Search'!$D$16="Disable",1,IF($C$2=3,IF($M569=0,0,COUNTIF(INDIRECT("'0.0.2 Pokémon Learnset (Core)'!$D$"&amp;MATCH($E569,'0.0.2 Pokémon Learnset (Core)'!$A$1:$A951,0)&amp;":$FK$"&amp;MATCH($E569,'0.0.2 Pokémon Learnset (Core)'!$A$1:$A951,0)),'Reverse Search'!$E$21)),IF($C$2=2,COUNTIF(INDIRECT("'0.1.1 Pokémon GO Moves'!$B$"&amp;MATCH($E569,'0.1.1 Pokémon GO Moves'!$A$1:$A951,0)&amp;":$R$"&amp;MATCH($E569,'0.1.1 Pokémon GO Moves'!$A$1:$A951,0)),'Reverse Search'!$E$21),COUNTIF(INDIRECT("'0.1.1 Pokémon GO Moves'!$B$"&amp;MATCH($E569,'0.1.1 Pokémon GO Moves'!$A$1:$A951,0)&amp;":$L$"&amp;MATCH($E569,'0.1.1 Pokémon GO Moves'!$A$1:$A951,0)),'Reverse Search'!$E$21)))))</f>
        <v>1</v>
      </c>
      <c r="AA569" s="0" t="n">
        <f aca="true">IF('Reverse Search'!$C$14="Disable",1,IF('Reverse Search'!$I$16="Disable",1,IF($D$2=3,IF($M569=0,0,COUNTIF(INDIRECT("'0.0.2 Pokémon Learnset (Core)'!$D$"&amp;MATCH($E569,'0.0.2 Pokémon Learnset (Core)'!$A$1:$A951,0)&amp;":$FK$"&amp;MATCH($E569,'0.0.2 Pokémon Learnset (Core)'!$A$1:$A951,0)),'Reverse Search'!$J$21)),IF($D$2=2,COUNTIF(INDIRECT("'0.1.1 Pokémon GO Moves'!$B$"&amp;MATCH($E569,'0.1.1 Pokémon GO Moves'!$A$1:$A951,0)&amp;":$R$"&amp;MATCH($E569,'0.1.1 Pokémon GO Moves'!$A$1:$A951,0)),'Reverse Search'!$J$21),COUNTIF(INDIRECT("'0.1.1 Pokémon GO Moves'!$B$"&amp;MATCH($E569,'0.1.1 Pokémon GO Moves'!$A$1:$A951,0)&amp;":$L$"&amp;MATCH($E569,'0.1.1 Pokémon GO Moves'!$A$1:$A951,0)),'Reverse Search'!$J$21)))))</f>
        <v>0</v>
      </c>
      <c r="AB569" s="490"/>
      <c r="AC569" s="260" t="n">
        <f aca="false">IF((Q569+R569+S569+V569+W569+X569+Y569+IF(Z569&gt;=1,1,0)+IF(AA569&gt;=1,1,0))=9,G569&amp;", ",)</f>
        <v>0</v>
      </c>
    </row>
    <row r="570" customFormat="false" ht="15.75" hidden="false" customHeight="false" outlineLevel="0" collapsed="false">
      <c r="A570" s="260"/>
      <c r="B570" s="358"/>
      <c r="C570" s="260"/>
      <c r="D570" s="358"/>
      <c r="E570" s="260" t="n">
        <v>569</v>
      </c>
      <c r="F570" s="260" t="n">
        <f aca="false" t="array" ref="F570:F570">INDEX('0.0.1 Pokémon Dex Data'!$H$3:$H951,MATCH(E570,'0.0.1 Pokémon Dex Data'!$B$3:$B951,0))</f>
        <v>0</v>
      </c>
      <c r="G570" s="0" t="str">
        <f aca="false" t="array" ref="G570:G570">INDEX('0.0.1 Pokémon Dex Data'!$E$3:$E951,MATCH(E570,'0.0.1 Pokémon Dex Data'!$B$3:$B951,0))</f>
        <v>Phione</v>
      </c>
      <c r="H570" s="0" t="str">
        <f aca="false" t="array" ref="H570:H570">INDEX('0.0.1 Pokémon Dex Data'!$Q$3:$Q951,MATCH(E570,'0.0.1 Pokémon Dex Data'!$B$3:$B951,0))</f>
        <v>Water</v>
      </c>
      <c r="I570" s="0" t="n">
        <f aca="false">INDEX('0.0.1 Pokémon Dex Data'!$R$3:$R951,MATCH(E570,'0.0.1 Pokémon Dex Data'!$B$3:$B951,0))</f>
        <v>0</v>
      </c>
      <c r="J570" s="260" t="n">
        <f aca="false" t="array" ref="J570:J570">ROUND(INDEX('0.0.1 Pokémon Dex Data'!$S$3:$S951,MATCH($E570,'0.0.1 Pokémon Dex Data'!$B$3:$B951,0))*INDEX('0.0.1 Pokémon Dex Data'!T$3:T951,MATCH($E570,'0.0.1 Pokémon Dex Data'!$B$3:$B951,0)),0)</f>
        <v>162</v>
      </c>
      <c r="K570" s="260" t="n">
        <f aca="false" t="array" ref="K570:K570">ROUND(INDEX('0.0.1 Pokémon Dex Data'!$S$3:$S951,MATCH($E570,'0.0.1 Pokémon Dex Data'!$B$3:$B951,0))*INDEX('0.0.1 Pokémon Dex Data'!U$3:U951,MATCH($E570,'0.0.1 Pokémon Dex Data'!$B$3:$B951,0)),0)</f>
        <v>162</v>
      </c>
      <c r="L570" s="260" t="n">
        <f aca="false" t="array" ref="L570:L570">ROUND(INDEX('0.0.1 Pokémon Dex Data'!$S$3:$S951,MATCH($E570,'0.0.1 Pokémon Dex Data'!$B$3:$B951,0))*INDEX('0.0.1 Pokémon Dex Data'!V$3:V951,MATCH($E570,'0.0.1 Pokémon Dex Data'!$B$3:$B951,0)),0)</f>
        <v>190</v>
      </c>
      <c r="M570" s="260" t="n">
        <f aca="false" t="array" ref="M570:M570">INDEX('0.0.1 Pokémon Dex Data'!$J$3:$J951,MATCH(E570,'0.0.1 Pokémon Dex Data'!$B$3:$B951,0))</f>
        <v>1</v>
      </c>
      <c r="O570" s="490"/>
      <c r="Q570" s="367" t="n">
        <f aca="false">IF('Reverse Search'!$F$4="All (including temporary formes)",1,IF('Reverse Search'!$F$4="Base Pokémon and permanent formes only",IF(F570&lt;=1,1,0),IF(F570=0,1,0)))</f>
        <v>1</v>
      </c>
      <c r="R570" s="0" t="n">
        <f aca="false">IF('Reverse Search'!$C$7="Disable",1,IF('Reverse Search'!$D$9="Disable",1,IF(OR('Reverse Search'!$F$9=H570,'Reverse Search'!$F$9=I570),1,0)))</f>
        <v>1</v>
      </c>
      <c r="S570" s="0" t="n">
        <f aca="false">IF('Reverse Search'!$C$7="Disable",1,IF('Reverse Search'!$D$10="Disable",1,IF(OR('Reverse Search'!$F$10=H570,'Reverse Search'!$F$10=I570),1,0)))</f>
        <v>1</v>
      </c>
      <c r="T570" s="0" t="n">
        <f aca="false">INDEX($B$4:$B$22,MATCH(H570,$A$4:$A$22,0))</f>
        <v>1</v>
      </c>
      <c r="U570" s="0" t="e">
        <f aca="false">IF(ISBLANK(I570),1,INDEX($B$4:$B$22,MATCH(I570,$A$4:$A$22,0)))</f>
        <v>#N/A</v>
      </c>
      <c r="V570" s="367" t="n">
        <f aca="false">IF('Reverse Search'!$C$7="Disable",1,IF('Reverse Search'!$D$11="Disable",1,IF('Reverse Search'!$E$11="Neutral to:",IF(ROUND(T570*U570,2)&lt;=1,1,0),IF(ROUND(T570*U570,2)&lt;1,1,0))))</f>
        <v>1</v>
      </c>
      <c r="W570" s="0" t="n">
        <f aca="false">IF('Reverse Search'!$N$7="Disable",1,IF('Reverse Search'!$I$9="Disable",1,IF('Reverse Search'!$K$9="≥",IF(J570&gt;='Reverse Search'!$L$9,1,0),IF('Reverse Search'!$K$9="≤",IF(J570&lt;='Reverse Search'!$L$9,1,0),IF(J570='Reverse Search'!$L$9,1,0)))))</f>
        <v>1</v>
      </c>
      <c r="X570" s="0" t="n">
        <f aca="false">IF('Reverse Search'!$N$7="Disable",1,IF('Reverse Search'!$I$10="Disable",1,IF('Reverse Search'!$K$10="≥",IF(K570&gt;='Reverse Search'!$L$10,1,0),IF('Reverse Search'!$K$10="≤",IF(K570&lt;='Reverse Search'!$L$10,1,0),IF(K570='Reverse Search'!$L$10,1,0)))))</f>
        <v>1</v>
      </c>
      <c r="Y570" s="367" t="n">
        <f aca="false">IF('Reverse Search'!$N$7="Disable",1,IF('Reverse Search'!$I$11="Disable",1,IF('Reverse Search'!$K$11="≥",IF(L570&gt;='Reverse Search'!$L$11,1,0),IF('Reverse Search'!$K$11="≤",IF(L570&lt;='Reverse Search'!$L$11,1,0),IF(L570='Reverse Search'!$L$11,1,0)))))</f>
        <v>1</v>
      </c>
      <c r="Z570" s="0" t="n">
        <f aca="true">IF('Reverse Search'!$C$14="Disable",1,IF('Reverse Search'!$D$16="Disable",1,IF($C$2=3,IF($M570=0,0,COUNTIF(INDIRECT("'0.0.2 Pokémon Learnset (Core)'!$D$"&amp;MATCH($E570,'0.0.2 Pokémon Learnset (Core)'!$A$1:$A951,0)&amp;":$FK$"&amp;MATCH($E570,'0.0.2 Pokémon Learnset (Core)'!$A$1:$A951,0)),'Reverse Search'!$E$21)),IF($C$2=2,COUNTIF(INDIRECT("'0.1.1 Pokémon GO Moves'!$B$"&amp;MATCH($E570,'0.1.1 Pokémon GO Moves'!$A$1:$A951,0)&amp;":$R$"&amp;MATCH($E570,'0.1.1 Pokémon GO Moves'!$A$1:$A951,0)),'Reverse Search'!$E$21),COUNTIF(INDIRECT("'0.1.1 Pokémon GO Moves'!$B$"&amp;MATCH($E570,'0.1.1 Pokémon GO Moves'!$A$1:$A951,0)&amp;":$L$"&amp;MATCH($E570,'0.1.1 Pokémon GO Moves'!$A$1:$A951,0)),'Reverse Search'!$E$21)))))</f>
        <v>1</v>
      </c>
      <c r="AA570" s="0" t="n">
        <f aca="true">IF('Reverse Search'!$C$14="Disable",1,IF('Reverse Search'!$I$16="Disable",1,IF($D$2=3,IF($M570=0,0,COUNTIF(INDIRECT("'0.0.2 Pokémon Learnset (Core)'!$D$"&amp;MATCH($E570,'0.0.2 Pokémon Learnset (Core)'!$A$1:$A951,0)&amp;":$FK$"&amp;MATCH($E570,'0.0.2 Pokémon Learnset (Core)'!$A$1:$A951,0)),'Reverse Search'!$J$21)),IF($D$2=2,COUNTIF(INDIRECT("'0.1.1 Pokémon GO Moves'!$B$"&amp;MATCH($E570,'0.1.1 Pokémon GO Moves'!$A$1:$A951,0)&amp;":$R$"&amp;MATCH($E570,'0.1.1 Pokémon GO Moves'!$A$1:$A951,0)),'Reverse Search'!$J$21),COUNTIF(INDIRECT("'0.1.1 Pokémon GO Moves'!$B$"&amp;MATCH($E570,'0.1.1 Pokémon GO Moves'!$A$1:$A951,0)&amp;":$L$"&amp;MATCH($E570,'0.1.1 Pokémon GO Moves'!$A$1:$A951,0)),'Reverse Search'!$J$21)))))</f>
        <v>0</v>
      </c>
      <c r="AB570" s="490"/>
      <c r="AC570" s="260" t="n">
        <f aca="false">IF((Q570+R570+S570+V570+W570+X570+Y570+IF(Z570&gt;=1,1,0)+IF(AA570&gt;=1,1,0))=9,G570&amp;", ",)</f>
        <v>0</v>
      </c>
    </row>
    <row r="571" customFormat="false" ht="15.75" hidden="false" customHeight="false" outlineLevel="0" collapsed="false">
      <c r="A571" s="260"/>
      <c r="B571" s="358"/>
      <c r="C571" s="260"/>
      <c r="D571" s="358"/>
      <c r="E571" s="260" t="n">
        <v>570</v>
      </c>
      <c r="F571" s="260" t="n">
        <f aca="false" t="array" ref="F571:F571">INDEX('0.0.1 Pokémon Dex Data'!$H$3:$H951,MATCH(E571,'0.0.1 Pokémon Dex Data'!$B$3:$B951,0))</f>
        <v>0</v>
      </c>
      <c r="G571" s="0" t="str">
        <f aca="false" t="array" ref="G571:G571">INDEX('0.0.1 Pokémon Dex Data'!$E$3:$E951,MATCH(E571,'0.0.1 Pokémon Dex Data'!$B$3:$B951,0))</f>
        <v>Manaphy</v>
      </c>
      <c r="H571" s="0" t="str">
        <f aca="false" t="array" ref="H571:H571">INDEX('0.0.1 Pokémon Dex Data'!$Q$3:$Q951,MATCH(E571,'0.0.1 Pokémon Dex Data'!$B$3:$B951,0))</f>
        <v>Water</v>
      </c>
      <c r="I571" s="0" t="n">
        <f aca="false">INDEX('0.0.1 Pokémon Dex Data'!$R$3:$R951,MATCH(E571,'0.0.1 Pokémon Dex Data'!$B$3:$B951,0))</f>
        <v>0</v>
      </c>
      <c r="J571" s="260" t="n">
        <f aca="false" t="array" ref="J571:J571">ROUND(INDEX('0.0.1 Pokémon Dex Data'!$S$3:$S951,MATCH($E571,'0.0.1 Pokémon Dex Data'!$B$3:$B951,0))*INDEX('0.0.1 Pokémon Dex Data'!T$3:T951,MATCH($E571,'0.0.1 Pokémon Dex Data'!$B$3:$B951,0)),0)</f>
        <v>210</v>
      </c>
      <c r="K571" s="260" t="n">
        <f aca="false" t="array" ref="K571:K571">ROUND(INDEX('0.0.1 Pokémon Dex Data'!$S$3:$S951,MATCH($E571,'0.0.1 Pokémon Dex Data'!$B$3:$B951,0))*INDEX('0.0.1 Pokémon Dex Data'!U$3:U951,MATCH($E571,'0.0.1 Pokémon Dex Data'!$B$3:$B951,0)),0)</f>
        <v>210</v>
      </c>
      <c r="L571" s="260" t="n">
        <f aca="false" t="array" ref="L571:L571">ROUND(INDEX('0.0.1 Pokémon Dex Data'!$S$3:$S951,MATCH($E571,'0.0.1 Pokémon Dex Data'!$B$3:$B951,0))*INDEX('0.0.1 Pokémon Dex Data'!V$3:V951,MATCH($E571,'0.0.1 Pokémon Dex Data'!$B$3:$B951,0)),0)</f>
        <v>225</v>
      </c>
      <c r="M571" s="260" t="n">
        <f aca="false" t="array" ref="M571:M571">INDEX('0.0.1 Pokémon Dex Data'!$J$3:$J951,MATCH(E571,'0.0.1 Pokémon Dex Data'!$B$3:$B951,0))</f>
        <v>1</v>
      </c>
      <c r="O571" s="490"/>
      <c r="Q571" s="367" t="n">
        <f aca="false">IF('Reverse Search'!$F$4="All (including temporary formes)",1,IF('Reverse Search'!$F$4="Base Pokémon and permanent formes only",IF(F571&lt;=1,1,0),IF(F571=0,1,0)))</f>
        <v>1</v>
      </c>
      <c r="R571" s="0" t="n">
        <f aca="false">IF('Reverse Search'!$C$7="Disable",1,IF('Reverse Search'!$D$9="Disable",1,IF(OR('Reverse Search'!$F$9=H571,'Reverse Search'!$F$9=I571),1,0)))</f>
        <v>1</v>
      </c>
      <c r="S571" s="0" t="n">
        <f aca="false">IF('Reverse Search'!$C$7="Disable",1,IF('Reverse Search'!$D$10="Disable",1,IF(OR('Reverse Search'!$F$10=H571,'Reverse Search'!$F$10=I571),1,0)))</f>
        <v>1</v>
      </c>
      <c r="T571" s="0" t="n">
        <f aca="false">INDEX($B$4:$B$22,MATCH(H571,$A$4:$A$22,0))</f>
        <v>1</v>
      </c>
      <c r="U571" s="0" t="e">
        <f aca="false">IF(ISBLANK(I571),1,INDEX($B$4:$B$22,MATCH(I571,$A$4:$A$22,0)))</f>
        <v>#N/A</v>
      </c>
      <c r="V571" s="367" t="n">
        <f aca="false">IF('Reverse Search'!$C$7="Disable",1,IF('Reverse Search'!$D$11="Disable",1,IF('Reverse Search'!$E$11="Neutral to:",IF(ROUND(T571*U571,2)&lt;=1,1,0),IF(ROUND(T571*U571,2)&lt;1,1,0))))</f>
        <v>1</v>
      </c>
      <c r="W571" s="0" t="n">
        <f aca="false">IF('Reverse Search'!$N$7="Disable",1,IF('Reverse Search'!$I$9="Disable",1,IF('Reverse Search'!$K$9="≥",IF(J571&gt;='Reverse Search'!$L$9,1,0),IF('Reverse Search'!$K$9="≤",IF(J571&lt;='Reverse Search'!$L$9,1,0),IF(J571='Reverse Search'!$L$9,1,0)))))</f>
        <v>1</v>
      </c>
      <c r="X571" s="0" t="n">
        <f aca="false">IF('Reverse Search'!$N$7="Disable",1,IF('Reverse Search'!$I$10="Disable",1,IF('Reverse Search'!$K$10="≥",IF(K571&gt;='Reverse Search'!$L$10,1,0),IF('Reverse Search'!$K$10="≤",IF(K571&lt;='Reverse Search'!$L$10,1,0),IF(K571='Reverse Search'!$L$10,1,0)))))</f>
        <v>1</v>
      </c>
      <c r="Y571" s="367" t="n">
        <f aca="false">IF('Reverse Search'!$N$7="Disable",1,IF('Reverse Search'!$I$11="Disable",1,IF('Reverse Search'!$K$11="≥",IF(L571&gt;='Reverse Search'!$L$11,1,0),IF('Reverse Search'!$K$11="≤",IF(L571&lt;='Reverse Search'!$L$11,1,0),IF(L571='Reverse Search'!$L$11,1,0)))))</f>
        <v>1</v>
      </c>
      <c r="Z571" s="0" t="n">
        <f aca="true">IF('Reverse Search'!$C$14="Disable",1,IF('Reverse Search'!$D$16="Disable",1,IF($C$2=3,IF($M571=0,0,COUNTIF(INDIRECT("'0.0.2 Pokémon Learnset (Core)'!$D$"&amp;MATCH($E571,'0.0.2 Pokémon Learnset (Core)'!$A$1:$A951,0)&amp;":$FK$"&amp;MATCH($E571,'0.0.2 Pokémon Learnset (Core)'!$A$1:$A951,0)),'Reverse Search'!$E$21)),IF($C$2=2,COUNTIF(INDIRECT("'0.1.1 Pokémon GO Moves'!$B$"&amp;MATCH($E571,'0.1.1 Pokémon GO Moves'!$A$1:$A951,0)&amp;":$R$"&amp;MATCH($E571,'0.1.1 Pokémon GO Moves'!$A$1:$A951,0)),'Reverse Search'!$E$21),COUNTIF(INDIRECT("'0.1.1 Pokémon GO Moves'!$B$"&amp;MATCH($E571,'0.1.1 Pokémon GO Moves'!$A$1:$A951,0)&amp;":$L$"&amp;MATCH($E571,'0.1.1 Pokémon GO Moves'!$A$1:$A951,0)),'Reverse Search'!$E$21)))))</f>
        <v>1</v>
      </c>
      <c r="AA571" s="0" t="n">
        <f aca="true">IF('Reverse Search'!$C$14="Disable",1,IF('Reverse Search'!$I$16="Disable",1,IF($D$2=3,IF($M571=0,0,COUNTIF(INDIRECT("'0.0.2 Pokémon Learnset (Core)'!$D$"&amp;MATCH($E571,'0.0.2 Pokémon Learnset (Core)'!$A$1:$A951,0)&amp;":$FK$"&amp;MATCH($E571,'0.0.2 Pokémon Learnset (Core)'!$A$1:$A951,0)),'Reverse Search'!$J$21)),IF($D$2=2,COUNTIF(INDIRECT("'0.1.1 Pokémon GO Moves'!$B$"&amp;MATCH($E571,'0.1.1 Pokémon GO Moves'!$A$1:$A951,0)&amp;":$R$"&amp;MATCH($E571,'0.1.1 Pokémon GO Moves'!$A$1:$A951,0)),'Reverse Search'!$J$21),COUNTIF(INDIRECT("'0.1.1 Pokémon GO Moves'!$B$"&amp;MATCH($E571,'0.1.1 Pokémon GO Moves'!$A$1:$A951,0)&amp;":$L$"&amp;MATCH($E571,'0.1.1 Pokémon GO Moves'!$A$1:$A951,0)),'Reverse Search'!$J$21)))))</f>
        <v>0</v>
      </c>
      <c r="AB571" s="490"/>
      <c r="AC571" s="260" t="n">
        <f aca="false">IF((Q571+R571+S571+V571+W571+X571+Y571+IF(Z571&gt;=1,1,0)+IF(AA571&gt;=1,1,0))=9,G571&amp;", ",)</f>
        <v>0</v>
      </c>
    </row>
    <row r="572" customFormat="false" ht="15.75" hidden="false" customHeight="false" outlineLevel="0" collapsed="false">
      <c r="A572" s="260"/>
      <c r="B572" s="358"/>
      <c r="C572" s="260"/>
      <c r="D572" s="358"/>
      <c r="E572" s="260" t="n">
        <v>571</v>
      </c>
      <c r="F572" s="260" t="n">
        <f aca="false" t="array" ref="F572:F572">INDEX('0.0.1 Pokémon Dex Data'!$H$3:$H951,MATCH(E572,'0.0.1 Pokémon Dex Data'!$B$3:$B951,0))</f>
        <v>0</v>
      </c>
      <c r="G572" s="0" t="str">
        <f aca="false" t="array" ref="G572:G572">INDEX('0.0.1 Pokémon Dex Data'!$E$3:$E951,MATCH(E572,'0.0.1 Pokémon Dex Data'!$B$3:$B951,0))</f>
        <v>Darkrai</v>
      </c>
      <c r="H572" s="0" t="str">
        <f aca="false" t="array" ref="H572:H572">INDEX('0.0.1 Pokémon Dex Data'!$Q$3:$Q951,MATCH(E572,'0.0.1 Pokémon Dex Data'!$B$3:$B951,0))</f>
        <v>Dark</v>
      </c>
      <c r="I572" s="0" t="n">
        <f aca="false">INDEX('0.0.1 Pokémon Dex Data'!$R$3:$R951,MATCH(E572,'0.0.1 Pokémon Dex Data'!$B$3:$B951,0))</f>
        <v>0</v>
      </c>
      <c r="J572" s="260" t="n">
        <f aca="false" t="array" ref="J572:J572">ROUND(INDEX('0.0.1 Pokémon Dex Data'!$S$3:$S951,MATCH($E572,'0.0.1 Pokémon Dex Data'!$B$3:$B951,0))*INDEX('0.0.1 Pokémon Dex Data'!T$3:T951,MATCH($E572,'0.0.1 Pokémon Dex Data'!$B$3:$B951,0)),0)</f>
        <v>285</v>
      </c>
      <c r="K572" s="260" t="n">
        <f aca="false" t="array" ref="K572:K572">ROUND(INDEX('0.0.1 Pokémon Dex Data'!$S$3:$S951,MATCH($E572,'0.0.1 Pokémon Dex Data'!$B$3:$B951,0))*INDEX('0.0.1 Pokémon Dex Data'!U$3:U951,MATCH($E572,'0.0.1 Pokémon Dex Data'!$B$3:$B951,0)),0)</f>
        <v>198</v>
      </c>
      <c r="L572" s="260" t="n">
        <f aca="false" t="array" ref="L572:L572">ROUND(INDEX('0.0.1 Pokémon Dex Data'!$S$3:$S951,MATCH($E572,'0.0.1 Pokémon Dex Data'!$B$3:$B951,0))*INDEX('0.0.1 Pokémon Dex Data'!V$3:V951,MATCH($E572,'0.0.1 Pokémon Dex Data'!$B$3:$B951,0)),0)</f>
        <v>172</v>
      </c>
      <c r="M572" s="260" t="n">
        <f aca="false" t="array" ref="M572:M572">INDEX('0.0.1 Pokémon Dex Data'!$J$3:$J951,MATCH(E572,'0.0.1 Pokémon Dex Data'!$B$3:$B951,0))</f>
        <v>1</v>
      </c>
      <c r="O572" s="490"/>
      <c r="Q572" s="367" t="n">
        <f aca="false">IF('Reverse Search'!$F$4="All (including temporary formes)",1,IF('Reverse Search'!$F$4="Base Pokémon and permanent formes only",IF(F572&lt;=1,1,0),IF(F572=0,1,0)))</f>
        <v>1</v>
      </c>
      <c r="R572" s="0" t="n">
        <f aca="false">IF('Reverse Search'!$C$7="Disable",1,IF('Reverse Search'!$D$9="Disable",1,IF(OR('Reverse Search'!$F$9=H572,'Reverse Search'!$F$9=I572),1,0)))</f>
        <v>1</v>
      </c>
      <c r="S572" s="0" t="n">
        <f aca="false">IF('Reverse Search'!$C$7="Disable",1,IF('Reverse Search'!$D$10="Disable",1,IF(OR('Reverse Search'!$F$10=H572,'Reverse Search'!$F$10=I572),1,0)))</f>
        <v>1</v>
      </c>
      <c r="T572" s="0" t="n">
        <f aca="false">INDEX($B$4:$B$22,MATCH(H572,$A$4:$A$22,0))</f>
        <v>1</v>
      </c>
      <c r="U572" s="0" t="e">
        <f aca="false">IF(ISBLANK(I572),1,INDEX($B$4:$B$22,MATCH(I572,$A$4:$A$22,0)))</f>
        <v>#N/A</v>
      </c>
      <c r="V572" s="367" t="n">
        <f aca="false">IF('Reverse Search'!$C$7="Disable",1,IF('Reverse Search'!$D$11="Disable",1,IF('Reverse Search'!$E$11="Neutral to:",IF(ROUND(T572*U572,2)&lt;=1,1,0),IF(ROUND(T572*U572,2)&lt;1,1,0))))</f>
        <v>1</v>
      </c>
      <c r="W572" s="0" t="n">
        <f aca="false">IF('Reverse Search'!$N$7="Disable",1,IF('Reverse Search'!$I$9="Disable",1,IF('Reverse Search'!$K$9="≥",IF(J572&gt;='Reverse Search'!$L$9,1,0),IF('Reverse Search'!$K$9="≤",IF(J572&lt;='Reverse Search'!$L$9,1,0),IF(J572='Reverse Search'!$L$9,1,0)))))</f>
        <v>1</v>
      </c>
      <c r="X572" s="0" t="n">
        <f aca="false">IF('Reverse Search'!$N$7="Disable",1,IF('Reverse Search'!$I$10="Disable",1,IF('Reverse Search'!$K$10="≥",IF(K572&gt;='Reverse Search'!$L$10,1,0),IF('Reverse Search'!$K$10="≤",IF(K572&lt;='Reverse Search'!$L$10,1,0),IF(K572='Reverse Search'!$L$10,1,0)))))</f>
        <v>1</v>
      </c>
      <c r="Y572" s="367" t="n">
        <f aca="false">IF('Reverse Search'!$N$7="Disable",1,IF('Reverse Search'!$I$11="Disable",1,IF('Reverse Search'!$K$11="≥",IF(L572&gt;='Reverse Search'!$L$11,1,0),IF('Reverse Search'!$K$11="≤",IF(L572&lt;='Reverse Search'!$L$11,1,0),IF(L572='Reverse Search'!$L$11,1,0)))))</f>
        <v>1</v>
      </c>
      <c r="Z572" s="0" t="n">
        <f aca="true">IF('Reverse Search'!$C$14="Disable",1,IF('Reverse Search'!$D$16="Disable",1,IF($C$2=3,IF($M572=0,0,COUNTIF(INDIRECT("'0.0.2 Pokémon Learnset (Core)'!$D$"&amp;MATCH($E572,'0.0.2 Pokémon Learnset (Core)'!$A$1:$A951,0)&amp;":$FK$"&amp;MATCH($E572,'0.0.2 Pokémon Learnset (Core)'!$A$1:$A951,0)),'Reverse Search'!$E$21)),IF($C$2=2,COUNTIF(INDIRECT("'0.1.1 Pokémon GO Moves'!$B$"&amp;MATCH($E572,'0.1.1 Pokémon GO Moves'!$A$1:$A951,0)&amp;":$R$"&amp;MATCH($E572,'0.1.1 Pokémon GO Moves'!$A$1:$A951,0)),'Reverse Search'!$E$21),COUNTIF(INDIRECT("'0.1.1 Pokémon GO Moves'!$B$"&amp;MATCH($E572,'0.1.1 Pokémon GO Moves'!$A$1:$A951,0)&amp;":$L$"&amp;MATCH($E572,'0.1.1 Pokémon GO Moves'!$A$1:$A951,0)),'Reverse Search'!$E$21)))))</f>
        <v>1</v>
      </c>
      <c r="AA572" s="0" t="n">
        <f aca="true">IF('Reverse Search'!$C$14="Disable",1,IF('Reverse Search'!$I$16="Disable",1,IF($D$2=3,IF($M572=0,0,COUNTIF(INDIRECT("'0.0.2 Pokémon Learnset (Core)'!$D$"&amp;MATCH($E572,'0.0.2 Pokémon Learnset (Core)'!$A$1:$A951,0)&amp;":$FK$"&amp;MATCH($E572,'0.0.2 Pokémon Learnset (Core)'!$A$1:$A951,0)),'Reverse Search'!$J$21)),IF($D$2=2,COUNTIF(INDIRECT("'0.1.1 Pokémon GO Moves'!$B$"&amp;MATCH($E572,'0.1.1 Pokémon GO Moves'!$A$1:$A951,0)&amp;":$R$"&amp;MATCH($E572,'0.1.1 Pokémon GO Moves'!$A$1:$A951,0)),'Reverse Search'!$J$21),COUNTIF(INDIRECT("'0.1.1 Pokémon GO Moves'!$B$"&amp;MATCH($E572,'0.1.1 Pokémon GO Moves'!$A$1:$A951,0)&amp;":$L$"&amp;MATCH($E572,'0.1.1 Pokémon GO Moves'!$A$1:$A951,0)),'Reverse Search'!$J$21)))))</f>
        <v>0</v>
      </c>
      <c r="AB572" s="490"/>
      <c r="AC572" s="260" t="n">
        <f aca="false">IF((Q572+R572+S572+V572+W572+X572+Y572+IF(Z572&gt;=1,1,0)+IF(AA572&gt;=1,1,0))=9,G572&amp;", ",)</f>
        <v>0</v>
      </c>
    </row>
    <row r="573" customFormat="false" ht="15.75" hidden="false" customHeight="false" outlineLevel="0" collapsed="false">
      <c r="A573" s="260"/>
      <c r="B573" s="358"/>
      <c r="C573" s="260"/>
      <c r="D573" s="358"/>
      <c r="E573" s="260" t="n">
        <v>572</v>
      </c>
      <c r="F573" s="260" t="n">
        <f aca="false" t="array" ref="F573:F573">INDEX('0.0.1 Pokémon Dex Data'!$H$3:$H951,MATCH(E573,'0.0.1 Pokémon Dex Data'!$B$3:$B951,0))</f>
        <v>0</v>
      </c>
      <c r="G573" s="0" t="str">
        <f aca="false" t="array" ref="G573:G573">INDEX('0.0.1 Pokémon Dex Data'!$E$3:$E951,MATCH(E573,'0.0.1 Pokémon Dex Data'!$B$3:$B951,0))</f>
        <v>Shaymin</v>
      </c>
      <c r="H573" s="0" t="str">
        <f aca="false" t="array" ref="H573:H573">INDEX('0.0.1 Pokémon Dex Data'!$Q$3:$Q951,MATCH(E573,'0.0.1 Pokémon Dex Data'!$B$3:$B951,0))</f>
        <v>Grass</v>
      </c>
      <c r="I573" s="0" t="n">
        <f aca="false">INDEX('0.0.1 Pokémon Dex Data'!$R$3:$R951,MATCH(E573,'0.0.1 Pokémon Dex Data'!$B$3:$B951,0))</f>
        <v>0</v>
      </c>
      <c r="J573" s="260" t="n">
        <f aca="false" t="array" ref="J573:J573">ROUND(INDEX('0.0.1 Pokémon Dex Data'!$S$3:$S951,MATCH($E573,'0.0.1 Pokémon Dex Data'!$B$3:$B951,0))*INDEX('0.0.1 Pokémon Dex Data'!T$3:T951,MATCH($E573,'0.0.1 Pokémon Dex Data'!$B$3:$B951,0)),0)</f>
        <v>210</v>
      </c>
      <c r="K573" s="260" t="n">
        <f aca="false" t="array" ref="K573:K573">ROUND(INDEX('0.0.1 Pokémon Dex Data'!$S$3:$S951,MATCH($E573,'0.0.1 Pokémon Dex Data'!$B$3:$B951,0))*INDEX('0.0.1 Pokémon Dex Data'!U$3:U951,MATCH($E573,'0.0.1 Pokémon Dex Data'!$B$3:$B951,0)),0)</f>
        <v>210</v>
      </c>
      <c r="L573" s="260" t="n">
        <f aca="false" t="array" ref="L573:L573">ROUND(INDEX('0.0.1 Pokémon Dex Data'!$S$3:$S951,MATCH($E573,'0.0.1 Pokémon Dex Data'!$B$3:$B951,0))*INDEX('0.0.1 Pokémon Dex Data'!V$3:V951,MATCH($E573,'0.0.1 Pokémon Dex Data'!$B$3:$B951,0)),0)</f>
        <v>225</v>
      </c>
      <c r="M573" s="260" t="n">
        <f aca="false" t="array" ref="M573:M573">INDEX('0.0.1 Pokémon Dex Data'!$J$3:$J951,MATCH(E573,'0.0.1 Pokémon Dex Data'!$B$3:$B951,0))</f>
        <v>1</v>
      </c>
      <c r="O573" s="490"/>
      <c r="Q573" s="367" t="n">
        <f aca="false">IF('Reverse Search'!$F$4="All (including temporary formes)",1,IF('Reverse Search'!$F$4="Base Pokémon and permanent formes only",IF(F573&lt;=1,1,0),IF(F573=0,1,0)))</f>
        <v>1</v>
      </c>
      <c r="R573" s="0" t="n">
        <f aca="false">IF('Reverse Search'!$C$7="Disable",1,IF('Reverse Search'!$D$9="Disable",1,IF(OR('Reverse Search'!$F$9=H573,'Reverse Search'!$F$9=I573),1,0)))</f>
        <v>1</v>
      </c>
      <c r="S573" s="0" t="n">
        <f aca="false">IF('Reverse Search'!$C$7="Disable",1,IF('Reverse Search'!$D$10="Disable",1,IF(OR('Reverse Search'!$F$10=H573,'Reverse Search'!$F$10=I573),1,0)))</f>
        <v>1</v>
      </c>
      <c r="T573" s="0" t="n">
        <f aca="false">INDEX($B$4:$B$22,MATCH(H573,$A$4:$A$22,0))</f>
        <v>1</v>
      </c>
      <c r="U573" s="0" t="e">
        <f aca="false">IF(ISBLANK(I573),1,INDEX($B$4:$B$22,MATCH(I573,$A$4:$A$22,0)))</f>
        <v>#N/A</v>
      </c>
      <c r="V573" s="367" t="n">
        <f aca="false">IF('Reverse Search'!$C$7="Disable",1,IF('Reverse Search'!$D$11="Disable",1,IF('Reverse Search'!$E$11="Neutral to:",IF(ROUND(T573*U573,2)&lt;=1,1,0),IF(ROUND(T573*U573,2)&lt;1,1,0))))</f>
        <v>1</v>
      </c>
      <c r="W573" s="0" t="n">
        <f aca="false">IF('Reverse Search'!$N$7="Disable",1,IF('Reverse Search'!$I$9="Disable",1,IF('Reverse Search'!$K$9="≥",IF(J573&gt;='Reverse Search'!$L$9,1,0),IF('Reverse Search'!$K$9="≤",IF(J573&lt;='Reverse Search'!$L$9,1,0),IF(J573='Reverse Search'!$L$9,1,0)))))</f>
        <v>1</v>
      </c>
      <c r="X573" s="0" t="n">
        <f aca="false">IF('Reverse Search'!$N$7="Disable",1,IF('Reverse Search'!$I$10="Disable",1,IF('Reverse Search'!$K$10="≥",IF(K573&gt;='Reverse Search'!$L$10,1,0),IF('Reverse Search'!$K$10="≤",IF(K573&lt;='Reverse Search'!$L$10,1,0),IF(K573='Reverse Search'!$L$10,1,0)))))</f>
        <v>1</v>
      </c>
      <c r="Y573" s="367" t="n">
        <f aca="false">IF('Reverse Search'!$N$7="Disable",1,IF('Reverse Search'!$I$11="Disable",1,IF('Reverse Search'!$K$11="≥",IF(L573&gt;='Reverse Search'!$L$11,1,0),IF('Reverse Search'!$K$11="≤",IF(L573&lt;='Reverse Search'!$L$11,1,0),IF(L573='Reverse Search'!$L$11,1,0)))))</f>
        <v>1</v>
      </c>
      <c r="Z573" s="0" t="n">
        <f aca="true">IF('Reverse Search'!$C$14="Disable",1,IF('Reverse Search'!$D$16="Disable",1,IF($C$2=3,IF($M573=0,0,COUNTIF(INDIRECT("'0.0.2 Pokémon Learnset (Core)'!$D$"&amp;MATCH($E573,'0.0.2 Pokémon Learnset (Core)'!$A$1:$A951,0)&amp;":$FK$"&amp;MATCH($E573,'0.0.2 Pokémon Learnset (Core)'!$A$1:$A951,0)),'Reverse Search'!$E$21)),IF($C$2=2,COUNTIF(INDIRECT("'0.1.1 Pokémon GO Moves'!$B$"&amp;MATCH($E573,'0.1.1 Pokémon GO Moves'!$A$1:$A951,0)&amp;":$R$"&amp;MATCH($E573,'0.1.1 Pokémon GO Moves'!$A$1:$A951,0)),'Reverse Search'!$E$21),COUNTIF(INDIRECT("'0.1.1 Pokémon GO Moves'!$B$"&amp;MATCH($E573,'0.1.1 Pokémon GO Moves'!$A$1:$A951,0)&amp;":$L$"&amp;MATCH($E573,'0.1.1 Pokémon GO Moves'!$A$1:$A951,0)),'Reverse Search'!$E$21)))))</f>
        <v>1</v>
      </c>
      <c r="AA573" s="0" t="n">
        <f aca="true">IF('Reverse Search'!$C$14="Disable",1,IF('Reverse Search'!$I$16="Disable",1,IF($D$2=3,IF($M573=0,0,COUNTIF(INDIRECT("'0.0.2 Pokémon Learnset (Core)'!$D$"&amp;MATCH($E573,'0.0.2 Pokémon Learnset (Core)'!$A$1:$A951,0)&amp;":$FK$"&amp;MATCH($E573,'0.0.2 Pokémon Learnset (Core)'!$A$1:$A951,0)),'Reverse Search'!$J$21)),IF($D$2=2,COUNTIF(INDIRECT("'0.1.1 Pokémon GO Moves'!$B$"&amp;MATCH($E573,'0.1.1 Pokémon GO Moves'!$A$1:$A951,0)&amp;":$R$"&amp;MATCH($E573,'0.1.1 Pokémon GO Moves'!$A$1:$A951,0)),'Reverse Search'!$J$21),COUNTIF(INDIRECT("'0.1.1 Pokémon GO Moves'!$B$"&amp;MATCH($E573,'0.1.1 Pokémon GO Moves'!$A$1:$A951,0)&amp;":$L$"&amp;MATCH($E573,'0.1.1 Pokémon GO Moves'!$A$1:$A951,0)),'Reverse Search'!$J$21)))))</f>
        <v>0</v>
      </c>
      <c r="AB573" s="490"/>
      <c r="AC573" s="260" t="n">
        <f aca="false">IF((Q573+R573+S573+V573+W573+X573+Y573+IF(Z573&gt;=1,1,0)+IF(AA573&gt;=1,1,0))=9,G573&amp;", ",)</f>
        <v>0</v>
      </c>
    </row>
    <row r="574" customFormat="false" ht="15.75" hidden="false" customHeight="false" outlineLevel="0" collapsed="false">
      <c r="A574" s="260"/>
      <c r="B574" s="358"/>
      <c r="C574" s="260"/>
      <c r="D574" s="358"/>
      <c r="E574" s="260" t="n">
        <v>573</v>
      </c>
      <c r="F574" s="260" t="n">
        <f aca="false" t="array" ref="F574:F574">INDEX('0.0.1 Pokémon Dex Data'!$H$3:$H951,MATCH(E574,'0.0.1 Pokémon Dex Data'!$B$3:$B951,0))</f>
        <v>1</v>
      </c>
      <c r="G574" s="0" t="str">
        <f aca="false" t="array" ref="G574:G574">INDEX('0.0.1 Pokémon Dex Data'!$E$3:$E951,MATCH(E574,'0.0.1 Pokémon Dex Data'!$B$3:$B951,0))</f>
        <v>Shaymin-Sky</v>
      </c>
      <c r="H574" s="0" t="str">
        <f aca="false" t="array" ref="H574:H574">INDEX('0.0.1 Pokémon Dex Data'!$Q$3:$Q951,MATCH(E574,'0.0.1 Pokémon Dex Data'!$B$3:$B951,0))</f>
        <v>Grass</v>
      </c>
      <c r="I574" s="0" t="str">
        <f aca="false" t="array" ref="I574:I574">INDEX('0.0.1 Pokémon Dex Data'!$R$3:$R951,MATCH(E574,'0.0.1 Pokémon Dex Data'!$B$3:$B951,0))</f>
        <v>Flying</v>
      </c>
      <c r="J574" s="260" t="n">
        <f aca="false" t="array" ref="J574:J574">ROUND(INDEX('0.0.1 Pokémon Dex Data'!$S$3:$S951,MATCH($E574,'0.0.1 Pokémon Dex Data'!$B$3:$B951,0))*INDEX('0.0.1 Pokémon Dex Data'!T$3:T951,MATCH($E574,'0.0.1 Pokémon Dex Data'!$B$3:$B951,0)),0)</f>
        <v>261</v>
      </c>
      <c r="K574" s="260" t="n">
        <f aca="false" t="array" ref="K574:K574">ROUND(INDEX('0.0.1 Pokémon Dex Data'!$S$3:$S951,MATCH($E574,'0.0.1 Pokémon Dex Data'!$B$3:$B951,0))*INDEX('0.0.1 Pokémon Dex Data'!U$3:U951,MATCH($E574,'0.0.1 Pokémon Dex Data'!$B$3:$B951,0)),0)</f>
        <v>166</v>
      </c>
      <c r="L574" s="260" t="n">
        <f aca="false" t="array" ref="L574:L574">ROUND(INDEX('0.0.1 Pokémon Dex Data'!$S$3:$S951,MATCH($E574,'0.0.1 Pokémon Dex Data'!$B$3:$B951,0))*INDEX('0.0.1 Pokémon Dex Data'!V$3:V951,MATCH($E574,'0.0.1 Pokémon Dex Data'!$B$3:$B951,0)),0)</f>
        <v>225</v>
      </c>
      <c r="M574" s="260" t="n">
        <f aca="false" t="array" ref="M574:M574">INDEX('0.0.1 Pokémon Dex Data'!$J$3:$J951,MATCH(E574,'0.0.1 Pokémon Dex Data'!$B$3:$B951,0))</f>
        <v>1</v>
      </c>
      <c r="O574" s="490"/>
      <c r="Q574" s="367" t="n">
        <f aca="false">IF('Reverse Search'!$F$4="All (including temporary formes)",1,IF('Reverse Search'!$F$4="Base Pokémon and permanent formes only",IF(F574&lt;=1,1,0),IF(F574=0,1,0)))</f>
        <v>0</v>
      </c>
      <c r="R574" s="0" t="n">
        <f aca="false">IF('Reverse Search'!$C$7="Disable",1,IF('Reverse Search'!$D$9="Disable",1,IF(OR('Reverse Search'!$F$9=H574,'Reverse Search'!$F$9=I574),1,0)))</f>
        <v>1</v>
      </c>
      <c r="S574" s="0" t="n">
        <f aca="false">IF('Reverse Search'!$C$7="Disable",1,IF('Reverse Search'!$D$10="Disable",1,IF(OR('Reverse Search'!$F$10=H574,'Reverse Search'!$F$10=I574),1,0)))</f>
        <v>1</v>
      </c>
      <c r="T574" s="0" t="n">
        <f aca="false">INDEX($B$4:$B$22,MATCH(H574,$A$4:$A$22,0))</f>
        <v>1</v>
      </c>
      <c r="U574" s="0" t="n">
        <f aca="false">IF(ISBLANK(I574),1,INDEX($B$4:$B$22,MATCH(I574,$A$4:$A$22,0)))</f>
        <v>1</v>
      </c>
      <c r="V574" s="367" t="n">
        <f aca="false">IF('Reverse Search'!$C$7="Disable",1,IF('Reverse Search'!$D$11="Disable",1,IF('Reverse Search'!$E$11="Neutral to:",IF(ROUND(T574*U574,2)&lt;=1,1,0),IF(ROUND(T574*U574,2)&lt;1,1,0))))</f>
        <v>1</v>
      </c>
      <c r="W574" s="0" t="n">
        <f aca="false">IF('Reverse Search'!$N$7="Disable",1,IF('Reverse Search'!$I$9="Disable",1,IF('Reverse Search'!$K$9="≥",IF(J574&gt;='Reverse Search'!$L$9,1,0),IF('Reverse Search'!$K$9="≤",IF(J574&lt;='Reverse Search'!$L$9,1,0),IF(J574='Reverse Search'!$L$9,1,0)))))</f>
        <v>1</v>
      </c>
      <c r="X574" s="0" t="n">
        <f aca="false">IF('Reverse Search'!$N$7="Disable",1,IF('Reverse Search'!$I$10="Disable",1,IF('Reverse Search'!$K$10="≥",IF(K574&gt;='Reverse Search'!$L$10,1,0),IF('Reverse Search'!$K$10="≤",IF(K574&lt;='Reverse Search'!$L$10,1,0),IF(K574='Reverse Search'!$L$10,1,0)))))</f>
        <v>1</v>
      </c>
      <c r="Y574" s="367" t="n">
        <f aca="false">IF('Reverse Search'!$N$7="Disable",1,IF('Reverse Search'!$I$11="Disable",1,IF('Reverse Search'!$K$11="≥",IF(L574&gt;='Reverse Search'!$L$11,1,0),IF('Reverse Search'!$K$11="≤",IF(L574&lt;='Reverse Search'!$L$11,1,0),IF(L574='Reverse Search'!$L$11,1,0)))))</f>
        <v>1</v>
      </c>
      <c r="Z574" s="0" t="n">
        <f aca="true">IF('Reverse Search'!$C$14="Disable",1,IF('Reverse Search'!$D$16="Disable",1,IF($C$2=3,IF($M574=0,0,COUNTIF(INDIRECT("'0.0.2 Pokémon Learnset (Core)'!$D$"&amp;MATCH($E574,'0.0.2 Pokémon Learnset (Core)'!$A$1:$A951,0)&amp;":$FK$"&amp;MATCH($E574,'0.0.2 Pokémon Learnset (Core)'!$A$1:$A951,0)),'Reverse Search'!$E$21)),IF($C$2=2,COUNTIF(INDIRECT("'0.1.1 Pokémon GO Moves'!$B$"&amp;MATCH($E574,'0.1.1 Pokémon GO Moves'!$A$1:$A951,0)&amp;":$R$"&amp;MATCH($E574,'0.1.1 Pokémon GO Moves'!$A$1:$A951,0)),'Reverse Search'!$E$21),COUNTIF(INDIRECT("'0.1.1 Pokémon GO Moves'!$B$"&amp;MATCH($E574,'0.1.1 Pokémon GO Moves'!$A$1:$A951,0)&amp;":$L$"&amp;MATCH($E574,'0.1.1 Pokémon GO Moves'!$A$1:$A951,0)),'Reverse Search'!$E$21)))))</f>
        <v>1</v>
      </c>
      <c r="AA574" s="0" t="e">
        <f aca="true">IF('Reverse Search'!$C$14="Disable",1,IF('Reverse Search'!$I$16="Disable",1,IF($D$2=3,IF($M574=0,0,COUNTIF(INDIRECT("'0.0.2 Pokémon Learnset (Core)'!$D$"&amp;MATCH($E574,'0.0.2 Pokémon Learnset (Core)'!$A$1:$A951,0)&amp;":$FK$"&amp;MATCH($E574,'0.0.2 Pokémon Learnset (Core)'!$A$1:$A951,0)),'Reverse Search'!$J$21)),IF($D$2=2,COUNTIF(INDIRECT("'0.1.1 Pokémon GO Moves'!$B$"&amp;MATCH($E574,'0.1.1 Pokémon GO Moves'!$A$1:$A951,0)&amp;":$R$"&amp;MATCH($E574,'0.1.1 Pokémon GO Moves'!$A$1:$A951,0)),'Reverse Search'!$J$21),COUNTIF(INDIRECT("'0.1.1 Pokémon GO Moves'!$B$"&amp;MATCH($E574,'0.1.1 Pokémon GO Moves'!$A$1:$A951,0)&amp;":$L$"&amp;MATCH($E574,'0.1.1 Pokémon GO Moves'!$A$1:$A951,0)),'Reverse Search'!$J$21)))))</f>
        <v>#N/A</v>
      </c>
      <c r="AB574" s="490"/>
      <c r="AC574" s="260" t="e">
        <f aca="false">IF((Q574+R574+S574+V574+W574+X574+Y574+IF(Z574&gt;=1,1,0)+IF(AA574&gt;=1,1,0))=9,G574&amp;", ",)</f>
        <v>#N/A</v>
      </c>
    </row>
    <row r="575" customFormat="false" ht="15.75" hidden="false" customHeight="false" outlineLevel="0" collapsed="false">
      <c r="A575" s="260"/>
      <c r="B575" s="358"/>
      <c r="C575" s="260"/>
      <c r="D575" s="358"/>
      <c r="E575" s="260" t="n">
        <v>574</v>
      </c>
      <c r="F575" s="260" t="n">
        <f aca="false" t="array" ref="F575:F575">INDEX('0.0.1 Pokémon Dex Data'!$H$3:$H951,MATCH(E575,'0.0.1 Pokémon Dex Data'!$B$3:$B951,0))</f>
        <v>0</v>
      </c>
      <c r="G575" s="0" t="str">
        <f aca="false" t="array" ref="G575:G575">INDEX('0.0.1 Pokémon Dex Data'!$E$3:$E951,MATCH(E575,'0.0.1 Pokémon Dex Data'!$B$3:$B951,0))</f>
        <v>Arceus-Normal</v>
      </c>
      <c r="H575" s="0" t="str">
        <f aca="false" t="array" ref="H575:H575">INDEX('0.0.1 Pokémon Dex Data'!$Q$3:$Q951,MATCH(E575,'0.0.1 Pokémon Dex Data'!$B$3:$B951,0))</f>
        <v>Normal</v>
      </c>
      <c r="I575" s="0" t="n">
        <f aca="false">INDEX('0.0.1 Pokémon Dex Data'!$R$3:$R951,MATCH(E575,'0.0.1 Pokémon Dex Data'!$B$3:$B951,0))</f>
        <v>0</v>
      </c>
      <c r="J575" s="260" t="n">
        <f aca="false" t="array" ref="J575:J575">ROUND(INDEX('0.0.1 Pokémon Dex Data'!$S$3:$S951,MATCH($E575,'0.0.1 Pokémon Dex Data'!$B$3:$B951,0))*INDEX('0.0.1 Pokémon Dex Data'!T$3:T951,MATCH($E575,'0.0.1 Pokémon Dex Data'!$B$3:$B951,0)),0)</f>
        <v>238</v>
      </c>
      <c r="K575" s="260" t="n">
        <f aca="false" t="array" ref="K575:K575">ROUND(INDEX('0.0.1 Pokémon Dex Data'!$S$3:$S951,MATCH($E575,'0.0.1 Pokémon Dex Data'!$B$3:$B951,0))*INDEX('0.0.1 Pokémon Dex Data'!U$3:U951,MATCH($E575,'0.0.1 Pokémon Dex Data'!$B$3:$B951,0)),0)</f>
        <v>238</v>
      </c>
      <c r="L575" s="260" t="n">
        <f aca="false" t="array" ref="L575:L575">ROUND(INDEX('0.0.1 Pokémon Dex Data'!$S$3:$S951,MATCH($E575,'0.0.1 Pokémon Dex Data'!$B$3:$B951,0))*INDEX('0.0.1 Pokémon Dex Data'!V$3:V951,MATCH($E575,'0.0.1 Pokémon Dex Data'!$B$3:$B951,0)),0)</f>
        <v>236</v>
      </c>
      <c r="M575" s="260" t="n">
        <f aca="false" t="array" ref="M575:M575">INDEX('0.0.1 Pokémon Dex Data'!$J$3:$J951,MATCH(E575,'0.0.1 Pokémon Dex Data'!$B$3:$B951,0))</f>
        <v>1</v>
      </c>
      <c r="O575" s="490"/>
      <c r="Q575" s="367" t="n">
        <f aca="false">IF('Reverse Search'!$F$4="All (including temporary formes)",1,IF('Reverse Search'!$F$4="Base Pokémon and permanent formes only",IF(F575&lt;=1,1,0),IF(F575=0,1,0)))</f>
        <v>1</v>
      </c>
      <c r="R575" s="0" t="n">
        <f aca="false">IF('Reverse Search'!$C$7="Disable",1,IF('Reverse Search'!$D$9="Disable",1,IF(OR('Reverse Search'!$F$9=H575,'Reverse Search'!$F$9=I575),1,0)))</f>
        <v>1</v>
      </c>
      <c r="S575" s="0" t="n">
        <f aca="false">IF('Reverse Search'!$C$7="Disable",1,IF('Reverse Search'!$D$10="Disable",1,IF(OR('Reverse Search'!$F$10=H575,'Reverse Search'!$F$10=I575),1,0)))</f>
        <v>1</v>
      </c>
      <c r="T575" s="0" t="n">
        <f aca="false">INDEX($B$4:$B$22,MATCH(H575,$A$4:$A$22,0))</f>
        <v>1</v>
      </c>
      <c r="U575" s="0" t="e">
        <f aca="false">IF(ISBLANK(I575),1,INDEX($B$4:$B$22,MATCH(I575,$A$4:$A$22,0)))</f>
        <v>#N/A</v>
      </c>
      <c r="V575" s="367" t="n">
        <f aca="false">IF('Reverse Search'!$C$7="Disable",1,IF('Reverse Search'!$D$11="Disable",1,IF('Reverse Search'!$E$11="Neutral to:",IF(ROUND(T575*U575,2)&lt;=1,1,0),IF(ROUND(T575*U575,2)&lt;1,1,0))))</f>
        <v>1</v>
      </c>
      <c r="W575" s="0" t="n">
        <f aca="false">IF('Reverse Search'!$N$7="Disable",1,IF('Reverse Search'!$I$9="Disable",1,IF('Reverse Search'!$K$9="≥",IF(J575&gt;='Reverse Search'!$L$9,1,0),IF('Reverse Search'!$K$9="≤",IF(J575&lt;='Reverse Search'!$L$9,1,0),IF(J575='Reverse Search'!$L$9,1,0)))))</f>
        <v>1</v>
      </c>
      <c r="X575" s="0" t="n">
        <f aca="false">IF('Reverse Search'!$N$7="Disable",1,IF('Reverse Search'!$I$10="Disable",1,IF('Reverse Search'!$K$10="≥",IF(K575&gt;='Reverse Search'!$L$10,1,0),IF('Reverse Search'!$K$10="≤",IF(K575&lt;='Reverse Search'!$L$10,1,0),IF(K575='Reverse Search'!$L$10,1,0)))))</f>
        <v>1</v>
      </c>
      <c r="Y575" s="367" t="n">
        <f aca="false">IF('Reverse Search'!$N$7="Disable",1,IF('Reverse Search'!$I$11="Disable",1,IF('Reverse Search'!$K$11="≥",IF(L575&gt;='Reverse Search'!$L$11,1,0),IF('Reverse Search'!$K$11="≤",IF(L575&lt;='Reverse Search'!$L$11,1,0),IF(L575='Reverse Search'!$L$11,1,0)))))</f>
        <v>1</v>
      </c>
      <c r="Z575" s="0" t="n">
        <f aca="true">IF('Reverse Search'!$C$14="Disable",1,IF('Reverse Search'!$D$16="Disable",1,IF($C$2=3,IF($M575=0,0,COUNTIF(INDIRECT("'0.0.2 Pokémon Learnset (Core)'!$D$"&amp;MATCH($E575,'0.0.2 Pokémon Learnset (Core)'!$A$1:$A951,0)&amp;":$FK$"&amp;MATCH($E575,'0.0.2 Pokémon Learnset (Core)'!$A$1:$A951,0)),'Reverse Search'!$E$21)),IF($C$2=2,COUNTIF(INDIRECT("'0.1.1 Pokémon GO Moves'!$B$"&amp;MATCH($E575,'0.1.1 Pokémon GO Moves'!$A$1:$A951,0)&amp;":$R$"&amp;MATCH($E575,'0.1.1 Pokémon GO Moves'!$A$1:$A951,0)),'Reverse Search'!$E$21),COUNTIF(INDIRECT("'0.1.1 Pokémon GO Moves'!$B$"&amp;MATCH($E575,'0.1.1 Pokémon GO Moves'!$A$1:$A951,0)&amp;":$L$"&amp;MATCH($E575,'0.1.1 Pokémon GO Moves'!$A$1:$A951,0)),'Reverse Search'!$E$21)))))</f>
        <v>1</v>
      </c>
      <c r="AA575" s="0" t="n">
        <f aca="true">IF('Reverse Search'!$C$14="Disable",1,IF('Reverse Search'!$I$16="Disable",1,IF($D$2=3,IF($M575=0,0,COUNTIF(INDIRECT("'0.0.2 Pokémon Learnset (Core)'!$D$"&amp;MATCH($E575,'0.0.2 Pokémon Learnset (Core)'!$A$1:$A951,0)&amp;":$FK$"&amp;MATCH($E575,'0.0.2 Pokémon Learnset (Core)'!$A$1:$A951,0)),'Reverse Search'!$J$21)),IF($D$2=2,COUNTIF(INDIRECT("'0.1.1 Pokémon GO Moves'!$B$"&amp;MATCH($E575,'0.1.1 Pokémon GO Moves'!$A$1:$A951,0)&amp;":$R$"&amp;MATCH($E575,'0.1.1 Pokémon GO Moves'!$A$1:$A951,0)),'Reverse Search'!$J$21),COUNTIF(INDIRECT("'0.1.1 Pokémon GO Moves'!$B$"&amp;MATCH($E575,'0.1.1 Pokémon GO Moves'!$A$1:$A951,0)&amp;":$L$"&amp;MATCH($E575,'0.1.1 Pokémon GO Moves'!$A$1:$A951,0)),'Reverse Search'!$J$21)))))</f>
        <v>0</v>
      </c>
      <c r="AB575" s="490"/>
      <c r="AC575" s="260" t="n">
        <f aca="false">IF((Q575+R575+S575+V575+W575+X575+Y575+IF(Z575&gt;=1,1,0)+IF(AA575&gt;=1,1,0))=9,G575&amp;", ",)</f>
        <v>0</v>
      </c>
    </row>
    <row r="576" customFormat="false" ht="15.75" hidden="false" customHeight="false" outlineLevel="0" collapsed="false">
      <c r="A576" s="260"/>
      <c r="B576" s="358"/>
      <c r="C576" s="260"/>
      <c r="D576" s="358"/>
      <c r="E576" s="260" t="n">
        <v>575</v>
      </c>
      <c r="F576" s="260" t="n">
        <f aca="false" t="array" ref="F576:F576">INDEX('0.0.1 Pokémon Dex Data'!$H$3:$H951,MATCH(E576,'0.0.1 Pokémon Dex Data'!$B$3:$B951,0))</f>
        <v>1</v>
      </c>
      <c r="G576" s="0" t="str">
        <f aca="false" t="array" ref="G576:G576">INDEX('0.0.1 Pokémon Dex Data'!$E$3:$E951,MATCH(E576,'0.0.1 Pokémon Dex Data'!$B$3:$B951,0))</f>
        <v>Arceus-Fighting</v>
      </c>
      <c r="H576" s="0" t="str">
        <f aca="false" t="array" ref="H576:H576">INDEX('0.0.1 Pokémon Dex Data'!$Q$3:$Q951,MATCH(E576,'0.0.1 Pokémon Dex Data'!$B$3:$B951,0))</f>
        <v>Fighting</v>
      </c>
      <c r="I576" s="0" t="n">
        <f aca="false">INDEX('0.0.1 Pokémon Dex Data'!$R$3:$R951,MATCH(E576,'0.0.1 Pokémon Dex Data'!$B$3:$B951,0))</f>
        <v>0</v>
      </c>
      <c r="J576" s="260" t="n">
        <f aca="false" t="array" ref="J576:J576">ROUND(INDEX('0.0.1 Pokémon Dex Data'!$S$3:$S951,MATCH($E576,'0.0.1 Pokémon Dex Data'!$B$3:$B951,0))*INDEX('0.0.1 Pokémon Dex Data'!T$3:T951,MATCH($E576,'0.0.1 Pokémon Dex Data'!$B$3:$B951,0)),0)</f>
        <v>238</v>
      </c>
      <c r="K576" s="260" t="n">
        <f aca="false" t="array" ref="K576:K576">ROUND(INDEX('0.0.1 Pokémon Dex Data'!$S$3:$S951,MATCH($E576,'0.0.1 Pokémon Dex Data'!$B$3:$B951,0))*INDEX('0.0.1 Pokémon Dex Data'!U$3:U951,MATCH($E576,'0.0.1 Pokémon Dex Data'!$B$3:$B951,0)),0)</f>
        <v>238</v>
      </c>
      <c r="L576" s="260" t="n">
        <f aca="false" t="array" ref="L576:L576">ROUND(INDEX('0.0.1 Pokémon Dex Data'!$S$3:$S951,MATCH($E576,'0.0.1 Pokémon Dex Data'!$B$3:$B951,0))*INDEX('0.0.1 Pokémon Dex Data'!V$3:V951,MATCH($E576,'0.0.1 Pokémon Dex Data'!$B$3:$B951,0)),0)</f>
        <v>236</v>
      </c>
      <c r="M576" s="260" t="n">
        <f aca="false" t="array" ref="M576:M576">INDEX('0.0.1 Pokémon Dex Data'!$J$3:$J951,MATCH(E576,'0.0.1 Pokémon Dex Data'!$B$3:$B951,0))</f>
        <v>1</v>
      </c>
      <c r="O576" s="490"/>
      <c r="Q576" s="367" t="n">
        <f aca="false">IF('Reverse Search'!$F$4="All (including temporary formes)",1,IF('Reverse Search'!$F$4="Base Pokémon and permanent formes only",IF(F576&lt;=1,1,0),IF(F576=0,1,0)))</f>
        <v>0</v>
      </c>
      <c r="R576" s="0" t="n">
        <f aca="false">IF('Reverse Search'!$C$7="Disable",1,IF('Reverse Search'!$D$9="Disable",1,IF(OR('Reverse Search'!$F$9=H576,'Reverse Search'!$F$9=I576),1,0)))</f>
        <v>1</v>
      </c>
      <c r="S576" s="0" t="n">
        <f aca="false">IF('Reverse Search'!$C$7="Disable",1,IF('Reverse Search'!$D$10="Disable",1,IF(OR('Reverse Search'!$F$10=H576,'Reverse Search'!$F$10=I576),1,0)))</f>
        <v>1</v>
      </c>
      <c r="T576" s="0" t="n">
        <f aca="false">INDEX($B$4:$B$22,MATCH(H576,$A$4:$A$22,0))</f>
        <v>1</v>
      </c>
      <c r="U576" s="0" t="e">
        <f aca="false">IF(ISBLANK(I576),1,INDEX($B$4:$B$22,MATCH(I576,$A$4:$A$22,0)))</f>
        <v>#N/A</v>
      </c>
      <c r="V576" s="367" t="n">
        <f aca="false">IF('Reverse Search'!$C$7="Disable",1,IF('Reverse Search'!$D$11="Disable",1,IF('Reverse Search'!$E$11="Neutral to:",IF(ROUND(T576*U576,2)&lt;=1,1,0),IF(ROUND(T576*U576,2)&lt;1,1,0))))</f>
        <v>1</v>
      </c>
      <c r="W576" s="0" t="n">
        <f aca="false">IF('Reverse Search'!$N$7="Disable",1,IF('Reverse Search'!$I$9="Disable",1,IF('Reverse Search'!$K$9="≥",IF(J576&gt;='Reverse Search'!$L$9,1,0),IF('Reverse Search'!$K$9="≤",IF(J576&lt;='Reverse Search'!$L$9,1,0),IF(J576='Reverse Search'!$L$9,1,0)))))</f>
        <v>1</v>
      </c>
      <c r="X576" s="0" t="n">
        <f aca="false">IF('Reverse Search'!$N$7="Disable",1,IF('Reverse Search'!$I$10="Disable",1,IF('Reverse Search'!$K$10="≥",IF(K576&gt;='Reverse Search'!$L$10,1,0),IF('Reverse Search'!$K$10="≤",IF(K576&lt;='Reverse Search'!$L$10,1,0),IF(K576='Reverse Search'!$L$10,1,0)))))</f>
        <v>1</v>
      </c>
      <c r="Y576" s="367" t="n">
        <f aca="false">IF('Reverse Search'!$N$7="Disable",1,IF('Reverse Search'!$I$11="Disable",1,IF('Reverse Search'!$K$11="≥",IF(L576&gt;='Reverse Search'!$L$11,1,0),IF('Reverse Search'!$K$11="≤",IF(L576&lt;='Reverse Search'!$L$11,1,0),IF(L576='Reverse Search'!$L$11,1,0)))))</f>
        <v>1</v>
      </c>
      <c r="Z576" s="0" t="n">
        <f aca="true">IF('Reverse Search'!$C$14="Disable",1,IF('Reverse Search'!$D$16="Disable",1,IF($C$2=3,IF($M576=0,0,COUNTIF(INDIRECT("'0.0.2 Pokémon Learnset (Core)'!$D$"&amp;MATCH($E576,'0.0.2 Pokémon Learnset (Core)'!$A$1:$A951,0)&amp;":$FK$"&amp;MATCH($E576,'0.0.2 Pokémon Learnset (Core)'!$A$1:$A951,0)),'Reverse Search'!$E$21)),IF($C$2=2,COUNTIF(INDIRECT("'0.1.1 Pokémon GO Moves'!$B$"&amp;MATCH($E576,'0.1.1 Pokémon GO Moves'!$A$1:$A951,0)&amp;":$R$"&amp;MATCH($E576,'0.1.1 Pokémon GO Moves'!$A$1:$A951,0)),'Reverse Search'!$E$21),COUNTIF(INDIRECT("'0.1.1 Pokémon GO Moves'!$B$"&amp;MATCH($E576,'0.1.1 Pokémon GO Moves'!$A$1:$A951,0)&amp;":$L$"&amp;MATCH($E576,'0.1.1 Pokémon GO Moves'!$A$1:$A951,0)),'Reverse Search'!$E$21)))))</f>
        <v>1</v>
      </c>
      <c r="AA576" s="0" t="e">
        <f aca="true">IF('Reverse Search'!$C$14="Disable",1,IF('Reverse Search'!$I$16="Disable",1,IF($D$2=3,IF($M576=0,0,COUNTIF(INDIRECT("'0.0.2 Pokémon Learnset (Core)'!$D$"&amp;MATCH($E576,'0.0.2 Pokémon Learnset (Core)'!$A$1:$A951,0)&amp;":$FK$"&amp;MATCH($E576,'0.0.2 Pokémon Learnset (Core)'!$A$1:$A951,0)),'Reverse Search'!$J$21)),IF($D$2=2,COUNTIF(INDIRECT("'0.1.1 Pokémon GO Moves'!$B$"&amp;MATCH($E576,'0.1.1 Pokémon GO Moves'!$A$1:$A951,0)&amp;":$R$"&amp;MATCH($E576,'0.1.1 Pokémon GO Moves'!$A$1:$A951,0)),'Reverse Search'!$J$21),COUNTIF(INDIRECT("'0.1.1 Pokémon GO Moves'!$B$"&amp;MATCH($E576,'0.1.1 Pokémon GO Moves'!$A$1:$A951,0)&amp;":$L$"&amp;MATCH($E576,'0.1.1 Pokémon GO Moves'!$A$1:$A951,0)),'Reverse Search'!$J$21)))))</f>
        <v>#N/A</v>
      </c>
      <c r="AB576" s="490"/>
      <c r="AC576" s="260" t="e">
        <f aca="false">IF((Q576+R576+S576+V576+W576+X576+Y576+IF(Z576&gt;=1,1,0)+IF(AA576&gt;=1,1,0))=9,G576&amp;", ",)</f>
        <v>#N/A</v>
      </c>
    </row>
    <row r="577" customFormat="false" ht="15.75" hidden="false" customHeight="false" outlineLevel="0" collapsed="false">
      <c r="A577" s="260"/>
      <c r="B577" s="358"/>
      <c r="C577" s="260"/>
      <c r="D577" s="358"/>
      <c r="E577" s="260" t="n">
        <v>576</v>
      </c>
      <c r="F577" s="260" t="n">
        <f aca="false" t="array" ref="F577:F577">INDEX('0.0.1 Pokémon Dex Data'!$H$3:$H951,MATCH(E577,'0.0.1 Pokémon Dex Data'!$B$3:$B951,0))</f>
        <v>1</v>
      </c>
      <c r="G577" s="0" t="str">
        <f aca="false" t="array" ref="G577:G577">INDEX('0.0.1 Pokémon Dex Data'!$E$3:$E951,MATCH(E577,'0.0.1 Pokémon Dex Data'!$B$3:$B951,0))</f>
        <v>Arceus-Flying</v>
      </c>
      <c r="H577" s="0" t="str">
        <f aca="false" t="array" ref="H577:H577">INDEX('0.0.1 Pokémon Dex Data'!$Q$3:$Q951,MATCH(E577,'0.0.1 Pokémon Dex Data'!$B$3:$B951,0))</f>
        <v>Flying</v>
      </c>
      <c r="I577" s="0" t="n">
        <f aca="false">INDEX('0.0.1 Pokémon Dex Data'!$R$3:$R951,MATCH(E577,'0.0.1 Pokémon Dex Data'!$B$3:$B951,0))</f>
        <v>0</v>
      </c>
      <c r="J577" s="260" t="n">
        <f aca="false" t="array" ref="J577:J577">ROUND(INDEX('0.0.1 Pokémon Dex Data'!$S$3:$S951,MATCH($E577,'0.0.1 Pokémon Dex Data'!$B$3:$B951,0))*INDEX('0.0.1 Pokémon Dex Data'!T$3:T951,MATCH($E577,'0.0.1 Pokémon Dex Data'!$B$3:$B951,0)),0)</f>
        <v>238</v>
      </c>
      <c r="K577" s="260" t="n">
        <f aca="false" t="array" ref="K577:K577">ROUND(INDEX('0.0.1 Pokémon Dex Data'!$S$3:$S951,MATCH($E577,'0.0.1 Pokémon Dex Data'!$B$3:$B951,0))*INDEX('0.0.1 Pokémon Dex Data'!U$3:U951,MATCH($E577,'0.0.1 Pokémon Dex Data'!$B$3:$B951,0)),0)</f>
        <v>238</v>
      </c>
      <c r="L577" s="260" t="n">
        <f aca="false" t="array" ref="L577:L577">ROUND(INDEX('0.0.1 Pokémon Dex Data'!$S$3:$S951,MATCH($E577,'0.0.1 Pokémon Dex Data'!$B$3:$B951,0))*INDEX('0.0.1 Pokémon Dex Data'!V$3:V951,MATCH($E577,'0.0.1 Pokémon Dex Data'!$B$3:$B951,0)),0)</f>
        <v>236</v>
      </c>
      <c r="M577" s="260" t="n">
        <f aca="false" t="array" ref="M577:M577">INDEX('0.0.1 Pokémon Dex Data'!$J$3:$J951,MATCH(E577,'0.0.1 Pokémon Dex Data'!$B$3:$B951,0))</f>
        <v>1</v>
      </c>
      <c r="O577" s="490"/>
      <c r="Q577" s="367" t="n">
        <f aca="false">IF('Reverse Search'!$F$4="All (including temporary formes)",1,IF('Reverse Search'!$F$4="Base Pokémon and permanent formes only",IF(F577&lt;=1,1,0),IF(F577=0,1,0)))</f>
        <v>0</v>
      </c>
      <c r="R577" s="0" t="n">
        <f aca="false">IF('Reverse Search'!$C$7="Disable",1,IF('Reverse Search'!$D$9="Disable",1,IF(OR('Reverse Search'!$F$9=H577,'Reverse Search'!$F$9=I577),1,0)))</f>
        <v>1</v>
      </c>
      <c r="S577" s="0" t="n">
        <f aca="false">IF('Reverse Search'!$C$7="Disable",1,IF('Reverse Search'!$D$10="Disable",1,IF(OR('Reverse Search'!$F$10=H577,'Reverse Search'!$F$10=I577),1,0)))</f>
        <v>1</v>
      </c>
      <c r="T577" s="0" t="n">
        <f aca="false">INDEX($B$4:$B$22,MATCH(H577,$A$4:$A$22,0))</f>
        <v>1</v>
      </c>
      <c r="U577" s="0" t="e">
        <f aca="false">IF(ISBLANK(I577),1,INDEX($B$4:$B$22,MATCH(I577,$A$4:$A$22,0)))</f>
        <v>#N/A</v>
      </c>
      <c r="V577" s="367" t="n">
        <f aca="false">IF('Reverse Search'!$C$7="Disable",1,IF('Reverse Search'!$D$11="Disable",1,IF('Reverse Search'!$E$11="Neutral to:",IF(ROUND(T577*U577,2)&lt;=1,1,0),IF(ROUND(T577*U577,2)&lt;1,1,0))))</f>
        <v>1</v>
      </c>
      <c r="W577" s="0" t="n">
        <f aca="false">IF('Reverse Search'!$N$7="Disable",1,IF('Reverse Search'!$I$9="Disable",1,IF('Reverse Search'!$K$9="≥",IF(J577&gt;='Reverse Search'!$L$9,1,0),IF('Reverse Search'!$K$9="≤",IF(J577&lt;='Reverse Search'!$L$9,1,0),IF(J577='Reverse Search'!$L$9,1,0)))))</f>
        <v>1</v>
      </c>
      <c r="X577" s="0" t="n">
        <f aca="false">IF('Reverse Search'!$N$7="Disable",1,IF('Reverse Search'!$I$10="Disable",1,IF('Reverse Search'!$K$10="≥",IF(K577&gt;='Reverse Search'!$L$10,1,0),IF('Reverse Search'!$K$10="≤",IF(K577&lt;='Reverse Search'!$L$10,1,0),IF(K577='Reverse Search'!$L$10,1,0)))))</f>
        <v>1</v>
      </c>
      <c r="Y577" s="367" t="n">
        <f aca="false">IF('Reverse Search'!$N$7="Disable",1,IF('Reverse Search'!$I$11="Disable",1,IF('Reverse Search'!$K$11="≥",IF(L577&gt;='Reverse Search'!$L$11,1,0),IF('Reverse Search'!$K$11="≤",IF(L577&lt;='Reverse Search'!$L$11,1,0),IF(L577='Reverse Search'!$L$11,1,0)))))</f>
        <v>1</v>
      </c>
      <c r="Z577" s="0" t="n">
        <f aca="true">IF('Reverse Search'!$C$14="Disable",1,IF('Reverse Search'!$D$16="Disable",1,IF($C$2=3,IF($M577=0,0,COUNTIF(INDIRECT("'0.0.2 Pokémon Learnset (Core)'!$D$"&amp;MATCH($E577,'0.0.2 Pokémon Learnset (Core)'!$A$1:$A951,0)&amp;":$FK$"&amp;MATCH($E577,'0.0.2 Pokémon Learnset (Core)'!$A$1:$A951,0)),'Reverse Search'!$E$21)),IF($C$2=2,COUNTIF(INDIRECT("'0.1.1 Pokémon GO Moves'!$B$"&amp;MATCH($E577,'0.1.1 Pokémon GO Moves'!$A$1:$A951,0)&amp;":$R$"&amp;MATCH($E577,'0.1.1 Pokémon GO Moves'!$A$1:$A951,0)),'Reverse Search'!$E$21),COUNTIF(INDIRECT("'0.1.1 Pokémon GO Moves'!$B$"&amp;MATCH($E577,'0.1.1 Pokémon GO Moves'!$A$1:$A951,0)&amp;":$L$"&amp;MATCH($E577,'0.1.1 Pokémon GO Moves'!$A$1:$A951,0)),'Reverse Search'!$E$21)))))</f>
        <v>1</v>
      </c>
      <c r="AA577" s="0" t="e">
        <f aca="true">IF('Reverse Search'!$C$14="Disable",1,IF('Reverse Search'!$I$16="Disable",1,IF($D$2=3,IF($M577=0,0,COUNTIF(INDIRECT("'0.0.2 Pokémon Learnset (Core)'!$D$"&amp;MATCH($E577,'0.0.2 Pokémon Learnset (Core)'!$A$1:$A951,0)&amp;":$FK$"&amp;MATCH($E577,'0.0.2 Pokémon Learnset (Core)'!$A$1:$A951,0)),'Reverse Search'!$J$21)),IF($D$2=2,COUNTIF(INDIRECT("'0.1.1 Pokémon GO Moves'!$B$"&amp;MATCH($E577,'0.1.1 Pokémon GO Moves'!$A$1:$A951,0)&amp;":$R$"&amp;MATCH($E577,'0.1.1 Pokémon GO Moves'!$A$1:$A951,0)),'Reverse Search'!$J$21),COUNTIF(INDIRECT("'0.1.1 Pokémon GO Moves'!$B$"&amp;MATCH($E577,'0.1.1 Pokémon GO Moves'!$A$1:$A951,0)&amp;":$L$"&amp;MATCH($E577,'0.1.1 Pokémon GO Moves'!$A$1:$A951,0)),'Reverse Search'!$J$21)))))</f>
        <v>#N/A</v>
      </c>
      <c r="AB577" s="490"/>
      <c r="AC577" s="260" t="e">
        <f aca="false">IF((Q577+R577+S577+V577+W577+X577+Y577+IF(Z577&gt;=1,1,0)+IF(AA577&gt;=1,1,0))=9,G577&amp;", ",)</f>
        <v>#N/A</v>
      </c>
    </row>
    <row r="578" customFormat="false" ht="15.75" hidden="false" customHeight="false" outlineLevel="0" collapsed="false">
      <c r="A578" s="260"/>
      <c r="B578" s="358"/>
      <c r="C578" s="260"/>
      <c r="D578" s="358"/>
      <c r="E578" s="260" t="n">
        <v>577</v>
      </c>
      <c r="F578" s="260" t="n">
        <f aca="false" t="array" ref="F578:F578">INDEX('0.0.1 Pokémon Dex Data'!$H$3:$H951,MATCH(E578,'0.0.1 Pokémon Dex Data'!$B$3:$B951,0))</f>
        <v>1</v>
      </c>
      <c r="G578" s="0" t="str">
        <f aca="false" t="array" ref="G578:G578">INDEX('0.0.1 Pokémon Dex Data'!$E$3:$E951,MATCH(E578,'0.0.1 Pokémon Dex Data'!$B$3:$B951,0))</f>
        <v>Arceus-Poison</v>
      </c>
      <c r="H578" s="0" t="str">
        <f aca="false" t="array" ref="H578:H578">INDEX('0.0.1 Pokémon Dex Data'!$Q$3:$Q951,MATCH(E578,'0.0.1 Pokémon Dex Data'!$B$3:$B951,0))</f>
        <v>Poison</v>
      </c>
      <c r="I578" s="0" t="n">
        <f aca="false">INDEX('0.0.1 Pokémon Dex Data'!$R$3:$R951,MATCH(E578,'0.0.1 Pokémon Dex Data'!$B$3:$B951,0))</f>
        <v>0</v>
      </c>
      <c r="J578" s="260" t="n">
        <f aca="false" t="array" ref="J578:J578">ROUND(INDEX('0.0.1 Pokémon Dex Data'!$S$3:$S951,MATCH($E578,'0.0.1 Pokémon Dex Data'!$B$3:$B951,0))*INDEX('0.0.1 Pokémon Dex Data'!T$3:T951,MATCH($E578,'0.0.1 Pokémon Dex Data'!$B$3:$B951,0)),0)</f>
        <v>238</v>
      </c>
      <c r="K578" s="260" t="n">
        <f aca="false" t="array" ref="K578:K578">ROUND(INDEX('0.0.1 Pokémon Dex Data'!$S$3:$S951,MATCH($E578,'0.0.1 Pokémon Dex Data'!$B$3:$B951,0))*INDEX('0.0.1 Pokémon Dex Data'!U$3:U951,MATCH($E578,'0.0.1 Pokémon Dex Data'!$B$3:$B951,0)),0)</f>
        <v>238</v>
      </c>
      <c r="L578" s="260" t="n">
        <f aca="false" t="array" ref="L578:L578">ROUND(INDEX('0.0.1 Pokémon Dex Data'!$S$3:$S951,MATCH($E578,'0.0.1 Pokémon Dex Data'!$B$3:$B951,0))*INDEX('0.0.1 Pokémon Dex Data'!V$3:V951,MATCH($E578,'0.0.1 Pokémon Dex Data'!$B$3:$B951,0)),0)</f>
        <v>236</v>
      </c>
      <c r="M578" s="260" t="n">
        <f aca="false" t="array" ref="M578:M578">INDEX('0.0.1 Pokémon Dex Data'!$J$3:$J951,MATCH(E578,'0.0.1 Pokémon Dex Data'!$B$3:$B951,0))</f>
        <v>1</v>
      </c>
      <c r="O578" s="490"/>
      <c r="Q578" s="367" t="n">
        <f aca="false">IF('Reverse Search'!$F$4="All (including temporary formes)",1,IF('Reverse Search'!$F$4="Base Pokémon and permanent formes only",IF(F578&lt;=1,1,0),IF(F578=0,1,0)))</f>
        <v>0</v>
      </c>
      <c r="R578" s="0" t="n">
        <f aca="false">IF('Reverse Search'!$C$7="Disable",1,IF('Reverse Search'!$D$9="Disable",1,IF(OR('Reverse Search'!$F$9=H578,'Reverse Search'!$F$9=I578),1,0)))</f>
        <v>1</v>
      </c>
      <c r="S578" s="0" t="n">
        <f aca="false">IF('Reverse Search'!$C$7="Disable",1,IF('Reverse Search'!$D$10="Disable",1,IF(OR('Reverse Search'!$F$10=H578,'Reverse Search'!$F$10=I578),1,0)))</f>
        <v>1</v>
      </c>
      <c r="T578" s="0" t="n">
        <f aca="false">INDEX($B$4:$B$22,MATCH(H578,$A$4:$A$22,0))</f>
        <v>1</v>
      </c>
      <c r="U578" s="0" t="e">
        <f aca="false">IF(ISBLANK(I578),1,INDEX($B$4:$B$22,MATCH(I578,$A$4:$A$22,0)))</f>
        <v>#N/A</v>
      </c>
      <c r="V578" s="367" t="n">
        <f aca="false">IF('Reverse Search'!$C$7="Disable",1,IF('Reverse Search'!$D$11="Disable",1,IF('Reverse Search'!$E$11="Neutral to:",IF(ROUND(T578*U578,2)&lt;=1,1,0),IF(ROUND(T578*U578,2)&lt;1,1,0))))</f>
        <v>1</v>
      </c>
      <c r="W578" s="0" t="n">
        <f aca="false">IF('Reverse Search'!$N$7="Disable",1,IF('Reverse Search'!$I$9="Disable",1,IF('Reverse Search'!$K$9="≥",IF(J578&gt;='Reverse Search'!$L$9,1,0),IF('Reverse Search'!$K$9="≤",IF(J578&lt;='Reverse Search'!$L$9,1,0),IF(J578='Reverse Search'!$L$9,1,0)))))</f>
        <v>1</v>
      </c>
      <c r="X578" s="0" t="n">
        <f aca="false">IF('Reverse Search'!$N$7="Disable",1,IF('Reverse Search'!$I$10="Disable",1,IF('Reverse Search'!$K$10="≥",IF(K578&gt;='Reverse Search'!$L$10,1,0),IF('Reverse Search'!$K$10="≤",IF(K578&lt;='Reverse Search'!$L$10,1,0),IF(K578='Reverse Search'!$L$10,1,0)))))</f>
        <v>1</v>
      </c>
      <c r="Y578" s="367" t="n">
        <f aca="false">IF('Reverse Search'!$N$7="Disable",1,IF('Reverse Search'!$I$11="Disable",1,IF('Reverse Search'!$K$11="≥",IF(L578&gt;='Reverse Search'!$L$11,1,0),IF('Reverse Search'!$K$11="≤",IF(L578&lt;='Reverse Search'!$L$11,1,0),IF(L578='Reverse Search'!$L$11,1,0)))))</f>
        <v>1</v>
      </c>
      <c r="Z578" s="0" t="n">
        <f aca="true">IF('Reverse Search'!$C$14="Disable",1,IF('Reverse Search'!$D$16="Disable",1,IF($C$2=3,IF($M578=0,0,COUNTIF(INDIRECT("'0.0.2 Pokémon Learnset (Core)'!$D$"&amp;MATCH($E578,'0.0.2 Pokémon Learnset (Core)'!$A$1:$A951,0)&amp;":$FK$"&amp;MATCH($E578,'0.0.2 Pokémon Learnset (Core)'!$A$1:$A951,0)),'Reverse Search'!$E$21)),IF($C$2=2,COUNTIF(INDIRECT("'0.1.1 Pokémon GO Moves'!$B$"&amp;MATCH($E578,'0.1.1 Pokémon GO Moves'!$A$1:$A951,0)&amp;":$R$"&amp;MATCH($E578,'0.1.1 Pokémon GO Moves'!$A$1:$A951,0)),'Reverse Search'!$E$21),COUNTIF(INDIRECT("'0.1.1 Pokémon GO Moves'!$B$"&amp;MATCH($E578,'0.1.1 Pokémon GO Moves'!$A$1:$A951,0)&amp;":$L$"&amp;MATCH($E578,'0.1.1 Pokémon GO Moves'!$A$1:$A951,0)),'Reverse Search'!$E$21)))))</f>
        <v>1</v>
      </c>
      <c r="AA578" s="0" t="e">
        <f aca="true">IF('Reverse Search'!$C$14="Disable",1,IF('Reverse Search'!$I$16="Disable",1,IF($D$2=3,IF($M578=0,0,COUNTIF(INDIRECT("'0.0.2 Pokémon Learnset (Core)'!$D$"&amp;MATCH($E578,'0.0.2 Pokémon Learnset (Core)'!$A$1:$A951,0)&amp;":$FK$"&amp;MATCH($E578,'0.0.2 Pokémon Learnset (Core)'!$A$1:$A951,0)),'Reverse Search'!$J$21)),IF($D$2=2,COUNTIF(INDIRECT("'0.1.1 Pokémon GO Moves'!$B$"&amp;MATCH($E578,'0.1.1 Pokémon GO Moves'!$A$1:$A951,0)&amp;":$R$"&amp;MATCH($E578,'0.1.1 Pokémon GO Moves'!$A$1:$A951,0)),'Reverse Search'!$J$21),COUNTIF(INDIRECT("'0.1.1 Pokémon GO Moves'!$B$"&amp;MATCH($E578,'0.1.1 Pokémon GO Moves'!$A$1:$A951,0)&amp;":$L$"&amp;MATCH($E578,'0.1.1 Pokémon GO Moves'!$A$1:$A951,0)),'Reverse Search'!$J$21)))))</f>
        <v>#N/A</v>
      </c>
      <c r="AB578" s="490"/>
      <c r="AC578" s="260" t="e">
        <f aca="false">IF((Q578+R578+S578+V578+W578+X578+Y578+IF(Z578&gt;=1,1,0)+IF(AA578&gt;=1,1,0))=9,G578&amp;", ",)</f>
        <v>#N/A</v>
      </c>
    </row>
    <row r="579" customFormat="false" ht="15.75" hidden="false" customHeight="false" outlineLevel="0" collapsed="false">
      <c r="A579" s="260"/>
      <c r="B579" s="358"/>
      <c r="C579" s="260"/>
      <c r="D579" s="358"/>
      <c r="E579" s="260" t="n">
        <v>578</v>
      </c>
      <c r="F579" s="260" t="n">
        <f aca="false" t="array" ref="F579:F579">INDEX('0.0.1 Pokémon Dex Data'!$H$3:$H951,MATCH(E579,'0.0.1 Pokémon Dex Data'!$B$3:$B951,0))</f>
        <v>1</v>
      </c>
      <c r="G579" s="0" t="str">
        <f aca="false" t="array" ref="G579:G579">INDEX('0.0.1 Pokémon Dex Data'!$E$3:$E951,MATCH(E579,'0.0.1 Pokémon Dex Data'!$B$3:$B951,0))</f>
        <v>Arceus-Ground</v>
      </c>
      <c r="H579" s="0" t="str">
        <f aca="false" t="array" ref="H579:H579">INDEX('0.0.1 Pokémon Dex Data'!$Q$3:$Q951,MATCH(E579,'0.0.1 Pokémon Dex Data'!$B$3:$B951,0))</f>
        <v>Ground</v>
      </c>
      <c r="I579" s="0" t="n">
        <f aca="false">INDEX('0.0.1 Pokémon Dex Data'!$R$3:$R951,MATCH(E579,'0.0.1 Pokémon Dex Data'!$B$3:$B951,0))</f>
        <v>0</v>
      </c>
      <c r="J579" s="260" t="n">
        <f aca="false" t="array" ref="J579:J579">ROUND(INDEX('0.0.1 Pokémon Dex Data'!$S$3:$S951,MATCH($E579,'0.0.1 Pokémon Dex Data'!$B$3:$B951,0))*INDEX('0.0.1 Pokémon Dex Data'!T$3:T951,MATCH($E579,'0.0.1 Pokémon Dex Data'!$B$3:$B951,0)),0)</f>
        <v>238</v>
      </c>
      <c r="K579" s="260" t="n">
        <f aca="false" t="array" ref="K579:K579">ROUND(INDEX('0.0.1 Pokémon Dex Data'!$S$3:$S951,MATCH($E579,'0.0.1 Pokémon Dex Data'!$B$3:$B951,0))*INDEX('0.0.1 Pokémon Dex Data'!U$3:U951,MATCH($E579,'0.0.1 Pokémon Dex Data'!$B$3:$B951,0)),0)</f>
        <v>238</v>
      </c>
      <c r="L579" s="260" t="n">
        <f aca="false" t="array" ref="L579:L579">ROUND(INDEX('0.0.1 Pokémon Dex Data'!$S$3:$S951,MATCH($E579,'0.0.1 Pokémon Dex Data'!$B$3:$B951,0))*INDEX('0.0.1 Pokémon Dex Data'!V$3:V951,MATCH($E579,'0.0.1 Pokémon Dex Data'!$B$3:$B951,0)),0)</f>
        <v>236</v>
      </c>
      <c r="M579" s="260" t="n">
        <f aca="false" t="array" ref="M579:M579">INDEX('0.0.1 Pokémon Dex Data'!$J$3:$J951,MATCH(E579,'0.0.1 Pokémon Dex Data'!$B$3:$B951,0))</f>
        <v>1</v>
      </c>
      <c r="O579" s="490"/>
      <c r="Q579" s="367" t="n">
        <f aca="false">IF('Reverse Search'!$F$4="All (including temporary formes)",1,IF('Reverse Search'!$F$4="Base Pokémon and permanent formes only",IF(F579&lt;=1,1,0),IF(F579=0,1,0)))</f>
        <v>0</v>
      </c>
      <c r="R579" s="0" t="n">
        <f aca="false">IF('Reverse Search'!$C$7="Disable",1,IF('Reverse Search'!$D$9="Disable",1,IF(OR('Reverse Search'!$F$9=H579,'Reverse Search'!$F$9=I579),1,0)))</f>
        <v>1</v>
      </c>
      <c r="S579" s="0" t="n">
        <f aca="false">IF('Reverse Search'!$C$7="Disable",1,IF('Reverse Search'!$D$10="Disable",1,IF(OR('Reverse Search'!$F$10=H579,'Reverse Search'!$F$10=I579),1,0)))</f>
        <v>1</v>
      </c>
      <c r="T579" s="0" t="n">
        <f aca="false">INDEX($B$4:$B$22,MATCH(H579,$A$4:$A$22,0))</f>
        <v>1</v>
      </c>
      <c r="U579" s="0" t="e">
        <f aca="false">IF(ISBLANK(I579),1,INDEX($B$4:$B$22,MATCH(I579,$A$4:$A$22,0)))</f>
        <v>#N/A</v>
      </c>
      <c r="V579" s="367" t="n">
        <f aca="false">IF('Reverse Search'!$C$7="Disable",1,IF('Reverse Search'!$D$11="Disable",1,IF('Reverse Search'!$E$11="Neutral to:",IF(ROUND(T579*U579,2)&lt;=1,1,0),IF(ROUND(T579*U579,2)&lt;1,1,0))))</f>
        <v>1</v>
      </c>
      <c r="W579" s="0" t="n">
        <f aca="false">IF('Reverse Search'!$N$7="Disable",1,IF('Reverse Search'!$I$9="Disable",1,IF('Reverse Search'!$K$9="≥",IF(J579&gt;='Reverse Search'!$L$9,1,0),IF('Reverse Search'!$K$9="≤",IF(J579&lt;='Reverse Search'!$L$9,1,0),IF(J579='Reverse Search'!$L$9,1,0)))))</f>
        <v>1</v>
      </c>
      <c r="X579" s="0" t="n">
        <f aca="false">IF('Reverse Search'!$N$7="Disable",1,IF('Reverse Search'!$I$10="Disable",1,IF('Reverse Search'!$K$10="≥",IF(K579&gt;='Reverse Search'!$L$10,1,0),IF('Reverse Search'!$K$10="≤",IF(K579&lt;='Reverse Search'!$L$10,1,0),IF(K579='Reverse Search'!$L$10,1,0)))))</f>
        <v>1</v>
      </c>
      <c r="Y579" s="367" t="n">
        <f aca="false">IF('Reverse Search'!$N$7="Disable",1,IF('Reverse Search'!$I$11="Disable",1,IF('Reverse Search'!$K$11="≥",IF(L579&gt;='Reverse Search'!$L$11,1,0),IF('Reverse Search'!$K$11="≤",IF(L579&lt;='Reverse Search'!$L$11,1,0),IF(L579='Reverse Search'!$L$11,1,0)))))</f>
        <v>1</v>
      </c>
      <c r="Z579" s="0" t="n">
        <f aca="true">IF('Reverse Search'!$C$14="Disable",1,IF('Reverse Search'!$D$16="Disable",1,IF($C$2=3,IF($M579=0,0,COUNTIF(INDIRECT("'0.0.2 Pokémon Learnset (Core)'!$D$"&amp;MATCH($E579,'0.0.2 Pokémon Learnset (Core)'!$A$1:$A951,0)&amp;":$FK$"&amp;MATCH($E579,'0.0.2 Pokémon Learnset (Core)'!$A$1:$A951,0)),'Reverse Search'!$E$21)),IF($C$2=2,COUNTIF(INDIRECT("'0.1.1 Pokémon GO Moves'!$B$"&amp;MATCH($E579,'0.1.1 Pokémon GO Moves'!$A$1:$A951,0)&amp;":$R$"&amp;MATCH($E579,'0.1.1 Pokémon GO Moves'!$A$1:$A951,0)),'Reverse Search'!$E$21),COUNTIF(INDIRECT("'0.1.1 Pokémon GO Moves'!$B$"&amp;MATCH($E579,'0.1.1 Pokémon GO Moves'!$A$1:$A951,0)&amp;":$L$"&amp;MATCH($E579,'0.1.1 Pokémon GO Moves'!$A$1:$A951,0)),'Reverse Search'!$E$21)))))</f>
        <v>1</v>
      </c>
      <c r="AA579" s="0" t="e">
        <f aca="true">IF('Reverse Search'!$C$14="Disable",1,IF('Reverse Search'!$I$16="Disable",1,IF($D$2=3,IF($M579=0,0,COUNTIF(INDIRECT("'0.0.2 Pokémon Learnset (Core)'!$D$"&amp;MATCH($E579,'0.0.2 Pokémon Learnset (Core)'!$A$1:$A951,0)&amp;":$FK$"&amp;MATCH($E579,'0.0.2 Pokémon Learnset (Core)'!$A$1:$A951,0)),'Reverse Search'!$J$21)),IF($D$2=2,COUNTIF(INDIRECT("'0.1.1 Pokémon GO Moves'!$B$"&amp;MATCH($E579,'0.1.1 Pokémon GO Moves'!$A$1:$A951,0)&amp;":$R$"&amp;MATCH($E579,'0.1.1 Pokémon GO Moves'!$A$1:$A951,0)),'Reverse Search'!$J$21),COUNTIF(INDIRECT("'0.1.1 Pokémon GO Moves'!$B$"&amp;MATCH($E579,'0.1.1 Pokémon GO Moves'!$A$1:$A951,0)&amp;":$L$"&amp;MATCH($E579,'0.1.1 Pokémon GO Moves'!$A$1:$A951,0)),'Reverse Search'!$J$21)))))</f>
        <v>#N/A</v>
      </c>
      <c r="AB579" s="490"/>
      <c r="AC579" s="260" t="e">
        <f aca="false">IF((Q579+R579+S579+V579+W579+X579+Y579+IF(Z579&gt;=1,1,0)+IF(AA579&gt;=1,1,0))=9,G579&amp;", ",)</f>
        <v>#N/A</v>
      </c>
    </row>
    <row r="580" customFormat="false" ht="15.75" hidden="false" customHeight="false" outlineLevel="0" collapsed="false">
      <c r="A580" s="260"/>
      <c r="B580" s="358"/>
      <c r="C580" s="260"/>
      <c r="D580" s="358"/>
      <c r="E580" s="260" t="n">
        <v>579</v>
      </c>
      <c r="F580" s="260" t="n">
        <f aca="false" t="array" ref="F580:F580">INDEX('0.0.1 Pokémon Dex Data'!$H$3:$H951,MATCH(E580,'0.0.1 Pokémon Dex Data'!$B$3:$B951,0))</f>
        <v>1</v>
      </c>
      <c r="G580" s="0" t="str">
        <f aca="false" t="array" ref="G580:G580">INDEX('0.0.1 Pokémon Dex Data'!$E$3:$E951,MATCH(E580,'0.0.1 Pokémon Dex Data'!$B$3:$B951,0))</f>
        <v>Arceus-Rock</v>
      </c>
      <c r="H580" s="0" t="str">
        <f aca="false" t="array" ref="H580:H580">INDEX('0.0.1 Pokémon Dex Data'!$Q$3:$Q951,MATCH(E580,'0.0.1 Pokémon Dex Data'!$B$3:$B951,0))</f>
        <v>Rock</v>
      </c>
      <c r="I580" s="0" t="n">
        <f aca="false">INDEX('0.0.1 Pokémon Dex Data'!$R$3:$R951,MATCH(E580,'0.0.1 Pokémon Dex Data'!$B$3:$B951,0))</f>
        <v>0</v>
      </c>
      <c r="J580" s="260" t="n">
        <f aca="false" t="array" ref="J580:J580">ROUND(INDEX('0.0.1 Pokémon Dex Data'!$S$3:$S951,MATCH($E580,'0.0.1 Pokémon Dex Data'!$B$3:$B951,0))*INDEX('0.0.1 Pokémon Dex Data'!T$3:T951,MATCH($E580,'0.0.1 Pokémon Dex Data'!$B$3:$B951,0)),0)</f>
        <v>238</v>
      </c>
      <c r="K580" s="260" t="n">
        <f aca="false" t="array" ref="K580:K580">ROUND(INDEX('0.0.1 Pokémon Dex Data'!$S$3:$S951,MATCH($E580,'0.0.1 Pokémon Dex Data'!$B$3:$B951,0))*INDEX('0.0.1 Pokémon Dex Data'!U$3:U951,MATCH($E580,'0.0.1 Pokémon Dex Data'!$B$3:$B951,0)),0)</f>
        <v>238</v>
      </c>
      <c r="L580" s="260" t="n">
        <f aca="false" t="array" ref="L580:L580">ROUND(INDEX('0.0.1 Pokémon Dex Data'!$S$3:$S951,MATCH($E580,'0.0.1 Pokémon Dex Data'!$B$3:$B951,0))*INDEX('0.0.1 Pokémon Dex Data'!V$3:V951,MATCH($E580,'0.0.1 Pokémon Dex Data'!$B$3:$B951,0)),0)</f>
        <v>236</v>
      </c>
      <c r="M580" s="260" t="n">
        <f aca="false" t="array" ref="M580:M580">INDEX('0.0.1 Pokémon Dex Data'!$J$3:$J951,MATCH(E580,'0.0.1 Pokémon Dex Data'!$B$3:$B951,0))</f>
        <v>1</v>
      </c>
      <c r="O580" s="490"/>
      <c r="Q580" s="367" t="n">
        <f aca="false">IF('Reverse Search'!$F$4="All (including temporary formes)",1,IF('Reverse Search'!$F$4="Base Pokémon and permanent formes only",IF(F580&lt;=1,1,0),IF(F580=0,1,0)))</f>
        <v>0</v>
      </c>
      <c r="R580" s="0" t="n">
        <f aca="false">IF('Reverse Search'!$C$7="Disable",1,IF('Reverse Search'!$D$9="Disable",1,IF(OR('Reverse Search'!$F$9=H580,'Reverse Search'!$F$9=I580),1,0)))</f>
        <v>1</v>
      </c>
      <c r="S580" s="0" t="n">
        <f aca="false">IF('Reverse Search'!$C$7="Disable",1,IF('Reverse Search'!$D$10="Disable",1,IF(OR('Reverse Search'!$F$10=H580,'Reverse Search'!$F$10=I580),1,0)))</f>
        <v>1</v>
      </c>
      <c r="T580" s="0" t="n">
        <f aca="false">INDEX($B$4:$B$22,MATCH(H580,$A$4:$A$22,0))</f>
        <v>0.714</v>
      </c>
      <c r="U580" s="0" t="e">
        <f aca="false">IF(ISBLANK(I580),1,INDEX($B$4:$B$22,MATCH(I580,$A$4:$A$22,0)))</f>
        <v>#N/A</v>
      </c>
      <c r="V580" s="367" t="n">
        <f aca="false">IF('Reverse Search'!$C$7="Disable",1,IF('Reverse Search'!$D$11="Disable",1,IF('Reverse Search'!$E$11="Neutral to:",IF(ROUND(T580*U580,2)&lt;=1,1,0),IF(ROUND(T580*U580,2)&lt;1,1,0))))</f>
        <v>1</v>
      </c>
      <c r="W580" s="0" t="n">
        <f aca="false">IF('Reverse Search'!$N$7="Disable",1,IF('Reverse Search'!$I$9="Disable",1,IF('Reverse Search'!$K$9="≥",IF(J580&gt;='Reverse Search'!$L$9,1,0),IF('Reverse Search'!$K$9="≤",IF(J580&lt;='Reverse Search'!$L$9,1,0),IF(J580='Reverse Search'!$L$9,1,0)))))</f>
        <v>1</v>
      </c>
      <c r="X580" s="0" t="n">
        <f aca="false">IF('Reverse Search'!$N$7="Disable",1,IF('Reverse Search'!$I$10="Disable",1,IF('Reverse Search'!$K$10="≥",IF(K580&gt;='Reverse Search'!$L$10,1,0),IF('Reverse Search'!$K$10="≤",IF(K580&lt;='Reverse Search'!$L$10,1,0),IF(K580='Reverse Search'!$L$10,1,0)))))</f>
        <v>1</v>
      </c>
      <c r="Y580" s="367" t="n">
        <f aca="false">IF('Reverse Search'!$N$7="Disable",1,IF('Reverse Search'!$I$11="Disable",1,IF('Reverse Search'!$K$11="≥",IF(L580&gt;='Reverse Search'!$L$11,1,0),IF('Reverse Search'!$K$11="≤",IF(L580&lt;='Reverse Search'!$L$11,1,0),IF(L580='Reverse Search'!$L$11,1,0)))))</f>
        <v>1</v>
      </c>
      <c r="Z580" s="0" t="n">
        <f aca="true">IF('Reverse Search'!$C$14="Disable",1,IF('Reverse Search'!$D$16="Disable",1,IF($C$2=3,IF($M580=0,0,COUNTIF(INDIRECT("'0.0.2 Pokémon Learnset (Core)'!$D$"&amp;MATCH($E580,'0.0.2 Pokémon Learnset (Core)'!$A$1:$A951,0)&amp;":$FK$"&amp;MATCH($E580,'0.0.2 Pokémon Learnset (Core)'!$A$1:$A951,0)),'Reverse Search'!$E$21)),IF($C$2=2,COUNTIF(INDIRECT("'0.1.1 Pokémon GO Moves'!$B$"&amp;MATCH($E580,'0.1.1 Pokémon GO Moves'!$A$1:$A951,0)&amp;":$R$"&amp;MATCH($E580,'0.1.1 Pokémon GO Moves'!$A$1:$A951,0)),'Reverse Search'!$E$21),COUNTIF(INDIRECT("'0.1.1 Pokémon GO Moves'!$B$"&amp;MATCH($E580,'0.1.1 Pokémon GO Moves'!$A$1:$A951,0)&amp;":$L$"&amp;MATCH($E580,'0.1.1 Pokémon GO Moves'!$A$1:$A951,0)),'Reverse Search'!$E$21)))))</f>
        <v>1</v>
      </c>
      <c r="AA580" s="0" t="e">
        <f aca="true">IF('Reverse Search'!$C$14="Disable",1,IF('Reverse Search'!$I$16="Disable",1,IF($D$2=3,IF($M580=0,0,COUNTIF(INDIRECT("'0.0.2 Pokémon Learnset (Core)'!$D$"&amp;MATCH($E580,'0.0.2 Pokémon Learnset (Core)'!$A$1:$A951,0)&amp;":$FK$"&amp;MATCH($E580,'0.0.2 Pokémon Learnset (Core)'!$A$1:$A951,0)),'Reverse Search'!$J$21)),IF($D$2=2,COUNTIF(INDIRECT("'0.1.1 Pokémon GO Moves'!$B$"&amp;MATCH($E580,'0.1.1 Pokémon GO Moves'!$A$1:$A951,0)&amp;":$R$"&amp;MATCH($E580,'0.1.1 Pokémon GO Moves'!$A$1:$A951,0)),'Reverse Search'!$J$21),COUNTIF(INDIRECT("'0.1.1 Pokémon GO Moves'!$B$"&amp;MATCH($E580,'0.1.1 Pokémon GO Moves'!$A$1:$A951,0)&amp;":$L$"&amp;MATCH($E580,'0.1.1 Pokémon GO Moves'!$A$1:$A951,0)),'Reverse Search'!$J$21)))))</f>
        <v>#N/A</v>
      </c>
      <c r="AB580" s="490"/>
      <c r="AC580" s="260" t="e">
        <f aca="false">IF((Q580+R580+S580+V580+W580+X580+Y580+IF(Z580&gt;=1,1,0)+IF(AA580&gt;=1,1,0))=9,G580&amp;", ",)</f>
        <v>#N/A</v>
      </c>
    </row>
    <row r="581" customFormat="false" ht="15.75" hidden="false" customHeight="false" outlineLevel="0" collapsed="false">
      <c r="A581" s="260"/>
      <c r="B581" s="358"/>
      <c r="C581" s="260"/>
      <c r="D581" s="358"/>
      <c r="E581" s="260" t="n">
        <v>580</v>
      </c>
      <c r="F581" s="260" t="n">
        <f aca="false" t="array" ref="F581:F581">INDEX('0.0.1 Pokémon Dex Data'!$H$3:$H951,MATCH(E581,'0.0.1 Pokémon Dex Data'!$B$3:$B951,0))</f>
        <v>1</v>
      </c>
      <c r="G581" s="0" t="str">
        <f aca="false" t="array" ref="G581:G581">INDEX('0.0.1 Pokémon Dex Data'!$E$3:$E951,MATCH(E581,'0.0.1 Pokémon Dex Data'!$B$3:$B951,0))</f>
        <v>Arceus-Bug</v>
      </c>
      <c r="H581" s="0" t="str">
        <f aca="false" t="array" ref="H581:H581">INDEX('0.0.1 Pokémon Dex Data'!$Q$3:$Q951,MATCH(E581,'0.0.1 Pokémon Dex Data'!$B$3:$B951,0))</f>
        <v>Bug</v>
      </c>
      <c r="I581" s="0" t="n">
        <f aca="false">INDEX('0.0.1 Pokémon Dex Data'!$R$3:$R951,MATCH(E581,'0.0.1 Pokémon Dex Data'!$B$3:$B951,0))</f>
        <v>0</v>
      </c>
      <c r="J581" s="260" t="n">
        <f aca="false" t="array" ref="J581:J581">ROUND(INDEX('0.0.1 Pokémon Dex Data'!$S$3:$S951,MATCH($E581,'0.0.1 Pokémon Dex Data'!$B$3:$B951,0))*INDEX('0.0.1 Pokémon Dex Data'!T$3:T951,MATCH($E581,'0.0.1 Pokémon Dex Data'!$B$3:$B951,0)),0)</f>
        <v>238</v>
      </c>
      <c r="K581" s="260" t="n">
        <f aca="false" t="array" ref="K581:K581">ROUND(INDEX('0.0.1 Pokémon Dex Data'!$S$3:$S951,MATCH($E581,'0.0.1 Pokémon Dex Data'!$B$3:$B951,0))*INDEX('0.0.1 Pokémon Dex Data'!U$3:U951,MATCH($E581,'0.0.1 Pokémon Dex Data'!$B$3:$B951,0)),0)</f>
        <v>238</v>
      </c>
      <c r="L581" s="260" t="n">
        <f aca="false" t="array" ref="L581:L581">ROUND(INDEX('0.0.1 Pokémon Dex Data'!$S$3:$S951,MATCH($E581,'0.0.1 Pokémon Dex Data'!$B$3:$B951,0))*INDEX('0.0.1 Pokémon Dex Data'!V$3:V951,MATCH($E581,'0.0.1 Pokémon Dex Data'!$B$3:$B951,0)),0)</f>
        <v>236</v>
      </c>
      <c r="M581" s="260" t="n">
        <f aca="false" t="array" ref="M581:M581">INDEX('0.0.1 Pokémon Dex Data'!$J$3:$J951,MATCH(E581,'0.0.1 Pokémon Dex Data'!$B$3:$B951,0))</f>
        <v>1</v>
      </c>
      <c r="O581" s="490"/>
      <c r="Q581" s="367" t="n">
        <f aca="false">IF('Reverse Search'!$F$4="All (including temporary formes)",1,IF('Reverse Search'!$F$4="Base Pokémon and permanent formes only",IF(F581&lt;=1,1,0),IF(F581=0,1,0)))</f>
        <v>0</v>
      </c>
      <c r="R581" s="0" t="n">
        <f aca="false">IF('Reverse Search'!$C$7="Disable",1,IF('Reverse Search'!$D$9="Disable",1,IF(OR('Reverse Search'!$F$9=H581,'Reverse Search'!$F$9=I581),1,0)))</f>
        <v>1</v>
      </c>
      <c r="S581" s="0" t="n">
        <f aca="false">IF('Reverse Search'!$C$7="Disable",1,IF('Reverse Search'!$D$10="Disable",1,IF(OR('Reverse Search'!$F$10=H581,'Reverse Search'!$F$10=I581),1,0)))</f>
        <v>1</v>
      </c>
      <c r="T581" s="0" t="n">
        <f aca="false">INDEX($B$4:$B$22,MATCH(H581,$A$4:$A$22,0))</f>
        <v>1</v>
      </c>
      <c r="U581" s="0" t="e">
        <f aca="false">IF(ISBLANK(I581),1,INDEX($B$4:$B$22,MATCH(I581,$A$4:$A$22,0)))</f>
        <v>#N/A</v>
      </c>
      <c r="V581" s="367" t="n">
        <f aca="false">IF('Reverse Search'!$C$7="Disable",1,IF('Reverse Search'!$D$11="Disable",1,IF('Reverse Search'!$E$11="Neutral to:",IF(ROUND(T581*U581,2)&lt;=1,1,0),IF(ROUND(T581*U581,2)&lt;1,1,0))))</f>
        <v>1</v>
      </c>
      <c r="W581" s="0" t="n">
        <f aca="false">IF('Reverse Search'!$N$7="Disable",1,IF('Reverse Search'!$I$9="Disable",1,IF('Reverse Search'!$K$9="≥",IF(J581&gt;='Reverse Search'!$L$9,1,0),IF('Reverse Search'!$K$9="≤",IF(J581&lt;='Reverse Search'!$L$9,1,0),IF(J581='Reverse Search'!$L$9,1,0)))))</f>
        <v>1</v>
      </c>
      <c r="X581" s="0" t="n">
        <f aca="false">IF('Reverse Search'!$N$7="Disable",1,IF('Reverse Search'!$I$10="Disable",1,IF('Reverse Search'!$K$10="≥",IF(K581&gt;='Reverse Search'!$L$10,1,0),IF('Reverse Search'!$K$10="≤",IF(K581&lt;='Reverse Search'!$L$10,1,0),IF(K581='Reverse Search'!$L$10,1,0)))))</f>
        <v>1</v>
      </c>
      <c r="Y581" s="367" t="n">
        <f aca="false">IF('Reverse Search'!$N$7="Disable",1,IF('Reverse Search'!$I$11="Disable",1,IF('Reverse Search'!$K$11="≥",IF(L581&gt;='Reverse Search'!$L$11,1,0),IF('Reverse Search'!$K$11="≤",IF(L581&lt;='Reverse Search'!$L$11,1,0),IF(L581='Reverse Search'!$L$11,1,0)))))</f>
        <v>1</v>
      </c>
      <c r="Z581" s="0" t="n">
        <f aca="true">IF('Reverse Search'!$C$14="Disable",1,IF('Reverse Search'!$D$16="Disable",1,IF($C$2=3,IF($M581=0,0,COUNTIF(INDIRECT("'0.0.2 Pokémon Learnset (Core)'!$D$"&amp;MATCH($E581,'0.0.2 Pokémon Learnset (Core)'!$A$1:$A951,0)&amp;":$FK$"&amp;MATCH($E581,'0.0.2 Pokémon Learnset (Core)'!$A$1:$A951,0)),'Reverse Search'!$E$21)),IF($C$2=2,COUNTIF(INDIRECT("'0.1.1 Pokémon GO Moves'!$B$"&amp;MATCH($E581,'0.1.1 Pokémon GO Moves'!$A$1:$A951,0)&amp;":$R$"&amp;MATCH($E581,'0.1.1 Pokémon GO Moves'!$A$1:$A951,0)),'Reverse Search'!$E$21),COUNTIF(INDIRECT("'0.1.1 Pokémon GO Moves'!$B$"&amp;MATCH($E581,'0.1.1 Pokémon GO Moves'!$A$1:$A951,0)&amp;":$L$"&amp;MATCH($E581,'0.1.1 Pokémon GO Moves'!$A$1:$A951,0)),'Reverse Search'!$E$21)))))</f>
        <v>1</v>
      </c>
      <c r="AA581" s="0" t="e">
        <f aca="true">IF('Reverse Search'!$C$14="Disable",1,IF('Reverse Search'!$I$16="Disable",1,IF($D$2=3,IF($M581=0,0,COUNTIF(INDIRECT("'0.0.2 Pokémon Learnset (Core)'!$D$"&amp;MATCH($E581,'0.0.2 Pokémon Learnset (Core)'!$A$1:$A951,0)&amp;":$FK$"&amp;MATCH($E581,'0.0.2 Pokémon Learnset (Core)'!$A$1:$A951,0)),'Reverse Search'!$J$21)),IF($D$2=2,COUNTIF(INDIRECT("'0.1.1 Pokémon GO Moves'!$B$"&amp;MATCH($E581,'0.1.1 Pokémon GO Moves'!$A$1:$A951,0)&amp;":$R$"&amp;MATCH($E581,'0.1.1 Pokémon GO Moves'!$A$1:$A951,0)),'Reverse Search'!$J$21),COUNTIF(INDIRECT("'0.1.1 Pokémon GO Moves'!$B$"&amp;MATCH($E581,'0.1.1 Pokémon GO Moves'!$A$1:$A951,0)&amp;":$L$"&amp;MATCH($E581,'0.1.1 Pokémon GO Moves'!$A$1:$A951,0)),'Reverse Search'!$J$21)))))</f>
        <v>#N/A</v>
      </c>
      <c r="AB581" s="490"/>
      <c r="AC581" s="260" t="e">
        <f aca="false">IF((Q581+R581+S581+V581+W581+X581+Y581+IF(Z581&gt;=1,1,0)+IF(AA581&gt;=1,1,0))=9,G581&amp;", ",)</f>
        <v>#N/A</v>
      </c>
    </row>
    <row r="582" customFormat="false" ht="15.75" hidden="false" customHeight="false" outlineLevel="0" collapsed="false">
      <c r="A582" s="260"/>
      <c r="B582" s="358"/>
      <c r="C582" s="260"/>
      <c r="D582" s="358"/>
      <c r="E582" s="260" t="n">
        <v>581</v>
      </c>
      <c r="F582" s="260" t="n">
        <f aca="false" t="array" ref="F582:F582">INDEX('0.0.1 Pokémon Dex Data'!$H$3:$H951,MATCH(E582,'0.0.1 Pokémon Dex Data'!$B$3:$B951,0))</f>
        <v>1</v>
      </c>
      <c r="G582" s="0" t="str">
        <f aca="false" t="array" ref="G582:G582">INDEX('0.0.1 Pokémon Dex Data'!$E$3:$E951,MATCH(E582,'0.0.1 Pokémon Dex Data'!$B$3:$B951,0))</f>
        <v>Arceus-Ghost</v>
      </c>
      <c r="H582" s="0" t="str">
        <f aca="false" t="array" ref="H582:H582">INDEX('0.0.1 Pokémon Dex Data'!$Q$3:$Q951,MATCH(E582,'0.0.1 Pokémon Dex Data'!$B$3:$B951,0))</f>
        <v>Ghost</v>
      </c>
      <c r="I582" s="0" t="n">
        <f aca="false">INDEX('0.0.1 Pokémon Dex Data'!$R$3:$R951,MATCH(E582,'0.0.1 Pokémon Dex Data'!$B$3:$B951,0))</f>
        <v>0</v>
      </c>
      <c r="J582" s="260" t="n">
        <f aca="false" t="array" ref="J582:J582">ROUND(INDEX('0.0.1 Pokémon Dex Data'!$S$3:$S951,MATCH($E582,'0.0.1 Pokémon Dex Data'!$B$3:$B951,0))*INDEX('0.0.1 Pokémon Dex Data'!T$3:T951,MATCH($E582,'0.0.1 Pokémon Dex Data'!$B$3:$B951,0)),0)</f>
        <v>238</v>
      </c>
      <c r="K582" s="260" t="n">
        <f aca="false" t="array" ref="K582:K582">ROUND(INDEX('0.0.1 Pokémon Dex Data'!$S$3:$S951,MATCH($E582,'0.0.1 Pokémon Dex Data'!$B$3:$B951,0))*INDEX('0.0.1 Pokémon Dex Data'!U$3:U951,MATCH($E582,'0.0.1 Pokémon Dex Data'!$B$3:$B951,0)),0)</f>
        <v>238</v>
      </c>
      <c r="L582" s="260" t="n">
        <f aca="false" t="array" ref="L582:L582">ROUND(INDEX('0.0.1 Pokémon Dex Data'!$S$3:$S951,MATCH($E582,'0.0.1 Pokémon Dex Data'!$B$3:$B951,0))*INDEX('0.0.1 Pokémon Dex Data'!V$3:V951,MATCH($E582,'0.0.1 Pokémon Dex Data'!$B$3:$B951,0)),0)</f>
        <v>236</v>
      </c>
      <c r="M582" s="260" t="n">
        <f aca="false" t="array" ref="M582:M582">INDEX('0.0.1 Pokémon Dex Data'!$J$3:$J951,MATCH(E582,'0.0.1 Pokémon Dex Data'!$B$3:$B951,0))</f>
        <v>1</v>
      </c>
      <c r="O582" s="490"/>
      <c r="Q582" s="367" t="n">
        <f aca="false">IF('Reverse Search'!$F$4="All (including temporary formes)",1,IF('Reverse Search'!$F$4="Base Pokémon and permanent formes only",IF(F582&lt;=1,1,0),IF(F582=0,1,0)))</f>
        <v>0</v>
      </c>
      <c r="R582" s="0" t="n">
        <f aca="false">IF('Reverse Search'!$C$7="Disable",1,IF('Reverse Search'!$D$9="Disable",1,IF(OR('Reverse Search'!$F$9=H582,'Reverse Search'!$F$9=I582),1,0)))</f>
        <v>1</v>
      </c>
      <c r="S582" s="0" t="n">
        <f aca="false">IF('Reverse Search'!$C$7="Disable",1,IF('Reverse Search'!$D$10="Disable",1,IF(OR('Reverse Search'!$F$10=H582,'Reverse Search'!$F$10=I582),1,0)))</f>
        <v>1</v>
      </c>
      <c r="T582" s="0" t="n">
        <f aca="false">INDEX($B$4:$B$22,MATCH(H582,$A$4:$A$22,0))</f>
        <v>0.51</v>
      </c>
      <c r="U582" s="0" t="e">
        <f aca="false">IF(ISBLANK(I582),1,INDEX($B$4:$B$22,MATCH(I582,$A$4:$A$22,0)))</f>
        <v>#N/A</v>
      </c>
      <c r="V582" s="367" t="n">
        <f aca="false">IF('Reverse Search'!$C$7="Disable",1,IF('Reverse Search'!$D$11="Disable",1,IF('Reverse Search'!$E$11="Neutral to:",IF(ROUND(T582*U582,2)&lt;=1,1,0),IF(ROUND(T582*U582,2)&lt;1,1,0))))</f>
        <v>1</v>
      </c>
      <c r="W582" s="0" t="n">
        <f aca="false">IF('Reverse Search'!$N$7="Disable",1,IF('Reverse Search'!$I$9="Disable",1,IF('Reverse Search'!$K$9="≥",IF(J582&gt;='Reverse Search'!$L$9,1,0),IF('Reverse Search'!$K$9="≤",IF(J582&lt;='Reverse Search'!$L$9,1,0),IF(J582='Reverse Search'!$L$9,1,0)))))</f>
        <v>1</v>
      </c>
      <c r="X582" s="0" t="n">
        <f aca="false">IF('Reverse Search'!$N$7="Disable",1,IF('Reverse Search'!$I$10="Disable",1,IF('Reverse Search'!$K$10="≥",IF(K582&gt;='Reverse Search'!$L$10,1,0),IF('Reverse Search'!$K$10="≤",IF(K582&lt;='Reverse Search'!$L$10,1,0),IF(K582='Reverse Search'!$L$10,1,0)))))</f>
        <v>1</v>
      </c>
      <c r="Y582" s="367" t="n">
        <f aca="false">IF('Reverse Search'!$N$7="Disable",1,IF('Reverse Search'!$I$11="Disable",1,IF('Reverse Search'!$K$11="≥",IF(L582&gt;='Reverse Search'!$L$11,1,0),IF('Reverse Search'!$K$11="≤",IF(L582&lt;='Reverse Search'!$L$11,1,0),IF(L582='Reverse Search'!$L$11,1,0)))))</f>
        <v>1</v>
      </c>
      <c r="Z582" s="0" t="n">
        <f aca="true">IF('Reverse Search'!$C$14="Disable",1,IF('Reverse Search'!$D$16="Disable",1,IF($C$2=3,IF($M582=0,0,COUNTIF(INDIRECT("'0.0.2 Pokémon Learnset (Core)'!$D$"&amp;MATCH($E582,'0.0.2 Pokémon Learnset (Core)'!$A$1:$A951,0)&amp;":$FK$"&amp;MATCH($E582,'0.0.2 Pokémon Learnset (Core)'!$A$1:$A951,0)),'Reverse Search'!$E$21)),IF($C$2=2,COUNTIF(INDIRECT("'0.1.1 Pokémon GO Moves'!$B$"&amp;MATCH($E582,'0.1.1 Pokémon GO Moves'!$A$1:$A951,0)&amp;":$R$"&amp;MATCH($E582,'0.1.1 Pokémon GO Moves'!$A$1:$A951,0)),'Reverse Search'!$E$21),COUNTIF(INDIRECT("'0.1.1 Pokémon GO Moves'!$B$"&amp;MATCH($E582,'0.1.1 Pokémon GO Moves'!$A$1:$A951,0)&amp;":$L$"&amp;MATCH($E582,'0.1.1 Pokémon GO Moves'!$A$1:$A951,0)),'Reverse Search'!$E$21)))))</f>
        <v>1</v>
      </c>
      <c r="AA582" s="0" t="e">
        <f aca="true">IF('Reverse Search'!$C$14="Disable",1,IF('Reverse Search'!$I$16="Disable",1,IF($D$2=3,IF($M582=0,0,COUNTIF(INDIRECT("'0.0.2 Pokémon Learnset (Core)'!$D$"&amp;MATCH($E582,'0.0.2 Pokémon Learnset (Core)'!$A$1:$A951,0)&amp;":$FK$"&amp;MATCH($E582,'0.0.2 Pokémon Learnset (Core)'!$A$1:$A951,0)),'Reverse Search'!$J$21)),IF($D$2=2,COUNTIF(INDIRECT("'0.1.1 Pokémon GO Moves'!$B$"&amp;MATCH($E582,'0.1.1 Pokémon GO Moves'!$A$1:$A951,0)&amp;":$R$"&amp;MATCH($E582,'0.1.1 Pokémon GO Moves'!$A$1:$A951,0)),'Reverse Search'!$J$21),COUNTIF(INDIRECT("'0.1.1 Pokémon GO Moves'!$B$"&amp;MATCH($E582,'0.1.1 Pokémon GO Moves'!$A$1:$A951,0)&amp;":$L$"&amp;MATCH($E582,'0.1.1 Pokémon GO Moves'!$A$1:$A951,0)),'Reverse Search'!$J$21)))))</f>
        <v>#N/A</v>
      </c>
      <c r="AB582" s="490"/>
      <c r="AC582" s="260" t="e">
        <f aca="false">IF((Q582+R582+S582+V582+W582+X582+Y582+IF(Z582&gt;=1,1,0)+IF(AA582&gt;=1,1,0))=9,G582&amp;", ",)</f>
        <v>#N/A</v>
      </c>
    </row>
    <row r="583" customFormat="false" ht="15.75" hidden="false" customHeight="false" outlineLevel="0" collapsed="false">
      <c r="A583" s="260"/>
      <c r="B583" s="358"/>
      <c r="C583" s="260"/>
      <c r="D583" s="358"/>
      <c r="E583" s="260" t="n">
        <v>582</v>
      </c>
      <c r="F583" s="260" t="n">
        <f aca="false" t="array" ref="F583:F583">INDEX('0.0.1 Pokémon Dex Data'!$H$3:$H951,MATCH(E583,'0.0.1 Pokémon Dex Data'!$B$3:$B951,0))</f>
        <v>1</v>
      </c>
      <c r="G583" s="0" t="str">
        <f aca="false" t="array" ref="G583:G583">INDEX('0.0.1 Pokémon Dex Data'!$E$3:$E951,MATCH(E583,'0.0.1 Pokémon Dex Data'!$B$3:$B951,0))</f>
        <v>Arceus-Steel</v>
      </c>
      <c r="H583" s="0" t="str">
        <f aca="false" t="array" ref="H583:H583">INDEX('0.0.1 Pokémon Dex Data'!$Q$3:$Q951,MATCH(E583,'0.0.1 Pokémon Dex Data'!$B$3:$B951,0))</f>
        <v>Steel</v>
      </c>
      <c r="I583" s="0" t="n">
        <f aca="false">INDEX('0.0.1 Pokémon Dex Data'!$R$3:$R951,MATCH(E583,'0.0.1 Pokémon Dex Data'!$B$3:$B951,0))</f>
        <v>0</v>
      </c>
      <c r="J583" s="260" t="n">
        <f aca="false" t="array" ref="J583:J583">ROUND(INDEX('0.0.1 Pokémon Dex Data'!$S$3:$S951,MATCH($E583,'0.0.1 Pokémon Dex Data'!$B$3:$B951,0))*INDEX('0.0.1 Pokémon Dex Data'!T$3:T951,MATCH($E583,'0.0.1 Pokémon Dex Data'!$B$3:$B951,0)),0)</f>
        <v>238</v>
      </c>
      <c r="K583" s="260" t="n">
        <f aca="false" t="array" ref="K583:K583">ROUND(INDEX('0.0.1 Pokémon Dex Data'!$S$3:$S951,MATCH($E583,'0.0.1 Pokémon Dex Data'!$B$3:$B951,0))*INDEX('0.0.1 Pokémon Dex Data'!U$3:U951,MATCH($E583,'0.0.1 Pokémon Dex Data'!$B$3:$B951,0)),0)</f>
        <v>238</v>
      </c>
      <c r="L583" s="260" t="n">
        <f aca="false" t="array" ref="L583:L583">ROUND(INDEX('0.0.1 Pokémon Dex Data'!$S$3:$S951,MATCH($E583,'0.0.1 Pokémon Dex Data'!$B$3:$B951,0))*INDEX('0.0.1 Pokémon Dex Data'!V$3:V951,MATCH($E583,'0.0.1 Pokémon Dex Data'!$B$3:$B951,0)),0)</f>
        <v>236</v>
      </c>
      <c r="M583" s="260" t="n">
        <f aca="false" t="array" ref="M583:M583">INDEX('0.0.1 Pokémon Dex Data'!$J$3:$J951,MATCH(E583,'0.0.1 Pokémon Dex Data'!$B$3:$B951,0))</f>
        <v>1</v>
      </c>
      <c r="O583" s="490"/>
      <c r="Q583" s="367" t="n">
        <f aca="false">IF('Reverse Search'!$F$4="All (including temporary formes)",1,IF('Reverse Search'!$F$4="Base Pokémon and permanent formes only",IF(F583&lt;=1,1,0),IF(F583=0,1,0)))</f>
        <v>0</v>
      </c>
      <c r="R583" s="0" t="n">
        <f aca="false">IF('Reverse Search'!$C$7="Disable",1,IF('Reverse Search'!$D$9="Disable",1,IF(OR('Reverse Search'!$F$9=H583,'Reverse Search'!$F$9=I583),1,0)))</f>
        <v>1</v>
      </c>
      <c r="S583" s="0" t="n">
        <f aca="false">IF('Reverse Search'!$C$7="Disable",1,IF('Reverse Search'!$D$10="Disable",1,IF(OR('Reverse Search'!$F$10=H583,'Reverse Search'!$F$10=I583),1,0)))</f>
        <v>1</v>
      </c>
      <c r="T583" s="0" t="n">
        <f aca="false">INDEX($B$4:$B$22,MATCH(H583,$A$4:$A$22,0))</f>
        <v>0.714</v>
      </c>
      <c r="U583" s="0" t="e">
        <f aca="false">IF(ISBLANK(I583),1,INDEX($B$4:$B$22,MATCH(I583,$A$4:$A$22,0)))</f>
        <v>#N/A</v>
      </c>
      <c r="V583" s="367" t="n">
        <f aca="false">IF('Reverse Search'!$C$7="Disable",1,IF('Reverse Search'!$D$11="Disable",1,IF('Reverse Search'!$E$11="Neutral to:",IF(ROUND(T583*U583,2)&lt;=1,1,0),IF(ROUND(T583*U583,2)&lt;1,1,0))))</f>
        <v>1</v>
      </c>
      <c r="W583" s="0" t="n">
        <f aca="false">IF('Reverse Search'!$N$7="Disable",1,IF('Reverse Search'!$I$9="Disable",1,IF('Reverse Search'!$K$9="≥",IF(J583&gt;='Reverse Search'!$L$9,1,0),IF('Reverse Search'!$K$9="≤",IF(J583&lt;='Reverse Search'!$L$9,1,0),IF(J583='Reverse Search'!$L$9,1,0)))))</f>
        <v>1</v>
      </c>
      <c r="X583" s="0" t="n">
        <f aca="false">IF('Reverse Search'!$N$7="Disable",1,IF('Reverse Search'!$I$10="Disable",1,IF('Reverse Search'!$K$10="≥",IF(K583&gt;='Reverse Search'!$L$10,1,0),IF('Reverse Search'!$K$10="≤",IF(K583&lt;='Reverse Search'!$L$10,1,0),IF(K583='Reverse Search'!$L$10,1,0)))))</f>
        <v>1</v>
      </c>
      <c r="Y583" s="367" t="n">
        <f aca="false">IF('Reverse Search'!$N$7="Disable",1,IF('Reverse Search'!$I$11="Disable",1,IF('Reverse Search'!$K$11="≥",IF(L583&gt;='Reverse Search'!$L$11,1,0),IF('Reverse Search'!$K$11="≤",IF(L583&lt;='Reverse Search'!$L$11,1,0),IF(L583='Reverse Search'!$L$11,1,0)))))</f>
        <v>1</v>
      </c>
      <c r="Z583" s="0" t="n">
        <f aca="true">IF('Reverse Search'!$C$14="Disable",1,IF('Reverse Search'!$D$16="Disable",1,IF($C$2=3,IF($M583=0,0,COUNTIF(INDIRECT("'0.0.2 Pokémon Learnset (Core)'!$D$"&amp;MATCH($E583,'0.0.2 Pokémon Learnset (Core)'!$A$1:$A951,0)&amp;":$FK$"&amp;MATCH($E583,'0.0.2 Pokémon Learnset (Core)'!$A$1:$A951,0)),'Reverse Search'!$E$21)),IF($C$2=2,COUNTIF(INDIRECT("'0.1.1 Pokémon GO Moves'!$B$"&amp;MATCH($E583,'0.1.1 Pokémon GO Moves'!$A$1:$A951,0)&amp;":$R$"&amp;MATCH($E583,'0.1.1 Pokémon GO Moves'!$A$1:$A951,0)),'Reverse Search'!$E$21),COUNTIF(INDIRECT("'0.1.1 Pokémon GO Moves'!$B$"&amp;MATCH($E583,'0.1.1 Pokémon GO Moves'!$A$1:$A951,0)&amp;":$L$"&amp;MATCH($E583,'0.1.1 Pokémon GO Moves'!$A$1:$A951,0)),'Reverse Search'!$E$21)))))</f>
        <v>1</v>
      </c>
      <c r="AA583" s="0" t="e">
        <f aca="true">IF('Reverse Search'!$C$14="Disable",1,IF('Reverse Search'!$I$16="Disable",1,IF($D$2=3,IF($M583=0,0,COUNTIF(INDIRECT("'0.0.2 Pokémon Learnset (Core)'!$D$"&amp;MATCH($E583,'0.0.2 Pokémon Learnset (Core)'!$A$1:$A951,0)&amp;":$FK$"&amp;MATCH($E583,'0.0.2 Pokémon Learnset (Core)'!$A$1:$A951,0)),'Reverse Search'!$J$21)),IF($D$2=2,COUNTIF(INDIRECT("'0.1.1 Pokémon GO Moves'!$B$"&amp;MATCH($E583,'0.1.1 Pokémon GO Moves'!$A$1:$A951,0)&amp;":$R$"&amp;MATCH($E583,'0.1.1 Pokémon GO Moves'!$A$1:$A951,0)),'Reverse Search'!$J$21),COUNTIF(INDIRECT("'0.1.1 Pokémon GO Moves'!$B$"&amp;MATCH($E583,'0.1.1 Pokémon GO Moves'!$A$1:$A951,0)&amp;":$L$"&amp;MATCH($E583,'0.1.1 Pokémon GO Moves'!$A$1:$A951,0)),'Reverse Search'!$J$21)))))</f>
        <v>#N/A</v>
      </c>
      <c r="AB583" s="490"/>
      <c r="AC583" s="260" t="e">
        <f aca="false">IF((Q583+R583+S583+V583+W583+X583+Y583+IF(Z583&gt;=1,1,0)+IF(AA583&gt;=1,1,0))=9,G583&amp;", ",)</f>
        <v>#N/A</v>
      </c>
    </row>
    <row r="584" customFormat="false" ht="15.75" hidden="false" customHeight="false" outlineLevel="0" collapsed="false">
      <c r="A584" s="260"/>
      <c r="B584" s="358"/>
      <c r="C584" s="260"/>
      <c r="D584" s="358"/>
      <c r="E584" s="260" t="n">
        <v>583</v>
      </c>
      <c r="F584" s="260" t="n">
        <f aca="false" t="array" ref="F584:F584">INDEX('0.0.1 Pokémon Dex Data'!$H$3:$H951,MATCH(E584,'0.0.1 Pokémon Dex Data'!$B$3:$B951,0))</f>
        <v>1</v>
      </c>
      <c r="G584" s="0" t="str">
        <f aca="false" t="array" ref="G584:G584">INDEX('0.0.1 Pokémon Dex Data'!$E$3:$E951,MATCH(E584,'0.0.1 Pokémon Dex Data'!$B$3:$B951,0))</f>
        <v>Arceus-Fire</v>
      </c>
      <c r="H584" s="0" t="str">
        <f aca="false" t="array" ref="H584:H584">INDEX('0.0.1 Pokémon Dex Data'!$Q$3:$Q951,MATCH(E584,'0.0.1 Pokémon Dex Data'!$B$3:$B951,0))</f>
        <v>Fire</v>
      </c>
      <c r="I584" s="0" t="n">
        <f aca="false">INDEX('0.0.1 Pokémon Dex Data'!$R$3:$R951,MATCH(E584,'0.0.1 Pokémon Dex Data'!$B$3:$B951,0))</f>
        <v>0</v>
      </c>
      <c r="J584" s="260" t="n">
        <f aca="false" t="array" ref="J584:J584">ROUND(INDEX('0.0.1 Pokémon Dex Data'!$S$3:$S951,MATCH($E584,'0.0.1 Pokémon Dex Data'!$B$3:$B951,0))*INDEX('0.0.1 Pokémon Dex Data'!T$3:T951,MATCH($E584,'0.0.1 Pokémon Dex Data'!$B$3:$B951,0)),0)</f>
        <v>238</v>
      </c>
      <c r="K584" s="260" t="n">
        <f aca="false" t="array" ref="K584:K584">ROUND(INDEX('0.0.1 Pokémon Dex Data'!$S$3:$S951,MATCH($E584,'0.0.1 Pokémon Dex Data'!$B$3:$B951,0))*INDEX('0.0.1 Pokémon Dex Data'!U$3:U951,MATCH($E584,'0.0.1 Pokémon Dex Data'!$B$3:$B951,0)),0)</f>
        <v>238</v>
      </c>
      <c r="L584" s="260" t="n">
        <f aca="false" t="array" ref="L584:L584">ROUND(INDEX('0.0.1 Pokémon Dex Data'!$S$3:$S951,MATCH($E584,'0.0.1 Pokémon Dex Data'!$B$3:$B951,0))*INDEX('0.0.1 Pokémon Dex Data'!V$3:V951,MATCH($E584,'0.0.1 Pokémon Dex Data'!$B$3:$B951,0)),0)</f>
        <v>236</v>
      </c>
      <c r="M584" s="260" t="n">
        <f aca="false" t="array" ref="M584:M584">INDEX('0.0.1 Pokémon Dex Data'!$J$3:$J951,MATCH(E584,'0.0.1 Pokémon Dex Data'!$B$3:$B951,0))</f>
        <v>1</v>
      </c>
      <c r="O584" s="490"/>
      <c r="Q584" s="367" t="n">
        <f aca="false">IF('Reverse Search'!$F$4="All (including temporary formes)",1,IF('Reverse Search'!$F$4="Base Pokémon and permanent formes only",IF(F584&lt;=1,1,0),IF(F584=0,1,0)))</f>
        <v>0</v>
      </c>
      <c r="R584" s="0" t="n">
        <f aca="false">IF('Reverse Search'!$C$7="Disable",1,IF('Reverse Search'!$D$9="Disable",1,IF(OR('Reverse Search'!$F$9=H584,'Reverse Search'!$F$9=I584),1,0)))</f>
        <v>1</v>
      </c>
      <c r="S584" s="0" t="n">
        <f aca="false">IF('Reverse Search'!$C$7="Disable",1,IF('Reverse Search'!$D$10="Disable",1,IF(OR('Reverse Search'!$F$10=H584,'Reverse Search'!$F$10=I584),1,0)))</f>
        <v>1</v>
      </c>
      <c r="T584" s="0" t="n">
        <f aca="false">INDEX($B$4:$B$22,MATCH(H584,$A$4:$A$22,0))</f>
        <v>1</v>
      </c>
      <c r="U584" s="0" t="e">
        <f aca="false">IF(ISBLANK(I584),1,INDEX($B$4:$B$22,MATCH(I584,$A$4:$A$22,0)))</f>
        <v>#N/A</v>
      </c>
      <c r="V584" s="367" t="n">
        <f aca="false">IF('Reverse Search'!$C$7="Disable",1,IF('Reverse Search'!$D$11="Disable",1,IF('Reverse Search'!$E$11="Neutral to:",IF(ROUND(T584*U584,2)&lt;=1,1,0),IF(ROUND(T584*U584,2)&lt;1,1,0))))</f>
        <v>1</v>
      </c>
      <c r="W584" s="0" t="n">
        <f aca="false">IF('Reverse Search'!$N$7="Disable",1,IF('Reverse Search'!$I$9="Disable",1,IF('Reverse Search'!$K$9="≥",IF(J584&gt;='Reverse Search'!$L$9,1,0),IF('Reverse Search'!$K$9="≤",IF(J584&lt;='Reverse Search'!$L$9,1,0),IF(J584='Reverse Search'!$L$9,1,0)))))</f>
        <v>1</v>
      </c>
      <c r="X584" s="0" t="n">
        <f aca="false">IF('Reverse Search'!$N$7="Disable",1,IF('Reverse Search'!$I$10="Disable",1,IF('Reverse Search'!$K$10="≥",IF(K584&gt;='Reverse Search'!$L$10,1,0),IF('Reverse Search'!$K$10="≤",IF(K584&lt;='Reverse Search'!$L$10,1,0),IF(K584='Reverse Search'!$L$10,1,0)))))</f>
        <v>1</v>
      </c>
      <c r="Y584" s="367" t="n">
        <f aca="false">IF('Reverse Search'!$N$7="Disable",1,IF('Reverse Search'!$I$11="Disable",1,IF('Reverse Search'!$K$11="≥",IF(L584&gt;='Reverse Search'!$L$11,1,0),IF('Reverse Search'!$K$11="≤",IF(L584&lt;='Reverse Search'!$L$11,1,0),IF(L584='Reverse Search'!$L$11,1,0)))))</f>
        <v>1</v>
      </c>
      <c r="Z584" s="0" t="n">
        <f aca="true">IF('Reverse Search'!$C$14="Disable",1,IF('Reverse Search'!$D$16="Disable",1,IF($C$2=3,IF($M584=0,0,COUNTIF(INDIRECT("'0.0.2 Pokémon Learnset (Core)'!$D$"&amp;MATCH($E584,'0.0.2 Pokémon Learnset (Core)'!$A$1:$A951,0)&amp;":$FK$"&amp;MATCH($E584,'0.0.2 Pokémon Learnset (Core)'!$A$1:$A951,0)),'Reverse Search'!$E$21)),IF($C$2=2,COUNTIF(INDIRECT("'0.1.1 Pokémon GO Moves'!$B$"&amp;MATCH($E584,'0.1.1 Pokémon GO Moves'!$A$1:$A951,0)&amp;":$R$"&amp;MATCH($E584,'0.1.1 Pokémon GO Moves'!$A$1:$A951,0)),'Reverse Search'!$E$21),COUNTIF(INDIRECT("'0.1.1 Pokémon GO Moves'!$B$"&amp;MATCH($E584,'0.1.1 Pokémon GO Moves'!$A$1:$A951,0)&amp;":$L$"&amp;MATCH($E584,'0.1.1 Pokémon GO Moves'!$A$1:$A951,0)),'Reverse Search'!$E$21)))))</f>
        <v>1</v>
      </c>
      <c r="AA584" s="0" t="e">
        <f aca="true">IF('Reverse Search'!$C$14="Disable",1,IF('Reverse Search'!$I$16="Disable",1,IF($D$2=3,IF($M584=0,0,COUNTIF(INDIRECT("'0.0.2 Pokémon Learnset (Core)'!$D$"&amp;MATCH($E584,'0.0.2 Pokémon Learnset (Core)'!$A$1:$A951,0)&amp;":$FK$"&amp;MATCH($E584,'0.0.2 Pokémon Learnset (Core)'!$A$1:$A951,0)),'Reverse Search'!$J$21)),IF($D$2=2,COUNTIF(INDIRECT("'0.1.1 Pokémon GO Moves'!$B$"&amp;MATCH($E584,'0.1.1 Pokémon GO Moves'!$A$1:$A951,0)&amp;":$R$"&amp;MATCH($E584,'0.1.1 Pokémon GO Moves'!$A$1:$A951,0)),'Reverse Search'!$J$21),COUNTIF(INDIRECT("'0.1.1 Pokémon GO Moves'!$B$"&amp;MATCH($E584,'0.1.1 Pokémon GO Moves'!$A$1:$A951,0)&amp;":$L$"&amp;MATCH($E584,'0.1.1 Pokémon GO Moves'!$A$1:$A951,0)),'Reverse Search'!$J$21)))))</f>
        <v>#N/A</v>
      </c>
      <c r="AB584" s="490"/>
      <c r="AC584" s="260" t="e">
        <f aca="false">IF((Q584+R584+S584+V584+W584+X584+Y584+IF(Z584&gt;=1,1,0)+IF(AA584&gt;=1,1,0))=9,G584&amp;", ",)</f>
        <v>#N/A</v>
      </c>
    </row>
    <row r="585" customFormat="false" ht="15.75" hidden="false" customHeight="false" outlineLevel="0" collapsed="false">
      <c r="A585" s="260"/>
      <c r="B585" s="358"/>
      <c r="C585" s="260"/>
      <c r="D585" s="358"/>
      <c r="E585" s="260" t="n">
        <v>584</v>
      </c>
      <c r="F585" s="260" t="n">
        <f aca="false" t="array" ref="F585:F585">INDEX('0.0.1 Pokémon Dex Data'!$H$3:$H951,MATCH(E585,'0.0.1 Pokémon Dex Data'!$B$3:$B951,0))</f>
        <v>1</v>
      </c>
      <c r="G585" s="0" t="str">
        <f aca="false" t="array" ref="G585:G585">INDEX('0.0.1 Pokémon Dex Data'!$E$3:$E951,MATCH(E585,'0.0.1 Pokémon Dex Data'!$B$3:$B951,0))</f>
        <v>Arceus-Water</v>
      </c>
      <c r="H585" s="0" t="str">
        <f aca="false" t="array" ref="H585:H585">INDEX('0.0.1 Pokémon Dex Data'!$Q$3:$Q951,MATCH(E585,'0.0.1 Pokémon Dex Data'!$B$3:$B951,0))</f>
        <v>Water</v>
      </c>
      <c r="I585" s="0" t="n">
        <f aca="false">INDEX('0.0.1 Pokémon Dex Data'!$R$3:$R951,MATCH(E585,'0.0.1 Pokémon Dex Data'!$B$3:$B951,0))</f>
        <v>0</v>
      </c>
      <c r="J585" s="260" t="n">
        <f aca="false" t="array" ref="J585:J585">ROUND(INDEX('0.0.1 Pokémon Dex Data'!$S$3:$S951,MATCH($E585,'0.0.1 Pokémon Dex Data'!$B$3:$B951,0))*INDEX('0.0.1 Pokémon Dex Data'!T$3:T951,MATCH($E585,'0.0.1 Pokémon Dex Data'!$B$3:$B951,0)),0)</f>
        <v>238</v>
      </c>
      <c r="K585" s="260" t="n">
        <f aca="false" t="array" ref="K585:K585">ROUND(INDEX('0.0.1 Pokémon Dex Data'!$S$3:$S951,MATCH($E585,'0.0.1 Pokémon Dex Data'!$B$3:$B951,0))*INDEX('0.0.1 Pokémon Dex Data'!U$3:U951,MATCH($E585,'0.0.1 Pokémon Dex Data'!$B$3:$B951,0)),0)</f>
        <v>238</v>
      </c>
      <c r="L585" s="260" t="n">
        <f aca="false" t="array" ref="L585:L585">ROUND(INDEX('0.0.1 Pokémon Dex Data'!$S$3:$S951,MATCH($E585,'0.0.1 Pokémon Dex Data'!$B$3:$B951,0))*INDEX('0.0.1 Pokémon Dex Data'!V$3:V951,MATCH($E585,'0.0.1 Pokémon Dex Data'!$B$3:$B951,0)),0)</f>
        <v>236</v>
      </c>
      <c r="M585" s="260" t="n">
        <f aca="false" t="array" ref="M585:M585">INDEX('0.0.1 Pokémon Dex Data'!$J$3:$J951,MATCH(E585,'0.0.1 Pokémon Dex Data'!$B$3:$B951,0))</f>
        <v>1</v>
      </c>
      <c r="O585" s="490"/>
      <c r="Q585" s="367" t="n">
        <f aca="false">IF('Reverse Search'!$F$4="All (including temporary formes)",1,IF('Reverse Search'!$F$4="Base Pokémon and permanent formes only",IF(F585&lt;=1,1,0),IF(F585=0,1,0)))</f>
        <v>0</v>
      </c>
      <c r="R585" s="0" t="n">
        <f aca="false">IF('Reverse Search'!$C$7="Disable",1,IF('Reverse Search'!$D$9="Disable",1,IF(OR('Reverse Search'!$F$9=H585,'Reverse Search'!$F$9=I585),1,0)))</f>
        <v>1</v>
      </c>
      <c r="S585" s="0" t="n">
        <f aca="false">IF('Reverse Search'!$C$7="Disable",1,IF('Reverse Search'!$D$10="Disable",1,IF(OR('Reverse Search'!$F$10=H585,'Reverse Search'!$F$10=I585),1,0)))</f>
        <v>1</v>
      </c>
      <c r="T585" s="0" t="n">
        <f aca="false">INDEX($B$4:$B$22,MATCH(H585,$A$4:$A$22,0))</f>
        <v>1</v>
      </c>
      <c r="U585" s="0" t="e">
        <f aca="false">IF(ISBLANK(I585),1,INDEX($B$4:$B$22,MATCH(I585,$A$4:$A$22,0)))</f>
        <v>#N/A</v>
      </c>
      <c r="V585" s="367" t="n">
        <f aca="false">IF('Reverse Search'!$C$7="Disable",1,IF('Reverse Search'!$D$11="Disable",1,IF('Reverse Search'!$E$11="Neutral to:",IF(ROUND(T585*U585,2)&lt;=1,1,0),IF(ROUND(T585*U585,2)&lt;1,1,0))))</f>
        <v>1</v>
      </c>
      <c r="W585" s="0" t="n">
        <f aca="false">IF('Reverse Search'!$N$7="Disable",1,IF('Reverse Search'!$I$9="Disable",1,IF('Reverse Search'!$K$9="≥",IF(J585&gt;='Reverse Search'!$L$9,1,0),IF('Reverse Search'!$K$9="≤",IF(J585&lt;='Reverse Search'!$L$9,1,0),IF(J585='Reverse Search'!$L$9,1,0)))))</f>
        <v>1</v>
      </c>
      <c r="X585" s="0" t="n">
        <f aca="false">IF('Reverse Search'!$N$7="Disable",1,IF('Reverse Search'!$I$10="Disable",1,IF('Reverse Search'!$K$10="≥",IF(K585&gt;='Reverse Search'!$L$10,1,0),IF('Reverse Search'!$K$10="≤",IF(K585&lt;='Reverse Search'!$L$10,1,0),IF(K585='Reverse Search'!$L$10,1,0)))))</f>
        <v>1</v>
      </c>
      <c r="Y585" s="367" t="n">
        <f aca="false">IF('Reverse Search'!$N$7="Disable",1,IF('Reverse Search'!$I$11="Disable",1,IF('Reverse Search'!$K$11="≥",IF(L585&gt;='Reverse Search'!$L$11,1,0),IF('Reverse Search'!$K$11="≤",IF(L585&lt;='Reverse Search'!$L$11,1,0),IF(L585='Reverse Search'!$L$11,1,0)))))</f>
        <v>1</v>
      </c>
      <c r="Z585" s="0" t="n">
        <f aca="true">IF('Reverse Search'!$C$14="Disable",1,IF('Reverse Search'!$D$16="Disable",1,IF($C$2=3,IF($M585=0,0,COUNTIF(INDIRECT("'0.0.2 Pokémon Learnset (Core)'!$D$"&amp;MATCH($E585,'0.0.2 Pokémon Learnset (Core)'!$A$1:$A951,0)&amp;":$FK$"&amp;MATCH($E585,'0.0.2 Pokémon Learnset (Core)'!$A$1:$A951,0)),'Reverse Search'!$E$21)),IF($C$2=2,COUNTIF(INDIRECT("'0.1.1 Pokémon GO Moves'!$B$"&amp;MATCH($E585,'0.1.1 Pokémon GO Moves'!$A$1:$A951,0)&amp;":$R$"&amp;MATCH($E585,'0.1.1 Pokémon GO Moves'!$A$1:$A951,0)),'Reverse Search'!$E$21),COUNTIF(INDIRECT("'0.1.1 Pokémon GO Moves'!$B$"&amp;MATCH($E585,'0.1.1 Pokémon GO Moves'!$A$1:$A951,0)&amp;":$L$"&amp;MATCH($E585,'0.1.1 Pokémon GO Moves'!$A$1:$A951,0)),'Reverse Search'!$E$21)))))</f>
        <v>1</v>
      </c>
      <c r="AA585" s="0" t="e">
        <f aca="true">IF('Reverse Search'!$C$14="Disable",1,IF('Reverse Search'!$I$16="Disable",1,IF($D$2=3,IF($M585=0,0,COUNTIF(INDIRECT("'0.0.2 Pokémon Learnset (Core)'!$D$"&amp;MATCH($E585,'0.0.2 Pokémon Learnset (Core)'!$A$1:$A951,0)&amp;":$FK$"&amp;MATCH($E585,'0.0.2 Pokémon Learnset (Core)'!$A$1:$A951,0)),'Reverse Search'!$J$21)),IF($D$2=2,COUNTIF(INDIRECT("'0.1.1 Pokémon GO Moves'!$B$"&amp;MATCH($E585,'0.1.1 Pokémon GO Moves'!$A$1:$A951,0)&amp;":$R$"&amp;MATCH($E585,'0.1.1 Pokémon GO Moves'!$A$1:$A951,0)),'Reverse Search'!$J$21),COUNTIF(INDIRECT("'0.1.1 Pokémon GO Moves'!$B$"&amp;MATCH($E585,'0.1.1 Pokémon GO Moves'!$A$1:$A951,0)&amp;":$L$"&amp;MATCH($E585,'0.1.1 Pokémon GO Moves'!$A$1:$A951,0)),'Reverse Search'!$J$21)))))</f>
        <v>#N/A</v>
      </c>
      <c r="AB585" s="490"/>
      <c r="AC585" s="260" t="e">
        <f aca="false">IF((Q585+R585+S585+V585+W585+X585+Y585+IF(Z585&gt;=1,1,0)+IF(AA585&gt;=1,1,0))=9,G585&amp;", ",)</f>
        <v>#N/A</v>
      </c>
    </row>
    <row r="586" customFormat="false" ht="15.75" hidden="false" customHeight="false" outlineLevel="0" collapsed="false">
      <c r="A586" s="260"/>
      <c r="B586" s="358"/>
      <c r="C586" s="260"/>
      <c r="D586" s="358"/>
      <c r="E586" s="260" t="n">
        <v>585</v>
      </c>
      <c r="F586" s="260" t="n">
        <f aca="false" t="array" ref="F586:F586">INDEX('0.0.1 Pokémon Dex Data'!$H$3:$H951,MATCH(E586,'0.0.1 Pokémon Dex Data'!$B$3:$B951,0))</f>
        <v>1</v>
      </c>
      <c r="G586" s="0" t="str">
        <f aca="false" t="array" ref="G586:G586">INDEX('0.0.1 Pokémon Dex Data'!$E$3:$E951,MATCH(E586,'0.0.1 Pokémon Dex Data'!$B$3:$B951,0))</f>
        <v>Arceus-Grass</v>
      </c>
      <c r="H586" s="0" t="str">
        <f aca="false" t="array" ref="H586:H586">INDEX('0.0.1 Pokémon Dex Data'!$Q$3:$Q951,MATCH(E586,'0.0.1 Pokémon Dex Data'!$B$3:$B951,0))</f>
        <v>Grass</v>
      </c>
      <c r="I586" s="0" t="n">
        <f aca="false">INDEX('0.0.1 Pokémon Dex Data'!$R$3:$R951,MATCH(E586,'0.0.1 Pokémon Dex Data'!$B$3:$B951,0))</f>
        <v>0</v>
      </c>
      <c r="J586" s="260" t="n">
        <f aca="false" t="array" ref="J586:J586">ROUND(INDEX('0.0.1 Pokémon Dex Data'!$S$3:$S951,MATCH($E586,'0.0.1 Pokémon Dex Data'!$B$3:$B951,0))*INDEX('0.0.1 Pokémon Dex Data'!T$3:T951,MATCH($E586,'0.0.1 Pokémon Dex Data'!$B$3:$B951,0)),0)</f>
        <v>238</v>
      </c>
      <c r="K586" s="260" t="n">
        <f aca="false" t="array" ref="K586:K586">ROUND(INDEX('0.0.1 Pokémon Dex Data'!$S$3:$S951,MATCH($E586,'0.0.1 Pokémon Dex Data'!$B$3:$B951,0))*INDEX('0.0.1 Pokémon Dex Data'!U$3:U951,MATCH($E586,'0.0.1 Pokémon Dex Data'!$B$3:$B951,0)),0)</f>
        <v>238</v>
      </c>
      <c r="L586" s="260" t="n">
        <f aca="false" t="array" ref="L586:L586">ROUND(INDEX('0.0.1 Pokémon Dex Data'!$S$3:$S951,MATCH($E586,'0.0.1 Pokémon Dex Data'!$B$3:$B951,0))*INDEX('0.0.1 Pokémon Dex Data'!V$3:V951,MATCH($E586,'0.0.1 Pokémon Dex Data'!$B$3:$B951,0)),0)</f>
        <v>236</v>
      </c>
      <c r="M586" s="260" t="n">
        <f aca="false" t="array" ref="M586:M586">INDEX('0.0.1 Pokémon Dex Data'!$J$3:$J951,MATCH(E586,'0.0.1 Pokémon Dex Data'!$B$3:$B951,0))</f>
        <v>1</v>
      </c>
      <c r="O586" s="490"/>
      <c r="Q586" s="367" t="n">
        <f aca="false">IF('Reverse Search'!$F$4="All (including temporary formes)",1,IF('Reverse Search'!$F$4="Base Pokémon and permanent formes only",IF(F586&lt;=1,1,0),IF(F586=0,1,0)))</f>
        <v>0</v>
      </c>
      <c r="R586" s="0" t="n">
        <f aca="false">IF('Reverse Search'!$C$7="Disable",1,IF('Reverse Search'!$D$9="Disable",1,IF(OR('Reverse Search'!$F$9=H586,'Reverse Search'!$F$9=I586),1,0)))</f>
        <v>1</v>
      </c>
      <c r="S586" s="0" t="n">
        <f aca="false">IF('Reverse Search'!$C$7="Disable",1,IF('Reverse Search'!$D$10="Disable",1,IF(OR('Reverse Search'!$F$10=H586,'Reverse Search'!$F$10=I586),1,0)))</f>
        <v>1</v>
      </c>
      <c r="T586" s="0" t="n">
        <f aca="false">INDEX($B$4:$B$22,MATCH(H586,$A$4:$A$22,0))</f>
        <v>1</v>
      </c>
      <c r="U586" s="0" t="e">
        <f aca="false">IF(ISBLANK(I586),1,INDEX($B$4:$B$22,MATCH(I586,$A$4:$A$22,0)))</f>
        <v>#N/A</v>
      </c>
      <c r="V586" s="367" t="n">
        <f aca="false">IF('Reverse Search'!$C$7="Disable",1,IF('Reverse Search'!$D$11="Disable",1,IF('Reverse Search'!$E$11="Neutral to:",IF(ROUND(T586*U586,2)&lt;=1,1,0),IF(ROUND(T586*U586,2)&lt;1,1,0))))</f>
        <v>1</v>
      </c>
      <c r="W586" s="0" t="n">
        <f aca="false">IF('Reverse Search'!$N$7="Disable",1,IF('Reverse Search'!$I$9="Disable",1,IF('Reverse Search'!$K$9="≥",IF(J586&gt;='Reverse Search'!$L$9,1,0),IF('Reverse Search'!$K$9="≤",IF(J586&lt;='Reverse Search'!$L$9,1,0),IF(J586='Reverse Search'!$L$9,1,0)))))</f>
        <v>1</v>
      </c>
      <c r="X586" s="0" t="n">
        <f aca="false">IF('Reverse Search'!$N$7="Disable",1,IF('Reverse Search'!$I$10="Disable",1,IF('Reverse Search'!$K$10="≥",IF(K586&gt;='Reverse Search'!$L$10,1,0),IF('Reverse Search'!$K$10="≤",IF(K586&lt;='Reverse Search'!$L$10,1,0),IF(K586='Reverse Search'!$L$10,1,0)))))</f>
        <v>1</v>
      </c>
      <c r="Y586" s="367" t="n">
        <f aca="false">IF('Reverse Search'!$N$7="Disable",1,IF('Reverse Search'!$I$11="Disable",1,IF('Reverse Search'!$K$11="≥",IF(L586&gt;='Reverse Search'!$L$11,1,0),IF('Reverse Search'!$K$11="≤",IF(L586&lt;='Reverse Search'!$L$11,1,0),IF(L586='Reverse Search'!$L$11,1,0)))))</f>
        <v>1</v>
      </c>
      <c r="Z586" s="0" t="n">
        <f aca="true">IF('Reverse Search'!$C$14="Disable",1,IF('Reverse Search'!$D$16="Disable",1,IF($C$2=3,IF($M586=0,0,COUNTIF(INDIRECT("'0.0.2 Pokémon Learnset (Core)'!$D$"&amp;MATCH($E586,'0.0.2 Pokémon Learnset (Core)'!$A$1:$A951,0)&amp;":$FK$"&amp;MATCH($E586,'0.0.2 Pokémon Learnset (Core)'!$A$1:$A951,0)),'Reverse Search'!$E$21)),IF($C$2=2,COUNTIF(INDIRECT("'0.1.1 Pokémon GO Moves'!$B$"&amp;MATCH($E586,'0.1.1 Pokémon GO Moves'!$A$1:$A951,0)&amp;":$R$"&amp;MATCH($E586,'0.1.1 Pokémon GO Moves'!$A$1:$A951,0)),'Reverse Search'!$E$21),COUNTIF(INDIRECT("'0.1.1 Pokémon GO Moves'!$B$"&amp;MATCH($E586,'0.1.1 Pokémon GO Moves'!$A$1:$A951,0)&amp;":$L$"&amp;MATCH($E586,'0.1.1 Pokémon GO Moves'!$A$1:$A951,0)),'Reverse Search'!$E$21)))))</f>
        <v>1</v>
      </c>
      <c r="AA586" s="0" t="e">
        <f aca="true">IF('Reverse Search'!$C$14="Disable",1,IF('Reverse Search'!$I$16="Disable",1,IF($D$2=3,IF($M586=0,0,COUNTIF(INDIRECT("'0.0.2 Pokémon Learnset (Core)'!$D$"&amp;MATCH($E586,'0.0.2 Pokémon Learnset (Core)'!$A$1:$A951,0)&amp;":$FK$"&amp;MATCH($E586,'0.0.2 Pokémon Learnset (Core)'!$A$1:$A951,0)),'Reverse Search'!$J$21)),IF($D$2=2,COUNTIF(INDIRECT("'0.1.1 Pokémon GO Moves'!$B$"&amp;MATCH($E586,'0.1.1 Pokémon GO Moves'!$A$1:$A951,0)&amp;":$R$"&amp;MATCH($E586,'0.1.1 Pokémon GO Moves'!$A$1:$A951,0)),'Reverse Search'!$J$21),COUNTIF(INDIRECT("'0.1.1 Pokémon GO Moves'!$B$"&amp;MATCH($E586,'0.1.1 Pokémon GO Moves'!$A$1:$A951,0)&amp;":$L$"&amp;MATCH($E586,'0.1.1 Pokémon GO Moves'!$A$1:$A951,0)),'Reverse Search'!$J$21)))))</f>
        <v>#N/A</v>
      </c>
      <c r="AB586" s="490"/>
      <c r="AC586" s="260" t="e">
        <f aca="false">IF((Q586+R586+S586+V586+W586+X586+Y586+IF(Z586&gt;=1,1,0)+IF(AA586&gt;=1,1,0))=9,G586&amp;", ",)</f>
        <v>#N/A</v>
      </c>
    </row>
    <row r="587" customFormat="false" ht="15.75" hidden="false" customHeight="false" outlineLevel="0" collapsed="false">
      <c r="A587" s="260"/>
      <c r="B587" s="358"/>
      <c r="C587" s="260"/>
      <c r="D587" s="358"/>
      <c r="E587" s="260" t="n">
        <v>586</v>
      </c>
      <c r="F587" s="260" t="n">
        <f aca="false" t="array" ref="F587:F587">INDEX('0.0.1 Pokémon Dex Data'!$H$3:$H951,MATCH(E587,'0.0.1 Pokémon Dex Data'!$B$3:$B951,0))</f>
        <v>1</v>
      </c>
      <c r="G587" s="0" t="str">
        <f aca="false" t="array" ref="G587:G587">INDEX('0.0.1 Pokémon Dex Data'!$E$3:$E951,MATCH(E587,'0.0.1 Pokémon Dex Data'!$B$3:$B951,0))</f>
        <v>Arceus-Electric</v>
      </c>
      <c r="H587" s="0" t="str">
        <f aca="false" t="array" ref="H587:H587">INDEX('0.0.1 Pokémon Dex Data'!$Q$3:$Q951,MATCH(E587,'0.0.1 Pokémon Dex Data'!$B$3:$B951,0))</f>
        <v>Electric</v>
      </c>
      <c r="I587" s="0" t="n">
        <f aca="false">INDEX('0.0.1 Pokémon Dex Data'!$R$3:$R951,MATCH(E587,'0.0.1 Pokémon Dex Data'!$B$3:$B951,0))</f>
        <v>0</v>
      </c>
      <c r="J587" s="260" t="n">
        <f aca="false" t="array" ref="J587:J587">ROUND(INDEX('0.0.1 Pokémon Dex Data'!$S$3:$S951,MATCH($E587,'0.0.1 Pokémon Dex Data'!$B$3:$B951,0))*INDEX('0.0.1 Pokémon Dex Data'!T$3:T951,MATCH($E587,'0.0.1 Pokémon Dex Data'!$B$3:$B951,0)),0)</f>
        <v>238</v>
      </c>
      <c r="K587" s="260" t="n">
        <f aca="false" t="array" ref="K587:K587">ROUND(INDEX('0.0.1 Pokémon Dex Data'!$S$3:$S951,MATCH($E587,'0.0.1 Pokémon Dex Data'!$B$3:$B951,0))*INDEX('0.0.1 Pokémon Dex Data'!U$3:U951,MATCH($E587,'0.0.1 Pokémon Dex Data'!$B$3:$B951,0)),0)</f>
        <v>238</v>
      </c>
      <c r="L587" s="260" t="n">
        <f aca="false" t="array" ref="L587:L587">ROUND(INDEX('0.0.1 Pokémon Dex Data'!$S$3:$S951,MATCH($E587,'0.0.1 Pokémon Dex Data'!$B$3:$B951,0))*INDEX('0.0.1 Pokémon Dex Data'!V$3:V951,MATCH($E587,'0.0.1 Pokémon Dex Data'!$B$3:$B951,0)),0)</f>
        <v>236</v>
      </c>
      <c r="M587" s="260" t="n">
        <f aca="false" t="array" ref="M587:M587">INDEX('0.0.1 Pokémon Dex Data'!$J$3:$J951,MATCH(E587,'0.0.1 Pokémon Dex Data'!$B$3:$B951,0))</f>
        <v>1</v>
      </c>
      <c r="O587" s="490"/>
      <c r="Q587" s="367" t="n">
        <f aca="false">IF('Reverse Search'!$F$4="All (including temporary formes)",1,IF('Reverse Search'!$F$4="Base Pokémon and permanent formes only",IF(F587&lt;=1,1,0),IF(F587=0,1,0)))</f>
        <v>0</v>
      </c>
      <c r="R587" s="0" t="n">
        <f aca="false">IF('Reverse Search'!$C$7="Disable",1,IF('Reverse Search'!$D$9="Disable",1,IF(OR('Reverse Search'!$F$9=H587,'Reverse Search'!$F$9=I587),1,0)))</f>
        <v>1</v>
      </c>
      <c r="S587" s="0" t="n">
        <f aca="false">IF('Reverse Search'!$C$7="Disable",1,IF('Reverse Search'!$D$10="Disable",1,IF(OR('Reverse Search'!$F$10=H587,'Reverse Search'!$F$10=I587),1,0)))</f>
        <v>1</v>
      </c>
      <c r="T587" s="0" t="n">
        <f aca="false">INDEX($B$4:$B$22,MATCH(H587,$A$4:$A$22,0))</f>
        <v>1</v>
      </c>
      <c r="U587" s="0" t="e">
        <f aca="false">IF(ISBLANK(I587),1,INDEX($B$4:$B$22,MATCH(I587,$A$4:$A$22,0)))</f>
        <v>#N/A</v>
      </c>
      <c r="V587" s="367" t="n">
        <f aca="false">IF('Reverse Search'!$C$7="Disable",1,IF('Reverse Search'!$D$11="Disable",1,IF('Reverse Search'!$E$11="Neutral to:",IF(ROUND(T587*U587,2)&lt;=1,1,0),IF(ROUND(T587*U587,2)&lt;1,1,0))))</f>
        <v>1</v>
      </c>
      <c r="W587" s="0" t="n">
        <f aca="false">IF('Reverse Search'!$N$7="Disable",1,IF('Reverse Search'!$I$9="Disable",1,IF('Reverse Search'!$K$9="≥",IF(J587&gt;='Reverse Search'!$L$9,1,0),IF('Reverse Search'!$K$9="≤",IF(J587&lt;='Reverse Search'!$L$9,1,0),IF(J587='Reverse Search'!$L$9,1,0)))))</f>
        <v>1</v>
      </c>
      <c r="X587" s="0" t="n">
        <f aca="false">IF('Reverse Search'!$N$7="Disable",1,IF('Reverse Search'!$I$10="Disable",1,IF('Reverse Search'!$K$10="≥",IF(K587&gt;='Reverse Search'!$L$10,1,0),IF('Reverse Search'!$K$10="≤",IF(K587&lt;='Reverse Search'!$L$10,1,0),IF(K587='Reverse Search'!$L$10,1,0)))))</f>
        <v>1</v>
      </c>
      <c r="Y587" s="367" t="n">
        <f aca="false">IF('Reverse Search'!$N$7="Disable",1,IF('Reverse Search'!$I$11="Disable",1,IF('Reverse Search'!$K$11="≥",IF(L587&gt;='Reverse Search'!$L$11,1,0),IF('Reverse Search'!$K$11="≤",IF(L587&lt;='Reverse Search'!$L$11,1,0),IF(L587='Reverse Search'!$L$11,1,0)))))</f>
        <v>1</v>
      </c>
      <c r="Z587" s="0" t="n">
        <f aca="true">IF('Reverse Search'!$C$14="Disable",1,IF('Reverse Search'!$D$16="Disable",1,IF($C$2=3,IF($M587=0,0,COUNTIF(INDIRECT("'0.0.2 Pokémon Learnset (Core)'!$D$"&amp;MATCH($E587,'0.0.2 Pokémon Learnset (Core)'!$A$1:$A951,0)&amp;":$FK$"&amp;MATCH($E587,'0.0.2 Pokémon Learnset (Core)'!$A$1:$A951,0)),'Reverse Search'!$E$21)),IF($C$2=2,COUNTIF(INDIRECT("'0.1.1 Pokémon GO Moves'!$B$"&amp;MATCH($E587,'0.1.1 Pokémon GO Moves'!$A$1:$A951,0)&amp;":$R$"&amp;MATCH($E587,'0.1.1 Pokémon GO Moves'!$A$1:$A951,0)),'Reverse Search'!$E$21),COUNTIF(INDIRECT("'0.1.1 Pokémon GO Moves'!$B$"&amp;MATCH($E587,'0.1.1 Pokémon GO Moves'!$A$1:$A951,0)&amp;":$L$"&amp;MATCH($E587,'0.1.1 Pokémon GO Moves'!$A$1:$A951,0)),'Reverse Search'!$E$21)))))</f>
        <v>1</v>
      </c>
      <c r="AA587" s="0" t="e">
        <f aca="true">IF('Reverse Search'!$C$14="Disable",1,IF('Reverse Search'!$I$16="Disable",1,IF($D$2=3,IF($M587=0,0,COUNTIF(INDIRECT("'0.0.2 Pokémon Learnset (Core)'!$D$"&amp;MATCH($E587,'0.0.2 Pokémon Learnset (Core)'!$A$1:$A951,0)&amp;":$FK$"&amp;MATCH($E587,'0.0.2 Pokémon Learnset (Core)'!$A$1:$A951,0)),'Reverse Search'!$J$21)),IF($D$2=2,COUNTIF(INDIRECT("'0.1.1 Pokémon GO Moves'!$B$"&amp;MATCH($E587,'0.1.1 Pokémon GO Moves'!$A$1:$A951,0)&amp;":$R$"&amp;MATCH($E587,'0.1.1 Pokémon GO Moves'!$A$1:$A951,0)),'Reverse Search'!$J$21),COUNTIF(INDIRECT("'0.1.1 Pokémon GO Moves'!$B$"&amp;MATCH($E587,'0.1.1 Pokémon GO Moves'!$A$1:$A951,0)&amp;":$L$"&amp;MATCH($E587,'0.1.1 Pokémon GO Moves'!$A$1:$A951,0)),'Reverse Search'!$J$21)))))</f>
        <v>#N/A</v>
      </c>
      <c r="AB587" s="490"/>
      <c r="AC587" s="260" t="e">
        <f aca="false">IF((Q587+R587+S587+V587+W587+X587+Y587+IF(Z587&gt;=1,1,0)+IF(AA587&gt;=1,1,0))=9,G587&amp;", ",)</f>
        <v>#N/A</v>
      </c>
    </row>
    <row r="588" customFormat="false" ht="15.75" hidden="false" customHeight="false" outlineLevel="0" collapsed="false">
      <c r="A588" s="260"/>
      <c r="B588" s="358"/>
      <c r="C588" s="260"/>
      <c r="D588" s="358"/>
      <c r="E588" s="260" t="n">
        <v>587</v>
      </c>
      <c r="F588" s="260" t="n">
        <f aca="false" t="array" ref="F588:F588">INDEX('0.0.1 Pokémon Dex Data'!$H$3:$H951,MATCH(E588,'0.0.1 Pokémon Dex Data'!$B$3:$B951,0))</f>
        <v>1</v>
      </c>
      <c r="G588" s="0" t="str">
        <f aca="false" t="array" ref="G588:G588">INDEX('0.0.1 Pokémon Dex Data'!$E$3:$E951,MATCH(E588,'0.0.1 Pokémon Dex Data'!$B$3:$B951,0))</f>
        <v>Arceus-Psychic</v>
      </c>
      <c r="H588" s="0" t="str">
        <f aca="false" t="array" ref="H588:H588">INDEX('0.0.1 Pokémon Dex Data'!$Q$3:$Q951,MATCH(E588,'0.0.1 Pokémon Dex Data'!$B$3:$B951,0))</f>
        <v>Psychic</v>
      </c>
      <c r="I588" s="0" t="n">
        <f aca="false">INDEX('0.0.1 Pokémon Dex Data'!$R$3:$R951,MATCH(E588,'0.0.1 Pokémon Dex Data'!$B$3:$B951,0))</f>
        <v>0</v>
      </c>
      <c r="J588" s="260" t="n">
        <f aca="false" t="array" ref="J588:J588">ROUND(INDEX('0.0.1 Pokémon Dex Data'!$S$3:$S951,MATCH($E588,'0.0.1 Pokémon Dex Data'!$B$3:$B951,0))*INDEX('0.0.1 Pokémon Dex Data'!T$3:T951,MATCH($E588,'0.0.1 Pokémon Dex Data'!$B$3:$B951,0)),0)</f>
        <v>238</v>
      </c>
      <c r="K588" s="260" t="n">
        <f aca="false" t="array" ref="K588:K588">ROUND(INDEX('0.0.1 Pokémon Dex Data'!$S$3:$S951,MATCH($E588,'0.0.1 Pokémon Dex Data'!$B$3:$B951,0))*INDEX('0.0.1 Pokémon Dex Data'!U$3:U951,MATCH($E588,'0.0.1 Pokémon Dex Data'!$B$3:$B951,0)),0)</f>
        <v>238</v>
      </c>
      <c r="L588" s="260" t="n">
        <f aca="false" t="array" ref="L588:L588">ROUND(INDEX('0.0.1 Pokémon Dex Data'!$S$3:$S951,MATCH($E588,'0.0.1 Pokémon Dex Data'!$B$3:$B951,0))*INDEX('0.0.1 Pokémon Dex Data'!V$3:V951,MATCH($E588,'0.0.1 Pokémon Dex Data'!$B$3:$B951,0)),0)</f>
        <v>236</v>
      </c>
      <c r="M588" s="260" t="n">
        <f aca="false" t="array" ref="M588:M588">INDEX('0.0.1 Pokémon Dex Data'!$J$3:$J951,MATCH(E588,'0.0.1 Pokémon Dex Data'!$B$3:$B951,0))</f>
        <v>1</v>
      </c>
      <c r="O588" s="490"/>
      <c r="Q588" s="367" t="n">
        <f aca="false">IF('Reverse Search'!$F$4="All (including temporary formes)",1,IF('Reverse Search'!$F$4="Base Pokémon and permanent formes only",IF(F588&lt;=1,1,0),IF(F588=0,1,0)))</f>
        <v>0</v>
      </c>
      <c r="R588" s="0" t="n">
        <f aca="false">IF('Reverse Search'!$C$7="Disable",1,IF('Reverse Search'!$D$9="Disable",1,IF(OR('Reverse Search'!$F$9=H588,'Reverse Search'!$F$9=I588),1,0)))</f>
        <v>1</v>
      </c>
      <c r="S588" s="0" t="n">
        <f aca="false">IF('Reverse Search'!$C$7="Disable",1,IF('Reverse Search'!$D$10="Disable",1,IF(OR('Reverse Search'!$F$10=H588,'Reverse Search'!$F$10=I588),1,0)))</f>
        <v>1</v>
      </c>
      <c r="T588" s="0" t="n">
        <f aca="false">INDEX($B$4:$B$22,MATCH(H588,$A$4:$A$22,0))</f>
        <v>1</v>
      </c>
      <c r="U588" s="0" t="e">
        <f aca="false">IF(ISBLANK(I588),1,INDEX($B$4:$B$22,MATCH(I588,$A$4:$A$22,0)))</f>
        <v>#N/A</v>
      </c>
      <c r="V588" s="367" t="n">
        <f aca="false">IF('Reverse Search'!$C$7="Disable",1,IF('Reverse Search'!$D$11="Disable",1,IF('Reverse Search'!$E$11="Neutral to:",IF(ROUND(T588*U588,2)&lt;=1,1,0),IF(ROUND(T588*U588,2)&lt;1,1,0))))</f>
        <v>1</v>
      </c>
      <c r="W588" s="0" t="n">
        <f aca="false">IF('Reverse Search'!$N$7="Disable",1,IF('Reverse Search'!$I$9="Disable",1,IF('Reverse Search'!$K$9="≥",IF(J588&gt;='Reverse Search'!$L$9,1,0),IF('Reverse Search'!$K$9="≤",IF(J588&lt;='Reverse Search'!$L$9,1,0),IF(J588='Reverse Search'!$L$9,1,0)))))</f>
        <v>1</v>
      </c>
      <c r="X588" s="0" t="n">
        <f aca="false">IF('Reverse Search'!$N$7="Disable",1,IF('Reverse Search'!$I$10="Disable",1,IF('Reverse Search'!$K$10="≥",IF(K588&gt;='Reverse Search'!$L$10,1,0),IF('Reverse Search'!$K$10="≤",IF(K588&lt;='Reverse Search'!$L$10,1,0),IF(K588='Reverse Search'!$L$10,1,0)))))</f>
        <v>1</v>
      </c>
      <c r="Y588" s="367" t="n">
        <f aca="false">IF('Reverse Search'!$N$7="Disable",1,IF('Reverse Search'!$I$11="Disable",1,IF('Reverse Search'!$K$11="≥",IF(L588&gt;='Reverse Search'!$L$11,1,0),IF('Reverse Search'!$K$11="≤",IF(L588&lt;='Reverse Search'!$L$11,1,0),IF(L588='Reverse Search'!$L$11,1,0)))))</f>
        <v>1</v>
      </c>
      <c r="Z588" s="0" t="n">
        <f aca="true">IF('Reverse Search'!$C$14="Disable",1,IF('Reverse Search'!$D$16="Disable",1,IF($C$2=3,IF($M588=0,0,COUNTIF(INDIRECT("'0.0.2 Pokémon Learnset (Core)'!$D$"&amp;MATCH($E588,'0.0.2 Pokémon Learnset (Core)'!$A$1:$A951,0)&amp;":$FK$"&amp;MATCH($E588,'0.0.2 Pokémon Learnset (Core)'!$A$1:$A951,0)),'Reverse Search'!$E$21)),IF($C$2=2,COUNTIF(INDIRECT("'0.1.1 Pokémon GO Moves'!$B$"&amp;MATCH($E588,'0.1.1 Pokémon GO Moves'!$A$1:$A951,0)&amp;":$R$"&amp;MATCH($E588,'0.1.1 Pokémon GO Moves'!$A$1:$A951,0)),'Reverse Search'!$E$21),COUNTIF(INDIRECT("'0.1.1 Pokémon GO Moves'!$B$"&amp;MATCH($E588,'0.1.1 Pokémon GO Moves'!$A$1:$A951,0)&amp;":$L$"&amp;MATCH($E588,'0.1.1 Pokémon GO Moves'!$A$1:$A951,0)),'Reverse Search'!$E$21)))))</f>
        <v>1</v>
      </c>
      <c r="AA588" s="0" t="e">
        <f aca="true">IF('Reverse Search'!$C$14="Disable",1,IF('Reverse Search'!$I$16="Disable",1,IF($D$2=3,IF($M588=0,0,COUNTIF(INDIRECT("'0.0.2 Pokémon Learnset (Core)'!$D$"&amp;MATCH($E588,'0.0.2 Pokémon Learnset (Core)'!$A$1:$A951,0)&amp;":$FK$"&amp;MATCH($E588,'0.0.2 Pokémon Learnset (Core)'!$A$1:$A951,0)),'Reverse Search'!$J$21)),IF($D$2=2,COUNTIF(INDIRECT("'0.1.1 Pokémon GO Moves'!$B$"&amp;MATCH($E588,'0.1.1 Pokémon GO Moves'!$A$1:$A951,0)&amp;":$R$"&amp;MATCH($E588,'0.1.1 Pokémon GO Moves'!$A$1:$A951,0)),'Reverse Search'!$J$21),COUNTIF(INDIRECT("'0.1.1 Pokémon GO Moves'!$B$"&amp;MATCH($E588,'0.1.1 Pokémon GO Moves'!$A$1:$A951,0)&amp;":$L$"&amp;MATCH($E588,'0.1.1 Pokémon GO Moves'!$A$1:$A951,0)),'Reverse Search'!$J$21)))))</f>
        <v>#N/A</v>
      </c>
      <c r="AB588" s="490"/>
      <c r="AC588" s="260" t="e">
        <f aca="false">IF((Q588+R588+S588+V588+W588+X588+Y588+IF(Z588&gt;=1,1,0)+IF(AA588&gt;=1,1,0))=9,G588&amp;", ",)</f>
        <v>#N/A</v>
      </c>
    </row>
    <row r="589" customFormat="false" ht="15.75" hidden="false" customHeight="false" outlineLevel="0" collapsed="false">
      <c r="A589" s="260"/>
      <c r="B589" s="358"/>
      <c r="C589" s="260"/>
      <c r="D589" s="358"/>
      <c r="E589" s="260" t="n">
        <v>588</v>
      </c>
      <c r="F589" s="260" t="n">
        <f aca="false" t="array" ref="F589:F589">INDEX('0.0.1 Pokémon Dex Data'!$H$3:$H951,MATCH(E589,'0.0.1 Pokémon Dex Data'!$B$3:$B951,0))</f>
        <v>1</v>
      </c>
      <c r="G589" s="0" t="str">
        <f aca="false" t="array" ref="G589:G589">INDEX('0.0.1 Pokémon Dex Data'!$E$3:$E951,MATCH(E589,'0.0.1 Pokémon Dex Data'!$B$3:$B951,0))</f>
        <v>Arceus-Ice</v>
      </c>
      <c r="H589" s="0" t="str">
        <f aca="false" t="array" ref="H589:H589">INDEX('0.0.1 Pokémon Dex Data'!$Q$3:$Q951,MATCH(E589,'0.0.1 Pokémon Dex Data'!$B$3:$B951,0))</f>
        <v>Ice</v>
      </c>
      <c r="I589" s="0" t="n">
        <f aca="false">INDEX('0.0.1 Pokémon Dex Data'!$R$3:$R951,MATCH(E589,'0.0.1 Pokémon Dex Data'!$B$3:$B951,0))</f>
        <v>0</v>
      </c>
      <c r="J589" s="260" t="n">
        <f aca="false" t="array" ref="J589:J589">ROUND(INDEX('0.0.1 Pokémon Dex Data'!$S$3:$S951,MATCH($E589,'0.0.1 Pokémon Dex Data'!$B$3:$B951,0))*INDEX('0.0.1 Pokémon Dex Data'!T$3:T951,MATCH($E589,'0.0.1 Pokémon Dex Data'!$B$3:$B951,0)),0)</f>
        <v>238</v>
      </c>
      <c r="K589" s="260" t="n">
        <f aca="false" t="array" ref="K589:K589">ROUND(INDEX('0.0.1 Pokémon Dex Data'!$S$3:$S951,MATCH($E589,'0.0.1 Pokémon Dex Data'!$B$3:$B951,0))*INDEX('0.0.1 Pokémon Dex Data'!U$3:U951,MATCH($E589,'0.0.1 Pokémon Dex Data'!$B$3:$B951,0)),0)</f>
        <v>238</v>
      </c>
      <c r="L589" s="260" t="n">
        <f aca="false" t="array" ref="L589:L589">ROUND(INDEX('0.0.1 Pokémon Dex Data'!$S$3:$S951,MATCH($E589,'0.0.1 Pokémon Dex Data'!$B$3:$B951,0))*INDEX('0.0.1 Pokémon Dex Data'!V$3:V951,MATCH($E589,'0.0.1 Pokémon Dex Data'!$B$3:$B951,0)),0)</f>
        <v>236</v>
      </c>
      <c r="M589" s="260" t="n">
        <f aca="false" t="array" ref="M589:M589">INDEX('0.0.1 Pokémon Dex Data'!$J$3:$J951,MATCH(E589,'0.0.1 Pokémon Dex Data'!$B$3:$B951,0))</f>
        <v>1</v>
      </c>
      <c r="O589" s="490"/>
      <c r="Q589" s="367" t="n">
        <f aca="false">IF('Reverse Search'!$F$4="All (including temporary formes)",1,IF('Reverse Search'!$F$4="Base Pokémon and permanent formes only",IF(F589&lt;=1,1,0),IF(F589=0,1,0)))</f>
        <v>0</v>
      </c>
      <c r="R589" s="0" t="n">
        <f aca="false">IF('Reverse Search'!$C$7="Disable",1,IF('Reverse Search'!$D$9="Disable",1,IF(OR('Reverse Search'!$F$9=H589,'Reverse Search'!$F$9=I589),1,0)))</f>
        <v>1</v>
      </c>
      <c r="S589" s="0" t="n">
        <f aca="false">IF('Reverse Search'!$C$7="Disable",1,IF('Reverse Search'!$D$10="Disable",1,IF(OR('Reverse Search'!$F$10=H589,'Reverse Search'!$F$10=I589),1,0)))</f>
        <v>1</v>
      </c>
      <c r="T589" s="0" t="n">
        <f aca="false">INDEX($B$4:$B$22,MATCH(H589,$A$4:$A$22,0))</f>
        <v>1</v>
      </c>
      <c r="U589" s="0" t="e">
        <f aca="false">IF(ISBLANK(I589),1,INDEX($B$4:$B$22,MATCH(I589,$A$4:$A$22,0)))</f>
        <v>#N/A</v>
      </c>
      <c r="V589" s="367" t="n">
        <f aca="false">IF('Reverse Search'!$C$7="Disable",1,IF('Reverse Search'!$D$11="Disable",1,IF('Reverse Search'!$E$11="Neutral to:",IF(ROUND(T589*U589,2)&lt;=1,1,0),IF(ROUND(T589*U589,2)&lt;1,1,0))))</f>
        <v>1</v>
      </c>
      <c r="W589" s="0" t="n">
        <f aca="false">IF('Reverse Search'!$N$7="Disable",1,IF('Reverse Search'!$I$9="Disable",1,IF('Reverse Search'!$K$9="≥",IF(J589&gt;='Reverse Search'!$L$9,1,0),IF('Reverse Search'!$K$9="≤",IF(J589&lt;='Reverse Search'!$L$9,1,0),IF(J589='Reverse Search'!$L$9,1,0)))))</f>
        <v>1</v>
      </c>
      <c r="X589" s="0" t="n">
        <f aca="false">IF('Reverse Search'!$N$7="Disable",1,IF('Reverse Search'!$I$10="Disable",1,IF('Reverse Search'!$K$10="≥",IF(K589&gt;='Reverse Search'!$L$10,1,0),IF('Reverse Search'!$K$10="≤",IF(K589&lt;='Reverse Search'!$L$10,1,0),IF(K589='Reverse Search'!$L$10,1,0)))))</f>
        <v>1</v>
      </c>
      <c r="Y589" s="367" t="n">
        <f aca="false">IF('Reverse Search'!$N$7="Disable",1,IF('Reverse Search'!$I$11="Disable",1,IF('Reverse Search'!$K$11="≥",IF(L589&gt;='Reverse Search'!$L$11,1,0),IF('Reverse Search'!$K$11="≤",IF(L589&lt;='Reverse Search'!$L$11,1,0),IF(L589='Reverse Search'!$L$11,1,0)))))</f>
        <v>1</v>
      </c>
      <c r="Z589" s="0" t="n">
        <f aca="true">IF('Reverse Search'!$C$14="Disable",1,IF('Reverse Search'!$D$16="Disable",1,IF($C$2=3,IF($M589=0,0,COUNTIF(INDIRECT("'0.0.2 Pokémon Learnset (Core)'!$D$"&amp;MATCH($E589,'0.0.2 Pokémon Learnset (Core)'!$A$1:$A951,0)&amp;":$FK$"&amp;MATCH($E589,'0.0.2 Pokémon Learnset (Core)'!$A$1:$A951,0)),'Reverse Search'!$E$21)),IF($C$2=2,COUNTIF(INDIRECT("'0.1.1 Pokémon GO Moves'!$B$"&amp;MATCH($E589,'0.1.1 Pokémon GO Moves'!$A$1:$A951,0)&amp;":$R$"&amp;MATCH($E589,'0.1.1 Pokémon GO Moves'!$A$1:$A951,0)),'Reverse Search'!$E$21),COUNTIF(INDIRECT("'0.1.1 Pokémon GO Moves'!$B$"&amp;MATCH($E589,'0.1.1 Pokémon GO Moves'!$A$1:$A951,0)&amp;":$L$"&amp;MATCH($E589,'0.1.1 Pokémon GO Moves'!$A$1:$A951,0)),'Reverse Search'!$E$21)))))</f>
        <v>1</v>
      </c>
      <c r="AA589" s="0" t="e">
        <f aca="true">IF('Reverse Search'!$C$14="Disable",1,IF('Reverse Search'!$I$16="Disable",1,IF($D$2=3,IF($M589=0,0,COUNTIF(INDIRECT("'0.0.2 Pokémon Learnset (Core)'!$D$"&amp;MATCH($E589,'0.0.2 Pokémon Learnset (Core)'!$A$1:$A951,0)&amp;":$FK$"&amp;MATCH($E589,'0.0.2 Pokémon Learnset (Core)'!$A$1:$A951,0)),'Reverse Search'!$J$21)),IF($D$2=2,COUNTIF(INDIRECT("'0.1.1 Pokémon GO Moves'!$B$"&amp;MATCH($E589,'0.1.1 Pokémon GO Moves'!$A$1:$A951,0)&amp;":$R$"&amp;MATCH($E589,'0.1.1 Pokémon GO Moves'!$A$1:$A951,0)),'Reverse Search'!$J$21),COUNTIF(INDIRECT("'0.1.1 Pokémon GO Moves'!$B$"&amp;MATCH($E589,'0.1.1 Pokémon GO Moves'!$A$1:$A951,0)&amp;":$L$"&amp;MATCH($E589,'0.1.1 Pokémon GO Moves'!$A$1:$A951,0)),'Reverse Search'!$J$21)))))</f>
        <v>#N/A</v>
      </c>
      <c r="AB589" s="490"/>
      <c r="AC589" s="260" t="e">
        <f aca="false">IF((Q589+R589+S589+V589+W589+X589+Y589+IF(Z589&gt;=1,1,0)+IF(AA589&gt;=1,1,0))=9,G589&amp;", ",)</f>
        <v>#N/A</v>
      </c>
    </row>
    <row r="590" customFormat="false" ht="15.75" hidden="false" customHeight="false" outlineLevel="0" collapsed="false">
      <c r="A590" s="260"/>
      <c r="B590" s="358"/>
      <c r="C590" s="260"/>
      <c r="D590" s="358"/>
      <c r="E590" s="260" t="n">
        <v>589</v>
      </c>
      <c r="F590" s="260" t="n">
        <f aca="false" t="array" ref="F590:F590">INDEX('0.0.1 Pokémon Dex Data'!$H$3:$H951,MATCH(E590,'0.0.1 Pokémon Dex Data'!$B$3:$B951,0))</f>
        <v>1</v>
      </c>
      <c r="G590" s="0" t="str">
        <f aca="false" t="array" ref="G590:G590">INDEX('0.0.1 Pokémon Dex Data'!$E$3:$E951,MATCH(E590,'0.0.1 Pokémon Dex Data'!$B$3:$B951,0))</f>
        <v>Arceus-Dragon</v>
      </c>
      <c r="H590" s="0" t="str">
        <f aca="false" t="array" ref="H590:H590">INDEX('0.0.1 Pokémon Dex Data'!$Q$3:$Q951,MATCH(E590,'0.0.1 Pokémon Dex Data'!$B$3:$B951,0))</f>
        <v>Dragon</v>
      </c>
      <c r="I590" s="0" t="n">
        <f aca="false">INDEX('0.0.1 Pokémon Dex Data'!$R$3:$R951,MATCH(E590,'0.0.1 Pokémon Dex Data'!$B$3:$B951,0))</f>
        <v>0</v>
      </c>
      <c r="J590" s="260" t="n">
        <f aca="false" t="array" ref="J590:J590">ROUND(INDEX('0.0.1 Pokémon Dex Data'!$S$3:$S951,MATCH($E590,'0.0.1 Pokémon Dex Data'!$B$3:$B951,0))*INDEX('0.0.1 Pokémon Dex Data'!T$3:T951,MATCH($E590,'0.0.1 Pokémon Dex Data'!$B$3:$B951,0)),0)</f>
        <v>238</v>
      </c>
      <c r="K590" s="260" t="n">
        <f aca="false" t="array" ref="K590:K590">ROUND(INDEX('0.0.1 Pokémon Dex Data'!$S$3:$S951,MATCH($E590,'0.0.1 Pokémon Dex Data'!$B$3:$B951,0))*INDEX('0.0.1 Pokémon Dex Data'!U$3:U951,MATCH($E590,'0.0.1 Pokémon Dex Data'!$B$3:$B951,0)),0)</f>
        <v>238</v>
      </c>
      <c r="L590" s="260" t="n">
        <f aca="false" t="array" ref="L590:L590">ROUND(INDEX('0.0.1 Pokémon Dex Data'!$S$3:$S951,MATCH($E590,'0.0.1 Pokémon Dex Data'!$B$3:$B951,0))*INDEX('0.0.1 Pokémon Dex Data'!V$3:V951,MATCH($E590,'0.0.1 Pokémon Dex Data'!$B$3:$B951,0)),0)</f>
        <v>236</v>
      </c>
      <c r="M590" s="260" t="n">
        <f aca="false" t="array" ref="M590:M590">INDEX('0.0.1 Pokémon Dex Data'!$J$3:$J951,MATCH(E590,'0.0.1 Pokémon Dex Data'!$B$3:$B951,0))</f>
        <v>1</v>
      </c>
      <c r="O590" s="490"/>
      <c r="Q590" s="367" t="n">
        <f aca="false">IF('Reverse Search'!$F$4="All (including temporary formes)",1,IF('Reverse Search'!$F$4="Base Pokémon and permanent formes only",IF(F590&lt;=1,1,0),IF(F590=0,1,0)))</f>
        <v>0</v>
      </c>
      <c r="R590" s="0" t="n">
        <f aca="false">IF('Reverse Search'!$C$7="Disable",1,IF('Reverse Search'!$D$9="Disable",1,IF(OR('Reverse Search'!$F$9=H590,'Reverse Search'!$F$9=I590),1,0)))</f>
        <v>1</v>
      </c>
      <c r="S590" s="0" t="n">
        <f aca="false">IF('Reverse Search'!$C$7="Disable",1,IF('Reverse Search'!$D$10="Disable",1,IF(OR('Reverse Search'!$F$10=H590,'Reverse Search'!$F$10=I590),1,0)))</f>
        <v>1</v>
      </c>
      <c r="T590" s="0" t="n">
        <f aca="false">INDEX($B$4:$B$22,MATCH(H590,$A$4:$A$22,0))</f>
        <v>1</v>
      </c>
      <c r="U590" s="0" t="e">
        <f aca="false">IF(ISBLANK(I590),1,INDEX($B$4:$B$22,MATCH(I590,$A$4:$A$22,0)))</f>
        <v>#N/A</v>
      </c>
      <c r="V590" s="367" t="n">
        <f aca="false">IF('Reverse Search'!$C$7="Disable",1,IF('Reverse Search'!$D$11="Disable",1,IF('Reverse Search'!$E$11="Neutral to:",IF(ROUND(T590*U590,2)&lt;=1,1,0),IF(ROUND(T590*U590,2)&lt;1,1,0))))</f>
        <v>1</v>
      </c>
      <c r="W590" s="0" t="n">
        <f aca="false">IF('Reverse Search'!$N$7="Disable",1,IF('Reverse Search'!$I$9="Disable",1,IF('Reverse Search'!$K$9="≥",IF(J590&gt;='Reverse Search'!$L$9,1,0),IF('Reverse Search'!$K$9="≤",IF(J590&lt;='Reverse Search'!$L$9,1,0),IF(J590='Reverse Search'!$L$9,1,0)))))</f>
        <v>1</v>
      </c>
      <c r="X590" s="0" t="n">
        <f aca="false">IF('Reverse Search'!$N$7="Disable",1,IF('Reverse Search'!$I$10="Disable",1,IF('Reverse Search'!$K$10="≥",IF(K590&gt;='Reverse Search'!$L$10,1,0),IF('Reverse Search'!$K$10="≤",IF(K590&lt;='Reverse Search'!$L$10,1,0),IF(K590='Reverse Search'!$L$10,1,0)))))</f>
        <v>1</v>
      </c>
      <c r="Y590" s="367" t="n">
        <f aca="false">IF('Reverse Search'!$N$7="Disable",1,IF('Reverse Search'!$I$11="Disable",1,IF('Reverse Search'!$K$11="≥",IF(L590&gt;='Reverse Search'!$L$11,1,0),IF('Reverse Search'!$K$11="≤",IF(L590&lt;='Reverse Search'!$L$11,1,0),IF(L590='Reverse Search'!$L$11,1,0)))))</f>
        <v>1</v>
      </c>
      <c r="Z590" s="0" t="n">
        <f aca="true">IF('Reverse Search'!$C$14="Disable",1,IF('Reverse Search'!$D$16="Disable",1,IF($C$2=3,IF($M590=0,0,COUNTIF(INDIRECT("'0.0.2 Pokémon Learnset (Core)'!$D$"&amp;MATCH($E590,'0.0.2 Pokémon Learnset (Core)'!$A$1:$A951,0)&amp;":$FK$"&amp;MATCH($E590,'0.0.2 Pokémon Learnset (Core)'!$A$1:$A951,0)),'Reverse Search'!$E$21)),IF($C$2=2,COUNTIF(INDIRECT("'0.1.1 Pokémon GO Moves'!$B$"&amp;MATCH($E590,'0.1.1 Pokémon GO Moves'!$A$1:$A951,0)&amp;":$R$"&amp;MATCH($E590,'0.1.1 Pokémon GO Moves'!$A$1:$A951,0)),'Reverse Search'!$E$21),COUNTIF(INDIRECT("'0.1.1 Pokémon GO Moves'!$B$"&amp;MATCH($E590,'0.1.1 Pokémon GO Moves'!$A$1:$A951,0)&amp;":$L$"&amp;MATCH($E590,'0.1.1 Pokémon GO Moves'!$A$1:$A951,0)),'Reverse Search'!$E$21)))))</f>
        <v>1</v>
      </c>
      <c r="AA590" s="0" t="e">
        <f aca="true">IF('Reverse Search'!$C$14="Disable",1,IF('Reverse Search'!$I$16="Disable",1,IF($D$2=3,IF($M590=0,0,COUNTIF(INDIRECT("'0.0.2 Pokémon Learnset (Core)'!$D$"&amp;MATCH($E590,'0.0.2 Pokémon Learnset (Core)'!$A$1:$A951,0)&amp;":$FK$"&amp;MATCH($E590,'0.0.2 Pokémon Learnset (Core)'!$A$1:$A951,0)),'Reverse Search'!$J$21)),IF($D$2=2,COUNTIF(INDIRECT("'0.1.1 Pokémon GO Moves'!$B$"&amp;MATCH($E590,'0.1.1 Pokémon GO Moves'!$A$1:$A951,0)&amp;":$R$"&amp;MATCH($E590,'0.1.1 Pokémon GO Moves'!$A$1:$A951,0)),'Reverse Search'!$J$21),COUNTIF(INDIRECT("'0.1.1 Pokémon GO Moves'!$B$"&amp;MATCH($E590,'0.1.1 Pokémon GO Moves'!$A$1:$A951,0)&amp;":$L$"&amp;MATCH($E590,'0.1.1 Pokémon GO Moves'!$A$1:$A951,0)),'Reverse Search'!$J$21)))))</f>
        <v>#N/A</v>
      </c>
      <c r="AB590" s="490"/>
      <c r="AC590" s="260" t="e">
        <f aca="false">IF((Q590+R590+S590+V590+W590+X590+Y590+IF(Z590&gt;=1,1,0)+IF(AA590&gt;=1,1,0))=9,G590&amp;", ",)</f>
        <v>#N/A</v>
      </c>
    </row>
    <row r="591" customFormat="false" ht="15.75" hidden="false" customHeight="false" outlineLevel="0" collapsed="false">
      <c r="A591" s="260"/>
      <c r="B591" s="358"/>
      <c r="C591" s="260"/>
      <c r="D591" s="358"/>
      <c r="E591" s="260" t="n">
        <v>590</v>
      </c>
      <c r="F591" s="260" t="n">
        <f aca="false" t="array" ref="F591:F591">INDEX('0.0.1 Pokémon Dex Data'!$H$3:$H951,MATCH(E591,'0.0.1 Pokémon Dex Data'!$B$3:$B951,0))</f>
        <v>1</v>
      </c>
      <c r="G591" s="0" t="str">
        <f aca="false" t="array" ref="G591:G591">INDEX('0.0.1 Pokémon Dex Data'!$E$3:$E951,MATCH(E591,'0.0.1 Pokémon Dex Data'!$B$3:$B951,0))</f>
        <v>Arceus-Dark</v>
      </c>
      <c r="H591" s="0" t="str">
        <f aca="false" t="array" ref="H591:H591">INDEX('0.0.1 Pokémon Dex Data'!$Q$3:$Q951,MATCH(E591,'0.0.1 Pokémon Dex Data'!$B$3:$B951,0))</f>
        <v>Dark</v>
      </c>
      <c r="I591" s="0" t="n">
        <f aca="false">INDEX('0.0.1 Pokémon Dex Data'!$R$3:$R951,MATCH(E591,'0.0.1 Pokémon Dex Data'!$B$3:$B951,0))</f>
        <v>0</v>
      </c>
      <c r="J591" s="260" t="n">
        <f aca="false" t="array" ref="J591:J591">ROUND(INDEX('0.0.1 Pokémon Dex Data'!$S$3:$S951,MATCH($E591,'0.0.1 Pokémon Dex Data'!$B$3:$B951,0))*INDEX('0.0.1 Pokémon Dex Data'!T$3:T951,MATCH($E591,'0.0.1 Pokémon Dex Data'!$B$3:$B951,0)),0)</f>
        <v>238</v>
      </c>
      <c r="K591" s="260" t="n">
        <f aca="false" t="array" ref="K591:K591">ROUND(INDEX('0.0.1 Pokémon Dex Data'!$S$3:$S951,MATCH($E591,'0.0.1 Pokémon Dex Data'!$B$3:$B951,0))*INDEX('0.0.1 Pokémon Dex Data'!U$3:U951,MATCH($E591,'0.0.1 Pokémon Dex Data'!$B$3:$B951,0)),0)</f>
        <v>238</v>
      </c>
      <c r="L591" s="260" t="n">
        <f aca="false" t="array" ref="L591:L591">ROUND(INDEX('0.0.1 Pokémon Dex Data'!$S$3:$S951,MATCH($E591,'0.0.1 Pokémon Dex Data'!$B$3:$B951,0))*INDEX('0.0.1 Pokémon Dex Data'!V$3:V951,MATCH($E591,'0.0.1 Pokémon Dex Data'!$B$3:$B951,0)),0)</f>
        <v>236</v>
      </c>
      <c r="M591" s="260" t="n">
        <f aca="false" t="array" ref="M591:M591">INDEX('0.0.1 Pokémon Dex Data'!$J$3:$J951,MATCH(E591,'0.0.1 Pokémon Dex Data'!$B$3:$B951,0))</f>
        <v>1</v>
      </c>
      <c r="O591" s="490"/>
      <c r="Q591" s="367" t="n">
        <f aca="false">IF('Reverse Search'!$F$4="All (including temporary formes)",1,IF('Reverse Search'!$F$4="Base Pokémon and permanent formes only",IF(F591&lt;=1,1,0),IF(F591=0,1,0)))</f>
        <v>0</v>
      </c>
      <c r="R591" s="0" t="n">
        <f aca="false">IF('Reverse Search'!$C$7="Disable",1,IF('Reverse Search'!$D$9="Disable",1,IF(OR('Reverse Search'!$F$9=H591,'Reverse Search'!$F$9=I591),1,0)))</f>
        <v>1</v>
      </c>
      <c r="S591" s="0" t="n">
        <f aca="false">IF('Reverse Search'!$C$7="Disable",1,IF('Reverse Search'!$D$10="Disable",1,IF(OR('Reverse Search'!$F$10=H591,'Reverse Search'!$F$10=I591),1,0)))</f>
        <v>1</v>
      </c>
      <c r="T591" s="0" t="n">
        <f aca="false">INDEX($B$4:$B$22,MATCH(H591,$A$4:$A$22,0))</f>
        <v>1</v>
      </c>
      <c r="U591" s="0" t="e">
        <f aca="false">IF(ISBLANK(I591),1,INDEX($B$4:$B$22,MATCH(I591,$A$4:$A$22,0)))</f>
        <v>#N/A</v>
      </c>
      <c r="V591" s="367" t="n">
        <f aca="false">IF('Reverse Search'!$C$7="Disable",1,IF('Reverse Search'!$D$11="Disable",1,IF('Reverse Search'!$E$11="Neutral to:",IF(ROUND(T591*U591,2)&lt;=1,1,0),IF(ROUND(T591*U591,2)&lt;1,1,0))))</f>
        <v>1</v>
      </c>
      <c r="W591" s="0" t="n">
        <f aca="false">IF('Reverse Search'!$N$7="Disable",1,IF('Reverse Search'!$I$9="Disable",1,IF('Reverse Search'!$K$9="≥",IF(J591&gt;='Reverse Search'!$L$9,1,0),IF('Reverse Search'!$K$9="≤",IF(J591&lt;='Reverse Search'!$L$9,1,0),IF(J591='Reverse Search'!$L$9,1,0)))))</f>
        <v>1</v>
      </c>
      <c r="X591" s="0" t="n">
        <f aca="false">IF('Reverse Search'!$N$7="Disable",1,IF('Reverse Search'!$I$10="Disable",1,IF('Reverse Search'!$K$10="≥",IF(K591&gt;='Reverse Search'!$L$10,1,0),IF('Reverse Search'!$K$10="≤",IF(K591&lt;='Reverse Search'!$L$10,1,0),IF(K591='Reverse Search'!$L$10,1,0)))))</f>
        <v>1</v>
      </c>
      <c r="Y591" s="367" t="n">
        <f aca="false">IF('Reverse Search'!$N$7="Disable",1,IF('Reverse Search'!$I$11="Disable",1,IF('Reverse Search'!$K$11="≥",IF(L591&gt;='Reverse Search'!$L$11,1,0),IF('Reverse Search'!$K$11="≤",IF(L591&lt;='Reverse Search'!$L$11,1,0),IF(L591='Reverse Search'!$L$11,1,0)))))</f>
        <v>1</v>
      </c>
      <c r="Z591" s="0" t="n">
        <f aca="true">IF('Reverse Search'!$C$14="Disable",1,IF('Reverse Search'!$D$16="Disable",1,IF($C$2=3,IF($M591=0,0,COUNTIF(INDIRECT("'0.0.2 Pokémon Learnset (Core)'!$D$"&amp;MATCH($E591,'0.0.2 Pokémon Learnset (Core)'!$A$1:$A951,0)&amp;":$FK$"&amp;MATCH($E591,'0.0.2 Pokémon Learnset (Core)'!$A$1:$A951,0)),'Reverse Search'!$E$21)),IF($C$2=2,COUNTIF(INDIRECT("'0.1.1 Pokémon GO Moves'!$B$"&amp;MATCH($E591,'0.1.1 Pokémon GO Moves'!$A$1:$A951,0)&amp;":$R$"&amp;MATCH($E591,'0.1.1 Pokémon GO Moves'!$A$1:$A951,0)),'Reverse Search'!$E$21),COUNTIF(INDIRECT("'0.1.1 Pokémon GO Moves'!$B$"&amp;MATCH($E591,'0.1.1 Pokémon GO Moves'!$A$1:$A951,0)&amp;":$L$"&amp;MATCH($E591,'0.1.1 Pokémon GO Moves'!$A$1:$A951,0)),'Reverse Search'!$E$21)))))</f>
        <v>1</v>
      </c>
      <c r="AA591" s="0" t="e">
        <f aca="true">IF('Reverse Search'!$C$14="Disable",1,IF('Reverse Search'!$I$16="Disable",1,IF($D$2=3,IF($M591=0,0,COUNTIF(INDIRECT("'0.0.2 Pokémon Learnset (Core)'!$D$"&amp;MATCH($E591,'0.0.2 Pokémon Learnset (Core)'!$A$1:$A951,0)&amp;":$FK$"&amp;MATCH($E591,'0.0.2 Pokémon Learnset (Core)'!$A$1:$A951,0)),'Reverse Search'!$J$21)),IF($D$2=2,COUNTIF(INDIRECT("'0.1.1 Pokémon GO Moves'!$B$"&amp;MATCH($E591,'0.1.1 Pokémon GO Moves'!$A$1:$A951,0)&amp;":$R$"&amp;MATCH($E591,'0.1.1 Pokémon GO Moves'!$A$1:$A951,0)),'Reverse Search'!$J$21),COUNTIF(INDIRECT("'0.1.1 Pokémon GO Moves'!$B$"&amp;MATCH($E591,'0.1.1 Pokémon GO Moves'!$A$1:$A951,0)&amp;":$L$"&amp;MATCH($E591,'0.1.1 Pokémon GO Moves'!$A$1:$A951,0)),'Reverse Search'!$J$21)))))</f>
        <v>#N/A</v>
      </c>
      <c r="AB591" s="490"/>
      <c r="AC591" s="260" t="e">
        <f aca="false">IF((Q591+R591+S591+V591+W591+X591+Y591+IF(Z591&gt;=1,1,0)+IF(AA591&gt;=1,1,0))=9,G591&amp;", ",)</f>
        <v>#N/A</v>
      </c>
    </row>
    <row r="592" customFormat="false" ht="15.75" hidden="false" customHeight="false" outlineLevel="0" collapsed="false">
      <c r="A592" s="260"/>
      <c r="B592" s="358"/>
      <c r="C592" s="260"/>
      <c r="D592" s="358"/>
      <c r="E592" s="260" t="n">
        <v>591</v>
      </c>
      <c r="F592" s="260" t="n">
        <f aca="false" t="array" ref="F592:F592">INDEX('0.0.1 Pokémon Dex Data'!$H$3:$H951,MATCH(E592,'0.0.1 Pokémon Dex Data'!$B$3:$B951,0))</f>
        <v>1</v>
      </c>
      <c r="G592" s="0" t="str">
        <f aca="false" t="array" ref="G592:G592">INDEX('0.0.1 Pokémon Dex Data'!$E$3:$E951,MATCH(E592,'0.0.1 Pokémon Dex Data'!$B$3:$B951,0))</f>
        <v>Arceus-Fairy</v>
      </c>
      <c r="H592" s="0" t="str">
        <f aca="false" t="array" ref="H592:H592">INDEX('0.0.1 Pokémon Dex Data'!$Q$3:$Q951,MATCH(E592,'0.0.1 Pokémon Dex Data'!$B$3:$B951,0))</f>
        <v>Fairy</v>
      </c>
      <c r="I592" s="0" t="n">
        <f aca="false">INDEX('0.0.1 Pokémon Dex Data'!$R$3:$R951,MATCH(E592,'0.0.1 Pokémon Dex Data'!$B$3:$B951,0))</f>
        <v>0</v>
      </c>
      <c r="J592" s="260" t="n">
        <f aca="false" t="array" ref="J592:J592">ROUND(INDEX('0.0.1 Pokémon Dex Data'!$S$3:$S951,MATCH($E592,'0.0.1 Pokémon Dex Data'!$B$3:$B951,0))*INDEX('0.0.1 Pokémon Dex Data'!T$3:T951,MATCH($E592,'0.0.1 Pokémon Dex Data'!$B$3:$B951,0)),0)</f>
        <v>238</v>
      </c>
      <c r="K592" s="260" t="n">
        <f aca="false" t="array" ref="K592:K592">ROUND(INDEX('0.0.1 Pokémon Dex Data'!$S$3:$S951,MATCH($E592,'0.0.1 Pokémon Dex Data'!$B$3:$B951,0))*INDEX('0.0.1 Pokémon Dex Data'!U$3:U951,MATCH($E592,'0.0.1 Pokémon Dex Data'!$B$3:$B951,0)),0)</f>
        <v>238</v>
      </c>
      <c r="L592" s="260" t="n">
        <f aca="false" t="array" ref="L592:L592">ROUND(INDEX('0.0.1 Pokémon Dex Data'!$S$3:$S951,MATCH($E592,'0.0.1 Pokémon Dex Data'!$B$3:$B951,0))*INDEX('0.0.1 Pokémon Dex Data'!V$3:V951,MATCH($E592,'0.0.1 Pokémon Dex Data'!$B$3:$B951,0)),0)</f>
        <v>236</v>
      </c>
      <c r="M592" s="260" t="n">
        <f aca="false" t="array" ref="M592:M592">INDEX('0.0.1 Pokémon Dex Data'!$J$3:$J951,MATCH(E592,'0.0.1 Pokémon Dex Data'!$B$3:$B951,0))</f>
        <v>1</v>
      </c>
      <c r="O592" s="490"/>
      <c r="Q592" s="367" t="n">
        <f aca="false">IF('Reverse Search'!$F$4="All (including temporary formes)",1,IF('Reverse Search'!$F$4="Base Pokémon and permanent formes only",IF(F592&lt;=1,1,0),IF(F592=0,1,0)))</f>
        <v>0</v>
      </c>
      <c r="R592" s="0" t="n">
        <f aca="false">IF('Reverse Search'!$C$7="Disable",1,IF('Reverse Search'!$D$9="Disable",1,IF(OR('Reverse Search'!$F$9=H592,'Reverse Search'!$F$9=I592),1,0)))</f>
        <v>1</v>
      </c>
      <c r="S592" s="0" t="n">
        <f aca="false">IF('Reverse Search'!$C$7="Disable",1,IF('Reverse Search'!$D$10="Disable",1,IF(OR('Reverse Search'!$F$10=H592,'Reverse Search'!$F$10=I592),1,0)))</f>
        <v>1</v>
      </c>
      <c r="T592" s="0" t="n">
        <f aca="false">INDEX($B$4:$B$22,MATCH(H592,$A$4:$A$22,0))</f>
        <v>1</v>
      </c>
      <c r="U592" s="0" t="e">
        <f aca="false">IF(ISBLANK(I592),1,INDEX($B$4:$B$22,MATCH(I592,$A$4:$A$22,0)))</f>
        <v>#N/A</v>
      </c>
      <c r="V592" s="367" t="n">
        <f aca="false">IF('Reverse Search'!$C$7="Disable",1,IF('Reverse Search'!$D$11="Disable",1,IF('Reverse Search'!$E$11="Neutral to:",IF(ROUND(T592*U592,2)&lt;=1,1,0),IF(ROUND(T592*U592,2)&lt;1,1,0))))</f>
        <v>1</v>
      </c>
      <c r="W592" s="0" t="n">
        <f aca="false">IF('Reverse Search'!$N$7="Disable",1,IF('Reverse Search'!$I$9="Disable",1,IF('Reverse Search'!$K$9="≥",IF(J592&gt;='Reverse Search'!$L$9,1,0),IF('Reverse Search'!$K$9="≤",IF(J592&lt;='Reverse Search'!$L$9,1,0),IF(J592='Reverse Search'!$L$9,1,0)))))</f>
        <v>1</v>
      </c>
      <c r="X592" s="0" t="n">
        <f aca="false">IF('Reverse Search'!$N$7="Disable",1,IF('Reverse Search'!$I$10="Disable",1,IF('Reverse Search'!$K$10="≥",IF(K592&gt;='Reverse Search'!$L$10,1,0),IF('Reverse Search'!$K$10="≤",IF(K592&lt;='Reverse Search'!$L$10,1,0),IF(K592='Reverse Search'!$L$10,1,0)))))</f>
        <v>1</v>
      </c>
      <c r="Y592" s="367" t="n">
        <f aca="false">IF('Reverse Search'!$N$7="Disable",1,IF('Reverse Search'!$I$11="Disable",1,IF('Reverse Search'!$K$11="≥",IF(L592&gt;='Reverse Search'!$L$11,1,0),IF('Reverse Search'!$K$11="≤",IF(L592&lt;='Reverse Search'!$L$11,1,0),IF(L592='Reverse Search'!$L$11,1,0)))))</f>
        <v>1</v>
      </c>
      <c r="Z592" s="0" t="n">
        <f aca="true">IF('Reverse Search'!$C$14="Disable",1,IF('Reverse Search'!$D$16="Disable",1,IF($C$2=3,IF($M592=0,0,COUNTIF(INDIRECT("'0.0.2 Pokémon Learnset (Core)'!$D$"&amp;MATCH($E592,'0.0.2 Pokémon Learnset (Core)'!$A$1:$A951,0)&amp;":$FK$"&amp;MATCH($E592,'0.0.2 Pokémon Learnset (Core)'!$A$1:$A951,0)),'Reverse Search'!$E$21)),IF($C$2=2,COUNTIF(INDIRECT("'0.1.1 Pokémon GO Moves'!$B$"&amp;MATCH($E592,'0.1.1 Pokémon GO Moves'!$A$1:$A951,0)&amp;":$R$"&amp;MATCH($E592,'0.1.1 Pokémon GO Moves'!$A$1:$A951,0)),'Reverse Search'!$E$21),COUNTIF(INDIRECT("'0.1.1 Pokémon GO Moves'!$B$"&amp;MATCH($E592,'0.1.1 Pokémon GO Moves'!$A$1:$A951,0)&amp;":$L$"&amp;MATCH($E592,'0.1.1 Pokémon GO Moves'!$A$1:$A951,0)),'Reverse Search'!$E$21)))))</f>
        <v>1</v>
      </c>
      <c r="AA592" s="0" t="e">
        <f aca="true">IF('Reverse Search'!$C$14="Disable",1,IF('Reverse Search'!$I$16="Disable",1,IF($D$2=3,IF($M592=0,0,COUNTIF(INDIRECT("'0.0.2 Pokémon Learnset (Core)'!$D$"&amp;MATCH($E592,'0.0.2 Pokémon Learnset (Core)'!$A$1:$A951,0)&amp;":$FK$"&amp;MATCH($E592,'0.0.2 Pokémon Learnset (Core)'!$A$1:$A951,0)),'Reverse Search'!$J$21)),IF($D$2=2,COUNTIF(INDIRECT("'0.1.1 Pokémon GO Moves'!$B$"&amp;MATCH($E592,'0.1.1 Pokémon GO Moves'!$A$1:$A951,0)&amp;":$R$"&amp;MATCH($E592,'0.1.1 Pokémon GO Moves'!$A$1:$A951,0)),'Reverse Search'!$J$21),COUNTIF(INDIRECT("'0.1.1 Pokémon GO Moves'!$B$"&amp;MATCH($E592,'0.1.1 Pokémon GO Moves'!$A$1:$A951,0)&amp;":$L$"&amp;MATCH($E592,'0.1.1 Pokémon GO Moves'!$A$1:$A951,0)),'Reverse Search'!$J$21)))))</f>
        <v>#N/A</v>
      </c>
      <c r="AB592" s="490"/>
      <c r="AC592" s="260" t="e">
        <f aca="false">IF((Q592+R592+S592+V592+W592+X592+Y592+IF(Z592&gt;=1,1,0)+IF(AA592&gt;=1,1,0))=9,G592&amp;", ",)</f>
        <v>#N/A</v>
      </c>
    </row>
    <row r="593" customFormat="false" ht="15.75" hidden="false" customHeight="false" outlineLevel="0" collapsed="false">
      <c r="A593" s="260"/>
      <c r="B593" s="358"/>
      <c r="C593" s="260"/>
      <c r="D593" s="358"/>
      <c r="E593" s="260" t="n">
        <v>592</v>
      </c>
      <c r="F593" s="260" t="n">
        <f aca="false" t="array" ref="F593:F593">INDEX('0.0.1 Pokémon Dex Data'!$H$3:$H951,MATCH(E593,'0.0.1 Pokémon Dex Data'!$B$3:$B951,0))</f>
        <v>0</v>
      </c>
      <c r="G593" s="0" t="str">
        <f aca="false" t="array" ref="G593:G593">INDEX('0.0.1 Pokémon Dex Data'!$E$3:$E951,MATCH(E593,'0.0.1 Pokémon Dex Data'!$B$3:$B951,0))</f>
        <v>Victini</v>
      </c>
      <c r="H593" s="0" t="str">
        <f aca="false" t="array" ref="H593:H593">INDEX('0.0.1 Pokémon Dex Data'!$Q$3:$Q951,MATCH(E593,'0.0.1 Pokémon Dex Data'!$B$3:$B951,0))</f>
        <v>Fire</v>
      </c>
      <c r="I593" s="0" t="str">
        <f aca="false" t="array" ref="I593:I593">INDEX('0.0.1 Pokémon Dex Data'!$R$3:$R951,MATCH(E593,'0.0.1 Pokémon Dex Data'!$B$3:$B951,0))</f>
        <v>Psychic</v>
      </c>
      <c r="J593" s="260" t="n">
        <f aca="false" t="array" ref="J593:J593">ROUND(INDEX('0.0.1 Pokémon Dex Data'!$S$3:$S951,MATCH($E593,'0.0.1 Pokémon Dex Data'!$B$3:$B951,0))*INDEX('0.0.1 Pokémon Dex Data'!T$3:T951,MATCH($E593,'0.0.1 Pokémon Dex Data'!$B$3:$B951,0)),0)</f>
        <v>210</v>
      </c>
      <c r="K593" s="260" t="n">
        <f aca="false" t="array" ref="K593:K593">ROUND(INDEX('0.0.1 Pokémon Dex Data'!$S$3:$S951,MATCH($E593,'0.0.1 Pokémon Dex Data'!$B$3:$B951,0))*INDEX('0.0.1 Pokémon Dex Data'!U$3:U951,MATCH($E593,'0.0.1 Pokémon Dex Data'!$B$3:$B951,0)),0)</f>
        <v>210</v>
      </c>
      <c r="L593" s="260" t="n">
        <f aca="false" t="array" ref="L593:L593">ROUND(INDEX('0.0.1 Pokémon Dex Data'!$S$3:$S951,MATCH($E593,'0.0.1 Pokémon Dex Data'!$B$3:$B951,0))*INDEX('0.0.1 Pokémon Dex Data'!V$3:V951,MATCH($E593,'0.0.1 Pokémon Dex Data'!$B$3:$B951,0)),0)</f>
        <v>225</v>
      </c>
      <c r="M593" s="260" t="n">
        <f aca="false" t="array" ref="M593:M593">INDEX('0.0.1 Pokémon Dex Data'!$J$3:$J951,MATCH(E593,'0.0.1 Pokémon Dex Data'!$B$3:$B951,0))</f>
        <v>1</v>
      </c>
      <c r="O593" s="490"/>
      <c r="Q593" s="367" t="n">
        <f aca="false">IF('Reverse Search'!$F$4="All (including temporary formes)",1,IF('Reverse Search'!$F$4="Base Pokémon and permanent formes only",IF(F593&lt;=1,1,0),IF(F593=0,1,0)))</f>
        <v>1</v>
      </c>
      <c r="R593" s="0" t="n">
        <f aca="false">IF('Reverse Search'!$C$7="Disable",1,IF('Reverse Search'!$D$9="Disable",1,IF(OR('Reverse Search'!$F$9=H593,'Reverse Search'!$F$9=I593),1,0)))</f>
        <v>1</v>
      </c>
      <c r="S593" s="0" t="n">
        <f aca="false">IF('Reverse Search'!$C$7="Disable",1,IF('Reverse Search'!$D$10="Disable",1,IF(OR('Reverse Search'!$F$10=H593,'Reverse Search'!$F$10=I593),1,0)))</f>
        <v>1</v>
      </c>
      <c r="T593" s="0" t="n">
        <f aca="false">INDEX($B$4:$B$22,MATCH(H593,$A$4:$A$22,0))</f>
        <v>1</v>
      </c>
      <c r="U593" s="0" t="n">
        <f aca="false">IF(ISBLANK(I593),1,INDEX($B$4:$B$22,MATCH(I593,$A$4:$A$22,0)))</f>
        <v>1</v>
      </c>
      <c r="V593" s="367" t="n">
        <f aca="false">IF('Reverse Search'!$C$7="Disable",1,IF('Reverse Search'!$D$11="Disable",1,IF('Reverse Search'!$E$11="Neutral to:",IF(ROUND(T593*U593,2)&lt;=1,1,0),IF(ROUND(T593*U593,2)&lt;1,1,0))))</f>
        <v>1</v>
      </c>
      <c r="W593" s="0" t="n">
        <f aca="false">IF('Reverse Search'!$N$7="Disable",1,IF('Reverse Search'!$I$9="Disable",1,IF('Reverse Search'!$K$9="≥",IF(J593&gt;='Reverse Search'!$L$9,1,0),IF('Reverse Search'!$K$9="≤",IF(J593&lt;='Reverse Search'!$L$9,1,0),IF(J593='Reverse Search'!$L$9,1,0)))))</f>
        <v>1</v>
      </c>
      <c r="X593" s="0" t="n">
        <f aca="false">IF('Reverse Search'!$N$7="Disable",1,IF('Reverse Search'!$I$10="Disable",1,IF('Reverse Search'!$K$10="≥",IF(K593&gt;='Reverse Search'!$L$10,1,0),IF('Reverse Search'!$K$10="≤",IF(K593&lt;='Reverse Search'!$L$10,1,0),IF(K593='Reverse Search'!$L$10,1,0)))))</f>
        <v>1</v>
      </c>
      <c r="Y593" s="367" t="n">
        <f aca="false">IF('Reverse Search'!$N$7="Disable",1,IF('Reverse Search'!$I$11="Disable",1,IF('Reverse Search'!$K$11="≥",IF(L593&gt;='Reverse Search'!$L$11,1,0),IF('Reverse Search'!$K$11="≤",IF(L593&lt;='Reverse Search'!$L$11,1,0),IF(L593='Reverse Search'!$L$11,1,0)))))</f>
        <v>1</v>
      </c>
      <c r="Z593" s="0" t="n">
        <f aca="true">IF('Reverse Search'!$C$14="Disable",1,IF('Reverse Search'!$D$16="Disable",1,IF($C$2=3,IF($M593=0,0,COUNTIF(INDIRECT("'0.0.2 Pokémon Learnset (Core)'!$D$"&amp;MATCH($E593,'0.0.2 Pokémon Learnset (Core)'!$A$1:$A951,0)&amp;":$FK$"&amp;MATCH($E593,'0.0.2 Pokémon Learnset (Core)'!$A$1:$A951,0)),'Reverse Search'!$E$21)),IF($C$2=2,COUNTIF(INDIRECT("'0.1.1 Pokémon GO Moves'!$B$"&amp;MATCH($E593,'0.1.1 Pokémon GO Moves'!$A$1:$A951,0)&amp;":$R$"&amp;MATCH($E593,'0.1.1 Pokémon GO Moves'!$A$1:$A951,0)),'Reverse Search'!$E$21),COUNTIF(INDIRECT("'0.1.1 Pokémon GO Moves'!$B$"&amp;MATCH($E593,'0.1.1 Pokémon GO Moves'!$A$1:$A951,0)&amp;":$L$"&amp;MATCH($E593,'0.1.1 Pokémon GO Moves'!$A$1:$A951,0)),'Reverse Search'!$E$21)))))</f>
        <v>1</v>
      </c>
      <c r="AA593" s="0" t="n">
        <f aca="true">IF('Reverse Search'!$C$14="Disable",1,IF('Reverse Search'!$I$16="Disable",1,IF($D$2=3,IF($M593=0,0,COUNTIF(INDIRECT("'0.0.2 Pokémon Learnset (Core)'!$D$"&amp;MATCH($E593,'0.0.2 Pokémon Learnset (Core)'!$A$1:$A951,0)&amp;":$FK$"&amp;MATCH($E593,'0.0.2 Pokémon Learnset (Core)'!$A$1:$A951,0)),'Reverse Search'!$J$21)),IF($D$2=2,COUNTIF(INDIRECT("'0.1.1 Pokémon GO Moves'!$B$"&amp;MATCH($E593,'0.1.1 Pokémon GO Moves'!$A$1:$A951,0)&amp;":$R$"&amp;MATCH($E593,'0.1.1 Pokémon GO Moves'!$A$1:$A951,0)),'Reverse Search'!$J$21),COUNTIF(INDIRECT("'0.1.1 Pokémon GO Moves'!$B$"&amp;MATCH($E593,'0.1.1 Pokémon GO Moves'!$A$1:$A951,0)&amp;":$L$"&amp;MATCH($E593,'0.1.1 Pokémon GO Moves'!$A$1:$A951,0)),'Reverse Search'!$J$21)))))</f>
        <v>0</v>
      </c>
      <c r="AB593" s="490"/>
      <c r="AC593" s="260" t="n">
        <f aca="false">IF((Q593+R593+S593+V593+W593+X593+Y593+IF(Z593&gt;=1,1,0)+IF(AA593&gt;=1,1,0))=9,G593&amp;", ",)</f>
        <v>0</v>
      </c>
    </row>
    <row r="594" customFormat="false" ht="15.75" hidden="false" customHeight="false" outlineLevel="0" collapsed="false">
      <c r="A594" s="260"/>
      <c r="B594" s="358"/>
      <c r="C594" s="260"/>
      <c r="D594" s="358"/>
      <c r="E594" s="260" t="n">
        <v>593</v>
      </c>
      <c r="F594" s="260" t="n">
        <f aca="false" t="array" ref="F594:F594">INDEX('0.0.1 Pokémon Dex Data'!$H$3:$H951,MATCH(E594,'0.0.1 Pokémon Dex Data'!$B$3:$B951,0))</f>
        <v>0</v>
      </c>
      <c r="G594" s="0" t="str">
        <f aca="false" t="array" ref="G594:G594">INDEX('0.0.1 Pokémon Dex Data'!$E$3:$E951,MATCH(E594,'0.0.1 Pokémon Dex Data'!$B$3:$B951,0))</f>
        <v>Snivy</v>
      </c>
      <c r="H594" s="0" t="str">
        <f aca="false" t="array" ref="H594:H594">INDEX('0.0.1 Pokémon Dex Data'!$Q$3:$Q951,MATCH(E594,'0.0.1 Pokémon Dex Data'!$B$3:$B951,0))</f>
        <v>Grass</v>
      </c>
      <c r="I594" s="0" t="n">
        <f aca="false">INDEX('0.0.1 Pokémon Dex Data'!$R$3:$R951,MATCH(E594,'0.0.1 Pokémon Dex Data'!$B$3:$B951,0))</f>
        <v>0</v>
      </c>
      <c r="J594" s="260" t="n">
        <f aca="false" t="array" ref="J594:J594">ROUND(INDEX('0.0.1 Pokémon Dex Data'!$S$3:$S951,MATCH($E594,'0.0.1 Pokémon Dex Data'!$B$3:$B951,0))*INDEX('0.0.1 Pokémon Dex Data'!T$3:T951,MATCH($E594,'0.0.1 Pokémon Dex Data'!$B$3:$B951,0)),0)</f>
        <v>88</v>
      </c>
      <c r="K594" s="260" t="n">
        <f aca="false" t="array" ref="K594:K594">ROUND(INDEX('0.0.1 Pokémon Dex Data'!$S$3:$S951,MATCH($E594,'0.0.1 Pokémon Dex Data'!$B$3:$B951,0))*INDEX('0.0.1 Pokémon Dex Data'!U$3:U951,MATCH($E594,'0.0.1 Pokémon Dex Data'!$B$3:$B951,0)),0)</f>
        <v>107</v>
      </c>
      <c r="L594" s="260" t="n">
        <f aca="false" t="array" ref="L594:L594">ROUND(INDEX('0.0.1 Pokémon Dex Data'!$S$3:$S951,MATCH($E594,'0.0.1 Pokémon Dex Data'!$B$3:$B951,0))*INDEX('0.0.1 Pokémon Dex Data'!V$3:V951,MATCH($E594,'0.0.1 Pokémon Dex Data'!$B$3:$B951,0)),0)</f>
        <v>128</v>
      </c>
      <c r="M594" s="260" t="n">
        <f aca="false" t="array" ref="M594:M594">INDEX('0.0.1 Pokémon Dex Data'!$J$3:$J951,MATCH(E594,'0.0.1 Pokémon Dex Data'!$B$3:$B951,0))</f>
        <v>0</v>
      </c>
      <c r="O594" s="490"/>
      <c r="Q594" s="367" t="n">
        <f aca="false">IF('Reverse Search'!$F$4="All (including temporary formes)",1,IF('Reverse Search'!$F$4="Base Pokémon and permanent formes only",IF(F594&lt;=1,1,0),IF(F594=0,1,0)))</f>
        <v>1</v>
      </c>
      <c r="R594" s="0" t="n">
        <f aca="false">IF('Reverse Search'!$C$7="Disable",1,IF('Reverse Search'!$D$9="Disable",1,IF(OR('Reverse Search'!$F$9=H594,'Reverse Search'!$F$9=I594),1,0)))</f>
        <v>1</v>
      </c>
      <c r="S594" s="0" t="n">
        <f aca="false">IF('Reverse Search'!$C$7="Disable",1,IF('Reverse Search'!$D$10="Disable",1,IF(OR('Reverse Search'!$F$10=H594,'Reverse Search'!$F$10=I594),1,0)))</f>
        <v>1</v>
      </c>
      <c r="T594" s="0" t="n">
        <f aca="false">INDEX($B$4:$B$22,MATCH(H594,$A$4:$A$22,0))</f>
        <v>1</v>
      </c>
      <c r="U594" s="0" t="e">
        <f aca="false">IF(ISBLANK(I594),1,INDEX($B$4:$B$22,MATCH(I594,$A$4:$A$22,0)))</f>
        <v>#N/A</v>
      </c>
      <c r="V594" s="367" t="n">
        <f aca="false">IF('Reverse Search'!$C$7="Disable",1,IF('Reverse Search'!$D$11="Disable",1,IF('Reverse Search'!$E$11="Neutral to:",IF(ROUND(T594*U594,2)&lt;=1,1,0),IF(ROUND(T594*U594,2)&lt;1,1,0))))</f>
        <v>1</v>
      </c>
      <c r="W594" s="0" t="n">
        <f aca="false">IF('Reverse Search'!$N$7="Disable",1,IF('Reverse Search'!$I$9="Disable",1,IF('Reverse Search'!$K$9="≥",IF(J594&gt;='Reverse Search'!$L$9,1,0),IF('Reverse Search'!$K$9="≤",IF(J594&lt;='Reverse Search'!$L$9,1,0),IF(J594='Reverse Search'!$L$9,1,0)))))</f>
        <v>1</v>
      </c>
      <c r="X594" s="0" t="n">
        <f aca="false">IF('Reverse Search'!$N$7="Disable",1,IF('Reverse Search'!$I$10="Disable",1,IF('Reverse Search'!$K$10="≥",IF(K594&gt;='Reverse Search'!$L$10,1,0),IF('Reverse Search'!$K$10="≤",IF(K594&lt;='Reverse Search'!$L$10,1,0),IF(K594='Reverse Search'!$L$10,1,0)))))</f>
        <v>1</v>
      </c>
      <c r="Y594" s="367" t="n">
        <f aca="false">IF('Reverse Search'!$N$7="Disable",1,IF('Reverse Search'!$I$11="Disable",1,IF('Reverse Search'!$K$11="≥",IF(L594&gt;='Reverse Search'!$L$11,1,0),IF('Reverse Search'!$K$11="≤",IF(L594&lt;='Reverse Search'!$L$11,1,0),IF(L594='Reverse Search'!$L$11,1,0)))))</f>
        <v>1</v>
      </c>
      <c r="Z594" s="0" t="n">
        <f aca="true">IF('Reverse Search'!$C$14="Disable",1,IF('Reverse Search'!$D$16="Disable",1,IF($C$2=3,IF($M594=0,0,COUNTIF(INDIRECT("'0.0.2 Pokémon Learnset (Core)'!$D$"&amp;MATCH($E594,'0.0.2 Pokémon Learnset (Core)'!$A$1:$A951,0)&amp;":$FK$"&amp;MATCH($E594,'0.0.2 Pokémon Learnset (Core)'!$A$1:$A951,0)),'Reverse Search'!$E$21)),IF($C$2=2,COUNTIF(INDIRECT("'0.1.1 Pokémon GO Moves'!$B$"&amp;MATCH($E594,'0.1.1 Pokémon GO Moves'!$A$1:$A951,0)&amp;":$R$"&amp;MATCH($E594,'0.1.1 Pokémon GO Moves'!$A$1:$A951,0)),'Reverse Search'!$E$21),COUNTIF(INDIRECT("'0.1.1 Pokémon GO Moves'!$B$"&amp;MATCH($E594,'0.1.1 Pokémon GO Moves'!$A$1:$A951,0)&amp;":$L$"&amp;MATCH($E594,'0.1.1 Pokémon GO Moves'!$A$1:$A951,0)),'Reverse Search'!$E$21)))))</f>
        <v>1</v>
      </c>
      <c r="AA594" s="0" t="n">
        <f aca="true">IF('Reverse Search'!$C$14="Disable",1,IF('Reverse Search'!$I$16="Disable",1,IF($D$2=3,IF($M594=0,0,COUNTIF(INDIRECT("'0.0.2 Pokémon Learnset (Core)'!$D$"&amp;MATCH($E594,'0.0.2 Pokémon Learnset (Core)'!$A$1:$A951,0)&amp;":$FK$"&amp;MATCH($E594,'0.0.2 Pokémon Learnset (Core)'!$A$1:$A951,0)),'Reverse Search'!$J$21)),IF($D$2=2,COUNTIF(INDIRECT("'0.1.1 Pokémon GO Moves'!$B$"&amp;MATCH($E594,'0.1.1 Pokémon GO Moves'!$A$1:$A951,0)&amp;":$R$"&amp;MATCH($E594,'0.1.1 Pokémon GO Moves'!$A$1:$A951,0)),'Reverse Search'!$J$21),COUNTIF(INDIRECT("'0.1.1 Pokémon GO Moves'!$B$"&amp;MATCH($E594,'0.1.1 Pokémon GO Moves'!$A$1:$A951,0)&amp;":$L$"&amp;MATCH($E594,'0.1.1 Pokémon GO Moves'!$A$1:$A951,0)),'Reverse Search'!$J$21)))))</f>
        <v>0</v>
      </c>
      <c r="AB594" s="490"/>
      <c r="AC594" s="260" t="n">
        <f aca="false">IF((Q594+R594+S594+V594+W594+X594+Y594+IF(Z594&gt;=1,1,0)+IF(AA594&gt;=1,1,0))=9,G594&amp;", ",)</f>
        <v>0</v>
      </c>
    </row>
    <row r="595" customFormat="false" ht="15.75" hidden="false" customHeight="false" outlineLevel="0" collapsed="false">
      <c r="A595" s="260"/>
      <c r="B595" s="358"/>
      <c r="C595" s="260"/>
      <c r="D595" s="358"/>
      <c r="E595" s="260" t="n">
        <v>594</v>
      </c>
      <c r="F595" s="260" t="n">
        <f aca="false" t="array" ref="F595:F595">INDEX('0.0.1 Pokémon Dex Data'!$H$3:$H951,MATCH(E595,'0.0.1 Pokémon Dex Data'!$B$3:$B951,0))</f>
        <v>0</v>
      </c>
      <c r="G595" s="0" t="str">
        <f aca="false" t="array" ref="G595:G595">INDEX('0.0.1 Pokémon Dex Data'!$E$3:$E951,MATCH(E595,'0.0.1 Pokémon Dex Data'!$B$3:$B951,0))</f>
        <v>Servine</v>
      </c>
      <c r="H595" s="0" t="str">
        <f aca="false" t="array" ref="H595:H595">INDEX('0.0.1 Pokémon Dex Data'!$Q$3:$Q951,MATCH(E595,'0.0.1 Pokémon Dex Data'!$B$3:$B951,0))</f>
        <v>Grass</v>
      </c>
      <c r="I595" s="0" t="n">
        <f aca="false">INDEX('0.0.1 Pokémon Dex Data'!$R$3:$R951,MATCH(E595,'0.0.1 Pokémon Dex Data'!$B$3:$B951,0))</f>
        <v>0</v>
      </c>
      <c r="J595" s="260" t="n">
        <f aca="false" t="array" ref="J595:J595">ROUND(INDEX('0.0.1 Pokémon Dex Data'!$S$3:$S951,MATCH($E595,'0.0.1 Pokémon Dex Data'!$B$3:$B951,0))*INDEX('0.0.1 Pokémon Dex Data'!T$3:T951,MATCH($E595,'0.0.1 Pokémon Dex Data'!$B$3:$B951,0)),0)</f>
        <v>122</v>
      </c>
      <c r="K595" s="260" t="n">
        <f aca="false" t="array" ref="K595:K595">ROUND(INDEX('0.0.1 Pokémon Dex Data'!$S$3:$S951,MATCH($E595,'0.0.1 Pokémon Dex Data'!$B$3:$B951,0))*INDEX('0.0.1 Pokémon Dex Data'!U$3:U951,MATCH($E595,'0.0.1 Pokémon Dex Data'!$B$3:$B951,0)),0)</f>
        <v>152</v>
      </c>
      <c r="L595" s="260" t="n">
        <f aca="false" t="array" ref="L595:L595">ROUND(INDEX('0.0.1 Pokémon Dex Data'!$S$3:$S951,MATCH($E595,'0.0.1 Pokémon Dex Data'!$B$3:$B951,0))*INDEX('0.0.1 Pokémon Dex Data'!V$3:V951,MATCH($E595,'0.0.1 Pokémon Dex Data'!$B$3:$B951,0)),0)</f>
        <v>155</v>
      </c>
      <c r="M595" s="260" t="n">
        <f aca="false" t="array" ref="M595:M595">INDEX('0.0.1 Pokémon Dex Data'!$J$3:$J951,MATCH(E595,'0.0.1 Pokémon Dex Data'!$B$3:$B951,0))</f>
        <v>0</v>
      </c>
      <c r="O595" s="490"/>
      <c r="Q595" s="367" t="n">
        <f aca="false">IF('Reverse Search'!$F$4="All (including temporary formes)",1,IF('Reverse Search'!$F$4="Base Pokémon and permanent formes only",IF(F595&lt;=1,1,0),IF(F595=0,1,0)))</f>
        <v>1</v>
      </c>
      <c r="R595" s="0" t="n">
        <f aca="false">IF('Reverse Search'!$C$7="Disable",1,IF('Reverse Search'!$D$9="Disable",1,IF(OR('Reverse Search'!$F$9=H595,'Reverse Search'!$F$9=I595),1,0)))</f>
        <v>1</v>
      </c>
      <c r="S595" s="0" t="n">
        <f aca="false">IF('Reverse Search'!$C$7="Disable",1,IF('Reverse Search'!$D$10="Disable",1,IF(OR('Reverse Search'!$F$10=H595,'Reverse Search'!$F$10=I595),1,0)))</f>
        <v>1</v>
      </c>
      <c r="T595" s="0" t="n">
        <f aca="false">INDEX($B$4:$B$22,MATCH(H595,$A$4:$A$22,0))</f>
        <v>1</v>
      </c>
      <c r="U595" s="0" t="e">
        <f aca="false">IF(ISBLANK(I595),1,INDEX($B$4:$B$22,MATCH(I595,$A$4:$A$22,0)))</f>
        <v>#N/A</v>
      </c>
      <c r="V595" s="367" t="n">
        <f aca="false">IF('Reverse Search'!$C$7="Disable",1,IF('Reverse Search'!$D$11="Disable",1,IF('Reverse Search'!$E$11="Neutral to:",IF(ROUND(T595*U595,2)&lt;=1,1,0),IF(ROUND(T595*U595,2)&lt;1,1,0))))</f>
        <v>1</v>
      </c>
      <c r="W595" s="0" t="n">
        <f aca="false">IF('Reverse Search'!$N$7="Disable",1,IF('Reverse Search'!$I$9="Disable",1,IF('Reverse Search'!$K$9="≥",IF(J595&gt;='Reverse Search'!$L$9,1,0),IF('Reverse Search'!$K$9="≤",IF(J595&lt;='Reverse Search'!$L$9,1,0),IF(J595='Reverse Search'!$L$9,1,0)))))</f>
        <v>1</v>
      </c>
      <c r="X595" s="0" t="n">
        <f aca="false">IF('Reverse Search'!$N$7="Disable",1,IF('Reverse Search'!$I$10="Disable",1,IF('Reverse Search'!$K$10="≥",IF(K595&gt;='Reverse Search'!$L$10,1,0),IF('Reverse Search'!$K$10="≤",IF(K595&lt;='Reverse Search'!$L$10,1,0),IF(K595='Reverse Search'!$L$10,1,0)))))</f>
        <v>1</v>
      </c>
      <c r="Y595" s="367" t="n">
        <f aca="false">IF('Reverse Search'!$N$7="Disable",1,IF('Reverse Search'!$I$11="Disable",1,IF('Reverse Search'!$K$11="≥",IF(L595&gt;='Reverse Search'!$L$11,1,0),IF('Reverse Search'!$K$11="≤",IF(L595&lt;='Reverse Search'!$L$11,1,0),IF(L595='Reverse Search'!$L$11,1,0)))))</f>
        <v>1</v>
      </c>
      <c r="Z595" s="0" t="n">
        <f aca="true">IF('Reverse Search'!$C$14="Disable",1,IF('Reverse Search'!$D$16="Disable",1,IF($C$2=3,IF($M595=0,0,COUNTIF(INDIRECT("'0.0.2 Pokémon Learnset (Core)'!$D$"&amp;MATCH($E595,'0.0.2 Pokémon Learnset (Core)'!$A$1:$A951,0)&amp;":$FK$"&amp;MATCH($E595,'0.0.2 Pokémon Learnset (Core)'!$A$1:$A951,0)),'Reverse Search'!$E$21)),IF($C$2=2,COUNTIF(INDIRECT("'0.1.1 Pokémon GO Moves'!$B$"&amp;MATCH($E595,'0.1.1 Pokémon GO Moves'!$A$1:$A951,0)&amp;":$R$"&amp;MATCH($E595,'0.1.1 Pokémon GO Moves'!$A$1:$A951,0)),'Reverse Search'!$E$21),COUNTIF(INDIRECT("'0.1.1 Pokémon GO Moves'!$B$"&amp;MATCH($E595,'0.1.1 Pokémon GO Moves'!$A$1:$A951,0)&amp;":$L$"&amp;MATCH($E595,'0.1.1 Pokémon GO Moves'!$A$1:$A951,0)),'Reverse Search'!$E$21)))))</f>
        <v>1</v>
      </c>
      <c r="AA595" s="0" t="n">
        <f aca="true">IF('Reverse Search'!$C$14="Disable",1,IF('Reverse Search'!$I$16="Disable",1,IF($D$2=3,IF($M595=0,0,COUNTIF(INDIRECT("'0.0.2 Pokémon Learnset (Core)'!$D$"&amp;MATCH($E595,'0.0.2 Pokémon Learnset (Core)'!$A$1:$A951,0)&amp;":$FK$"&amp;MATCH($E595,'0.0.2 Pokémon Learnset (Core)'!$A$1:$A951,0)),'Reverse Search'!$J$21)),IF($D$2=2,COUNTIF(INDIRECT("'0.1.1 Pokémon GO Moves'!$B$"&amp;MATCH($E595,'0.1.1 Pokémon GO Moves'!$A$1:$A951,0)&amp;":$R$"&amp;MATCH($E595,'0.1.1 Pokémon GO Moves'!$A$1:$A951,0)),'Reverse Search'!$J$21),COUNTIF(INDIRECT("'0.1.1 Pokémon GO Moves'!$B$"&amp;MATCH($E595,'0.1.1 Pokémon GO Moves'!$A$1:$A951,0)&amp;":$L$"&amp;MATCH($E595,'0.1.1 Pokémon GO Moves'!$A$1:$A951,0)),'Reverse Search'!$J$21)))))</f>
        <v>0</v>
      </c>
      <c r="AB595" s="490"/>
      <c r="AC595" s="260" t="n">
        <f aca="false">IF((Q595+R595+S595+V595+W595+X595+Y595+IF(Z595&gt;=1,1,0)+IF(AA595&gt;=1,1,0))=9,G595&amp;", ",)</f>
        <v>0</v>
      </c>
    </row>
    <row r="596" customFormat="false" ht="15.75" hidden="false" customHeight="false" outlineLevel="0" collapsed="false">
      <c r="A596" s="260"/>
      <c r="B596" s="358"/>
      <c r="C596" s="260"/>
      <c r="D596" s="358"/>
      <c r="E596" s="260" t="n">
        <v>595</v>
      </c>
      <c r="F596" s="260" t="n">
        <f aca="false" t="array" ref="F596:F596">INDEX('0.0.1 Pokémon Dex Data'!$H$3:$H951,MATCH(E596,'0.0.1 Pokémon Dex Data'!$B$3:$B951,0))</f>
        <v>0</v>
      </c>
      <c r="G596" s="0" t="str">
        <f aca="false" t="array" ref="G596:G596">INDEX('0.0.1 Pokémon Dex Data'!$E$3:$E951,MATCH(E596,'0.0.1 Pokémon Dex Data'!$B$3:$B951,0))</f>
        <v>Serperior</v>
      </c>
      <c r="H596" s="0" t="str">
        <f aca="false" t="array" ref="H596:H596">INDEX('0.0.1 Pokémon Dex Data'!$Q$3:$Q951,MATCH(E596,'0.0.1 Pokémon Dex Data'!$B$3:$B951,0))</f>
        <v>Grass</v>
      </c>
      <c r="I596" s="0" t="n">
        <f aca="false">INDEX('0.0.1 Pokémon Dex Data'!$R$3:$R951,MATCH(E596,'0.0.1 Pokémon Dex Data'!$B$3:$B951,0))</f>
        <v>0</v>
      </c>
      <c r="J596" s="260" t="n">
        <f aca="false" t="array" ref="J596:J596">ROUND(INDEX('0.0.1 Pokémon Dex Data'!$S$3:$S951,MATCH($E596,'0.0.1 Pokémon Dex Data'!$B$3:$B951,0))*INDEX('0.0.1 Pokémon Dex Data'!T$3:T951,MATCH($E596,'0.0.1 Pokémon Dex Data'!$B$3:$B951,0)),0)</f>
        <v>161</v>
      </c>
      <c r="K596" s="260" t="n">
        <f aca="false" t="array" ref="K596:K596">ROUND(INDEX('0.0.1 Pokémon Dex Data'!$S$3:$S951,MATCH($E596,'0.0.1 Pokémon Dex Data'!$B$3:$B951,0))*INDEX('0.0.1 Pokémon Dex Data'!U$3:U951,MATCH($E596,'0.0.1 Pokémon Dex Data'!$B$3:$B951,0)),0)</f>
        <v>204</v>
      </c>
      <c r="L596" s="260" t="n">
        <f aca="false" t="array" ref="L596:L596">ROUND(INDEX('0.0.1 Pokémon Dex Data'!$S$3:$S951,MATCH($E596,'0.0.1 Pokémon Dex Data'!$B$3:$B951,0))*INDEX('0.0.1 Pokémon Dex Data'!V$3:V951,MATCH($E596,'0.0.1 Pokémon Dex Data'!$B$3:$B951,0)),0)</f>
        <v>181</v>
      </c>
      <c r="M596" s="260" t="n">
        <f aca="false" t="array" ref="M596:M596">INDEX('0.0.1 Pokémon Dex Data'!$J$3:$J951,MATCH(E596,'0.0.1 Pokémon Dex Data'!$B$3:$B951,0))</f>
        <v>1</v>
      </c>
      <c r="O596" s="490"/>
      <c r="Q596" s="367" t="n">
        <f aca="false">IF('Reverse Search'!$F$4="All (including temporary formes)",1,IF('Reverse Search'!$F$4="Base Pokémon and permanent formes only",IF(F596&lt;=1,1,0),IF(F596=0,1,0)))</f>
        <v>1</v>
      </c>
      <c r="R596" s="0" t="n">
        <f aca="false">IF('Reverse Search'!$C$7="Disable",1,IF('Reverse Search'!$D$9="Disable",1,IF(OR('Reverse Search'!$F$9=H596,'Reverse Search'!$F$9=I596),1,0)))</f>
        <v>1</v>
      </c>
      <c r="S596" s="0" t="n">
        <f aca="false">IF('Reverse Search'!$C$7="Disable",1,IF('Reverse Search'!$D$10="Disable",1,IF(OR('Reverse Search'!$F$10=H596,'Reverse Search'!$F$10=I596),1,0)))</f>
        <v>1</v>
      </c>
      <c r="T596" s="0" t="n">
        <f aca="false">INDEX($B$4:$B$22,MATCH(H596,$A$4:$A$22,0))</f>
        <v>1</v>
      </c>
      <c r="U596" s="0" t="e">
        <f aca="false">IF(ISBLANK(I596),1,INDEX($B$4:$B$22,MATCH(I596,$A$4:$A$22,0)))</f>
        <v>#N/A</v>
      </c>
      <c r="V596" s="367" t="n">
        <f aca="false">IF('Reverse Search'!$C$7="Disable",1,IF('Reverse Search'!$D$11="Disable",1,IF('Reverse Search'!$E$11="Neutral to:",IF(ROUND(T596*U596,2)&lt;=1,1,0),IF(ROUND(T596*U596,2)&lt;1,1,0))))</f>
        <v>1</v>
      </c>
      <c r="W596" s="0" t="n">
        <f aca="false">IF('Reverse Search'!$N$7="Disable",1,IF('Reverse Search'!$I$9="Disable",1,IF('Reverse Search'!$K$9="≥",IF(J596&gt;='Reverse Search'!$L$9,1,0),IF('Reverse Search'!$K$9="≤",IF(J596&lt;='Reverse Search'!$L$9,1,0),IF(J596='Reverse Search'!$L$9,1,0)))))</f>
        <v>1</v>
      </c>
      <c r="X596" s="0" t="n">
        <f aca="false">IF('Reverse Search'!$N$7="Disable",1,IF('Reverse Search'!$I$10="Disable",1,IF('Reverse Search'!$K$10="≥",IF(K596&gt;='Reverse Search'!$L$10,1,0),IF('Reverse Search'!$K$10="≤",IF(K596&lt;='Reverse Search'!$L$10,1,0),IF(K596='Reverse Search'!$L$10,1,0)))))</f>
        <v>1</v>
      </c>
      <c r="Y596" s="367" t="n">
        <f aca="false">IF('Reverse Search'!$N$7="Disable",1,IF('Reverse Search'!$I$11="Disable",1,IF('Reverse Search'!$K$11="≥",IF(L596&gt;='Reverse Search'!$L$11,1,0),IF('Reverse Search'!$K$11="≤",IF(L596&lt;='Reverse Search'!$L$11,1,0),IF(L596='Reverse Search'!$L$11,1,0)))))</f>
        <v>1</v>
      </c>
      <c r="Z596" s="0" t="n">
        <f aca="true">IF('Reverse Search'!$C$14="Disable",1,IF('Reverse Search'!$D$16="Disable",1,IF($C$2=3,IF($M596=0,0,COUNTIF(INDIRECT("'0.0.2 Pokémon Learnset (Core)'!$D$"&amp;MATCH($E596,'0.0.2 Pokémon Learnset (Core)'!$A$1:$A951,0)&amp;":$FK$"&amp;MATCH($E596,'0.0.2 Pokémon Learnset (Core)'!$A$1:$A951,0)),'Reverse Search'!$E$21)),IF($C$2=2,COUNTIF(INDIRECT("'0.1.1 Pokémon GO Moves'!$B$"&amp;MATCH($E596,'0.1.1 Pokémon GO Moves'!$A$1:$A951,0)&amp;":$R$"&amp;MATCH($E596,'0.1.1 Pokémon GO Moves'!$A$1:$A951,0)),'Reverse Search'!$E$21),COUNTIF(INDIRECT("'0.1.1 Pokémon GO Moves'!$B$"&amp;MATCH($E596,'0.1.1 Pokémon GO Moves'!$A$1:$A951,0)&amp;":$L$"&amp;MATCH($E596,'0.1.1 Pokémon GO Moves'!$A$1:$A951,0)),'Reverse Search'!$E$21)))))</f>
        <v>1</v>
      </c>
      <c r="AA596" s="0" t="n">
        <f aca="true">IF('Reverse Search'!$C$14="Disable",1,IF('Reverse Search'!$I$16="Disable",1,IF($D$2=3,IF($M596=0,0,COUNTIF(INDIRECT("'0.0.2 Pokémon Learnset (Core)'!$D$"&amp;MATCH($E596,'0.0.2 Pokémon Learnset (Core)'!$A$1:$A951,0)&amp;":$FK$"&amp;MATCH($E596,'0.0.2 Pokémon Learnset (Core)'!$A$1:$A951,0)),'Reverse Search'!$J$21)),IF($D$2=2,COUNTIF(INDIRECT("'0.1.1 Pokémon GO Moves'!$B$"&amp;MATCH($E596,'0.1.1 Pokémon GO Moves'!$A$1:$A951,0)&amp;":$R$"&amp;MATCH($E596,'0.1.1 Pokémon GO Moves'!$A$1:$A951,0)),'Reverse Search'!$J$21),COUNTIF(INDIRECT("'0.1.1 Pokémon GO Moves'!$B$"&amp;MATCH($E596,'0.1.1 Pokémon GO Moves'!$A$1:$A951,0)&amp;":$L$"&amp;MATCH($E596,'0.1.1 Pokémon GO Moves'!$A$1:$A951,0)),'Reverse Search'!$J$21)))))</f>
        <v>0</v>
      </c>
      <c r="AB596" s="490"/>
      <c r="AC596" s="260" t="n">
        <f aca="false">IF((Q596+R596+S596+V596+W596+X596+Y596+IF(Z596&gt;=1,1,0)+IF(AA596&gt;=1,1,0))=9,G596&amp;", ",)</f>
        <v>0</v>
      </c>
    </row>
    <row r="597" customFormat="false" ht="15.75" hidden="false" customHeight="false" outlineLevel="0" collapsed="false">
      <c r="A597" s="260"/>
      <c r="B597" s="358"/>
      <c r="C597" s="260"/>
      <c r="D597" s="358"/>
      <c r="E597" s="260" t="n">
        <v>596</v>
      </c>
      <c r="F597" s="260" t="n">
        <f aca="false" t="array" ref="F597:F597">INDEX('0.0.1 Pokémon Dex Data'!$H$3:$H951,MATCH(E597,'0.0.1 Pokémon Dex Data'!$B$3:$B951,0))</f>
        <v>0</v>
      </c>
      <c r="G597" s="0" t="str">
        <f aca="false" t="array" ref="G597:G597">INDEX('0.0.1 Pokémon Dex Data'!$E$3:$E951,MATCH(E597,'0.0.1 Pokémon Dex Data'!$B$3:$B951,0))</f>
        <v>Tepig</v>
      </c>
      <c r="H597" s="0" t="str">
        <f aca="false" t="array" ref="H597:H597">INDEX('0.0.1 Pokémon Dex Data'!$Q$3:$Q951,MATCH(E597,'0.0.1 Pokémon Dex Data'!$B$3:$B951,0))</f>
        <v>Fire</v>
      </c>
      <c r="I597" s="0" t="n">
        <f aca="false">INDEX('0.0.1 Pokémon Dex Data'!$R$3:$R951,MATCH(E597,'0.0.1 Pokémon Dex Data'!$B$3:$B951,0))</f>
        <v>0</v>
      </c>
      <c r="J597" s="260" t="n">
        <f aca="false" t="array" ref="J597:J597">ROUND(INDEX('0.0.1 Pokémon Dex Data'!$S$3:$S951,MATCH($E597,'0.0.1 Pokémon Dex Data'!$B$3:$B951,0))*INDEX('0.0.1 Pokémon Dex Data'!T$3:T951,MATCH($E597,'0.0.1 Pokémon Dex Data'!$B$3:$B951,0)),0)</f>
        <v>115</v>
      </c>
      <c r="K597" s="260" t="n">
        <f aca="false" t="array" ref="K597:K597">ROUND(INDEX('0.0.1 Pokémon Dex Data'!$S$3:$S951,MATCH($E597,'0.0.1 Pokémon Dex Data'!$B$3:$B951,0))*INDEX('0.0.1 Pokémon Dex Data'!U$3:U951,MATCH($E597,'0.0.1 Pokémon Dex Data'!$B$3:$B951,0)),0)</f>
        <v>85</v>
      </c>
      <c r="L597" s="260" t="n">
        <f aca="false" t="array" ref="L597:L597">ROUND(INDEX('0.0.1 Pokémon Dex Data'!$S$3:$S951,MATCH($E597,'0.0.1 Pokémon Dex Data'!$B$3:$B951,0))*INDEX('0.0.1 Pokémon Dex Data'!V$3:V951,MATCH($E597,'0.0.1 Pokémon Dex Data'!$B$3:$B951,0)),0)</f>
        <v>163</v>
      </c>
      <c r="M597" s="260" t="n">
        <f aca="false" t="array" ref="M597:M597">INDEX('0.0.1 Pokémon Dex Data'!$J$3:$J951,MATCH(E597,'0.0.1 Pokémon Dex Data'!$B$3:$B951,0))</f>
        <v>0</v>
      </c>
      <c r="O597" s="490"/>
      <c r="Q597" s="367" t="n">
        <f aca="false">IF('Reverse Search'!$F$4="All (including temporary formes)",1,IF('Reverse Search'!$F$4="Base Pokémon and permanent formes only",IF(F597&lt;=1,1,0),IF(F597=0,1,0)))</f>
        <v>1</v>
      </c>
      <c r="R597" s="0" t="n">
        <f aca="false">IF('Reverse Search'!$C$7="Disable",1,IF('Reverse Search'!$D$9="Disable",1,IF(OR('Reverse Search'!$F$9=H597,'Reverse Search'!$F$9=I597),1,0)))</f>
        <v>1</v>
      </c>
      <c r="S597" s="0" t="n">
        <f aca="false">IF('Reverse Search'!$C$7="Disable",1,IF('Reverse Search'!$D$10="Disable",1,IF(OR('Reverse Search'!$F$10=H597,'Reverse Search'!$F$10=I597),1,0)))</f>
        <v>1</v>
      </c>
      <c r="T597" s="0" t="n">
        <f aca="false">INDEX($B$4:$B$22,MATCH(H597,$A$4:$A$22,0))</f>
        <v>1</v>
      </c>
      <c r="U597" s="0" t="e">
        <f aca="false">IF(ISBLANK(I597),1,INDEX($B$4:$B$22,MATCH(I597,$A$4:$A$22,0)))</f>
        <v>#N/A</v>
      </c>
      <c r="V597" s="367" t="n">
        <f aca="false">IF('Reverse Search'!$C$7="Disable",1,IF('Reverse Search'!$D$11="Disable",1,IF('Reverse Search'!$E$11="Neutral to:",IF(ROUND(T597*U597,2)&lt;=1,1,0),IF(ROUND(T597*U597,2)&lt;1,1,0))))</f>
        <v>1</v>
      </c>
      <c r="W597" s="0" t="n">
        <f aca="false">IF('Reverse Search'!$N$7="Disable",1,IF('Reverse Search'!$I$9="Disable",1,IF('Reverse Search'!$K$9="≥",IF(J597&gt;='Reverse Search'!$L$9,1,0),IF('Reverse Search'!$K$9="≤",IF(J597&lt;='Reverse Search'!$L$9,1,0),IF(J597='Reverse Search'!$L$9,1,0)))))</f>
        <v>1</v>
      </c>
      <c r="X597" s="0" t="n">
        <f aca="false">IF('Reverse Search'!$N$7="Disable",1,IF('Reverse Search'!$I$10="Disable",1,IF('Reverse Search'!$K$10="≥",IF(K597&gt;='Reverse Search'!$L$10,1,0),IF('Reverse Search'!$K$10="≤",IF(K597&lt;='Reverse Search'!$L$10,1,0),IF(K597='Reverse Search'!$L$10,1,0)))))</f>
        <v>1</v>
      </c>
      <c r="Y597" s="367" t="n">
        <f aca="false">IF('Reverse Search'!$N$7="Disable",1,IF('Reverse Search'!$I$11="Disable",1,IF('Reverse Search'!$K$11="≥",IF(L597&gt;='Reverse Search'!$L$11,1,0),IF('Reverse Search'!$K$11="≤",IF(L597&lt;='Reverse Search'!$L$11,1,0),IF(L597='Reverse Search'!$L$11,1,0)))))</f>
        <v>1</v>
      </c>
      <c r="Z597" s="0" t="n">
        <f aca="true">IF('Reverse Search'!$C$14="Disable",1,IF('Reverse Search'!$D$16="Disable",1,IF($C$2=3,IF($M597=0,0,COUNTIF(INDIRECT("'0.0.2 Pokémon Learnset (Core)'!$D$"&amp;MATCH($E597,'0.0.2 Pokémon Learnset (Core)'!$A$1:$A951,0)&amp;":$FK$"&amp;MATCH($E597,'0.0.2 Pokémon Learnset (Core)'!$A$1:$A951,0)),'Reverse Search'!$E$21)),IF($C$2=2,COUNTIF(INDIRECT("'0.1.1 Pokémon GO Moves'!$B$"&amp;MATCH($E597,'0.1.1 Pokémon GO Moves'!$A$1:$A951,0)&amp;":$R$"&amp;MATCH($E597,'0.1.1 Pokémon GO Moves'!$A$1:$A951,0)),'Reverse Search'!$E$21),COUNTIF(INDIRECT("'0.1.1 Pokémon GO Moves'!$B$"&amp;MATCH($E597,'0.1.1 Pokémon GO Moves'!$A$1:$A951,0)&amp;":$L$"&amp;MATCH($E597,'0.1.1 Pokémon GO Moves'!$A$1:$A951,0)),'Reverse Search'!$E$21)))))</f>
        <v>1</v>
      </c>
      <c r="AA597" s="0" t="n">
        <f aca="true">IF('Reverse Search'!$C$14="Disable",1,IF('Reverse Search'!$I$16="Disable",1,IF($D$2=3,IF($M597=0,0,COUNTIF(INDIRECT("'0.0.2 Pokémon Learnset (Core)'!$D$"&amp;MATCH($E597,'0.0.2 Pokémon Learnset (Core)'!$A$1:$A951,0)&amp;":$FK$"&amp;MATCH($E597,'0.0.2 Pokémon Learnset (Core)'!$A$1:$A951,0)),'Reverse Search'!$J$21)),IF($D$2=2,COUNTIF(INDIRECT("'0.1.1 Pokémon GO Moves'!$B$"&amp;MATCH($E597,'0.1.1 Pokémon GO Moves'!$A$1:$A951,0)&amp;":$R$"&amp;MATCH($E597,'0.1.1 Pokémon GO Moves'!$A$1:$A951,0)),'Reverse Search'!$J$21),COUNTIF(INDIRECT("'0.1.1 Pokémon GO Moves'!$B$"&amp;MATCH($E597,'0.1.1 Pokémon GO Moves'!$A$1:$A951,0)&amp;":$L$"&amp;MATCH($E597,'0.1.1 Pokémon GO Moves'!$A$1:$A951,0)),'Reverse Search'!$J$21)))))</f>
        <v>0</v>
      </c>
      <c r="AB597" s="490"/>
      <c r="AC597" s="260" t="n">
        <f aca="false">IF((Q597+R597+S597+V597+W597+X597+Y597+IF(Z597&gt;=1,1,0)+IF(AA597&gt;=1,1,0))=9,G597&amp;", ",)</f>
        <v>0</v>
      </c>
    </row>
    <row r="598" customFormat="false" ht="15.75" hidden="false" customHeight="false" outlineLevel="0" collapsed="false">
      <c r="A598" s="260"/>
      <c r="B598" s="358"/>
      <c r="C598" s="260"/>
      <c r="D598" s="358"/>
      <c r="E598" s="260" t="n">
        <v>597</v>
      </c>
      <c r="F598" s="260" t="n">
        <f aca="false" t="array" ref="F598:F598">INDEX('0.0.1 Pokémon Dex Data'!$H$3:$H951,MATCH(E598,'0.0.1 Pokémon Dex Data'!$B$3:$B951,0))</f>
        <v>0</v>
      </c>
      <c r="G598" s="0" t="str">
        <f aca="false" t="array" ref="G598:G598">INDEX('0.0.1 Pokémon Dex Data'!$E$3:$E951,MATCH(E598,'0.0.1 Pokémon Dex Data'!$B$3:$B951,0))</f>
        <v>Pignite</v>
      </c>
      <c r="H598" s="0" t="str">
        <f aca="false" t="array" ref="H598:H598">INDEX('0.0.1 Pokémon Dex Data'!$Q$3:$Q951,MATCH(E598,'0.0.1 Pokémon Dex Data'!$B$3:$B951,0))</f>
        <v>Fire</v>
      </c>
      <c r="I598" s="0" t="str">
        <f aca="false" t="array" ref="I598:I598">INDEX('0.0.1 Pokémon Dex Data'!$R$3:$R951,MATCH(E598,'0.0.1 Pokémon Dex Data'!$B$3:$B951,0))</f>
        <v>Fighting</v>
      </c>
      <c r="J598" s="260" t="n">
        <f aca="false" t="array" ref="J598:J598">ROUND(INDEX('0.0.1 Pokémon Dex Data'!$S$3:$S951,MATCH($E598,'0.0.1 Pokémon Dex Data'!$B$3:$B951,0))*INDEX('0.0.1 Pokémon Dex Data'!T$3:T951,MATCH($E598,'0.0.1 Pokémon Dex Data'!$B$3:$B951,0)),0)</f>
        <v>173</v>
      </c>
      <c r="K598" s="260" t="n">
        <f aca="false" t="array" ref="K598:K598">ROUND(INDEX('0.0.1 Pokémon Dex Data'!$S$3:$S951,MATCH($E598,'0.0.1 Pokémon Dex Data'!$B$3:$B951,0))*INDEX('0.0.1 Pokémon Dex Data'!U$3:U951,MATCH($E598,'0.0.1 Pokémon Dex Data'!$B$3:$B951,0)),0)</f>
        <v>106</v>
      </c>
      <c r="L598" s="260" t="n">
        <f aca="false" t="array" ref="L598:L598">ROUND(INDEX('0.0.1 Pokémon Dex Data'!$S$3:$S951,MATCH($E598,'0.0.1 Pokémon Dex Data'!$B$3:$B951,0))*INDEX('0.0.1 Pokémon Dex Data'!V$3:V951,MATCH($E598,'0.0.1 Pokémon Dex Data'!$B$3:$B951,0)),0)</f>
        <v>207</v>
      </c>
      <c r="M598" s="260" t="n">
        <f aca="false" t="array" ref="M598:M598">INDEX('0.0.1 Pokémon Dex Data'!$J$3:$J951,MATCH(E598,'0.0.1 Pokémon Dex Data'!$B$3:$B951,0))</f>
        <v>0</v>
      </c>
      <c r="O598" s="490"/>
      <c r="Q598" s="367" t="n">
        <f aca="false">IF('Reverse Search'!$F$4="All (including temporary formes)",1,IF('Reverse Search'!$F$4="Base Pokémon and permanent formes only",IF(F598&lt;=1,1,0),IF(F598=0,1,0)))</f>
        <v>1</v>
      </c>
      <c r="R598" s="0" t="n">
        <f aca="false">IF('Reverse Search'!$C$7="Disable",1,IF('Reverse Search'!$D$9="Disable",1,IF(OR('Reverse Search'!$F$9=H598,'Reverse Search'!$F$9=I598),1,0)))</f>
        <v>1</v>
      </c>
      <c r="S598" s="0" t="n">
        <f aca="false">IF('Reverse Search'!$C$7="Disable",1,IF('Reverse Search'!$D$10="Disable",1,IF(OR('Reverse Search'!$F$10=H598,'Reverse Search'!$F$10=I598),1,0)))</f>
        <v>1</v>
      </c>
      <c r="T598" s="0" t="n">
        <f aca="false">INDEX($B$4:$B$22,MATCH(H598,$A$4:$A$22,0))</f>
        <v>1</v>
      </c>
      <c r="U598" s="0" t="n">
        <f aca="false">IF(ISBLANK(I598),1,INDEX($B$4:$B$22,MATCH(I598,$A$4:$A$22,0)))</f>
        <v>1</v>
      </c>
      <c r="V598" s="367" t="n">
        <f aca="false">IF('Reverse Search'!$C$7="Disable",1,IF('Reverse Search'!$D$11="Disable",1,IF('Reverse Search'!$E$11="Neutral to:",IF(ROUND(T598*U598,2)&lt;=1,1,0),IF(ROUND(T598*U598,2)&lt;1,1,0))))</f>
        <v>1</v>
      </c>
      <c r="W598" s="0" t="n">
        <f aca="false">IF('Reverse Search'!$N$7="Disable",1,IF('Reverse Search'!$I$9="Disable",1,IF('Reverse Search'!$K$9="≥",IF(J598&gt;='Reverse Search'!$L$9,1,0),IF('Reverse Search'!$K$9="≤",IF(J598&lt;='Reverse Search'!$L$9,1,0),IF(J598='Reverse Search'!$L$9,1,0)))))</f>
        <v>1</v>
      </c>
      <c r="X598" s="0" t="n">
        <f aca="false">IF('Reverse Search'!$N$7="Disable",1,IF('Reverse Search'!$I$10="Disable",1,IF('Reverse Search'!$K$10="≥",IF(K598&gt;='Reverse Search'!$L$10,1,0),IF('Reverse Search'!$K$10="≤",IF(K598&lt;='Reverse Search'!$L$10,1,0),IF(K598='Reverse Search'!$L$10,1,0)))))</f>
        <v>1</v>
      </c>
      <c r="Y598" s="367" t="n">
        <f aca="false">IF('Reverse Search'!$N$7="Disable",1,IF('Reverse Search'!$I$11="Disable",1,IF('Reverse Search'!$K$11="≥",IF(L598&gt;='Reverse Search'!$L$11,1,0),IF('Reverse Search'!$K$11="≤",IF(L598&lt;='Reverse Search'!$L$11,1,0),IF(L598='Reverse Search'!$L$11,1,0)))))</f>
        <v>1</v>
      </c>
      <c r="Z598" s="0" t="n">
        <f aca="true">IF('Reverse Search'!$C$14="Disable",1,IF('Reverse Search'!$D$16="Disable",1,IF($C$2=3,IF($M598=0,0,COUNTIF(INDIRECT("'0.0.2 Pokémon Learnset (Core)'!$D$"&amp;MATCH($E598,'0.0.2 Pokémon Learnset (Core)'!$A$1:$A951,0)&amp;":$FK$"&amp;MATCH($E598,'0.0.2 Pokémon Learnset (Core)'!$A$1:$A951,0)),'Reverse Search'!$E$21)),IF($C$2=2,COUNTIF(INDIRECT("'0.1.1 Pokémon GO Moves'!$B$"&amp;MATCH($E598,'0.1.1 Pokémon GO Moves'!$A$1:$A951,0)&amp;":$R$"&amp;MATCH($E598,'0.1.1 Pokémon GO Moves'!$A$1:$A951,0)),'Reverse Search'!$E$21),COUNTIF(INDIRECT("'0.1.1 Pokémon GO Moves'!$B$"&amp;MATCH($E598,'0.1.1 Pokémon GO Moves'!$A$1:$A951,0)&amp;":$L$"&amp;MATCH($E598,'0.1.1 Pokémon GO Moves'!$A$1:$A951,0)),'Reverse Search'!$E$21)))))</f>
        <v>1</v>
      </c>
      <c r="AA598" s="0" t="n">
        <f aca="true">IF('Reverse Search'!$C$14="Disable",1,IF('Reverse Search'!$I$16="Disable",1,IF($D$2=3,IF($M598=0,0,COUNTIF(INDIRECT("'0.0.2 Pokémon Learnset (Core)'!$D$"&amp;MATCH($E598,'0.0.2 Pokémon Learnset (Core)'!$A$1:$A951,0)&amp;":$FK$"&amp;MATCH($E598,'0.0.2 Pokémon Learnset (Core)'!$A$1:$A951,0)),'Reverse Search'!$J$21)),IF($D$2=2,COUNTIF(INDIRECT("'0.1.1 Pokémon GO Moves'!$B$"&amp;MATCH($E598,'0.1.1 Pokémon GO Moves'!$A$1:$A951,0)&amp;":$R$"&amp;MATCH($E598,'0.1.1 Pokémon GO Moves'!$A$1:$A951,0)),'Reverse Search'!$J$21),COUNTIF(INDIRECT("'0.1.1 Pokémon GO Moves'!$B$"&amp;MATCH($E598,'0.1.1 Pokémon GO Moves'!$A$1:$A951,0)&amp;":$L$"&amp;MATCH($E598,'0.1.1 Pokémon GO Moves'!$A$1:$A951,0)),'Reverse Search'!$J$21)))))</f>
        <v>0</v>
      </c>
      <c r="AB598" s="490"/>
      <c r="AC598" s="260" t="n">
        <f aca="false">IF((Q598+R598+S598+V598+W598+X598+Y598+IF(Z598&gt;=1,1,0)+IF(AA598&gt;=1,1,0))=9,G598&amp;", ",)</f>
        <v>0</v>
      </c>
    </row>
    <row r="599" customFormat="false" ht="15.75" hidden="false" customHeight="false" outlineLevel="0" collapsed="false">
      <c r="A599" s="260"/>
      <c r="B599" s="358"/>
      <c r="C599" s="260"/>
      <c r="D599" s="358"/>
      <c r="E599" s="260" t="n">
        <v>598</v>
      </c>
      <c r="F599" s="260" t="n">
        <f aca="false" t="array" ref="F599:F599">INDEX('0.0.1 Pokémon Dex Data'!$H$3:$H951,MATCH(E599,'0.0.1 Pokémon Dex Data'!$B$3:$B951,0))</f>
        <v>0</v>
      </c>
      <c r="G599" s="0" t="str">
        <f aca="false" t="array" ref="G599:G599">INDEX('0.0.1 Pokémon Dex Data'!$E$3:$E951,MATCH(E599,'0.0.1 Pokémon Dex Data'!$B$3:$B951,0))</f>
        <v>Emboar</v>
      </c>
      <c r="H599" s="0" t="str">
        <f aca="false" t="array" ref="H599:H599">INDEX('0.0.1 Pokémon Dex Data'!$Q$3:$Q951,MATCH(E599,'0.0.1 Pokémon Dex Data'!$B$3:$B951,0))</f>
        <v>Fire</v>
      </c>
      <c r="I599" s="0" t="str">
        <f aca="false" t="array" ref="I599:I599">INDEX('0.0.1 Pokémon Dex Data'!$R$3:$R951,MATCH(E599,'0.0.1 Pokémon Dex Data'!$B$3:$B951,0))</f>
        <v>Fighting</v>
      </c>
      <c r="J599" s="260" t="n">
        <f aca="false" t="array" ref="J599:J599">ROUND(INDEX('0.0.1 Pokémon Dex Data'!$S$3:$S951,MATCH($E599,'0.0.1 Pokémon Dex Data'!$B$3:$B951,0))*INDEX('0.0.1 Pokémon Dex Data'!T$3:T951,MATCH($E599,'0.0.1 Pokémon Dex Data'!$B$3:$B951,0)),0)</f>
        <v>235</v>
      </c>
      <c r="K599" s="260" t="n">
        <f aca="false" t="array" ref="K599:K599">ROUND(INDEX('0.0.1 Pokémon Dex Data'!$S$3:$S951,MATCH($E599,'0.0.1 Pokémon Dex Data'!$B$3:$B951,0))*INDEX('0.0.1 Pokémon Dex Data'!U$3:U951,MATCH($E599,'0.0.1 Pokémon Dex Data'!$B$3:$B951,0)),0)</f>
        <v>127</v>
      </c>
      <c r="L599" s="260" t="n">
        <f aca="false" t="array" ref="L599:L599">ROUND(INDEX('0.0.1 Pokémon Dex Data'!$S$3:$S951,MATCH($E599,'0.0.1 Pokémon Dex Data'!$B$3:$B951,0))*INDEX('0.0.1 Pokémon Dex Data'!V$3:V951,MATCH($E599,'0.0.1 Pokémon Dex Data'!$B$3:$B951,0)),0)</f>
        <v>242</v>
      </c>
      <c r="M599" s="260" t="n">
        <f aca="false" t="array" ref="M599:M599">INDEX('0.0.1 Pokémon Dex Data'!$J$3:$J951,MATCH(E599,'0.0.1 Pokémon Dex Data'!$B$3:$B951,0))</f>
        <v>1</v>
      </c>
      <c r="O599" s="490"/>
      <c r="Q599" s="367" t="n">
        <f aca="false">IF('Reverse Search'!$F$4="All (including temporary formes)",1,IF('Reverse Search'!$F$4="Base Pokémon and permanent formes only",IF(F599&lt;=1,1,0),IF(F599=0,1,0)))</f>
        <v>1</v>
      </c>
      <c r="R599" s="0" t="n">
        <f aca="false">IF('Reverse Search'!$C$7="Disable",1,IF('Reverse Search'!$D$9="Disable",1,IF(OR('Reverse Search'!$F$9=H599,'Reverse Search'!$F$9=I599),1,0)))</f>
        <v>1</v>
      </c>
      <c r="S599" s="0" t="n">
        <f aca="false">IF('Reverse Search'!$C$7="Disable",1,IF('Reverse Search'!$D$10="Disable",1,IF(OR('Reverse Search'!$F$10=H599,'Reverse Search'!$F$10=I599),1,0)))</f>
        <v>1</v>
      </c>
      <c r="T599" s="0" t="n">
        <f aca="false">INDEX($B$4:$B$22,MATCH(H599,$A$4:$A$22,0))</f>
        <v>1</v>
      </c>
      <c r="U599" s="0" t="n">
        <f aca="false">IF(ISBLANK(I599),1,INDEX($B$4:$B$22,MATCH(I599,$A$4:$A$22,0)))</f>
        <v>1</v>
      </c>
      <c r="V599" s="367" t="n">
        <f aca="false">IF('Reverse Search'!$C$7="Disable",1,IF('Reverse Search'!$D$11="Disable",1,IF('Reverse Search'!$E$11="Neutral to:",IF(ROUND(T599*U599,2)&lt;=1,1,0),IF(ROUND(T599*U599,2)&lt;1,1,0))))</f>
        <v>1</v>
      </c>
      <c r="W599" s="0" t="n">
        <f aca="false">IF('Reverse Search'!$N$7="Disable",1,IF('Reverse Search'!$I$9="Disable",1,IF('Reverse Search'!$K$9="≥",IF(J599&gt;='Reverse Search'!$L$9,1,0),IF('Reverse Search'!$K$9="≤",IF(J599&lt;='Reverse Search'!$L$9,1,0),IF(J599='Reverse Search'!$L$9,1,0)))))</f>
        <v>1</v>
      </c>
      <c r="X599" s="0" t="n">
        <f aca="false">IF('Reverse Search'!$N$7="Disable",1,IF('Reverse Search'!$I$10="Disable",1,IF('Reverse Search'!$K$10="≥",IF(K599&gt;='Reverse Search'!$L$10,1,0),IF('Reverse Search'!$K$10="≤",IF(K599&lt;='Reverse Search'!$L$10,1,0),IF(K599='Reverse Search'!$L$10,1,0)))))</f>
        <v>1</v>
      </c>
      <c r="Y599" s="367" t="n">
        <f aca="false">IF('Reverse Search'!$N$7="Disable",1,IF('Reverse Search'!$I$11="Disable",1,IF('Reverse Search'!$K$11="≥",IF(L599&gt;='Reverse Search'!$L$11,1,0),IF('Reverse Search'!$K$11="≤",IF(L599&lt;='Reverse Search'!$L$11,1,0),IF(L599='Reverse Search'!$L$11,1,0)))))</f>
        <v>1</v>
      </c>
      <c r="Z599" s="0" t="n">
        <f aca="true">IF('Reverse Search'!$C$14="Disable",1,IF('Reverse Search'!$D$16="Disable",1,IF($C$2=3,IF($M599=0,0,COUNTIF(INDIRECT("'0.0.2 Pokémon Learnset (Core)'!$D$"&amp;MATCH($E599,'0.0.2 Pokémon Learnset (Core)'!$A$1:$A951,0)&amp;":$FK$"&amp;MATCH($E599,'0.0.2 Pokémon Learnset (Core)'!$A$1:$A951,0)),'Reverse Search'!$E$21)),IF($C$2=2,COUNTIF(INDIRECT("'0.1.1 Pokémon GO Moves'!$B$"&amp;MATCH($E599,'0.1.1 Pokémon GO Moves'!$A$1:$A951,0)&amp;":$R$"&amp;MATCH($E599,'0.1.1 Pokémon GO Moves'!$A$1:$A951,0)),'Reverse Search'!$E$21),COUNTIF(INDIRECT("'0.1.1 Pokémon GO Moves'!$B$"&amp;MATCH($E599,'0.1.1 Pokémon GO Moves'!$A$1:$A951,0)&amp;":$L$"&amp;MATCH($E599,'0.1.1 Pokémon GO Moves'!$A$1:$A951,0)),'Reverse Search'!$E$21)))))</f>
        <v>1</v>
      </c>
      <c r="AA599" s="0" t="n">
        <f aca="true">IF('Reverse Search'!$C$14="Disable",1,IF('Reverse Search'!$I$16="Disable",1,IF($D$2=3,IF($M599=0,0,COUNTIF(INDIRECT("'0.0.2 Pokémon Learnset (Core)'!$D$"&amp;MATCH($E599,'0.0.2 Pokémon Learnset (Core)'!$A$1:$A951,0)&amp;":$FK$"&amp;MATCH($E599,'0.0.2 Pokémon Learnset (Core)'!$A$1:$A951,0)),'Reverse Search'!$J$21)),IF($D$2=2,COUNTIF(INDIRECT("'0.1.1 Pokémon GO Moves'!$B$"&amp;MATCH($E599,'0.1.1 Pokémon GO Moves'!$A$1:$A951,0)&amp;":$R$"&amp;MATCH($E599,'0.1.1 Pokémon GO Moves'!$A$1:$A951,0)),'Reverse Search'!$J$21),COUNTIF(INDIRECT("'0.1.1 Pokémon GO Moves'!$B$"&amp;MATCH($E599,'0.1.1 Pokémon GO Moves'!$A$1:$A951,0)&amp;":$L$"&amp;MATCH($E599,'0.1.1 Pokémon GO Moves'!$A$1:$A951,0)),'Reverse Search'!$J$21)))))</f>
        <v>0</v>
      </c>
      <c r="AB599" s="490"/>
      <c r="AC599" s="260" t="n">
        <f aca="false">IF((Q599+R599+S599+V599+W599+X599+Y599+IF(Z599&gt;=1,1,0)+IF(AA599&gt;=1,1,0))=9,G599&amp;", ",)</f>
        <v>0</v>
      </c>
    </row>
    <row r="600" customFormat="false" ht="15.75" hidden="false" customHeight="false" outlineLevel="0" collapsed="false">
      <c r="A600" s="260"/>
      <c r="B600" s="358"/>
      <c r="C600" s="260"/>
      <c r="D600" s="358"/>
      <c r="E600" s="260" t="n">
        <v>599</v>
      </c>
      <c r="F600" s="260" t="n">
        <f aca="false" t="array" ref="F600:F600">INDEX('0.0.1 Pokémon Dex Data'!$H$3:$H951,MATCH(E600,'0.0.1 Pokémon Dex Data'!$B$3:$B951,0))</f>
        <v>0</v>
      </c>
      <c r="G600" s="0" t="str">
        <f aca="false" t="array" ref="G600:G600">INDEX('0.0.1 Pokémon Dex Data'!$E$3:$E951,MATCH(E600,'0.0.1 Pokémon Dex Data'!$B$3:$B951,0))</f>
        <v>Oshawott</v>
      </c>
      <c r="H600" s="0" t="str">
        <f aca="false" t="array" ref="H600:H600">INDEX('0.0.1 Pokémon Dex Data'!$Q$3:$Q951,MATCH(E600,'0.0.1 Pokémon Dex Data'!$B$3:$B951,0))</f>
        <v>Water</v>
      </c>
      <c r="I600" s="0" t="n">
        <f aca="false">INDEX('0.0.1 Pokémon Dex Data'!$R$3:$R951,MATCH(E600,'0.0.1 Pokémon Dex Data'!$B$3:$B951,0))</f>
        <v>0</v>
      </c>
      <c r="J600" s="260" t="n">
        <f aca="false" t="array" ref="J600:J600">ROUND(INDEX('0.0.1 Pokémon Dex Data'!$S$3:$S951,MATCH($E600,'0.0.1 Pokémon Dex Data'!$B$3:$B951,0))*INDEX('0.0.1 Pokémon Dex Data'!T$3:T951,MATCH($E600,'0.0.1 Pokémon Dex Data'!$B$3:$B951,0)),0)</f>
        <v>117</v>
      </c>
      <c r="K600" s="260" t="n">
        <f aca="false" t="array" ref="K600:K600">ROUND(INDEX('0.0.1 Pokémon Dex Data'!$S$3:$S951,MATCH($E600,'0.0.1 Pokémon Dex Data'!$B$3:$B951,0))*INDEX('0.0.1 Pokémon Dex Data'!U$3:U951,MATCH($E600,'0.0.1 Pokémon Dex Data'!$B$3:$B951,0)),0)</f>
        <v>85</v>
      </c>
      <c r="L600" s="260" t="n">
        <f aca="false" t="array" ref="L600:L600">ROUND(INDEX('0.0.1 Pokémon Dex Data'!$S$3:$S951,MATCH($E600,'0.0.1 Pokémon Dex Data'!$B$3:$B951,0))*INDEX('0.0.1 Pokémon Dex Data'!V$3:V951,MATCH($E600,'0.0.1 Pokémon Dex Data'!$B$3:$B951,0)),0)</f>
        <v>146</v>
      </c>
      <c r="M600" s="260" t="n">
        <f aca="false" t="array" ref="M600:M600">INDEX('0.0.1 Pokémon Dex Data'!$J$3:$J951,MATCH(E600,'0.0.1 Pokémon Dex Data'!$B$3:$B951,0))</f>
        <v>0</v>
      </c>
      <c r="O600" s="490"/>
      <c r="Q600" s="367" t="n">
        <f aca="false">IF('Reverse Search'!$F$4="All (including temporary formes)",1,IF('Reverse Search'!$F$4="Base Pokémon and permanent formes only",IF(F600&lt;=1,1,0),IF(F600=0,1,0)))</f>
        <v>1</v>
      </c>
      <c r="R600" s="0" t="n">
        <f aca="false">IF('Reverse Search'!$C$7="Disable",1,IF('Reverse Search'!$D$9="Disable",1,IF(OR('Reverse Search'!$F$9=H600,'Reverse Search'!$F$9=I600),1,0)))</f>
        <v>1</v>
      </c>
      <c r="S600" s="0" t="n">
        <f aca="false">IF('Reverse Search'!$C$7="Disable",1,IF('Reverse Search'!$D$10="Disable",1,IF(OR('Reverse Search'!$F$10=H600,'Reverse Search'!$F$10=I600),1,0)))</f>
        <v>1</v>
      </c>
      <c r="T600" s="0" t="n">
        <f aca="false">INDEX($B$4:$B$22,MATCH(H600,$A$4:$A$22,0))</f>
        <v>1</v>
      </c>
      <c r="U600" s="0" t="e">
        <f aca="false">IF(ISBLANK(I600),1,INDEX($B$4:$B$22,MATCH(I600,$A$4:$A$22,0)))</f>
        <v>#N/A</v>
      </c>
      <c r="V600" s="367" t="n">
        <f aca="false">IF('Reverse Search'!$C$7="Disable",1,IF('Reverse Search'!$D$11="Disable",1,IF('Reverse Search'!$E$11="Neutral to:",IF(ROUND(T600*U600,2)&lt;=1,1,0),IF(ROUND(T600*U600,2)&lt;1,1,0))))</f>
        <v>1</v>
      </c>
      <c r="W600" s="0" t="n">
        <f aca="false">IF('Reverse Search'!$N$7="Disable",1,IF('Reverse Search'!$I$9="Disable",1,IF('Reverse Search'!$K$9="≥",IF(J600&gt;='Reverse Search'!$L$9,1,0),IF('Reverse Search'!$K$9="≤",IF(J600&lt;='Reverse Search'!$L$9,1,0),IF(J600='Reverse Search'!$L$9,1,0)))))</f>
        <v>1</v>
      </c>
      <c r="X600" s="0" t="n">
        <f aca="false">IF('Reverse Search'!$N$7="Disable",1,IF('Reverse Search'!$I$10="Disable",1,IF('Reverse Search'!$K$10="≥",IF(K600&gt;='Reverse Search'!$L$10,1,0),IF('Reverse Search'!$K$10="≤",IF(K600&lt;='Reverse Search'!$L$10,1,0),IF(K600='Reverse Search'!$L$10,1,0)))))</f>
        <v>1</v>
      </c>
      <c r="Y600" s="367" t="n">
        <f aca="false">IF('Reverse Search'!$N$7="Disable",1,IF('Reverse Search'!$I$11="Disable",1,IF('Reverse Search'!$K$11="≥",IF(L600&gt;='Reverse Search'!$L$11,1,0),IF('Reverse Search'!$K$11="≤",IF(L600&lt;='Reverse Search'!$L$11,1,0),IF(L600='Reverse Search'!$L$11,1,0)))))</f>
        <v>1</v>
      </c>
      <c r="Z600" s="0" t="n">
        <f aca="true">IF('Reverse Search'!$C$14="Disable",1,IF('Reverse Search'!$D$16="Disable",1,IF($C$2=3,IF($M600=0,0,COUNTIF(INDIRECT("'0.0.2 Pokémon Learnset (Core)'!$D$"&amp;MATCH($E600,'0.0.2 Pokémon Learnset (Core)'!$A$1:$A951,0)&amp;":$FK$"&amp;MATCH($E600,'0.0.2 Pokémon Learnset (Core)'!$A$1:$A951,0)),'Reverse Search'!$E$21)),IF($C$2=2,COUNTIF(INDIRECT("'0.1.1 Pokémon GO Moves'!$B$"&amp;MATCH($E600,'0.1.1 Pokémon GO Moves'!$A$1:$A951,0)&amp;":$R$"&amp;MATCH($E600,'0.1.1 Pokémon GO Moves'!$A$1:$A951,0)),'Reverse Search'!$E$21),COUNTIF(INDIRECT("'0.1.1 Pokémon GO Moves'!$B$"&amp;MATCH($E600,'0.1.1 Pokémon GO Moves'!$A$1:$A951,0)&amp;":$L$"&amp;MATCH($E600,'0.1.1 Pokémon GO Moves'!$A$1:$A951,0)),'Reverse Search'!$E$21)))))</f>
        <v>1</v>
      </c>
      <c r="AA600" s="0" t="n">
        <f aca="true">IF('Reverse Search'!$C$14="Disable",1,IF('Reverse Search'!$I$16="Disable",1,IF($D$2=3,IF($M600=0,0,COUNTIF(INDIRECT("'0.0.2 Pokémon Learnset (Core)'!$D$"&amp;MATCH($E600,'0.0.2 Pokémon Learnset (Core)'!$A$1:$A951,0)&amp;":$FK$"&amp;MATCH($E600,'0.0.2 Pokémon Learnset (Core)'!$A$1:$A951,0)),'Reverse Search'!$J$21)),IF($D$2=2,COUNTIF(INDIRECT("'0.1.1 Pokémon GO Moves'!$B$"&amp;MATCH($E600,'0.1.1 Pokémon GO Moves'!$A$1:$A951,0)&amp;":$R$"&amp;MATCH($E600,'0.1.1 Pokémon GO Moves'!$A$1:$A951,0)),'Reverse Search'!$J$21),COUNTIF(INDIRECT("'0.1.1 Pokémon GO Moves'!$B$"&amp;MATCH($E600,'0.1.1 Pokémon GO Moves'!$A$1:$A951,0)&amp;":$L$"&amp;MATCH($E600,'0.1.1 Pokémon GO Moves'!$A$1:$A951,0)),'Reverse Search'!$J$21)))))</f>
        <v>0</v>
      </c>
      <c r="AB600" s="490"/>
      <c r="AC600" s="260" t="n">
        <f aca="false">IF((Q600+R600+S600+V600+W600+X600+Y600+IF(Z600&gt;=1,1,0)+IF(AA600&gt;=1,1,0))=9,G600&amp;", ",)</f>
        <v>0</v>
      </c>
    </row>
    <row r="601" customFormat="false" ht="15.75" hidden="false" customHeight="false" outlineLevel="0" collapsed="false">
      <c r="A601" s="260"/>
      <c r="B601" s="358"/>
      <c r="C601" s="260"/>
      <c r="D601" s="358"/>
      <c r="E601" s="260" t="n">
        <v>600</v>
      </c>
      <c r="F601" s="260" t="n">
        <f aca="false" t="array" ref="F601:F601">INDEX('0.0.1 Pokémon Dex Data'!$H$3:$H951,MATCH(E601,'0.0.1 Pokémon Dex Data'!$B$3:$B951,0))</f>
        <v>0</v>
      </c>
      <c r="G601" s="0" t="str">
        <f aca="false" t="array" ref="G601:G601">INDEX('0.0.1 Pokémon Dex Data'!$E$3:$E951,MATCH(E601,'0.0.1 Pokémon Dex Data'!$B$3:$B951,0))</f>
        <v>Dewott</v>
      </c>
      <c r="H601" s="0" t="str">
        <f aca="false" t="array" ref="H601:H601">INDEX('0.0.1 Pokémon Dex Data'!$Q$3:$Q951,MATCH(E601,'0.0.1 Pokémon Dex Data'!$B$3:$B951,0))</f>
        <v>Water</v>
      </c>
      <c r="I601" s="0" t="n">
        <f aca="false">INDEX('0.0.1 Pokémon Dex Data'!$R$3:$R951,MATCH(E601,'0.0.1 Pokémon Dex Data'!$B$3:$B951,0))</f>
        <v>0</v>
      </c>
      <c r="J601" s="260" t="n">
        <f aca="false" t="array" ref="J601:J601">ROUND(INDEX('0.0.1 Pokémon Dex Data'!$S$3:$S951,MATCH($E601,'0.0.1 Pokémon Dex Data'!$B$3:$B951,0))*INDEX('0.0.1 Pokémon Dex Data'!T$3:T951,MATCH($E601,'0.0.1 Pokémon Dex Data'!$B$3:$B951,0)),0)</f>
        <v>159</v>
      </c>
      <c r="K601" s="260" t="n">
        <f aca="false" t="array" ref="K601:K601">ROUND(INDEX('0.0.1 Pokémon Dex Data'!$S$3:$S951,MATCH($E601,'0.0.1 Pokémon Dex Data'!$B$3:$B951,0))*INDEX('0.0.1 Pokémon Dex Data'!U$3:U951,MATCH($E601,'0.0.1 Pokémon Dex Data'!$B$3:$B951,0)),0)</f>
        <v>116</v>
      </c>
      <c r="L601" s="260" t="n">
        <f aca="false" t="array" ref="L601:L601">ROUND(INDEX('0.0.1 Pokémon Dex Data'!$S$3:$S951,MATCH($E601,'0.0.1 Pokémon Dex Data'!$B$3:$B951,0))*INDEX('0.0.1 Pokémon Dex Data'!V$3:V951,MATCH($E601,'0.0.1 Pokémon Dex Data'!$B$3:$B951,0)),0)</f>
        <v>181</v>
      </c>
      <c r="M601" s="260" t="n">
        <f aca="false" t="array" ref="M601:M601">INDEX('0.0.1 Pokémon Dex Data'!$J$3:$J951,MATCH(E601,'0.0.1 Pokémon Dex Data'!$B$3:$B951,0))</f>
        <v>0</v>
      </c>
      <c r="O601" s="490"/>
      <c r="Q601" s="367" t="n">
        <f aca="false">IF('Reverse Search'!$F$4="All (including temporary formes)",1,IF('Reverse Search'!$F$4="Base Pokémon and permanent formes only",IF(F601&lt;=1,1,0),IF(F601=0,1,0)))</f>
        <v>1</v>
      </c>
      <c r="R601" s="0" t="n">
        <f aca="false">IF('Reverse Search'!$C$7="Disable",1,IF('Reverse Search'!$D$9="Disable",1,IF(OR('Reverse Search'!$F$9=H601,'Reverse Search'!$F$9=I601),1,0)))</f>
        <v>1</v>
      </c>
      <c r="S601" s="0" t="n">
        <f aca="false">IF('Reverse Search'!$C$7="Disable",1,IF('Reverse Search'!$D$10="Disable",1,IF(OR('Reverse Search'!$F$10=H601,'Reverse Search'!$F$10=I601),1,0)))</f>
        <v>1</v>
      </c>
      <c r="T601" s="0" t="n">
        <f aca="false">INDEX($B$4:$B$22,MATCH(H601,$A$4:$A$22,0))</f>
        <v>1</v>
      </c>
      <c r="U601" s="0" t="e">
        <f aca="false">IF(ISBLANK(I601),1,INDEX($B$4:$B$22,MATCH(I601,$A$4:$A$22,0)))</f>
        <v>#N/A</v>
      </c>
      <c r="V601" s="367" t="n">
        <f aca="false">IF('Reverse Search'!$C$7="Disable",1,IF('Reverse Search'!$D$11="Disable",1,IF('Reverse Search'!$E$11="Neutral to:",IF(ROUND(T601*U601,2)&lt;=1,1,0),IF(ROUND(T601*U601,2)&lt;1,1,0))))</f>
        <v>1</v>
      </c>
      <c r="W601" s="0" t="n">
        <f aca="false">IF('Reverse Search'!$N$7="Disable",1,IF('Reverse Search'!$I$9="Disable",1,IF('Reverse Search'!$K$9="≥",IF(J601&gt;='Reverse Search'!$L$9,1,0),IF('Reverse Search'!$K$9="≤",IF(J601&lt;='Reverse Search'!$L$9,1,0),IF(J601='Reverse Search'!$L$9,1,0)))))</f>
        <v>1</v>
      </c>
      <c r="X601" s="0" t="n">
        <f aca="false">IF('Reverse Search'!$N$7="Disable",1,IF('Reverse Search'!$I$10="Disable",1,IF('Reverse Search'!$K$10="≥",IF(K601&gt;='Reverse Search'!$L$10,1,0),IF('Reverse Search'!$K$10="≤",IF(K601&lt;='Reverse Search'!$L$10,1,0),IF(K601='Reverse Search'!$L$10,1,0)))))</f>
        <v>1</v>
      </c>
      <c r="Y601" s="367" t="n">
        <f aca="false">IF('Reverse Search'!$N$7="Disable",1,IF('Reverse Search'!$I$11="Disable",1,IF('Reverse Search'!$K$11="≥",IF(L601&gt;='Reverse Search'!$L$11,1,0),IF('Reverse Search'!$K$11="≤",IF(L601&lt;='Reverse Search'!$L$11,1,0),IF(L601='Reverse Search'!$L$11,1,0)))))</f>
        <v>1</v>
      </c>
      <c r="Z601" s="0" t="n">
        <f aca="true">IF('Reverse Search'!$C$14="Disable",1,IF('Reverse Search'!$D$16="Disable",1,IF($C$2=3,IF($M601=0,0,COUNTIF(INDIRECT("'0.0.2 Pokémon Learnset (Core)'!$D$"&amp;MATCH($E601,'0.0.2 Pokémon Learnset (Core)'!$A$1:$A951,0)&amp;":$FK$"&amp;MATCH($E601,'0.0.2 Pokémon Learnset (Core)'!$A$1:$A951,0)),'Reverse Search'!$E$21)),IF($C$2=2,COUNTIF(INDIRECT("'0.1.1 Pokémon GO Moves'!$B$"&amp;MATCH($E601,'0.1.1 Pokémon GO Moves'!$A$1:$A951,0)&amp;":$R$"&amp;MATCH($E601,'0.1.1 Pokémon GO Moves'!$A$1:$A951,0)),'Reverse Search'!$E$21),COUNTIF(INDIRECT("'0.1.1 Pokémon GO Moves'!$B$"&amp;MATCH($E601,'0.1.1 Pokémon GO Moves'!$A$1:$A951,0)&amp;":$L$"&amp;MATCH($E601,'0.1.1 Pokémon GO Moves'!$A$1:$A951,0)),'Reverse Search'!$E$21)))))</f>
        <v>1</v>
      </c>
      <c r="AA601" s="0" t="n">
        <f aca="true">IF('Reverse Search'!$C$14="Disable",1,IF('Reverse Search'!$I$16="Disable",1,IF($D$2=3,IF($M601=0,0,COUNTIF(INDIRECT("'0.0.2 Pokémon Learnset (Core)'!$D$"&amp;MATCH($E601,'0.0.2 Pokémon Learnset (Core)'!$A$1:$A951,0)&amp;":$FK$"&amp;MATCH($E601,'0.0.2 Pokémon Learnset (Core)'!$A$1:$A951,0)),'Reverse Search'!$J$21)),IF($D$2=2,COUNTIF(INDIRECT("'0.1.1 Pokémon GO Moves'!$B$"&amp;MATCH($E601,'0.1.1 Pokémon GO Moves'!$A$1:$A951,0)&amp;":$R$"&amp;MATCH($E601,'0.1.1 Pokémon GO Moves'!$A$1:$A951,0)),'Reverse Search'!$J$21),COUNTIF(INDIRECT("'0.1.1 Pokémon GO Moves'!$B$"&amp;MATCH($E601,'0.1.1 Pokémon GO Moves'!$A$1:$A951,0)&amp;":$L$"&amp;MATCH($E601,'0.1.1 Pokémon GO Moves'!$A$1:$A951,0)),'Reverse Search'!$J$21)))))</f>
        <v>0</v>
      </c>
      <c r="AB601" s="490"/>
      <c r="AC601" s="260" t="n">
        <f aca="false">IF((Q601+R601+S601+V601+W601+X601+Y601+IF(Z601&gt;=1,1,0)+IF(AA601&gt;=1,1,0))=9,G601&amp;", ",)</f>
        <v>0</v>
      </c>
    </row>
    <row r="602" customFormat="false" ht="15.75" hidden="false" customHeight="false" outlineLevel="0" collapsed="false">
      <c r="A602" s="260"/>
      <c r="B602" s="358"/>
      <c r="C602" s="260"/>
      <c r="D602" s="358"/>
      <c r="E602" s="260" t="n">
        <v>601</v>
      </c>
      <c r="F602" s="260" t="n">
        <f aca="false" t="array" ref="F602:F602">INDEX('0.0.1 Pokémon Dex Data'!$H$3:$H951,MATCH(E602,'0.0.1 Pokémon Dex Data'!$B$3:$B951,0))</f>
        <v>0</v>
      </c>
      <c r="G602" s="0" t="str">
        <f aca="false" t="array" ref="G602:G602">INDEX('0.0.1 Pokémon Dex Data'!$E$3:$E951,MATCH(E602,'0.0.1 Pokémon Dex Data'!$B$3:$B951,0))</f>
        <v>Samurott</v>
      </c>
      <c r="H602" s="0" t="str">
        <f aca="false" t="array" ref="H602:H602">INDEX('0.0.1 Pokémon Dex Data'!$Q$3:$Q951,MATCH(E602,'0.0.1 Pokémon Dex Data'!$B$3:$B951,0))</f>
        <v>Water</v>
      </c>
      <c r="I602" s="0" t="n">
        <f aca="false">INDEX('0.0.1 Pokémon Dex Data'!$R$3:$R951,MATCH(E602,'0.0.1 Pokémon Dex Data'!$B$3:$B951,0))</f>
        <v>0</v>
      </c>
      <c r="J602" s="260" t="n">
        <f aca="false" t="array" ref="J602:J602">ROUND(INDEX('0.0.1 Pokémon Dex Data'!$S$3:$S951,MATCH($E602,'0.0.1 Pokémon Dex Data'!$B$3:$B951,0))*INDEX('0.0.1 Pokémon Dex Data'!T$3:T951,MATCH($E602,'0.0.1 Pokémon Dex Data'!$B$3:$B951,0)),0)</f>
        <v>212</v>
      </c>
      <c r="K602" s="260" t="n">
        <f aca="false" t="array" ref="K602:K602">ROUND(INDEX('0.0.1 Pokémon Dex Data'!$S$3:$S951,MATCH($E602,'0.0.1 Pokémon Dex Data'!$B$3:$B951,0))*INDEX('0.0.1 Pokémon Dex Data'!U$3:U951,MATCH($E602,'0.0.1 Pokémon Dex Data'!$B$3:$B951,0)),0)</f>
        <v>157</v>
      </c>
      <c r="L602" s="260" t="n">
        <f aca="false" t="array" ref="L602:L602">ROUND(INDEX('0.0.1 Pokémon Dex Data'!$S$3:$S951,MATCH($E602,'0.0.1 Pokémon Dex Data'!$B$3:$B951,0))*INDEX('0.0.1 Pokémon Dex Data'!V$3:V951,MATCH($E602,'0.0.1 Pokémon Dex Data'!$B$3:$B951,0)),0)</f>
        <v>216</v>
      </c>
      <c r="M602" s="260" t="n">
        <f aca="false" t="array" ref="M602:M602">INDEX('0.0.1 Pokémon Dex Data'!$J$3:$J951,MATCH(E602,'0.0.1 Pokémon Dex Data'!$B$3:$B951,0))</f>
        <v>1</v>
      </c>
      <c r="O602" s="490"/>
      <c r="Q602" s="367" t="n">
        <f aca="false">IF('Reverse Search'!$F$4="All (including temporary formes)",1,IF('Reverse Search'!$F$4="Base Pokémon and permanent formes only",IF(F602&lt;=1,1,0),IF(F602=0,1,0)))</f>
        <v>1</v>
      </c>
      <c r="R602" s="0" t="n">
        <f aca="false">IF('Reverse Search'!$C$7="Disable",1,IF('Reverse Search'!$D$9="Disable",1,IF(OR('Reverse Search'!$F$9=H602,'Reverse Search'!$F$9=I602),1,0)))</f>
        <v>1</v>
      </c>
      <c r="S602" s="0" t="n">
        <f aca="false">IF('Reverse Search'!$C$7="Disable",1,IF('Reverse Search'!$D$10="Disable",1,IF(OR('Reverse Search'!$F$10=H602,'Reverse Search'!$F$10=I602),1,0)))</f>
        <v>1</v>
      </c>
      <c r="T602" s="0" t="n">
        <f aca="false">INDEX($B$4:$B$22,MATCH(H602,$A$4:$A$22,0))</f>
        <v>1</v>
      </c>
      <c r="U602" s="0" t="e">
        <f aca="false">IF(ISBLANK(I602),1,INDEX($B$4:$B$22,MATCH(I602,$A$4:$A$22,0)))</f>
        <v>#N/A</v>
      </c>
      <c r="V602" s="367" t="n">
        <f aca="false">IF('Reverse Search'!$C$7="Disable",1,IF('Reverse Search'!$D$11="Disable",1,IF('Reverse Search'!$E$11="Neutral to:",IF(ROUND(T602*U602,2)&lt;=1,1,0),IF(ROUND(T602*U602,2)&lt;1,1,0))))</f>
        <v>1</v>
      </c>
      <c r="W602" s="0" t="n">
        <f aca="false">IF('Reverse Search'!$N$7="Disable",1,IF('Reverse Search'!$I$9="Disable",1,IF('Reverse Search'!$K$9="≥",IF(J602&gt;='Reverse Search'!$L$9,1,0),IF('Reverse Search'!$K$9="≤",IF(J602&lt;='Reverse Search'!$L$9,1,0),IF(J602='Reverse Search'!$L$9,1,0)))))</f>
        <v>1</v>
      </c>
      <c r="X602" s="0" t="n">
        <f aca="false">IF('Reverse Search'!$N$7="Disable",1,IF('Reverse Search'!$I$10="Disable",1,IF('Reverse Search'!$K$10="≥",IF(K602&gt;='Reverse Search'!$L$10,1,0),IF('Reverse Search'!$K$10="≤",IF(K602&lt;='Reverse Search'!$L$10,1,0),IF(K602='Reverse Search'!$L$10,1,0)))))</f>
        <v>1</v>
      </c>
      <c r="Y602" s="367" t="n">
        <f aca="false">IF('Reverse Search'!$N$7="Disable",1,IF('Reverse Search'!$I$11="Disable",1,IF('Reverse Search'!$K$11="≥",IF(L602&gt;='Reverse Search'!$L$11,1,0),IF('Reverse Search'!$K$11="≤",IF(L602&lt;='Reverse Search'!$L$11,1,0),IF(L602='Reverse Search'!$L$11,1,0)))))</f>
        <v>1</v>
      </c>
      <c r="Z602" s="0" t="n">
        <f aca="true">IF('Reverse Search'!$C$14="Disable",1,IF('Reverse Search'!$D$16="Disable",1,IF($C$2=3,IF($M602=0,0,COUNTIF(INDIRECT("'0.0.2 Pokémon Learnset (Core)'!$D$"&amp;MATCH($E602,'0.0.2 Pokémon Learnset (Core)'!$A$1:$A951,0)&amp;":$FK$"&amp;MATCH($E602,'0.0.2 Pokémon Learnset (Core)'!$A$1:$A951,0)),'Reverse Search'!$E$21)),IF($C$2=2,COUNTIF(INDIRECT("'0.1.1 Pokémon GO Moves'!$B$"&amp;MATCH($E602,'0.1.1 Pokémon GO Moves'!$A$1:$A951,0)&amp;":$R$"&amp;MATCH($E602,'0.1.1 Pokémon GO Moves'!$A$1:$A951,0)),'Reverse Search'!$E$21),COUNTIF(INDIRECT("'0.1.1 Pokémon GO Moves'!$B$"&amp;MATCH($E602,'0.1.1 Pokémon GO Moves'!$A$1:$A951,0)&amp;":$L$"&amp;MATCH($E602,'0.1.1 Pokémon GO Moves'!$A$1:$A951,0)),'Reverse Search'!$E$21)))))</f>
        <v>1</v>
      </c>
      <c r="AA602" s="0" t="n">
        <f aca="true">IF('Reverse Search'!$C$14="Disable",1,IF('Reverse Search'!$I$16="Disable",1,IF($D$2=3,IF($M602=0,0,COUNTIF(INDIRECT("'0.0.2 Pokémon Learnset (Core)'!$D$"&amp;MATCH($E602,'0.0.2 Pokémon Learnset (Core)'!$A$1:$A951,0)&amp;":$FK$"&amp;MATCH($E602,'0.0.2 Pokémon Learnset (Core)'!$A$1:$A951,0)),'Reverse Search'!$J$21)),IF($D$2=2,COUNTIF(INDIRECT("'0.1.1 Pokémon GO Moves'!$B$"&amp;MATCH($E602,'0.1.1 Pokémon GO Moves'!$A$1:$A951,0)&amp;":$R$"&amp;MATCH($E602,'0.1.1 Pokémon GO Moves'!$A$1:$A951,0)),'Reverse Search'!$J$21),COUNTIF(INDIRECT("'0.1.1 Pokémon GO Moves'!$B$"&amp;MATCH($E602,'0.1.1 Pokémon GO Moves'!$A$1:$A951,0)&amp;":$L$"&amp;MATCH($E602,'0.1.1 Pokémon GO Moves'!$A$1:$A951,0)),'Reverse Search'!$J$21)))))</f>
        <v>0</v>
      </c>
      <c r="AB602" s="490"/>
      <c r="AC602" s="260" t="n">
        <f aca="false">IF((Q602+R602+S602+V602+W602+X602+Y602+IF(Z602&gt;=1,1,0)+IF(AA602&gt;=1,1,0))=9,G602&amp;", ",)</f>
        <v>0</v>
      </c>
    </row>
    <row r="603" customFormat="false" ht="15.75" hidden="false" customHeight="false" outlineLevel="0" collapsed="false">
      <c r="A603" s="260"/>
      <c r="B603" s="358"/>
      <c r="C603" s="260"/>
      <c r="D603" s="358"/>
      <c r="E603" s="260" t="n">
        <v>602</v>
      </c>
      <c r="F603" s="260" t="n">
        <f aca="false" t="array" ref="F603:F603">INDEX('0.0.1 Pokémon Dex Data'!$H$3:$H951,MATCH(E603,'0.0.1 Pokémon Dex Data'!$B$3:$B951,0))</f>
        <v>0</v>
      </c>
      <c r="G603" s="0" t="str">
        <f aca="false" t="array" ref="G603:G603">INDEX('0.0.1 Pokémon Dex Data'!$E$3:$E951,MATCH(E603,'0.0.1 Pokémon Dex Data'!$B$3:$B951,0))</f>
        <v>Patrat</v>
      </c>
      <c r="H603" s="0" t="str">
        <f aca="false" t="array" ref="H603:H603">INDEX('0.0.1 Pokémon Dex Data'!$Q$3:$Q951,MATCH(E603,'0.0.1 Pokémon Dex Data'!$B$3:$B951,0))</f>
        <v>Normal</v>
      </c>
      <c r="I603" s="0" t="n">
        <f aca="false">INDEX('0.0.1 Pokémon Dex Data'!$R$3:$R951,MATCH(E603,'0.0.1 Pokémon Dex Data'!$B$3:$B951,0))</f>
        <v>0</v>
      </c>
      <c r="J603" s="260" t="n">
        <f aca="false" t="array" ref="J603:J603">ROUND(INDEX('0.0.1 Pokémon Dex Data'!$S$3:$S951,MATCH($E603,'0.0.1 Pokémon Dex Data'!$B$3:$B951,0))*INDEX('0.0.1 Pokémon Dex Data'!T$3:T951,MATCH($E603,'0.0.1 Pokémon Dex Data'!$B$3:$B951,0)),0)</f>
        <v>98</v>
      </c>
      <c r="K603" s="260" t="n">
        <f aca="false" t="array" ref="K603:K603">ROUND(INDEX('0.0.1 Pokémon Dex Data'!$S$3:$S951,MATCH($E603,'0.0.1 Pokémon Dex Data'!$B$3:$B951,0))*INDEX('0.0.1 Pokémon Dex Data'!U$3:U951,MATCH($E603,'0.0.1 Pokémon Dex Data'!$B$3:$B951,0)),0)</f>
        <v>73</v>
      </c>
      <c r="L603" s="260" t="n">
        <f aca="false" t="array" ref="L603:L603">ROUND(INDEX('0.0.1 Pokémon Dex Data'!$S$3:$S951,MATCH($E603,'0.0.1 Pokémon Dex Data'!$B$3:$B951,0))*INDEX('0.0.1 Pokémon Dex Data'!V$3:V951,MATCH($E603,'0.0.1 Pokémon Dex Data'!$B$3:$B951,0)),0)</f>
        <v>128</v>
      </c>
      <c r="M603" s="260" t="n">
        <f aca="false" t="array" ref="M603:M603">INDEX('0.0.1 Pokémon Dex Data'!$J$3:$J951,MATCH(E603,'0.0.1 Pokémon Dex Data'!$B$3:$B951,0))</f>
        <v>0</v>
      </c>
      <c r="O603" s="490"/>
      <c r="Q603" s="367" t="n">
        <f aca="false">IF('Reverse Search'!$F$4="All (including temporary formes)",1,IF('Reverse Search'!$F$4="Base Pokémon and permanent formes only",IF(F603&lt;=1,1,0),IF(F603=0,1,0)))</f>
        <v>1</v>
      </c>
      <c r="R603" s="0" t="n">
        <f aca="false">IF('Reverse Search'!$C$7="Disable",1,IF('Reverse Search'!$D$9="Disable",1,IF(OR('Reverse Search'!$F$9=H603,'Reverse Search'!$F$9=I603),1,0)))</f>
        <v>1</v>
      </c>
      <c r="S603" s="0" t="n">
        <f aca="false">IF('Reverse Search'!$C$7="Disable",1,IF('Reverse Search'!$D$10="Disable",1,IF(OR('Reverse Search'!$F$10=H603,'Reverse Search'!$F$10=I603),1,0)))</f>
        <v>1</v>
      </c>
      <c r="T603" s="0" t="n">
        <f aca="false">INDEX($B$4:$B$22,MATCH(H603,$A$4:$A$22,0))</f>
        <v>1</v>
      </c>
      <c r="U603" s="0" t="e">
        <f aca="false">IF(ISBLANK(I603),1,INDEX($B$4:$B$22,MATCH(I603,$A$4:$A$22,0)))</f>
        <v>#N/A</v>
      </c>
      <c r="V603" s="367" t="n">
        <f aca="false">IF('Reverse Search'!$C$7="Disable",1,IF('Reverse Search'!$D$11="Disable",1,IF('Reverse Search'!$E$11="Neutral to:",IF(ROUND(T603*U603,2)&lt;=1,1,0),IF(ROUND(T603*U603,2)&lt;1,1,0))))</f>
        <v>1</v>
      </c>
      <c r="W603" s="0" t="n">
        <f aca="false">IF('Reverse Search'!$N$7="Disable",1,IF('Reverse Search'!$I$9="Disable",1,IF('Reverse Search'!$K$9="≥",IF(J603&gt;='Reverse Search'!$L$9,1,0),IF('Reverse Search'!$K$9="≤",IF(J603&lt;='Reverse Search'!$L$9,1,0),IF(J603='Reverse Search'!$L$9,1,0)))))</f>
        <v>1</v>
      </c>
      <c r="X603" s="0" t="n">
        <f aca="false">IF('Reverse Search'!$N$7="Disable",1,IF('Reverse Search'!$I$10="Disable",1,IF('Reverse Search'!$K$10="≥",IF(K603&gt;='Reverse Search'!$L$10,1,0),IF('Reverse Search'!$K$10="≤",IF(K603&lt;='Reverse Search'!$L$10,1,0),IF(K603='Reverse Search'!$L$10,1,0)))))</f>
        <v>1</v>
      </c>
      <c r="Y603" s="367" t="n">
        <f aca="false">IF('Reverse Search'!$N$7="Disable",1,IF('Reverse Search'!$I$11="Disable",1,IF('Reverse Search'!$K$11="≥",IF(L603&gt;='Reverse Search'!$L$11,1,0),IF('Reverse Search'!$K$11="≤",IF(L603&lt;='Reverse Search'!$L$11,1,0),IF(L603='Reverse Search'!$L$11,1,0)))))</f>
        <v>1</v>
      </c>
      <c r="Z603" s="0" t="n">
        <f aca="true">IF('Reverse Search'!$C$14="Disable",1,IF('Reverse Search'!$D$16="Disable",1,IF($C$2=3,IF($M603=0,0,COUNTIF(INDIRECT("'0.0.2 Pokémon Learnset (Core)'!$D$"&amp;MATCH($E603,'0.0.2 Pokémon Learnset (Core)'!$A$1:$A951,0)&amp;":$FK$"&amp;MATCH($E603,'0.0.2 Pokémon Learnset (Core)'!$A$1:$A951,0)),'Reverse Search'!$E$21)),IF($C$2=2,COUNTIF(INDIRECT("'0.1.1 Pokémon GO Moves'!$B$"&amp;MATCH($E603,'0.1.1 Pokémon GO Moves'!$A$1:$A951,0)&amp;":$R$"&amp;MATCH($E603,'0.1.1 Pokémon GO Moves'!$A$1:$A951,0)),'Reverse Search'!$E$21),COUNTIF(INDIRECT("'0.1.1 Pokémon GO Moves'!$B$"&amp;MATCH($E603,'0.1.1 Pokémon GO Moves'!$A$1:$A951,0)&amp;":$L$"&amp;MATCH($E603,'0.1.1 Pokémon GO Moves'!$A$1:$A951,0)),'Reverse Search'!$E$21)))))</f>
        <v>1</v>
      </c>
      <c r="AA603" s="0" t="n">
        <f aca="true">IF('Reverse Search'!$C$14="Disable",1,IF('Reverse Search'!$I$16="Disable",1,IF($D$2=3,IF($M603=0,0,COUNTIF(INDIRECT("'0.0.2 Pokémon Learnset (Core)'!$D$"&amp;MATCH($E603,'0.0.2 Pokémon Learnset (Core)'!$A$1:$A951,0)&amp;":$FK$"&amp;MATCH($E603,'0.0.2 Pokémon Learnset (Core)'!$A$1:$A951,0)),'Reverse Search'!$J$21)),IF($D$2=2,COUNTIF(INDIRECT("'0.1.1 Pokémon GO Moves'!$B$"&amp;MATCH($E603,'0.1.1 Pokémon GO Moves'!$A$1:$A951,0)&amp;":$R$"&amp;MATCH($E603,'0.1.1 Pokémon GO Moves'!$A$1:$A951,0)),'Reverse Search'!$J$21),COUNTIF(INDIRECT("'0.1.1 Pokémon GO Moves'!$B$"&amp;MATCH($E603,'0.1.1 Pokémon GO Moves'!$A$1:$A951,0)&amp;":$L$"&amp;MATCH($E603,'0.1.1 Pokémon GO Moves'!$A$1:$A951,0)),'Reverse Search'!$J$21)))))</f>
        <v>0</v>
      </c>
      <c r="AB603" s="490"/>
      <c r="AC603" s="260" t="n">
        <f aca="false">IF((Q603+R603+S603+V603+W603+X603+Y603+IF(Z603&gt;=1,1,0)+IF(AA603&gt;=1,1,0))=9,G603&amp;", ",)</f>
        <v>0</v>
      </c>
    </row>
    <row r="604" customFormat="false" ht="15.75" hidden="false" customHeight="false" outlineLevel="0" collapsed="false">
      <c r="A604" s="260"/>
      <c r="B604" s="358"/>
      <c r="C604" s="260"/>
      <c r="D604" s="358"/>
      <c r="E604" s="260" t="n">
        <v>603</v>
      </c>
      <c r="F604" s="260" t="n">
        <f aca="false" t="array" ref="F604:F604">INDEX('0.0.1 Pokémon Dex Data'!$H$3:$H951,MATCH(E604,'0.0.1 Pokémon Dex Data'!$B$3:$B951,0))</f>
        <v>0</v>
      </c>
      <c r="G604" s="0" t="str">
        <f aca="false" t="array" ref="G604:G604">INDEX('0.0.1 Pokémon Dex Data'!$E$3:$E951,MATCH(E604,'0.0.1 Pokémon Dex Data'!$B$3:$B951,0))</f>
        <v>Watchog</v>
      </c>
      <c r="H604" s="0" t="str">
        <f aca="false" t="array" ref="H604:H604">INDEX('0.0.1 Pokémon Dex Data'!$Q$3:$Q951,MATCH(E604,'0.0.1 Pokémon Dex Data'!$B$3:$B951,0))</f>
        <v>Normal</v>
      </c>
      <c r="I604" s="0" t="n">
        <f aca="false">INDEX('0.0.1 Pokémon Dex Data'!$R$3:$R951,MATCH(E604,'0.0.1 Pokémon Dex Data'!$B$3:$B951,0))</f>
        <v>0</v>
      </c>
      <c r="J604" s="260" t="n">
        <f aca="false" t="array" ref="J604:J604">ROUND(INDEX('0.0.1 Pokémon Dex Data'!$S$3:$S951,MATCH($E604,'0.0.1 Pokémon Dex Data'!$B$3:$B951,0))*INDEX('0.0.1 Pokémon Dex Data'!T$3:T951,MATCH($E604,'0.0.1 Pokémon Dex Data'!$B$3:$B951,0)),0)</f>
        <v>165</v>
      </c>
      <c r="K604" s="260" t="n">
        <f aca="false" t="array" ref="K604:K604">ROUND(INDEX('0.0.1 Pokémon Dex Data'!$S$3:$S951,MATCH($E604,'0.0.1 Pokémon Dex Data'!$B$3:$B951,0))*INDEX('0.0.1 Pokémon Dex Data'!U$3:U951,MATCH($E604,'0.0.1 Pokémon Dex Data'!$B$3:$B951,0)),0)</f>
        <v>139</v>
      </c>
      <c r="L604" s="260" t="n">
        <f aca="false" t="array" ref="L604:L604">ROUND(INDEX('0.0.1 Pokémon Dex Data'!$S$3:$S951,MATCH($E604,'0.0.1 Pokémon Dex Data'!$B$3:$B951,0))*INDEX('0.0.1 Pokémon Dex Data'!V$3:V951,MATCH($E604,'0.0.1 Pokémon Dex Data'!$B$3:$B951,0)),0)</f>
        <v>155</v>
      </c>
      <c r="M604" s="260" t="n">
        <f aca="false" t="array" ref="M604:M604">INDEX('0.0.1 Pokémon Dex Data'!$J$3:$J951,MATCH(E604,'0.0.1 Pokémon Dex Data'!$B$3:$B951,0))</f>
        <v>1</v>
      </c>
      <c r="O604" s="490"/>
      <c r="Q604" s="367" t="n">
        <f aca="false">IF('Reverse Search'!$F$4="All (including temporary formes)",1,IF('Reverse Search'!$F$4="Base Pokémon and permanent formes only",IF(F604&lt;=1,1,0),IF(F604=0,1,0)))</f>
        <v>1</v>
      </c>
      <c r="R604" s="0" t="n">
        <f aca="false">IF('Reverse Search'!$C$7="Disable",1,IF('Reverse Search'!$D$9="Disable",1,IF(OR('Reverse Search'!$F$9=H604,'Reverse Search'!$F$9=I604),1,0)))</f>
        <v>1</v>
      </c>
      <c r="S604" s="0" t="n">
        <f aca="false">IF('Reverse Search'!$C$7="Disable",1,IF('Reverse Search'!$D$10="Disable",1,IF(OR('Reverse Search'!$F$10=H604,'Reverse Search'!$F$10=I604),1,0)))</f>
        <v>1</v>
      </c>
      <c r="T604" s="0" t="n">
        <f aca="false">INDEX($B$4:$B$22,MATCH(H604,$A$4:$A$22,0))</f>
        <v>1</v>
      </c>
      <c r="U604" s="0" t="e">
        <f aca="false">IF(ISBLANK(I604),1,INDEX($B$4:$B$22,MATCH(I604,$A$4:$A$22,0)))</f>
        <v>#N/A</v>
      </c>
      <c r="V604" s="367" t="n">
        <f aca="false">IF('Reverse Search'!$C$7="Disable",1,IF('Reverse Search'!$D$11="Disable",1,IF('Reverse Search'!$E$11="Neutral to:",IF(ROUND(T604*U604,2)&lt;=1,1,0),IF(ROUND(T604*U604,2)&lt;1,1,0))))</f>
        <v>1</v>
      </c>
      <c r="W604" s="0" t="n">
        <f aca="false">IF('Reverse Search'!$N$7="Disable",1,IF('Reverse Search'!$I$9="Disable",1,IF('Reverse Search'!$K$9="≥",IF(J604&gt;='Reverse Search'!$L$9,1,0),IF('Reverse Search'!$K$9="≤",IF(J604&lt;='Reverse Search'!$L$9,1,0),IF(J604='Reverse Search'!$L$9,1,0)))))</f>
        <v>1</v>
      </c>
      <c r="X604" s="0" t="n">
        <f aca="false">IF('Reverse Search'!$N$7="Disable",1,IF('Reverse Search'!$I$10="Disable",1,IF('Reverse Search'!$K$10="≥",IF(K604&gt;='Reverse Search'!$L$10,1,0),IF('Reverse Search'!$K$10="≤",IF(K604&lt;='Reverse Search'!$L$10,1,0),IF(K604='Reverse Search'!$L$10,1,0)))))</f>
        <v>1</v>
      </c>
      <c r="Y604" s="367" t="n">
        <f aca="false">IF('Reverse Search'!$N$7="Disable",1,IF('Reverse Search'!$I$11="Disable",1,IF('Reverse Search'!$K$11="≥",IF(L604&gt;='Reverse Search'!$L$11,1,0),IF('Reverse Search'!$K$11="≤",IF(L604&lt;='Reverse Search'!$L$11,1,0),IF(L604='Reverse Search'!$L$11,1,0)))))</f>
        <v>1</v>
      </c>
      <c r="Z604" s="0" t="n">
        <f aca="true">IF('Reverse Search'!$C$14="Disable",1,IF('Reverse Search'!$D$16="Disable",1,IF($C$2=3,IF($M604=0,0,COUNTIF(INDIRECT("'0.0.2 Pokémon Learnset (Core)'!$D$"&amp;MATCH($E604,'0.0.2 Pokémon Learnset (Core)'!$A$1:$A951,0)&amp;":$FK$"&amp;MATCH($E604,'0.0.2 Pokémon Learnset (Core)'!$A$1:$A951,0)),'Reverse Search'!$E$21)),IF($C$2=2,COUNTIF(INDIRECT("'0.1.1 Pokémon GO Moves'!$B$"&amp;MATCH($E604,'0.1.1 Pokémon GO Moves'!$A$1:$A951,0)&amp;":$R$"&amp;MATCH($E604,'0.1.1 Pokémon GO Moves'!$A$1:$A951,0)),'Reverse Search'!$E$21),COUNTIF(INDIRECT("'0.1.1 Pokémon GO Moves'!$B$"&amp;MATCH($E604,'0.1.1 Pokémon GO Moves'!$A$1:$A951,0)&amp;":$L$"&amp;MATCH($E604,'0.1.1 Pokémon GO Moves'!$A$1:$A951,0)),'Reverse Search'!$E$21)))))</f>
        <v>1</v>
      </c>
      <c r="AA604" s="0" t="n">
        <f aca="true">IF('Reverse Search'!$C$14="Disable",1,IF('Reverse Search'!$I$16="Disable",1,IF($D$2=3,IF($M604=0,0,COUNTIF(INDIRECT("'0.0.2 Pokémon Learnset (Core)'!$D$"&amp;MATCH($E604,'0.0.2 Pokémon Learnset (Core)'!$A$1:$A951,0)&amp;":$FK$"&amp;MATCH($E604,'0.0.2 Pokémon Learnset (Core)'!$A$1:$A951,0)),'Reverse Search'!$J$21)),IF($D$2=2,COUNTIF(INDIRECT("'0.1.1 Pokémon GO Moves'!$B$"&amp;MATCH($E604,'0.1.1 Pokémon GO Moves'!$A$1:$A951,0)&amp;":$R$"&amp;MATCH($E604,'0.1.1 Pokémon GO Moves'!$A$1:$A951,0)),'Reverse Search'!$J$21),COUNTIF(INDIRECT("'0.1.1 Pokémon GO Moves'!$B$"&amp;MATCH($E604,'0.1.1 Pokémon GO Moves'!$A$1:$A951,0)&amp;":$L$"&amp;MATCH($E604,'0.1.1 Pokémon GO Moves'!$A$1:$A951,0)),'Reverse Search'!$J$21)))))</f>
        <v>0</v>
      </c>
      <c r="AB604" s="490"/>
      <c r="AC604" s="260" t="n">
        <f aca="false">IF((Q604+R604+S604+V604+W604+X604+Y604+IF(Z604&gt;=1,1,0)+IF(AA604&gt;=1,1,0))=9,G604&amp;", ",)</f>
        <v>0</v>
      </c>
    </row>
    <row r="605" customFormat="false" ht="15.75" hidden="false" customHeight="false" outlineLevel="0" collapsed="false">
      <c r="A605" s="260"/>
      <c r="B605" s="358"/>
      <c r="C605" s="260"/>
      <c r="D605" s="358"/>
      <c r="E605" s="260" t="n">
        <v>604</v>
      </c>
      <c r="F605" s="260" t="n">
        <f aca="false" t="array" ref="F605:F605">INDEX('0.0.1 Pokémon Dex Data'!$H$3:$H951,MATCH(E605,'0.0.1 Pokémon Dex Data'!$B$3:$B951,0))</f>
        <v>0</v>
      </c>
      <c r="G605" s="0" t="str">
        <f aca="false" t="array" ref="G605:G605">INDEX('0.0.1 Pokémon Dex Data'!$E$3:$E951,MATCH(E605,'0.0.1 Pokémon Dex Data'!$B$3:$B951,0))</f>
        <v>Lillipup</v>
      </c>
      <c r="H605" s="0" t="str">
        <f aca="false" t="array" ref="H605:H605">INDEX('0.0.1 Pokémon Dex Data'!$Q$3:$Q951,MATCH(E605,'0.0.1 Pokémon Dex Data'!$B$3:$B951,0))</f>
        <v>Normal</v>
      </c>
      <c r="I605" s="0" t="n">
        <f aca="false">INDEX('0.0.1 Pokémon Dex Data'!$R$3:$R951,MATCH(E605,'0.0.1 Pokémon Dex Data'!$B$3:$B951,0))</f>
        <v>0</v>
      </c>
      <c r="J605" s="260" t="n">
        <f aca="false" t="array" ref="J605:J605">ROUND(INDEX('0.0.1 Pokémon Dex Data'!$S$3:$S951,MATCH($E605,'0.0.1 Pokémon Dex Data'!$B$3:$B951,0))*INDEX('0.0.1 Pokémon Dex Data'!T$3:T951,MATCH($E605,'0.0.1 Pokémon Dex Data'!$B$3:$B951,0)),0)</f>
        <v>107</v>
      </c>
      <c r="K605" s="260" t="n">
        <f aca="false" t="array" ref="K605:K605">ROUND(INDEX('0.0.1 Pokémon Dex Data'!$S$3:$S951,MATCH($E605,'0.0.1 Pokémon Dex Data'!$B$3:$B951,0))*INDEX('0.0.1 Pokémon Dex Data'!U$3:U951,MATCH($E605,'0.0.1 Pokémon Dex Data'!$B$3:$B951,0)),0)</f>
        <v>86</v>
      </c>
      <c r="L605" s="260" t="n">
        <f aca="false" t="array" ref="L605:L605">ROUND(INDEX('0.0.1 Pokémon Dex Data'!$S$3:$S951,MATCH($E605,'0.0.1 Pokémon Dex Data'!$B$3:$B951,0))*INDEX('0.0.1 Pokémon Dex Data'!V$3:V951,MATCH($E605,'0.0.1 Pokémon Dex Data'!$B$3:$B951,0)),0)</f>
        <v>128</v>
      </c>
      <c r="M605" s="260" t="n">
        <f aca="false" t="array" ref="M605:M605">INDEX('0.0.1 Pokémon Dex Data'!$J$3:$J951,MATCH(E605,'0.0.1 Pokémon Dex Data'!$B$3:$B951,0))</f>
        <v>0</v>
      </c>
      <c r="O605" s="490"/>
      <c r="Q605" s="367" t="n">
        <f aca="false">IF('Reverse Search'!$F$4="All (including temporary formes)",1,IF('Reverse Search'!$F$4="Base Pokémon and permanent formes only",IF(F605&lt;=1,1,0),IF(F605=0,1,0)))</f>
        <v>1</v>
      </c>
      <c r="R605" s="0" t="n">
        <f aca="false">IF('Reverse Search'!$C$7="Disable",1,IF('Reverse Search'!$D$9="Disable",1,IF(OR('Reverse Search'!$F$9=H605,'Reverse Search'!$F$9=I605),1,0)))</f>
        <v>1</v>
      </c>
      <c r="S605" s="0" t="n">
        <f aca="false">IF('Reverse Search'!$C$7="Disable",1,IF('Reverse Search'!$D$10="Disable",1,IF(OR('Reverse Search'!$F$10=H605,'Reverse Search'!$F$10=I605),1,0)))</f>
        <v>1</v>
      </c>
      <c r="T605" s="0" t="n">
        <f aca="false">INDEX($B$4:$B$22,MATCH(H605,$A$4:$A$22,0))</f>
        <v>1</v>
      </c>
      <c r="U605" s="0" t="e">
        <f aca="false">IF(ISBLANK(I605),1,INDEX($B$4:$B$22,MATCH(I605,$A$4:$A$22,0)))</f>
        <v>#N/A</v>
      </c>
      <c r="V605" s="367" t="n">
        <f aca="false">IF('Reverse Search'!$C$7="Disable",1,IF('Reverse Search'!$D$11="Disable",1,IF('Reverse Search'!$E$11="Neutral to:",IF(ROUND(T605*U605,2)&lt;=1,1,0),IF(ROUND(T605*U605,2)&lt;1,1,0))))</f>
        <v>1</v>
      </c>
      <c r="W605" s="0" t="n">
        <f aca="false">IF('Reverse Search'!$N$7="Disable",1,IF('Reverse Search'!$I$9="Disable",1,IF('Reverse Search'!$K$9="≥",IF(J605&gt;='Reverse Search'!$L$9,1,0),IF('Reverse Search'!$K$9="≤",IF(J605&lt;='Reverse Search'!$L$9,1,0),IF(J605='Reverse Search'!$L$9,1,0)))))</f>
        <v>1</v>
      </c>
      <c r="X605" s="0" t="n">
        <f aca="false">IF('Reverse Search'!$N$7="Disable",1,IF('Reverse Search'!$I$10="Disable",1,IF('Reverse Search'!$K$10="≥",IF(K605&gt;='Reverse Search'!$L$10,1,0),IF('Reverse Search'!$K$10="≤",IF(K605&lt;='Reverse Search'!$L$10,1,0),IF(K605='Reverse Search'!$L$10,1,0)))))</f>
        <v>1</v>
      </c>
      <c r="Y605" s="367" t="n">
        <f aca="false">IF('Reverse Search'!$N$7="Disable",1,IF('Reverse Search'!$I$11="Disable",1,IF('Reverse Search'!$K$11="≥",IF(L605&gt;='Reverse Search'!$L$11,1,0),IF('Reverse Search'!$K$11="≤",IF(L605&lt;='Reverse Search'!$L$11,1,0),IF(L605='Reverse Search'!$L$11,1,0)))))</f>
        <v>1</v>
      </c>
      <c r="Z605" s="0" t="n">
        <f aca="true">IF('Reverse Search'!$C$14="Disable",1,IF('Reverse Search'!$D$16="Disable",1,IF($C$2=3,IF($M605=0,0,COUNTIF(INDIRECT("'0.0.2 Pokémon Learnset (Core)'!$D$"&amp;MATCH($E605,'0.0.2 Pokémon Learnset (Core)'!$A$1:$A951,0)&amp;":$FK$"&amp;MATCH($E605,'0.0.2 Pokémon Learnset (Core)'!$A$1:$A951,0)),'Reverse Search'!$E$21)),IF($C$2=2,COUNTIF(INDIRECT("'0.1.1 Pokémon GO Moves'!$B$"&amp;MATCH($E605,'0.1.1 Pokémon GO Moves'!$A$1:$A951,0)&amp;":$R$"&amp;MATCH($E605,'0.1.1 Pokémon GO Moves'!$A$1:$A951,0)),'Reverse Search'!$E$21),COUNTIF(INDIRECT("'0.1.1 Pokémon GO Moves'!$B$"&amp;MATCH($E605,'0.1.1 Pokémon GO Moves'!$A$1:$A951,0)&amp;":$L$"&amp;MATCH($E605,'0.1.1 Pokémon GO Moves'!$A$1:$A951,0)),'Reverse Search'!$E$21)))))</f>
        <v>1</v>
      </c>
      <c r="AA605" s="0" t="n">
        <f aca="true">IF('Reverse Search'!$C$14="Disable",1,IF('Reverse Search'!$I$16="Disable",1,IF($D$2=3,IF($M605=0,0,COUNTIF(INDIRECT("'0.0.2 Pokémon Learnset (Core)'!$D$"&amp;MATCH($E605,'0.0.2 Pokémon Learnset (Core)'!$A$1:$A951,0)&amp;":$FK$"&amp;MATCH($E605,'0.0.2 Pokémon Learnset (Core)'!$A$1:$A951,0)),'Reverse Search'!$J$21)),IF($D$2=2,COUNTIF(INDIRECT("'0.1.1 Pokémon GO Moves'!$B$"&amp;MATCH($E605,'0.1.1 Pokémon GO Moves'!$A$1:$A951,0)&amp;":$R$"&amp;MATCH($E605,'0.1.1 Pokémon GO Moves'!$A$1:$A951,0)),'Reverse Search'!$J$21),COUNTIF(INDIRECT("'0.1.1 Pokémon GO Moves'!$B$"&amp;MATCH($E605,'0.1.1 Pokémon GO Moves'!$A$1:$A951,0)&amp;":$L$"&amp;MATCH($E605,'0.1.1 Pokémon GO Moves'!$A$1:$A951,0)),'Reverse Search'!$J$21)))))</f>
        <v>0</v>
      </c>
      <c r="AB605" s="490"/>
      <c r="AC605" s="260" t="n">
        <f aca="false">IF((Q605+R605+S605+V605+W605+X605+Y605+IF(Z605&gt;=1,1,0)+IF(AA605&gt;=1,1,0))=9,G605&amp;", ",)</f>
        <v>0</v>
      </c>
    </row>
    <row r="606" customFormat="false" ht="15.75" hidden="false" customHeight="false" outlineLevel="0" collapsed="false">
      <c r="A606" s="260"/>
      <c r="B606" s="358"/>
      <c r="C606" s="260"/>
      <c r="D606" s="358"/>
      <c r="E606" s="260" t="n">
        <v>605</v>
      </c>
      <c r="F606" s="260" t="n">
        <f aca="false" t="array" ref="F606:F606">INDEX('0.0.1 Pokémon Dex Data'!$H$3:$H951,MATCH(E606,'0.0.1 Pokémon Dex Data'!$B$3:$B951,0))</f>
        <v>0</v>
      </c>
      <c r="G606" s="0" t="str">
        <f aca="false" t="array" ref="G606:G606">INDEX('0.0.1 Pokémon Dex Data'!$E$3:$E951,MATCH(E606,'0.0.1 Pokémon Dex Data'!$B$3:$B951,0))</f>
        <v>Herdier</v>
      </c>
      <c r="H606" s="0" t="str">
        <f aca="false" t="array" ref="H606:H606">INDEX('0.0.1 Pokémon Dex Data'!$Q$3:$Q951,MATCH(E606,'0.0.1 Pokémon Dex Data'!$B$3:$B951,0))</f>
        <v>Normal</v>
      </c>
      <c r="I606" s="0" t="n">
        <f aca="false">INDEX('0.0.1 Pokémon Dex Data'!$R$3:$R951,MATCH(E606,'0.0.1 Pokémon Dex Data'!$B$3:$B951,0))</f>
        <v>0</v>
      </c>
      <c r="J606" s="260" t="n">
        <f aca="false" t="array" ref="J606:J606">ROUND(INDEX('0.0.1 Pokémon Dex Data'!$S$3:$S951,MATCH($E606,'0.0.1 Pokémon Dex Data'!$B$3:$B951,0))*INDEX('0.0.1 Pokémon Dex Data'!T$3:T951,MATCH($E606,'0.0.1 Pokémon Dex Data'!$B$3:$B951,0)),0)</f>
        <v>145</v>
      </c>
      <c r="K606" s="260" t="n">
        <f aca="false" t="array" ref="K606:K606">ROUND(INDEX('0.0.1 Pokémon Dex Data'!$S$3:$S951,MATCH($E606,'0.0.1 Pokémon Dex Data'!$B$3:$B951,0))*INDEX('0.0.1 Pokémon Dex Data'!U$3:U951,MATCH($E606,'0.0.1 Pokémon Dex Data'!$B$3:$B951,0)),0)</f>
        <v>126</v>
      </c>
      <c r="L606" s="260" t="n">
        <f aca="false" t="array" ref="L606:L606">ROUND(INDEX('0.0.1 Pokémon Dex Data'!$S$3:$S951,MATCH($E606,'0.0.1 Pokémon Dex Data'!$B$3:$B951,0))*INDEX('0.0.1 Pokémon Dex Data'!V$3:V951,MATCH($E606,'0.0.1 Pokémon Dex Data'!$B$3:$B951,0)),0)</f>
        <v>163</v>
      </c>
      <c r="M606" s="260" t="n">
        <f aca="false" t="array" ref="M606:M606">INDEX('0.0.1 Pokémon Dex Data'!$J$3:$J951,MATCH(E606,'0.0.1 Pokémon Dex Data'!$B$3:$B951,0))</f>
        <v>0</v>
      </c>
      <c r="O606" s="490"/>
      <c r="Q606" s="367" t="n">
        <f aca="false">IF('Reverse Search'!$F$4="All (including temporary formes)",1,IF('Reverse Search'!$F$4="Base Pokémon and permanent formes only",IF(F606&lt;=1,1,0),IF(F606=0,1,0)))</f>
        <v>1</v>
      </c>
      <c r="R606" s="0" t="n">
        <f aca="false">IF('Reverse Search'!$C$7="Disable",1,IF('Reverse Search'!$D$9="Disable",1,IF(OR('Reverse Search'!$F$9=H606,'Reverse Search'!$F$9=I606),1,0)))</f>
        <v>1</v>
      </c>
      <c r="S606" s="0" t="n">
        <f aca="false">IF('Reverse Search'!$C$7="Disable",1,IF('Reverse Search'!$D$10="Disable",1,IF(OR('Reverse Search'!$F$10=H606,'Reverse Search'!$F$10=I606),1,0)))</f>
        <v>1</v>
      </c>
      <c r="T606" s="0" t="n">
        <f aca="false">INDEX($B$4:$B$22,MATCH(H606,$A$4:$A$22,0))</f>
        <v>1</v>
      </c>
      <c r="U606" s="0" t="e">
        <f aca="false">IF(ISBLANK(I606),1,INDEX($B$4:$B$22,MATCH(I606,$A$4:$A$22,0)))</f>
        <v>#N/A</v>
      </c>
      <c r="V606" s="367" t="n">
        <f aca="false">IF('Reverse Search'!$C$7="Disable",1,IF('Reverse Search'!$D$11="Disable",1,IF('Reverse Search'!$E$11="Neutral to:",IF(ROUND(T606*U606,2)&lt;=1,1,0),IF(ROUND(T606*U606,2)&lt;1,1,0))))</f>
        <v>1</v>
      </c>
      <c r="W606" s="0" t="n">
        <f aca="false">IF('Reverse Search'!$N$7="Disable",1,IF('Reverse Search'!$I$9="Disable",1,IF('Reverse Search'!$K$9="≥",IF(J606&gt;='Reverse Search'!$L$9,1,0),IF('Reverse Search'!$K$9="≤",IF(J606&lt;='Reverse Search'!$L$9,1,0),IF(J606='Reverse Search'!$L$9,1,0)))))</f>
        <v>1</v>
      </c>
      <c r="X606" s="0" t="n">
        <f aca="false">IF('Reverse Search'!$N$7="Disable",1,IF('Reverse Search'!$I$10="Disable",1,IF('Reverse Search'!$K$10="≥",IF(K606&gt;='Reverse Search'!$L$10,1,0),IF('Reverse Search'!$K$10="≤",IF(K606&lt;='Reverse Search'!$L$10,1,0),IF(K606='Reverse Search'!$L$10,1,0)))))</f>
        <v>1</v>
      </c>
      <c r="Y606" s="367" t="n">
        <f aca="false">IF('Reverse Search'!$N$7="Disable",1,IF('Reverse Search'!$I$11="Disable",1,IF('Reverse Search'!$K$11="≥",IF(L606&gt;='Reverse Search'!$L$11,1,0),IF('Reverse Search'!$K$11="≤",IF(L606&lt;='Reverse Search'!$L$11,1,0),IF(L606='Reverse Search'!$L$11,1,0)))))</f>
        <v>1</v>
      </c>
      <c r="Z606" s="0" t="n">
        <f aca="true">IF('Reverse Search'!$C$14="Disable",1,IF('Reverse Search'!$D$16="Disable",1,IF($C$2=3,IF($M606=0,0,COUNTIF(INDIRECT("'0.0.2 Pokémon Learnset (Core)'!$D$"&amp;MATCH($E606,'0.0.2 Pokémon Learnset (Core)'!$A$1:$A951,0)&amp;":$FK$"&amp;MATCH($E606,'0.0.2 Pokémon Learnset (Core)'!$A$1:$A951,0)),'Reverse Search'!$E$21)),IF($C$2=2,COUNTIF(INDIRECT("'0.1.1 Pokémon GO Moves'!$B$"&amp;MATCH($E606,'0.1.1 Pokémon GO Moves'!$A$1:$A951,0)&amp;":$R$"&amp;MATCH($E606,'0.1.1 Pokémon GO Moves'!$A$1:$A951,0)),'Reverse Search'!$E$21),COUNTIF(INDIRECT("'0.1.1 Pokémon GO Moves'!$B$"&amp;MATCH($E606,'0.1.1 Pokémon GO Moves'!$A$1:$A951,0)&amp;":$L$"&amp;MATCH($E606,'0.1.1 Pokémon GO Moves'!$A$1:$A951,0)),'Reverse Search'!$E$21)))))</f>
        <v>1</v>
      </c>
      <c r="AA606" s="0" t="n">
        <f aca="true">IF('Reverse Search'!$C$14="Disable",1,IF('Reverse Search'!$I$16="Disable",1,IF($D$2=3,IF($M606=0,0,COUNTIF(INDIRECT("'0.0.2 Pokémon Learnset (Core)'!$D$"&amp;MATCH($E606,'0.0.2 Pokémon Learnset (Core)'!$A$1:$A951,0)&amp;":$FK$"&amp;MATCH($E606,'0.0.2 Pokémon Learnset (Core)'!$A$1:$A951,0)),'Reverse Search'!$J$21)),IF($D$2=2,COUNTIF(INDIRECT("'0.1.1 Pokémon GO Moves'!$B$"&amp;MATCH($E606,'0.1.1 Pokémon GO Moves'!$A$1:$A951,0)&amp;":$R$"&amp;MATCH($E606,'0.1.1 Pokémon GO Moves'!$A$1:$A951,0)),'Reverse Search'!$J$21),COUNTIF(INDIRECT("'0.1.1 Pokémon GO Moves'!$B$"&amp;MATCH($E606,'0.1.1 Pokémon GO Moves'!$A$1:$A951,0)&amp;":$L$"&amp;MATCH($E606,'0.1.1 Pokémon GO Moves'!$A$1:$A951,0)),'Reverse Search'!$J$21)))))</f>
        <v>0</v>
      </c>
      <c r="AB606" s="490"/>
      <c r="AC606" s="260" t="n">
        <f aca="false">IF((Q606+R606+S606+V606+W606+X606+Y606+IF(Z606&gt;=1,1,0)+IF(AA606&gt;=1,1,0))=9,G606&amp;", ",)</f>
        <v>0</v>
      </c>
    </row>
    <row r="607" customFormat="false" ht="15.75" hidden="false" customHeight="false" outlineLevel="0" collapsed="false">
      <c r="A607" s="260"/>
      <c r="B607" s="358"/>
      <c r="C607" s="260"/>
      <c r="D607" s="358"/>
      <c r="E607" s="260" t="n">
        <v>606</v>
      </c>
      <c r="F607" s="260" t="n">
        <f aca="false" t="array" ref="F607:F607">INDEX('0.0.1 Pokémon Dex Data'!$H$3:$H951,MATCH(E607,'0.0.1 Pokémon Dex Data'!$B$3:$B951,0))</f>
        <v>0</v>
      </c>
      <c r="G607" s="0" t="str">
        <f aca="false" t="array" ref="G607:G607">INDEX('0.0.1 Pokémon Dex Data'!$E$3:$E951,MATCH(E607,'0.0.1 Pokémon Dex Data'!$B$3:$B951,0))</f>
        <v>Stoutland</v>
      </c>
      <c r="H607" s="0" t="str">
        <f aca="false" t="array" ref="H607:H607">INDEX('0.0.1 Pokémon Dex Data'!$Q$3:$Q951,MATCH(E607,'0.0.1 Pokémon Dex Data'!$B$3:$B951,0))</f>
        <v>Normal</v>
      </c>
      <c r="I607" s="0" t="n">
        <f aca="false">INDEX('0.0.1 Pokémon Dex Data'!$R$3:$R951,MATCH(E607,'0.0.1 Pokémon Dex Data'!$B$3:$B951,0))</f>
        <v>0</v>
      </c>
      <c r="J607" s="260" t="n">
        <f aca="false" t="array" ref="J607:J607">ROUND(INDEX('0.0.1 Pokémon Dex Data'!$S$3:$S951,MATCH($E607,'0.0.1 Pokémon Dex Data'!$B$3:$B951,0))*INDEX('0.0.1 Pokémon Dex Data'!T$3:T951,MATCH($E607,'0.0.1 Pokémon Dex Data'!$B$3:$B951,0)),0)</f>
        <v>206</v>
      </c>
      <c r="K607" s="260" t="n">
        <f aca="false" t="array" ref="K607:K607">ROUND(INDEX('0.0.1 Pokémon Dex Data'!$S$3:$S951,MATCH($E607,'0.0.1 Pokémon Dex Data'!$B$3:$B951,0))*INDEX('0.0.1 Pokémon Dex Data'!U$3:U951,MATCH($E607,'0.0.1 Pokémon Dex Data'!$B$3:$B951,0)),0)</f>
        <v>182</v>
      </c>
      <c r="L607" s="260" t="n">
        <f aca="false" t="array" ref="L607:L607">ROUND(INDEX('0.0.1 Pokémon Dex Data'!$S$3:$S951,MATCH($E607,'0.0.1 Pokémon Dex Data'!$B$3:$B951,0))*INDEX('0.0.1 Pokémon Dex Data'!V$3:V951,MATCH($E607,'0.0.1 Pokémon Dex Data'!$B$3:$B951,0)),0)</f>
        <v>198</v>
      </c>
      <c r="M607" s="260" t="n">
        <f aca="false" t="array" ref="M607:M607">INDEX('0.0.1 Pokémon Dex Data'!$J$3:$J951,MATCH(E607,'0.0.1 Pokémon Dex Data'!$B$3:$B951,0))</f>
        <v>1</v>
      </c>
      <c r="O607" s="490"/>
      <c r="Q607" s="367" t="n">
        <f aca="false">IF('Reverse Search'!$F$4="All (including temporary formes)",1,IF('Reverse Search'!$F$4="Base Pokémon and permanent formes only",IF(F607&lt;=1,1,0),IF(F607=0,1,0)))</f>
        <v>1</v>
      </c>
      <c r="R607" s="0" t="n">
        <f aca="false">IF('Reverse Search'!$C$7="Disable",1,IF('Reverse Search'!$D$9="Disable",1,IF(OR('Reverse Search'!$F$9=H607,'Reverse Search'!$F$9=I607),1,0)))</f>
        <v>1</v>
      </c>
      <c r="S607" s="0" t="n">
        <f aca="false">IF('Reverse Search'!$C$7="Disable",1,IF('Reverse Search'!$D$10="Disable",1,IF(OR('Reverse Search'!$F$10=H607,'Reverse Search'!$F$10=I607),1,0)))</f>
        <v>1</v>
      </c>
      <c r="T607" s="0" t="n">
        <f aca="false">INDEX($B$4:$B$22,MATCH(H607,$A$4:$A$22,0))</f>
        <v>1</v>
      </c>
      <c r="U607" s="0" t="e">
        <f aca="false">IF(ISBLANK(I607),1,INDEX($B$4:$B$22,MATCH(I607,$A$4:$A$22,0)))</f>
        <v>#N/A</v>
      </c>
      <c r="V607" s="367" t="n">
        <f aca="false">IF('Reverse Search'!$C$7="Disable",1,IF('Reverse Search'!$D$11="Disable",1,IF('Reverse Search'!$E$11="Neutral to:",IF(ROUND(T607*U607,2)&lt;=1,1,0),IF(ROUND(T607*U607,2)&lt;1,1,0))))</f>
        <v>1</v>
      </c>
      <c r="W607" s="0" t="n">
        <f aca="false">IF('Reverse Search'!$N$7="Disable",1,IF('Reverse Search'!$I$9="Disable",1,IF('Reverse Search'!$K$9="≥",IF(J607&gt;='Reverse Search'!$L$9,1,0),IF('Reverse Search'!$K$9="≤",IF(J607&lt;='Reverse Search'!$L$9,1,0),IF(J607='Reverse Search'!$L$9,1,0)))))</f>
        <v>1</v>
      </c>
      <c r="X607" s="0" t="n">
        <f aca="false">IF('Reverse Search'!$N$7="Disable",1,IF('Reverse Search'!$I$10="Disable",1,IF('Reverse Search'!$K$10="≥",IF(K607&gt;='Reverse Search'!$L$10,1,0),IF('Reverse Search'!$K$10="≤",IF(K607&lt;='Reverse Search'!$L$10,1,0),IF(K607='Reverse Search'!$L$10,1,0)))))</f>
        <v>1</v>
      </c>
      <c r="Y607" s="367" t="n">
        <f aca="false">IF('Reverse Search'!$N$7="Disable",1,IF('Reverse Search'!$I$11="Disable",1,IF('Reverse Search'!$K$11="≥",IF(L607&gt;='Reverse Search'!$L$11,1,0),IF('Reverse Search'!$K$11="≤",IF(L607&lt;='Reverse Search'!$L$11,1,0),IF(L607='Reverse Search'!$L$11,1,0)))))</f>
        <v>1</v>
      </c>
      <c r="Z607" s="0" t="n">
        <f aca="true">IF('Reverse Search'!$C$14="Disable",1,IF('Reverse Search'!$D$16="Disable",1,IF($C$2=3,IF($M607=0,0,COUNTIF(INDIRECT("'0.0.2 Pokémon Learnset (Core)'!$D$"&amp;MATCH($E607,'0.0.2 Pokémon Learnset (Core)'!$A$1:$A951,0)&amp;":$FK$"&amp;MATCH($E607,'0.0.2 Pokémon Learnset (Core)'!$A$1:$A951,0)),'Reverse Search'!$E$21)),IF($C$2=2,COUNTIF(INDIRECT("'0.1.1 Pokémon GO Moves'!$B$"&amp;MATCH($E607,'0.1.1 Pokémon GO Moves'!$A$1:$A951,0)&amp;":$R$"&amp;MATCH($E607,'0.1.1 Pokémon GO Moves'!$A$1:$A951,0)),'Reverse Search'!$E$21),COUNTIF(INDIRECT("'0.1.1 Pokémon GO Moves'!$B$"&amp;MATCH($E607,'0.1.1 Pokémon GO Moves'!$A$1:$A951,0)&amp;":$L$"&amp;MATCH($E607,'0.1.1 Pokémon GO Moves'!$A$1:$A951,0)),'Reverse Search'!$E$21)))))</f>
        <v>1</v>
      </c>
      <c r="AA607" s="0" t="n">
        <f aca="true">IF('Reverse Search'!$C$14="Disable",1,IF('Reverse Search'!$I$16="Disable",1,IF($D$2=3,IF($M607=0,0,COUNTIF(INDIRECT("'0.0.2 Pokémon Learnset (Core)'!$D$"&amp;MATCH($E607,'0.0.2 Pokémon Learnset (Core)'!$A$1:$A951,0)&amp;":$FK$"&amp;MATCH($E607,'0.0.2 Pokémon Learnset (Core)'!$A$1:$A951,0)),'Reverse Search'!$J$21)),IF($D$2=2,COUNTIF(INDIRECT("'0.1.1 Pokémon GO Moves'!$B$"&amp;MATCH($E607,'0.1.1 Pokémon GO Moves'!$A$1:$A951,0)&amp;":$R$"&amp;MATCH($E607,'0.1.1 Pokémon GO Moves'!$A$1:$A951,0)),'Reverse Search'!$J$21),COUNTIF(INDIRECT("'0.1.1 Pokémon GO Moves'!$B$"&amp;MATCH($E607,'0.1.1 Pokémon GO Moves'!$A$1:$A951,0)&amp;":$L$"&amp;MATCH($E607,'0.1.1 Pokémon GO Moves'!$A$1:$A951,0)),'Reverse Search'!$J$21)))))</f>
        <v>0</v>
      </c>
      <c r="AB607" s="490"/>
      <c r="AC607" s="260" t="n">
        <f aca="false">IF((Q607+R607+S607+V607+W607+X607+Y607+IF(Z607&gt;=1,1,0)+IF(AA607&gt;=1,1,0))=9,G607&amp;", ",)</f>
        <v>0</v>
      </c>
    </row>
    <row r="608" customFormat="false" ht="15.75" hidden="false" customHeight="false" outlineLevel="0" collapsed="false">
      <c r="A608" s="260"/>
      <c r="B608" s="358"/>
      <c r="C608" s="260"/>
      <c r="D608" s="358"/>
      <c r="E608" s="260" t="n">
        <v>607</v>
      </c>
      <c r="F608" s="260" t="n">
        <f aca="false" t="array" ref="F608:F608">INDEX('0.0.1 Pokémon Dex Data'!$H$3:$H951,MATCH(E608,'0.0.1 Pokémon Dex Data'!$B$3:$B951,0))</f>
        <v>0</v>
      </c>
      <c r="G608" s="0" t="str">
        <f aca="false" t="array" ref="G608:G608">INDEX('0.0.1 Pokémon Dex Data'!$E$3:$E951,MATCH(E608,'0.0.1 Pokémon Dex Data'!$B$3:$B951,0))</f>
        <v>Purrloin</v>
      </c>
      <c r="H608" s="0" t="str">
        <f aca="false" t="array" ref="H608:H608">INDEX('0.0.1 Pokémon Dex Data'!$Q$3:$Q951,MATCH(E608,'0.0.1 Pokémon Dex Data'!$B$3:$B951,0))</f>
        <v>Dark</v>
      </c>
      <c r="I608" s="0" t="n">
        <f aca="false">INDEX('0.0.1 Pokémon Dex Data'!$R$3:$R951,MATCH(E608,'0.0.1 Pokémon Dex Data'!$B$3:$B951,0))</f>
        <v>0</v>
      </c>
      <c r="J608" s="260" t="n">
        <f aca="false" t="array" ref="J608:J608">ROUND(INDEX('0.0.1 Pokémon Dex Data'!$S$3:$S951,MATCH($E608,'0.0.1 Pokémon Dex Data'!$B$3:$B951,0))*INDEX('0.0.1 Pokémon Dex Data'!T$3:T951,MATCH($E608,'0.0.1 Pokémon Dex Data'!$B$3:$B951,0)),0)</f>
        <v>98</v>
      </c>
      <c r="K608" s="260" t="n">
        <f aca="false" t="array" ref="K608:K608">ROUND(INDEX('0.0.1 Pokémon Dex Data'!$S$3:$S951,MATCH($E608,'0.0.1 Pokémon Dex Data'!$B$3:$B951,0))*INDEX('0.0.1 Pokémon Dex Data'!U$3:U951,MATCH($E608,'0.0.1 Pokémon Dex Data'!$B$3:$B951,0)),0)</f>
        <v>73</v>
      </c>
      <c r="L608" s="260" t="n">
        <f aca="false" t="array" ref="L608:L608">ROUND(INDEX('0.0.1 Pokémon Dex Data'!$S$3:$S951,MATCH($E608,'0.0.1 Pokémon Dex Data'!$B$3:$B951,0))*INDEX('0.0.1 Pokémon Dex Data'!V$3:V951,MATCH($E608,'0.0.1 Pokémon Dex Data'!$B$3:$B951,0)),0)</f>
        <v>121</v>
      </c>
      <c r="M608" s="260" t="n">
        <f aca="false" t="array" ref="M608:M608">INDEX('0.0.1 Pokémon Dex Data'!$J$3:$J951,MATCH(E608,'0.0.1 Pokémon Dex Data'!$B$3:$B951,0))</f>
        <v>0</v>
      </c>
      <c r="O608" s="490"/>
      <c r="Q608" s="367" t="n">
        <f aca="false">IF('Reverse Search'!$F$4="All (including temporary formes)",1,IF('Reverse Search'!$F$4="Base Pokémon and permanent formes only",IF(F608&lt;=1,1,0),IF(F608=0,1,0)))</f>
        <v>1</v>
      </c>
      <c r="R608" s="0" t="n">
        <f aca="false">IF('Reverse Search'!$C$7="Disable",1,IF('Reverse Search'!$D$9="Disable",1,IF(OR('Reverse Search'!$F$9=H608,'Reverse Search'!$F$9=I608),1,0)))</f>
        <v>1</v>
      </c>
      <c r="S608" s="0" t="n">
        <f aca="false">IF('Reverse Search'!$C$7="Disable",1,IF('Reverse Search'!$D$10="Disable",1,IF(OR('Reverse Search'!$F$10=H608,'Reverse Search'!$F$10=I608),1,0)))</f>
        <v>1</v>
      </c>
      <c r="T608" s="0" t="n">
        <f aca="false">INDEX($B$4:$B$22,MATCH(H608,$A$4:$A$22,0))</f>
        <v>1</v>
      </c>
      <c r="U608" s="0" t="e">
        <f aca="false">IF(ISBLANK(I608),1,INDEX($B$4:$B$22,MATCH(I608,$A$4:$A$22,0)))</f>
        <v>#N/A</v>
      </c>
      <c r="V608" s="367" t="n">
        <f aca="false">IF('Reverse Search'!$C$7="Disable",1,IF('Reverse Search'!$D$11="Disable",1,IF('Reverse Search'!$E$11="Neutral to:",IF(ROUND(T608*U608,2)&lt;=1,1,0),IF(ROUND(T608*U608,2)&lt;1,1,0))))</f>
        <v>1</v>
      </c>
      <c r="W608" s="0" t="n">
        <f aca="false">IF('Reverse Search'!$N$7="Disable",1,IF('Reverse Search'!$I$9="Disable",1,IF('Reverse Search'!$K$9="≥",IF(J608&gt;='Reverse Search'!$L$9,1,0),IF('Reverse Search'!$K$9="≤",IF(J608&lt;='Reverse Search'!$L$9,1,0),IF(J608='Reverse Search'!$L$9,1,0)))))</f>
        <v>1</v>
      </c>
      <c r="X608" s="0" t="n">
        <f aca="false">IF('Reverse Search'!$N$7="Disable",1,IF('Reverse Search'!$I$10="Disable",1,IF('Reverse Search'!$K$10="≥",IF(K608&gt;='Reverse Search'!$L$10,1,0),IF('Reverse Search'!$K$10="≤",IF(K608&lt;='Reverse Search'!$L$10,1,0),IF(K608='Reverse Search'!$L$10,1,0)))))</f>
        <v>1</v>
      </c>
      <c r="Y608" s="367" t="n">
        <f aca="false">IF('Reverse Search'!$N$7="Disable",1,IF('Reverse Search'!$I$11="Disable",1,IF('Reverse Search'!$K$11="≥",IF(L608&gt;='Reverse Search'!$L$11,1,0),IF('Reverse Search'!$K$11="≤",IF(L608&lt;='Reverse Search'!$L$11,1,0),IF(L608='Reverse Search'!$L$11,1,0)))))</f>
        <v>1</v>
      </c>
      <c r="Z608" s="0" t="n">
        <f aca="true">IF('Reverse Search'!$C$14="Disable",1,IF('Reverse Search'!$D$16="Disable",1,IF($C$2=3,IF($M608=0,0,COUNTIF(INDIRECT("'0.0.2 Pokémon Learnset (Core)'!$D$"&amp;MATCH($E608,'0.0.2 Pokémon Learnset (Core)'!$A$1:$A951,0)&amp;":$FK$"&amp;MATCH($E608,'0.0.2 Pokémon Learnset (Core)'!$A$1:$A951,0)),'Reverse Search'!$E$21)),IF($C$2=2,COUNTIF(INDIRECT("'0.1.1 Pokémon GO Moves'!$B$"&amp;MATCH($E608,'0.1.1 Pokémon GO Moves'!$A$1:$A951,0)&amp;":$R$"&amp;MATCH($E608,'0.1.1 Pokémon GO Moves'!$A$1:$A951,0)),'Reverse Search'!$E$21),COUNTIF(INDIRECT("'0.1.1 Pokémon GO Moves'!$B$"&amp;MATCH($E608,'0.1.1 Pokémon GO Moves'!$A$1:$A951,0)&amp;":$L$"&amp;MATCH($E608,'0.1.1 Pokémon GO Moves'!$A$1:$A951,0)),'Reverse Search'!$E$21)))))</f>
        <v>1</v>
      </c>
      <c r="AA608" s="0" t="n">
        <f aca="true">IF('Reverse Search'!$C$14="Disable",1,IF('Reverse Search'!$I$16="Disable",1,IF($D$2=3,IF($M608=0,0,COUNTIF(INDIRECT("'0.0.2 Pokémon Learnset (Core)'!$D$"&amp;MATCH($E608,'0.0.2 Pokémon Learnset (Core)'!$A$1:$A951,0)&amp;":$FK$"&amp;MATCH($E608,'0.0.2 Pokémon Learnset (Core)'!$A$1:$A951,0)),'Reverse Search'!$J$21)),IF($D$2=2,COUNTIF(INDIRECT("'0.1.1 Pokémon GO Moves'!$B$"&amp;MATCH($E608,'0.1.1 Pokémon GO Moves'!$A$1:$A951,0)&amp;":$R$"&amp;MATCH($E608,'0.1.1 Pokémon GO Moves'!$A$1:$A951,0)),'Reverse Search'!$J$21),COUNTIF(INDIRECT("'0.1.1 Pokémon GO Moves'!$B$"&amp;MATCH($E608,'0.1.1 Pokémon GO Moves'!$A$1:$A951,0)&amp;":$L$"&amp;MATCH($E608,'0.1.1 Pokémon GO Moves'!$A$1:$A951,0)),'Reverse Search'!$J$21)))))</f>
        <v>0</v>
      </c>
      <c r="AB608" s="490"/>
      <c r="AC608" s="260" t="n">
        <f aca="false">IF((Q608+R608+S608+V608+W608+X608+Y608+IF(Z608&gt;=1,1,0)+IF(AA608&gt;=1,1,0))=9,G608&amp;", ",)</f>
        <v>0</v>
      </c>
    </row>
    <row r="609" customFormat="false" ht="15.75" hidden="false" customHeight="false" outlineLevel="0" collapsed="false">
      <c r="A609" s="260"/>
      <c r="B609" s="358"/>
      <c r="C609" s="260"/>
      <c r="D609" s="358"/>
      <c r="E609" s="260" t="n">
        <v>608</v>
      </c>
      <c r="F609" s="260" t="n">
        <f aca="false" t="array" ref="F609:F609">INDEX('0.0.1 Pokémon Dex Data'!$H$3:$H951,MATCH(E609,'0.0.1 Pokémon Dex Data'!$B$3:$B951,0))</f>
        <v>0</v>
      </c>
      <c r="G609" s="0" t="str">
        <f aca="false" t="array" ref="G609:G609">INDEX('0.0.1 Pokémon Dex Data'!$E$3:$E951,MATCH(E609,'0.0.1 Pokémon Dex Data'!$B$3:$B951,0))</f>
        <v>Liepard</v>
      </c>
      <c r="H609" s="0" t="str">
        <f aca="false" t="array" ref="H609:H609">INDEX('0.0.1 Pokémon Dex Data'!$Q$3:$Q951,MATCH(E609,'0.0.1 Pokémon Dex Data'!$B$3:$B951,0))</f>
        <v>Dark</v>
      </c>
      <c r="I609" s="0" t="n">
        <f aca="false">INDEX('0.0.1 Pokémon Dex Data'!$R$3:$R951,MATCH(E609,'0.0.1 Pokémon Dex Data'!$B$3:$B951,0))</f>
        <v>0</v>
      </c>
      <c r="J609" s="260" t="n">
        <f aca="false" t="array" ref="J609:J609">ROUND(INDEX('0.0.1 Pokémon Dex Data'!$S$3:$S951,MATCH($E609,'0.0.1 Pokémon Dex Data'!$B$3:$B951,0))*INDEX('0.0.1 Pokémon Dex Data'!T$3:T951,MATCH($E609,'0.0.1 Pokémon Dex Data'!$B$3:$B951,0)),0)</f>
        <v>187</v>
      </c>
      <c r="K609" s="260" t="n">
        <f aca="false" t="array" ref="K609:K609">ROUND(INDEX('0.0.1 Pokémon Dex Data'!$S$3:$S951,MATCH($E609,'0.0.1 Pokémon Dex Data'!$B$3:$B951,0))*INDEX('0.0.1 Pokémon Dex Data'!U$3:U951,MATCH($E609,'0.0.1 Pokémon Dex Data'!$B$3:$B951,0)),0)</f>
        <v>106</v>
      </c>
      <c r="L609" s="260" t="n">
        <f aca="false" t="array" ref="L609:L609">ROUND(INDEX('0.0.1 Pokémon Dex Data'!$S$3:$S951,MATCH($E609,'0.0.1 Pokémon Dex Data'!$B$3:$B951,0))*INDEX('0.0.1 Pokémon Dex Data'!V$3:V951,MATCH($E609,'0.0.1 Pokémon Dex Data'!$B$3:$B951,0)),0)</f>
        <v>162</v>
      </c>
      <c r="M609" s="260" t="n">
        <f aca="false" t="array" ref="M609:M609">INDEX('0.0.1 Pokémon Dex Data'!$J$3:$J951,MATCH(E609,'0.0.1 Pokémon Dex Data'!$B$3:$B951,0))</f>
        <v>1</v>
      </c>
      <c r="O609" s="490"/>
      <c r="Q609" s="367" t="n">
        <f aca="false">IF('Reverse Search'!$F$4="All (including temporary formes)",1,IF('Reverse Search'!$F$4="Base Pokémon and permanent formes only",IF(F609&lt;=1,1,0),IF(F609=0,1,0)))</f>
        <v>1</v>
      </c>
      <c r="R609" s="0" t="n">
        <f aca="false">IF('Reverse Search'!$C$7="Disable",1,IF('Reverse Search'!$D$9="Disable",1,IF(OR('Reverse Search'!$F$9=H609,'Reverse Search'!$F$9=I609),1,0)))</f>
        <v>1</v>
      </c>
      <c r="S609" s="0" t="n">
        <f aca="false">IF('Reverse Search'!$C$7="Disable",1,IF('Reverse Search'!$D$10="Disable",1,IF(OR('Reverse Search'!$F$10=H609,'Reverse Search'!$F$10=I609),1,0)))</f>
        <v>1</v>
      </c>
      <c r="T609" s="0" t="n">
        <f aca="false">INDEX($B$4:$B$22,MATCH(H609,$A$4:$A$22,0))</f>
        <v>1</v>
      </c>
      <c r="U609" s="0" t="e">
        <f aca="false">IF(ISBLANK(I609),1,INDEX($B$4:$B$22,MATCH(I609,$A$4:$A$22,0)))</f>
        <v>#N/A</v>
      </c>
      <c r="V609" s="367" t="n">
        <f aca="false">IF('Reverse Search'!$C$7="Disable",1,IF('Reverse Search'!$D$11="Disable",1,IF('Reverse Search'!$E$11="Neutral to:",IF(ROUND(T609*U609,2)&lt;=1,1,0),IF(ROUND(T609*U609,2)&lt;1,1,0))))</f>
        <v>1</v>
      </c>
      <c r="W609" s="0" t="n">
        <f aca="false">IF('Reverse Search'!$N$7="Disable",1,IF('Reverse Search'!$I$9="Disable",1,IF('Reverse Search'!$K$9="≥",IF(J609&gt;='Reverse Search'!$L$9,1,0),IF('Reverse Search'!$K$9="≤",IF(J609&lt;='Reverse Search'!$L$9,1,0),IF(J609='Reverse Search'!$L$9,1,0)))))</f>
        <v>1</v>
      </c>
      <c r="X609" s="0" t="n">
        <f aca="false">IF('Reverse Search'!$N$7="Disable",1,IF('Reverse Search'!$I$10="Disable",1,IF('Reverse Search'!$K$10="≥",IF(K609&gt;='Reverse Search'!$L$10,1,0),IF('Reverse Search'!$K$10="≤",IF(K609&lt;='Reverse Search'!$L$10,1,0),IF(K609='Reverse Search'!$L$10,1,0)))))</f>
        <v>1</v>
      </c>
      <c r="Y609" s="367" t="n">
        <f aca="false">IF('Reverse Search'!$N$7="Disable",1,IF('Reverse Search'!$I$11="Disable",1,IF('Reverse Search'!$K$11="≥",IF(L609&gt;='Reverse Search'!$L$11,1,0),IF('Reverse Search'!$K$11="≤",IF(L609&lt;='Reverse Search'!$L$11,1,0),IF(L609='Reverse Search'!$L$11,1,0)))))</f>
        <v>1</v>
      </c>
      <c r="Z609" s="0" t="n">
        <f aca="true">IF('Reverse Search'!$C$14="Disable",1,IF('Reverse Search'!$D$16="Disable",1,IF($C$2=3,IF($M609=0,0,COUNTIF(INDIRECT("'0.0.2 Pokémon Learnset (Core)'!$D$"&amp;MATCH($E609,'0.0.2 Pokémon Learnset (Core)'!$A$1:$A951,0)&amp;":$FK$"&amp;MATCH($E609,'0.0.2 Pokémon Learnset (Core)'!$A$1:$A951,0)),'Reverse Search'!$E$21)),IF($C$2=2,COUNTIF(INDIRECT("'0.1.1 Pokémon GO Moves'!$B$"&amp;MATCH($E609,'0.1.1 Pokémon GO Moves'!$A$1:$A951,0)&amp;":$R$"&amp;MATCH($E609,'0.1.1 Pokémon GO Moves'!$A$1:$A951,0)),'Reverse Search'!$E$21),COUNTIF(INDIRECT("'0.1.1 Pokémon GO Moves'!$B$"&amp;MATCH($E609,'0.1.1 Pokémon GO Moves'!$A$1:$A951,0)&amp;":$L$"&amp;MATCH($E609,'0.1.1 Pokémon GO Moves'!$A$1:$A951,0)),'Reverse Search'!$E$21)))))</f>
        <v>1</v>
      </c>
      <c r="AA609" s="0" t="n">
        <f aca="true">IF('Reverse Search'!$C$14="Disable",1,IF('Reverse Search'!$I$16="Disable",1,IF($D$2=3,IF($M609=0,0,COUNTIF(INDIRECT("'0.0.2 Pokémon Learnset (Core)'!$D$"&amp;MATCH($E609,'0.0.2 Pokémon Learnset (Core)'!$A$1:$A951,0)&amp;":$FK$"&amp;MATCH($E609,'0.0.2 Pokémon Learnset (Core)'!$A$1:$A951,0)),'Reverse Search'!$J$21)),IF($D$2=2,COUNTIF(INDIRECT("'0.1.1 Pokémon GO Moves'!$B$"&amp;MATCH($E609,'0.1.1 Pokémon GO Moves'!$A$1:$A951,0)&amp;":$R$"&amp;MATCH($E609,'0.1.1 Pokémon GO Moves'!$A$1:$A951,0)),'Reverse Search'!$J$21),COUNTIF(INDIRECT("'0.1.1 Pokémon GO Moves'!$B$"&amp;MATCH($E609,'0.1.1 Pokémon GO Moves'!$A$1:$A951,0)&amp;":$L$"&amp;MATCH($E609,'0.1.1 Pokémon GO Moves'!$A$1:$A951,0)),'Reverse Search'!$J$21)))))</f>
        <v>0</v>
      </c>
      <c r="AB609" s="490"/>
      <c r="AC609" s="260" t="n">
        <f aca="false">IF((Q609+R609+S609+V609+W609+X609+Y609+IF(Z609&gt;=1,1,0)+IF(AA609&gt;=1,1,0))=9,G609&amp;", ",)</f>
        <v>0</v>
      </c>
    </row>
    <row r="610" customFormat="false" ht="15.75" hidden="false" customHeight="false" outlineLevel="0" collapsed="false">
      <c r="A610" s="260"/>
      <c r="B610" s="358"/>
      <c r="C610" s="260"/>
      <c r="D610" s="358"/>
      <c r="E610" s="260" t="n">
        <v>609</v>
      </c>
      <c r="F610" s="260" t="n">
        <f aca="false" t="array" ref="F610:F610">INDEX('0.0.1 Pokémon Dex Data'!$H$3:$H951,MATCH(E610,'0.0.1 Pokémon Dex Data'!$B$3:$B951,0))</f>
        <v>0</v>
      </c>
      <c r="G610" s="0" t="str">
        <f aca="false" t="array" ref="G610:G610">INDEX('0.0.1 Pokémon Dex Data'!$E$3:$E951,MATCH(E610,'0.0.1 Pokémon Dex Data'!$B$3:$B951,0))</f>
        <v>Pansage</v>
      </c>
      <c r="H610" s="0" t="str">
        <f aca="false" t="array" ref="H610:H610">INDEX('0.0.1 Pokémon Dex Data'!$Q$3:$Q951,MATCH(E610,'0.0.1 Pokémon Dex Data'!$B$3:$B951,0))</f>
        <v>Grass</v>
      </c>
      <c r="I610" s="0" t="n">
        <f aca="false">INDEX('0.0.1 Pokémon Dex Data'!$R$3:$R951,MATCH(E610,'0.0.1 Pokémon Dex Data'!$B$3:$B951,0))</f>
        <v>0</v>
      </c>
      <c r="J610" s="260" t="n">
        <f aca="false" t="array" ref="J610:J610">ROUND(INDEX('0.0.1 Pokémon Dex Data'!$S$3:$S951,MATCH($E610,'0.0.1 Pokémon Dex Data'!$B$3:$B951,0))*INDEX('0.0.1 Pokémon Dex Data'!T$3:T951,MATCH($E610,'0.0.1 Pokémon Dex Data'!$B$3:$B951,0)),0)</f>
        <v>104</v>
      </c>
      <c r="K610" s="260" t="n">
        <f aca="false" t="array" ref="K610:K610">ROUND(INDEX('0.0.1 Pokémon Dex Data'!$S$3:$S951,MATCH($E610,'0.0.1 Pokémon Dex Data'!$B$3:$B951,0))*INDEX('0.0.1 Pokémon Dex Data'!U$3:U951,MATCH($E610,'0.0.1 Pokémon Dex Data'!$B$3:$B951,0)),0)</f>
        <v>94</v>
      </c>
      <c r="L610" s="260" t="n">
        <f aca="false" t="array" ref="L610:L610">ROUND(INDEX('0.0.1 Pokémon Dex Data'!$S$3:$S951,MATCH($E610,'0.0.1 Pokémon Dex Data'!$B$3:$B951,0))*INDEX('0.0.1 Pokémon Dex Data'!V$3:V951,MATCH($E610,'0.0.1 Pokémon Dex Data'!$B$3:$B951,0)),0)</f>
        <v>137</v>
      </c>
      <c r="M610" s="260" t="n">
        <f aca="false" t="array" ref="M610:M610">INDEX('0.0.1 Pokémon Dex Data'!$J$3:$J951,MATCH(E610,'0.0.1 Pokémon Dex Data'!$B$3:$B951,0))</f>
        <v>0</v>
      </c>
      <c r="O610" s="490"/>
      <c r="Q610" s="367" t="n">
        <f aca="false">IF('Reverse Search'!$F$4="All (including temporary formes)",1,IF('Reverse Search'!$F$4="Base Pokémon and permanent formes only",IF(F610&lt;=1,1,0),IF(F610=0,1,0)))</f>
        <v>1</v>
      </c>
      <c r="R610" s="0" t="n">
        <f aca="false">IF('Reverse Search'!$C$7="Disable",1,IF('Reverse Search'!$D$9="Disable",1,IF(OR('Reverse Search'!$F$9=H610,'Reverse Search'!$F$9=I610),1,0)))</f>
        <v>1</v>
      </c>
      <c r="S610" s="0" t="n">
        <f aca="false">IF('Reverse Search'!$C$7="Disable",1,IF('Reverse Search'!$D$10="Disable",1,IF(OR('Reverse Search'!$F$10=H610,'Reverse Search'!$F$10=I610),1,0)))</f>
        <v>1</v>
      </c>
      <c r="T610" s="0" t="n">
        <f aca="false">INDEX($B$4:$B$22,MATCH(H610,$A$4:$A$22,0))</f>
        <v>1</v>
      </c>
      <c r="U610" s="0" t="e">
        <f aca="false">IF(ISBLANK(I610),1,INDEX($B$4:$B$22,MATCH(I610,$A$4:$A$22,0)))</f>
        <v>#N/A</v>
      </c>
      <c r="V610" s="367" t="n">
        <f aca="false">IF('Reverse Search'!$C$7="Disable",1,IF('Reverse Search'!$D$11="Disable",1,IF('Reverse Search'!$E$11="Neutral to:",IF(ROUND(T610*U610,2)&lt;=1,1,0),IF(ROUND(T610*U610,2)&lt;1,1,0))))</f>
        <v>1</v>
      </c>
      <c r="W610" s="0" t="n">
        <f aca="false">IF('Reverse Search'!$N$7="Disable",1,IF('Reverse Search'!$I$9="Disable",1,IF('Reverse Search'!$K$9="≥",IF(J610&gt;='Reverse Search'!$L$9,1,0),IF('Reverse Search'!$K$9="≤",IF(J610&lt;='Reverse Search'!$L$9,1,0),IF(J610='Reverse Search'!$L$9,1,0)))))</f>
        <v>1</v>
      </c>
      <c r="X610" s="0" t="n">
        <f aca="false">IF('Reverse Search'!$N$7="Disable",1,IF('Reverse Search'!$I$10="Disable",1,IF('Reverse Search'!$K$10="≥",IF(K610&gt;='Reverse Search'!$L$10,1,0),IF('Reverse Search'!$K$10="≤",IF(K610&lt;='Reverse Search'!$L$10,1,0),IF(K610='Reverse Search'!$L$10,1,0)))))</f>
        <v>1</v>
      </c>
      <c r="Y610" s="367" t="n">
        <f aca="false">IF('Reverse Search'!$N$7="Disable",1,IF('Reverse Search'!$I$11="Disable",1,IF('Reverse Search'!$K$11="≥",IF(L610&gt;='Reverse Search'!$L$11,1,0),IF('Reverse Search'!$K$11="≤",IF(L610&lt;='Reverse Search'!$L$11,1,0),IF(L610='Reverse Search'!$L$11,1,0)))))</f>
        <v>1</v>
      </c>
      <c r="Z610" s="0" t="n">
        <f aca="true">IF('Reverse Search'!$C$14="Disable",1,IF('Reverse Search'!$D$16="Disable",1,IF($C$2=3,IF($M610=0,0,COUNTIF(INDIRECT("'0.0.2 Pokémon Learnset (Core)'!$D$"&amp;MATCH($E610,'0.0.2 Pokémon Learnset (Core)'!$A$1:$A951,0)&amp;":$FK$"&amp;MATCH($E610,'0.0.2 Pokémon Learnset (Core)'!$A$1:$A951,0)),'Reverse Search'!$E$21)),IF($C$2=2,COUNTIF(INDIRECT("'0.1.1 Pokémon GO Moves'!$B$"&amp;MATCH($E610,'0.1.1 Pokémon GO Moves'!$A$1:$A951,0)&amp;":$R$"&amp;MATCH($E610,'0.1.1 Pokémon GO Moves'!$A$1:$A951,0)),'Reverse Search'!$E$21),COUNTIF(INDIRECT("'0.1.1 Pokémon GO Moves'!$B$"&amp;MATCH($E610,'0.1.1 Pokémon GO Moves'!$A$1:$A951,0)&amp;":$L$"&amp;MATCH($E610,'0.1.1 Pokémon GO Moves'!$A$1:$A951,0)),'Reverse Search'!$E$21)))))</f>
        <v>1</v>
      </c>
      <c r="AA610" s="0" t="n">
        <f aca="true">IF('Reverse Search'!$C$14="Disable",1,IF('Reverse Search'!$I$16="Disable",1,IF($D$2=3,IF($M610=0,0,COUNTIF(INDIRECT("'0.0.2 Pokémon Learnset (Core)'!$D$"&amp;MATCH($E610,'0.0.2 Pokémon Learnset (Core)'!$A$1:$A951,0)&amp;":$FK$"&amp;MATCH($E610,'0.0.2 Pokémon Learnset (Core)'!$A$1:$A951,0)),'Reverse Search'!$J$21)),IF($D$2=2,COUNTIF(INDIRECT("'0.1.1 Pokémon GO Moves'!$B$"&amp;MATCH($E610,'0.1.1 Pokémon GO Moves'!$A$1:$A951,0)&amp;":$R$"&amp;MATCH($E610,'0.1.1 Pokémon GO Moves'!$A$1:$A951,0)),'Reverse Search'!$J$21),COUNTIF(INDIRECT("'0.1.1 Pokémon GO Moves'!$B$"&amp;MATCH($E610,'0.1.1 Pokémon GO Moves'!$A$1:$A951,0)&amp;":$L$"&amp;MATCH($E610,'0.1.1 Pokémon GO Moves'!$A$1:$A951,0)),'Reverse Search'!$J$21)))))</f>
        <v>0</v>
      </c>
      <c r="AB610" s="490"/>
      <c r="AC610" s="260" t="n">
        <f aca="false">IF((Q610+R610+S610+V610+W610+X610+Y610+IF(Z610&gt;=1,1,0)+IF(AA610&gt;=1,1,0))=9,G610&amp;", ",)</f>
        <v>0</v>
      </c>
    </row>
    <row r="611" customFormat="false" ht="15.75" hidden="false" customHeight="false" outlineLevel="0" collapsed="false">
      <c r="A611" s="260"/>
      <c r="B611" s="358"/>
      <c r="C611" s="260"/>
      <c r="D611" s="358"/>
      <c r="E611" s="260" t="n">
        <v>610</v>
      </c>
      <c r="F611" s="260" t="n">
        <f aca="false" t="array" ref="F611:F611">INDEX('0.0.1 Pokémon Dex Data'!$H$3:$H951,MATCH(E611,'0.0.1 Pokémon Dex Data'!$B$3:$B951,0))</f>
        <v>0</v>
      </c>
      <c r="G611" s="0" t="str">
        <f aca="false" t="array" ref="G611:G611">INDEX('0.0.1 Pokémon Dex Data'!$E$3:$E951,MATCH(E611,'0.0.1 Pokémon Dex Data'!$B$3:$B951,0))</f>
        <v>Simisage</v>
      </c>
      <c r="H611" s="0" t="str">
        <f aca="false" t="array" ref="H611:H611">INDEX('0.0.1 Pokémon Dex Data'!$Q$3:$Q951,MATCH(E611,'0.0.1 Pokémon Dex Data'!$B$3:$B951,0))</f>
        <v>Grass</v>
      </c>
      <c r="I611" s="0" t="n">
        <f aca="false">INDEX('0.0.1 Pokémon Dex Data'!$R$3:$R951,MATCH(E611,'0.0.1 Pokémon Dex Data'!$B$3:$B951,0))</f>
        <v>0</v>
      </c>
      <c r="J611" s="260" t="n">
        <f aca="false" t="array" ref="J611:J611">ROUND(INDEX('0.0.1 Pokémon Dex Data'!$S$3:$S951,MATCH($E611,'0.0.1 Pokémon Dex Data'!$B$3:$B951,0))*INDEX('0.0.1 Pokémon Dex Data'!T$3:T951,MATCH($E611,'0.0.1 Pokémon Dex Data'!$B$3:$B951,0)),0)</f>
        <v>206</v>
      </c>
      <c r="K611" s="260" t="n">
        <f aca="false" t="array" ref="K611:K611">ROUND(INDEX('0.0.1 Pokémon Dex Data'!$S$3:$S951,MATCH($E611,'0.0.1 Pokémon Dex Data'!$B$3:$B951,0))*INDEX('0.0.1 Pokémon Dex Data'!U$3:U951,MATCH($E611,'0.0.1 Pokémon Dex Data'!$B$3:$B951,0)),0)</f>
        <v>133</v>
      </c>
      <c r="L611" s="260" t="n">
        <f aca="false" t="array" ref="L611:L611">ROUND(INDEX('0.0.1 Pokémon Dex Data'!$S$3:$S951,MATCH($E611,'0.0.1 Pokémon Dex Data'!$B$3:$B951,0))*INDEX('0.0.1 Pokémon Dex Data'!V$3:V951,MATCH($E611,'0.0.1 Pokémon Dex Data'!$B$3:$B951,0)),0)</f>
        <v>181</v>
      </c>
      <c r="M611" s="260" t="n">
        <f aca="false" t="array" ref="M611:M611">INDEX('0.0.1 Pokémon Dex Data'!$J$3:$J951,MATCH(E611,'0.0.1 Pokémon Dex Data'!$B$3:$B951,0))</f>
        <v>1</v>
      </c>
      <c r="O611" s="490"/>
      <c r="Q611" s="367" t="n">
        <f aca="false">IF('Reverse Search'!$F$4="All (including temporary formes)",1,IF('Reverse Search'!$F$4="Base Pokémon and permanent formes only",IF(F611&lt;=1,1,0),IF(F611=0,1,0)))</f>
        <v>1</v>
      </c>
      <c r="R611" s="0" t="n">
        <f aca="false">IF('Reverse Search'!$C$7="Disable",1,IF('Reverse Search'!$D$9="Disable",1,IF(OR('Reverse Search'!$F$9=H611,'Reverse Search'!$F$9=I611),1,0)))</f>
        <v>1</v>
      </c>
      <c r="S611" s="0" t="n">
        <f aca="false">IF('Reverse Search'!$C$7="Disable",1,IF('Reverse Search'!$D$10="Disable",1,IF(OR('Reverse Search'!$F$10=H611,'Reverse Search'!$F$10=I611),1,0)))</f>
        <v>1</v>
      </c>
      <c r="T611" s="0" t="n">
        <f aca="false">INDEX($B$4:$B$22,MATCH(H611,$A$4:$A$22,0))</f>
        <v>1</v>
      </c>
      <c r="U611" s="0" t="e">
        <f aca="false">IF(ISBLANK(I611),1,INDEX($B$4:$B$22,MATCH(I611,$A$4:$A$22,0)))</f>
        <v>#N/A</v>
      </c>
      <c r="V611" s="367" t="n">
        <f aca="false">IF('Reverse Search'!$C$7="Disable",1,IF('Reverse Search'!$D$11="Disable",1,IF('Reverse Search'!$E$11="Neutral to:",IF(ROUND(T611*U611,2)&lt;=1,1,0),IF(ROUND(T611*U611,2)&lt;1,1,0))))</f>
        <v>1</v>
      </c>
      <c r="W611" s="0" t="n">
        <f aca="false">IF('Reverse Search'!$N$7="Disable",1,IF('Reverse Search'!$I$9="Disable",1,IF('Reverse Search'!$K$9="≥",IF(J611&gt;='Reverse Search'!$L$9,1,0),IF('Reverse Search'!$K$9="≤",IF(J611&lt;='Reverse Search'!$L$9,1,0),IF(J611='Reverse Search'!$L$9,1,0)))))</f>
        <v>1</v>
      </c>
      <c r="X611" s="0" t="n">
        <f aca="false">IF('Reverse Search'!$N$7="Disable",1,IF('Reverse Search'!$I$10="Disable",1,IF('Reverse Search'!$K$10="≥",IF(K611&gt;='Reverse Search'!$L$10,1,0),IF('Reverse Search'!$K$10="≤",IF(K611&lt;='Reverse Search'!$L$10,1,0),IF(K611='Reverse Search'!$L$10,1,0)))))</f>
        <v>1</v>
      </c>
      <c r="Y611" s="367" t="n">
        <f aca="false">IF('Reverse Search'!$N$7="Disable",1,IF('Reverse Search'!$I$11="Disable",1,IF('Reverse Search'!$K$11="≥",IF(L611&gt;='Reverse Search'!$L$11,1,0),IF('Reverse Search'!$K$11="≤",IF(L611&lt;='Reverse Search'!$L$11,1,0),IF(L611='Reverse Search'!$L$11,1,0)))))</f>
        <v>1</v>
      </c>
      <c r="Z611" s="0" t="n">
        <f aca="true">IF('Reverse Search'!$C$14="Disable",1,IF('Reverse Search'!$D$16="Disable",1,IF($C$2=3,IF($M611=0,0,COUNTIF(INDIRECT("'0.0.2 Pokémon Learnset (Core)'!$D$"&amp;MATCH($E611,'0.0.2 Pokémon Learnset (Core)'!$A$1:$A951,0)&amp;":$FK$"&amp;MATCH($E611,'0.0.2 Pokémon Learnset (Core)'!$A$1:$A951,0)),'Reverse Search'!$E$21)),IF($C$2=2,COUNTIF(INDIRECT("'0.1.1 Pokémon GO Moves'!$B$"&amp;MATCH($E611,'0.1.1 Pokémon GO Moves'!$A$1:$A951,0)&amp;":$R$"&amp;MATCH($E611,'0.1.1 Pokémon GO Moves'!$A$1:$A951,0)),'Reverse Search'!$E$21),COUNTIF(INDIRECT("'0.1.1 Pokémon GO Moves'!$B$"&amp;MATCH($E611,'0.1.1 Pokémon GO Moves'!$A$1:$A951,0)&amp;":$L$"&amp;MATCH($E611,'0.1.1 Pokémon GO Moves'!$A$1:$A951,0)),'Reverse Search'!$E$21)))))</f>
        <v>1</v>
      </c>
      <c r="AA611" s="0" t="n">
        <f aca="true">IF('Reverse Search'!$C$14="Disable",1,IF('Reverse Search'!$I$16="Disable",1,IF($D$2=3,IF($M611=0,0,COUNTIF(INDIRECT("'0.0.2 Pokémon Learnset (Core)'!$D$"&amp;MATCH($E611,'0.0.2 Pokémon Learnset (Core)'!$A$1:$A951,0)&amp;":$FK$"&amp;MATCH($E611,'0.0.2 Pokémon Learnset (Core)'!$A$1:$A951,0)),'Reverse Search'!$J$21)),IF($D$2=2,COUNTIF(INDIRECT("'0.1.1 Pokémon GO Moves'!$B$"&amp;MATCH($E611,'0.1.1 Pokémon GO Moves'!$A$1:$A951,0)&amp;":$R$"&amp;MATCH($E611,'0.1.1 Pokémon GO Moves'!$A$1:$A951,0)),'Reverse Search'!$J$21),COUNTIF(INDIRECT("'0.1.1 Pokémon GO Moves'!$B$"&amp;MATCH($E611,'0.1.1 Pokémon GO Moves'!$A$1:$A951,0)&amp;":$L$"&amp;MATCH($E611,'0.1.1 Pokémon GO Moves'!$A$1:$A951,0)),'Reverse Search'!$J$21)))))</f>
        <v>0</v>
      </c>
      <c r="AB611" s="490"/>
      <c r="AC611" s="260" t="n">
        <f aca="false">IF((Q611+R611+S611+V611+W611+X611+Y611+IF(Z611&gt;=1,1,0)+IF(AA611&gt;=1,1,0))=9,G611&amp;", ",)</f>
        <v>0</v>
      </c>
    </row>
    <row r="612" customFormat="false" ht="15.75" hidden="false" customHeight="false" outlineLevel="0" collapsed="false">
      <c r="A612" s="260"/>
      <c r="B612" s="358"/>
      <c r="C612" s="260"/>
      <c r="D612" s="358"/>
      <c r="E612" s="260" t="n">
        <v>611</v>
      </c>
      <c r="F612" s="260" t="n">
        <f aca="false" t="array" ref="F612:F612">INDEX('0.0.1 Pokémon Dex Data'!$H$3:$H951,MATCH(E612,'0.0.1 Pokémon Dex Data'!$B$3:$B951,0))</f>
        <v>0</v>
      </c>
      <c r="G612" s="0" t="str">
        <f aca="false" t="array" ref="G612:G612">INDEX('0.0.1 Pokémon Dex Data'!$E$3:$E951,MATCH(E612,'0.0.1 Pokémon Dex Data'!$B$3:$B951,0))</f>
        <v>Pansear</v>
      </c>
      <c r="H612" s="0" t="str">
        <f aca="false" t="array" ref="H612:H612">INDEX('0.0.1 Pokémon Dex Data'!$Q$3:$Q951,MATCH(E612,'0.0.1 Pokémon Dex Data'!$B$3:$B951,0))</f>
        <v>Fire</v>
      </c>
      <c r="I612" s="0" t="n">
        <f aca="false">INDEX('0.0.1 Pokémon Dex Data'!$R$3:$R951,MATCH(E612,'0.0.1 Pokémon Dex Data'!$B$3:$B951,0))</f>
        <v>0</v>
      </c>
      <c r="J612" s="260" t="n">
        <f aca="false" t="array" ref="J612:J612">ROUND(INDEX('0.0.1 Pokémon Dex Data'!$S$3:$S951,MATCH($E612,'0.0.1 Pokémon Dex Data'!$B$3:$B951,0))*INDEX('0.0.1 Pokémon Dex Data'!T$3:T951,MATCH($E612,'0.0.1 Pokémon Dex Data'!$B$3:$B951,0)),0)</f>
        <v>104</v>
      </c>
      <c r="K612" s="260" t="n">
        <f aca="false" t="array" ref="K612:K612">ROUND(INDEX('0.0.1 Pokémon Dex Data'!$S$3:$S951,MATCH($E612,'0.0.1 Pokémon Dex Data'!$B$3:$B951,0))*INDEX('0.0.1 Pokémon Dex Data'!U$3:U951,MATCH($E612,'0.0.1 Pokémon Dex Data'!$B$3:$B951,0)),0)</f>
        <v>94</v>
      </c>
      <c r="L612" s="260" t="n">
        <f aca="false" t="array" ref="L612:L612">ROUND(INDEX('0.0.1 Pokémon Dex Data'!$S$3:$S951,MATCH($E612,'0.0.1 Pokémon Dex Data'!$B$3:$B951,0))*INDEX('0.0.1 Pokémon Dex Data'!V$3:V951,MATCH($E612,'0.0.1 Pokémon Dex Data'!$B$3:$B951,0)),0)</f>
        <v>137</v>
      </c>
      <c r="M612" s="260" t="n">
        <f aca="false" t="array" ref="M612:M612">INDEX('0.0.1 Pokémon Dex Data'!$J$3:$J951,MATCH(E612,'0.0.1 Pokémon Dex Data'!$B$3:$B951,0))</f>
        <v>0</v>
      </c>
      <c r="O612" s="490"/>
      <c r="Q612" s="367" t="n">
        <f aca="false">IF('Reverse Search'!$F$4="All (including temporary formes)",1,IF('Reverse Search'!$F$4="Base Pokémon and permanent formes only",IF(F612&lt;=1,1,0),IF(F612=0,1,0)))</f>
        <v>1</v>
      </c>
      <c r="R612" s="0" t="n">
        <f aca="false">IF('Reverse Search'!$C$7="Disable",1,IF('Reverse Search'!$D$9="Disable",1,IF(OR('Reverse Search'!$F$9=H612,'Reverse Search'!$F$9=I612),1,0)))</f>
        <v>1</v>
      </c>
      <c r="S612" s="0" t="n">
        <f aca="false">IF('Reverse Search'!$C$7="Disable",1,IF('Reverse Search'!$D$10="Disable",1,IF(OR('Reverse Search'!$F$10=H612,'Reverse Search'!$F$10=I612),1,0)))</f>
        <v>1</v>
      </c>
      <c r="T612" s="0" t="n">
        <f aca="false">INDEX($B$4:$B$22,MATCH(H612,$A$4:$A$22,0))</f>
        <v>1</v>
      </c>
      <c r="U612" s="0" t="e">
        <f aca="false">IF(ISBLANK(I612),1,INDEX($B$4:$B$22,MATCH(I612,$A$4:$A$22,0)))</f>
        <v>#N/A</v>
      </c>
      <c r="V612" s="367" t="n">
        <f aca="false">IF('Reverse Search'!$C$7="Disable",1,IF('Reverse Search'!$D$11="Disable",1,IF('Reverse Search'!$E$11="Neutral to:",IF(ROUND(T612*U612,2)&lt;=1,1,0),IF(ROUND(T612*U612,2)&lt;1,1,0))))</f>
        <v>1</v>
      </c>
      <c r="W612" s="0" t="n">
        <f aca="false">IF('Reverse Search'!$N$7="Disable",1,IF('Reverse Search'!$I$9="Disable",1,IF('Reverse Search'!$K$9="≥",IF(J612&gt;='Reverse Search'!$L$9,1,0),IF('Reverse Search'!$K$9="≤",IF(J612&lt;='Reverse Search'!$L$9,1,0),IF(J612='Reverse Search'!$L$9,1,0)))))</f>
        <v>1</v>
      </c>
      <c r="X612" s="0" t="n">
        <f aca="false">IF('Reverse Search'!$N$7="Disable",1,IF('Reverse Search'!$I$10="Disable",1,IF('Reverse Search'!$K$10="≥",IF(K612&gt;='Reverse Search'!$L$10,1,0),IF('Reverse Search'!$K$10="≤",IF(K612&lt;='Reverse Search'!$L$10,1,0),IF(K612='Reverse Search'!$L$10,1,0)))))</f>
        <v>1</v>
      </c>
      <c r="Y612" s="367" t="n">
        <f aca="false">IF('Reverse Search'!$N$7="Disable",1,IF('Reverse Search'!$I$11="Disable",1,IF('Reverse Search'!$K$11="≥",IF(L612&gt;='Reverse Search'!$L$11,1,0),IF('Reverse Search'!$K$11="≤",IF(L612&lt;='Reverse Search'!$L$11,1,0),IF(L612='Reverse Search'!$L$11,1,0)))))</f>
        <v>1</v>
      </c>
      <c r="Z612" s="0" t="n">
        <f aca="true">IF('Reverse Search'!$C$14="Disable",1,IF('Reverse Search'!$D$16="Disable",1,IF($C$2=3,IF($M612=0,0,COUNTIF(INDIRECT("'0.0.2 Pokémon Learnset (Core)'!$D$"&amp;MATCH($E612,'0.0.2 Pokémon Learnset (Core)'!$A$1:$A951,0)&amp;":$FK$"&amp;MATCH($E612,'0.0.2 Pokémon Learnset (Core)'!$A$1:$A951,0)),'Reverse Search'!$E$21)),IF($C$2=2,COUNTIF(INDIRECT("'0.1.1 Pokémon GO Moves'!$B$"&amp;MATCH($E612,'0.1.1 Pokémon GO Moves'!$A$1:$A951,0)&amp;":$R$"&amp;MATCH($E612,'0.1.1 Pokémon GO Moves'!$A$1:$A951,0)),'Reverse Search'!$E$21),COUNTIF(INDIRECT("'0.1.1 Pokémon GO Moves'!$B$"&amp;MATCH($E612,'0.1.1 Pokémon GO Moves'!$A$1:$A951,0)&amp;":$L$"&amp;MATCH($E612,'0.1.1 Pokémon GO Moves'!$A$1:$A951,0)),'Reverse Search'!$E$21)))))</f>
        <v>1</v>
      </c>
      <c r="AA612" s="0" t="n">
        <f aca="true">IF('Reverse Search'!$C$14="Disable",1,IF('Reverse Search'!$I$16="Disable",1,IF($D$2=3,IF($M612=0,0,COUNTIF(INDIRECT("'0.0.2 Pokémon Learnset (Core)'!$D$"&amp;MATCH($E612,'0.0.2 Pokémon Learnset (Core)'!$A$1:$A951,0)&amp;":$FK$"&amp;MATCH($E612,'0.0.2 Pokémon Learnset (Core)'!$A$1:$A951,0)),'Reverse Search'!$J$21)),IF($D$2=2,COUNTIF(INDIRECT("'0.1.1 Pokémon GO Moves'!$B$"&amp;MATCH($E612,'0.1.1 Pokémon GO Moves'!$A$1:$A951,0)&amp;":$R$"&amp;MATCH($E612,'0.1.1 Pokémon GO Moves'!$A$1:$A951,0)),'Reverse Search'!$J$21),COUNTIF(INDIRECT("'0.1.1 Pokémon GO Moves'!$B$"&amp;MATCH($E612,'0.1.1 Pokémon GO Moves'!$A$1:$A951,0)&amp;":$L$"&amp;MATCH($E612,'0.1.1 Pokémon GO Moves'!$A$1:$A951,0)),'Reverse Search'!$J$21)))))</f>
        <v>0</v>
      </c>
      <c r="AB612" s="490"/>
      <c r="AC612" s="260" t="n">
        <f aca="false">IF((Q612+R612+S612+V612+W612+X612+Y612+IF(Z612&gt;=1,1,0)+IF(AA612&gt;=1,1,0))=9,G612&amp;", ",)</f>
        <v>0</v>
      </c>
    </row>
    <row r="613" customFormat="false" ht="15.75" hidden="false" customHeight="false" outlineLevel="0" collapsed="false">
      <c r="A613" s="260"/>
      <c r="B613" s="358"/>
      <c r="C613" s="260"/>
      <c r="D613" s="358"/>
      <c r="E613" s="260" t="n">
        <v>612</v>
      </c>
      <c r="F613" s="260" t="n">
        <f aca="false" t="array" ref="F613:F613">INDEX('0.0.1 Pokémon Dex Data'!$H$3:$H951,MATCH(E613,'0.0.1 Pokémon Dex Data'!$B$3:$B951,0))</f>
        <v>0</v>
      </c>
      <c r="G613" s="0" t="str">
        <f aca="false" t="array" ref="G613:G613">INDEX('0.0.1 Pokémon Dex Data'!$E$3:$E951,MATCH(E613,'0.0.1 Pokémon Dex Data'!$B$3:$B951,0))</f>
        <v>Simisear</v>
      </c>
      <c r="H613" s="0" t="str">
        <f aca="false" t="array" ref="H613:H613">INDEX('0.0.1 Pokémon Dex Data'!$Q$3:$Q951,MATCH(E613,'0.0.1 Pokémon Dex Data'!$B$3:$B951,0))</f>
        <v>Fire</v>
      </c>
      <c r="I613" s="0" t="n">
        <f aca="false">INDEX('0.0.1 Pokémon Dex Data'!$R$3:$R951,MATCH(E613,'0.0.1 Pokémon Dex Data'!$B$3:$B951,0))</f>
        <v>0</v>
      </c>
      <c r="J613" s="260" t="n">
        <f aca="false" t="array" ref="J613:J613">ROUND(INDEX('0.0.1 Pokémon Dex Data'!$S$3:$S951,MATCH($E613,'0.0.1 Pokémon Dex Data'!$B$3:$B951,0))*INDEX('0.0.1 Pokémon Dex Data'!T$3:T951,MATCH($E613,'0.0.1 Pokémon Dex Data'!$B$3:$B951,0)),0)</f>
        <v>206</v>
      </c>
      <c r="K613" s="260" t="n">
        <f aca="false" t="array" ref="K613:K613">ROUND(INDEX('0.0.1 Pokémon Dex Data'!$S$3:$S951,MATCH($E613,'0.0.1 Pokémon Dex Data'!$B$3:$B951,0))*INDEX('0.0.1 Pokémon Dex Data'!U$3:U951,MATCH($E613,'0.0.1 Pokémon Dex Data'!$B$3:$B951,0)),0)</f>
        <v>133</v>
      </c>
      <c r="L613" s="260" t="n">
        <f aca="false" t="array" ref="L613:L613">ROUND(INDEX('0.0.1 Pokémon Dex Data'!$S$3:$S951,MATCH($E613,'0.0.1 Pokémon Dex Data'!$B$3:$B951,0))*INDEX('0.0.1 Pokémon Dex Data'!V$3:V951,MATCH($E613,'0.0.1 Pokémon Dex Data'!$B$3:$B951,0)),0)</f>
        <v>181</v>
      </c>
      <c r="M613" s="260" t="n">
        <f aca="false" t="array" ref="M613:M613">INDEX('0.0.1 Pokémon Dex Data'!$J$3:$J951,MATCH(E613,'0.0.1 Pokémon Dex Data'!$B$3:$B951,0))</f>
        <v>1</v>
      </c>
      <c r="O613" s="490"/>
      <c r="Q613" s="367" t="n">
        <f aca="false">IF('Reverse Search'!$F$4="All (including temporary formes)",1,IF('Reverse Search'!$F$4="Base Pokémon and permanent formes only",IF(F613&lt;=1,1,0),IF(F613=0,1,0)))</f>
        <v>1</v>
      </c>
      <c r="R613" s="0" t="n">
        <f aca="false">IF('Reverse Search'!$C$7="Disable",1,IF('Reverse Search'!$D$9="Disable",1,IF(OR('Reverse Search'!$F$9=H613,'Reverse Search'!$F$9=I613),1,0)))</f>
        <v>1</v>
      </c>
      <c r="S613" s="0" t="n">
        <f aca="false">IF('Reverse Search'!$C$7="Disable",1,IF('Reverse Search'!$D$10="Disable",1,IF(OR('Reverse Search'!$F$10=H613,'Reverse Search'!$F$10=I613),1,0)))</f>
        <v>1</v>
      </c>
      <c r="T613" s="0" t="n">
        <f aca="false">INDEX($B$4:$B$22,MATCH(H613,$A$4:$A$22,0))</f>
        <v>1</v>
      </c>
      <c r="U613" s="0" t="e">
        <f aca="false">IF(ISBLANK(I613),1,INDEX($B$4:$B$22,MATCH(I613,$A$4:$A$22,0)))</f>
        <v>#N/A</v>
      </c>
      <c r="V613" s="367" t="n">
        <f aca="false">IF('Reverse Search'!$C$7="Disable",1,IF('Reverse Search'!$D$11="Disable",1,IF('Reverse Search'!$E$11="Neutral to:",IF(ROUND(T613*U613,2)&lt;=1,1,0),IF(ROUND(T613*U613,2)&lt;1,1,0))))</f>
        <v>1</v>
      </c>
      <c r="W613" s="0" t="n">
        <f aca="false">IF('Reverse Search'!$N$7="Disable",1,IF('Reverse Search'!$I$9="Disable",1,IF('Reverse Search'!$K$9="≥",IF(J613&gt;='Reverse Search'!$L$9,1,0),IF('Reverse Search'!$K$9="≤",IF(J613&lt;='Reverse Search'!$L$9,1,0),IF(J613='Reverse Search'!$L$9,1,0)))))</f>
        <v>1</v>
      </c>
      <c r="X613" s="0" t="n">
        <f aca="false">IF('Reverse Search'!$N$7="Disable",1,IF('Reverse Search'!$I$10="Disable",1,IF('Reverse Search'!$K$10="≥",IF(K613&gt;='Reverse Search'!$L$10,1,0),IF('Reverse Search'!$K$10="≤",IF(K613&lt;='Reverse Search'!$L$10,1,0),IF(K613='Reverse Search'!$L$10,1,0)))))</f>
        <v>1</v>
      </c>
      <c r="Y613" s="367" t="n">
        <f aca="false">IF('Reverse Search'!$N$7="Disable",1,IF('Reverse Search'!$I$11="Disable",1,IF('Reverse Search'!$K$11="≥",IF(L613&gt;='Reverse Search'!$L$11,1,0),IF('Reverse Search'!$K$11="≤",IF(L613&lt;='Reverse Search'!$L$11,1,0),IF(L613='Reverse Search'!$L$11,1,0)))))</f>
        <v>1</v>
      </c>
      <c r="Z613" s="0" t="n">
        <f aca="true">IF('Reverse Search'!$C$14="Disable",1,IF('Reverse Search'!$D$16="Disable",1,IF($C$2=3,IF($M613=0,0,COUNTIF(INDIRECT("'0.0.2 Pokémon Learnset (Core)'!$D$"&amp;MATCH($E613,'0.0.2 Pokémon Learnset (Core)'!$A$1:$A951,0)&amp;":$FK$"&amp;MATCH($E613,'0.0.2 Pokémon Learnset (Core)'!$A$1:$A951,0)),'Reverse Search'!$E$21)),IF($C$2=2,COUNTIF(INDIRECT("'0.1.1 Pokémon GO Moves'!$B$"&amp;MATCH($E613,'0.1.1 Pokémon GO Moves'!$A$1:$A951,0)&amp;":$R$"&amp;MATCH($E613,'0.1.1 Pokémon GO Moves'!$A$1:$A951,0)),'Reverse Search'!$E$21),COUNTIF(INDIRECT("'0.1.1 Pokémon GO Moves'!$B$"&amp;MATCH($E613,'0.1.1 Pokémon GO Moves'!$A$1:$A951,0)&amp;":$L$"&amp;MATCH($E613,'0.1.1 Pokémon GO Moves'!$A$1:$A951,0)),'Reverse Search'!$E$21)))))</f>
        <v>1</v>
      </c>
      <c r="AA613" s="0" t="n">
        <f aca="true">IF('Reverse Search'!$C$14="Disable",1,IF('Reverse Search'!$I$16="Disable",1,IF($D$2=3,IF($M613=0,0,COUNTIF(INDIRECT("'0.0.2 Pokémon Learnset (Core)'!$D$"&amp;MATCH($E613,'0.0.2 Pokémon Learnset (Core)'!$A$1:$A951,0)&amp;":$FK$"&amp;MATCH($E613,'0.0.2 Pokémon Learnset (Core)'!$A$1:$A951,0)),'Reverse Search'!$J$21)),IF($D$2=2,COUNTIF(INDIRECT("'0.1.1 Pokémon GO Moves'!$B$"&amp;MATCH($E613,'0.1.1 Pokémon GO Moves'!$A$1:$A951,0)&amp;":$R$"&amp;MATCH($E613,'0.1.1 Pokémon GO Moves'!$A$1:$A951,0)),'Reverse Search'!$J$21),COUNTIF(INDIRECT("'0.1.1 Pokémon GO Moves'!$B$"&amp;MATCH($E613,'0.1.1 Pokémon GO Moves'!$A$1:$A951,0)&amp;":$L$"&amp;MATCH($E613,'0.1.1 Pokémon GO Moves'!$A$1:$A951,0)),'Reverse Search'!$J$21)))))</f>
        <v>0</v>
      </c>
      <c r="AB613" s="490"/>
      <c r="AC613" s="260" t="n">
        <f aca="false">IF((Q613+R613+S613+V613+W613+X613+Y613+IF(Z613&gt;=1,1,0)+IF(AA613&gt;=1,1,0))=9,G613&amp;", ",)</f>
        <v>0</v>
      </c>
    </row>
    <row r="614" customFormat="false" ht="15.75" hidden="false" customHeight="false" outlineLevel="0" collapsed="false">
      <c r="A614" s="260"/>
      <c r="B614" s="358"/>
      <c r="C614" s="260"/>
      <c r="D614" s="358"/>
      <c r="E614" s="260" t="n">
        <v>613</v>
      </c>
      <c r="F614" s="260" t="n">
        <f aca="false" t="array" ref="F614:F614">INDEX('0.0.1 Pokémon Dex Data'!$H$3:$H951,MATCH(E614,'0.0.1 Pokémon Dex Data'!$B$3:$B951,0))</f>
        <v>0</v>
      </c>
      <c r="G614" s="0" t="str">
        <f aca="false" t="array" ref="G614:G614">INDEX('0.0.1 Pokémon Dex Data'!$E$3:$E951,MATCH(E614,'0.0.1 Pokémon Dex Data'!$B$3:$B951,0))</f>
        <v>Panpour</v>
      </c>
      <c r="H614" s="0" t="str">
        <f aca="false" t="array" ref="H614:H614">INDEX('0.0.1 Pokémon Dex Data'!$Q$3:$Q951,MATCH(E614,'0.0.1 Pokémon Dex Data'!$B$3:$B951,0))</f>
        <v>Water</v>
      </c>
      <c r="I614" s="0" t="n">
        <f aca="false">INDEX('0.0.1 Pokémon Dex Data'!$R$3:$R951,MATCH(E614,'0.0.1 Pokémon Dex Data'!$B$3:$B951,0))</f>
        <v>0</v>
      </c>
      <c r="J614" s="260" t="n">
        <f aca="false" t="array" ref="J614:J614">ROUND(INDEX('0.0.1 Pokémon Dex Data'!$S$3:$S951,MATCH($E614,'0.0.1 Pokémon Dex Data'!$B$3:$B951,0))*INDEX('0.0.1 Pokémon Dex Data'!T$3:T951,MATCH($E614,'0.0.1 Pokémon Dex Data'!$B$3:$B951,0)),0)</f>
        <v>104</v>
      </c>
      <c r="K614" s="260" t="n">
        <f aca="false" t="array" ref="K614:K614">ROUND(INDEX('0.0.1 Pokémon Dex Data'!$S$3:$S951,MATCH($E614,'0.0.1 Pokémon Dex Data'!$B$3:$B951,0))*INDEX('0.0.1 Pokémon Dex Data'!U$3:U951,MATCH($E614,'0.0.1 Pokémon Dex Data'!$B$3:$B951,0)),0)</f>
        <v>94</v>
      </c>
      <c r="L614" s="260" t="n">
        <f aca="false" t="array" ref="L614:L614">ROUND(INDEX('0.0.1 Pokémon Dex Data'!$S$3:$S951,MATCH($E614,'0.0.1 Pokémon Dex Data'!$B$3:$B951,0))*INDEX('0.0.1 Pokémon Dex Data'!V$3:V951,MATCH($E614,'0.0.1 Pokémon Dex Data'!$B$3:$B951,0)),0)</f>
        <v>137</v>
      </c>
      <c r="M614" s="260" t="n">
        <f aca="false" t="array" ref="M614:M614">INDEX('0.0.1 Pokémon Dex Data'!$J$3:$J951,MATCH(E614,'0.0.1 Pokémon Dex Data'!$B$3:$B951,0))</f>
        <v>0</v>
      </c>
      <c r="O614" s="490"/>
      <c r="Q614" s="367" t="n">
        <f aca="false">IF('Reverse Search'!$F$4="All (including temporary formes)",1,IF('Reverse Search'!$F$4="Base Pokémon and permanent formes only",IF(F614&lt;=1,1,0),IF(F614=0,1,0)))</f>
        <v>1</v>
      </c>
      <c r="R614" s="0" t="n">
        <f aca="false">IF('Reverse Search'!$C$7="Disable",1,IF('Reverse Search'!$D$9="Disable",1,IF(OR('Reverse Search'!$F$9=H614,'Reverse Search'!$F$9=I614),1,0)))</f>
        <v>1</v>
      </c>
      <c r="S614" s="0" t="n">
        <f aca="false">IF('Reverse Search'!$C$7="Disable",1,IF('Reverse Search'!$D$10="Disable",1,IF(OR('Reverse Search'!$F$10=H614,'Reverse Search'!$F$10=I614),1,0)))</f>
        <v>1</v>
      </c>
      <c r="T614" s="0" t="n">
        <f aca="false">INDEX($B$4:$B$22,MATCH(H614,$A$4:$A$22,0))</f>
        <v>1</v>
      </c>
      <c r="U614" s="0" t="e">
        <f aca="false">IF(ISBLANK(I614),1,INDEX($B$4:$B$22,MATCH(I614,$A$4:$A$22,0)))</f>
        <v>#N/A</v>
      </c>
      <c r="V614" s="367" t="n">
        <f aca="false">IF('Reverse Search'!$C$7="Disable",1,IF('Reverse Search'!$D$11="Disable",1,IF('Reverse Search'!$E$11="Neutral to:",IF(ROUND(T614*U614,2)&lt;=1,1,0),IF(ROUND(T614*U614,2)&lt;1,1,0))))</f>
        <v>1</v>
      </c>
      <c r="W614" s="0" t="n">
        <f aca="false">IF('Reverse Search'!$N$7="Disable",1,IF('Reverse Search'!$I$9="Disable",1,IF('Reverse Search'!$K$9="≥",IF(J614&gt;='Reverse Search'!$L$9,1,0),IF('Reverse Search'!$K$9="≤",IF(J614&lt;='Reverse Search'!$L$9,1,0),IF(J614='Reverse Search'!$L$9,1,0)))))</f>
        <v>1</v>
      </c>
      <c r="X614" s="0" t="n">
        <f aca="false">IF('Reverse Search'!$N$7="Disable",1,IF('Reverse Search'!$I$10="Disable",1,IF('Reverse Search'!$K$10="≥",IF(K614&gt;='Reverse Search'!$L$10,1,0),IF('Reverse Search'!$K$10="≤",IF(K614&lt;='Reverse Search'!$L$10,1,0),IF(K614='Reverse Search'!$L$10,1,0)))))</f>
        <v>1</v>
      </c>
      <c r="Y614" s="367" t="n">
        <f aca="false">IF('Reverse Search'!$N$7="Disable",1,IF('Reverse Search'!$I$11="Disable",1,IF('Reverse Search'!$K$11="≥",IF(L614&gt;='Reverse Search'!$L$11,1,0),IF('Reverse Search'!$K$11="≤",IF(L614&lt;='Reverse Search'!$L$11,1,0),IF(L614='Reverse Search'!$L$11,1,0)))))</f>
        <v>1</v>
      </c>
      <c r="Z614" s="0" t="n">
        <f aca="true">IF('Reverse Search'!$C$14="Disable",1,IF('Reverse Search'!$D$16="Disable",1,IF($C$2=3,IF($M614=0,0,COUNTIF(INDIRECT("'0.0.2 Pokémon Learnset (Core)'!$D$"&amp;MATCH($E614,'0.0.2 Pokémon Learnset (Core)'!$A$1:$A951,0)&amp;":$FK$"&amp;MATCH($E614,'0.0.2 Pokémon Learnset (Core)'!$A$1:$A951,0)),'Reverse Search'!$E$21)),IF($C$2=2,COUNTIF(INDIRECT("'0.1.1 Pokémon GO Moves'!$B$"&amp;MATCH($E614,'0.1.1 Pokémon GO Moves'!$A$1:$A951,0)&amp;":$R$"&amp;MATCH($E614,'0.1.1 Pokémon GO Moves'!$A$1:$A951,0)),'Reverse Search'!$E$21),COUNTIF(INDIRECT("'0.1.1 Pokémon GO Moves'!$B$"&amp;MATCH($E614,'0.1.1 Pokémon GO Moves'!$A$1:$A951,0)&amp;":$L$"&amp;MATCH($E614,'0.1.1 Pokémon GO Moves'!$A$1:$A951,0)),'Reverse Search'!$E$21)))))</f>
        <v>1</v>
      </c>
      <c r="AA614" s="0" t="n">
        <f aca="true">IF('Reverse Search'!$C$14="Disable",1,IF('Reverse Search'!$I$16="Disable",1,IF($D$2=3,IF($M614=0,0,COUNTIF(INDIRECT("'0.0.2 Pokémon Learnset (Core)'!$D$"&amp;MATCH($E614,'0.0.2 Pokémon Learnset (Core)'!$A$1:$A951,0)&amp;":$FK$"&amp;MATCH($E614,'0.0.2 Pokémon Learnset (Core)'!$A$1:$A951,0)),'Reverse Search'!$J$21)),IF($D$2=2,COUNTIF(INDIRECT("'0.1.1 Pokémon GO Moves'!$B$"&amp;MATCH($E614,'0.1.1 Pokémon GO Moves'!$A$1:$A951,0)&amp;":$R$"&amp;MATCH($E614,'0.1.1 Pokémon GO Moves'!$A$1:$A951,0)),'Reverse Search'!$J$21),COUNTIF(INDIRECT("'0.1.1 Pokémon GO Moves'!$B$"&amp;MATCH($E614,'0.1.1 Pokémon GO Moves'!$A$1:$A951,0)&amp;":$L$"&amp;MATCH($E614,'0.1.1 Pokémon GO Moves'!$A$1:$A951,0)),'Reverse Search'!$J$21)))))</f>
        <v>0</v>
      </c>
      <c r="AB614" s="490"/>
      <c r="AC614" s="260" t="n">
        <f aca="false">IF((Q614+R614+S614+V614+W614+X614+Y614+IF(Z614&gt;=1,1,0)+IF(AA614&gt;=1,1,0))=9,G614&amp;", ",)</f>
        <v>0</v>
      </c>
    </row>
    <row r="615" customFormat="false" ht="15.75" hidden="false" customHeight="false" outlineLevel="0" collapsed="false">
      <c r="A615" s="260"/>
      <c r="B615" s="358"/>
      <c r="C615" s="260"/>
      <c r="D615" s="358"/>
      <c r="E615" s="260" t="n">
        <v>614</v>
      </c>
      <c r="F615" s="260" t="n">
        <f aca="false" t="array" ref="F615:F615">INDEX('0.0.1 Pokémon Dex Data'!$H$3:$H951,MATCH(E615,'0.0.1 Pokémon Dex Data'!$B$3:$B951,0))</f>
        <v>0</v>
      </c>
      <c r="G615" s="0" t="str">
        <f aca="false" t="array" ref="G615:G615">INDEX('0.0.1 Pokémon Dex Data'!$E$3:$E951,MATCH(E615,'0.0.1 Pokémon Dex Data'!$B$3:$B951,0))</f>
        <v>Simipour</v>
      </c>
      <c r="H615" s="0" t="str">
        <f aca="false" t="array" ref="H615:H615">INDEX('0.0.1 Pokémon Dex Data'!$Q$3:$Q951,MATCH(E615,'0.0.1 Pokémon Dex Data'!$B$3:$B951,0))</f>
        <v>Water</v>
      </c>
      <c r="I615" s="0" t="n">
        <f aca="false">INDEX('0.0.1 Pokémon Dex Data'!$R$3:$R951,MATCH(E615,'0.0.1 Pokémon Dex Data'!$B$3:$B951,0))</f>
        <v>0</v>
      </c>
      <c r="J615" s="260" t="n">
        <f aca="false" t="array" ref="J615:J615">ROUND(INDEX('0.0.1 Pokémon Dex Data'!$S$3:$S951,MATCH($E615,'0.0.1 Pokémon Dex Data'!$B$3:$B951,0))*INDEX('0.0.1 Pokémon Dex Data'!T$3:T951,MATCH($E615,'0.0.1 Pokémon Dex Data'!$B$3:$B951,0)),0)</f>
        <v>206</v>
      </c>
      <c r="K615" s="260" t="n">
        <f aca="false" t="array" ref="K615:K615">ROUND(INDEX('0.0.1 Pokémon Dex Data'!$S$3:$S951,MATCH($E615,'0.0.1 Pokémon Dex Data'!$B$3:$B951,0))*INDEX('0.0.1 Pokémon Dex Data'!U$3:U951,MATCH($E615,'0.0.1 Pokémon Dex Data'!$B$3:$B951,0)),0)</f>
        <v>133</v>
      </c>
      <c r="L615" s="260" t="n">
        <f aca="false" t="array" ref="L615:L615">ROUND(INDEX('0.0.1 Pokémon Dex Data'!$S$3:$S951,MATCH($E615,'0.0.1 Pokémon Dex Data'!$B$3:$B951,0))*INDEX('0.0.1 Pokémon Dex Data'!V$3:V951,MATCH($E615,'0.0.1 Pokémon Dex Data'!$B$3:$B951,0)),0)</f>
        <v>181</v>
      </c>
      <c r="M615" s="260" t="n">
        <f aca="false" t="array" ref="M615:M615">INDEX('0.0.1 Pokémon Dex Data'!$J$3:$J951,MATCH(E615,'0.0.1 Pokémon Dex Data'!$B$3:$B951,0))</f>
        <v>1</v>
      </c>
      <c r="O615" s="490"/>
      <c r="Q615" s="367" t="n">
        <f aca="false">IF('Reverse Search'!$F$4="All (including temporary formes)",1,IF('Reverse Search'!$F$4="Base Pokémon and permanent formes only",IF(F615&lt;=1,1,0),IF(F615=0,1,0)))</f>
        <v>1</v>
      </c>
      <c r="R615" s="0" t="n">
        <f aca="false">IF('Reverse Search'!$C$7="Disable",1,IF('Reverse Search'!$D$9="Disable",1,IF(OR('Reverse Search'!$F$9=H615,'Reverse Search'!$F$9=I615),1,0)))</f>
        <v>1</v>
      </c>
      <c r="S615" s="0" t="n">
        <f aca="false">IF('Reverse Search'!$C$7="Disable",1,IF('Reverse Search'!$D$10="Disable",1,IF(OR('Reverse Search'!$F$10=H615,'Reverse Search'!$F$10=I615),1,0)))</f>
        <v>1</v>
      </c>
      <c r="T615" s="0" t="n">
        <f aca="false">INDEX($B$4:$B$22,MATCH(H615,$A$4:$A$22,0))</f>
        <v>1</v>
      </c>
      <c r="U615" s="0" t="e">
        <f aca="false">IF(ISBLANK(I615),1,INDEX($B$4:$B$22,MATCH(I615,$A$4:$A$22,0)))</f>
        <v>#N/A</v>
      </c>
      <c r="V615" s="367" t="n">
        <f aca="false">IF('Reverse Search'!$C$7="Disable",1,IF('Reverse Search'!$D$11="Disable",1,IF('Reverse Search'!$E$11="Neutral to:",IF(ROUND(T615*U615,2)&lt;=1,1,0),IF(ROUND(T615*U615,2)&lt;1,1,0))))</f>
        <v>1</v>
      </c>
      <c r="W615" s="0" t="n">
        <f aca="false">IF('Reverse Search'!$N$7="Disable",1,IF('Reverse Search'!$I$9="Disable",1,IF('Reverse Search'!$K$9="≥",IF(J615&gt;='Reverse Search'!$L$9,1,0),IF('Reverse Search'!$K$9="≤",IF(J615&lt;='Reverse Search'!$L$9,1,0),IF(J615='Reverse Search'!$L$9,1,0)))))</f>
        <v>1</v>
      </c>
      <c r="X615" s="0" t="n">
        <f aca="false">IF('Reverse Search'!$N$7="Disable",1,IF('Reverse Search'!$I$10="Disable",1,IF('Reverse Search'!$K$10="≥",IF(K615&gt;='Reverse Search'!$L$10,1,0),IF('Reverse Search'!$K$10="≤",IF(K615&lt;='Reverse Search'!$L$10,1,0),IF(K615='Reverse Search'!$L$10,1,0)))))</f>
        <v>1</v>
      </c>
      <c r="Y615" s="367" t="n">
        <f aca="false">IF('Reverse Search'!$N$7="Disable",1,IF('Reverse Search'!$I$11="Disable",1,IF('Reverse Search'!$K$11="≥",IF(L615&gt;='Reverse Search'!$L$11,1,0),IF('Reverse Search'!$K$11="≤",IF(L615&lt;='Reverse Search'!$L$11,1,0),IF(L615='Reverse Search'!$L$11,1,0)))))</f>
        <v>1</v>
      </c>
      <c r="Z615" s="0" t="n">
        <f aca="true">IF('Reverse Search'!$C$14="Disable",1,IF('Reverse Search'!$D$16="Disable",1,IF($C$2=3,IF($M615=0,0,COUNTIF(INDIRECT("'0.0.2 Pokémon Learnset (Core)'!$D$"&amp;MATCH($E615,'0.0.2 Pokémon Learnset (Core)'!$A$1:$A951,0)&amp;":$FK$"&amp;MATCH($E615,'0.0.2 Pokémon Learnset (Core)'!$A$1:$A951,0)),'Reverse Search'!$E$21)),IF($C$2=2,COUNTIF(INDIRECT("'0.1.1 Pokémon GO Moves'!$B$"&amp;MATCH($E615,'0.1.1 Pokémon GO Moves'!$A$1:$A951,0)&amp;":$R$"&amp;MATCH($E615,'0.1.1 Pokémon GO Moves'!$A$1:$A951,0)),'Reverse Search'!$E$21),COUNTIF(INDIRECT("'0.1.1 Pokémon GO Moves'!$B$"&amp;MATCH($E615,'0.1.1 Pokémon GO Moves'!$A$1:$A951,0)&amp;":$L$"&amp;MATCH($E615,'0.1.1 Pokémon GO Moves'!$A$1:$A951,0)),'Reverse Search'!$E$21)))))</f>
        <v>1</v>
      </c>
      <c r="AA615" s="0" t="n">
        <f aca="true">IF('Reverse Search'!$C$14="Disable",1,IF('Reverse Search'!$I$16="Disable",1,IF($D$2=3,IF($M615=0,0,COUNTIF(INDIRECT("'0.0.2 Pokémon Learnset (Core)'!$D$"&amp;MATCH($E615,'0.0.2 Pokémon Learnset (Core)'!$A$1:$A951,0)&amp;":$FK$"&amp;MATCH($E615,'0.0.2 Pokémon Learnset (Core)'!$A$1:$A951,0)),'Reverse Search'!$J$21)),IF($D$2=2,COUNTIF(INDIRECT("'0.1.1 Pokémon GO Moves'!$B$"&amp;MATCH($E615,'0.1.1 Pokémon GO Moves'!$A$1:$A951,0)&amp;":$R$"&amp;MATCH($E615,'0.1.1 Pokémon GO Moves'!$A$1:$A951,0)),'Reverse Search'!$J$21),COUNTIF(INDIRECT("'0.1.1 Pokémon GO Moves'!$B$"&amp;MATCH($E615,'0.1.1 Pokémon GO Moves'!$A$1:$A951,0)&amp;":$L$"&amp;MATCH($E615,'0.1.1 Pokémon GO Moves'!$A$1:$A951,0)),'Reverse Search'!$J$21)))))</f>
        <v>0</v>
      </c>
      <c r="AB615" s="490"/>
      <c r="AC615" s="260" t="n">
        <f aca="false">IF((Q615+R615+S615+V615+W615+X615+Y615+IF(Z615&gt;=1,1,0)+IF(AA615&gt;=1,1,0))=9,G615&amp;", ",)</f>
        <v>0</v>
      </c>
    </row>
    <row r="616" customFormat="false" ht="15.75" hidden="false" customHeight="false" outlineLevel="0" collapsed="false">
      <c r="A616" s="260"/>
      <c r="B616" s="358"/>
      <c r="C616" s="260"/>
      <c r="D616" s="358"/>
      <c r="E616" s="260" t="n">
        <v>615</v>
      </c>
      <c r="F616" s="260" t="n">
        <f aca="false" t="array" ref="F616:F616">INDEX('0.0.1 Pokémon Dex Data'!$H$3:$H951,MATCH(E616,'0.0.1 Pokémon Dex Data'!$B$3:$B951,0))</f>
        <v>0</v>
      </c>
      <c r="G616" s="0" t="str">
        <f aca="false" t="array" ref="G616:G616">INDEX('0.0.1 Pokémon Dex Data'!$E$3:$E951,MATCH(E616,'0.0.1 Pokémon Dex Data'!$B$3:$B951,0))</f>
        <v>Munna</v>
      </c>
      <c r="H616" s="0" t="str">
        <f aca="false" t="array" ref="H616:H616">INDEX('0.0.1 Pokémon Dex Data'!$Q$3:$Q951,MATCH(E616,'0.0.1 Pokémon Dex Data'!$B$3:$B951,0))</f>
        <v>Psychic</v>
      </c>
      <c r="I616" s="0" t="n">
        <f aca="false">INDEX('0.0.1 Pokémon Dex Data'!$R$3:$R951,MATCH(E616,'0.0.1 Pokémon Dex Data'!$B$3:$B951,0))</f>
        <v>0</v>
      </c>
      <c r="J616" s="260" t="n">
        <f aca="false" t="array" ref="J616:J616">ROUND(INDEX('0.0.1 Pokémon Dex Data'!$S$3:$S951,MATCH($E616,'0.0.1 Pokémon Dex Data'!$B$3:$B951,0))*INDEX('0.0.1 Pokémon Dex Data'!T$3:T951,MATCH($E616,'0.0.1 Pokémon Dex Data'!$B$3:$B951,0)),0)</f>
        <v>111</v>
      </c>
      <c r="K616" s="260" t="n">
        <f aca="false" t="array" ref="K616:K616">ROUND(INDEX('0.0.1 Pokémon Dex Data'!$S$3:$S951,MATCH($E616,'0.0.1 Pokémon Dex Data'!$B$3:$B951,0))*INDEX('0.0.1 Pokémon Dex Data'!U$3:U951,MATCH($E616,'0.0.1 Pokémon Dex Data'!$B$3:$B951,0)),0)</f>
        <v>92</v>
      </c>
      <c r="L616" s="260" t="n">
        <f aca="false" t="array" ref="L616:L616">ROUND(INDEX('0.0.1 Pokémon Dex Data'!$S$3:$S951,MATCH($E616,'0.0.1 Pokémon Dex Data'!$B$3:$B951,0))*INDEX('0.0.1 Pokémon Dex Data'!V$3:V951,MATCH($E616,'0.0.1 Pokémon Dex Data'!$B$3:$B951,0)),0)</f>
        <v>183</v>
      </c>
      <c r="M616" s="260" t="n">
        <f aca="false" t="array" ref="M616:M616">INDEX('0.0.1 Pokémon Dex Data'!$J$3:$J951,MATCH(E616,'0.0.1 Pokémon Dex Data'!$B$3:$B951,0))</f>
        <v>0</v>
      </c>
      <c r="O616" s="490"/>
      <c r="Q616" s="367" t="n">
        <f aca="false">IF('Reverse Search'!$F$4="All (including temporary formes)",1,IF('Reverse Search'!$F$4="Base Pokémon and permanent formes only",IF(F616&lt;=1,1,0),IF(F616=0,1,0)))</f>
        <v>1</v>
      </c>
      <c r="R616" s="0" t="n">
        <f aca="false">IF('Reverse Search'!$C$7="Disable",1,IF('Reverse Search'!$D$9="Disable",1,IF(OR('Reverse Search'!$F$9=H616,'Reverse Search'!$F$9=I616),1,0)))</f>
        <v>1</v>
      </c>
      <c r="S616" s="0" t="n">
        <f aca="false">IF('Reverse Search'!$C$7="Disable",1,IF('Reverse Search'!$D$10="Disable",1,IF(OR('Reverse Search'!$F$10=H616,'Reverse Search'!$F$10=I616),1,0)))</f>
        <v>1</v>
      </c>
      <c r="T616" s="0" t="n">
        <f aca="false">INDEX($B$4:$B$22,MATCH(H616,$A$4:$A$22,0))</f>
        <v>1</v>
      </c>
      <c r="U616" s="0" t="e">
        <f aca="false">IF(ISBLANK(I616),1,INDEX($B$4:$B$22,MATCH(I616,$A$4:$A$22,0)))</f>
        <v>#N/A</v>
      </c>
      <c r="V616" s="367" t="n">
        <f aca="false">IF('Reverse Search'!$C$7="Disable",1,IF('Reverse Search'!$D$11="Disable",1,IF('Reverse Search'!$E$11="Neutral to:",IF(ROUND(T616*U616,2)&lt;=1,1,0),IF(ROUND(T616*U616,2)&lt;1,1,0))))</f>
        <v>1</v>
      </c>
      <c r="W616" s="0" t="n">
        <f aca="false">IF('Reverse Search'!$N$7="Disable",1,IF('Reverse Search'!$I$9="Disable",1,IF('Reverse Search'!$K$9="≥",IF(J616&gt;='Reverse Search'!$L$9,1,0),IF('Reverse Search'!$K$9="≤",IF(J616&lt;='Reverse Search'!$L$9,1,0),IF(J616='Reverse Search'!$L$9,1,0)))))</f>
        <v>1</v>
      </c>
      <c r="X616" s="0" t="n">
        <f aca="false">IF('Reverse Search'!$N$7="Disable",1,IF('Reverse Search'!$I$10="Disable",1,IF('Reverse Search'!$K$10="≥",IF(K616&gt;='Reverse Search'!$L$10,1,0),IF('Reverse Search'!$K$10="≤",IF(K616&lt;='Reverse Search'!$L$10,1,0),IF(K616='Reverse Search'!$L$10,1,0)))))</f>
        <v>1</v>
      </c>
      <c r="Y616" s="367" t="n">
        <f aca="false">IF('Reverse Search'!$N$7="Disable",1,IF('Reverse Search'!$I$11="Disable",1,IF('Reverse Search'!$K$11="≥",IF(L616&gt;='Reverse Search'!$L$11,1,0),IF('Reverse Search'!$K$11="≤",IF(L616&lt;='Reverse Search'!$L$11,1,0),IF(L616='Reverse Search'!$L$11,1,0)))))</f>
        <v>1</v>
      </c>
      <c r="Z616" s="0" t="n">
        <f aca="true">IF('Reverse Search'!$C$14="Disable",1,IF('Reverse Search'!$D$16="Disable",1,IF($C$2=3,IF($M616=0,0,COUNTIF(INDIRECT("'0.0.2 Pokémon Learnset (Core)'!$D$"&amp;MATCH($E616,'0.0.2 Pokémon Learnset (Core)'!$A$1:$A951,0)&amp;":$FK$"&amp;MATCH($E616,'0.0.2 Pokémon Learnset (Core)'!$A$1:$A951,0)),'Reverse Search'!$E$21)),IF($C$2=2,COUNTIF(INDIRECT("'0.1.1 Pokémon GO Moves'!$B$"&amp;MATCH($E616,'0.1.1 Pokémon GO Moves'!$A$1:$A951,0)&amp;":$R$"&amp;MATCH($E616,'0.1.1 Pokémon GO Moves'!$A$1:$A951,0)),'Reverse Search'!$E$21),COUNTIF(INDIRECT("'0.1.1 Pokémon GO Moves'!$B$"&amp;MATCH($E616,'0.1.1 Pokémon GO Moves'!$A$1:$A951,0)&amp;":$L$"&amp;MATCH($E616,'0.1.1 Pokémon GO Moves'!$A$1:$A951,0)),'Reverse Search'!$E$21)))))</f>
        <v>1</v>
      </c>
      <c r="AA616" s="0" t="n">
        <f aca="true">IF('Reverse Search'!$C$14="Disable",1,IF('Reverse Search'!$I$16="Disable",1,IF($D$2=3,IF($M616=0,0,COUNTIF(INDIRECT("'0.0.2 Pokémon Learnset (Core)'!$D$"&amp;MATCH($E616,'0.0.2 Pokémon Learnset (Core)'!$A$1:$A951,0)&amp;":$FK$"&amp;MATCH($E616,'0.0.2 Pokémon Learnset (Core)'!$A$1:$A951,0)),'Reverse Search'!$J$21)),IF($D$2=2,COUNTIF(INDIRECT("'0.1.1 Pokémon GO Moves'!$B$"&amp;MATCH($E616,'0.1.1 Pokémon GO Moves'!$A$1:$A951,0)&amp;":$R$"&amp;MATCH($E616,'0.1.1 Pokémon GO Moves'!$A$1:$A951,0)),'Reverse Search'!$J$21),COUNTIF(INDIRECT("'0.1.1 Pokémon GO Moves'!$B$"&amp;MATCH($E616,'0.1.1 Pokémon GO Moves'!$A$1:$A951,0)&amp;":$L$"&amp;MATCH($E616,'0.1.1 Pokémon GO Moves'!$A$1:$A951,0)),'Reverse Search'!$J$21)))))</f>
        <v>0</v>
      </c>
      <c r="AB616" s="490"/>
      <c r="AC616" s="260" t="n">
        <f aca="false">IF((Q616+R616+S616+V616+W616+X616+Y616+IF(Z616&gt;=1,1,0)+IF(AA616&gt;=1,1,0))=9,G616&amp;", ",)</f>
        <v>0</v>
      </c>
    </row>
    <row r="617" customFormat="false" ht="15.75" hidden="false" customHeight="false" outlineLevel="0" collapsed="false">
      <c r="A617" s="260"/>
      <c r="B617" s="358"/>
      <c r="C617" s="260"/>
      <c r="D617" s="358"/>
      <c r="E617" s="260" t="n">
        <v>616</v>
      </c>
      <c r="F617" s="260" t="n">
        <f aca="false" t="array" ref="F617:F617">INDEX('0.0.1 Pokémon Dex Data'!$H$3:$H951,MATCH(E617,'0.0.1 Pokémon Dex Data'!$B$3:$B951,0))</f>
        <v>0</v>
      </c>
      <c r="G617" s="0" t="str">
        <f aca="false" t="array" ref="G617:G617">INDEX('0.0.1 Pokémon Dex Data'!$E$3:$E951,MATCH(E617,'0.0.1 Pokémon Dex Data'!$B$3:$B951,0))</f>
        <v>Musharna</v>
      </c>
      <c r="H617" s="0" t="str">
        <f aca="false" t="array" ref="H617:H617">INDEX('0.0.1 Pokémon Dex Data'!$Q$3:$Q951,MATCH(E617,'0.0.1 Pokémon Dex Data'!$B$3:$B951,0))</f>
        <v>Psychic</v>
      </c>
      <c r="I617" s="0" t="n">
        <f aca="false">INDEX('0.0.1 Pokémon Dex Data'!$R$3:$R951,MATCH(E617,'0.0.1 Pokémon Dex Data'!$B$3:$B951,0))</f>
        <v>0</v>
      </c>
      <c r="J617" s="260" t="n">
        <f aca="false" t="array" ref="J617:J617">ROUND(INDEX('0.0.1 Pokémon Dex Data'!$S$3:$S951,MATCH($E617,'0.0.1 Pokémon Dex Data'!$B$3:$B951,0))*INDEX('0.0.1 Pokémon Dex Data'!T$3:T951,MATCH($E617,'0.0.1 Pokémon Dex Data'!$B$3:$B951,0)),0)</f>
        <v>183</v>
      </c>
      <c r="K617" s="260" t="n">
        <f aca="false" t="array" ref="K617:K617">ROUND(INDEX('0.0.1 Pokémon Dex Data'!$S$3:$S951,MATCH($E617,'0.0.1 Pokémon Dex Data'!$B$3:$B951,0))*INDEX('0.0.1 Pokémon Dex Data'!U$3:U951,MATCH($E617,'0.0.1 Pokémon Dex Data'!$B$3:$B951,0)),0)</f>
        <v>166</v>
      </c>
      <c r="L617" s="260" t="n">
        <f aca="false" t="array" ref="L617:L617">ROUND(INDEX('0.0.1 Pokémon Dex Data'!$S$3:$S951,MATCH($E617,'0.0.1 Pokémon Dex Data'!$B$3:$B951,0))*INDEX('0.0.1 Pokémon Dex Data'!V$3:V951,MATCH($E617,'0.0.1 Pokémon Dex Data'!$B$3:$B951,0)),0)</f>
        <v>253</v>
      </c>
      <c r="M617" s="260" t="n">
        <f aca="false" t="array" ref="M617:M617">INDEX('0.0.1 Pokémon Dex Data'!$J$3:$J951,MATCH(E617,'0.0.1 Pokémon Dex Data'!$B$3:$B951,0))</f>
        <v>1</v>
      </c>
      <c r="O617" s="490"/>
      <c r="Q617" s="367" t="n">
        <f aca="false">IF('Reverse Search'!$F$4="All (including temporary formes)",1,IF('Reverse Search'!$F$4="Base Pokémon and permanent formes only",IF(F617&lt;=1,1,0),IF(F617=0,1,0)))</f>
        <v>1</v>
      </c>
      <c r="R617" s="0" t="n">
        <f aca="false">IF('Reverse Search'!$C$7="Disable",1,IF('Reverse Search'!$D$9="Disable",1,IF(OR('Reverse Search'!$F$9=H617,'Reverse Search'!$F$9=I617),1,0)))</f>
        <v>1</v>
      </c>
      <c r="S617" s="0" t="n">
        <f aca="false">IF('Reverse Search'!$C$7="Disable",1,IF('Reverse Search'!$D$10="Disable",1,IF(OR('Reverse Search'!$F$10=H617,'Reverse Search'!$F$10=I617),1,0)))</f>
        <v>1</v>
      </c>
      <c r="T617" s="0" t="n">
        <f aca="false">INDEX($B$4:$B$22,MATCH(H617,$A$4:$A$22,0))</f>
        <v>1</v>
      </c>
      <c r="U617" s="0" t="e">
        <f aca="false">IF(ISBLANK(I617),1,INDEX($B$4:$B$22,MATCH(I617,$A$4:$A$22,0)))</f>
        <v>#N/A</v>
      </c>
      <c r="V617" s="367" t="n">
        <f aca="false">IF('Reverse Search'!$C$7="Disable",1,IF('Reverse Search'!$D$11="Disable",1,IF('Reverse Search'!$E$11="Neutral to:",IF(ROUND(T617*U617,2)&lt;=1,1,0),IF(ROUND(T617*U617,2)&lt;1,1,0))))</f>
        <v>1</v>
      </c>
      <c r="W617" s="0" t="n">
        <f aca="false">IF('Reverse Search'!$N$7="Disable",1,IF('Reverse Search'!$I$9="Disable",1,IF('Reverse Search'!$K$9="≥",IF(J617&gt;='Reverse Search'!$L$9,1,0),IF('Reverse Search'!$K$9="≤",IF(J617&lt;='Reverse Search'!$L$9,1,0),IF(J617='Reverse Search'!$L$9,1,0)))))</f>
        <v>1</v>
      </c>
      <c r="X617" s="0" t="n">
        <f aca="false">IF('Reverse Search'!$N$7="Disable",1,IF('Reverse Search'!$I$10="Disable",1,IF('Reverse Search'!$K$10="≥",IF(K617&gt;='Reverse Search'!$L$10,1,0),IF('Reverse Search'!$K$10="≤",IF(K617&lt;='Reverse Search'!$L$10,1,0),IF(K617='Reverse Search'!$L$10,1,0)))))</f>
        <v>1</v>
      </c>
      <c r="Y617" s="367" t="n">
        <f aca="false">IF('Reverse Search'!$N$7="Disable",1,IF('Reverse Search'!$I$11="Disable",1,IF('Reverse Search'!$K$11="≥",IF(L617&gt;='Reverse Search'!$L$11,1,0),IF('Reverse Search'!$K$11="≤",IF(L617&lt;='Reverse Search'!$L$11,1,0),IF(L617='Reverse Search'!$L$11,1,0)))))</f>
        <v>1</v>
      </c>
      <c r="Z617" s="0" t="n">
        <f aca="true">IF('Reverse Search'!$C$14="Disable",1,IF('Reverse Search'!$D$16="Disable",1,IF($C$2=3,IF($M617=0,0,COUNTIF(INDIRECT("'0.0.2 Pokémon Learnset (Core)'!$D$"&amp;MATCH($E617,'0.0.2 Pokémon Learnset (Core)'!$A$1:$A951,0)&amp;":$FK$"&amp;MATCH($E617,'0.0.2 Pokémon Learnset (Core)'!$A$1:$A951,0)),'Reverse Search'!$E$21)),IF($C$2=2,COUNTIF(INDIRECT("'0.1.1 Pokémon GO Moves'!$B$"&amp;MATCH($E617,'0.1.1 Pokémon GO Moves'!$A$1:$A951,0)&amp;":$R$"&amp;MATCH($E617,'0.1.1 Pokémon GO Moves'!$A$1:$A951,0)),'Reverse Search'!$E$21),COUNTIF(INDIRECT("'0.1.1 Pokémon GO Moves'!$B$"&amp;MATCH($E617,'0.1.1 Pokémon GO Moves'!$A$1:$A951,0)&amp;":$L$"&amp;MATCH($E617,'0.1.1 Pokémon GO Moves'!$A$1:$A951,0)),'Reverse Search'!$E$21)))))</f>
        <v>1</v>
      </c>
      <c r="AA617" s="0" t="n">
        <f aca="true">IF('Reverse Search'!$C$14="Disable",1,IF('Reverse Search'!$I$16="Disable",1,IF($D$2=3,IF($M617=0,0,COUNTIF(INDIRECT("'0.0.2 Pokémon Learnset (Core)'!$D$"&amp;MATCH($E617,'0.0.2 Pokémon Learnset (Core)'!$A$1:$A951,0)&amp;":$FK$"&amp;MATCH($E617,'0.0.2 Pokémon Learnset (Core)'!$A$1:$A951,0)),'Reverse Search'!$J$21)),IF($D$2=2,COUNTIF(INDIRECT("'0.1.1 Pokémon GO Moves'!$B$"&amp;MATCH($E617,'0.1.1 Pokémon GO Moves'!$A$1:$A951,0)&amp;":$R$"&amp;MATCH($E617,'0.1.1 Pokémon GO Moves'!$A$1:$A951,0)),'Reverse Search'!$J$21),COUNTIF(INDIRECT("'0.1.1 Pokémon GO Moves'!$B$"&amp;MATCH($E617,'0.1.1 Pokémon GO Moves'!$A$1:$A951,0)&amp;":$L$"&amp;MATCH($E617,'0.1.1 Pokémon GO Moves'!$A$1:$A951,0)),'Reverse Search'!$J$21)))))</f>
        <v>0</v>
      </c>
      <c r="AB617" s="490"/>
      <c r="AC617" s="260" t="n">
        <f aca="false">IF((Q617+R617+S617+V617+W617+X617+Y617+IF(Z617&gt;=1,1,0)+IF(AA617&gt;=1,1,0))=9,G617&amp;", ",)</f>
        <v>0</v>
      </c>
    </row>
    <row r="618" customFormat="false" ht="15.75" hidden="false" customHeight="false" outlineLevel="0" collapsed="false">
      <c r="A618" s="260"/>
      <c r="B618" s="358"/>
      <c r="C618" s="260"/>
      <c r="D618" s="358"/>
      <c r="E618" s="260" t="n">
        <v>617</v>
      </c>
      <c r="F618" s="260" t="n">
        <f aca="false" t="array" ref="F618:F618">INDEX('0.0.1 Pokémon Dex Data'!$H$3:$H951,MATCH(E618,'0.0.1 Pokémon Dex Data'!$B$3:$B951,0))</f>
        <v>0</v>
      </c>
      <c r="G618" s="0" t="str">
        <f aca="false" t="array" ref="G618:G618">INDEX('0.0.1 Pokémon Dex Data'!$E$3:$E951,MATCH(E618,'0.0.1 Pokémon Dex Data'!$B$3:$B951,0))</f>
        <v>Pidove</v>
      </c>
      <c r="H618" s="0" t="str">
        <f aca="false" t="array" ref="H618:H618">INDEX('0.0.1 Pokémon Dex Data'!$Q$3:$Q951,MATCH(E618,'0.0.1 Pokémon Dex Data'!$B$3:$B951,0))</f>
        <v>Normal</v>
      </c>
      <c r="I618" s="0" t="str">
        <f aca="false" t="array" ref="I618:I618">INDEX('0.0.1 Pokémon Dex Data'!$R$3:$R951,MATCH(E618,'0.0.1 Pokémon Dex Data'!$B$3:$B951,0))</f>
        <v>Flying</v>
      </c>
      <c r="J618" s="260" t="n">
        <f aca="false" t="array" ref="J618:J618">ROUND(INDEX('0.0.1 Pokémon Dex Data'!$S$3:$S951,MATCH($E618,'0.0.1 Pokémon Dex Data'!$B$3:$B951,0))*INDEX('0.0.1 Pokémon Dex Data'!T$3:T951,MATCH($E618,'0.0.1 Pokémon Dex Data'!$B$3:$B951,0)),0)</f>
        <v>98</v>
      </c>
      <c r="K618" s="260" t="n">
        <f aca="false" t="array" ref="K618:K618">ROUND(INDEX('0.0.1 Pokémon Dex Data'!$S$3:$S951,MATCH($E618,'0.0.1 Pokémon Dex Data'!$B$3:$B951,0))*INDEX('0.0.1 Pokémon Dex Data'!U$3:U951,MATCH($E618,'0.0.1 Pokémon Dex Data'!$B$3:$B951,0)),0)</f>
        <v>80</v>
      </c>
      <c r="L618" s="260" t="n">
        <f aca="false" t="array" ref="L618:L618">ROUND(INDEX('0.0.1 Pokémon Dex Data'!$S$3:$S951,MATCH($E618,'0.0.1 Pokémon Dex Data'!$B$3:$B951,0))*INDEX('0.0.1 Pokémon Dex Data'!V$3:V951,MATCH($E618,'0.0.1 Pokémon Dex Data'!$B$3:$B951,0)),0)</f>
        <v>137</v>
      </c>
      <c r="M618" s="260" t="n">
        <f aca="false" t="array" ref="M618:M618">INDEX('0.0.1 Pokémon Dex Data'!$J$3:$J951,MATCH(E618,'0.0.1 Pokémon Dex Data'!$B$3:$B951,0))</f>
        <v>0</v>
      </c>
      <c r="O618" s="490"/>
      <c r="Q618" s="367" t="n">
        <f aca="false">IF('Reverse Search'!$F$4="All (including temporary formes)",1,IF('Reverse Search'!$F$4="Base Pokémon and permanent formes only",IF(F618&lt;=1,1,0),IF(F618=0,1,0)))</f>
        <v>1</v>
      </c>
      <c r="R618" s="0" t="n">
        <f aca="false">IF('Reverse Search'!$C$7="Disable",1,IF('Reverse Search'!$D$9="Disable",1,IF(OR('Reverse Search'!$F$9=H618,'Reverse Search'!$F$9=I618),1,0)))</f>
        <v>1</v>
      </c>
      <c r="S618" s="0" t="n">
        <f aca="false">IF('Reverse Search'!$C$7="Disable",1,IF('Reverse Search'!$D$10="Disable",1,IF(OR('Reverse Search'!$F$10=H618,'Reverse Search'!$F$10=I618),1,0)))</f>
        <v>1</v>
      </c>
      <c r="T618" s="0" t="n">
        <f aca="false">INDEX($B$4:$B$22,MATCH(H618,$A$4:$A$22,0))</f>
        <v>1</v>
      </c>
      <c r="U618" s="0" t="n">
        <f aca="false">IF(ISBLANK(I618),1,INDEX($B$4:$B$22,MATCH(I618,$A$4:$A$22,0)))</f>
        <v>1</v>
      </c>
      <c r="V618" s="367" t="n">
        <f aca="false">IF('Reverse Search'!$C$7="Disable",1,IF('Reverse Search'!$D$11="Disable",1,IF('Reverse Search'!$E$11="Neutral to:",IF(ROUND(T618*U618,2)&lt;=1,1,0),IF(ROUND(T618*U618,2)&lt;1,1,0))))</f>
        <v>1</v>
      </c>
      <c r="W618" s="0" t="n">
        <f aca="false">IF('Reverse Search'!$N$7="Disable",1,IF('Reverse Search'!$I$9="Disable",1,IF('Reverse Search'!$K$9="≥",IF(J618&gt;='Reverse Search'!$L$9,1,0),IF('Reverse Search'!$K$9="≤",IF(J618&lt;='Reverse Search'!$L$9,1,0),IF(J618='Reverse Search'!$L$9,1,0)))))</f>
        <v>1</v>
      </c>
      <c r="X618" s="0" t="n">
        <f aca="false">IF('Reverse Search'!$N$7="Disable",1,IF('Reverse Search'!$I$10="Disable",1,IF('Reverse Search'!$K$10="≥",IF(K618&gt;='Reverse Search'!$L$10,1,0),IF('Reverse Search'!$K$10="≤",IF(K618&lt;='Reverse Search'!$L$10,1,0),IF(K618='Reverse Search'!$L$10,1,0)))))</f>
        <v>1</v>
      </c>
      <c r="Y618" s="367" t="n">
        <f aca="false">IF('Reverse Search'!$N$7="Disable",1,IF('Reverse Search'!$I$11="Disable",1,IF('Reverse Search'!$K$11="≥",IF(L618&gt;='Reverse Search'!$L$11,1,0),IF('Reverse Search'!$K$11="≤",IF(L618&lt;='Reverse Search'!$L$11,1,0),IF(L618='Reverse Search'!$L$11,1,0)))))</f>
        <v>1</v>
      </c>
      <c r="Z618" s="0" t="n">
        <f aca="true">IF('Reverse Search'!$C$14="Disable",1,IF('Reverse Search'!$D$16="Disable",1,IF($C$2=3,IF($M618=0,0,COUNTIF(INDIRECT("'0.0.2 Pokémon Learnset (Core)'!$D$"&amp;MATCH($E618,'0.0.2 Pokémon Learnset (Core)'!$A$1:$A951,0)&amp;":$FK$"&amp;MATCH($E618,'0.0.2 Pokémon Learnset (Core)'!$A$1:$A951,0)),'Reverse Search'!$E$21)),IF($C$2=2,COUNTIF(INDIRECT("'0.1.1 Pokémon GO Moves'!$B$"&amp;MATCH($E618,'0.1.1 Pokémon GO Moves'!$A$1:$A951,0)&amp;":$R$"&amp;MATCH($E618,'0.1.1 Pokémon GO Moves'!$A$1:$A951,0)),'Reverse Search'!$E$21),COUNTIF(INDIRECT("'0.1.1 Pokémon GO Moves'!$B$"&amp;MATCH($E618,'0.1.1 Pokémon GO Moves'!$A$1:$A951,0)&amp;":$L$"&amp;MATCH($E618,'0.1.1 Pokémon GO Moves'!$A$1:$A951,0)),'Reverse Search'!$E$21)))))</f>
        <v>1</v>
      </c>
      <c r="AA618" s="0" t="n">
        <f aca="true">IF('Reverse Search'!$C$14="Disable",1,IF('Reverse Search'!$I$16="Disable",1,IF($D$2=3,IF($M618=0,0,COUNTIF(INDIRECT("'0.0.2 Pokémon Learnset (Core)'!$D$"&amp;MATCH($E618,'0.0.2 Pokémon Learnset (Core)'!$A$1:$A951,0)&amp;":$FK$"&amp;MATCH($E618,'0.0.2 Pokémon Learnset (Core)'!$A$1:$A951,0)),'Reverse Search'!$J$21)),IF($D$2=2,COUNTIF(INDIRECT("'0.1.1 Pokémon GO Moves'!$B$"&amp;MATCH($E618,'0.1.1 Pokémon GO Moves'!$A$1:$A951,0)&amp;":$R$"&amp;MATCH($E618,'0.1.1 Pokémon GO Moves'!$A$1:$A951,0)),'Reverse Search'!$J$21),COUNTIF(INDIRECT("'0.1.1 Pokémon GO Moves'!$B$"&amp;MATCH($E618,'0.1.1 Pokémon GO Moves'!$A$1:$A951,0)&amp;":$L$"&amp;MATCH($E618,'0.1.1 Pokémon GO Moves'!$A$1:$A951,0)),'Reverse Search'!$J$21)))))</f>
        <v>0</v>
      </c>
      <c r="AB618" s="490"/>
      <c r="AC618" s="260" t="n">
        <f aca="false">IF((Q618+R618+S618+V618+W618+X618+Y618+IF(Z618&gt;=1,1,0)+IF(AA618&gt;=1,1,0))=9,G618&amp;", ",)</f>
        <v>0</v>
      </c>
    </row>
    <row r="619" customFormat="false" ht="15.75" hidden="false" customHeight="false" outlineLevel="0" collapsed="false">
      <c r="A619" s="260"/>
      <c r="B619" s="358"/>
      <c r="C619" s="260"/>
      <c r="D619" s="358"/>
      <c r="E619" s="260" t="n">
        <v>618</v>
      </c>
      <c r="F619" s="260" t="n">
        <f aca="false" t="array" ref="F619:F619">INDEX('0.0.1 Pokémon Dex Data'!$H$3:$H951,MATCH(E619,'0.0.1 Pokémon Dex Data'!$B$3:$B951,0))</f>
        <v>0</v>
      </c>
      <c r="G619" s="0" t="str">
        <f aca="false" t="array" ref="G619:G619">INDEX('0.0.1 Pokémon Dex Data'!$E$3:$E951,MATCH(E619,'0.0.1 Pokémon Dex Data'!$B$3:$B951,0))</f>
        <v>Tranquill</v>
      </c>
      <c r="H619" s="0" t="str">
        <f aca="false" t="array" ref="H619:H619">INDEX('0.0.1 Pokémon Dex Data'!$Q$3:$Q951,MATCH(E619,'0.0.1 Pokémon Dex Data'!$B$3:$B951,0))</f>
        <v>Normal</v>
      </c>
      <c r="I619" s="0" t="str">
        <f aca="false" t="array" ref="I619:I619">INDEX('0.0.1 Pokémon Dex Data'!$R$3:$R951,MATCH(E619,'0.0.1 Pokémon Dex Data'!$B$3:$B951,0))</f>
        <v>Flying</v>
      </c>
      <c r="J619" s="260" t="n">
        <f aca="false" t="array" ref="J619:J619">ROUND(INDEX('0.0.1 Pokémon Dex Data'!$S$3:$S951,MATCH($E619,'0.0.1 Pokémon Dex Data'!$B$3:$B951,0))*INDEX('0.0.1 Pokémon Dex Data'!T$3:T951,MATCH($E619,'0.0.1 Pokémon Dex Data'!$B$3:$B951,0)),0)</f>
        <v>144</v>
      </c>
      <c r="K619" s="260" t="n">
        <f aca="false" t="array" ref="K619:K619">ROUND(INDEX('0.0.1 Pokémon Dex Data'!$S$3:$S951,MATCH($E619,'0.0.1 Pokémon Dex Data'!$B$3:$B951,0))*INDEX('0.0.1 Pokémon Dex Data'!U$3:U951,MATCH($E619,'0.0.1 Pokémon Dex Data'!$B$3:$B951,0)),0)</f>
        <v>107</v>
      </c>
      <c r="L619" s="260" t="n">
        <f aca="false" t="array" ref="L619:L619">ROUND(INDEX('0.0.1 Pokémon Dex Data'!$S$3:$S951,MATCH($E619,'0.0.1 Pokémon Dex Data'!$B$3:$B951,0))*INDEX('0.0.1 Pokémon Dex Data'!V$3:V951,MATCH($E619,'0.0.1 Pokémon Dex Data'!$B$3:$B951,0)),0)</f>
        <v>158</v>
      </c>
      <c r="M619" s="260" t="n">
        <f aca="false" t="array" ref="M619:M619">INDEX('0.0.1 Pokémon Dex Data'!$J$3:$J951,MATCH(E619,'0.0.1 Pokémon Dex Data'!$B$3:$B951,0))</f>
        <v>0</v>
      </c>
      <c r="O619" s="490"/>
      <c r="Q619" s="367" t="n">
        <f aca="false">IF('Reverse Search'!$F$4="All (including temporary formes)",1,IF('Reverse Search'!$F$4="Base Pokémon and permanent formes only",IF(F619&lt;=1,1,0),IF(F619=0,1,0)))</f>
        <v>1</v>
      </c>
      <c r="R619" s="0" t="n">
        <f aca="false">IF('Reverse Search'!$C$7="Disable",1,IF('Reverse Search'!$D$9="Disable",1,IF(OR('Reverse Search'!$F$9=H619,'Reverse Search'!$F$9=I619),1,0)))</f>
        <v>1</v>
      </c>
      <c r="S619" s="0" t="n">
        <f aca="false">IF('Reverse Search'!$C$7="Disable",1,IF('Reverse Search'!$D$10="Disable",1,IF(OR('Reverse Search'!$F$10=H619,'Reverse Search'!$F$10=I619),1,0)))</f>
        <v>1</v>
      </c>
      <c r="T619" s="0" t="n">
        <f aca="false">INDEX($B$4:$B$22,MATCH(H619,$A$4:$A$22,0))</f>
        <v>1</v>
      </c>
      <c r="U619" s="0" t="n">
        <f aca="false">IF(ISBLANK(I619),1,INDEX($B$4:$B$22,MATCH(I619,$A$4:$A$22,0)))</f>
        <v>1</v>
      </c>
      <c r="V619" s="367" t="n">
        <f aca="false">IF('Reverse Search'!$C$7="Disable",1,IF('Reverse Search'!$D$11="Disable",1,IF('Reverse Search'!$E$11="Neutral to:",IF(ROUND(T619*U619,2)&lt;=1,1,0),IF(ROUND(T619*U619,2)&lt;1,1,0))))</f>
        <v>1</v>
      </c>
      <c r="W619" s="0" t="n">
        <f aca="false">IF('Reverse Search'!$N$7="Disable",1,IF('Reverse Search'!$I$9="Disable",1,IF('Reverse Search'!$K$9="≥",IF(J619&gt;='Reverse Search'!$L$9,1,0),IF('Reverse Search'!$K$9="≤",IF(J619&lt;='Reverse Search'!$L$9,1,0),IF(J619='Reverse Search'!$L$9,1,0)))))</f>
        <v>1</v>
      </c>
      <c r="X619" s="0" t="n">
        <f aca="false">IF('Reverse Search'!$N$7="Disable",1,IF('Reverse Search'!$I$10="Disable",1,IF('Reverse Search'!$K$10="≥",IF(K619&gt;='Reverse Search'!$L$10,1,0),IF('Reverse Search'!$K$10="≤",IF(K619&lt;='Reverse Search'!$L$10,1,0),IF(K619='Reverse Search'!$L$10,1,0)))))</f>
        <v>1</v>
      </c>
      <c r="Y619" s="367" t="n">
        <f aca="false">IF('Reverse Search'!$N$7="Disable",1,IF('Reverse Search'!$I$11="Disable",1,IF('Reverse Search'!$K$11="≥",IF(L619&gt;='Reverse Search'!$L$11,1,0),IF('Reverse Search'!$K$11="≤",IF(L619&lt;='Reverse Search'!$L$11,1,0),IF(L619='Reverse Search'!$L$11,1,0)))))</f>
        <v>1</v>
      </c>
      <c r="Z619" s="0" t="n">
        <f aca="true">IF('Reverse Search'!$C$14="Disable",1,IF('Reverse Search'!$D$16="Disable",1,IF($C$2=3,IF($M619=0,0,COUNTIF(INDIRECT("'0.0.2 Pokémon Learnset (Core)'!$D$"&amp;MATCH($E619,'0.0.2 Pokémon Learnset (Core)'!$A$1:$A951,0)&amp;":$FK$"&amp;MATCH($E619,'0.0.2 Pokémon Learnset (Core)'!$A$1:$A951,0)),'Reverse Search'!$E$21)),IF($C$2=2,COUNTIF(INDIRECT("'0.1.1 Pokémon GO Moves'!$B$"&amp;MATCH($E619,'0.1.1 Pokémon GO Moves'!$A$1:$A951,0)&amp;":$R$"&amp;MATCH($E619,'0.1.1 Pokémon GO Moves'!$A$1:$A951,0)),'Reverse Search'!$E$21),COUNTIF(INDIRECT("'0.1.1 Pokémon GO Moves'!$B$"&amp;MATCH($E619,'0.1.1 Pokémon GO Moves'!$A$1:$A951,0)&amp;":$L$"&amp;MATCH($E619,'0.1.1 Pokémon GO Moves'!$A$1:$A951,0)),'Reverse Search'!$E$21)))))</f>
        <v>1</v>
      </c>
      <c r="AA619" s="0" t="n">
        <f aca="true">IF('Reverse Search'!$C$14="Disable",1,IF('Reverse Search'!$I$16="Disable",1,IF($D$2=3,IF($M619=0,0,COUNTIF(INDIRECT("'0.0.2 Pokémon Learnset (Core)'!$D$"&amp;MATCH($E619,'0.0.2 Pokémon Learnset (Core)'!$A$1:$A951,0)&amp;":$FK$"&amp;MATCH($E619,'0.0.2 Pokémon Learnset (Core)'!$A$1:$A951,0)),'Reverse Search'!$J$21)),IF($D$2=2,COUNTIF(INDIRECT("'0.1.1 Pokémon GO Moves'!$B$"&amp;MATCH($E619,'0.1.1 Pokémon GO Moves'!$A$1:$A951,0)&amp;":$R$"&amp;MATCH($E619,'0.1.1 Pokémon GO Moves'!$A$1:$A951,0)),'Reverse Search'!$J$21),COUNTIF(INDIRECT("'0.1.1 Pokémon GO Moves'!$B$"&amp;MATCH($E619,'0.1.1 Pokémon GO Moves'!$A$1:$A951,0)&amp;":$L$"&amp;MATCH($E619,'0.1.1 Pokémon GO Moves'!$A$1:$A951,0)),'Reverse Search'!$J$21)))))</f>
        <v>0</v>
      </c>
      <c r="AB619" s="490"/>
      <c r="AC619" s="260" t="n">
        <f aca="false">IF((Q619+R619+S619+V619+W619+X619+Y619+IF(Z619&gt;=1,1,0)+IF(AA619&gt;=1,1,0))=9,G619&amp;", ",)</f>
        <v>0</v>
      </c>
    </row>
    <row r="620" customFormat="false" ht="15.75" hidden="false" customHeight="false" outlineLevel="0" collapsed="false">
      <c r="A620" s="260"/>
      <c r="B620" s="358"/>
      <c r="C620" s="260"/>
      <c r="D620" s="358"/>
      <c r="E620" s="260" t="n">
        <v>619</v>
      </c>
      <c r="F620" s="260" t="n">
        <f aca="false" t="array" ref="F620:F620">INDEX('0.0.1 Pokémon Dex Data'!$H$3:$H951,MATCH(E620,'0.0.1 Pokémon Dex Data'!$B$3:$B951,0))</f>
        <v>0</v>
      </c>
      <c r="G620" s="0" t="str">
        <f aca="false" t="array" ref="G620:G620">INDEX('0.0.1 Pokémon Dex Data'!$E$3:$E951,MATCH(E620,'0.0.1 Pokémon Dex Data'!$B$3:$B951,0))</f>
        <v>Unfezant</v>
      </c>
      <c r="H620" s="0" t="str">
        <f aca="false" t="array" ref="H620:H620">INDEX('0.0.1 Pokémon Dex Data'!$Q$3:$Q951,MATCH(E620,'0.0.1 Pokémon Dex Data'!$B$3:$B951,0))</f>
        <v>Normal</v>
      </c>
      <c r="I620" s="0" t="str">
        <f aca="false" t="array" ref="I620:I620">INDEX('0.0.1 Pokémon Dex Data'!$R$3:$R951,MATCH(E620,'0.0.1 Pokémon Dex Data'!$B$3:$B951,0))</f>
        <v>Flying</v>
      </c>
      <c r="J620" s="260" t="n">
        <f aca="false" t="array" ref="J620:J620">ROUND(INDEX('0.0.1 Pokémon Dex Data'!$S$3:$S951,MATCH($E620,'0.0.1 Pokémon Dex Data'!$B$3:$B951,0))*INDEX('0.0.1 Pokémon Dex Data'!T$3:T951,MATCH($E620,'0.0.1 Pokémon Dex Data'!$B$3:$B951,0)),0)</f>
        <v>226</v>
      </c>
      <c r="K620" s="260" t="n">
        <f aca="false" t="array" ref="K620:K620">ROUND(INDEX('0.0.1 Pokémon Dex Data'!$S$3:$S951,MATCH($E620,'0.0.1 Pokémon Dex Data'!$B$3:$B951,0))*INDEX('0.0.1 Pokémon Dex Data'!U$3:U951,MATCH($E620,'0.0.1 Pokémon Dex Data'!$B$3:$B951,0)),0)</f>
        <v>146</v>
      </c>
      <c r="L620" s="260" t="n">
        <f aca="false" t="array" ref="L620:L620">ROUND(INDEX('0.0.1 Pokémon Dex Data'!$S$3:$S951,MATCH($E620,'0.0.1 Pokémon Dex Data'!$B$3:$B951,0))*INDEX('0.0.1 Pokémon Dex Data'!V$3:V951,MATCH($E620,'0.0.1 Pokémon Dex Data'!$B$3:$B951,0)),0)</f>
        <v>190</v>
      </c>
      <c r="M620" s="260" t="n">
        <f aca="false" t="array" ref="M620:M620">INDEX('0.0.1 Pokémon Dex Data'!$J$3:$J951,MATCH(E620,'0.0.1 Pokémon Dex Data'!$B$3:$B951,0))</f>
        <v>1</v>
      </c>
      <c r="O620" s="490"/>
      <c r="Q620" s="367" t="n">
        <f aca="false">IF('Reverse Search'!$F$4="All (including temporary formes)",1,IF('Reverse Search'!$F$4="Base Pokémon and permanent formes only",IF(F620&lt;=1,1,0),IF(F620=0,1,0)))</f>
        <v>1</v>
      </c>
      <c r="R620" s="0" t="n">
        <f aca="false">IF('Reverse Search'!$C$7="Disable",1,IF('Reverse Search'!$D$9="Disable",1,IF(OR('Reverse Search'!$F$9=H620,'Reverse Search'!$F$9=I620),1,0)))</f>
        <v>1</v>
      </c>
      <c r="S620" s="0" t="n">
        <f aca="false">IF('Reverse Search'!$C$7="Disable",1,IF('Reverse Search'!$D$10="Disable",1,IF(OR('Reverse Search'!$F$10=H620,'Reverse Search'!$F$10=I620),1,0)))</f>
        <v>1</v>
      </c>
      <c r="T620" s="0" t="n">
        <f aca="false">INDEX($B$4:$B$22,MATCH(H620,$A$4:$A$22,0))</f>
        <v>1</v>
      </c>
      <c r="U620" s="0" t="n">
        <f aca="false">IF(ISBLANK(I620),1,INDEX($B$4:$B$22,MATCH(I620,$A$4:$A$22,0)))</f>
        <v>1</v>
      </c>
      <c r="V620" s="367" t="n">
        <f aca="false">IF('Reverse Search'!$C$7="Disable",1,IF('Reverse Search'!$D$11="Disable",1,IF('Reverse Search'!$E$11="Neutral to:",IF(ROUND(T620*U620,2)&lt;=1,1,0),IF(ROUND(T620*U620,2)&lt;1,1,0))))</f>
        <v>1</v>
      </c>
      <c r="W620" s="0" t="n">
        <f aca="false">IF('Reverse Search'!$N$7="Disable",1,IF('Reverse Search'!$I$9="Disable",1,IF('Reverse Search'!$K$9="≥",IF(J620&gt;='Reverse Search'!$L$9,1,0),IF('Reverse Search'!$K$9="≤",IF(J620&lt;='Reverse Search'!$L$9,1,0),IF(J620='Reverse Search'!$L$9,1,0)))))</f>
        <v>1</v>
      </c>
      <c r="X620" s="0" t="n">
        <f aca="false">IF('Reverse Search'!$N$7="Disable",1,IF('Reverse Search'!$I$10="Disable",1,IF('Reverse Search'!$K$10="≥",IF(K620&gt;='Reverse Search'!$L$10,1,0),IF('Reverse Search'!$K$10="≤",IF(K620&lt;='Reverse Search'!$L$10,1,0),IF(K620='Reverse Search'!$L$10,1,0)))))</f>
        <v>1</v>
      </c>
      <c r="Y620" s="367" t="n">
        <f aca="false">IF('Reverse Search'!$N$7="Disable",1,IF('Reverse Search'!$I$11="Disable",1,IF('Reverse Search'!$K$11="≥",IF(L620&gt;='Reverse Search'!$L$11,1,0),IF('Reverse Search'!$K$11="≤",IF(L620&lt;='Reverse Search'!$L$11,1,0),IF(L620='Reverse Search'!$L$11,1,0)))))</f>
        <v>1</v>
      </c>
      <c r="Z620" s="0" t="n">
        <f aca="true">IF('Reverse Search'!$C$14="Disable",1,IF('Reverse Search'!$D$16="Disable",1,IF($C$2=3,IF($M620=0,0,COUNTIF(INDIRECT("'0.0.2 Pokémon Learnset (Core)'!$D$"&amp;MATCH($E620,'0.0.2 Pokémon Learnset (Core)'!$A$1:$A951,0)&amp;":$FK$"&amp;MATCH($E620,'0.0.2 Pokémon Learnset (Core)'!$A$1:$A951,0)),'Reverse Search'!$E$21)),IF($C$2=2,COUNTIF(INDIRECT("'0.1.1 Pokémon GO Moves'!$B$"&amp;MATCH($E620,'0.1.1 Pokémon GO Moves'!$A$1:$A951,0)&amp;":$R$"&amp;MATCH($E620,'0.1.1 Pokémon GO Moves'!$A$1:$A951,0)),'Reverse Search'!$E$21),COUNTIF(INDIRECT("'0.1.1 Pokémon GO Moves'!$B$"&amp;MATCH($E620,'0.1.1 Pokémon GO Moves'!$A$1:$A951,0)&amp;":$L$"&amp;MATCH($E620,'0.1.1 Pokémon GO Moves'!$A$1:$A951,0)),'Reverse Search'!$E$21)))))</f>
        <v>1</v>
      </c>
      <c r="AA620" s="0" t="n">
        <f aca="true">IF('Reverse Search'!$C$14="Disable",1,IF('Reverse Search'!$I$16="Disable",1,IF($D$2=3,IF($M620=0,0,COUNTIF(INDIRECT("'0.0.2 Pokémon Learnset (Core)'!$D$"&amp;MATCH($E620,'0.0.2 Pokémon Learnset (Core)'!$A$1:$A951,0)&amp;":$FK$"&amp;MATCH($E620,'0.0.2 Pokémon Learnset (Core)'!$A$1:$A951,0)),'Reverse Search'!$J$21)),IF($D$2=2,COUNTIF(INDIRECT("'0.1.1 Pokémon GO Moves'!$B$"&amp;MATCH($E620,'0.1.1 Pokémon GO Moves'!$A$1:$A951,0)&amp;":$R$"&amp;MATCH($E620,'0.1.1 Pokémon GO Moves'!$A$1:$A951,0)),'Reverse Search'!$J$21),COUNTIF(INDIRECT("'0.1.1 Pokémon GO Moves'!$B$"&amp;MATCH($E620,'0.1.1 Pokémon GO Moves'!$A$1:$A951,0)&amp;":$L$"&amp;MATCH($E620,'0.1.1 Pokémon GO Moves'!$A$1:$A951,0)),'Reverse Search'!$J$21)))))</f>
        <v>0</v>
      </c>
      <c r="AB620" s="490"/>
      <c r="AC620" s="260" t="n">
        <f aca="false">IF((Q620+R620+S620+V620+W620+X620+Y620+IF(Z620&gt;=1,1,0)+IF(AA620&gt;=1,1,0))=9,G620&amp;", ",)</f>
        <v>0</v>
      </c>
    </row>
    <row r="621" customFormat="false" ht="15.75" hidden="false" customHeight="false" outlineLevel="0" collapsed="false">
      <c r="A621" s="260"/>
      <c r="B621" s="358"/>
      <c r="C621" s="260"/>
      <c r="D621" s="358"/>
      <c r="E621" s="260" t="n">
        <v>620</v>
      </c>
      <c r="F621" s="260" t="n">
        <f aca="false" t="array" ref="F621:F621">INDEX('0.0.1 Pokémon Dex Data'!$H$3:$H951,MATCH(E621,'0.0.1 Pokémon Dex Data'!$B$3:$B951,0))</f>
        <v>0</v>
      </c>
      <c r="G621" s="0" t="str">
        <f aca="false" t="array" ref="G621:G621">INDEX('0.0.1 Pokémon Dex Data'!$E$3:$E951,MATCH(E621,'0.0.1 Pokémon Dex Data'!$B$3:$B951,0))</f>
        <v>Blitzle</v>
      </c>
      <c r="H621" s="0" t="str">
        <f aca="false" t="array" ref="H621:H621">INDEX('0.0.1 Pokémon Dex Data'!$Q$3:$Q951,MATCH(E621,'0.0.1 Pokémon Dex Data'!$B$3:$B951,0))</f>
        <v>Electric</v>
      </c>
      <c r="I621" s="0" t="n">
        <f aca="false">INDEX('0.0.1 Pokémon Dex Data'!$R$3:$R951,MATCH(E621,'0.0.1 Pokémon Dex Data'!$B$3:$B951,0))</f>
        <v>0</v>
      </c>
      <c r="J621" s="260" t="n">
        <f aca="false" t="array" ref="J621:J621">ROUND(INDEX('0.0.1 Pokémon Dex Data'!$S$3:$S951,MATCH($E621,'0.0.1 Pokémon Dex Data'!$B$3:$B951,0))*INDEX('0.0.1 Pokémon Dex Data'!T$3:T951,MATCH($E621,'0.0.1 Pokémon Dex Data'!$B$3:$B951,0)),0)</f>
        <v>118</v>
      </c>
      <c r="K621" s="260" t="n">
        <f aca="false" t="array" ref="K621:K621">ROUND(INDEX('0.0.1 Pokémon Dex Data'!$S$3:$S951,MATCH($E621,'0.0.1 Pokémon Dex Data'!$B$3:$B951,0))*INDEX('0.0.1 Pokémon Dex Data'!U$3:U951,MATCH($E621,'0.0.1 Pokémon Dex Data'!$B$3:$B951,0)),0)</f>
        <v>64</v>
      </c>
      <c r="L621" s="260" t="n">
        <f aca="false" t="array" ref="L621:L621">ROUND(INDEX('0.0.1 Pokémon Dex Data'!$S$3:$S951,MATCH($E621,'0.0.1 Pokémon Dex Data'!$B$3:$B951,0))*INDEX('0.0.1 Pokémon Dex Data'!V$3:V951,MATCH($E621,'0.0.1 Pokémon Dex Data'!$B$3:$B951,0)),0)</f>
        <v>128</v>
      </c>
      <c r="M621" s="260" t="n">
        <f aca="false" t="array" ref="M621:M621">INDEX('0.0.1 Pokémon Dex Data'!$J$3:$J951,MATCH(E621,'0.0.1 Pokémon Dex Data'!$B$3:$B951,0))</f>
        <v>0</v>
      </c>
      <c r="O621" s="490"/>
      <c r="Q621" s="367" t="n">
        <f aca="false">IF('Reverse Search'!$F$4="All (including temporary formes)",1,IF('Reverse Search'!$F$4="Base Pokémon and permanent formes only",IF(F621&lt;=1,1,0),IF(F621=0,1,0)))</f>
        <v>1</v>
      </c>
      <c r="R621" s="0" t="n">
        <f aca="false">IF('Reverse Search'!$C$7="Disable",1,IF('Reverse Search'!$D$9="Disable",1,IF(OR('Reverse Search'!$F$9=H621,'Reverse Search'!$F$9=I621),1,0)))</f>
        <v>1</v>
      </c>
      <c r="S621" s="0" t="n">
        <f aca="false">IF('Reverse Search'!$C$7="Disable",1,IF('Reverse Search'!$D$10="Disable",1,IF(OR('Reverse Search'!$F$10=H621,'Reverse Search'!$F$10=I621),1,0)))</f>
        <v>1</v>
      </c>
      <c r="T621" s="0" t="n">
        <f aca="false">INDEX($B$4:$B$22,MATCH(H621,$A$4:$A$22,0))</f>
        <v>1</v>
      </c>
      <c r="U621" s="0" t="e">
        <f aca="false">IF(ISBLANK(I621),1,INDEX($B$4:$B$22,MATCH(I621,$A$4:$A$22,0)))</f>
        <v>#N/A</v>
      </c>
      <c r="V621" s="367" t="n">
        <f aca="false">IF('Reverse Search'!$C$7="Disable",1,IF('Reverse Search'!$D$11="Disable",1,IF('Reverse Search'!$E$11="Neutral to:",IF(ROUND(T621*U621,2)&lt;=1,1,0),IF(ROUND(T621*U621,2)&lt;1,1,0))))</f>
        <v>1</v>
      </c>
      <c r="W621" s="0" t="n">
        <f aca="false">IF('Reverse Search'!$N$7="Disable",1,IF('Reverse Search'!$I$9="Disable",1,IF('Reverse Search'!$K$9="≥",IF(J621&gt;='Reverse Search'!$L$9,1,0),IF('Reverse Search'!$K$9="≤",IF(J621&lt;='Reverse Search'!$L$9,1,0),IF(J621='Reverse Search'!$L$9,1,0)))))</f>
        <v>1</v>
      </c>
      <c r="X621" s="0" t="n">
        <f aca="false">IF('Reverse Search'!$N$7="Disable",1,IF('Reverse Search'!$I$10="Disable",1,IF('Reverse Search'!$K$10="≥",IF(K621&gt;='Reverse Search'!$L$10,1,0),IF('Reverse Search'!$K$10="≤",IF(K621&lt;='Reverse Search'!$L$10,1,0),IF(K621='Reverse Search'!$L$10,1,0)))))</f>
        <v>1</v>
      </c>
      <c r="Y621" s="367" t="n">
        <f aca="false">IF('Reverse Search'!$N$7="Disable",1,IF('Reverse Search'!$I$11="Disable",1,IF('Reverse Search'!$K$11="≥",IF(L621&gt;='Reverse Search'!$L$11,1,0),IF('Reverse Search'!$K$11="≤",IF(L621&lt;='Reverse Search'!$L$11,1,0),IF(L621='Reverse Search'!$L$11,1,0)))))</f>
        <v>1</v>
      </c>
      <c r="Z621" s="0" t="n">
        <f aca="true">IF('Reverse Search'!$C$14="Disable",1,IF('Reverse Search'!$D$16="Disable",1,IF($C$2=3,IF($M621=0,0,COUNTIF(INDIRECT("'0.0.2 Pokémon Learnset (Core)'!$D$"&amp;MATCH($E621,'0.0.2 Pokémon Learnset (Core)'!$A$1:$A951,0)&amp;":$FK$"&amp;MATCH($E621,'0.0.2 Pokémon Learnset (Core)'!$A$1:$A951,0)),'Reverse Search'!$E$21)),IF($C$2=2,COUNTIF(INDIRECT("'0.1.1 Pokémon GO Moves'!$B$"&amp;MATCH($E621,'0.1.1 Pokémon GO Moves'!$A$1:$A951,0)&amp;":$R$"&amp;MATCH($E621,'0.1.1 Pokémon GO Moves'!$A$1:$A951,0)),'Reverse Search'!$E$21),COUNTIF(INDIRECT("'0.1.1 Pokémon GO Moves'!$B$"&amp;MATCH($E621,'0.1.1 Pokémon GO Moves'!$A$1:$A951,0)&amp;":$L$"&amp;MATCH($E621,'0.1.1 Pokémon GO Moves'!$A$1:$A951,0)),'Reverse Search'!$E$21)))))</f>
        <v>1</v>
      </c>
      <c r="AA621" s="0" t="n">
        <f aca="true">IF('Reverse Search'!$C$14="Disable",1,IF('Reverse Search'!$I$16="Disable",1,IF($D$2=3,IF($M621=0,0,COUNTIF(INDIRECT("'0.0.2 Pokémon Learnset (Core)'!$D$"&amp;MATCH($E621,'0.0.2 Pokémon Learnset (Core)'!$A$1:$A951,0)&amp;":$FK$"&amp;MATCH($E621,'0.0.2 Pokémon Learnset (Core)'!$A$1:$A951,0)),'Reverse Search'!$J$21)),IF($D$2=2,COUNTIF(INDIRECT("'0.1.1 Pokémon GO Moves'!$B$"&amp;MATCH($E621,'0.1.1 Pokémon GO Moves'!$A$1:$A951,0)&amp;":$R$"&amp;MATCH($E621,'0.1.1 Pokémon GO Moves'!$A$1:$A951,0)),'Reverse Search'!$J$21),COUNTIF(INDIRECT("'0.1.1 Pokémon GO Moves'!$B$"&amp;MATCH($E621,'0.1.1 Pokémon GO Moves'!$A$1:$A951,0)&amp;":$L$"&amp;MATCH($E621,'0.1.1 Pokémon GO Moves'!$A$1:$A951,0)),'Reverse Search'!$J$21)))))</f>
        <v>0</v>
      </c>
      <c r="AB621" s="490"/>
      <c r="AC621" s="260" t="n">
        <f aca="false">IF((Q621+R621+S621+V621+W621+X621+Y621+IF(Z621&gt;=1,1,0)+IF(AA621&gt;=1,1,0))=9,G621&amp;", ",)</f>
        <v>0</v>
      </c>
    </row>
    <row r="622" customFormat="false" ht="15.75" hidden="false" customHeight="false" outlineLevel="0" collapsed="false">
      <c r="A622" s="260"/>
      <c r="B622" s="358"/>
      <c r="C622" s="260"/>
      <c r="D622" s="358"/>
      <c r="E622" s="260" t="n">
        <v>621</v>
      </c>
      <c r="F622" s="260" t="n">
        <f aca="false" t="array" ref="F622:F622">INDEX('0.0.1 Pokémon Dex Data'!$H$3:$H951,MATCH(E622,'0.0.1 Pokémon Dex Data'!$B$3:$B951,0))</f>
        <v>0</v>
      </c>
      <c r="G622" s="0" t="str">
        <f aca="false" t="array" ref="G622:G622">INDEX('0.0.1 Pokémon Dex Data'!$E$3:$E951,MATCH(E622,'0.0.1 Pokémon Dex Data'!$B$3:$B951,0))</f>
        <v>Zebstrika</v>
      </c>
      <c r="H622" s="0" t="str">
        <f aca="false" t="array" ref="H622:H622">INDEX('0.0.1 Pokémon Dex Data'!$Q$3:$Q951,MATCH(E622,'0.0.1 Pokémon Dex Data'!$B$3:$B951,0))</f>
        <v>Electric</v>
      </c>
      <c r="I622" s="0" t="n">
        <f aca="false">INDEX('0.0.1 Pokémon Dex Data'!$R$3:$R951,MATCH(E622,'0.0.1 Pokémon Dex Data'!$B$3:$B951,0))</f>
        <v>0</v>
      </c>
      <c r="J622" s="260" t="n">
        <f aca="false" t="array" ref="J622:J622">ROUND(INDEX('0.0.1 Pokémon Dex Data'!$S$3:$S951,MATCH($E622,'0.0.1 Pokémon Dex Data'!$B$3:$B951,0))*INDEX('0.0.1 Pokémon Dex Data'!T$3:T951,MATCH($E622,'0.0.1 Pokémon Dex Data'!$B$3:$B951,0)),0)</f>
        <v>211</v>
      </c>
      <c r="K622" s="260" t="n">
        <f aca="false" t="array" ref="K622:K622">ROUND(INDEX('0.0.1 Pokémon Dex Data'!$S$3:$S951,MATCH($E622,'0.0.1 Pokémon Dex Data'!$B$3:$B951,0))*INDEX('0.0.1 Pokémon Dex Data'!U$3:U951,MATCH($E622,'0.0.1 Pokémon Dex Data'!$B$3:$B951,0)),0)</f>
        <v>136</v>
      </c>
      <c r="L622" s="260" t="n">
        <f aca="false" t="array" ref="L622:L622">ROUND(INDEX('0.0.1 Pokémon Dex Data'!$S$3:$S951,MATCH($E622,'0.0.1 Pokémon Dex Data'!$B$3:$B951,0))*INDEX('0.0.1 Pokémon Dex Data'!V$3:V951,MATCH($E622,'0.0.1 Pokémon Dex Data'!$B$3:$B951,0)),0)</f>
        <v>181</v>
      </c>
      <c r="M622" s="260" t="n">
        <f aca="false" t="array" ref="M622:M622">INDEX('0.0.1 Pokémon Dex Data'!$J$3:$J951,MATCH(E622,'0.0.1 Pokémon Dex Data'!$B$3:$B951,0))</f>
        <v>1</v>
      </c>
      <c r="O622" s="490"/>
      <c r="Q622" s="367" t="n">
        <f aca="false">IF('Reverse Search'!$F$4="All (including temporary formes)",1,IF('Reverse Search'!$F$4="Base Pokémon and permanent formes only",IF(F622&lt;=1,1,0),IF(F622=0,1,0)))</f>
        <v>1</v>
      </c>
      <c r="R622" s="0" t="n">
        <f aca="false">IF('Reverse Search'!$C$7="Disable",1,IF('Reverse Search'!$D$9="Disable",1,IF(OR('Reverse Search'!$F$9=H622,'Reverse Search'!$F$9=I622),1,0)))</f>
        <v>1</v>
      </c>
      <c r="S622" s="0" t="n">
        <f aca="false">IF('Reverse Search'!$C$7="Disable",1,IF('Reverse Search'!$D$10="Disable",1,IF(OR('Reverse Search'!$F$10=H622,'Reverse Search'!$F$10=I622),1,0)))</f>
        <v>1</v>
      </c>
      <c r="T622" s="0" t="n">
        <f aca="false">INDEX($B$4:$B$22,MATCH(H622,$A$4:$A$22,0))</f>
        <v>1</v>
      </c>
      <c r="U622" s="0" t="e">
        <f aca="false">IF(ISBLANK(I622),1,INDEX($B$4:$B$22,MATCH(I622,$A$4:$A$22,0)))</f>
        <v>#N/A</v>
      </c>
      <c r="V622" s="367" t="n">
        <f aca="false">IF('Reverse Search'!$C$7="Disable",1,IF('Reverse Search'!$D$11="Disable",1,IF('Reverse Search'!$E$11="Neutral to:",IF(ROUND(T622*U622,2)&lt;=1,1,0),IF(ROUND(T622*U622,2)&lt;1,1,0))))</f>
        <v>1</v>
      </c>
      <c r="W622" s="0" t="n">
        <f aca="false">IF('Reverse Search'!$N$7="Disable",1,IF('Reverse Search'!$I$9="Disable",1,IF('Reverse Search'!$K$9="≥",IF(J622&gt;='Reverse Search'!$L$9,1,0),IF('Reverse Search'!$K$9="≤",IF(J622&lt;='Reverse Search'!$L$9,1,0),IF(J622='Reverse Search'!$L$9,1,0)))))</f>
        <v>1</v>
      </c>
      <c r="X622" s="0" t="n">
        <f aca="false">IF('Reverse Search'!$N$7="Disable",1,IF('Reverse Search'!$I$10="Disable",1,IF('Reverse Search'!$K$10="≥",IF(K622&gt;='Reverse Search'!$L$10,1,0),IF('Reverse Search'!$K$10="≤",IF(K622&lt;='Reverse Search'!$L$10,1,0),IF(K622='Reverse Search'!$L$10,1,0)))))</f>
        <v>1</v>
      </c>
      <c r="Y622" s="367" t="n">
        <f aca="false">IF('Reverse Search'!$N$7="Disable",1,IF('Reverse Search'!$I$11="Disable",1,IF('Reverse Search'!$K$11="≥",IF(L622&gt;='Reverse Search'!$L$11,1,0),IF('Reverse Search'!$K$11="≤",IF(L622&lt;='Reverse Search'!$L$11,1,0),IF(L622='Reverse Search'!$L$11,1,0)))))</f>
        <v>1</v>
      </c>
      <c r="Z622" s="0" t="n">
        <f aca="true">IF('Reverse Search'!$C$14="Disable",1,IF('Reverse Search'!$D$16="Disable",1,IF($C$2=3,IF($M622=0,0,COUNTIF(INDIRECT("'0.0.2 Pokémon Learnset (Core)'!$D$"&amp;MATCH($E622,'0.0.2 Pokémon Learnset (Core)'!$A$1:$A951,0)&amp;":$FK$"&amp;MATCH($E622,'0.0.2 Pokémon Learnset (Core)'!$A$1:$A951,0)),'Reverse Search'!$E$21)),IF($C$2=2,COUNTIF(INDIRECT("'0.1.1 Pokémon GO Moves'!$B$"&amp;MATCH($E622,'0.1.1 Pokémon GO Moves'!$A$1:$A951,0)&amp;":$R$"&amp;MATCH($E622,'0.1.1 Pokémon GO Moves'!$A$1:$A951,0)),'Reverse Search'!$E$21),COUNTIF(INDIRECT("'0.1.1 Pokémon GO Moves'!$B$"&amp;MATCH($E622,'0.1.1 Pokémon GO Moves'!$A$1:$A951,0)&amp;":$L$"&amp;MATCH($E622,'0.1.1 Pokémon GO Moves'!$A$1:$A951,0)),'Reverse Search'!$E$21)))))</f>
        <v>1</v>
      </c>
      <c r="AA622" s="0" t="n">
        <f aca="true">IF('Reverse Search'!$C$14="Disable",1,IF('Reverse Search'!$I$16="Disable",1,IF($D$2=3,IF($M622=0,0,COUNTIF(INDIRECT("'0.0.2 Pokémon Learnset (Core)'!$D$"&amp;MATCH($E622,'0.0.2 Pokémon Learnset (Core)'!$A$1:$A951,0)&amp;":$FK$"&amp;MATCH($E622,'0.0.2 Pokémon Learnset (Core)'!$A$1:$A951,0)),'Reverse Search'!$J$21)),IF($D$2=2,COUNTIF(INDIRECT("'0.1.1 Pokémon GO Moves'!$B$"&amp;MATCH($E622,'0.1.1 Pokémon GO Moves'!$A$1:$A951,0)&amp;":$R$"&amp;MATCH($E622,'0.1.1 Pokémon GO Moves'!$A$1:$A951,0)),'Reverse Search'!$J$21),COUNTIF(INDIRECT("'0.1.1 Pokémon GO Moves'!$B$"&amp;MATCH($E622,'0.1.1 Pokémon GO Moves'!$A$1:$A951,0)&amp;":$L$"&amp;MATCH($E622,'0.1.1 Pokémon GO Moves'!$A$1:$A951,0)),'Reverse Search'!$J$21)))))</f>
        <v>0</v>
      </c>
      <c r="AB622" s="490"/>
      <c r="AC622" s="260" t="n">
        <f aca="false">IF((Q622+R622+S622+V622+W622+X622+Y622+IF(Z622&gt;=1,1,0)+IF(AA622&gt;=1,1,0))=9,G622&amp;", ",)</f>
        <v>0</v>
      </c>
    </row>
    <row r="623" customFormat="false" ht="15.75" hidden="false" customHeight="false" outlineLevel="0" collapsed="false">
      <c r="A623" s="260"/>
      <c r="B623" s="358"/>
      <c r="C623" s="260"/>
      <c r="D623" s="358"/>
      <c r="E623" s="260" t="n">
        <v>622</v>
      </c>
      <c r="F623" s="260" t="n">
        <f aca="false" t="array" ref="F623:F623">INDEX('0.0.1 Pokémon Dex Data'!$H$3:$H951,MATCH(E623,'0.0.1 Pokémon Dex Data'!$B$3:$B951,0))</f>
        <v>0</v>
      </c>
      <c r="G623" s="0" t="str">
        <f aca="false" t="array" ref="G623:G623">INDEX('0.0.1 Pokémon Dex Data'!$E$3:$E951,MATCH(E623,'0.0.1 Pokémon Dex Data'!$B$3:$B951,0))</f>
        <v>Roggenrola</v>
      </c>
      <c r="H623" s="0" t="str">
        <f aca="false" t="array" ref="H623:H623">INDEX('0.0.1 Pokémon Dex Data'!$Q$3:$Q951,MATCH(E623,'0.0.1 Pokémon Dex Data'!$B$3:$B951,0))</f>
        <v>Rock</v>
      </c>
      <c r="I623" s="0" t="n">
        <f aca="false">INDEX('0.0.1 Pokémon Dex Data'!$R$3:$R951,MATCH(E623,'0.0.1 Pokémon Dex Data'!$B$3:$B951,0))</f>
        <v>0</v>
      </c>
      <c r="J623" s="260" t="n">
        <f aca="false" t="array" ref="J623:J623">ROUND(INDEX('0.0.1 Pokémon Dex Data'!$S$3:$S951,MATCH($E623,'0.0.1 Pokémon Dex Data'!$B$3:$B951,0))*INDEX('0.0.1 Pokémon Dex Data'!T$3:T951,MATCH($E623,'0.0.1 Pokémon Dex Data'!$B$3:$B951,0)),0)</f>
        <v>121</v>
      </c>
      <c r="K623" s="260" t="n">
        <f aca="false" t="array" ref="K623:K623">ROUND(INDEX('0.0.1 Pokémon Dex Data'!$S$3:$S951,MATCH($E623,'0.0.1 Pokémon Dex Data'!$B$3:$B951,0))*INDEX('0.0.1 Pokémon Dex Data'!U$3:U951,MATCH($E623,'0.0.1 Pokémon Dex Data'!$B$3:$B951,0)),0)</f>
        <v>110</v>
      </c>
      <c r="L623" s="260" t="n">
        <f aca="false" t="array" ref="L623:L623">ROUND(INDEX('0.0.1 Pokémon Dex Data'!$S$3:$S951,MATCH($E623,'0.0.1 Pokémon Dex Data'!$B$3:$B951,0))*INDEX('0.0.1 Pokémon Dex Data'!V$3:V951,MATCH($E623,'0.0.1 Pokémon Dex Data'!$B$3:$B951,0)),0)</f>
        <v>146</v>
      </c>
      <c r="M623" s="260" t="n">
        <f aca="false" t="array" ref="M623:M623">INDEX('0.0.1 Pokémon Dex Data'!$J$3:$J951,MATCH(E623,'0.0.1 Pokémon Dex Data'!$B$3:$B951,0))</f>
        <v>0</v>
      </c>
      <c r="O623" s="490"/>
      <c r="Q623" s="367" t="n">
        <f aca="false">IF('Reverse Search'!$F$4="All (including temporary formes)",1,IF('Reverse Search'!$F$4="Base Pokémon and permanent formes only",IF(F623&lt;=1,1,0),IF(F623=0,1,0)))</f>
        <v>1</v>
      </c>
      <c r="R623" s="0" t="n">
        <f aca="false">IF('Reverse Search'!$C$7="Disable",1,IF('Reverse Search'!$D$9="Disable",1,IF(OR('Reverse Search'!$F$9=H623,'Reverse Search'!$F$9=I623),1,0)))</f>
        <v>1</v>
      </c>
      <c r="S623" s="0" t="n">
        <f aca="false">IF('Reverse Search'!$C$7="Disable",1,IF('Reverse Search'!$D$10="Disable",1,IF(OR('Reverse Search'!$F$10=H623,'Reverse Search'!$F$10=I623),1,0)))</f>
        <v>1</v>
      </c>
      <c r="T623" s="0" t="n">
        <f aca="false">INDEX($B$4:$B$22,MATCH(H623,$A$4:$A$22,0))</f>
        <v>0.714</v>
      </c>
      <c r="U623" s="0" t="e">
        <f aca="false">IF(ISBLANK(I623),1,INDEX($B$4:$B$22,MATCH(I623,$A$4:$A$22,0)))</f>
        <v>#N/A</v>
      </c>
      <c r="V623" s="367" t="n">
        <f aca="false">IF('Reverse Search'!$C$7="Disable",1,IF('Reverse Search'!$D$11="Disable",1,IF('Reverse Search'!$E$11="Neutral to:",IF(ROUND(T623*U623,2)&lt;=1,1,0),IF(ROUND(T623*U623,2)&lt;1,1,0))))</f>
        <v>1</v>
      </c>
      <c r="W623" s="0" t="n">
        <f aca="false">IF('Reverse Search'!$N$7="Disable",1,IF('Reverse Search'!$I$9="Disable",1,IF('Reverse Search'!$K$9="≥",IF(J623&gt;='Reverse Search'!$L$9,1,0),IF('Reverse Search'!$K$9="≤",IF(J623&lt;='Reverse Search'!$L$9,1,0),IF(J623='Reverse Search'!$L$9,1,0)))))</f>
        <v>1</v>
      </c>
      <c r="X623" s="0" t="n">
        <f aca="false">IF('Reverse Search'!$N$7="Disable",1,IF('Reverse Search'!$I$10="Disable",1,IF('Reverse Search'!$K$10="≥",IF(K623&gt;='Reverse Search'!$L$10,1,0),IF('Reverse Search'!$K$10="≤",IF(K623&lt;='Reverse Search'!$L$10,1,0),IF(K623='Reverse Search'!$L$10,1,0)))))</f>
        <v>1</v>
      </c>
      <c r="Y623" s="367" t="n">
        <f aca="false">IF('Reverse Search'!$N$7="Disable",1,IF('Reverse Search'!$I$11="Disable",1,IF('Reverse Search'!$K$11="≥",IF(L623&gt;='Reverse Search'!$L$11,1,0),IF('Reverse Search'!$K$11="≤",IF(L623&lt;='Reverse Search'!$L$11,1,0),IF(L623='Reverse Search'!$L$11,1,0)))))</f>
        <v>1</v>
      </c>
      <c r="Z623" s="0" t="n">
        <f aca="true">IF('Reverse Search'!$C$14="Disable",1,IF('Reverse Search'!$D$16="Disable",1,IF($C$2=3,IF($M623=0,0,COUNTIF(INDIRECT("'0.0.2 Pokémon Learnset (Core)'!$D$"&amp;MATCH($E623,'0.0.2 Pokémon Learnset (Core)'!$A$1:$A951,0)&amp;":$FK$"&amp;MATCH($E623,'0.0.2 Pokémon Learnset (Core)'!$A$1:$A951,0)),'Reverse Search'!$E$21)),IF($C$2=2,COUNTIF(INDIRECT("'0.1.1 Pokémon GO Moves'!$B$"&amp;MATCH($E623,'0.1.1 Pokémon GO Moves'!$A$1:$A951,0)&amp;":$R$"&amp;MATCH($E623,'0.1.1 Pokémon GO Moves'!$A$1:$A951,0)),'Reverse Search'!$E$21),COUNTIF(INDIRECT("'0.1.1 Pokémon GO Moves'!$B$"&amp;MATCH($E623,'0.1.1 Pokémon GO Moves'!$A$1:$A951,0)&amp;":$L$"&amp;MATCH($E623,'0.1.1 Pokémon GO Moves'!$A$1:$A951,0)),'Reverse Search'!$E$21)))))</f>
        <v>1</v>
      </c>
      <c r="AA623" s="0" t="n">
        <f aca="true">IF('Reverse Search'!$C$14="Disable",1,IF('Reverse Search'!$I$16="Disable",1,IF($D$2=3,IF($M623=0,0,COUNTIF(INDIRECT("'0.0.2 Pokémon Learnset (Core)'!$D$"&amp;MATCH($E623,'0.0.2 Pokémon Learnset (Core)'!$A$1:$A951,0)&amp;":$FK$"&amp;MATCH($E623,'0.0.2 Pokémon Learnset (Core)'!$A$1:$A951,0)),'Reverse Search'!$J$21)),IF($D$2=2,COUNTIF(INDIRECT("'0.1.1 Pokémon GO Moves'!$B$"&amp;MATCH($E623,'0.1.1 Pokémon GO Moves'!$A$1:$A951,0)&amp;":$R$"&amp;MATCH($E623,'0.1.1 Pokémon GO Moves'!$A$1:$A951,0)),'Reverse Search'!$J$21),COUNTIF(INDIRECT("'0.1.1 Pokémon GO Moves'!$B$"&amp;MATCH($E623,'0.1.1 Pokémon GO Moves'!$A$1:$A951,0)&amp;":$L$"&amp;MATCH($E623,'0.1.1 Pokémon GO Moves'!$A$1:$A951,0)),'Reverse Search'!$J$21)))))</f>
        <v>0</v>
      </c>
      <c r="AB623" s="490"/>
      <c r="AC623" s="260" t="n">
        <f aca="false">IF((Q623+R623+S623+V623+W623+X623+Y623+IF(Z623&gt;=1,1,0)+IF(AA623&gt;=1,1,0))=9,G623&amp;", ",)</f>
        <v>0</v>
      </c>
    </row>
    <row r="624" customFormat="false" ht="15.75" hidden="false" customHeight="false" outlineLevel="0" collapsed="false">
      <c r="A624" s="260"/>
      <c r="B624" s="358"/>
      <c r="C624" s="260"/>
      <c r="D624" s="358"/>
      <c r="E624" s="260" t="n">
        <v>623</v>
      </c>
      <c r="F624" s="260" t="n">
        <f aca="false" t="array" ref="F624:F624">INDEX('0.0.1 Pokémon Dex Data'!$H$3:$H951,MATCH(E624,'0.0.1 Pokémon Dex Data'!$B$3:$B951,0))</f>
        <v>0</v>
      </c>
      <c r="G624" s="0" t="str">
        <f aca="false" t="array" ref="G624:G624">INDEX('0.0.1 Pokémon Dex Data'!$E$3:$E951,MATCH(E624,'0.0.1 Pokémon Dex Data'!$B$3:$B951,0))</f>
        <v>Boldore</v>
      </c>
      <c r="H624" s="0" t="str">
        <f aca="false" t="array" ref="H624:H624">INDEX('0.0.1 Pokémon Dex Data'!$Q$3:$Q951,MATCH(E624,'0.0.1 Pokémon Dex Data'!$B$3:$B951,0))</f>
        <v>Rock</v>
      </c>
      <c r="I624" s="0" t="n">
        <f aca="false">INDEX('0.0.1 Pokémon Dex Data'!$R$3:$R951,MATCH(E624,'0.0.1 Pokémon Dex Data'!$B$3:$B951,0))</f>
        <v>0</v>
      </c>
      <c r="J624" s="260" t="n">
        <f aca="false" t="array" ref="J624:J624">ROUND(INDEX('0.0.1 Pokémon Dex Data'!$S$3:$S951,MATCH($E624,'0.0.1 Pokémon Dex Data'!$B$3:$B951,0))*INDEX('0.0.1 Pokémon Dex Data'!T$3:T951,MATCH($E624,'0.0.1 Pokémon Dex Data'!$B$3:$B951,0)),0)</f>
        <v>174</v>
      </c>
      <c r="K624" s="260" t="n">
        <f aca="false" t="array" ref="K624:K624">ROUND(INDEX('0.0.1 Pokémon Dex Data'!$S$3:$S951,MATCH($E624,'0.0.1 Pokémon Dex Data'!$B$3:$B951,0))*INDEX('0.0.1 Pokémon Dex Data'!U$3:U951,MATCH($E624,'0.0.1 Pokémon Dex Data'!$B$3:$B951,0)),0)</f>
        <v>143</v>
      </c>
      <c r="L624" s="260" t="n">
        <f aca="false" t="array" ref="L624:L624">ROUND(INDEX('0.0.1 Pokémon Dex Data'!$S$3:$S951,MATCH($E624,'0.0.1 Pokémon Dex Data'!$B$3:$B951,0))*INDEX('0.0.1 Pokémon Dex Data'!V$3:V951,MATCH($E624,'0.0.1 Pokémon Dex Data'!$B$3:$B951,0)),0)</f>
        <v>172</v>
      </c>
      <c r="M624" s="260" t="n">
        <f aca="false" t="array" ref="M624:M624">INDEX('0.0.1 Pokémon Dex Data'!$J$3:$J951,MATCH(E624,'0.0.1 Pokémon Dex Data'!$B$3:$B951,0))</f>
        <v>0</v>
      </c>
      <c r="O624" s="490"/>
      <c r="Q624" s="367" t="n">
        <f aca="false">IF('Reverse Search'!$F$4="All (including temporary formes)",1,IF('Reverse Search'!$F$4="Base Pokémon and permanent formes only",IF(F624&lt;=1,1,0),IF(F624=0,1,0)))</f>
        <v>1</v>
      </c>
      <c r="R624" s="0" t="n">
        <f aca="false">IF('Reverse Search'!$C$7="Disable",1,IF('Reverse Search'!$D$9="Disable",1,IF(OR('Reverse Search'!$F$9=H624,'Reverse Search'!$F$9=I624),1,0)))</f>
        <v>1</v>
      </c>
      <c r="S624" s="0" t="n">
        <f aca="false">IF('Reverse Search'!$C$7="Disable",1,IF('Reverse Search'!$D$10="Disable",1,IF(OR('Reverse Search'!$F$10=H624,'Reverse Search'!$F$10=I624),1,0)))</f>
        <v>1</v>
      </c>
      <c r="T624" s="0" t="n">
        <f aca="false">INDEX($B$4:$B$22,MATCH(H624,$A$4:$A$22,0))</f>
        <v>0.714</v>
      </c>
      <c r="U624" s="0" t="e">
        <f aca="false">IF(ISBLANK(I624),1,INDEX($B$4:$B$22,MATCH(I624,$A$4:$A$22,0)))</f>
        <v>#N/A</v>
      </c>
      <c r="V624" s="367" t="n">
        <f aca="false">IF('Reverse Search'!$C$7="Disable",1,IF('Reverse Search'!$D$11="Disable",1,IF('Reverse Search'!$E$11="Neutral to:",IF(ROUND(T624*U624,2)&lt;=1,1,0),IF(ROUND(T624*U624,2)&lt;1,1,0))))</f>
        <v>1</v>
      </c>
      <c r="W624" s="0" t="n">
        <f aca="false">IF('Reverse Search'!$N$7="Disable",1,IF('Reverse Search'!$I$9="Disable",1,IF('Reverse Search'!$K$9="≥",IF(J624&gt;='Reverse Search'!$L$9,1,0),IF('Reverse Search'!$K$9="≤",IF(J624&lt;='Reverse Search'!$L$9,1,0),IF(J624='Reverse Search'!$L$9,1,0)))))</f>
        <v>1</v>
      </c>
      <c r="X624" s="0" t="n">
        <f aca="false">IF('Reverse Search'!$N$7="Disable",1,IF('Reverse Search'!$I$10="Disable",1,IF('Reverse Search'!$K$10="≥",IF(K624&gt;='Reverse Search'!$L$10,1,0),IF('Reverse Search'!$K$10="≤",IF(K624&lt;='Reverse Search'!$L$10,1,0),IF(K624='Reverse Search'!$L$10,1,0)))))</f>
        <v>1</v>
      </c>
      <c r="Y624" s="367" t="n">
        <f aca="false">IF('Reverse Search'!$N$7="Disable",1,IF('Reverse Search'!$I$11="Disable",1,IF('Reverse Search'!$K$11="≥",IF(L624&gt;='Reverse Search'!$L$11,1,0),IF('Reverse Search'!$K$11="≤",IF(L624&lt;='Reverse Search'!$L$11,1,0),IF(L624='Reverse Search'!$L$11,1,0)))))</f>
        <v>1</v>
      </c>
      <c r="Z624" s="0" t="n">
        <f aca="true">IF('Reverse Search'!$C$14="Disable",1,IF('Reverse Search'!$D$16="Disable",1,IF($C$2=3,IF($M624=0,0,COUNTIF(INDIRECT("'0.0.2 Pokémon Learnset (Core)'!$D$"&amp;MATCH($E624,'0.0.2 Pokémon Learnset (Core)'!$A$1:$A951,0)&amp;":$FK$"&amp;MATCH($E624,'0.0.2 Pokémon Learnset (Core)'!$A$1:$A951,0)),'Reverse Search'!$E$21)),IF($C$2=2,COUNTIF(INDIRECT("'0.1.1 Pokémon GO Moves'!$B$"&amp;MATCH($E624,'0.1.1 Pokémon GO Moves'!$A$1:$A951,0)&amp;":$R$"&amp;MATCH($E624,'0.1.1 Pokémon GO Moves'!$A$1:$A951,0)),'Reverse Search'!$E$21),COUNTIF(INDIRECT("'0.1.1 Pokémon GO Moves'!$B$"&amp;MATCH($E624,'0.1.1 Pokémon GO Moves'!$A$1:$A951,0)&amp;":$L$"&amp;MATCH($E624,'0.1.1 Pokémon GO Moves'!$A$1:$A951,0)),'Reverse Search'!$E$21)))))</f>
        <v>1</v>
      </c>
      <c r="AA624" s="0" t="n">
        <f aca="true">IF('Reverse Search'!$C$14="Disable",1,IF('Reverse Search'!$I$16="Disable",1,IF($D$2=3,IF($M624=0,0,COUNTIF(INDIRECT("'0.0.2 Pokémon Learnset (Core)'!$D$"&amp;MATCH($E624,'0.0.2 Pokémon Learnset (Core)'!$A$1:$A951,0)&amp;":$FK$"&amp;MATCH($E624,'0.0.2 Pokémon Learnset (Core)'!$A$1:$A951,0)),'Reverse Search'!$J$21)),IF($D$2=2,COUNTIF(INDIRECT("'0.1.1 Pokémon GO Moves'!$B$"&amp;MATCH($E624,'0.1.1 Pokémon GO Moves'!$A$1:$A951,0)&amp;":$R$"&amp;MATCH($E624,'0.1.1 Pokémon GO Moves'!$A$1:$A951,0)),'Reverse Search'!$J$21),COUNTIF(INDIRECT("'0.1.1 Pokémon GO Moves'!$B$"&amp;MATCH($E624,'0.1.1 Pokémon GO Moves'!$A$1:$A951,0)&amp;":$L$"&amp;MATCH($E624,'0.1.1 Pokémon GO Moves'!$A$1:$A951,0)),'Reverse Search'!$J$21)))))</f>
        <v>0</v>
      </c>
      <c r="AB624" s="490"/>
      <c r="AC624" s="260" t="n">
        <f aca="false">IF((Q624+R624+S624+V624+W624+X624+Y624+IF(Z624&gt;=1,1,0)+IF(AA624&gt;=1,1,0))=9,G624&amp;", ",)</f>
        <v>0</v>
      </c>
    </row>
    <row r="625" customFormat="false" ht="15.75" hidden="false" customHeight="false" outlineLevel="0" collapsed="false">
      <c r="A625" s="260"/>
      <c r="B625" s="358"/>
      <c r="C625" s="260"/>
      <c r="D625" s="358"/>
      <c r="E625" s="260" t="n">
        <v>624</v>
      </c>
      <c r="F625" s="260" t="n">
        <f aca="false" t="array" ref="F625:F625">INDEX('0.0.1 Pokémon Dex Data'!$H$3:$H951,MATCH(E625,'0.0.1 Pokémon Dex Data'!$B$3:$B951,0))</f>
        <v>0</v>
      </c>
      <c r="G625" s="0" t="str">
        <f aca="false" t="array" ref="G625:G625">INDEX('0.0.1 Pokémon Dex Data'!$E$3:$E951,MATCH(E625,'0.0.1 Pokémon Dex Data'!$B$3:$B951,0))</f>
        <v>Gigalith</v>
      </c>
      <c r="H625" s="0" t="str">
        <f aca="false" t="array" ref="H625:H625">INDEX('0.0.1 Pokémon Dex Data'!$Q$3:$Q951,MATCH(E625,'0.0.1 Pokémon Dex Data'!$B$3:$B951,0))</f>
        <v>Rock</v>
      </c>
      <c r="I625" s="0" t="n">
        <f aca="false">INDEX('0.0.1 Pokémon Dex Data'!$R$3:$R951,MATCH(E625,'0.0.1 Pokémon Dex Data'!$B$3:$B951,0))</f>
        <v>0</v>
      </c>
      <c r="J625" s="260" t="n">
        <f aca="false" t="array" ref="J625:J625">ROUND(INDEX('0.0.1 Pokémon Dex Data'!$S$3:$S951,MATCH($E625,'0.0.1 Pokémon Dex Data'!$B$3:$B951,0))*INDEX('0.0.1 Pokémon Dex Data'!T$3:T951,MATCH($E625,'0.0.1 Pokémon Dex Data'!$B$3:$B951,0)),0)</f>
        <v>226</v>
      </c>
      <c r="K625" s="260" t="n">
        <f aca="false" t="array" ref="K625:K625">ROUND(INDEX('0.0.1 Pokémon Dex Data'!$S$3:$S951,MATCH($E625,'0.0.1 Pokémon Dex Data'!$B$3:$B951,0))*INDEX('0.0.1 Pokémon Dex Data'!U$3:U951,MATCH($E625,'0.0.1 Pokémon Dex Data'!$B$3:$B951,0)),0)</f>
        <v>201</v>
      </c>
      <c r="L625" s="260" t="n">
        <f aca="false" t="array" ref="L625:L625">ROUND(INDEX('0.0.1 Pokémon Dex Data'!$S$3:$S951,MATCH($E625,'0.0.1 Pokémon Dex Data'!$B$3:$B951,0))*INDEX('0.0.1 Pokémon Dex Data'!V$3:V951,MATCH($E625,'0.0.1 Pokémon Dex Data'!$B$3:$B951,0)),0)</f>
        <v>198</v>
      </c>
      <c r="M625" s="260" t="n">
        <f aca="false" t="array" ref="M625:M625">INDEX('0.0.1 Pokémon Dex Data'!$J$3:$J951,MATCH(E625,'0.0.1 Pokémon Dex Data'!$B$3:$B951,0))</f>
        <v>1</v>
      </c>
      <c r="O625" s="490"/>
      <c r="Q625" s="367" t="n">
        <f aca="false">IF('Reverse Search'!$F$4="All (including temporary formes)",1,IF('Reverse Search'!$F$4="Base Pokémon and permanent formes only",IF(F625&lt;=1,1,0),IF(F625=0,1,0)))</f>
        <v>1</v>
      </c>
      <c r="R625" s="0" t="n">
        <f aca="false">IF('Reverse Search'!$C$7="Disable",1,IF('Reverse Search'!$D$9="Disable",1,IF(OR('Reverse Search'!$F$9=H625,'Reverse Search'!$F$9=I625),1,0)))</f>
        <v>1</v>
      </c>
      <c r="S625" s="0" t="n">
        <f aca="false">IF('Reverse Search'!$C$7="Disable",1,IF('Reverse Search'!$D$10="Disable",1,IF(OR('Reverse Search'!$F$10=H625,'Reverse Search'!$F$10=I625),1,0)))</f>
        <v>1</v>
      </c>
      <c r="T625" s="0" t="n">
        <f aca="false">INDEX($B$4:$B$22,MATCH(H625,$A$4:$A$22,0))</f>
        <v>0.714</v>
      </c>
      <c r="U625" s="0" t="e">
        <f aca="false">IF(ISBLANK(I625),1,INDEX($B$4:$B$22,MATCH(I625,$A$4:$A$22,0)))</f>
        <v>#N/A</v>
      </c>
      <c r="V625" s="367" t="n">
        <f aca="false">IF('Reverse Search'!$C$7="Disable",1,IF('Reverse Search'!$D$11="Disable",1,IF('Reverse Search'!$E$11="Neutral to:",IF(ROUND(T625*U625,2)&lt;=1,1,0),IF(ROUND(T625*U625,2)&lt;1,1,0))))</f>
        <v>1</v>
      </c>
      <c r="W625" s="0" t="n">
        <f aca="false">IF('Reverse Search'!$N$7="Disable",1,IF('Reverse Search'!$I$9="Disable",1,IF('Reverse Search'!$K$9="≥",IF(J625&gt;='Reverse Search'!$L$9,1,0),IF('Reverse Search'!$K$9="≤",IF(J625&lt;='Reverse Search'!$L$9,1,0),IF(J625='Reverse Search'!$L$9,1,0)))))</f>
        <v>1</v>
      </c>
      <c r="X625" s="0" t="n">
        <f aca="false">IF('Reverse Search'!$N$7="Disable",1,IF('Reverse Search'!$I$10="Disable",1,IF('Reverse Search'!$K$10="≥",IF(K625&gt;='Reverse Search'!$L$10,1,0),IF('Reverse Search'!$K$10="≤",IF(K625&lt;='Reverse Search'!$L$10,1,0),IF(K625='Reverse Search'!$L$10,1,0)))))</f>
        <v>1</v>
      </c>
      <c r="Y625" s="367" t="n">
        <f aca="false">IF('Reverse Search'!$N$7="Disable",1,IF('Reverse Search'!$I$11="Disable",1,IF('Reverse Search'!$K$11="≥",IF(L625&gt;='Reverse Search'!$L$11,1,0),IF('Reverse Search'!$K$11="≤",IF(L625&lt;='Reverse Search'!$L$11,1,0),IF(L625='Reverse Search'!$L$11,1,0)))))</f>
        <v>1</v>
      </c>
      <c r="Z625" s="0" t="n">
        <f aca="true">IF('Reverse Search'!$C$14="Disable",1,IF('Reverse Search'!$D$16="Disable",1,IF($C$2=3,IF($M625=0,0,COUNTIF(INDIRECT("'0.0.2 Pokémon Learnset (Core)'!$D$"&amp;MATCH($E625,'0.0.2 Pokémon Learnset (Core)'!$A$1:$A951,0)&amp;":$FK$"&amp;MATCH($E625,'0.0.2 Pokémon Learnset (Core)'!$A$1:$A951,0)),'Reverse Search'!$E$21)),IF($C$2=2,COUNTIF(INDIRECT("'0.1.1 Pokémon GO Moves'!$B$"&amp;MATCH($E625,'0.1.1 Pokémon GO Moves'!$A$1:$A951,0)&amp;":$R$"&amp;MATCH($E625,'0.1.1 Pokémon GO Moves'!$A$1:$A951,0)),'Reverse Search'!$E$21),COUNTIF(INDIRECT("'0.1.1 Pokémon GO Moves'!$B$"&amp;MATCH($E625,'0.1.1 Pokémon GO Moves'!$A$1:$A951,0)&amp;":$L$"&amp;MATCH($E625,'0.1.1 Pokémon GO Moves'!$A$1:$A951,0)),'Reverse Search'!$E$21)))))</f>
        <v>1</v>
      </c>
      <c r="AA625" s="0" t="n">
        <f aca="true">IF('Reverse Search'!$C$14="Disable",1,IF('Reverse Search'!$I$16="Disable",1,IF($D$2=3,IF($M625=0,0,COUNTIF(INDIRECT("'0.0.2 Pokémon Learnset (Core)'!$D$"&amp;MATCH($E625,'0.0.2 Pokémon Learnset (Core)'!$A$1:$A951,0)&amp;":$FK$"&amp;MATCH($E625,'0.0.2 Pokémon Learnset (Core)'!$A$1:$A951,0)),'Reverse Search'!$J$21)),IF($D$2=2,COUNTIF(INDIRECT("'0.1.1 Pokémon GO Moves'!$B$"&amp;MATCH($E625,'0.1.1 Pokémon GO Moves'!$A$1:$A951,0)&amp;":$R$"&amp;MATCH($E625,'0.1.1 Pokémon GO Moves'!$A$1:$A951,0)),'Reverse Search'!$J$21),COUNTIF(INDIRECT("'0.1.1 Pokémon GO Moves'!$B$"&amp;MATCH($E625,'0.1.1 Pokémon GO Moves'!$A$1:$A951,0)&amp;":$L$"&amp;MATCH($E625,'0.1.1 Pokémon GO Moves'!$A$1:$A951,0)),'Reverse Search'!$J$21)))))</f>
        <v>0</v>
      </c>
      <c r="AB625" s="490"/>
      <c r="AC625" s="260" t="n">
        <f aca="false">IF((Q625+R625+S625+V625+W625+X625+Y625+IF(Z625&gt;=1,1,0)+IF(AA625&gt;=1,1,0))=9,G625&amp;", ",)</f>
        <v>0</v>
      </c>
    </row>
    <row r="626" customFormat="false" ht="15.75" hidden="false" customHeight="false" outlineLevel="0" collapsed="false">
      <c r="A626" s="260"/>
      <c r="B626" s="358"/>
      <c r="C626" s="260"/>
      <c r="D626" s="358"/>
      <c r="E626" s="260" t="n">
        <v>625</v>
      </c>
      <c r="F626" s="260" t="n">
        <f aca="false" t="array" ref="F626:F626">INDEX('0.0.1 Pokémon Dex Data'!$H$3:$H951,MATCH(E626,'0.0.1 Pokémon Dex Data'!$B$3:$B951,0))</f>
        <v>0</v>
      </c>
      <c r="G626" s="0" t="str">
        <f aca="false" t="array" ref="G626:G626">INDEX('0.0.1 Pokémon Dex Data'!$E$3:$E951,MATCH(E626,'0.0.1 Pokémon Dex Data'!$B$3:$B951,0))</f>
        <v>Woobat</v>
      </c>
      <c r="H626" s="0" t="str">
        <f aca="false" t="array" ref="H626:H626">INDEX('0.0.1 Pokémon Dex Data'!$Q$3:$Q951,MATCH(E626,'0.0.1 Pokémon Dex Data'!$B$3:$B951,0))</f>
        <v>Psychic</v>
      </c>
      <c r="I626" s="0" t="str">
        <f aca="false" t="array" ref="I626:I626">INDEX('0.0.1 Pokémon Dex Data'!$R$3:$R951,MATCH(E626,'0.0.1 Pokémon Dex Data'!$B$3:$B951,0))</f>
        <v>Flying</v>
      </c>
      <c r="J626" s="260" t="n">
        <f aca="false" t="array" ref="J626:J626">ROUND(INDEX('0.0.1 Pokémon Dex Data'!$S$3:$S951,MATCH($E626,'0.0.1 Pokémon Dex Data'!$B$3:$B951,0))*INDEX('0.0.1 Pokémon Dex Data'!T$3:T951,MATCH($E626,'0.0.1 Pokémon Dex Data'!$B$3:$B951,0)),0)</f>
        <v>107</v>
      </c>
      <c r="K626" s="260" t="n">
        <f aca="false" t="array" ref="K626:K626">ROUND(INDEX('0.0.1 Pokémon Dex Data'!$S$3:$S951,MATCH($E626,'0.0.1 Pokémon Dex Data'!$B$3:$B951,0))*INDEX('0.0.1 Pokémon Dex Data'!U$3:U951,MATCH($E626,'0.0.1 Pokémon Dex Data'!$B$3:$B951,0)),0)</f>
        <v>85</v>
      </c>
      <c r="L626" s="260" t="n">
        <f aca="false" t="array" ref="L626:L626">ROUND(INDEX('0.0.1 Pokémon Dex Data'!$S$3:$S951,MATCH($E626,'0.0.1 Pokémon Dex Data'!$B$3:$B951,0))*INDEX('0.0.1 Pokémon Dex Data'!V$3:V951,MATCH($E626,'0.0.1 Pokémon Dex Data'!$B$3:$B951,0)),0)</f>
        <v>163</v>
      </c>
      <c r="M626" s="260" t="n">
        <f aca="false" t="array" ref="M626:M626">INDEX('0.0.1 Pokémon Dex Data'!$J$3:$J951,MATCH(E626,'0.0.1 Pokémon Dex Data'!$B$3:$B951,0))</f>
        <v>0</v>
      </c>
      <c r="O626" s="490"/>
      <c r="Q626" s="367" t="n">
        <f aca="false">IF('Reverse Search'!$F$4="All (including temporary formes)",1,IF('Reverse Search'!$F$4="Base Pokémon and permanent formes only",IF(F626&lt;=1,1,0),IF(F626=0,1,0)))</f>
        <v>1</v>
      </c>
      <c r="R626" s="0" t="n">
        <f aca="false">IF('Reverse Search'!$C$7="Disable",1,IF('Reverse Search'!$D$9="Disable",1,IF(OR('Reverse Search'!$F$9=H626,'Reverse Search'!$F$9=I626),1,0)))</f>
        <v>1</v>
      </c>
      <c r="S626" s="0" t="n">
        <f aca="false">IF('Reverse Search'!$C$7="Disable",1,IF('Reverse Search'!$D$10="Disable",1,IF(OR('Reverse Search'!$F$10=H626,'Reverse Search'!$F$10=I626),1,0)))</f>
        <v>1</v>
      </c>
      <c r="T626" s="0" t="n">
        <f aca="false">INDEX($B$4:$B$22,MATCH(H626,$A$4:$A$22,0))</f>
        <v>1</v>
      </c>
      <c r="U626" s="0" t="n">
        <f aca="false">IF(ISBLANK(I626),1,INDEX($B$4:$B$22,MATCH(I626,$A$4:$A$22,0)))</f>
        <v>1</v>
      </c>
      <c r="V626" s="367" t="n">
        <f aca="false">IF('Reverse Search'!$C$7="Disable",1,IF('Reverse Search'!$D$11="Disable",1,IF('Reverse Search'!$E$11="Neutral to:",IF(ROUND(T626*U626,2)&lt;=1,1,0),IF(ROUND(T626*U626,2)&lt;1,1,0))))</f>
        <v>1</v>
      </c>
      <c r="W626" s="0" t="n">
        <f aca="false">IF('Reverse Search'!$N$7="Disable",1,IF('Reverse Search'!$I$9="Disable",1,IF('Reverse Search'!$K$9="≥",IF(J626&gt;='Reverse Search'!$L$9,1,0),IF('Reverse Search'!$K$9="≤",IF(J626&lt;='Reverse Search'!$L$9,1,0),IF(J626='Reverse Search'!$L$9,1,0)))))</f>
        <v>1</v>
      </c>
      <c r="X626" s="0" t="n">
        <f aca="false">IF('Reverse Search'!$N$7="Disable",1,IF('Reverse Search'!$I$10="Disable",1,IF('Reverse Search'!$K$10="≥",IF(K626&gt;='Reverse Search'!$L$10,1,0),IF('Reverse Search'!$K$10="≤",IF(K626&lt;='Reverse Search'!$L$10,1,0),IF(K626='Reverse Search'!$L$10,1,0)))))</f>
        <v>1</v>
      </c>
      <c r="Y626" s="367" t="n">
        <f aca="false">IF('Reverse Search'!$N$7="Disable",1,IF('Reverse Search'!$I$11="Disable",1,IF('Reverse Search'!$K$11="≥",IF(L626&gt;='Reverse Search'!$L$11,1,0),IF('Reverse Search'!$K$11="≤",IF(L626&lt;='Reverse Search'!$L$11,1,0),IF(L626='Reverse Search'!$L$11,1,0)))))</f>
        <v>1</v>
      </c>
      <c r="Z626" s="0" t="n">
        <f aca="true">IF('Reverse Search'!$C$14="Disable",1,IF('Reverse Search'!$D$16="Disable",1,IF($C$2=3,IF($M626=0,0,COUNTIF(INDIRECT("'0.0.2 Pokémon Learnset (Core)'!$D$"&amp;MATCH($E626,'0.0.2 Pokémon Learnset (Core)'!$A$1:$A951,0)&amp;":$FK$"&amp;MATCH($E626,'0.0.2 Pokémon Learnset (Core)'!$A$1:$A951,0)),'Reverse Search'!$E$21)),IF($C$2=2,COUNTIF(INDIRECT("'0.1.1 Pokémon GO Moves'!$B$"&amp;MATCH($E626,'0.1.1 Pokémon GO Moves'!$A$1:$A951,0)&amp;":$R$"&amp;MATCH($E626,'0.1.1 Pokémon GO Moves'!$A$1:$A951,0)),'Reverse Search'!$E$21),COUNTIF(INDIRECT("'0.1.1 Pokémon GO Moves'!$B$"&amp;MATCH($E626,'0.1.1 Pokémon GO Moves'!$A$1:$A951,0)&amp;":$L$"&amp;MATCH($E626,'0.1.1 Pokémon GO Moves'!$A$1:$A951,0)),'Reverse Search'!$E$21)))))</f>
        <v>1</v>
      </c>
      <c r="AA626" s="0" t="n">
        <f aca="true">IF('Reverse Search'!$C$14="Disable",1,IF('Reverse Search'!$I$16="Disable",1,IF($D$2=3,IF($M626=0,0,COUNTIF(INDIRECT("'0.0.2 Pokémon Learnset (Core)'!$D$"&amp;MATCH($E626,'0.0.2 Pokémon Learnset (Core)'!$A$1:$A951,0)&amp;":$FK$"&amp;MATCH($E626,'0.0.2 Pokémon Learnset (Core)'!$A$1:$A951,0)),'Reverse Search'!$J$21)),IF($D$2=2,COUNTIF(INDIRECT("'0.1.1 Pokémon GO Moves'!$B$"&amp;MATCH($E626,'0.1.1 Pokémon GO Moves'!$A$1:$A951,0)&amp;":$R$"&amp;MATCH($E626,'0.1.1 Pokémon GO Moves'!$A$1:$A951,0)),'Reverse Search'!$J$21),COUNTIF(INDIRECT("'0.1.1 Pokémon GO Moves'!$B$"&amp;MATCH($E626,'0.1.1 Pokémon GO Moves'!$A$1:$A951,0)&amp;":$L$"&amp;MATCH($E626,'0.1.1 Pokémon GO Moves'!$A$1:$A951,0)),'Reverse Search'!$J$21)))))</f>
        <v>0</v>
      </c>
      <c r="AB626" s="490"/>
      <c r="AC626" s="260" t="n">
        <f aca="false">IF((Q626+R626+S626+V626+W626+X626+Y626+IF(Z626&gt;=1,1,0)+IF(AA626&gt;=1,1,0))=9,G626&amp;", ",)</f>
        <v>0</v>
      </c>
    </row>
    <row r="627" customFormat="false" ht="15.75" hidden="false" customHeight="false" outlineLevel="0" collapsed="false">
      <c r="A627" s="260"/>
      <c r="B627" s="358"/>
      <c r="C627" s="260"/>
      <c r="D627" s="358"/>
      <c r="E627" s="260" t="n">
        <v>626</v>
      </c>
      <c r="F627" s="260" t="n">
        <f aca="false" t="array" ref="F627:F627">INDEX('0.0.1 Pokémon Dex Data'!$H$3:$H951,MATCH(E627,'0.0.1 Pokémon Dex Data'!$B$3:$B951,0))</f>
        <v>0</v>
      </c>
      <c r="G627" s="0" t="str">
        <f aca="false" t="array" ref="G627:G627">INDEX('0.0.1 Pokémon Dex Data'!$E$3:$E951,MATCH(E627,'0.0.1 Pokémon Dex Data'!$B$3:$B951,0))</f>
        <v>Swoobat</v>
      </c>
      <c r="H627" s="0" t="str">
        <f aca="false" t="array" ref="H627:H627">INDEX('0.0.1 Pokémon Dex Data'!$Q$3:$Q951,MATCH(E627,'0.0.1 Pokémon Dex Data'!$B$3:$B951,0))</f>
        <v>Psychic</v>
      </c>
      <c r="I627" s="0" t="str">
        <f aca="false" t="array" ref="I627:I627">INDEX('0.0.1 Pokémon Dex Data'!$R$3:$R951,MATCH(E627,'0.0.1 Pokémon Dex Data'!$B$3:$B951,0))</f>
        <v>Flying</v>
      </c>
      <c r="J627" s="260" t="n">
        <f aca="false" t="array" ref="J627:J627">ROUND(INDEX('0.0.1 Pokémon Dex Data'!$S$3:$S951,MATCH($E627,'0.0.1 Pokémon Dex Data'!$B$3:$B951,0))*INDEX('0.0.1 Pokémon Dex Data'!T$3:T951,MATCH($E627,'0.0.1 Pokémon Dex Data'!$B$3:$B951,0)),0)</f>
        <v>161</v>
      </c>
      <c r="K627" s="260" t="n">
        <f aca="false" t="array" ref="K627:K627">ROUND(INDEX('0.0.1 Pokémon Dex Data'!$S$3:$S951,MATCH($E627,'0.0.1 Pokémon Dex Data'!$B$3:$B951,0))*INDEX('0.0.1 Pokémon Dex Data'!U$3:U951,MATCH($E627,'0.0.1 Pokémon Dex Data'!$B$3:$B951,0)),0)</f>
        <v>119</v>
      </c>
      <c r="L627" s="260" t="n">
        <f aca="false" t="array" ref="L627:L627">ROUND(INDEX('0.0.1 Pokémon Dex Data'!$S$3:$S951,MATCH($E627,'0.0.1 Pokémon Dex Data'!$B$3:$B951,0))*INDEX('0.0.1 Pokémon Dex Data'!V$3:V951,MATCH($E627,'0.0.1 Pokémon Dex Data'!$B$3:$B951,0)),0)</f>
        <v>167</v>
      </c>
      <c r="M627" s="260" t="n">
        <f aca="false" t="array" ref="M627:M627">INDEX('0.0.1 Pokémon Dex Data'!$J$3:$J951,MATCH(E627,'0.0.1 Pokémon Dex Data'!$B$3:$B951,0))</f>
        <v>1</v>
      </c>
      <c r="O627" s="490"/>
      <c r="Q627" s="367" t="n">
        <f aca="false">IF('Reverse Search'!$F$4="All (including temporary formes)",1,IF('Reverse Search'!$F$4="Base Pokémon and permanent formes only",IF(F627&lt;=1,1,0),IF(F627=0,1,0)))</f>
        <v>1</v>
      </c>
      <c r="R627" s="0" t="n">
        <f aca="false">IF('Reverse Search'!$C$7="Disable",1,IF('Reverse Search'!$D$9="Disable",1,IF(OR('Reverse Search'!$F$9=H627,'Reverse Search'!$F$9=I627),1,0)))</f>
        <v>1</v>
      </c>
      <c r="S627" s="0" t="n">
        <f aca="false">IF('Reverse Search'!$C$7="Disable",1,IF('Reverse Search'!$D$10="Disable",1,IF(OR('Reverse Search'!$F$10=H627,'Reverse Search'!$F$10=I627),1,0)))</f>
        <v>1</v>
      </c>
      <c r="T627" s="0" t="n">
        <f aca="false">INDEX($B$4:$B$22,MATCH(H627,$A$4:$A$22,0))</f>
        <v>1</v>
      </c>
      <c r="U627" s="0" t="n">
        <f aca="false">IF(ISBLANK(I627),1,INDEX($B$4:$B$22,MATCH(I627,$A$4:$A$22,0)))</f>
        <v>1</v>
      </c>
      <c r="V627" s="367" t="n">
        <f aca="false">IF('Reverse Search'!$C$7="Disable",1,IF('Reverse Search'!$D$11="Disable",1,IF('Reverse Search'!$E$11="Neutral to:",IF(ROUND(T627*U627,2)&lt;=1,1,0),IF(ROUND(T627*U627,2)&lt;1,1,0))))</f>
        <v>1</v>
      </c>
      <c r="W627" s="0" t="n">
        <f aca="false">IF('Reverse Search'!$N$7="Disable",1,IF('Reverse Search'!$I$9="Disable",1,IF('Reverse Search'!$K$9="≥",IF(J627&gt;='Reverse Search'!$L$9,1,0),IF('Reverse Search'!$K$9="≤",IF(J627&lt;='Reverse Search'!$L$9,1,0),IF(J627='Reverse Search'!$L$9,1,0)))))</f>
        <v>1</v>
      </c>
      <c r="X627" s="0" t="n">
        <f aca="false">IF('Reverse Search'!$N$7="Disable",1,IF('Reverse Search'!$I$10="Disable",1,IF('Reverse Search'!$K$10="≥",IF(K627&gt;='Reverse Search'!$L$10,1,0),IF('Reverse Search'!$K$10="≤",IF(K627&lt;='Reverse Search'!$L$10,1,0),IF(K627='Reverse Search'!$L$10,1,0)))))</f>
        <v>1</v>
      </c>
      <c r="Y627" s="367" t="n">
        <f aca="false">IF('Reverse Search'!$N$7="Disable",1,IF('Reverse Search'!$I$11="Disable",1,IF('Reverse Search'!$K$11="≥",IF(L627&gt;='Reverse Search'!$L$11,1,0),IF('Reverse Search'!$K$11="≤",IF(L627&lt;='Reverse Search'!$L$11,1,0),IF(L627='Reverse Search'!$L$11,1,0)))))</f>
        <v>1</v>
      </c>
      <c r="Z627" s="0" t="n">
        <f aca="true">IF('Reverse Search'!$C$14="Disable",1,IF('Reverse Search'!$D$16="Disable",1,IF($C$2=3,IF($M627=0,0,COUNTIF(INDIRECT("'0.0.2 Pokémon Learnset (Core)'!$D$"&amp;MATCH($E627,'0.0.2 Pokémon Learnset (Core)'!$A$1:$A951,0)&amp;":$FK$"&amp;MATCH($E627,'0.0.2 Pokémon Learnset (Core)'!$A$1:$A951,0)),'Reverse Search'!$E$21)),IF($C$2=2,COUNTIF(INDIRECT("'0.1.1 Pokémon GO Moves'!$B$"&amp;MATCH($E627,'0.1.1 Pokémon GO Moves'!$A$1:$A951,0)&amp;":$R$"&amp;MATCH($E627,'0.1.1 Pokémon GO Moves'!$A$1:$A951,0)),'Reverse Search'!$E$21),COUNTIF(INDIRECT("'0.1.1 Pokémon GO Moves'!$B$"&amp;MATCH($E627,'0.1.1 Pokémon GO Moves'!$A$1:$A951,0)&amp;":$L$"&amp;MATCH($E627,'0.1.1 Pokémon GO Moves'!$A$1:$A951,0)),'Reverse Search'!$E$21)))))</f>
        <v>1</v>
      </c>
      <c r="AA627" s="0" t="n">
        <f aca="true">IF('Reverse Search'!$C$14="Disable",1,IF('Reverse Search'!$I$16="Disable",1,IF($D$2=3,IF($M627=0,0,COUNTIF(INDIRECT("'0.0.2 Pokémon Learnset (Core)'!$D$"&amp;MATCH($E627,'0.0.2 Pokémon Learnset (Core)'!$A$1:$A951,0)&amp;":$FK$"&amp;MATCH($E627,'0.0.2 Pokémon Learnset (Core)'!$A$1:$A951,0)),'Reverse Search'!$J$21)),IF($D$2=2,COUNTIF(INDIRECT("'0.1.1 Pokémon GO Moves'!$B$"&amp;MATCH($E627,'0.1.1 Pokémon GO Moves'!$A$1:$A951,0)&amp;":$R$"&amp;MATCH($E627,'0.1.1 Pokémon GO Moves'!$A$1:$A951,0)),'Reverse Search'!$J$21),COUNTIF(INDIRECT("'0.1.1 Pokémon GO Moves'!$B$"&amp;MATCH($E627,'0.1.1 Pokémon GO Moves'!$A$1:$A951,0)&amp;":$L$"&amp;MATCH($E627,'0.1.1 Pokémon GO Moves'!$A$1:$A951,0)),'Reverse Search'!$J$21)))))</f>
        <v>0</v>
      </c>
      <c r="AB627" s="490"/>
      <c r="AC627" s="260" t="n">
        <f aca="false">IF((Q627+R627+S627+V627+W627+X627+Y627+IF(Z627&gt;=1,1,0)+IF(AA627&gt;=1,1,0))=9,G627&amp;", ",)</f>
        <v>0</v>
      </c>
    </row>
    <row r="628" customFormat="false" ht="15.75" hidden="false" customHeight="false" outlineLevel="0" collapsed="false">
      <c r="A628" s="260"/>
      <c r="B628" s="358"/>
      <c r="C628" s="260"/>
      <c r="D628" s="358"/>
      <c r="E628" s="260" t="n">
        <v>627</v>
      </c>
      <c r="F628" s="260" t="n">
        <f aca="false" t="array" ref="F628:F628">INDEX('0.0.1 Pokémon Dex Data'!$H$3:$H951,MATCH(E628,'0.0.1 Pokémon Dex Data'!$B$3:$B951,0))</f>
        <v>0</v>
      </c>
      <c r="G628" s="0" t="str">
        <f aca="false" t="array" ref="G628:G628">INDEX('0.0.1 Pokémon Dex Data'!$E$3:$E951,MATCH(E628,'0.0.1 Pokémon Dex Data'!$B$3:$B951,0))</f>
        <v>Drilbur</v>
      </c>
      <c r="H628" s="0" t="str">
        <f aca="false" t="array" ref="H628:H628">INDEX('0.0.1 Pokémon Dex Data'!$Q$3:$Q951,MATCH(E628,'0.0.1 Pokémon Dex Data'!$B$3:$B951,0))</f>
        <v>Ground</v>
      </c>
      <c r="I628" s="0" t="n">
        <f aca="false">INDEX('0.0.1 Pokémon Dex Data'!$R$3:$R951,MATCH(E628,'0.0.1 Pokémon Dex Data'!$B$3:$B951,0))</f>
        <v>0</v>
      </c>
      <c r="J628" s="260" t="n">
        <f aca="false" t="array" ref="J628:J628">ROUND(INDEX('0.0.1 Pokémon Dex Data'!$S$3:$S951,MATCH($E628,'0.0.1 Pokémon Dex Data'!$B$3:$B951,0))*INDEX('0.0.1 Pokémon Dex Data'!T$3:T951,MATCH($E628,'0.0.1 Pokémon Dex Data'!$B$3:$B951,0)),0)</f>
        <v>154</v>
      </c>
      <c r="K628" s="260" t="n">
        <f aca="false" t="array" ref="K628:K628">ROUND(INDEX('0.0.1 Pokémon Dex Data'!$S$3:$S951,MATCH($E628,'0.0.1 Pokémon Dex Data'!$B$3:$B951,0))*INDEX('0.0.1 Pokémon Dex Data'!U$3:U951,MATCH($E628,'0.0.1 Pokémon Dex Data'!$B$3:$B951,0)),0)</f>
        <v>85</v>
      </c>
      <c r="L628" s="260" t="n">
        <f aca="false" t="array" ref="L628:L628">ROUND(INDEX('0.0.1 Pokémon Dex Data'!$S$3:$S951,MATCH($E628,'0.0.1 Pokémon Dex Data'!$B$3:$B951,0))*INDEX('0.0.1 Pokémon Dex Data'!V$3:V951,MATCH($E628,'0.0.1 Pokémon Dex Data'!$B$3:$B951,0)),0)</f>
        <v>155</v>
      </c>
      <c r="M628" s="260" t="n">
        <f aca="false" t="array" ref="M628:M628">INDEX('0.0.1 Pokémon Dex Data'!$J$3:$J951,MATCH(E628,'0.0.1 Pokémon Dex Data'!$B$3:$B951,0))</f>
        <v>0</v>
      </c>
      <c r="O628" s="490"/>
      <c r="Q628" s="367" t="n">
        <f aca="false">IF('Reverse Search'!$F$4="All (including temporary formes)",1,IF('Reverse Search'!$F$4="Base Pokémon and permanent formes only",IF(F628&lt;=1,1,0),IF(F628=0,1,0)))</f>
        <v>1</v>
      </c>
      <c r="R628" s="0" t="n">
        <f aca="false">IF('Reverse Search'!$C$7="Disable",1,IF('Reverse Search'!$D$9="Disable",1,IF(OR('Reverse Search'!$F$9=H628,'Reverse Search'!$F$9=I628),1,0)))</f>
        <v>1</v>
      </c>
      <c r="S628" s="0" t="n">
        <f aca="false">IF('Reverse Search'!$C$7="Disable",1,IF('Reverse Search'!$D$10="Disable",1,IF(OR('Reverse Search'!$F$10=H628,'Reverse Search'!$F$10=I628),1,0)))</f>
        <v>1</v>
      </c>
      <c r="T628" s="0" t="n">
        <f aca="false">INDEX($B$4:$B$22,MATCH(H628,$A$4:$A$22,0))</f>
        <v>1</v>
      </c>
      <c r="U628" s="0" t="e">
        <f aca="false">IF(ISBLANK(I628),1,INDEX($B$4:$B$22,MATCH(I628,$A$4:$A$22,0)))</f>
        <v>#N/A</v>
      </c>
      <c r="V628" s="367" t="n">
        <f aca="false">IF('Reverse Search'!$C$7="Disable",1,IF('Reverse Search'!$D$11="Disable",1,IF('Reverse Search'!$E$11="Neutral to:",IF(ROUND(T628*U628,2)&lt;=1,1,0),IF(ROUND(T628*U628,2)&lt;1,1,0))))</f>
        <v>1</v>
      </c>
      <c r="W628" s="0" t="n">
        <f aca="false">IF('Reverse Search'!$N$7="Disable",1,IF('Reverse Search'!$I$9="Disable",1,IF('Reverse Search'!$K$9="≥",IF(J628&gt;='Reverse Search'!$L$9,1,0),IF('Reverse Search'!$K$9="≤",IF(J628&lt;='Reverse Search'!$L$9,1,0),IF(J628='Reverse Search'!$L$9,1,0)))))</f>
        <v>1</v>
      </c>
      <c r="X628" s="0" t="n">
        <f aca="false">IF('Reverse Search'!$N$7="Disable",1,IF('Reverse Search'!$I$10="Disable",1,IF('Reverse Search'!$K$10="≥",IF(K628&gt;='Reverse Search'!$L$10,1,0),IF('Reverse Search'!$K$10="≤",IF(K628&lt;='Reverse Search'!$L$10,1,0),IF(K628='Reverse Search'!$L$10,1,0)))))</f>
        <v>1</v>
      </c>
      <c r="Y628" s="367" t="n">
        <f aca="false">IF('Reverse Search'!$N$7="Disable",1,IF('Reverse Search'!$I$11="Disable",1,IF('Reverse Search'!$K$11="≥",IF(L628&gt;='Reverse Search'!$L$11,1,0),IF('Reverse Search'!$K$11="≤",IF(L628&lt;='Reverse Search'!$L$11,1,0),IF(L628='Reverse Search'!$L$11,1,0)))))</f>
        <v>1</v>
      </c>
      <c r="Z628" s="0" t="n">
        <f aca="true">IF('Reverse Search'!$C$14="Disable",1,IF('Reverse Search'!$D$16="Disable",1,IF($C$2=3,IF($M628=0,0,COUNTIF(INDIRECT("'0.0.2 Pokémon Learnset (Core)'!$D$"&amp;MATCH($E628,'0.0.2 Pokémon Learnset (Core)'!$A$1:$A951,0)&amp;":$FK$"&amp;MATCH($E628,'0.0.2 Pokémon Learnset (Core)'!$A$1:$A951,0)),'Reverse Search'!$E$21)),IF($C$2=2,COUNTIF(INDIRECT("'0.1.1 Pokémon GO Moves'!$B$"&amp;MATCH($E628,'0.1.1 Pokémon GO Moves'!$A$1:$A951,0)&amp;":$R$"&amp;MATCH($E628,'0.1.1 Pokémon GO Moves'!$A$1:$A951,0)),'Reverse Search'!$E$21),COUNTIF(INDIRECT("'0.1.1 Pokémon GO Moves'!$B$"&amp;MATCH($E628,'0.1.1 Pokémon GO Moves'!$A$1:$A951,0)&amp;":$L$"&amp;MATCH($E628,'0.1.1 Pokémon GO Moves'!$A$1:$A951,0)),'Reverse Search'!$E$21)))))</f>
        <v>1</v>
      </c>
      <c r="AA628" s="0" t="n">
        <f aca="true">IF('Reverse Search'!$C$14="Disable",1,IF('Reverse Search'!$I$16="Disable",1,IF($D$2=3,IF($M628=0,0,COUNTIF(INDIRECT("'0.0.2 Pokémon Learnset (Core)'!$D$"&amp;MATCH($E628,'0.0.2 Pokémon Learnset (Core)'!$A$1:$A951,0)&amp;":$FK$"&amp;MATCH($E628,'0.0.2 Pokémon Learnset (Core)'!$A$1:$A951,0)),'Reverse Search'!$J$21)),IF($D$2=2,COUNTIF(INDIRECT("'0.1.1 Pokémon GO Moves'!$B$"&amp;MATCH($E628,'0.1.1 Pokémon GO Moves'!$A$1:$A951,0)&amp;":$R$"&amp;MATCH($E628,'0.1.1 Pokémon GO Moves'!$A$1:$A951,0)),'Reverse Search'!$J$21),COUNTIF(INDIRECT("'0.1.1 Pokémon GO Moves'!$B$"&amp;MATCH($E628,'0.1.1 Pokémon GO Moves'!$A$1:$A951,0)&amp;":$L$"&amp;MATCH($E628,'0.1.1 Pokémon GO Moves'!$A$1:$A951,0)),'Reverse Search'!$J$21)))))</f>
        <v>0</v>
      </c>
      <c r="AB628" s="490"/>
      <c r="AC628" s="260" t="n">
        <f aca="false">IF((Q628+R628+S628+V628+W628+X628+Y628+IF(Z628&gt;=1,1,0)+IF(AA628&gt;=1,1,0))=9,G628&amp;", ",)</f>
        <v>0</v>
      </c>
    </row>
    <row r="629" customFormat="false" ht="15.75" hidden="false" customHeight="false" outlineLevel="0" collapsed="false">
      <c r="A629" s="260"/>
      <c r="B629" s="358"/>
      <c r="C629" s="260"/>
      <c r="D629" s="358"/>
      <c r="E629" s="260" t="n">
        <v>628</v>
      </c>
      <c r="F629" s="260" t="n">
        <f aca="false" t="array" ref="F629:F629">INDEX('0.0.1 Pokémon Dex Data'!$H$3:$H951,MATCH(E629,'0.0.1 Pokémon Dex Data'!$B$3:$B951,0))</f>
        <v>0</v>
      </c>
      <c r="G629" s="0" t="str">
        <f aca="false" t="array" ref="G629:G629">INDEX('0.0.1 Pokémon Dex Data'!$E$3:$E951,MATCH(E629,'0.0.1 Pokémon Dex Data'!$B$3:$B951,0))</f>
        <v>Excadrill</v>
      </c>
      <c r="H629" s="0" t="str">
        <f aca="false" t="array" ref="H629:H629">INDEX('0.0.1 Pokémon Dex Data'!$Q$3:$Q951,MATCH(E629,'0.0.1 Pokémon Dex Data'!$B$3:$B951,0))</f>
        <v>Ground</v>
      </c>
      <c r="I629" s="0" t="str">
        <f aca="false" t="array" ref="I629:I629">INDEX('0.0.1 Pokémon Dex Data'!$R$3:$R951,MATCH(E629,'0.0.1 Pokémon Dex Data'!$B$3:$B951,0))</f>
        <v>Steel</v>
      </c>
      <c r="J629" s="260" t="n">
        <f aca="false" t="array" ref="J629:J629">ROUND(INDEX('0.0.1 Pokémon Dex Data'!$S$3:$S951,MATCH($E629,'0.0.1 Pokémon Dex Data'!$B$3:$B951,0))*INDEX('0.0.1 Pokémon Dex Data'!T$3:T951,MATCH($E629,'0.0.1 Pokémon Dex Data'!$B$3:$B951,0)),0)</f>
        <v>255</v>
      </c>
      <c r="K629" s="260" t="n">
        <f aca="false" t="array" ref="K629:K629">ROUND(INDEX('0.0.1 Pokémon Dex Data'!$S$3:$S951,MATCH($E629,'0.0.1 Pokémon Dex Data'!$B$3:$B951,0))*INDEX('0.0.1 Pokémon Dex Data'!U$3:U951,MATCH($E629,'0.0.1 Pokémon Dex Data'!$B$3:$B951,0)),0)</f>
        <v>129</v>
      </c>
      <c r="L629" s="260" t="n">
        <f aca="false" t="array" ref="L629:L629">ROUND(INDEX('0.0.1 Pokémon Dex Data'!$S$3:$S951,MATCH($E629,'0.0.1 Pokémon Dex Data'!$B$3:$B951,0))*INDEX('0.0.1 Pokémon Dex Data'!V$3:V951,MATCH($E629,'0.0.1 Pokémon Dex Data'!$B$3:$B951,0)),0)</f>
        <v>242</v>
      </c>
      <c r="M629" s="260" t="n">
        <f aca="false" t="array" ref="M629:M629">INDEX('0.0.1 Pokémon Dex Data'!$J$3:$J951,MATCH(E629,'0.0.1 Pokémon Dex Data'!$B$3:$B951,0))</f>
        <v>1</v>
      </c>
      <c r="O629" s="490"/>
      <c r="Q629" s="367" t="n">
        <f aca="false">IF('Reverse Search'!$F$4="All (including temporary formes)",1,IF('Reverse Search'!$F$4="Base Pokémon and permanent formes only",IF(F629&lt;=1,1,0),IF(F629=0,1,0)))</f>
        <v>1</v>
      </c>
      <c r="R629" s="0" t="n">
        <f aca="false">IF('Reverse Search'!$C$7="Disable",1,IF('Reverse Search'!$D$9="Disable",1,IF(OR('Reverse Search'!$F$9=H629,'Reverse Search'!$F$9=I629),1,0)))</f>
        <v>1</v>
      </c>
      <c r="S629" s="0" t="n">
        <f aca="false">IF('Reverse Search'!$C$7="Disable",1,IF('Reverse Search'!$D$10="Disable",1,IF(OR('Reverse Search'!$F$10=H629,'Reverse Search'!$F$10=I629),1,0)))</f>
        <v>1</v>
      </c>
      <c r="T629" s="0" t="n">
        <f aca="false">INDEX($B$4:$B$22,MATCH(H629,$A$4:$A$22,0))</f>
        <v>1</v>
      </c>
      <c r="U629" s="0" t="n">
        <f aca="false">IF(ISBLANK(I629),1,INDEX($B$4:$B$22,MATCH(I629,$A$4:$A$22,0)))</f>
        <v>0.714</v>
      </c>
      <c r="V629" s="367" t="n">
        <f aca="false">IF('Reverse Search'!$C$7="Disable",1,IF('Reverse Search'!$D$11="Disable",1,IF('Reverse Search'!$E$11="Neutral to:",IF(ROUND(T629*U629,2)&lt;=1,1,0),IF(ROUND(T629*U629,2)&lt;1,1,0))))</f>
        <v>1</v>
      </c>
      <c r="W629" s="0" t="n">
        <f aca="false">IF('Reverse Search'!$N$7="Disable",1,IF('Reverse Search'!$I$9="Disable",1,IF('Reverse Search'!$K$9="≥",IF(J629&gt;='Reverse Search'!$L$9,1,0),IF('Reverse Search'!$K$9="≤",IF(J629&lt;='Reverse Search'!$L$9,1,0),IF(J629='Reverse Search'!$L$9,1,0)))))</f>
        <v>1</v>
      </c>
      <c r="X629" s="0" t="n">
        <f aca="false">IF('Reverse Search'!$N$7="Disable",1,IF('Reverse Search'!$I$10="Disable",1,IF('Reverse Search'!$K$10="≥",IF(K629&gt;='Reverse Search'!$L$10,1,0),IF('Reverse Search'!$K$10="≤",IF(K629&lt;='Reverse Search'!$L$10,1,0),IF(K629='Reverse Search'!$L$10,1,0)))))</f>
        <v>1</v>
      </c>
      <c r="Y629" s="367" t="n">
        <f aca="false">IF('Reverse Search'!$N$7="Disable",1,IF('Reverse Search'!$I$11="Disable",1,IF('Reverse Search'!$K$11="≥",IF(L629&gt;='Reverse Search'!$L$11,1,0),IF('Reverse Search'!$K$11="≤",IF(L629&lt;='Reverse Search'!$L$11,1,0),IF(L629='Reverse Search'!$L$11,1,0)))))</f>
        <v>1</v>
      </c>
      <c r="Z629" s="0" t="n">
        <f aca="true">IF('Reverse Search'!$C$14="Disable",1,IF('Reverse Search'!$D$16="Disable",1,IF($C$2=3,IF($M629=0,0,COUNTIF(INDIRECT("'0.0.2 Pokémon Learnset (Core)'!$D$"&amp;MATCH($E629,'0.0.2 Pokémon Learnset (Core)'!$A$1:$A951,0)&amp;":$FK$"&amp;MATCH($E629,'0.0.2 Pokémon Learnset (Core)'!$A$1:$A951,0)),'Reverse Search'!$E$21)),IF($C$2=2,COUNTIF(INDIRECT("'0.1.1 Pokémon GO Moves'!$B$"&amp;MATCH($E629,'0.1.1 Pokémon GO Moves'!$A$1:$A951,0)&amp;":$R$"&amp;MATCH($E629,'0.1.1 Pokémon GO Moves'!$A$1:$A951,0)),'Reverse Search'!$E$21),COUNTIF(INDIRECT("'0.1.1 Pokémon GO Moves'!$B$"&amp;MATCH($E629,'0.1.1 Pokémon GO Moves'!$A$1:$A951,0)&amp;":$L$"&amp;MATCH($E629,'0.1.1 Pokémon GO Moves'!$A$1:$A951,0)),'Reverse Search'!$E$21)))))</f>
        <v>1</v>
      </c>
      <c r="AA629" s="0" t="n">
        <f aca="true">IF('Reverse Search'!$C$14="Disable",1,IF('Reverse Search'!$I$16="Disable",1,IF($D$2=3,IF($M629=0,0,COUNTIF(INDIRECT("'0.0.2 Pokémon Learnset (Core)'!$D$"&amp;MATCH($E629,'0.0.2 Pokémon Learnset (Core)'!$A$1:$A951,0)&amp;":$FK$"&amp;MATCH($E629,'0.0.2 Pokémon Learnset (Core)'!$A$1:$A951,0)),'Reverse Search'!$J$21)),IF($D$2=2,COUNTIF(INDIRECT("'0.1.1 Pokémon GO Moves'!$B$"&amp;MATCH($E629,'0.1.1 Pokémon GO Moves'!$A$1:$A951,0)&amp;":$R$"&amp;MATCH($E629,'0.1.1 Pokémon GO Moves'!$A$1:$A951,0)),'Reverse Search'!$J$21),COUNTIF(INDIRECT("'0.1.1 Pokémon GO Moves'!$B$"&amp;MATCH($E629,'0.1.1 Pokémon GO Moves'!$A$1:$A951,0)&amp;":$L$"&amp;MATCH($E629,'0.1.1 Pokémon GO Moves'!$A$1:$A951,0)),'Reverse Search'!$J$21)))))</f>
        <v>0</v>
      </c>
      <c r="AB629" s="490"/>
      <c r="AC629" s="260" t="n">
        <f aca="false">IF((Q629+R629+S629+V629+W629+X629+Y629+IF(Z629&gt;=1,1,0)+IF(AA629&gt;=1,1,0))=9,G629&amp;", ",)</f>
        <v>0</v>
      </c>
    </row>
    <row r="630" customFormat="false" ht="15.75" hidden="false" customHeight="false" outlineLevel="0" collapsed="false">
      <c r="A630" s="260"/>
      <c r="B630" s="358"/>
      <c r="C630" s="260"/>
      <c r="D630" s="358"/>
      <c r="E630" s="260" t="n">
        <v>629</v>
      </c>
      <c r="F630" s="260" t="n">
        <f aca="false" t="array" ref="F630:F630">INDEX('0.0.1 Pokémon Dex Data'!$H$3:$H951,MATCH(E630,'0.0.1 Pokémon Dex Data'!$B$3:$B951,0))</f>
        <v>0</v>
      </c>
      <c r="G630" s="0" t="str">
        <f aca="false" t="array" ref="G630:G630">INDEX('0.0.1 Pokémon Dex Data'!$E$3:$E951,MATCH(E630,'0.0.1 Pokémon Dex Data'!$B$3:$B951,0))</f>
        <v>Audino</v>
      </c>
      <c r="H630" s="0" t="str">
        <f aca="false" t="array" ref="H630:H630">INDEX('0.0.1 Pokémon Dex Data'!$Q$3:$Q951,MATCH(E630,'0.0.1 Pokémon Dex Data'!$B$3:$B951,0))</f>
        <v>Normal</v>
      </c>
      <c r="I630" s="0" t="n">
        <f aca="false">INDEX('0.0.1 Pokémon Dex Data'!$R$3:$R951,MATCH(E630,'0.0.1 Pokémon Dex Data'!$B$3:$B951,0))</f>
        <v>0</v>
      </c>
      <c r="J630" s="260" t="n">
        <f aca="false" t="array" ref="J630:J630">ROUND(INDEX('0.0.1 Pokémon Dex Data'!$S$3:$S951,MATCH($E630,'0.0.1 Pokémon Dex Data'!$B$3:$B951,0))*INDEX('0.0.1 Pokémon Dex Data'!T$3:T951,MATCH($E630,'0.0.1 Pokémon Dex Data'!$B$3:$B951,0)),0)</f>
        <v>114</v>
      </c>
      <c r="K630" s="260" t="n">
        <f aca="false" t="array" ref="K630:K630">ROUND(INDEX('0.0.1 Pokémon Dex Data'!$S$3:$S951,MATCH($E630,'0.0.1 Pokémon Dex Data'!$B$3:$B951,0))*INDEX('0.0.1 Pokémon Dex Data'!U$3:U951,MATCH($E630,'0.0.1 Pokémon Dex Data'!$B$3:$B951,0)),0)</f>
        <v>163</v>
      </c>
      <c r="L630" s="260" t="n">
        <f aca="false" t="array" ref="L630:L630">ROUND(INDEX('0.0.1 Pokémon Dex Data'!$S$3:$S951,MATCH($E630,'0.0.1 Pokémon Dex Data'!$B$3:$B951,0))*INDEX('0.0.1 Pokémon Dex Data'!V$3:V951,MATCH($E630,'0.0.1 Pokémon Dex Data'!$B$3:$B951,0)),0)</f>
        <v>230</v>
      </c>
      <c r="M630" s="260" t="n">
        <f aca="false" t="array" ref="M630:M630">INDEX('0.0.1 Pokémon Dex Data'!$J$3:$J951,MATCH(E630,'0.0.1 Pokémon Dex Data'!$B$3:$B951,0))</f>
        <v>1</v>
      </c>
      <c r="O630" s="490"/>
      <c r="Q630" s="367" t="n">
        <f aca="false">IF('Reverse Search'!$F$4="All (including temporary formes)",1,IF('Reverse Search'!$F$4="Base Pokémon and permanent formes only",IF(F630&lt;=1,1,0),IF(F630=0,1,0)))</f>
        <v>1</v>
      </c>
      <c r="R630" s="0" t="n">
        <f aca="false">IF('Reverse Search'!$C$7="Disable",1,IF('Reverse Search'!$D$9="Disable",1,IF(OR('Reverse Search'!$F$9=H630,'Reverse Search'!$F$9=I630),1,0)))</f>
        <v>1</v>
      </c>
      <c r="S630" s="0" t="n">
        <f aca="false">IF('Reverse Search'!$C$7="Disable",1,IF('Reverse Search'!$D$10="Disable",1,IF(OR('Reverse Search'!$F$10=H630,'Reverse Search'!$F$10=I630),1,0)))</f>
        <v>1</v>
      </c>
      <c r="T630" s="0" t="n">
        <f aca="false">INDEX($B$4:$B$22,MATCH(H630,$A$4:$A$22,0))</f>
        <v>1</v>
      </c>
      <c r="U630" s="0" t="e">
        <f aca="false">IF(ISBLANK(I630),1,INDEX($B$4:$B$22,MATCH(I630,$A$4:$A$22,0)))</f>
        <v>#N/A</v>
      </c>
      <c r="V630" s="367" t="n">
        <f aca="false">IF('Reverse Search'!$C$7="Disable",1,IF('Reverse Search'!$D$11="Disable",1,IF('Reverse Search'!$E$11="Neutral to:",IF(ROUND(T630*U630,2)&lt;=1,1,0),IF(ROUND(T630*U630,2)&lt;1,1,0))))</f>
        <v>1</v>
      </c>
      <c r="W630" s="0" t="n">
        <f aca="false">IF('Reverse Search'!$N$7="Disable",1,IF('Reverse Search'!$I$9="Disable",1,IF('Reverse Search'!$K$9="≥",IF(J630&gt;='Reverse Search'!$L$9,1,0),IF('Reverse Search'!$K$9="≤",IF(J630&lt;='Reverse Search'!$L$9,1,0),IF(J630='Reverse Search'!$L$9,1,0)))))</f>
        <v>1</v>
      </c>
      <c r="X630" s="0" t="n">
        <f aca="false">IF('Reverse Search'!$N$7="Disable",1,IF('Reverse Search'!$I$10="Disable",1,IF('Reverse Search'!$K$10="≥",IF(K630&gt;='Reverse Search'!$L$10,1,0),IF('Reverse Search'!$K$10="≤",IF(K630&lt;='Reverse Search'!$L$10,1,0),IF(K630='Reverse Search'!$L$10,1,0)))))</f>
        <v>1</v>
      </c>
      <c r="Y630" s="367" t="n">
        <f aca="false">IF('Reverse Search'!$N$7="Disable",1,IF('Reverse Search'!$I$11="Disable",1,IF('Reverse Search'!$K$11="≥",IF(L630&gt;='Reverse Search'!$L$11,1,0),IF('Reverse Search'!$K$11="≤",IF(L630&lt;='Reverse Search'!$L$11,1,0),IF(L630='Reverse Search'!$L$11,1,0)))))</f>
        <v>1</v>
      </c>
      <c r="Z630" s="0" t="n">
        <f aca="true">IF('Reverse Search'!$C$14="Disable",1,IF('Reverse Search'!$D$16="Disable",1,IF($C$2=3,IF($M630=0,0,COUNTIF(INDIRECT("'0.0.2 Pokémon Learnset (Core)'!$D$"&amp;MATCH($E630,'0.0.2 Pokémon Learnset (Core)'!$A$1:$A951,0)&amp;":$FK$"&amp;MATCH($E630,'0.0.2 Pokémon Learnset (Core)'!$A$1:$A951,0)),'Reverse Search'!$E$21)),IF($C$2=2,COUNTIF(INDIRECT("'0.1.1 Pokémon GO Moves'!$B$"&amp;MATCH($E630,'0.1.1 Pokémon GO Moves'!$A$1:$A951,0)&amp;":$R$"&amp;MATCH($E630,'0.1.1 Pokémon GO Moves'!$A$1:$A951,0)),'Reverse Search'!$E$21),COUNTIF(INDIRECT("'0.1.1 Pokémon GO Moves'!$B$"&amp;MATCH($E630,'0.1.1 Pokémon GO Moves'!$A$1:$A951,0)&amp;":$L$"&amp;MATCH($E630,'0.1.1 Pokémon GO Moves'!$A$1:$A951,0)),'Reverse Search'!$E$21)))))</f>
        <v>1</v>
      </c>
      <c r="AA630" s="0" t="n">
        <f aca="true">IF('Reverse Search'!$C$14="Disable",1,IF('Reverse Search'!$I$16="Disable",1,IF($D$2=3,IF($M630=0,0,COUNTIF(INDIRECT("'0.0.2 Pokémon Learnset (Core)'!$D$"&amp;MATCH($E630,'0.0.2 Pokémon Learnset (Core)'!$A$1:$A951,0)&amp;":$FK$"&amp;MATCH($E630,'0.0.2 Pokémon Learnset (Core)'!$A$1:$A951,0)),'Reverse Search'!$J$21)),IF($D$2=2,COUNTIF(INDIRECT("'0.1.1 Pokémon GO Moves'!$B$"&amp;MATCH($E630,'0.1.1 Pokémon GO Moves'!$A$1:$A951,0)&amp;":$R$"&amp;MATCH($E630,'0.1.1 Pokémon GO Moves'!$A$1:$A951,0)),'Reverse Search'!$J$21),COUNTIF(INDIRECT("'0.1.1 Pokémon GO Moves'!$B$"&amp;MATCH($E630,'0.1.1 Pokémon GO Moves'!$A$1:$A951,0)&amp;":$L$"&amp;MATCH($E630,'0.1.1 Pokémon GO Moves'!$A$1:$A951,0)),'Reverse Search'!$J$21)))))</f>
        <v>0</v>
      </c>
      <c r="AB630" s="490"/>
      <c r="AC630" s="260" t="n">
        <f aca="false">IF((Q630+R630+S630+V630+W630+X630+Y630+IF(Z630&gt;=1,1,0)+IF(AA630&gt;=1,1,0))=9,G630&amp;", ",)</f>
        <v>0</v>
      </c>
    </row>
    <row r="631" customFormat="false" ht="15.75" hidden="false" customHeight="false" outlineLevel="0" collapsed="false">
      <c r="A631" s="260"/>
      <c r="B631" s="358"/>
      <c r="C631" s="260"/>
      <c r="D631" s="358"/>
      <c r="E631" s="260" t="n">
        <v>630</v>
      </c>
      <c r="F631" s="260" t="n">
        <f aca="false" t="array" ref="F631:F631">INDEX('0.0.1 Pokémon Dex Data'!$H$3:$H951,MATCH(E631,'0.0.1 Pokémon Dex Data'!$B$3:$B951,0))</f>
        <v>2</v>
      </c>
      <c r="G631" s="0" t="str">
        <f aca="false" t="array" ref="G631:G631">INDEX('0.0.1 Pokémon Dex Data'!$E$3:$E951,MATCH(E631,'0.0.1 Pokémon Dex Data'!$B$3:$B951,0))</f>
        <v>Audino-Mega</v>
      </c>
      <c r="H631" s="0" t="str">
        <f aca="false" t="array" ref="H631:H631">INDEX('0.0.1 Pokémon Dex Data'!$Q$3:$Q951,MATCH(E631,'0.0.1 Pokémon Dex Data'!$B$3:$B951,0))</f>
        <v>Normal</v>
      </c>
      <c r="I631" s="0" t="str">
        <f aca="false" t="array" ref="I631:I631">INDEX('0.0.1 Pokémon Dex Data'!$R$3:$R951,MATCH(E631,'0.0.1 Pokémon Dex Data'!$B$3:$B951,0))</f>
        <v>Fairy</v>
      </c>
      <c r="J631" s="260" t="n">
        <f aca="false" t="array" ref="J631:J631">ROUND(INDEX('0.0.1 Pokémon Dex Data'!$S$3:$S951,MATCH($E631,'0.0.1 Pokémon Dex Data'!$B$3:$B951,0))*INDEX('0.0.1 Pokémon Dex Data'!T$3:T951,MATCH($E631,'0.0.1 Pokémon Dex Data'!$B$3:$B951,0)),0)</f>
        <v>147</v>
      </c>
      <c r="K631" s="260" t="n">
        <f aca="false" t="array" ref="K631:K631">ROUND(INDEX('0.0.1 Pokémon Dex Data'!$S$3:$S951,MATCH($E631,'0.0.1 Pokémon Dex Data'!$B$3:$B951,0))*INDEX('0.0.1 Pokémon Dex Data'!U$3:U951,MATCH($E631,'0.0.1 Pokémon Dex Data'!$B$3:$B951,0)),0)</f>
        <v>239</v>
      </c>
      <c r="L631" s="260" t="n">
        <f aca="false" t="array" ref="L631:L631">ROUND(INDEX('0.0.1 Pokémon Dex Data'!$S$3:$S951,MATCH($E631,'0.0.1 Pokémon Dex Data'!$B$3:$B951,0))*INDEX('0.0.1 Pokémon Dex Data'!V$3:V951,MATCH($E631,'0.0.1 Pokémon Dex Data'!$B$3:$B951,0)),0)</f>
        <v>230</v>
      </c>
      <c r="M631" s="260" t="n">
        <f aca="false" t="array" ref="M631:M631">INDEX('0.0.1 Pokémon Dex Data'!$J$3:$J951,MATCH(E631,'0.0.1 Pokémon Dex Data'!$B$3:$B951,0))</f>
        <v>1</v>
      </c>
      <c r="O631" s="490"/>
      <c r="Q631" s="367" t="n">
        <f aca="false">IF('Reverse Search'!$F$4="All (including temporary formes)",1,IF('Reverse Search'!$F$4="Base Pokémon and permanent formes only",IF(F631&lt;=1,1,0),IF(F631=0,1,0)))</f>
        <v>0</v>
      </c>
      <c r="R631" s="0" t="n">
        <f aca="false">IF('Reverse Search'!$C$7="Disable",1,IF('Reverse Search'!$D$9="Disable",1,IF(OR('Reverse Search'!$F$9=H631,'Reverse Search'!$F$9=I631),1,0)))</f>
        <v>1</v>
      </c>
      <c r="S631" s="0" t="n">
        <f aca="false">IF('Reverse Search'!$C$7="Disable",1,IF('Reverse Search'!$D$10="Disable",1,IF(OR('Reverse Search'!$F$10=H631,'Reverse Search'!$F$10=I631),1,0)))</f>
        <v>1</v>
      </c>
      <c r="T631" s="0" t="n">
        <f aca="false">INDEX($B$4:$B$22,MATCH(H631,$A$4:$A$22,0))</f>
        <v>1</v>
      </c>
      <c r="U631" s="0" t="n">
        <f aca="false">IF(ISBLANK(I631),1,INDEX($B$4:$B$22,MATCH(I631,$A$4:$A$22,0)))</f>
        <v>1</v>
      </c>
      <c r="V631" s="367" t="n">
        <f aca="false">IF('Reverse Search'!$C$7="Disable",1,IF('Reverse Search'!$D$11="Disable",1,IF('Reverse Search'!$E$11="Neutral to:",IF(ROUND(T631*U631,2)&lt;=1,1,0),IF(ROUND(T631*U631,2)&lt;1,1,0))))</f>
        <v>1</v>
      </c>
      <c r="W631" s="0" t="n">
        <f aca="false">IF('Reverse Search'!$N$7="Disable",1,IF('Reverse Search'!$I$9="Disable",1,IF('Reverse Search'!$K$9="≥",IF(J631&gt;='Reverse Search'!$L$9,1,0),IF('Reverse Search'!$K$9="≤",IF(J631&lt;='Reverse Search'!$L$9,1,0),IF(J631='Reverse Search'!$L$9,1,0)))))</f>
        <v>1</v>
      </c>
      <c r="X631" s="0" t="n">
        <f aca="false">IF('Reverse Search'!$N$7="Disable",1,IF('Reverse Search'!$I$10="Disable",1,IF('Reverse Search'!$K$10="≥",IF(K631&gt;='Reverse Search'!$L$10,1,0),IF('Reverse Search'!$K$10="≤",IF(K631&lt;='Reverse Search'!$L$10,1,0),IF(K631='Reverse Search'!$L$10,1,0)))))</f>
        <v>1</v>
      </c>
      <c r="Y631" s="367" t="n">
        <f aca="false">IF('Reverse Search'!$N$7="Disable",1,IF('Reverse Search'!$I$11="Disable",1,IF('Reverse Search'!$K$11="≥",IF(L631&gt;='Reverse Search'!$L$11,1,0),IF('Reverse Search'!$K$11="≤",IF(L631&lt;='Reverse Search'!$L$11,1,0),IF(L631='Reverse Search'!$L$11,1,0)))))</f>
        <v>1</v>
      </c>
      <c r="Z631" s="0" t="n">
        <f aca="true">IF('Reverse Search'!$C$14="Disable",1,IF('Reverse Search'!$D$16="Disable",1,IF($C$2=3,IF($M631=0,0,COUNTIF(INDIRECT("'0.0.2 Pokémon Learnset (Core)'!$D$"&amp;MATCH($E631,'0.0.2 Pokémon Learnset (Core)'!$A$1:$A951,0)&amp;":$FK$"&amp;MATCH($E631,'0.0.2 Pokémon Learnset (Core)'!$A$1:$A951,0)),'Reverse Search'!$E$21)),IF($C$2=2,COUNTIF(INDIRECT("'0.1.1 Pokémon GO Moves'!$B$"&amp;MATCH($E631,'0.1.1 Pokémon GO Moves'!$A$1:$A951,0)&amp;":$R$"&amp;MATCH($E631,'0.1.1 Pokémon GO Moves'!$A$1:$A951,0)),'Reverse Search'!$E$21),COUNTIF(INDIRECT("'0.1.1 Pokémon GO Moves'!$B$"&amp;MATCH($E631,'0.1.1 Pokémon GO Moves'!$A$1:$A951,0)&amp;":$L$"&amp;MATCH($E631,'0.1.1 Pokémon GO Moves'!$A$1:$A951,0)),'Reverse Search'!$E$21)))))</f>
        <v>1</v>
      </c>
      <c r="AA631" s="0" t="e">
        <f aca="true">IF('Reverse Search'!$C$14="Disable",1,IF('Reverse Search'!$I$16="Disable",1,IF($D$2=3,IF($M631=0,0,COUNTIF(INDIRECT("'0.0.2 Pokémon Learnset (Core)'!$D$"&amp;MATCH($E631,'0.0.2 Pokémon Learnset (Core)'!$A$1:$A951,0)&amp;":$FK$"&amp;MATCH($E631,'0.0.2 Pokémon Learnset (Core)'!$A$1:$A951,0)),'Reverse Search'!$J$21)),IF($D$2=2,COUNTIF(INDIRECT("'0.1.1 Pokémon GO Moves'!$B$"&amp;MATCH($E631,'0.1.1 Pokémon GO Moves'!$A$1:$A951,0)&amp;":$R$"&amp;MATCH($E631,'0.1.1 Pokémon GO Moves'!$A$1:$A951,0)),'Reverse Search'!$J$21),COUNTIF(INDIRECT("'0.1.1 Pokémon GO Moves'!$B$"&amp;MATCH($E631,'0.1.1 Pokémon GO Moves'!$A$1:$A951,0)&amp;":$L$"&amp;MATCH($E631,'0.1.1 Pokémon GO Moves'!$A$1:$A951,0)),'Reverse Search'!$J$21)))))</f>
        <v>#N/A</v>
      </c>
      <c r="AB631" s="490"/>
      <c r="AC631" s="260" t="e">
        <f aca="false">IF((Q631+R631+S631+V631+W631+X631+Y631+IF(Z631&gt;=1,1,0)+IF(AA631&gt;=1,1,0))=9,G631&amp;", ",)</f>
        <v>#N/A</v>
      </c>
    </row>
    <row r="632" customFormat="false" ht="15.75" hidden="false" customHeight="false" outlineLevel="0" collapsed="false">
      <c r="A632" s="260"/>
      <c r="B632" s="358"/>
      <c r="C632" s="260"/>
      <c r="D632" s="358"/>
      <c r="E632" s="260" t="n">
        <v>631</v>
      </c>
      <c r="F632" s="260" t="n">
        <f aca="false" t="array" ref="F632:F632">INDEX('0.0.1 Pokémon Dex Data'!$H$3:$H951,MATCH(E632,'0.0.1 Pokémon Dex Data'!$B$3:$B951,0))</f>
        <v>0</v>
      </c>
      <c r="G632" s="0" t="str">
        <f aca="false" t="array" ref="G632:G632">INDEX('0.0.1 Pokémon Dex Data'!$E$3:$E951,MATCH(E632,'0.0.1 Pokémon Dex Data'!$B$3:$B951,0))</f>
        <v>Timburr</v>
      </c>
      <c r="H632" s="0" t="str">
        <f aca="false" t="array" ref="H632:H632">INDEX('0.0.1 Pokémon Dex Data'!$Q$3:$Q951,MATCH(E632,'0.0.1 Pokémon Dex Data'!$B$3:$B951,0))</f>
        <v>Fighting</v>
      </c>
      <c r="I632" s="0" t="n">
        <f aca="false">INDEX('0.0.1 Pokémon Dex Data'!$R$3:$R951,MATCH(E632,'0.0.1 Pokémon Dex Data'!$B$3:$B951,0))</f>
        <v>0</v>
      </c>
      <c r="J632" s="260" t="n">
        <f aca="false" t="array" ref="J632:J632">ROUND(INDEX('0.0.1 Pokémon Dex Data'!$S$3:$S951,MATCH($E632,'0.0.1 Pokémon Dex Data'!$B$3:$B951,0))*INDEX('0.0.1 Pokémon Dex Data'!T$3:T951,MATCH($E632,'0.0.1 Pokémon Dex Data'!$B$3:$B951,0)),0)</f>
        <v>134</v>
      </c>
      <c r="K632" s="260" t="n">
        <f aca="false" t="array" ref="K632:K632">ROUND(INDEX('0.0.1 Pokémon Dex Data'!$S$3:$S951,MATCH($E632,'0.0.1 Pokémon Dex Data'!$B$3:$B951,0))*INDEX('0.0.1 Pokémon Dex Data'!U$3:U951,MATCH($E632,'0.0.1 Pokémon Dex Data'!$B$3:$B951,0)),0)</f>
        <v>87</v>
      </c>
      <c r="L632" s="260" t="n">
        <f aca="false" t="array" ref="L632:L632">ROUND(INDEX('0.0.1 Pokémon Dex Data'!$S$3:$S951,MATCH($E632,'0.0.1 Pokémon Dex Data'!$B$3:$B951,0))*INDEX('0.0.1 Pokémon Dex Data'!V$3:V951,MATCH($E632,'0.0.1 Pokémon Dex Data'!$B$3:$B951,0)),0)</f>
        <v>181</v>
      </c>
      <c r="M632" s="260" t="n">
        <f aca="false" t="array" ref="M632:M632">INDEX('0.0.1 Pokémon Dex Data'!$J$3:$J951,MATCH(E632,'0.0.1 Pokémon Dex Data'!$B$3:$B951,0))</f>
        <v>0</v>
      </c>
      <c r="O632" s="490"/>
      <c r="Q632" s="367" t="n">
        <f aca="false">IF('Reverse Search'!$F$4="All (including temporary formes)",1,IF('Reverse Search'!$F$4="Base Pokémon and permanent formes only",IF(F632&lt;=1,1,0),IF(F632=0,1,0)))</f>
        <v>1</v>
      </c>
      <c r="R632" s="0" t="n">
        <f aca="false">IF('Reverse Search'!$C$7="Disable",1,IF('Reverse Search'!$D$9="Disable",1,IF(OR('Reverse Search'!$F$9=H632,'Reverse Search'!$F$9=I632),1,0)))</f>
        <v>1</v>
      </c>
      <c r="S632" s="0" t="n">
        <f aca="false">IF('Reverse Search'!$C$7="Disable",1,IF('Reverse Search'!$D$10="Disable",1,IF(OR('Reverse Search'!$F$10=H632,'Reverse Search'!$F$10=I632),1,0)))</f>
        <v>1</v>
      </c>
      <c r="T632" s="0" t="n">
        <f aca="false">INDEX($B$4:$B$22,MATCH(H632,$A$4:$A$22,0))</f>
        <v>1</v>
      </c>
      <c r="U632" s="0" t="e">
        <f aca="false">IF(ISBLANK(I632),1,INDEX($B$4:$B$22,MATCH(I632,$A$4:$A$22,0)))</f>
        <v>#N/A</v>
      </c>
      <c r="V632" s="367" t="n">
        <f aca="false">IF('Reverse Search'!$C$7="Disable",1,IF('Reverse Search'!$D$11="Disable",1,IF('Reverse Search'!$E$11="Neutral to:",IF(ROUND(T632*U632,2)&lt;=1,1,0),IF(ROUND(T632*U632,2)&lt;1,1,0))))</f>
        <v>1</v>
      </c>
      <c r="W632" s="0" t="n">
        <f aca="false">IF('Reverse Search'!$N$7="Disable",1,IF('Reverse Search'!$I$9="Disable",1,IF('Reverse Search'!$K$9="≥",IF(J632&gt;='Reverse Search'!$L$9,1,0),IF('Reverse Search'!$K$9="≤",IF(J632&lt;='Reverse Search'!$L$9,1,0),IF(J632='Reverse Search'!$L$9,1,0)))))</f>
        <v>1</v>
      </c>
      <c r="X632" s="0" t="n">
        <f aca="false">IF('Reverse Search'!$N$7="Disable",1,IF('Reverse Search'!$I$10="Disable",1,IF('Reverse Search'!$K$10="≥",IF(K632&gt;='Reverse Search'!$L$10,1,0),IF('Reverse Search'!$K$10="≤",IF(K632&lt;='Reverse Search'!$L$10,1,0),IF(K632='Reverse Search'!$L$10,1,0)))))</f>
        <v>1</v>
      </c>
      <c r="Y632" s="367" t="n">
        <f aca="false">IF('Reverse Search'!$N$7="Disable",1,IF('Reverse Search'!$I$11="Disable",1,IF('Reverse Search'!$K$11="≥",IF(L632&gt;='Reverse Search'!$L$11,1,0),IF('Reverse Search'!$K$11="≤",IF(L632&lt;='Reverse Search'!$L$11,1,0),IF(L632='Reverse Search'!$L$11,1,0)))))</f>
        <v>1</v>
      </c>
      <c r="Z632" s="0" t="n">
        <f aca="true">IF('Reverse Search'!$C$14="Disable",1,IF('Reverse Search'!$D$16="Disable",1,IF($C$2=3,IF($M632=0,0,COUNTIF(INDIRECT("'0.0.2 Pokémon Learnset (Core)'!$D$"&amp;MATCH($E632,'0.0.2 Pokémon Learnset (Core)'!$A$1:$A951,0)&amp;":$FK$"&amp;MATCH($E632,'0.0.2 Pokémon Learnset (Core)'!$A$1:$A951,0)),'Reverse Search'!$E$21)),IF($C$2=2,COUNTIF(INDIRECT("'0.1.1 Pokémon GO Moves'!$B$"&amp;MATCH($E632,'0.1.1 Pokémon GO Moves'!$A$1:$A951,0)&amp;":$R$"&amp;MATCH($E632,'0.1.1 Pokémon GO Moves'!$A$1:$A951,0)),'Reverse Search'!$E$21),COUNTIF(INDIRECT("'0.1.1 Pokémon GO Moves'!$B$"&amp;MATCH($E632,'0.1.1 Pokémon GO Moves'!$A$1:$A951,0)&amp;":$L$"&amp;MATCH($E632,'0.1.1 Pokémon GO Moves'!$A$1:$A951,0)),'Reverse Search'!$E$21)))))</f>
        <v>1</v>
      </c>
      <c r="AA632" s="0" t="n">
        <f aca="true">IF('Reverse Search'!$C$14="Disable",1,IF('Reverse Search'!$I$16="Disable",1,IF($D$2=3,IF($M632=0,0,COUNTIF(INDIRECT("'0.0.2 Pokémon Learnset (Core)'!$D$"&amp;MATCH($E632,'0.0.2 Pokémon Learnset (Core)'!$A$1:$A951,0)&amp;":$FK$"&amp;MATCH($E632,'0.0.2 Pokémon Learnset (Core)'!$A$1:$A951,0)),'Reverse Search'!$J$21)),IF($D$2=2,COUNTIF(INDIRECT("'0.1.1 Pokémon GO Moves'!$B$"&amp;MATCH($E632,'0.1.1 Pokémon GO Moves'!$A$1:$A951,0)&amp;":$R$"&amp;MATCH($E632,'0.1.1 Pokémon GO Moves'!$A$1:$A951,0)),'Reverse Search'!$J$21),COUNTIF(INDIRECT("'0.1.1 Pokémon GO Moves'!$B$"&amp;MATCH($E632,'0.1.1 Pokémon GO Moves'!$A$1:$A951,0)&amp;":$L$"&amp;MATCH($E632,'0.1.1 Pokémon GO Moves'!$A$1:$A951,0)),'Reverse Search'!$J$21)))))</f>
        <v>0</v>
      </c>
      <c r="AB632" s="490"/>
      <c r="AC632" s="260" t="n">
        <f aca="false">IF((Q632+R632+S632+V632+W632+X632+Y632+IF(Z632&gt;=1,1,0)+IF(AA632&gt;=1,1,0))=9,G632&amp;", ",)</f>
        <v>0</v>
      </c>
    </row>
    <row r="633" customFormat="false" ht="15.75" hidden="false" customHeight="false" outlineLevel="0" collapsed="false">
      <c r="A633" s="260"/>
      <c r="B633" s="358"/>
      <c r="C633" s="260"/>
      <c r="D633" s="358"/>
      <c r="E633" s="260" t="n">
        <v>632</v>
      </c>
      <c r="F633" s="260" t="n">
        <f aca="false" t="array" ref="F633:F633">INDEX('0.0.1 Pokémon Dex Data'!$H$3:$H951,MATCH(E633,'0.0.1 Pokémon Dex Data'!$B$3:$B951,0))</f>
        <v>0</v>
      </c>
      <c r="G633" s="0" t="str">
        <f aca="false" t="array" ref="G633:G633">INDEX('0.0.1 Pokémon Dex Data'!$E$3:$E951,MATCH(E633,'0.0.1 Pokémon Dex Data'!$B$3:$B951,0))</f>
        <v>Gurdurr</v>
      </c>
      <c r="H633" s="0" t="str">
        <f aca="false" t="array" ref="H633:H633">INDEX('0.0.1 Pokémon Dex Data'!$Q$3:$Q951,MATCH(E633,'0.0.1 Pokémon Dex Data'!$B$3:$B951,0))</f>
        <v>Fighting</v>
      </c>
      <c r="I633" s="0" t="n">
        <f aca="false">INDEX('0.0.1 Pokémon Dex Data'!$R$3:$R951,MATCH(E633,'0.0.1 Pokémon Dex Data'!$B$3:$B951,0))</f>
        <v>0</v>
      </c>
      <c r="J633" s="260" t="n">
        <f aca="false" t="array" ref="J633:J633">ROUND(INDEX('0.0.1 Pokémon Dex Data'!$S$3:$S951,MATCH($E633,'0.0.1 Pokémon Dex Data'!$B$3:$B951,0))*INDEX('0.0.1 Pokémon Dex Data'!T$3:T951,MATCH($E633,'0.0.1 Pokémon Dex Data'!$B$3:$B951,0)),0)</f>
        <v>180</v>
      </c>
      <c r="K633" s="260" t="n">
        <f aca="false" t="array" ref="K633:K633">ROUND(INDEX('0.0.1 Pokémon Dex Data'!$S$3:$S951,MATCH($E633,'0.0.1 Pokémon Dex Data'!$B$3:$B951,0))*INDEX('0.0.1 Pokémon Dex Data'!U$3:U951,MATCH($E633,'0.0.1 Pokémon Dex Data'!$B$3:$B951,0)),0)</f>
        <v>134</v>
      </c>
      <c r="L633" s="260" t="n">
        <f aca="false" t="array" ref="L633:L633">ROUND(INDEX('0.0.1 Pokémon Dex Data'!$S$3:$S951,MATCH($E633,'0.0.1 Pokémon Dex Data'!$B$3:$B951,0))*INDEX('0.0.1 Pokémon Dex Data'!V$3:V951,MATCH($E633,'0.0.1 Pokémon Dex Data'!$B$3:$B951,0)),0)</f>
        <v>198</v>
      </c>
      <c r="M633" s="260" t="n">
        <f aca="false" t="array" ref="M633:M633">INDEX('0.0.1 Pokémon Dex Data'!$J$3:$J951,MATCH(E633,'0.0.1 Pokémon Dex Data'!$B$3:$B951,0))</f>
        <v>0</v>
      </c>
      <c r="O633" s="490"/>
      <c r="Q633" s="367" t="n">
        <f aca="false">IF('Reverse Search'!$F$4="All (including temporary formes)",1,IF('Reverse Search'!$F$4="Base Pokémon and permanent formes only",IF(F633&lt;=1,1,0),IF(F633=0,1,0)))</f>
        <v>1</v>
      </c>
      <c r="R633" s="0" t="n">
        <f aca="false">IF('Reverse Search'!$C$7="Disable",1,IF('Reverse Search'!$D$9="Disable",1,IF(OR('Reverse Search'!$F$9=H633,'Reverse Search'!$F$9=I633),1,0)))</f>
        <v>1</v>
      </c>
      <c r="S633" s="0" t="n">
        <f aca="false">IF('Reverse Search'!$C$7="Disable",1,IF('Reverse Search'!$D$10="Disable",1,IF(OR('Reverse Search'!$F$10=H633,'Reverse Search'!$F$10=I633),1,0)))</f>
        <v>1</v>
      </c>
      <c r="T633" s="0" t="n">
        <f aca="false">INDEX($B$4:$B$22,MATCH(H633,$A$4:$A$22,0))</f>
        <v>1</v>
      </c>
      <c r="U633" s="0" t="e">
        <f aca="false">IF(ISBLANK(I633),1,INDEX($B$4:$B$22,MATCH(I633,$A$4:$A$22,0)))</f>
        <v>#N/A</v>
      </c>
      <c r="V633" s="367" t="n">
        <f aca="false">IF('Reverse Search'!$C$7="Disable",1,IF('Reverse Search'!$D$11="Disable",1,IF('Reverse Search'!$E$11="Neutral to:",IF(ROUND(T633*U633,2)&lt;=1,1,0),IF(ROUND(T633*U633,2)&lt;1,1,0))))</f>
        <v>1</v>
      </c>
      <c r="W633" s="0" t="n">
        <f aca="false">IF('Reverse Search'!$N$7="Disable",1,IF('Reverse Search'!$I$9="Disable",1,IF('Reverse Search'!$K$9="≥",IF(J633&gt;='Reverse Search'!$L$9,1,0),IF('Reverse Search'!$K$9="≤",IF(J633&lt;='Reverse Search'!$L$9,1,0),IF(J633='Reverse Search'!$L$9,1,0)))))</f>
        <v>1</v>
      </c>
      <c r="X633" s="0" t="n">
        <f aca="false">IF('Reverse Search'!$N$7="Disable",1,IF('Reverse Search'!$I$10="Disable",1,IF('Reverse Search'!$K$10="≥",IF(K633&gt;='Reverse Search'!$L$10,1,0),IF('Reverse Search'!$K$10="≤",IF(K633&lt;='Reverse Search'!$L$10,1,0),IF(K633='Reverse Search'!$L$10,1,0)))))</f>
        <v>1</v>
      </c>
      <c r="Y633" s="367" t="n">
        <f aca="false">IF('Reverse Search'!$N$7="Disable",1,IF('Reverse Search'!$I$11="Disable",1,IF('Reverse Search'!$K$11="≥",IF(L633&gt;='Reverse Search'!$L$11,1,0),IF('Reverse Search'!$K$11="≤",IF(L633&lt;='Reverse Search'!$L$11,1,0),IF(L633='Reverse Search'!$L$11,1,0)))))</f>
        <v>1</v>
      </c>
      <c r="Z633" s="0" t="n">
        <f aca="true">IF('Reverse Search'!$C$14="Disable",1,IF('Reverse Search'!$D$16="Disable",1,IF($C$2=3,IF($M633=0,0,COUNTIF(INDIRECT("'0.0.2 Pokémon Learnset (Core)'!$D$"&amp;MATCH($E633,'0.0.2 Pokémon Learnset (Core)'!$A$1:$A951,0)&amp;":$FK$"&amp;MATCH($E633,'0.0.2 Pokémon Learnset (Core)'!$A$1:$A951,0)),'Reverse Search'!$E$21)),IF($C$2=2,COUNTIF(INDIRECT("'0.1.1 Pokémon GO Moves'!$B$"&amp;MATCH($E633,'0.1.1 Pokémon GO Moves'!$A$1:$A951,0)&amp;":$R$"&amp;MATCH($E633,'0.1.1 Pokémon GO Moves'!$A$1:$A951,0)),'Reverse Search'!$E$21),COUNTIF(INDIRECT("'0.1.1 Pokémon GO Moves'!$B$"&amp;MATCH($E633,'0.1.1 Pokémon GO Moves'!$A$1:$A951,0)&amp;":$L$"&amp;MATCH($E633,'0.1.1 Pokémon GO Moves'!$A$1:$A951,0)),'Reverse Search'!$E$21)))))</f>
        <v>1</v>
      </c>
      <c r="AA633" s="0" t="n">
        <f aca="true">IF('Reverse Search'!$C$14="Disable",1,IF('Reverse Search'!$I$16="Disable",1,IF($D$2=3,IF($M633=0,0,COUNTIF(INDIRECT("'0.0.2 Pokémon Learnset (Core)'!$D$"&amp;MATCH($E633,'0.0.2 Pokémon Learnset (Core)'!$A$1:$A951,0)&amp;":$FK$"&amp;MATCH($E633,'0.0.2 Pokémon Learnset (Core)'!$A$1:$A951,0)),'Reverse Search'!$J$21)),IF($D$2=2,COUNTIF(INDIRECT("'0.1.1 Pokémon GO Moves'!$B$"&amp;MATCH($E633,'0.1.1 Pokémon GO Moves'!$A$1:$A951,0)&amp;":$R$"&amp;MATCH($E633,'0.1.1 Pokémon GO Moves'!$A$1:$A951,0)),'Reverse Search'!$J$21),COUNTIF(INDIRECT("'0.1.1 Pokémon GO Moves'!$B$"&amp;MATCH($E633,'0.1.1 Pokémon GO Moves'!$A$1:$A951,0)&amp;":$L$"&amp;MATCH($E633,'0.1.1 Pokémon GO Moves'!$A$1:$A951,0)),'Reverse Search'!$J$21)))))</f>
        <v>0</v>
      </c>
      <c r="AB633" s="490"/>
      <c r="AC633" s="260" t="n">
        <f aca="false">IF((Q633+R633+S633+V633+W633+X633+Y633+IF(Z633&gt;=1,1,0)+IF(AA633&gt;=1,1,0))=9,G633&amp;", ",)</f>
        <v>0</v>
      </c>
    </row>
    <row r="634" customFormat="false" ht="15.75" hidden="false" customHeight="false" outlineLevel="0" collapsed="false">
      <c r="A634" s="260"/>
      <c r="B634" s="358"/>
      <c r="C634" s="260"/>
      <c r="D634" s="358"/>
      <c r="E634" s="260" t="n">
        <v>633</v>
      </c>
      <c r="F634" s="260" t="n">
        <f aca="false" t="array" ref="F634:F634">INDEX('0.0.1 Pokémon Dex Data'!$H$3:$H951,MATCH(E634,'0.0.1 Pokémon Dex Data'!$B$3:$B951,0))</f>
        <v>0</v>
      </c>
      <c r="G634" s="0" t="str">
        <f aca="false" t="array" ref="G634:G634">INDEX('0.0.1 Pokémon Dex Data'!$E$3:$E951,MATCH(E634,'0.0.1 Pokémon Dex Data'!$B$3:$B951,0))</f>
        <v>Conkeldurr</v>
      </c>
      <c r="H634" s="0" t="str">
        <f aca="false" t="array" ref="H634:H634">INDEX('0.0.1 Pokémon Dex Data'!$Q$3:$Q951,MATCH(E634,'0.0.1 Pokémon Dex Data'!$B$3:$B951,0))</f>
        <v>Fighting</v>
      </c>
      <c r="I634" s="0" t="n">
        <f aca="false">INDEX('0.0.1 Pokémon Dex Data'!$R$3:$R951,MATCH(E634,'0.0.1 Pokémon Dex Data'!$B$3:$B951,0))</f>
        <v>0</v>
      </c>
      <c r="J634" s="260" t="n">
        <f aca="false" t="array" ref="J634:J634">ROUND(INDEX('0.0.1 Pokémon Dex Data'!$S$3:$S951,MATCH($E634,'0.0.1 Pokémon Dex Data'!$B$3:$B951,0))*INDEX('0.0.1 Pokémon Dex Data'!T$3:T951,MATCH($E634,'0.0.1 Pokémon Dex Data'!$B$3:$B951,0)),0)</f>
        <v>243</v>
      </c>
      <c r="K634" s="260" t="n">
        <f aca="false" t="array" ref="K634:K634">ROUND(INDEX('0.0.1 Pokémon Dex Data'!$S$3:$S951,MATCH($E634,'0.0.1 Pokémon Dex Data'!$B$3:$B951,0))*INDEX('0.0.1 Pokémon Dex Data'!U$3:U951,MATCH($E634,'0.0.1 Pokémon Dex Data'!$B$3:$B951,0)),0)</f>
        <v>158</v>
      </c>
      <c r="L634" s="260" t="n">
        <f aca="false" t="array" ref="L634:L634">ROUND(INDEX('0.0.1 Pokémon Dex Data'!$S$3:$S951,MATCH($E634,'0.0.1 Pokémon Dex Data'!$B$3:$B951,0))*INDEX('0.0.1 Pokémon Dex Data'!V$3:V951,MATCH($E634,'0.0.1 Pokémon Dex Data'!$B$3:$B951,0)),0)</f>
        <v>233</v>
      </c>
      <c r="M634" s="260" t="n">
        <f aca="false" t="array" ref="M634:M634">INDEX('0.0.1 Pokémon Dex Data'!$J$3:$J951,MATCH(E634,'0.0.1 Pokémon Dex Data'!$B$3:$B951,0))</f>
        <v>1</v>
      </c>
      <c r="O634" s="490"/>
      <c r="Q634" s="367" t="n">
        <f aca="false">IF('Reverse Search'!$F$4="All (including temporary formes)",1,IF('Reverse Search'!$F$4="Base Pokémon and permanent formes only",IF(F634&lt;=1,1,0),IF(F634=0,1,0)))</f>
        <v>1</v>
      </c>
      <c r="R634" s="0" t="n">
        <f aca="false">IF('Reverse Search'!$C$7="Disable",1,IF('Reverse Search'!$D$9="Disable",1,IF(OR('Reverse Search'!$F$9=H634,'Reverse Search'!$F$9=I634),1,0)))</f>
        <v>1</v>
      </c>
      <c r="S634" s="0" t="n">
        <f aca="false">IF('Reverse Search'!$C$7="Disable",1,IF('Reverse Search'!$D$10="Disable",1,IF(OR('Reverse Search'!$F$10=H634,'Reverse Search'!$F$10=I634),1,0)))</f>
        <v>1</v>
      </c>
      <c r="T634" s="0" t="n">
        <f aca="false">INDEX($B$4:$B$22,MATCH(H634,$A$4:$A$22,0))</f>
        <v>1</v>
      </c>
      <c r="U634" s="0" t="e">
        <f aca="false">IF(ISBLANK(I634),1,INDEX($B$4:$B$22,MATCH(I634,$A$4:$A$22,0)))</f>
        <v>#N/A</v>
      </c>
      <c r="V634" s="367" t="n">
        <f aca="false">IF('Reverse Search'!$C$7="Disable",1,IF('Reverse Search'!$D$11="Disable",1,IF('Reverse Search'!$E$11="Neutral to:",IF(ROUND(T634*U634,2)&lt;=1,1,0),IF(ROUND(T634*U634,2)&lt;1,1,0))))</f>
        <v>1</v>
      </c>
      <c r="W634" s="0" t="n">
        <f aca="false">IF('Reverse Search'!$N$7="Disable",1,IF('Reverse Search'!$I$9="Disable",1,IF('Reverse Search'!$K$9="≥",IF(J634&gt;='Reverse Search'!$L$9,1,0),IF('Reverse Search'!$K$9="≤",IF(J634&lt;='Reverse Search'!$L$9,1,0),IF(J634='Reverse Search'!$L$9,1,0)))))</f>
        <v>1</v>
      </c>
      <c r="X634" s="0" t="n">
        <f aca="false">IF('Reverse Search'!$N$7="Disable",1,IF('Reverse Search'!$I$10="Disable",1,IF('Reverse Search'!$K$10="≥",IF(K634&gt;='Reverse Search'!$L$10,1,0),IF('Reverse Search'!$K$10="≤",IF(K634&lt;='Reverse Search'!$L$10,1,0),IF(K634='Reverse Search'!$L$10,1,0)))))</f>
        <v>1</v>
      </c>
      <c r="Y634" s="367" t="n">
        <f aca="false">IF('Reverse Search'!$N$7="Disable",1,IF('Reverse Search'!$I$11="Disable",1,IF('Reverse Search'!$K$11="≥",IF(L634&gt;='Reverse Search'!$L$11,1,0),IF('Reverse Search'!$K$11="≤",IF(L634&lt;='Reverse Search'!$L$11,1,0),IF(L634='Reverse Search'!$L$11,1,0)))))</f>
        <v>1</v>
      </c>
      <c r="Z634" s="0" t="n">
        <f aca="true">IF('Reverse Search'!$C$14="Disable",1,IF('Reverse Search'!$D$16="Disable",1,IF($C$2=3,IF($M634=0,0,COUNTIF(INDIRECT("'0.0.2 Pokémon Learnset (Core)'!$D$"&amp;MATCH($E634,'0.0.2 Pokémon Learnset (Core)'!$A$1:$A951,0)&amp;":$FK$"&amp;MATCH($E634,'0.0.2 Pokémon Learnset (Core)'!$A$1:$A951,0)),'Reverse Search'!$E$21)),IF($C$2=2,COUNTIF(INDIRECT("'0.1.1 Pokémon GO Moves'!$B$"&amp;MATCH($E634,'0.1.1 Pokémon GO Moves'!$A$1:$A951,0)&amp;":$R$"&amp;MATCH($E634,'0.1.1 Pokémon GO Moves'!$A$1:$A951,0)),'Reverse Search'!$E$21),COUNTIF(INDIRECT("'0.1.1 Pokémon GO Moves'!$B$"&amp;MATCH($E634,'0.1.1 Pokémon GO Moves'!$A$1:$A951,0)&amp;":$L$"&amp;MATCH($E634,'0.1.1 Pokémon GO Moves'!$A$1:$A951,0)),'Reverse Search'!$E$21)))))</f>
        <v>1</v>
      </c>
      <c r="AA634" s="0" t="n">
        <f aca="true">IF('Reverse Search'!$C$14="Disable",1,IF('Reverse Search'!$I$16="Disable",1,IF($D$2=3,IF($M634=0,0,COUNTIF(INDIRECT("'0.0.2 Pokémon Learnset (Core)'!$D$"&amp;MATCH($E634,'0.0.2 Pokémon Learnset (Core)'!$A$1:$A951,0)&amp;":$FK$"&amp;MATCH($E634,'0.0.2 Pokémon Learnset (Core)'!$A$1:$A951,0)),'Reverse Search'!$J$21)),IF($D$2=2,COUNTIF(INDIRECT("'0.1.1 Pokémon GO Moves'!$B$"&amp;MATCH($E634,'0.1.1 Pokémon GO Moves'!$A$1:$A951,0)&amp;":$R$"&amp;MATCH($E634,'0.1.1 Pokémon GO Moves'!$A$1:$A951,0)),'Reverse Search'!$J$21),COUNTIF(INDIRECT("'0.1.1 Pokémon GO Moves'!$B$"&amp;MATCH($E634,'0.1.1 Pokémon GO Moves'!$A$1:$A951,0)&amp;":$L$"&amp;MATCH($E634,'0.1.1 Pokémon GO Moves'!$A$1:$A951,0)),'Reverse Search'!$J$21)))))</f>
        <v>0</v>
      </c>
      <c r="AB634" s="490"/>
      <c r="AC634" s="260" t="n">
        <f aca="false">IF((Q634+R634+S634+V634+W634+X634+Y634+IF(Z634&gt;=1,1,0)+IF(AA634&gt;=1,1,0))=9,G634&amp;", ",)</f>
        <v>0</v>
      </c>
    </row>
    <row r="635" customFormat="false" ht="15.75" hidden="false" customHeight="false" outlineLevel="0" collapsed="false">
      <c r="A635" s="260"/>
      <c r="B635" s="358"/>
      <c r="C635" s="260"/>
      <c r="D635" s="358"/>
      <c r="E635" s="260" t="n">
        <v>634</v>
      </c>
      <c r="F635" s="260" t="n">
        <f aca="false" t="array" ref="F635:F635">INDEX('0.0.1 Pokémon Dex Data'!$H$3:$H951,MATCH(E635,'0.0.1 Pokémon Dex Data'!$B$3:$B951,0))</f>
        <v>0</v>
      </c>
      <c r="G635" s="0" t="str">
        <f aca="false" t="array" ref="G635:G635">INDEX('0.0.1 Pokémon Dex Data'!$E$3:$E951,MATCH(E635,'0.0.1 Pokémon Dex Data'!$B$3:$B951,0))</f>
        <v>Tympole</v>
      </c>
      <c r="H635" s="0" t="str">
        <f aca="false" t="array" ref="H635:H635">INDEX('0.0.1 Pokémon Dex Data'!$Q$3:$Q951,MATCH(E635,'0.0.1 Pokémon Dex Data'!$B$3:$B951,0))</f>
        <v>Water</v>
      </c>
      <c r="I635" s="0" t="n">
        <f aca="false">INDEX('0.0.1 Pokémon Dex Data'!$R$3:$R951,MATCH(E635,'0.0.1 Pokémon Dex Data'!$B$3:$B951,0))</f>
        <v>0</v>
      </c>
      <c r="J635" s="260" t="n">
        <f aca="false" t="array" ref="J635:J635">ROUND(INDEX('0.0.1 Pokémon Dex Data'!$S$3:$S951,MATCH($E635,'0.0.1 Pokémon Dex Data'!$B$3:$B951,0))*INDEX('0.0.1 Pokémon Dex Data'!T$3:T951,MATCH($E635,'0.0.1 Pokémon Dex Data'!$B$3:$B951,0)),0)</f>
        <v>98</v>
      </c>
      <c r="K635" s="260" t="n">
        <f aca="false" t="array" ref="K635:K635">ROUND(INDEX('0.0.1 Pokémon Dex Data'!$S$3:$S951,MATCH($E635,'0.0.1 Pokémon Dex Data'!$B$3:$B951,0))*INDEX('0.0.1 Pokémon Dex Data'!U$3:U951,MATCH($E635,'0.0.1 Pokémon Dex Data'!$B$3:$B951,0)),0)</f>
        <v>78</v>
      </c>
      <c r="L635" s="260" t="n">
        <f aca="false" t="array" ref="L635:L635">ROUND(INDEX('0.0.1 Pokémon Dex Data'!$S$3:$S951,MATCH($E635,'0.0.1 Pokémon Dex Data'!$B$3:$B951,0))*INDEX('0.0.1 Pokémon Dex Data'!V$3:V951,MATCH($E635,'0.0.1 Pokémon Dex Data'!$B$3:$B951,0)),0)</f>
        <v>137</v>
      </c>
      <c r="M635" s="260" t="n">
        <f aca="false" t="array" ref="M635:M635">INDEX('0.0.1 Pokémon Dex Data'!$J$3:$J951,MATCH(E635,'0.0.1 Pokémon Dex Data'!$B$3:$B951,0))</f>
        <v>0</v>
      </c>
      <c r="O635" s="490"/>
      <c r="Q635" s="367" t="n">
        <f aca="false">IF('Reverse Search'!$F$4="All (including temporary formes)",1,IF('Reverse Search'!$F$4="Base Pokémon and permanent formes only",IF(F635&lt;=1,1,0),IF(F635=0,1,0)))</f>
        <v>1</v>
      </c>
      <c r="R635" s="0" t="n">
        <f aca="false">IF('Reverse Search'!$C$7="Disable",1,IF('Reverse Search'!$D$9="Disable",1,IF(OR('Reverse Search'!$F$9=H635,'Reverse Search'!$F$9=I635),1,0)))</f>
        <v>1</v>
      </c>
      <c r="S635" s="0" t="n">
        <f aca="false">IF('Reverse Search'!$C$7="Disable",1,IF('Reverse Search'!$D$10="Disable",1,IF(OR('Reverse Search'!$F$10=H635,'Reverse Search'!$F$10=I635),1,0)))</f>
        <v>1</v>
      </c>
      <c r="T635" s="0" t="n">
        <f aca="false">INDEX($B$4:$B$22,MATCH(H635,$A$4:$A$22,0))</f>
        <v>1</v>
      </c>
      <c r="U635" s="0" t="e">
        <f aca="false">IF(ISBLANK(I635),1,INDEX($B$4:$B$22,MATCH(I635,$A$4:$A$22,0)))</f>
        <v>#N/A</v>
      </c>
      <c r="V635" s="367" t="n">
        <f aca="false">IF('Reverse Search'!$C$7="Disable",1,IF('Reverse Search'!$D$11="Disable",1,IF('Reverse Search'!$E$11="Neutral to:",IF(ROUND(T635*U635,2)&lt;=1,1,0),IF(ROUND(T635*U635,2)&lt;1,1,0))))</f>
        <v>1</v>
      </c>
      <c r="W635" s="0" t="n">
        <f aca="false">IF('Reverse Search'!$N$7="Disable",1,IF('Reverse Search'!$I$9="Disable",1,IF('Reverse Search'!$K$9="≥",IF(J635&gt;='Reverse Search'!$L$9,1,0),IF('Reverse Search'!$K$9="≤",IF(J635&lt;='Reverse Search'!$L$9,1,0),IF(J635='Reverse Search'!$L$9,1,0)))))</f>
        <v>1</v>
      </c>
      <c r="X635" s="0" t="n">
        <f aca="false">IF('Reverse Search'!$N$7="Disable",1,IF('Reverse Search'!$I$10="Disable",1,IF('Reverse Search'!$K$10="≥",IF(K635&gt;='Reverse Search'!$L$10,1,0),IF('Reverse Search'!$K$10="≤",IF(K635&lt;='Reverse Search'!$L$10,1,0),IF(K635='Reverse Search'!$L$10,1,0)))))</f>
        <v>1</v>
      </c>
      <c r="Y635" s="367" t="n">
        <f aca="false">IF('Reverse Search'!$N$7="Disable",1,IF('Reverse Search'!$I$11="Disable",1,IF('Reverse Search'!$K$11="≥",IF(L635&gt;='Reverse Search'!$L$11,1,0),IF('Reverse Search'!$K$11="≤",IF(L635&lt;='Reverse Search'!$L$11,1,0),IF(L635='Reverse Search'!$L$11,1,0)))))</f>
        <v>1</v>
      </c>
      <c r="Z635" s="0" t="n">
        <f aca="true">IF('Reverse Search'!$C$14="Disable",1,IF('Reverse Search'!$D$16="Disable",1,IF($C$2=3,IF($M635=0,0,COUNTIF(INDIRECT("'0.0.2 Pokémon Learnset (Core)'!$D$"&amp;MATCH($E635,'0.0.2 Pokémon Learnset (Core)'!$A$1:$A951,0)&amp;":$FK$"&amp;MATCH($E635,'0.0.2 Pokémon Learnset (Core)'!$A$1:$A951,0)),'Reverse Search'!$E$21)),IF($C$2=2,COUNTIF(INDIRECT("'0.1.1 Pokémon GO Moves'!$B$"&amp;MATCH($E635,'0.1.1 Pokémon GO Moves'!$A$1:$A951,0)&amp;":$R$"&amp;MATCH($E635,'0.1.1 Pokémon GO Moves'!$A$1:$A951,0)),'Reverse Search'!$E$21),COUNTIF(INDIRECT("'0.1.1 Pokémon GO Moves'!$B$"&amp;MATCH($E635,'0.1.1 Pokémon GO Moves'!$A$1:$A951,0)&amp;":$L$"&amp;MATCH($E635,'0.1.1 Pokémon GO Moves'!$A$1:$A951,0)),'Reverse Search'!$E$21)))))</f>
        <v>1</v>
      </c>
      <c r="AA635" s="0" t="n">
        <f aca="true">IF('Reverse Search'!$C$14="Disable",1,IF('Reverse Search'!$I$16="Disable",1,IF($D$2=3,IF($M635=0,0,COUNTIF(INDIRECT("'0.0.2 Pokémon Learnset (Core)'!$D$"&amp;MATCH($E635,'0.0.2 Pokémon Learnset (Core)'!$A$1:$A951,0)&amp;":$FK$"&amp;MATCH($E635,'0.0.2 Pokémon Learnset (Core)'!$A$1:$A951,0)),'Reverse Search'!$J$21)),IF($D$2=2,COUNTIF(INDIRECT("'0.1.1 Pokémon GO Moves'!$B$"&amp;MATCH($E635,'0.1.1 Pokémon GO Moves'!$A$1:$A951,0)&amp;":$R$"&amp;MATCH($E635,'0.1.1 Pokémon GO Moves'!$A$1:$A951,0)),'Reverse Search'!$J$21),COUNTIF(INDIRECT("'0.1.1 Pokémon GO Moves'!$B$"&amp;MATCH($E635,'0.1.1 Pokémon GO Moves'!$A$1:$A951,0)&amp;":$L$"&amp;MATCH($E635,'0.1.1 Pokémon GO Moves'!$A$1:$A951,0)),'Reverse Search'!$J$21)))))</f>
        <v>0</v>
      </c>
      <c r="AB635" s="490"/>
      <c r="AC635" s="260" t="n">
        <f aca="false">IF((Q635+R635+S635+V635+W635+X635+Y635+IF(Z635&gt;=1,1,0)+IF(AA635&gt;=1,1,0))=9,G635&amp;", ",)</f>
        <v>0</v>
      </c>
    </row>
    <row r="636" customFormat="false" ht="15.75" hidden="false" customHeight="false" outlineLevel="0" collapsed="false">
      <c r="A636" s="260"/>
      <c r="B636" s="358"/>
      <c r="C636" s="260"/>
      <c r="D636" s="358"/>
      <c r="E636" s="260" t="n">
        <v>635</v>
      </c>
      <c r="F636" s="260" t="n">
        <f aca="false" t="array" ref="F636:F636">INDEX('0.0.1 Pokémon Dex Data'!$H$3:$H951,MATCH(E636,'0.0.1 Pokémon Dex Data'!$B$3:$B951,0))</f>
        <v>0</v>
      </c>
      <c r="G636" s="0" t="str">
        <f aca="false" t="array" ref="G636:G636">INDEX('0.0.1 Pokémon Dex Data'!$E$3:$E951,MATCH(E636,'0.0.1 Pokémon Dex Data'!$B$3:$B951,0))</f>
        <v>Palpitoad</v>
      </c>
      <c r="H636" s="0" t="str">
        <f aca="false" t="array" ref="H636:H636">INDEX('0.0.1 Pokémon Dex Data'!$Q$3:$Q951,MATCH(E636,'0.0.1 Pokémon Dex Data'!$B$3:$B951,0))</f>
        <v>Water</v>
      </c>
      <c r="I636" s="0" t="str">
        <f aca="false" t="array" ref="I636:I636">INDEX('0.0.1 Pokémon Dex Data'!$R$3:$R951,MATCH(E636,'0.0.1 Pokémon Dex Data'!$B$3:$B951,0))</f>
        <v>Ground</v>
      </c>
      <c r="J636" s="260" t="n">
        <f aca="false" t="array" ref="J636:J636">ROUND(INDEX('0.0.1 Pokémon Dex Data'!$S$3:$S951,MATCH($E636,'0.0.1 Pokémon Dex Data'!$B$3:$B951,0))*INDEX('0.0.1 Pokémon Dex Data'!T$3:T951,MATCH($E636,'0.0.1 Pokémon Dex Data'!$B$3:$B951,0)),0)</f>
        <v>128</v>
      </c>
      <c r="K636" s="260" t="n">
        <f aca="false" t="array" ref="K636:K636">ROUND(INDEX('0.0.1 Pokémon Dex Data'!$S$3:$S951,MATCH($E636,'0.0.1 Pokémon Dex Data'!$B$3:$B951,0))*INDEX('0.0.1 Pokémon Dex Data'!U$3:U951,MATCH($E636,'0.0.1 Pokémon Dex Data'!$B$3:$B951,0)),0)</f>
        <v>109</v>
      </c>
      <c r="L636" s="260" t="n">
        <f aca="false" t="array" ref="L636:L636">ROUND(INDEX('0.0.1 Pokémon Dex Data'!$S$3:$S951,MATCH($E636,'0.0.1 Pokémon Dex Data'!$B$3:$B951,0))*INDEX('0.0.1 Pokémon Dex Data'!V$3:V951,MATCH($E636,'0.0.1 Pokémon Dex Data'!$B$3:$B951,0)),0)</f>
        <v>181</v>
      </c>
      <c r="M636" s="260" t="n">
        <f aca="false" t="array" ref="M636:M636">INDEX('0.0.1 Pokémon Dex Data'!$J$3:$J951,MATCH(E636,'0.0.1 Pokémon Dex Data'!$B$3:$B951,0))</f>
        <v>0</v>
      </c>
      <c r="O636" s="490"/>
      <c r="Q636" s="367" t="n">
        <f aca="false">IF('Reverse Search'!$F$4="All (including temporary formes)",1,IF('Reverse Search'!$F$4="Base Pokémon and permanent formes only",IF(F636&lt;=1,1,0),IF(F636=0,1,0)))</f>
        <v>1</v>
      </c>
      <c r="R636" s="0" t="n">
        <f aca="false">IF('Reverse Search'!$C$7="Disable",1,IF('Reverse Search'!$D$9="Disable",1,IF(OR('Reverse Search'!$F$9=H636,'Reverse Search'!$F$9=I636),1,0)))</f>
        <v>1</v>
      </c>
      <c r="S636" s="0" t="n">
        <f aca="false">IF('Reverse Search'!$C$7="Disable",1,IF('Reverse Search'!$D$10="Disable",1,IF(OR('Reverse Search'!$F$10=H636,'Reverse Search'!$F$10=I636),1,0)))</f>
        <v>1</v>
      </c>
      <c r="T636" s="0" t="n">
        <f aca="false">INDEX($B$4:$B$22,MATCH(H636,$A$4:$A$22,0))</f>
        <v>1</v>
      </c>
      <c r="U636" s="0" t="n">
        <f aca="false">IF(ISBLANK(I636),1,INDEX($B$4:$B$22,MATCH(I636,$A$4:$A$22,0)))</f>
        <v>1</v>
      </c>
      <c r="V636" s="367" t="n">
        <f aca="false">IF('Reverse Search'!$C$7="Disable",1,IF('Reverse Search'!$D$11="Disable",1,IF('Reverse Search'!$E$11="Neutral to:",IF(ROUND(T636*U636,2)&lt;=1,1,0),IF(ROUND(T636*U636,2)&lt;1,1,0))))</f>
        <v>1</v>
      </c>
      <c r="W636" s="0" t="n">
        <f aca="false">IF('Reverse Search'!$N$7="Disable",1,IF('Reverse Search'!$I$9="Disable",1,IF('Reverse Search'!$K$9="≥",IF(J636&gt;='Reverse Search'!$L$9,1,0),IF('Reverse Search'!$K$9="≤",IF(J636&lt;='Reverse Search'!$L$9,1,0),IF(J636='Reverse Search'!$L$9,1,0)))))</f>
        <v>1</v>
      </c>
      <c r="X636" s="0" t="n">
        <f aca="false">IF('Reverse Search'!$N$7="Disable",1,IF('Reverse Search'!$I$10="Disable",1,IF('Reverse Search'!$K$10="≥",IF(K636&gt;='Reverse Search'!$L$10,1,0),IF('Reverse Search'!$K$10="≤",IF(K636&lt;='Reverse Search'!$L$10,1,0),IF(K636='Reverse Search'!$L$10,1,0)))))</f>
        <v>1</v>
      </c>
      <c r="Y636" s="367" t="n">
        <f aca="false">IF('Reverse Search'!$N$7="Disable",1,IF('Reverse Search'!$I$11="Disable",1,IF('Reverse Search'!$K$11="≥",IF(L636&gt;='Reverse Search'!$L$11,1,0),IF('Reverse Search'!$K$11="≤",IF(L636&lt;='Reverse Search'!$L$11,1,0),IF(L636='Reverse Search'!$L$11,1,0)))))</f>
        <v>1</v>
      </c>
      <c r="Z636" s="0" t="n">
        <f aca="true">IF('Reverse Search'!$C$14="Disable",1,IF('Reverse Search'!$D$16="Disable",1,IF($C$2=3,IF($M636=0,0,COUNTIF(INDIRECT("'0.0.2 Pokémon Learnset (Core)'!$D$"&amp;MATCH($E636,'0.0.2 Pokémon Learnset (Core)'!$A$1:$A951,0)&amp;":$FK$"&amp;MATCH($E636,'0.0.2 Pokémon Learnset (Core)'!$A$1:$A951,0)),'Reverse Search'!$E$21)),IF($C$2=2,COUNTIF(INDIRECT("'0.1.1 Pokémon GO Moves'!$B$"&amp;MATCH($E636,'0.1.1 Pokémon GO Moves'!$A$1:$A951,0)&amp;":$R$"&amp;MATCH($E636,'0.1.1 Pokémon GO Moves'!$A$1:$A951,0)),'Reverse Search'!$E$21),COUNTIF(INDIRECT("'0.1.1 Pokémon GO Moves'!$B$"&amp;MATCH($E636,'0.1.1 Pokémon GO Moves'!$A$1:$A951,0)&amp;":$L$"&amp;MATCH($E636,'0.1.1 Pokémon GO Moves'!$A$1:$A951,0)),'Reverse Search'!$E$21)))))</f>
        <v>1</v>
      </c>
      <c r="AA636" s="0" t="n">
        <f aca="true">IF('Reverse Search'!$C$14="Disable",1,IF('Reverse Search'!$I$16="Disable",1,IF($D$2=3,IF($M636=0,0,COUNTIF(INDIRECT("'0.0.2 Pokémon Learnset (Core)'!$D$"&amp;MATCH($E636,'0.0.2 Pokémon Learnset (Core)'!$A$1:$A951,0)&amp;":$FK$"&amp;MATCH($E636,'0.0.2 Pokémon Learnset (Core)'!$A$1:$A951,0)),'Reverse Search'!$J$21)),IF($D$2=2,COUNTIF(INDIRECT("'0.1.1 Pokémon GO Moves'!$B$"&amp;MATCH($E636,'0.1.1 Pokémon GO Moves'!$A$1:$A951,0)&amp;":$R$"&amp;MATCH($E636,'0.1.1 Pokémon GO Moves'!$A$1:$A951,0)),'Reverse Search'!$J$21),COUNTIF(INDIRECT("'0.1.1 Pokémon GO Moves'!$B$"&amp;MATCH($E636,'0.1.1 Pokémon GO Moves'!$A$1:$A951,0)&amp;":$L$"&amp;MATCH($E636,'0.1.1 Pokémon GO Moves'!$A$1:$A951,0)),'Reverse Search'!$J$21)))))</f>
        <v>0</v>
      </c>
      <c r="AB636" s="490"/>
      <c r="AC636" s="260" t="n">
        <f aca="false">IF((Q636+R636+S636+V636+W636+X636+Y636+IF(Z636&gt;=1,1,0)+IF(AA636&gt;=1,1,0))=9,G636&amp;", ",)</f>
        <v>0</v>
      </c>
    </row>
    <row r="637" customFormat="false" ht="15.75" hidden="false" customHeight="false" outlineLevel="0" collapsed="false">
      <c r="A637" s="260"/>
      <c r="B637" s="358"/>
      <c r="C637" s="260"/>
      <c r="D637" s="358"/>
      <c r="E637" s="260" t="n">
        <v>636</v>
      </c>
      <c r="F637" s="260" t="n">
        <f aca="false" t="array" ref="F637:F637">INDEX('0.0.1 Pokémon Dex Data'!$H$3:$H951,MATCH(E637,'0.0.1 Pokémon Dex Data'!$B$3:$B951,0))</f>
        <v>0</v>
      </c>
      <c r="G637" s="0" t="str">
        <f aca="false" t="array" ref="G637:G637">INDEX('0.0.1 Pokémon Dex Data'!$E$3:$E951,MATCH(E637,'0.0.1 Pokémon Dex Data'!$B$3:$B951,0))</f>
        <v>Seismitoad</v>
      </c>
      <c r="H637" s="0" t="str">
        <f aca="false" t="array" ref="H637:H637">INDEX('0.0.1 Pokémon Dex Data'!$Q$3:$Q951,MATCH(E637,'0.0.1 Pokémon Dex Data'!$B$3:$B951,0))</f>
        <v>Water</v>
      </c>
      <c r="I637" s="0" t="str">
        <f aca="false" t="array" ref="I637:I637">INDEX('0.0.1 Pokémon Dex Data'!$R$3:$R951,MATCH(E637,'0.0.1 Pokémon Dex Data'!$B$3:$B951,0))</f>
        <v>Ground</v>
      </c>
      <c r="J637" s="260" t="n">
        <f aca="false" t="array" ref="J637:J637">ROUND(INDEX('0.0.1 Pokémon Dex Data'!$S$3:$S951,MATCH($E637,'0.0.1 Pokémon Dex Data'!$B$3:$B951,0))*INDEX('0.0.1 Pokémon Dex Data'!T$3:T951,MATCH($E637,'0.0.1 Pokémon Dex Data'!$B$3:$B951,0)),0)</f>
        <v>188</v>
      </c>
      <c r="K637" s="260" t="n">
        <f aca="false" t="array" ref="K637:K637">ROUND(INDEX('0.0.1 Pokémon Dex Data'!$S$3:$S951,MATCH($E637,'0.0.1 Pokémon Dex Data'!$B$3:$B951,0))*INDEX('0.0.1 Pokémon Dex Data'!U$3:U951,MATCH($E637,'0.0.1 Pokémon Dex Data'!$B$3:$B951,0)),0)</f>
        <v>150</v>
      </c>
      <c r="L637" s="260" t="n">
        <f aca="false" t="array" ref="L637:L637">ROUND(INDEX('0.0.1 Pokémon Dex Data'!$S$3:$S951,MATCH($E637,'0.0.1 Pokémon Dex Data'!$B$3:$B951,0))*INDEX('0.0.1 Pokémon Dex Data'!V$3:V951,MATCH($E637,'0.0.1 Pokémon Dex Data'!$B$3:$B951,0)),0)</f>
        <v>233</v>
      </c>
      <c r="M637" s="260" t="n">
        <f aca="false" t="array" ref="M637:M637">INDEX('0.0.1 Pokémon Dex Data'!$J$3:$J951,MATCH(E637,'0.0.1 Pokémon Dex Data'!$B$3:$B951,0))</f>
        <v>1</v>
      </c>
      <c r="O637" s="490"/>
      <c r="Q637" s="367" t="n">
        <f aca="false">IF('Reverse Search'!$F$4="All (including temporary formes)",1,IF('Reverse Search'!$F$4="Base Pokémon and permanent formes only",IF(F637&lt;=1,1,0),IF(F637=0,1,0)))</f>
        <v>1</v>
      </c>
      <c r="R637" s="0" t="n">
        <f aca="false">IF('Reverse Search'!$C$7="Disable",1,IF('Reverse Search'!$D$9="Disable",1,IF(OR('Reverse Search'!$F$9=H637,'Reverse Search'!$F$9=I637),1,0)))</f>
        <v>1</v>
      </c>
      <c r="S637" s="0" t="n">
        <f aca="false">IF('Reverse Search'!$C$7="Disable",1,IF('Reverse Search'!$D$10="Disable",1,IF(OR('Reverse Search'!$F$10=H637,'Reverse Search'!$F$10=I637),1,0)))</f>
        <v>1</v>
      </c>
      <c r="T637" s="0" t="n">
        <f aca="false">INDEX($B$4:$B$22,MATCH(H637,$A$4:$A$22,0))</f>
        <v>1</v>
      </c>
      <c r="U637" s="0" t="n">
        <f aca="false">IF(ISBLANK(I637),1,INDEX($B$4:$B$22,MATCH(I637,$A$4:$A$22,0)))</f>
        <v>1</v>
      </c>
      <c r="V637" s="367" t="n">
        <f aca="false">IF('Reverse Search'!$C$7="Disable",1,IF('Reverse Search'!$D$11="Disable",1,IF('Reverse Search'!$E$11="Neutral to:",IF(ROUND(T637*U637,2)&lt;=1,1,0),IF(ROUND(T637*U637,2)&lt;1,1,0))))</f>
        <v>1</v>
      </c>
      <c r="W637" s="0" t="n">
        <f aca="false">IF('Reverse Search'!$N$7="Disable",1,IF('Reverse Search'!$I$9="Disable",1,IF('Reverse Search'!$K$9="≥",IF(J637&gt;='Reverse Search'!$L$9,1,0),IF('Reverse Search'!$K$9="≤",IF(J637&lt;='Reverse Search'!$L$9,1,0),IF(J637='Reverse Search'!$L$9,1,0)))))</f>
        <v>1</v>
      </c>
      <c r="X637" s="0" t="n">
        <f aca="false">IF('Reverse Search'!$N$7="Disable",1,IF('Reverse Search'!$I$10="Disable",1,IF('Reverse Search'!$K$10="≥",IF(K637&gt;='Reverse Search'!$L$10,1,0),IF('Reverse Search'!$K$10="≤",IF(K637&lt;='Reverse Search'!$L$10,1,0),IF(K637='Reverse Search'!$L$10,1,0)))))</f>
        <v>1</v>
      </c>
      <c r="Y637" s="367" t="n">
        <f aca="false">IF('Reverse Search'!$N$7="Disable",1,IF('Reverse Search'!$I$11="Disable",1,IF('Reverse Search'!$K$11="≥",IF(L637&gt;='Reverse Search'!$L$11,1,0),IF('Reverse Search'!$K$11="≤",IF(L637&lt;='Reverse Search'!$L$11,1,0),IF(L637='Reverse Search'!$L$11,1,0)))))</f>
        <v>1</v>
      </c>
      <c r="Z637" s="0" t="n">
        <f aca="true">IF('Reverse Search'!$C$14="Disable",1,IF('Reverse Search'!$D$16="Disable",1,IF($C$2=3,IF($M637=0,0,COUNTIF(INDIRECT("'0.0.2 Pokémon Learnset (Core)'!$D$"&amp;MATCH($E637,'0.0.2 Pokémon Learnset (Core)'!$A$1:$A951,0)&amp;":$FK$"&amp;MATCH($E637,'0.0.2 Pokémon Learnset (Core)'!$A$1:$A951,0)),'Reverse Search'!$E$21)),IF($C$2=2,COUNTIF(INDIRECT("'0.1.1 Pokémon GO Moves'!$B$"&amp;MATCH($E637,'0.1.1 Pokémon GO Moves'!$A$1:$A951,0)&amp;":$R$"&amp;MATCH($E637,'0.1.1 Pokémon GO Moves'!$A$1:$A951,0)),'Reverse Search'!$E$21),COUNTIF(INDIRECT("'0.1.1 Pokémon GO Moves'!$B$"&amp;MATCH($E637,'0.1.1 Pokémon GO Moves'!$A$1:$A951,0)&amp;":$L$"&amp;MATCH($E637,'0.1.1 Pokémon GO Moves'!$A$1:$A951,0)),'Reverse Search'!$E$21)))))</f>
        <v>1</v>
      </c>
      <c r="AA637" s="0" t="n">
        <f aca="true">IF('Reverse Search'!$C$14="Disable",1,IF('Reverse Search'!$I$16="Disable",1,IF($D$2=3,IF($M637=0,0,COUNTIF(INDIRECT("'0.0.2 Pokémon Learnset (Core)'!$D$"&amp;MATCH($E637,'0.0.2 Pokémon Learnset (Core)'!$A$1:$A951,0)&amp;":$FK$"&amp;MATCH($E637,'0.0.2 Pokémon Learnset (Core)'!$A$1:$A951,0)),'Reverse Search'!$J$21)),IF($D$2=2,COUNTIF(INDIRECT("'0.1.1 Pokémon GO Moves'!$B$"&amp;MATCH($E637,'0.1.1 Pokémon GO Moves'!$A$1:$A951,0)&amp;":$R$"&amp;MATCH($E637,'0.1.1 Pokémon GO Moves'!$A$1:$A951,0)),'Reverse Search'!$J$21),COUNTIF(INDIRECT("'0.1.1 Pokémon GO Moves'!$B$"&amp;MATCH($E637,'0.1.1 Pokémon GO Moves'!$A$1:$A951,0)&amp;":$L$"&amp;MATCH($E637,'0.1.1 Pokémon GO Moves'!$A$1:$A951,0)),'Reverse Search'!$J$21)))))</f>
        <v>0</v>
      </c>
      <c r="AB637" s="490"/>
      <c r="AC637" s="260" t="n">
        <f aca="false">IF((Q637+R637+S637+V637+W637+X637+Y637+IF(Z637&gt;=1,1,0)+IF(AA637&gt;=1,1,0))=9,G637&amp;", ",)</f>
        <v>0</v>
      </c>
    </row>
    <row r="638" customFormat="false" ht="15.75" hidden="false" customHeight="false" outlineLevel="0" collapsed="false">
      <c r="A638" s="260"/>
      <c r="B638" s="358"/>
      <c r="C638" s="260"/>
      <c r="D638" s="358"/>
      <c r="E638" s="260" t="n">
        <v>637</v>
      </c>
      <c r="F638" s="260" t="n">
        <f aca="false" t="array" ref="F638:F638">INDEX('0.0.1 Pokémon Dex Data'!$H$3:$H951,MATCH(E638,'0.0.1 Pokémon Dex Data'!$B$3:$B951,0))</f>
        <v>0</v>
      </c>
      <c r="G638" s="0" t="str">
        <f aca="false" t="array" ref="G638:G638">INDEX('0.0.1 Pokémon Dex Data'!$E$3:$E951,MATCH(E638,'0.0.1 Pokémon Dex Data'!$B$3:$B951,0))</f>
        <v>Throh</v>
      </c>
      <c r="H638" s="0" t="str">
        <f aca="false" t="array" ref="H638:H638">INDEX('0.0.1 Pokémon Dex Data'!$Q$3:$Q951,MATCH(E638,'0.0.1 Pokémon Dex Data'!$B$3:$B951,0))</f>
        <v>Fighting</v>
      </c>
      <c r="I638" s="0" t="n">
        <f aca="false">INDEX('0.0.1 Pokémon Dex Data'!$R$3:$R951,MATCH(E638,'0.0.1 Pokémon Dex Data'!$B$3:$B951,0))</f>
        <v>0</v>
      </c>
      <c r="J638" s="260" t="n">
        <f aca="false" t="array" ref="J638:J638">ROUND(INDEX('0.0.1 Pokémon Dex Data'!$S$3:$S951,MATCH($E638,'0.0.1 Pokémon Dex Data'!$B$3:$B951,0))*INDEX('0.0.1 Pokémon Dex Data'!T$3:T951,MATCH($E638,'0.0.1 Pokémon Dex Data'!$B$3:$B951,0)),0)</f>
        <v>172</v>
      </c>
      <c r="K638" s="260" t="n">
        <f aca="false" t="array" ref="K638:K638">ROUND(INDEX('0.0.1 Pokémon Dex Data'!$S$3:$S951,MATCH($E638,'0.0.1 Pokémon Dex Data'!$B$3:$B951,0))*INDEX('0.0.1 Pokémon Dex Data'!U$3:U951,MATCH($E638,'0.0.1 Pokémon Dex Data'!$B$3:$B951,0)),0)</f>
        <v>160</v>
      </c>
      <c r="L638" s="260" t="n">
        <f aca="false" t="array" ref="L638:L638">ROUND(INDEX('0.0.1 Pokémon Dex Data'!$S$3:$S951,MATCH($E638,'0.0.1 Pokémon Dex Data'!$B$3:$B951,0))*INDEX('0.0.1 Pokémon Dex Data'!V$3:V951,MATCH($E638,'0.0.1 Pokémon Dex Data'!$B$3:$B951,0)),0)</f>
        <v>260</v>
      </c>
      <c r="M638" s="260" t="n">
        <f aca="false" t="array" ref="M638:M638">INDEX('0.0.1 Pokémon Dex Data'!$J$3:$J951,MATCH(E638,'0.0.1 Pokémon Dex Data'!$B$3:$B951,0))</f>
        <v>1</v>
      </c>
      <c r="O638" s="490"/>
      <c r="Q638" s="367" t="n">
        <f aca="false">IF('Reverse Search'!$F$4="All (including temporary formes)",1,IF('Reverse Search'!$F$4="Base Pokémon and permanent formes only",IF(F638&lt;=1,1,0),IF(F638=0,1,0)))</f>
        <v>1</v>
      </c>
      <c r="R638" s="0" t="n">
        <f aca="false">IF('Reverse Search'!$C$7="Disable",1,IF('Reverse Search'!$D$9="Disable",1,IF(OR('Reverse Search'!$F$9=H638,'Reverse Search'!$F$9=I638),1,0)))</f>
        <v>1</v>
      </c>
      <c r="S638" s="0" t="n">
        <f aca="false">IF('Reverse Search'!$C$7="Disable",1,IF('Reverse Search'!$D$10="Disable",1,IF(OR('Reverse Search'!$F$10=H638,'Reverse Search'!$F$10=I638),1,0)))</f>
        <v>1</v>
      </c>
      <c r="T638" s="0" t="n">
        <f aca="false">INDEX($B$4:$B$22,MATCH(H638,$A$4:$A$22,0))</f>
        <v>1</v>
      </c>
      <c r="U638" s="0" t="e">
        <f aca="false">IF(ISBLANK(I638),1,INDEX($B$4:$B$22,MATCH(I638,$A$4:$A$22,0)))</f>
        <v>#N/A</v>
      </c>
      <c r="V638" s="367" t="n">
        <f aca="false">IF('Reverse Search'!$C$7="Disable",1,IF('Reverse Search'!$D$11="Disable",1,IF('Reverse Search'!$E$11="Neutral to:",IF(ROUND(T638*U638,2)&lt;=1,1,0),IF(ROUND(T638*U638,2)&lt;1,1,0))))</f>
        <v>1</v>
      </c>
      <c r="W638" s="0" t="n">
        <f aca="false">IF('Reverse Search'!$N$7="Disable",1,IF('Reverse Search'!$I$9="Disable",1,IF('Reverse Search'!$K$9="≥",IF(J638&gt;='Reverse Search'!$L$9,1,0),IF('Reverse Search'!$K$9="≤",IF(J638&lt;='Reverse Search'!$L$9,1,0),IF(J638='Reverse Search'!$L$9,1,0)))))</f>
        <v>1</v>
      </c>
      <c r="X638" s="0" t="n">
        <f aca="false">IF('Reverse Search'!$N$7="Disable",1,IF('Reverse Search'!$I$10="Disable",1,IF('Reverse Search'!$K$10="≥",IF(K638&gt;='Reverse Search'!$L$10,1,0),IF('Reverse Search'!$K$10="≤",IF(K638&lt;='Reverse Search'!$L$10,1,0),IF(K638='Reverse Search'!$L$10,1,0)))))</f>
        <v>1</v>
      </c>
      <c r="Y638" s="367" t="n">
        <f aca="false">IF('Reverse Search'!$N$7="Disable",1,IF('Reverse Search'!$I$11="Disable",1,IF('Reverse Search'!$K$11="≥",IF(L638&gt;='Reverse Search'!$L$11,1,0),IF('Reverse Search'!$K$11="≤",IF(L638&lt;='Reverse Search'!$L$11,1,0),IF(L638='Reverse Search'!$L$11,1,0)))))</f>
        <v>1</v>
      </c>
      <c r="Z638" s="0" t="n">
        <f aca="true">IF('Reverse Search'!$C$14="Disable",1,IF('Reverse Search'!$D$16="Disable",1,IF($C$2=3,IF($M638=0,0,COUNTIF(INDIRECT("'0.0.2 Pokémon Learnset (Core)'!$D$"&amp;MATCH($E638,'0.0.2 Pokémon Learnset (Core)'!$A$1:$A951,0)&amp;":$FK$"&amp;MATCH($E638,'0.0.2 Pokémon Learnset (Core)'!$A$1:$A951,0)),'Reverse Search'!$E$21)),IF($C$2=2,COUNTIF(INDIRECT("'0.1.1 Pokémon GO Moves'!$B$"&amp;MATCH($E638,'0.1.1 Pokémon GO Moves'!$A$1:$A951,0)&amp;":$R$"&amp;MATCH($E638,'0.1.1 Pokémon GO Moves'!$A$1:$A951,0)),'Reverse Search'!$E$21),COUNTIF(INDIRECT("'0.1.1 Pokémon GO Moves'!$B$"&amp;MATCH($E638,'0.1.1 Pokémon GO Moves'!$A$1:$A951,0)&amp;":$L$"&amp;MATCH($E638,'0.1.1 Pokémon GO Moves'!$A$1:$A951,0)),'Reverse Search'!$E$21)))))</f>
        <v>1</v>
      </c>
      <c r="AA638" s="0" t="n">
        <f aca="true">IF('Reverse Search'!$C$14="Disable",1,IF('Reverse Search'!$I$16="Disable",1,IF($D$2=3,IF($M638=0,0,COUNTIF(INDIRECT("'0.0.2 Pokémon Learnset (Core)'!$D$"&amp;MATCH($E638,'0.0.2 Pokémon Learnset (Core)'!$A$1:$A951,0)&amp;":$FK$"&amp;MATCH($E638,'0.0.2 Pokémon Learnset (Core)'!$A$1:$A951,0)),'Reverse Search'!$J$21)),IF($D$2=2,COUNTIF(INDIRECT("'0.1.1 Pokémon GO Moves'!$B$"&amp;MATCH($E638,'0.1.1 Pokémon GO Moves'!$A$1:$A951,0)&amp;":$R$"&amp;MATCH($E638,'0.1.1 Pokémon GO Moves'!$A$1:$A951,0)),'Reverse Search'!$J$21),COUNTIF(INDIRECT("'0.1.1 Pokémon GO Moves'!$B$"&amp;MATCH($E638,'0.1.1 Pokémon GO Moves'!$A$1:$A951,0)&amp;":$L$"&amp;MATCH($E638,'0.1.1 Pokémon GO Moves'!$A$1:$A951,0)),'Reverse Search'!$J$21)))))</f>
        <v>0</v>
      </c>
      <c r="AB638" s="490"/>
      <c r="AC638" s="260" t="n">
        <f aca="false">IF((Q638+R638+S638+V638+W638+X638+Y638+IF(Z638&gt;=1,1,0)+IF(AA638&gt;=1,1,0))=9,G638&amp;", ",)</f>
        <v>0</v>
      </c>
    </row>
    <row r="639" customFormat="false" ht="15.75" hidden="false" customHeight="false" outlineLevel="0" collapsed="false">
      <c r="A639" s="260"/>
      <c r="B639" s="358"/>
      <c r="C639" s="260"/>
      <c r="D639" s="358"/>
      <c r="E639" s="260" t="n">
        <v>638</v>
      </c>
      <c r="F639" s="260" t="n">
        <f aca="false" t="array" ref="F639:F639">INDEX('0.0.1 Pokémon Dex Data'!$H$3:$H951,MATCH(E639,'0.0.1 Pokémon Dex Data'!$B$3:$B951,0))</f>
        <v>0</v>
      </c>
      <c r="G639" s="0" t="str">
        <f aca="false" t="array" ref="G639:G639">INDEX('0.0.1 Pokémon Dex Data'!$E$3:$E951,MATCH(E639,'0.0.1 Pokémon Dex Data'!$B$3:$B951,0))</f>
        <v>Sawk</v>
      </c>
      <c r="H639" s="0" t="str">
        <f aca="false" t="array" ref="H639:H639">INDEX('0.0.1 Pokémon Dex Data'!$Q$3:$Q951,MATCH(E639,'0.0.1 Pokémon Dex Data'!$B$3:$B951,0))</f>
        <v>Fighting</v>
      </c>
      <c r="I639" s="0" t="n">
        <f aca="false">INDEX('0.0.1 Pokémon Dex Data'!$R$3:$R951,MATCH(E639,'0.0.1 Pokémon Dex Data'!$B$3:$B951,0))</f>
        <v>0</v>
      </c>
      <c r="J639" s="260" t="n">
        <f aca="false" t="array" ref="J639:J639">ROUND(INDEX('0.0.1 Pokémon Dex Data'!$S$3:$S951,MATCH($E639,'0.0.1 Pokémon Dex Data'!$B$3:$B951,0))*INDEX('0.0.1 Pokémon Dex Data'!T$3:T951,MATCH($E639,'0.0.1 Pokémon Dex Data'!$B$3:$B951,0)),0)</f>
        <v>231</v>
      </c>
      <c r="K639" s="260" t="n">
        <f aca="false" t="array" ref="K639:K639">ROUND(INDEX('0.0.1 Pokémon Dex Data'!$S$3:$S951,MATCH($E639,'0.0.1 Pokémon Dex Data'!$B$3:$B951,0))*INDEX('0.0.1 Pokémon Dex Data'!U$3:U951,MATCH($E639,'0.0.1 Pokémon Dex Data'!$B$3:$B951,0)),0)</f>
        <v>153</v>
      </c>
      <c r="L639" s="260" t="n">
        <f aca="false" t="array" ref="L639:L639">ROUND(INDEX('0.0.1 Pokémon Dex Data'!$S$3:$S951,MATCH($E639,'0.0.1 Pokémon Dex Data'!$B$3:$B951,0))*INDEX('0.0.1 Pokémon Dex Data'!V$3:V951,MATCH($E639,'0.0.1 Pokémon Dex Data'!$B$3:$B951,0)),0)</f>
        <v>181</v>
      </c>
      <c r="M639" s="260" t="n">
        <f aca="false" t="array" ref="M639:M639">INDEX('0.0.1 Pokémon Dex Data'!$J$3:$J951,MATCH(E639,'0.0.1 Pokémon Dex Data'!$B$3:$B951,0))</f>
        <v>1</v>
      </c>
      <c r="O639" s="490"/>
      <c r="Q639" s="367" t="n">
        <f aca="false">IF('Reverse Search'!$F$4="All (including temporary formes)",1,IF('Reverse Search'!$F$4="Base Pokémon and permanent formes only",IF(F639&lt;=1,1,0),IF(F639=0,1,0)))</f>
        <v>1</v>
      </c>
      <c r="R639" s="0" t="n">
        <f aca="false">IF('Reverse Search'!$C$7="Disable",1,IF('Reverse Search'!$D$9="Disable",1,IF(OR('Reverse Search'!$F$9=H639,'Reverse Search'!$F$9=I639),1,0)))</f>
        <v>1</v>
      </c>
      <c r="S639" s="0" t="n">
        <f aca="false">IF('Reverse Search'!$C$7="Disable",1,IF('Reverse Search'!$D$10="Disable",1,IF(OR('Reverse Search'!$F$10=H639,'Reverse Search'!$F$10=I639),1,0)))</f>
        <v>1</v>
      </c>
      <c r="T639" s="0" t="n">
        <f aca="false">INDEX($B$4:$B$22,MATCH(H639,$A$4:$A$22,0))</f>
        <v>1</v>
      </c>
      <c r="U639" s="0" t="e">
        <f aca="false">IF(ISBLANK(I639),1,INDEX($B$4:$B$22,MATCH(I639,$A$4:$A$22,0)))</f>
        <v>#N/A</v>
      </c>
      <c r="V639" s="367" t="n">
        <f aca="false">IF('Reverse Search'!$C$7="Disable",1,IF('Reverse Search'!$D$11="Disable",1,IF('Reverse Search'!$E$11="Neutral to:",IF(ROUND(T639*U639,2)&lt;=1,1,0),IF(ROUND(T639*U639,2)&lt;1,1,0))))</f>
        <v>1</v>
      </c>
      <c r="W639" s="0" t="n">
        <f aca="false">IF('Reverse Search'!$N$7="Disable",1,IF('Reverse Search'!$I$9="Disable",1,IF('Reverse Search'!$K$9="≥",IF(J639&gt;='Reverse Search'!$L$9,1,0),IF('Reverse Search'!$K$9="≤",IF(J639&lt;='Reverse Search'!$L$9,1,0),IF(J639='Reverse Search'!$L$9,1,0)))))</f>
        <v>1</v>
      </c>
      <c r="X639" s="0" t="n">
        <f aca="false">IF('Reverse Search'!$N$7="Disable",1,IF('Reverse Search'!$I$10="Disable",1,IF('Reverse Search'!$K$10="≥",IF(K639&gt;='Reverse Search'!$L$10,1,0),IF('Reverse Search'!$K$10="≤",IF(K639&lt;='Reverse Search'!$L$10,1,0),IF(K639='Reverse Search'!$L$10,1,0)))))</f>
        <v>1</v>
      </c>
      <c r="Y639" s="367" t="n">
        <f aca="false">IF('Reverse Search'!$N$7="Disable",1,IF('Reverse Search'!$I$11="Disable",1,IF('Reverse Search'!$K$11="≥",IF(L639&gt;='Reverse Search'!$L$11,1,0),IF('Reverse Search'!$K$11="≤",IF(L639&lt;='Reverse Search'!$L$11,1,0),IF(L639='Reverse Search'!$L$11,1,0)))))</f>
        <v>1</v>
      </c>
      <c r="Z639" s="0" t="n">
        <f aca="true">IF('Reverse Search'!$C$14="Disable",1,IF('Reverse Search'!$D$16="Disable",1,IF($C$2=3,IF($M639=0,0,COUNTIF(INDIRECT("'0.0.2 Pokémon Learnset (Core)'!$D$"&amp;MATCH($E639,'0.0.2 Pokémon Learnset (Core)'!$A$1:$A951,0)&amp;":$FK$"&amp;MATCH($E639,'0.0.2 Pokémon Learnset (Core)'!$A$1:$A951,0)),'Reverse Search'!$E$21)),IF($C$2=2,COUNTIF(INDIRECT("'0.1.1 Pokémon GO Moves'!$B$"&amp;MATCH($E639,'0.1.1 Pokémon GO Moves'!$A$1:$A951,0)&amp;":$R$"&amp;MATCH($E639,'0.1.1 Pokémon GO Moves'!$A$1:$A951,0)),'Reverse Search'!$E$21),COUNTIF(INDIRECT("'0.1.1 Pokémon GO Moves'!$B$"&amp;MATCH($E639,'0.1.1 Pokémon GO Moves'!$A$1:$A951,0)&amp;":$L$"&amp;MATCH($E639,'0.1.1 Pokémon GO Moves'!$A$1:$A951,0)),'Reverse Search'!$E$21)))))</f>
        <v>1</v>
      </c>
      <c r="AA639" s="0" t="n">
        <f aca="true">IF('Reverse Search'!$C$14="Disable",1,IF('Reverse Search'!$I$16="Disable",1,IF($D$2=3,IF($M639=0,0,COUNTIF(INDIRECT("'0.0.2 Pokémon Learnset (Core)'!$D$"&amp;MATCH($E639,'0.0.2 Pokémon Learnset (Core)'!$A$1:$A951,0)&amp;":$FK$"&amp;MATCH($E639,'0.0.2 Pokémon Learnset (Core)'!$A$1:$A951,0)),'Reverse Search'!$J$21)),IF($D$2=2,COUNTIF(INDIRECT("'0.1.1 Pokémon GO Moves'!$B$"&amp;MATCH($E639,'0.1.1 Pokémon GO Moves'!$A$1:$A951,0)&amp;":$R$"&amp;MATCH($E639,'0.1.1 Pokémon GO Moves'!$A$1:$A951,0)),'Reverse Search'!$J$21),COUNTIF(INDIRECT("'0.1.1 Pokémon GO Moves'!$B$"&amp;MATCH($E639,'0.1.1 Pokémon GO Moves'!$A$1:$A951,0)&amp;":$L$"&amp;MATCH($E639,'0.1.1 Pokémon GO Moves'!$A$1:$A951,0)),'Reverse Search'!$J$21)))))</f>
        <v>0</v>
      </c>
      <c r="AB639" s="490"/>
      <c r="AC639" s="260" t="n">
        <f aca="false">IF((Q639+R639+S639+V639+W639+X639+Y639+IF(Z639&gt;=1,1,0)+IF(AA639&gt;=1,1,0))=9,G639&amp;", ",)</f>
        <v>0</v>
      </c>
    </row>
    <row r="640" customFormat="false" ht="15.75" hidden="false" customHeight="false" outlineLevel="0" collapsed="false">
      <c r="A640" s="260"/>
      <c r="B640" s="358"/>
      <c r="C640" s="260"/>
      <c r="D640" s="358"/>
      <c r="E640" s="260" t="n">
        <v>639</v>
      </c>
      <c r="F640" s="260" t="n">
        <f aca="false" t="array" ref="F640:F640">INDEX('0.0.1 Pokémon Dex Data'!$H$3:$H951,MATCH(E640,'0.0.1 Pokémon Dex Data'!$B$3:$B951,0))</f>
        <v>0</v>
      </c>
      <c r="G640" s="0" t="str">
        <f aca="false" t="array" ref="G640:G640">INDEX('0.0.1 Pokémon Dex Data'!$E$3:$E951,MATCH(E640,'0.0.1 Pokémon Dex Data'!$B$3:$B951,0))</f>
        <v>Sewaddle</v>
      </c>
      <c r="H640" s="0" t="str">
        <f aca="false" t="array" ref="H640:H640">INDEX('0.0.1 Pokémon Dex Data'!$Q$3:$Q951,MATCH(E640,'0.0.1 Pokémon Dex Data'!$B$3:$B951,0))</f>
        <v>Bug</v>
      </c>
      <c r="I640" s="0" t="str">
        <f aca="false" t="array" ref="I640:I640">INDEX('0.0.1 Pokémon Dex Data'!$R$3:$R951,MATCH(E640,'0.0.1 Pokémon Dex Data'!$B$3:$B951,0))</f>
        <v>Grass</v>
      </c>
      <c r="J640" s="260" t="n">
        <f aca="false" t="array" ref="J640:J640">ROUND(INDEX('0.0.1 Pokémon Dex Data'!$S$3:$S951,MATCH($E640,'0.0.1 Pokémon Dex Data'!$B$3:$B951,0))*INDEX('0.0.1 Pokémon Dex Data'!T$3:T951,MATCH($E640,'0.0.1 Pokémon Dex Data'!$B$3:$B951,0)),0)</f>
        <v>96</v>
      </c>
      <c r="K640" s="260" t="n">
        <f aca="false" t="array" ref="K640:K640">ROUND(INDEX('0.0.1 Pokémon Dex Data'!$S$3:$S951,MATCH($E640,'0.0.1 Pokémon Dex Data'!$B$3:$B951,0))*INDEX('0.0.1 Pokémon Dex Data'!U$3:U951,MATCH($E640,'0.0.1 Pokémon Dex Data'!$B$3:$B951,0)),0)</f>
        <v>124</v>
      </c>
      <c r="L640" s="260" t="n">
        <f aca="false" t="array" ref="L640:L640">ROUND(INDEX('0.0.1 Pokémon Dex Data'!$S$3:$S951,MATCH($E640,'0.0.1 Pokémon Dex Data'!$B$3:$B951,0))*INDEX('0.0.1 Pokémon Dex Data'!V$3:V951,MATCH($E640,'0.0.1 Pokémon Dex Data'!$B$3:$B951,0)),0)</f>
        <v>128</v>
      </c>
      <c r="M640" s="260" t="n">
        <f aca="false" t="array" ref="M640:M640">INDEX('0.0.1 Pokémon Dex Data'!$J$3:$J951,MATCH(E640,'0.0.1 Pokémon Dex Data'!$B$3:$B951,0))</f>
        <v>0</v>
      </c>
      <c r="O640" s="490"/>
      <c r="Q640" s="367" t="n">
        <f aca="false">IF('Reverse Search'!$F$4="All (including temporary formes)",1,IF('Reverse Search'!$F$4="Base Pokémon and permanent formes only",IF(F640&lt;=1,1,0),IF(F640=0,1,0)))</f>
        <v>1</v>
      </c>
      <c r="R640" s="0" t="n">
        <f aca="false">IF('Reverse Search'!$C$7="Disable",1,IF('Reverse Search'!$D$9="Disable",1,IF(OR('Reverse Search'!$F$9=H640,'Reverse Search'!$F$9=I640),1,0)))</f>
        <v>1</v>
      </c>
      <c r="S640" s="0" t="n">
        <f aca="false">IF('Reverse Search'!$C$7="Disable",1,IF('Reverse Search'!$D$10="Disable",1,IF(OR('Reverse Search'!$F$10=H640,'Reverse Search'!$F$10=I640),1,0)))</f>
        <v>1</v>
      </c>
      <c r="T640" s="0" t="n">
        <f aca="false">INDEX($B$4:$B$22,MATCH(H640,$A$4:$A$22,0))</f>
        <v>1</v>
      </c>
      <c r="U640" s="0" t="n">
        <f aca="false">IF(ISBLANK(I640),1,INDEX($B$4:$B$22,MATCH(I640,$A$4:$A$22,0)))</f>
        <v>1</v>
      </c>
      <c r="V640" s="367" t="n">
        <f aca="false">IF('Reverse Search'!$C$7="Disable",1,IF('Reverse Search'!$D$11="Disable",1,IF('Reverse Search'!$E$11="Neutral to:",IF(ROUND(T640*U640,2)&lt;=1,1,0),IF(ROUND(T640*U640,2)&lt;1,1,0))))</f>
        <v>1</v>
      </c>
      <c r="W640" s="0" t="n">
        <f aca="false">IF('Reverse Search'!$N$7="Disable",1,IF('Reverse Search'!$I$9="Disable",1,IF('Reverse Search'!$K$9="≥",IF(J640&gt;='Reverse Search'!$L$9,1,0),IF('Reverse Search'!$K$9="≤",IF(J640&lt;='Reverse Search'!$L$9,1,0),IF(J640='Reverse Search'!$L$9,1,0)))))</f>
        <v>1</v>
      </c>
      <c r="X640" s="0" t="n">
        <f aca="false">IF('Reverse Search'!$N$7="Disable",1,IF('Reverse Search'!$I$10="Disable",1,IF('Reverse Search'!$K$10="≥",IF(K640&gt;='Reverse Search'!$L$10,1,0),IF('Reverse Search'!$K$10="≤",IF(K640&lt;='Reverse Search'!$L$10,1,0),IF(K640='Reverse Search'!$L$10,1,0)))))</f>
        <v>1</v>
      </c>
      <c r="Y640" s="367" t="n">
        <f aca="false">IF('Reverse Search'!$N$7="Disable",1,IF('Reverse Search'!$I$11="Disable",1,IF('Reverse Search'!$K$11="≥",IF(L640&gt;='Reverse Search'!$L$11,1,0),IF('Reverse Search'!$K$11="≤",IF(L640&lt;='Reverse Search'!$L$11,1,0),IF(L640='Reverse Search'!$L$11,1,0)))))</f>
        <v>1</v>
      </c>
      <c r="Z640" s="0" t="n">
        <f aca="true">IF('Reverse Search'!$C$14="Disable",1,IF('Reverse Search'!$D$16="Disable",1,IF($C$2=3,IF($M640=0,0,COUNTIF(INDIRECT("'0.0.2 Pokémon Learnset (Core)'!$D$"&amp;MATCH($E640,'0.0.2 Pokémon Learnset (Core)'!$A$1:$A951,0)&amp;":$FK$"&amp;MATCH($E640,'0.0.2 Pokémon Learnset (Core)'!$A$1:$A951,0)),'Reverse Search'!$E$21)),IF($C$2=2,COUNTIF(INDIRECT("'0.1.1 Pokémon GO Moves'!$B$"&amp;MATCH($E640,'0.1.1 Pokémon GO Moves'!$A$1:$A951,0)&amp;":$R$"&amp;MATCH($E640,'0.1.1 Pokémon GO Moves'!$A$1:$A951,0)),'Reverse Search'!$E$21),COUNTIF(INDIRECT("'0.1.1 Pokémon GO Moves'!$B$"&amp;MATCH($E640,'0.1.1 Pokémon GO Moves'!$A$1:$A951,0)&amp;":$L$"&amp;MATCH($E640,'0.1.1 Pokémon GO Moves'!$A$1:$A951,0)),'Reverse Search'!$E$21)))))</f>
        <v>1</v>
      </c>
      <c r="AA640" s="0" t="n">
        <f aca="true">IF('Reverse Search'!$C$14="Disable",1,IF('Reverse Search'!$I$16="Disable",1,IF($D$2=3,IF($M640=0,0,COUNTIF(INDIRECT("'0.0.2 Pokémon Learnset (Core)'!$D$"&amp;MATCH($E640,'0.0.2 Pokémon Learnset (Core)'!$A$1:$A951,0)&amp;":$FK$"&amp;MATCH($E640,'0.0.2 Pokémon Learnset (Core)'!$A$1:$A951,0)),'Reverse Search'!$J$21)),IF($D$2=2,COUNTIF(INDIRECT("'0.1.1 Pokémon GO Moves'!$B$"&amp;MATCH($E640,'0.1.1 Pokémon GO Moves'!$A$1:$A951,0)&amp;":$R$"&amp;MATCH($E640,'0.1.1 Pokémon GO Moves'!$A$1:$A951,0)),'Reverse Search'!$J$21),COUNTIF(INDIRECT("'0.1.1 Pokémon GO Moves'!$B$"&amp;MATCH($E640,'0.1.1 Pokémon GO Moves'!$A$1:$A951,0)&amp;":$L$"&amp;MATCH($E640,'0.1.1 Pokémon GO Moves'!$A$1:$A951,0)),'Reverse Search'!$J$21)))))</f>
        <v>0</v>
      </c>
      <c r="AB640" s="490"/>
      <c r="AC640" s="260" t="n">
        <f aca="false">IF((Q640+R640+S640+V640+W640+X640+Y640+IF(Z640&gt;=1,1,0)+IF(AA640&gt;=1,1,0))=9,G640&amp;", ",)</f>
        <v>0</v>
      </c>
    </row>
    <row r="641" customFormat="false" ht="15.75" hidden="false" customHeight="false" outlineLevel="0" collapsed="false">
      <c r="A641" s="260"/>
      <c r="B641" s="358"/>
      <c r="C641" s="260"/>
      <c r="D641" s="358"/>
      <c r="E641" s="260" t="n">
        <v>640</v>
      </c>
      <c r="F641" s="260" t="n">
        <f aca="false" t="array" ref="F641:F641">INDEX('0.0.1 Pokémon Dex Data'!$H$3:$H951,MATCH(E641,'0.0.1 Pokémon Dex Data'!$B$3:$B951,0))</f>
        <v>0</v>
      </c>
      <c r="G641" s="0" t="str">
        <f aca="false" t="array" ref="G641:G641">INDEX('0.0.1 Pokémon Dex Data'!$E$3:$E951,MATCH(E641,'0.0.1 Pokémon Dex Data'!$B$3:$B951,0))</f>
        <v>Swadloon</v>
      </c>
      <c r="H641" s="0" t="str">
        <f aca="false" t="array" ref="H641:H641">INDEX('0.0.1 Pokémon Dex Data'!$Q$3:$Q951,MATCH(E641,'0.0.1 Pokémon Dex Data'!$B$3:$B951,0))</f>
        <v>Bug</v>
      </c>
      <c r="I641" s="0" t="str">
        <f aca="false" t="array" ref="I641:I641">INDEX('0.0.1 Pokémon Dex Data'!$R$3:$R951,MATCH(E641,'0.0.1 Pokémon Dex Data'!$B$3:$B951,0))</f>
        <v>Grass</v>
      </c>
      <c r="J641" s="260" t="n">
        <f aca="false" t="array" ref="J641:J641">ROUND(INDEX('0.0.1 Pokémon Dex Data'!$S$3:$S951,MATCH($E641,'0.0.1 Pokémon Dex Data'!$B$3:$B951,0))*INDEX('0.0.1 Pokémon Dex Data'!T$3:T951,MATCH($E641,'0.0.1 Pokémon Dex Data'!$B$3:$B951,0)),0)</f>
        <v>115</v>
      </c>
      <c r="K641" s="260" t="n">
        <f aca="false" t="array" ref="K641:K641">ROUND(INDEX('0.0.1 Pokémon Dex Data'!$S$3:$S951,MATCH($E641,'0.0.1 Pokémon Dex Data'!$B$3:$B951,0))*INDEX('0.0.1 Pokémon Dex Data'!U$3:U951,MATCH($E641,'0.0.1 Pokémon Dex Data'!$B$3:$B951,0)),0)</f>
        <v>162</v>
      </c>
      <c r="L641" s="260" t="n">
        <f aca="false" t="array" ref="L641:L641">ROUND(INDEX('0.0.1 Pokémon Dex Data'!$S$3:$S951,MATCH($E641,'0.0.1 Pokémon Dex Data'!$B$3:$B951,0))*INDEX('0.0.1 Pokémon Dex Data'!V$3:V951,MATCH($E641,'0.0.1 Pokémon Dex Data'!$B$3:$B951,0)),0)</f>
        <v>146</v>
      </c>
      <c r="M641" s="260" t="n">
        <f aca="false" t="array" ref="M641:M641">INDEX('0.0.1 Pokémon Dex Data'!$J$3:$J951,MATCH(E641,'0.0.1 Pokémon Dex Data'!$B$3:$B951,0))</f>
        <v>0</v>
      </c>
      <c r="O641" s="490"/>
      <c r="Q641" s="367" t="n">
        <f aca="false">IF('Reverse Search'!$F$4="All (including temporary formes)",1,IF('Reverse Search'!$F$4="Base Pokémon and permanent formes only",IF(F641&lt;=1,1,0),IF(F641=0,1,0)))</f>
        <v>1</v>
      </c>
      <c r="R641" s="0" t="n">
        <f aca="false">IF('Reverse Search'!$C$7="Disable",1,IF('Reverse Search'!$D$9="Disable",1,IF(OR('Reverse Search'!$F$9=H641,'Reverse Search'!$F$9=I641),1,0)))</f>
        <v>1</v>
      </c>
      <c r="S641" s="0" t="n">
        <f aca="false">IF('Reverse Search'!$C$7="Disable",1,IF('Reverse Search'!$D$10="Disable",1,IF(OR('Reverse Search'!$F$10=H641,'Reverse Search'!$F$10=I641),1,0)))</f>
        <v>1</v>
      </c>
      <c r="T641" s="0" t="n">
        <f aca="false">INDEX($B$4:$B$22,MATCH(H641,$A$4:$A$22,0))</f>
        <v>1</v>
      </c>
      <c r="U641" s="0" t="n">
        <f aca="false">IF(ISBLANK(I641),1,INDEX($B$4:$B$22,MATCH(I641,$A$4:$A$22,0)))</f>
        <v>1</v>
      </c>
      <c r="V641" s="367" t="n">
        <f aca="false">IF('Reverse Search'!$C$7="Disable",1,IF('Reverse Search'!$D$11="Disable",1,IF('Reverse Search'!$E$11="Neutral to:",IF(ROUND(T641*U641,2)&lt;=1,1,0),IF(ROUND(T641*U641,2)&lt;1,1,0))))</f>
        <v>1</v>
      </c>
      <c r="W641" s="0" t="n">
        <f aca="false">IF('Reverse Search'!$N$7="Disable",1,IF('Reverse Search'!$I$9="Disable",1,IF('Reverse Search'!$K$9="≥",IF(J641&gt;='Reverse Search'!$L$9,1,0),IF('Reverse Search'!$K$9="≤",IF(J641&lt;='Reverse Search'!$L$9,1,0),IF(J641='Reverse Search'!$L$9,1,0)))))</f>
        <v>1</v>
      </c>
      <c r="X641" s="0" t="n">
        <f aca="false">IF('Reverse Search'!$N$7="Disable",1,IF('Reverse Search'!$I$10="Disable",1,IF('Reverse Search'!$K$10="≥",IF(K641&gt;='Reverse Search'!$L$10,1,0),IF('Reverse Search'!$K$10="≤",IF(K641&lt;='Reverse Search'!$L$10,1,0),IF(K641='Reverse Search'!$L$10,1,0)))))</f>
        <v>1</v>
      </c>
      <c r="Y641" s="367" t="n">
        <f aca="false">IF('Reverse Search'!$N$7="Disable",1,IF('Reverse Search'!$I$11="Disable",1,IF('Reverse Search'!$K$11="≥",IF(L641&gt;='Reverse Search'!$L$11,1,0),IF('Reverse Search'!$K$11="≤",IF(L641&lt;='Reverse Search'!$L$11,1,0),IF(L641='Reverse Search'!$L$11,1,0)))))</f>
        <v>1</v>
      </c>
      <c r="Z641" s="0" t="n">
        <f aca="true">IF('Reverse Search'!$C$14="Disable",1,IF('Reverse Search'!$D$16="Disable",1,IF($C$2=3,IF($M641=0,0,COUNTIF(INDIRECT("'0.0.2 Pokémon Learnset (Core)'!$D$"&amp;MATCH($E641,'0.0.2 Pokémon Learnset (Core)'!$A$1:$A951,0)&amp;":$FK$"&amp;MATCH($E641,'0.0.2 Pokémon Learnset (Core)'!$A$1:$A951,0)),'Reverse Search'!$E$21)),IF($C$2=2,COUNTIF(INDIRECT("'0.1.1 Pokémon GO Moves'!$B$"&amp;MATCH($E641,'0.1.1 Pokémon GO Moves'!$A$1:$A951,0)&amp;":$R$"&amp;MATCH($E641,'0.1.1 Pokémon GO Moves'!$A$1:$A951,0)),'Reverse Search'!$E$21),COUNTIF(INDIRECT("'0.1.1 Pokémon GO Moves'!$B$"&amp;MATCH($E641,'0.1.1 Pokémon GO Moves'!$A$1:$A951,0)&amp;":$L$"&amp;MATCH($E641,'0.1.1 Pokémon GO Moves'!$A$1:$A951,0)),'Reverse Search'!$E$21)))))</f>
        <v>1</v>
      </c>
      <c r="AA641" s="0" t="n">
        <f aca="true">IF('Reverse Search'!$C$14="Disable",1,IF('Reverse Search'!$I$16="Disable",1,IF($D$2=3,IF($M641=0,0,COUNTIF(INDIRECT("'0.0.2 Pokémon Learnset (Core)'!$D$"&amp;MATCH($E641,'0.0.2 Pokémon Learnset (Core)'!$A$1:$A951,0)&amp;":$FK$"&amp;MATCH($E641,'0.0.2 Pokémon Learnset (Core)'!$A$1:$A951,0)),'Reverse Search'!$J$21)),IF($D$2=2,COUNTIF(INDIRECT("'0.1.1 Pokémon GO Moves'!$B$"&amp;MATCH($E641,'0.1.1 Pokémon GO Moves'!$A$1:$A951,0)&amp;":$R$"&amp;MATCH($E641,'0.1.1 Pokémon GO Moves'!$A$1:$A951,0)),'Reverse Search'!$J$21),COUNTIF(INDIRECT("'0.1.1 Pokémon GO Moves'!$B$"&amp;MATCH($E641,'0.1.1 Pokémon GO Moves'!$A$1:$A951,0)&amp;":$L$"&amp;MATCH($E641,'0.1.1 Pokémon GO Moves'!$A$1:$A951,0)),'Reverse Search'!$J$21)))))</f>
        <v>0</v>
      </c>
      <c r="AB641" s="490"/>
      <c r="AC641" s="260" t="n">
        <f aca="false">IF((Q641+R641+S641+V641+W641+X641+Y641+IF(Z641&gt;=1,1,0)+IF(AA641&gt;=1,1,0))=9,G641&amp;", ",)</f>
        <v>0</v>
      </c>
    </row>
    <row r="642" customFormat="false" ht="15.75" hidden="false" customHeight="false" outlineLevel="0" collapsed="false">
      <c r="A642" s="260"/>
      <c r="B642" s="358"/>
      <c r="C642" s="260"/>
      <c r="D642" s="358"/>
      <c r="E642" s="260" t="n">
        <v>641</v>
      </c>
      <c r="F642" s="260" t="n">
        <f aca="false" t="array" ref="F642:F642">INDEX('0.0.1 Pokémon Dex Data'!$H$3:$H951,MATCH(E642,'0.0.1 Pokémon Dex Data'!$B$3:$B951,0))</f>
        <v>0</v>
      </c>
      <c r="G642" s="0" t="str">
        <f aca="false" t="array" ref="G642:G642">INDEX('0.0.1 Pokémon Dex Data'!$E$3:$E951,MATCH(E642,'0.0.1 Pokémon Dex Data'!$B$3:$B951,0))</f>
        <v>Leavanny</v>
      </c>
      <c r="H642" s="0" t="str">
        <f aca="false" t="array" ref="H642:H642">INDEX('0.0.1 Pokémon Dex Data'!$Q$3:$Q951,MATCH(E642,'0.0.1 Pokémon Dex Data'!$B$3:$B951,0))</f>
        <v>Bug</v>
      </c>
      <c r="I642" s="0" t="str">
        <f aca="false" t="array" ref="I642:I642">INDEX('0.0.1 Pokémon Dex Data'!$R$3:$R951,MATCH(E642,'0.0.1 Pokémon Dex Data'!$B$3:$B951,0))</f>
        <v>Grass</v>
      </c>
      <c r="J642" s="260" t="n">
        <f aca="false" t="array" ref="J642:J642">ROUND(INDEX('0.0.1 Pokémon Dex Data'!$S$3:$S951,MATCH($E642,'0.0.1 Pokémon Dex Data'!$B$3:$B951,0))*INDEX('0.0.1 Pokémon Dex Data'!T$3:T951,MATCH($E642,'0.0.1 Pokémon Dex Data'!$B$3:$B951,0)),0)</f>
        <v>205</v>
      </c>
      <c r="K642" s="260" t="n">
        <f aca="false" t="array" ref="K642:K642">ROUND(INDEX('0.0.1 Pokémon Dex Data'!$S$3:$S951,MATCH($E642,'0.0.1 Pokémon Dex Data'!$B$3:$B951,0))*INDEX('0.0.1 Pokémon Dex Data'!U$3:U951,MATCH($E642,'0.0.1 Pokémon Dex Data'!$B$3:$B951,0)),0)</f>
        <v>165</v>
      </c>
      <c r="L642" s="260" t="n">
        <f aca="false" t="array" ref="L642:L642">ROUND(INDEX('0.0.1 Pokémon Dex Data'!$S$3:$S951,MATCH($E642,'0.0.1 Pokémon Dex Data'!$B$3:$B951,0))*INDEX('0.0.1 Pokémon Dex Data'!V$3:V951,MATCH($E642,'0.0.1 Pokémon Dex Data'!$B$3:$B951,0)),0)</f>
        <v>181</v>
      </c>
      <c r="M642" s="260" t="n">
        <f aca="false" t="array" ref="M642:M642">INDEX('0.0.1 Pokémon Dex Data'!$J$3:$J951,MATCH(E642,'0.0.1 Pokémon Dex Data'!$B$3:$B951,0))</f>
        <v>1</v>
      </c>
      <c r="O642" s="490"/>
      <c r="Q642" s="367" t="n">
        <f aca="false">IF('Reverse Search'!$F$4="All (including temporary formes)",1,IF('Reverse Search'!$F$4="Base Pokémon and permanent formes only",IF(F642&lt;=1,1,0),IF(F642=0,1,0)))</f>
        <v>1</v>
      </c>
      <c r="R642" s="0" t="n">
        <f aca="false">IF('Reverse Search'!$C$7="Disable",1,IF('Reverse Search'!$D$9="Disable",1,IF(OR('Reverse Search'!$F$9=H642,'Reverse Search'!$F$9=I642),1,0)))</f>
        <v>1</v>
      </c>
      <c r="S642" s="0" t="n">
        <f aca="false">IF('Reverse Search'!$C$7="Disable",1,IF('Reverse Search'!$D$10="Disable",1,IF(OR('Reverse Search'!$F$10=H642,'Reverse Search'!$F$10=I642),1,0)))</f>
        <v>1</v>
      </c>
      <c r="T642" s="0" t="n">
        <f aca="false">INDEX($B$4:$B$22,MATCH(H642,$A$4:$A$22,0))</f>
        <v>1</v>
      </c>
      <c r="U642" s="0" t="n">
        <f aca="false">IF(ISBLANK(I642),1,INDEX($B$4:$B$22,MATCH(I642,$A$4:$A$22,0)))</f>
        <v>1</v>
      </c>
      <c r="V642" s="367" t="n">
        <f aca="false">IF('Reverse Search'!$C$7="Disable",1,IF('Reverse Search'!$D$11="Disable",1,IF('Reverse Search'!$E$11="Neutral to:",IF(ROUND(T642*U642,2)&lt;=1,1,0),IF(ROUND(T642*U642,2)&lt;1,1,0))))</f>
        <v>1</v>
      </c>
      <c r="W642" s="0" t="n">
        <f aca="false">IF('Reverse Search'!$N$7="Disable",1,IF('Reverse Search'!$I$9="Disable",1,IF('Reverse Search'!$K$9="≥",IF(J642&gt;='Reverse Search'!$L$9,1,0),IF('Reverse Search'!$K$9="≤",IF(J642&lt;='Reverse Search'!$L$9,1,0),IF(J642='Reverse Search'!$L$9,1,0)))))</f>
        <v>1</v>
      </c>
      <c r="X642" s="0" t="n">
        <f aca="false">IF('Reverse Search'!$N$7="Disable",1,IF('Reverse Search'!$I$10="Disable",1,IF('Reverse Search'!$K$10="≥",IF(K642&gt;='Reverse Search'!$L$10,1,0),IF('Reverse Search'!$K$10="≤",IF(K642&lt;='Reverse Search'!$L$10,1,0),IF(K642='Reverse Search'!$L$10,1,0)))))</f>
        <v>1</v>
      </c>
      <c r="Y642" s="367" t="n">
        <f aca="false">IF('Reverse Search'!$N$7="Disable",1,IF('Reverse Search'!$I$11="Disable",1,IF('Reverse Search'!$K$11="≥",IF(L642&gt;='Reverse Search'!$L$11,1,0),IF('Reverse Search'!$K$11="≤",IF(L642&lt;='Reverse Search'!$L$11,1,0),IF(L642='Reverse Search'!$L$11,1,0)))))</f>
        <v>1</v>
      </c>
      <c r="Z642" s="0" t="n">
        <f aca="true">IF('Reverse Search'!$C$14="Disable",1,IF('Reverse Search'!$D$16="Disable",1,IF($C$2=3,IF($M642=0,0,COUNTIF(INDIRECT("'0.0.2 Pokémon Learnset (Core)'!$D$"&amp;MATCH($E642,'0.0.2 Pokémon Learnset (Core)'!$A$1:$A951,0)&amp;":$FK$"&amp;MATCH($E642,'0.0.2 Pokémon Learnset (Core)'!$A$1:$A951,0)),'Reverse Search'!$E$21)),IF($C$2=2,COUNTIF(INDIRECT("'0.1.1 Pokémon GO Moves'!$B$"&amp;MATCH($E642,'0.1.1 Pokémon GO Moves'!$A$1:$A951,0)&amp;":$R$"&amp;MATCH($E642,'0.1.1 Pokémon GO Moves'!$A$1:$A951,0)),'Reverse Search'!$E$21),COUNTIF(INDIRECT("'0.1.1 Pokémon GO Moves'!$B$"&amp;MATCH($E642,'0.1.1 Pokémon GO Moves'!$A$1:$A951,0)&amp;":$L$"&amp;MATCH($E642,'0.1.1 Pokémon GO Moves'!$A$1:$A951,0)),'Reverse Search'!$E$21)))))</f>
        <v>1</v>
      </c>
      <c r="AA642" s="0" t="n">
        <f aca="true">IF('Reverse Search'!$C$14="Disable",1,IF('Reverse Search'!$I$16="Disable",1,IF($D$2=3,IF($M642=0,0,COUNTIF(INDIRECT("'0.0.2 Pokémon Learnset (Core)'!$D$"&amp;MATCH($E642,'0.0.2 Pokémon Learnset (Core)'!$A$1:$A951,0)&amp;":$FK$"&amp;MATCH($E642,'0.0.2 Pokémon Learnset (Core)'!$A$1:$A951,0)),'Reverse Search'!$J$21)),IF($D$2=2,COUNTIF(INDIRECT("'0.1.1 Pokémon GO Moves'!$B$"&amp;MATCH($E642,'0.1.1 Pokémon GO Moves'!$A$1:$A951,0)&amp;":$R$"&amp;MATCH($E642,'0.1.1 Pokémon GO Moves'!$A$1:$A951,0)),'Reverse Search'!$J$21),COUNTIF(INDIRECT("'0.1.1 Pokémon GO Moves'!$B$"&amp;MATCH($E642,'0.1.1 Pokémon GO Moves'!$A$1:$A951,0)&amp;":$L$"&amp;MATCH($E642,'0.1.1 Pokémon GO Moves'!$A$1:$A951,0)),'Reverse Search'!$J$21)))))</f>
        <v>0</v>
      </c>
      <c r="AB642" s="490"/>
      <c r="AC642" s="260" t="n">
        <f aca="false">IF((Q642+R642+S642+V642+W642+X642+Y642+IF(Z642&gt;=1,1,0)+IF(AA642&gt;=1,1,0))=9,G642&amp;", ",)</f>
        <v>0</v>
      </c>
    </row>
    <row r="643" customFormat="false" ht="15.75" hidden="false" customHeight="false" outlineLevel="0" collapsed="false">
      <c r="A643" s="260"/>
      <c r="B643" s="358"/>
      <c r="C643" s="260"/>
      <c r="D643" s="358"/>
      <c r="E643" s="260" t="n">
        <v>642</v>
      </c>
      <c r="F643" s="260" t="n">
        <f aca="false" t="array" ref="F643:F643">INDEX('0.0.1 Pokémon Dex Data'!$H$3:$H951,MATCH(E643,'0.0.1 Pokémon Dex Data'!$B$3:$B951,0))</f>
        <v>0</v>
      </c>
      <c r="G643" s="0" t="str">
        <f aca="false" t="array" ref="G643:G643">INDEX('0.0.1 Pokémon Dex Data'!$E$3:$E951,MATCH(E643,'0.0.1 Pokémon Dex Data'!$B$3:$B951,0))</f>
        <v>Venipede</v>
      </c>
      <c r="H643" s="0" t="str">
        <f aca="false" t="array" ref="H643:H643">INDEX('0.0.1 Pokémon Dex Data'!$Q$3:$Q951,MATCH(E643,'0.0.1 Pokémon Dex Data'!$B$3:$B951,0))</f>
        <v>Bug</v>
      </c>
      <c r="I643" s="0" t="str">
        <f aca="false" t="array" ref="I643:I643">INDEX('0.0.1 Pokémon Dex Data'!$R$3:$R951,MATCH(E643,'0.0.1 Pokémon Dex Data'!$B$3:$B951,0))</f>
        <v>Poison</v>
      </c>
      <c r="J643" s="260" t="n">
        <f aca="false" t="array" ref="J643:J643">ROUND(INDEX('0.0.1 Pokémon Dex Data'!$S$3:$S951,MATCH($E643,'0.0.1 Pokémon Dex Data'!$B$3:$B951,0))*INDEX('0.0.1 Pokémon Dex Data'!T$3:T951,MATCH($E643,'0.0.1 Pokémon Dex Data'!$B$3:$B951,0)),0)</f>
        <v>83</v>
      </c>
      <c r="K643" s="260" t="n">
        <f aca="false" t="array" ref="K643:K643">ROUND(INDEX('0.0.1 Pokémon Dex Data'!$S$3:$S951,MATCH($E643,'0.0.1 Pokémon Dex Data'!$B$3:$B951,0))*INDEX('0.0.1 Pokémon Dex Data'!U$3:U951,MATCH($E643,'0.0.1 Pokémon Dex Data'!$B$3:$B951,0)),0)</f>
        <v>99</v>
      </c>
      <c r="L643" s="260" t="n">
        <f aca="false" t="array" ref="L643:L643">ROUND(INDEX('0.0.1 Pokémon Dex Data'!$S$3:$S951,MATCH($E643,'0.0.1 Pokémon Dex Data'!$B$3:$B951,0))*INDEX('0.0.1 Pokémon Dex Data'!V$3:V951,MATCH($E643,'0.0.1 Pokémon Dex Data'!$B$3:$B951,0)),0)</f>
        <v>102</v>
      </c>
      <c r="M643" s="260" t="n">
        <f aca="false" t="array" ref="M643:M643">INDEX('0.0.1 Pokémon Dex Data'!$J$3:$J951,MATCH(E643,'0.0.1 Pokémon Dex Data'!$B$3:$B951,0))</f>
        <v>0</v>
      </c>
      <c r="O643" s="490"/>
      <c r="Q643" s="367" t="n">
        <f aca="false">IF('Reverse Search'!$F$4="All (including temporary formes)",1,IF('Reverse Search'!$F$4="Base Pokémon and permanent formes only",IF(F643&lt;=1,1,0),IF(F643=0,1,0)))</f>
        <v>1</v>
      </c>
      <c r="R643" s="0" t="n">
        <f aca="false">IF('Reverse Search'!$C$7="Disable",1,IF('Reverse Search'!$D$9="Disable",1,IF(OR('Reverse Search'!$F$9=H643,'Reverse Search'!$F$9=I643),1,0)))</f>
        <v>1</v>
      </c>
      <c r="S643" s="0" t="n">
        <f aca="false">IF('Reverse Search'!$C$7="Disable",1,IF('Reverse Search'!$D$10="Disable",1,IF(OR('Reverse Search'!$F$10=H643,'Reverse Search'!$F$10=I643),1,0)))</f>
        <v>1</v>
      </c>
      <c r="T643" s="0" t="n">
        <f aca="false">INDEX($B$4:$B$22,MATCH(H643,$A$4:$A$22,0))</f>
        <v>1</v>
      </c>
      <c r="U643" s="0" t="n">
        <f aca="false">IF(ISBLANK(I643),1,INDEX($B$4:$B$22,MATCH(I643,$A$4:$A$22,0)))</f>
        <v>1</v>
      </c>
      <c r="V643" s="367" t="n">
        <f aca="false">IF('Reverse Search'!$C$7="Disable",1,IF('Reverse Search'!$D$11="Disable",1,IF('Reverse Search'!$E$11="Neutral to:",IF(ROUND(T643*U643,2)&lt;=1,1,0),IF(ROUND(T643*U643,2)&lt;1,1,0))))</f>
        <v>1</v>
      </c>
      <c r="W643" s="0" t="n">
        <f aca="false">IF('Reverse Search'!$N$7="Disable",1,IF('Reverse Search'!$I$9="Disable",1,IF('Reverse Search'!$K$9="≥",IF(J643&gt;='Reverse Search'!$L$9,1,0),IF('Reverse Search'!$K$9="≤",IF(J643&lt;='Reverse Search'!$L$9,1,0),IF(J643='Reverse Search'!$L$9,1,0)))))</f>
        <v>1</v>
      </c>
      <c r="X643" s="0" t="n">
        <f aca="false">IF('Reverse Search'!$N$7="Disable",1,IF('Reverse Search'!$I$10="Disable",1,IF('Reverse Search'!$K$10="≥",IF(K643&gt;='Reverse Search'!$L$10,1,0),IF('Reverse Search'!$K$10="≤",IF(K643&lt;='Reverse Search'!$L$10,1,0),IF(K643='Reverse Search'!$L$10,1,0)))))</f>
        <v>1</v>
      </c>
      <c r="Y643" s="367" t="n">
        <f aca="false">IF('Reverse Search'!$N$7="Disable",1,IF('Reverse Search'!$I$11="Disable",1,IF('Reverse Search'!$K$11="≥",IF(L643&gt;='Reverse Search'!$L$11,1,0),IF('Reverse Search'!$K$11="≤",IF(L643&lt;='Reverse Search'!$L$11,1,0),IF(L643='Reverse Search'!$L$11,1,0)))))</f>
        <v>1</v>
      </c>
      <c r="Z643" s="0" t="n">
        <f aca="true">IF('Reverse Search'!$C$14="Disable",1,IF('Reverse Search'!$D$16="Disable",1,IF($C$2=3,IF($M643=0,0,COUNTIF(INDIRECT("'0.0.2 Pokémon Learnset (Core)'!$D$"&amp;MATCH($E643,'0.0.2 Pokémon Learnset (Core)'!$A$1:$A951,0)&amp;":$FK$"&amp;MATCH($E643,'0.0.2 Pokémon Learnset (Core)'!$A$1:$A951,0)),'Reverse Search'!$E$21)),IF($C$2=2,COUNTIF(INDIRECT("'0.1.1 Pokémon GO Moves'!$B$"&amp;MATCH($E643,'0.1.1 Pokémon GO Moves'!$A$1:$A951,0)&amp;":$R$"&amp;MATCH($E643,'0.1.1 Pokémon GO Moves'!$A$1:$A951,0)),'Reverse Search'!$E$21),COUNTIF(INDIRECT("'0.1.1 Pokémon GO Moves'!$B$"&amp;MATCH($E643,'0.1.1 Pokémon GO Moves'!$A$1:$A951,0)&amp;":$L$"&amp;MATCH($E643,'0.1.1 Pokémon GO Moves'!$A$1:$A951,0)),'Reverse Search'!$E$21)))))</f>
        <v>1</v>
      </c>
      <c r="AA643" s="0" t="n">
        <f aca="true">IF('Reverse Search'!$C$14="Disable",1,IF('Reverse Search'!$I$16="Disable",1,IF($D$2=3,IF($M643=0,0,COUNTIF(INDIRECT("'0.0.2 Pokémon Learnset (Core)'!$D$"&amp;MATCH($E643,'0.0.2 Pokémon Learnset (Core)'!$A$1:$A951,0)&amp;":$FK$"&amp;MATCH($E643,'0.0.2 Pokémon Learnset (Core)'!$A$1:$A951,0)),'Reverse Search'!$J$21)),IF($D$2=2,COUNTIF(INDIRECT("'0.1.1 Pokémon GO Moves'!$B$"&amp;MATCH($E643,'0.1.1 Pokémon GO Moves'!$A$1:$A951,0)&amp;":$R$"&amp;MATCH($E643,'0.1.1 Pokémon GO Moves'!$A$1:$A951,0)),'Reverse Search'!$J$21),COUNTIF(INDIRECT("'0.1.1 Pokémon GO Moves'!$B$"&amp;MATCH($E643,'0.1.1 Pokémon GO Moves'!$A$1:$A951,0)&amp;":$L$"&amp;MATCH($E643,'0.1.1 Pokémon GO Moves'!$A$1:$A951,0)),'Reverse Search'!$J$21)))))</f>
        <v>0</v>
      </c>
      <c r="AB643" s="490"/>
      <c r="AC643" s="260" t="n">
        <f aca="false">IF((Q643+R643+S643+V643+W643+X643+Y643+IF(Z643&gt;=1,1,0)+IF(AA643&gt;=1,1,0))=9,G643&amp;", ",)</f>
        <v>0</v>
      </c>
    </row>
    <row r="644" customFormat="false" ht="15.75" hidden="false" customHeight="false" outlineLevel="0" collapsed="false">
      <c r="A644" s="260"/>
      <c r="B644" s="358"/>
      <c r="C644" s="260"/>
      <c r="D644" s="358"/>
      <c r="E644" s="260" t="n">
        <v>643</v>
      </c>
      <c r="F644" s="260" t="n">
        <f aca="false" t="array" ref="F644:F644">INDEX('0.0.1 Pokémon Dex Data'!$H$3:$H951,MATCH(E644,'0.0.1 Pokémon Dex Data'!$B$3:$B951,0))</f>
        <v>0</v>
      </c>
      <c r="G644" s="0" t="str">
        <f aca="false" t="array" ref="G644:G644">INDEX('0.0.1 Pokémon Dex Data'!$E$3:$E951,MATCH(E644,'0.0.1 Pokémon Dex Data'!$B$3:$B951,0))</f>
        <v>Whirlipede</v>
      </c>
      <c r="H644" s="0" t="str">
        <f aca="false" t="array" ref="H644:H644">INDEX('0.0.1 Pokémon Dex Data'!$Q$3:$Q951,MATCH(E644,'0.0.1 Pokémon Dex Data'!$B$3:$B951,0))</f>
        <v>Bug</v>
      </c>
      <c r="I644" s="0" t="str">
        <f aca="false" t="array" ref="I644:I644">INDEX('0.0.1 Pokémon Dex Data'!$R$3:$R951,MATCH(E644,'0.0.1 Pokémon Dex Data'!$B$3:$B951,0))</f>
        <v>Poison</v>
      </c>
      <c r="J644" s="260" t="n">
        <f aca="false" t="array" ref="J644:J644">ROUND(INDEX('0.0.1 Pokémon Dex Data'!$S$3:$S951,MATCH($E644,'0.0.1 Pokémon Dex Data'!$B$3:$B951,0))*INDEX('0.0.1 Pokémon Dex Data'!T$3:T951,MATCH($E644,'0.0.1 Pokémon Dex Data'!$B$3:$B951,0)),0)</f>
        <v>100</v>
      </c>
      <c r="K644" s="260" t="n">
        <f aca="false" t="array" ref="K644:K644">ROUND(INDEX('0.0.1 Pokémon Dex Data'!$S$3:$S951,MATCH($E644,'0.0.1 Pokémon Dex Data'!$B$3:$B951,0))*INDEX('0.0.1 Pokémon Dex Data'!U$3:U951,MATCH($E644,'0.0.1 Pokémon Dex Data'!$B$3:$B951,0)),0)</f>
        <v>173</v>
      </c>
      <c r="L644" s="260" t="n">
        <f aca="false" t="array" ref="L644:L644">ROUND(INDEX('0.0.1 Pokémon Dex Data'!$S$3:$S951,MATCH($E644,'0.0.1 Pokémon Dex Data'!$B$3:$B951,0))*INDEX('0.0.1 Pokémon Dex Data'!V$3:V951,MATCH($E644,'0.0.1 Pokémon Dex Data'!$B$3:$B951,0)),0)</f>
        <v>120</v>
      </c>
      <c r="M644" s="260" t="n">
        <f aca="false" t="array" ref="M644:M644">INDEX('0.0.1 Pokémon Dex Data'!$J$3:$J951,MATCH(E644,'0.0.1 Pokémon Dex Data'!$B$3:$B951,0))</f>
        <v>0</v>
      </c>
      <c r="O644" s="490"/>
      <c r="Q644" s="367" t="n">
        <f aca="false">IF('Reverse Search'!$F$4="All (including temporary formes)",1,IF('Reverse Search'!$F$4="Base Pokémon and permanent formes only",IF(F644&lt;=1,1,0),IF(F644=0,1,0)))</f>
        <v>1</v>
      </c>
      <c r="R644" s="0" t="n">
        <f aca="false">IF('Reverse Search'!$C$7="Disable",1,IF('Reverse Search'!$D$9="Disable",1,IF(OR('Reverse Search'!$F$9=H644,'Reverse Search'!$F$9=I644),1,0)))</f>
        <v>1</v>
      </c>
      <c r="S644" s="0" t="n">
        <f aca="false">IF('Reverse Search'!$C$7="Disable",1,IF('Reverse Search'!$D$10="Disable",1,IF(OR('Reverse Search'!$F$10=H644,'Reverse Search'!$F$10=I644),1,0)))</f>
        <v>1</v>
      </c>
      <c r="T644" s="0" t="n">
        <f aca="false">INDEX($B$4:$B$22,MATCH(H644,$A$4:$A$22,0))</f>
        <v>1</v>
      </c>
      <c r="U644" s="0" t="n">
        <f aca="false">IF(ISBLANK(I644),1,INDEX($B$4:$B$22,MATCH(I644,$A$4:$A$22,0)))</f>
        <v>1</v>
      </c>
      <c r="V644" s="367" t="n">
        <f aca="false">IF('Reverse Search'!$C$7="Disable",1,IF('Reverse Search'!$D$11="Disable",1,IF('Reverse Search'!$E$11="Neutral to:",IF(ROUND(T644*U644,2)&lt;=1,1,0),IF(ROUND(T644*U644,2)&lt;1,1,0))))</f>
        <v>1</v>
      </c>
      <c r="W644" s="0" t="n">
        <f aca="false">IF('Reverse Search'!$N$7="Disable",1,IF('Reverse Search'!$I$9="Disable",1,IF('Reverse Search'!$K$9="≥",IF(J644&gt;='Reverse Search'!$L$9,1,0),IF('Reverse Search'!$K$9="≤",IF(J644&lt;='Reverse Search'!$L$9,1,0),IF(J644='Reverse Search'!$L$9,1,0)))))</f>
        <v>1</v>
      </c>
      <c r="X644" s="0" t="n">
        <f aca="false">IF('Reverse Search'!$N$7="Disable",1,IF('Reverse Search'!$I$10="Disable",1,IF('Reverse Search'!$K$10="≥",IF(K644&gt;='Reverse Search'!$L$10,1,0),IF('Reverse Search'!$K$10="≤",IF(K644&lt;='Reverse Search'!$L$10,1,0),IF(K644='Reverse Search'!$L$10,1,0)))))</f>
        <v>1</v>
      </c>
      <c r="Y644" s="367" t="n">
        <f aca="false">IF('Reverse Search'!$N$7="Disable",1,IF('Reverse Search'!$I$11="Disable",1,IF('Reverse Search'!$K$11="≥",IF(L644&gt;='Reverse Search'!$L$11,1,0),IF('Reverse Search'!$K$11="≤",IF(L644&lt;='Reverse Search'!$L$11,1,0),IF(L644='Reverse Search'!$L$11,1,0)))))</f>
        <v>1</v>
      </c>
      <c r="Z644" s="0" t="n">
        <f aca="true">IF('Reverse Search'!$C$14="Disable",1,IF('Reverse Search'!$D$16="Disable",1,IF($C$2=3,IF($M644=0,0,COUNTIF(INDIRECT("'0.0.2 Pokémon Learnset (Core)'!$D$"&amp;MATCH($E644,'0.0.2 Pokémon Learnset (Core)'!$A$1:$A951,0)&amp;":$FK$"&amp;MATCH($E644,'0.0.2 Pokémon Learnset (Core)'!$A$1:$A951,0)),'Reverse Search'!$E$21)),IF($C$2=2,COUNTIF(INDIRECT("'0.1.1 Pokémon GO Moves'!$B$"&amp;MATCH($E644,'0.1.1 Pokémon GO Moves'!$A$1:$A951,0)&amp;":$R$"&amp;MATCH($E644,'0.1.1 Pokémon GO Moves'!$A$1:$A951,0)),'Reverse Search'!$E$21),COUNTIF(INDIRECT("'0.1.1 Pokémon GO Moves'!$B$"&amp;MATCH($E644,'0.1.1 Pokémon GO Moves'!$A$1:$A951,0)&amp;":$L$"&amp;MATCH($E644,'0.1.1 Pokémon GO Moves'!$A$1:$A951,0)),'Reverse Search'!$E$21)))))</f>
        <v>1</v>
      </c>
      <c r="AA644" s="0" t="n">
        <f aca="true">IF('Reverse Search'!$C$14="Disable",1,IF('Reverse Search'!$I$16="Disable",1,IF($D$2=3,IF($M644=0,0,COUNTIF(INDIRECT("'0.0.2 Pokémon Learnset (Core)'!$D$"&amp;MATCH($E644,'0.0.2 Pokémon Learnset (Core)'!$A$1:$A951,0)&amp;":$FK$"&amp;MATCH($E644,'0.0.2 Pokémon Learnset (Core)'!$A$1:$A951,0)),'Reverse Search'!$J$21)),IF($D$2=2,COUNTIF(INDIRECT("'0.1.1 Pokémon GO Moves'!$B$"&amp;MATCH($E644,'0.1.1 Pokémon GO Moves'!$A$1:$A951,0)&amp;":$R$"&amp;MATCH($E644,'0.1.1 Pokémon GO Moves'!$A$1:$A951,0)),'Reverse Search'!$J$21),COUNTIF(INDIRECT("'0.1.1 Pokémon GO Moves'!$B$"&amp;MATCH($E644,'0.1.1 Pokémon GO Moves'!$A$1:$A951,0)&amp;":$L$"&amp;MATCH($E644,'0.1.1 Pokémon GO Moves'!$A$1:$A951,0)),'Reverse Search'!$J$21)))))</f>
        <v>0</v>
      </c>
      <c r="AB644" s="490"/>
      <c r="AC644" s="260" t="n">
        <f aca="false">IF((Q644+R644+S644+V644+W644+X644+Y644+IF(Z644&gt;=1,1,0)+IF(AA644&gt;=1,1,0))=9,G644&amp;", ",)</f>
        <v>0</v>
      </c>
    </row>
    <row r="645" customFormat="false" ht="15.75" hidden="false" customHeight="false" outlineLevel="0" collapsed="false">
      <c r="A645" s="260"/>
      <c r="B645" s="358"/>
      <c r="C645" s="260"/>
      <c r="D645" s="358"/>
      <c r="E645" s="260" t="n">
        <v>644</v>
      </c>
      <c r="F645" s="260" t="n">
        <f aca="false" t="array" ref="F645:F645">INDEX('0.0.1 Pokémon Dex Data'!$H$3:$H951,MATCH(E645,'0.0.1 Pokémon Dex Data'!$B$3:$B951,0))</f>
        <v>0</v>
      </c>
      <c r="G645" s="0" t="str">
        <f aca="false" t="array" ref="G645:G645">INDEX('0.0.1 Pokémon Dex Data'!$E$3:$E951,MATCH(E645,'0.0.1 Pokémon Dex Data'!$B$3:$B951,0))</f>
        <v>Scolipede</v>
      </c>
      <c r="H645" s="0" t="str">
        <f aca="false" t="array" ref="H645:H645">INDEX('0.0.1 Pokémon Dex Data'!$Q$3:$Q951,MATCH(E645,'0.0.1 Pokémon Dex Data'!$B$3:$B951,0))</f>
        <v>Bug</v>
      </c>
      <c r="I645" s="0" t="str">
        <f aca="false" t="array" ref="I645:I645">INDEX('0.0.1 Pokémon Dex Data'!$R$3:$R951,MATCH(E645,'0.0.1 Pokémon Dex Data'!$B$3:$B951,0))</f>
        <v>Poison</v>
      </c>
      <c r="J645" s="260" t="n">
        <f aca="false" t="array" ref="J645:J645">ROUND(INDEX('0.0.1 Pokémon Dex Data'!$S$3:$S951,MATCH($E645,'0.0.1 Pokémon Dex Data'!$B$3:$B951,0))*INDEX('0.0.1 Pokémon Dex Data'!T$3:T951,MATCH($E645,'0.0.1 Pokémon Dex Data'!$B$3:$B951,0)),0)</f>
        <v>203</v>
      </c>
      <c r="K645" s="260" t="n">
        <f aca="false" t="array" ref="K645:K645">ROUND(INDEX('0.0.1 Pokémon Dex Data'!$S$3:$S951,MATCH($E645,'0.0.1 Pokémon Dex Data'!$B$3:$B951,0))*INDEX('0.0.1 Pokémon Dex Data'!U$3:U951,MATCH($E645,'0.0.1 Pokémon Dex Data'!$B$3:$B951,0)),0)</f>
        <v>175</v>
      </c>
      <c r="L645" s="260" t="n">
        <f aca="false" t="array" ref="L645:L645">ROUND(INDEX('0.0.1 Pokémon Dex Data'!$S$3:$S951,MATCH($E645,'0.0.1 Pokémon Dex Data'!$B$3:$B951,0))*INDEX('0.0.1 Pokémon Dex Data'!V$3:V951,MATCH($E645,'0.0.1 Pokémon Dex Data'!$B$3:$B951,0)),0)</f>
        <v>155</v>
      </c>
      <c r="M645" s="260" t="n">
        <f aca="false" t="array" ref="M645:M645">INDEX('0.0.1 Pokémon Dex Data'!$J$3:$J951,MATCH(E645,'0.0.1 Pokémon Dex Data'!$B$3:$B951,0))</f>
        <v>1</v>
      </c>
      <c r="O645" s="490"/>
      <c r="Q645" s="367" t="n">
        <f aca="false">IF('Reverse Search'!$F$4="All (including temporary formes)",1,IF('Reverse Search'!$F$4="Base Pokémon and permanent formes only",IF(F645&lt;=1,1,0),IF(F645=0,1,0)))</f>
        <v>1</v>
      </c>
      <c r="R645" s="0" t="n">
        <f aca="false">IF('Reverse Search'!$C$7="Disable",1,IF('Reverse Search'!$D$9="Disable",1,IF(OR('Reverse Search'!$F$9=H645,'Reverse Search'!$F$9=I645),1,0)))</f>
        <v>1</v>
      </c>
      <c r="S645" s="0" t="n">
        <f aca="false">IF('Reverse Search'!$C$7="Disable",1,IF('Reverse Search'!$D$10="Disable",1,IF(OR('Reverse Search'!$F$10=H645,'Reverse Search'!$F$10=I645),1,0)))</f>
        <v>1</v>
      </c>
      <c r="T645" s="0" t="n">
        <f aca="false">INDEX($B$4:$B$22,MATCH(H645,$A$4:$A$22,0))</f>
        <v>1</v>
      </c>
      <c r="U645" s="0" t="n">
        <f aca="false">IF(ISBLANK(I645),1,INDEX($B$4:$B$22,MATCH(I645,$A$4:$A$22,0)))</f>
        <v>1</v>
      </c>
      <c r="V645" s="367" t="n">
        <f aca="false">IF('Reverse Search'!$C$7="Disable",1,IF('Reverse Search'!$D$11="Disable",1,IF('Reverse Search'!$E$11="Neutral to:",IF(ROUND(T645*U645,2)&lt;=1,1,0),IF(ROUND(T645*U645,2)&lt;1,1,0))))</f>
        <v>1</v>
      </c>
      <c r="W645" s="0" t="n">
        <f aca="false">IF('Reverse Search'!$N$7="Disable",1,IF('Reverse Search'!$I$9="Disable",1,IF('Reverse Search'!$K$9="≥",IF(J645&gt;='Reverse Search'!$L$9,1,0),IF('Reverse Search'!$K$9="≤",IF(J645&lt;='Reverse Search'!$L$9,1,0),IF(J645='Reverse Search'!$L$9,1,0)))))</f>
        <v>1</v>
      </c>
      <c r="X645" s="0" t="n">
        <f aca="false">IF('Reverse Search'!$N$7="Disable",1,IF('Reverse Search'!$I$10="Disable",1,IF('Reverse Search'!$K$10="≥",IF(K645&gt;='Reverse Search'!$L$10,1,0),IF('Reverse Search'!$K$10="≤",IF(K645&lt;='Reverse Search'!$L$10,1,0),IF(K645='Reverse Search'!$L$10,1,0)))))</f>
        <v>1</v>
      </c>
      <c r="Y645" s="367" t="n">
        <f aca="false">IF('Reverse Search'!$N$7="Disable",1,IF('Reverse Search'!$I$11="Disable",1,IF('Reverse Search'!$K$11="≥",IF(L645&gt;='Reverse Search'!$L$11,1,0),IF('Reverse Search'!$K$11="≤",IF(L645&lt;='Reverse Search'!$L$11,1,0),IF(L645='Reverse Search'!$L$11,1,0)))))</f>
        <v>1</v>
      </c>
      <c r="Z645" s="0" t="n">
        <f aca="true">IF('Reverse Search'!$C$14="Disable",1,IF('Reverse Search'!$D$16="Disable",1,IF($C$2=3,IF($M645=0,0,COUNTIF(INDIRECT("'0.0.2 Pokémon Learnset (Core)'!$D$"&amp;MATCH($E645,'0.0.2 Pokémon Learnset (Core)'!$A$1:$A951,0)&amp;":$FK$"&amp;MATCH($E645,'0.0.2 Pokémon Learnset (Core)'!$A$1:$A951,0)),'Reverse Search'!$E$21)),IF($C$2=2,COUNTIF(INDIRECT("'0.1.1 Pokémon GO Moves'!$B$"&amp;MATCH($E645,'0.1.1 Pokémon GO Moves'!$A$1:$A951,0)&amp;":$R$"&amp;MATCH($E645,'0.1.1 Pokémon GO Moves'!$A$1:$A951,0)),'Reverse Search'!$E$21),COUNTIF(INDIRECT("'0.1.1 Pokémon GO Moves'!$B$"&amp;MATCH($E645,'0.1.1 Pokémon GO Moves'!$A$1:$A951,0)&amp;":$L$"&amp;MATCH($E645,'0.1.1 Pokémon GO Moves'!$A$1:$A951,0)),'Reverse Search'!$E$21)))))</f>
        <v>1</v>
      </c>
      <c r="AA645" s="0" t="n">
        <f aca="true">IF('Reverse Search'!$C$14="Disable",1,IF('Reverse Search'!$I$16="Disable",1,IF($D$2=3,IF($M645=0,0,COUNTIF(INDIRECT("'0.0.2 Pokémon Learnset (Core)'!$D$"&amp;MATCH($E645,'0.0.2 Pokémon Learnset (Core)'!$A$1:$A951,0)&amp;":$FK$"&amp;MATCH($E645,'0.0.2 Pokémon Learnset (Core)'!$A$1:$A951,0)),'Reverse Search'!$J$21)),IF($D$2=2,COUNTIF(INDIRECT("'0.1.1 Pokémon GO Moves'!$B$"&amp;MATCH($E645,'0.1.1 Pokémon GO Moves'!$A$1:$A951,0)&amp;":$R$"&amp;MATCH($E645,'0.1.1 Pokémon GO Moves'!$A$1:$A951,0)),'Reverse Search'!$J$21),COUNTIF(INDIRECT("'0.1.1 Pokémon GO Moves'!$B$"&amp;MATCH($E645,'0.1.1 Pokémon GO Moves'!$A$1:$A951,0)&amp;":$L$"&amp;MATCH($E645,'0.1.1 Pokémon GO Moves'!$A$1:$A951,0)),'Reverse Search'!$J$21)))))</f>
        <v>0</v>
      </c>
      <c r="AB645" s="490"/>
      <c r="AC645" s="260" t="n">
        <f aca="false">IF((Q645+R645+S645+V645+W645+X645+Y645+IF(Z645&gt;=1,1,0)+IF(AA645&gt;=1,1,0))=9,G645&amp;", ",)</f>
        <v>0</v>
      </c>
    </row>
    <row r="646" customFormat="false" ht="15.75" hidden="false" customHeight="false" outlineLevel="0" collapsed="false">
      <c r="A646" s="260"/>
      <c r="B646" s="358"/>
      <c r="C646" s="260"/>
      <c r="D646" s="358"/>
      <c r="E646" s="260" t="n">
        <v>645</v>
      </c>
      <c r="F646" s="260" t="n">
        <f aca="false" t="array" ref="F646:F646">INDEX('0.0.1 Pokémon Dex Data'!$H$3:$H951,MATCH(E646,'0.0.1 Pokémon Dex Data'!$B$3:$B951,0))</f>
        <v>0</v>
      </c>
      <c r="G646" s="0" t="str">
        <f aca="false" t="array" ref="G646:G646">INDEX('0.0.1 Pokémon Dex Data'!$E$3:$E951,MATCH(E646,'0.0.1 Pokémon Dex Data'!$B$3:$B951,0))</f>
        <v>Cottonee</v>
      </c>
      <c r="H646" s="0" t="str">
        <f aca="false" t="array" ref="H646:H646">INDEX('0.0.1 Pokémon Dex Data'!$Q$3:$Q951,MATCH(E646,'0.0.1 Pokémon Dex Data'!$B$3:$B951,0))</f>
        <v>Grass</v>
      </c>
      <c r="I646" s="0" t="str">
        <f aca="false" t="array" ref="I646:I646">INDEX('0.0.1 Pokémon Dex Data'!$R$3:$R951,MATCH(E646,'0.0.1 Pokémon Dex Data'!$B$3:$B951,0))</f>
        <v>Fairy</v>
      </c>
      <c r="J646" s="260" t="n">
        <f aca="false" t="array" ref="J646:J646">ROUND(INDEX('0.0.1 Pokémon Dex Data'!$S$3:$S951,MATCH($E646,'0.0.1 Pokémon Dex Data'!$B$3:$B951,0))*INDEX('0.0.1 Pokémon Dex Data'!T$3:T951,MATCH($E646,'0.0.1 Pokémon Dex Data'!$B$3:$B951,0)),0)</f>
        <v>71</v>
      </c>
      <c r="K646" s="260" t="n">
        <f aca="false" t="array" ref="K646:K646">ROUND(INDEX('0.0.1 Pokémon Dex Data'!$S$3:$S951,MATCH($E646,'0.0.1 Pokémon Dex Data'!$B$3:$B951,0))*INDEX('0.0.1 Pokémon Dex Data'!U$3:U951,MATCH($E646,'0.0.1 Pokémon Dex Data'!$B$3:$B951,0)),0)</f>
        <v>111</v>
      </c>
      <c r="L646" s="260" t="n">
        <f aca="false" t="array" ref="L646:L646">ROUND(INDEX('0.0.1 Pokémon Dex Data'!$S$3:$S951,MATCH($E646,'0.0.1 Pokémon Dex Data'!$B$3:$B951,0))*INDEX('0.0.1 Pokémon Dex Data'!V$3:V951,MATCH($E646,'0.0.1 Pokémon Dex Data'!$B$3:$B951,0)),0)</f>
        <v>120</v>
      </c>
      <c r="M646" s="260" t="n">
        <f aca="false" t="array" ref="M646:M646">INDEX('0.0.1 Pokémon Dex Data'!$J$3:$J951,MATCH(E646,'0.0.1 Pokémon Dex Data'!$B$3:$B951,0))</f>
        <v>0</v>
      </c>
      <c r="O646" s="490"/>
      <c r="Q646" s="367" t="n">
        <f aca="false">IF('Reverse Search'!$F$4="All (including temporary formes)",1,IF('Reverse Search'!$F$4="Base Pokémon and permanent formes only",IF(F646&lt;=1,1,0),IF(F646=0,1,0)))</f>
        <v>1</v>
      </c>
      <c r="R646" s="0" t="n">
        <f aca="false">IF('Reverse Search'!$C$7="Disable",1,IF('Reverse Search'!$D$9="Disable",1,IF(OR('Reverse Search'!$F$9=H646,'Reverse Search'!$F$9=I646),1,0)))</f>
        <v>1</v>
      </c>
      <c r="S646" s="0" t="n">
        <f aca="false">IF('Reverse Search'!$C$7="Disable",1,IF('Reverse Search'!$D$10="Disable",1,IF(OR('Reverse Search'!$F$10=H646,'Reverse Search'!$F$10=I646),1,0)))</f>
        <v>1</v>
      </c>
      <c r="T646" s="0" t="n">
        <f aca="false">INDEX($B$4:$B$22,MATCH(H646,$A$4:$A$22,0))</f>
        <v>1</v>
      </c>
      <c r="U646" s="0" t="n">
        <f aca="false">IF(ISBLANK(I646),1,INDEX($B$4:$B$22,MATCH(I646,$A$4:$A$22,0)))</f>
        <v>1</v>
      </c>
      <c r="V646" s="367" t="n">
        <f aca="false">IF('Reverse Search'!$C$7="Disable",1,IF('Reverse Search'!$D$11="Disable",1,IF('Reverse Search'!$E$11="Neutral to:",IF(ROUND(T646*U646,2)&lt;=1,1,0),IF(ROUND(T646*U646,2)&lt;1,1,0))))</f>
        <v>1</v>
      </c>
      <c r="W646" s="0" t="n">
        <f aca="false">IF('Reverse Search'!$N$7="Disable",1,IF('Reverse Search'!$I$9="Disable",1,IF('Reverse Search'!$K$9="≥",IF(J646&gt;='Reverse Search'!$L$9,1,0),IF('Reverse Search'!$K$9="≤",IF(J646&lt;='Reverse Search'!$L$9,1,0),IF(J646='Reverse Search'!$L$9,1,0)))))</f>
        <v>1</v>
      </c>
      <c r="X646" s="0" t="n">
        <f aca="false">IF('Reverse Search'!$N$7="Disable",1,IF('Reverse Search'!$I$10="Disable",1,IF('Reverse Search'!$K$10="≥",IF(K646&gt;='Reverse Search'!$L$10,1,0),IF('Reverse Search'!$K$10="≤",IF(K646&lt;='Reverse Search'!$L$10,1,0),IF(K646='Reverse Search'!$L$10,1,0)))))</f>
        <v>1</v>
      </c>
      <c r="Y646" s="367" t="n">
        <f aca="false">IF('Reverse Search'!$N$7="Disable",1,IF('Reverse Search'!$I$11="Disable",1,IF('Reverse Search'!$K$11="≥",IF(L646&gt;='Reverse Search'!$L$11,1,0),IF('Reverse Search'!$K$11="≤",IF(L646&lt;='Reverse Search'!$L$11,1,0),IF(L646='Reverse Search'!$L$11,1,0)))))</f>
        <v>1</v>
      </c>
      <c r="Z646" s="0" t="n">
        <f aca="true">IF('Reverse Search'!$C$14="Disable",1,IF('Reverse Search'!$D$16="Disable",1,IF($C$2=3,IF($M646=0,0,COUNTIF(INDIRECT("'0.0.2 Pokémon Learnset (Core)'!$D$"&amp;MATCH($E646,'0.0.2 Pokémon Learnset (Core)'!$A$1:$A951,0)&amp;":$FK$"&amp;MATCH($E646,'0.0.2 Pokémon Learnset (Core)'!$A$1:$A951,0)),'Reverse Search'!$E$21)),IF($C$2=2,COUNTIF(INDIRECT("'0.1.1 Pokémon GO Moves'!$B$"&amp;MATCH($E646,'0.1.1 Pokémon GO Moves'!$A$1:$A951,0)&amp;":$R$"&amp;MATCH($E646,'0.1.1 Pokémon GO Moves'!$A$1:$A951,0)),'Reverse Search'!$E$21),COUNTIF(INDIRECT("'0.1.1 Pokémon GO Moves'!$B$"&amp;MATCH($E646,'0.1.1 Pokémon GO Moves'!$A$1:$A951,0)&amp;":$L$"&amp;MATCH($E646,'0.1.1 Pokémon GO Moves'!$A$1:$A951,0)),'Reverse Search'!$E$21)))))</f>
        <v>1</v>
      </c>
      <c r="AA646" s="0" t="n">
        <f aca="true">IF('Reverse Search'!$C$14="Disable",1,IF('Reverse Search'!$I$16="Disable",1,IF($D$2=3,IF($M646=0,0,COUNTIF(INDIRECT("'0.0.2 Pokémon Learnset (Core)'!$D$"&amp;MATCH($E646,'0.0.2 Pokémon Learnset (Core)'!$A$1:$A951,0)&amp;":$FK$"&amp;MATCH($E646,'0.0.2 Pokémon Learnset (Core)'!$A$1:$A951,0)),'Reverse Search'!$J$21)),IF($D$2=2,COUNTIF(INDIRECT("'0.1.1 Pokémon GO Moves'!$B$"&amp;MATCH($E646,'0.1.1 Pokémon GO Moves'!$A$1:$A951,0)&amp;":$R$"&amp;MATCH($E646,'0.1.1 Pokémon GO Moves'!$A$1:$A951,0)),'Reverse Search'!$J$21),COUNTIF(INDIRECT("'0.1.1 Pokémon GO Moves'!$B$"&amp;MATCH($E646,'0.1.1 Pokémon GO Moves'!$A$1:$A951,0)&amp;":$L$"&amp;MATCH($E646,'0.1.1 Pokémon GO Moves'!$A$1:$A951,0)),'Reverse Search'!$J$21)))))</f>
        <v>0</v>
      </c>
      <c r="AB646" s="490"/>
      <c r="AC646" s="260" t="n">
        <f aca="false">IF((Q646+R646+S646+V646+W646+X646+Y646+IF(Z646&gt;=1,1,0)+IF(AA646&gt;=1,1,0))=9,G646&amp;", ",)</f>
        <v>0</v>
      </c>
    </row>
    <row r="647" customFormat="false" ht="15.75" hidden="false" customHeight="false" outlineLevel="0" collapsed="false">
      <c r="A647" s="260"/>
      <c r="B647" s="358"/>
      <c r="C647" s="260"/>
      <c r="D647" s="358"/>
      <c r="E647" s="260" t="n">
        <v>646</v>
      </c>
      <c r="F647" s="260" t="n">
        <f aca="false" t="array" ref="F647:F647">INDEX('0.0.1 Pokémon Dex Data'!$H$3:$H951,MATCH(E647,'0.0.1 Pokémon Dex Data'!$B$3:$B951,0))</f>
        <v>0</v>
      </c>
      <c r="G647" s="0" t="str">
        <f aca="false" t="array" ref="G647:G647">INDEX('0.0.1 Pokémon Dex Data'!$E$3:$E951,MATCH(E647,'0.0.1 Pokémon Dex Data'!$B$3:$B951,0))</f>
        <v>Whimsicott</v>
      </c>
      <c r="H647" s="0" t="str">
        <f aca="false" t="array" ref="H647:H647">INDEX('0.0.1 Pokémon Dex Data'!$Q$3:$Q951,MATCH(E647,'0.0.1 Pokémon Dex Data'!$B$3:$B951,0))</f>
        <v>Grass</v>
      </c>
      <c r="I647" s="0" t="str">
        <f aca="false" t="array" ref="I647:I647">INDEX('0.0.1 Pokémon Dex Data'!$R$3:$R951,MATCH(E647,'0.0.1 Pokémon Dex Data'!$B$3:$B951,0))</f>
        <v>Fairy</v>
      </c>
      <c r="J647" s="260" t="n">
        <f aca="false" t="array" ref="J647:J647">ROUND(INDEX('0.0.1 Pokémon Dex Data'!$S$3:$S951,MATCH($E647,'0.0.1 Pokémon Dex Data'!$B$3:$B951,0))*INDEX('0.0.1 Pokémon Dex Data'!T$3:T951,MATCH($E647,'0.0.1 Pokémon Dex Data'!$B$3:$B951,0)),0)</f>
        <v>164</v>
      </c>
      <c r="K647" s="260" t="n">
        <f aca="false" t="array" ref="K647:K647">ROUND(INDEX('0.0.1 Pokémon Dex Data'!$S$3:$S951,MATCH($E647,'0.0.1 Pokémon Dex Data'!$B$3:$B951,0))*INDEX('0.0.1 Pokémon Dex Data'!U$3:U951,MATCH($E647,'0.0.1 Pokémon Dex Data'!$B$3:$B951,0)),0)</f>
        <v>176</v>
      </c>
      <c r="L647" s="260" t="n">
        <f aca="false" t="array" ref="L647:L647">ROUND(INDEX('0.0.1 Pokémon Dex Data'!$S$3:$S951,MATCH($E647,'0.0.1 Pokémon Dex Data'!$B$3:$B951,0))*INDEX('0.0.1 Pokémon Dex Data'!V$3:V951,MATCH($E647,'0.0.1 Pokémon Dex Data'!$B$3:$B951,0)),0)</f>
        <v>155</v>
      </c>
      <c r="M647" s="260" t="n">
        <f aca="false" t="array" ref="M647:M647">INDEX('0.0.1 Pokémon Dex Data'!$J$3:$J951,MATCH(E647,'0.0.1 Pokémon Dex Data'!$B$3:$B951,0))</f>
        <v>1</v>
      </c>
      <c r="O647" s="490"/>
      <c r="Q647" s="367" t="n">
        <f aca="false">IF('Reverse Search'!$F$4="All (including temporary formes)",1,IF('Reverse Search'!$F$4="Base Pokémon and permanent formes only",IF(F647&lt;=1,1,0),IF(F647=0,1,0)))</f>
        <v>1</v>
      </c>
      <c r="R647" s="0" t="n">
        <f aca="false">IF('Reverse Search'!$C$7="Disable",1,IF('Reverse Search'!$D$9="Disable",1,IF(OR('Reverse Search'!$F$9=H647,'Reverse Search'!$F$9=I647),1,0)))</f>
        <v>1</v>
      </c>
      <c r="S647" s="0" t="n">
        <f aca="false">IF('Reverse Search'!$C$7="Disable",1,IF('Reverse Search'!$D$10="Disable",1,IF(OR('Reverse Search'!$F$10=H647,'Reverse Search'!$F$10=I647),1,0)))</f>
        <v>1</v>
      </c>
      <c r="T647" s="0" t="n">
        <f aca="false">INDEX($B$4:$B$22,MATCH(H647,$A$4:$A$22,0))</f>
        <v>1</v>
      </c>
      <c r="U647" s="0" t="n">
        <f aca="false">IF(ISBLANK(I647),1,INDEX($B$4:$B$22,MATCH(I647,$A$4:$A$22,0)))</f>
        <v>1</v>
      </c>
      <c r="V647" s="367" t="n">
        <f aca="false">IF('Reverse Search'!$C$7="Disable",1,IF('Reverse Search'!$D$11="Disable",1,IF('Reverse Search'!$E$11="Neutral to:",IF(ROUND(T647*U647,2)&lt;=1,1,0),IF(ROUND(T647*U647,2)&lt;1,1,0))))</f>
        <v>1</v>
      </c>
      <c r="W647" s="0" t="n">
        <f aca="false">IF('Reverse Search'!$N$7="Disable",1,IF('Reverse Search'!$I$9="Disable",1,IF('Reverse Search'!$K$9="≥",IF(J647&gt;='Reverse Search'!$L$9,1,0),IF('Reverse Search'!$K$9="≤",IF(J647&lt;='Reverse Search'!$L$9,1,0),IF(J647='Reverse Search'!$L$9,1,0)))))</f>
        <v>1</v>
      </c>
      <c r="X647" s="0" t="n">
        <f aca="false">IF('Reverse Search'!$N$7="Disable",1,IF('Reverse Search'!$I$10="Disable",1,IF('Reverse Search'!$K$10="≥",IF(K647&gt;='Reverse Search'!$L$10,1,0),IF('Reverse Search'!$K$10="≤",IF(K647&lt;='Reverse Search'!$L$10,1,0),IF(K647='Reverse Search'!$L$10,1,0)))))</f>
        <v>1</v>
      </c>
      <c r="Y647" s="367" t="n">
        <f aca="false">IF('Reverse Search'!$N$7="Disable",1,IF('Reverse Search'!$I$11="Disable",1,IF('Reverse Search'!$K$11="≥",IF(L647&gt;='Reverse Search'!$L$11,1,0),IF('Reverse Search'!$K$11="≤",IF(L647&lt;='Reverse Search'!$L$11,1,0),IF(L647='Reverse Search'!$L$11,1,0)))))</f>
        <v>1</v>
      </c>
      <c r="Z647" s="0" t="n">
        <f aca="true">IF('Reverse Search'!$C$14="Disable",1,IF('Reverse Search'!$D$16="Disable",1,IF($C$2=3,IF($M647=0,0,COUNTIF(INDIRECT("'0.0.2 Pokémon Learnset (Core)'!$D$"&amp;MATCH($E647,'0.0.2 Pokémon Learnset (Core)'!$A$1:$A951,0)&amp;":$FK$"&amp;MATCH($E647,'0.0.2 Pokémon Learnset (Core)'!$A$1:$A951,0)),'Reverse Search'!$E$21)),IF($C$2=2,COUNTIF(INDIRECT("'0.1.1 Pokémon GO Moves'!$B$"&amp;MATCH($E647,'0.1.1 Pokémon GO Moves'!$A$1:$A951,0)&amp;":$R$"&amp;MATCH($E647,'0.1.1 Pokémon GO Moves'!$A$1:$A951,0)),'Reverse Search'!$E$21),COUNTIF(INDIRECT("'0.1.1 Pokémon GO Moves'!$B$"&amp;MATCH($E647,'0.1.1 Pokémon GO Moves'!$A$1:$A951,0)&amp;":$L$"&amp;MATCH($E647,'0.1.1 Pokémon GO Moves'!$A$1:$A951,0)),'Reverse Search'!$E$21)))))</f>
        <v>1</v>
      </c>
      <c r="AA647" s="0" t="n">
        <f aca="true">IF('Reverse Search'!$C$14="Disable",1,IF('Reverse Search'!$I$16="Disable",1,IF($D$2=3,IF($M647=0,0,COUNTIF(INDIRECT("'0.0.2 Pokémon Learnset (Core)'!$D$"&amp;MATCH($E647,'0.0.2 Pokémon Learnset (Core)'!$A$1:$A951,0)&amp;":$FK$"&amp;MATCH($E647,'0.0.2 Pokémon Learnset (Core)'!$A$1:$A951,0)),'Reverse Search'!$J$21)),IF($D$2=2,COUNTIF(INDIRECT("'0.1.1 Pokémon GO Moves'!$B$"&amp;MATCH($E647,'0.1.1 Pokémon GO Moves'!$A$1:$A951,0)&amp;":$R$"&amp;MATCH($E647,'0.1.1 Pokémon GO Moves'!$A$1:$A951,0)),'Reverse Search'!$J$21),COUNTIF(INDIRECT("'0.1.1 Pokémon GO Moves'!$B$"&amp;MATCH($E647,'0.1.1 Pokémon GO Moves'!$A$1:$A951,0)&amp;":$L$"&amp;MATCH($E647,'0.1.1 Pokémon GO Moves'!$A$1:$A951,0)),'Reverse Search'!$J$21)))))</f>
        <v>0</v>
      </c>
      <c r="AB647" s="490"/>
      <c r="AC647" s="260" t="n">
        <f aca="false">IF((Q647+R647+S647+V647+W647+X647+Y647+IF(Z647&gt;=1,1,0)+IF(AA647&gt;=1,1,0))=9,G647&amp;", ",)</f>
        <v>0</v>
      </c>
    </row>
    <row r="648" customFormat="false" ht="15.75" hidden="false" customHeight="false" outlineLevel="0" collapsed="false">
      <c r="A648" s="260"/>
      <c r="B648" s="358"/>
      <c r="C648" s="260"/>
      <c r="D648" s="358"/>
      <c r="E648" s="260" t="n">
        <v>647</v>
      </c>
      <c r="F648" s="260" t="n">
        <f aca="false" t="array" ref="F648:F648">INDEX('0.0.1 Pokémon Dex Data'!$H$3:$H951,MATCH(E648,'0.0.1 Pokémon Dex Data'!$B$3:$B951,0))</f>
        <v>0</v>
      </c>
      <c r="G648" s="0" t="str">
        <f aca="false" t="array" ref="G648:G648">INDEX('0.0.1 Pokémon Dex Data'!$E$3:$E951,MATCH(E648,'0.0.1 Pokémon Dex Data'!$B$3:$B951,0))</f>
        <v>Petilil</v>
      </c>
      <c r="H648" s="0" t="str">
        <f aca="false" t="array" ref="H648:H648">INDEX('0.0.1 Pokémon Dex Data'!$Q$3:$Q951,MATCH(E648,'0.0.1 Pokémon Dex Data'!$B$3:$B951,0))</f>
        <v>Grass</v>
      </c>
      <c r="I648" s="0" t="n">
        <f aca="false">INDEX('0.0.1 Pokémon Dex Data'!$R$3:$R951,MATCH(E648,'0.0.1 Pokémon Dex Data'!$B$3:$B951,0))</f>
        <v>0</v>
      </c>
      <c r="J648" s="260" t="n">
        <f aca="false" t="array" ref="J648:J648">ROUND(INDEX('0.0.1 Pokémon Dex Data'!$S$3:$S951,MATCH($E648,'0.0.1 Pokémon Dex Data'!$B$3:$B951,0))*INDEX('0.0.1 Pokémon Dex Data'!T$3:T951,MATCH($E648,'0.0.1 Pokémon Dex Data'!$B$3:$B951,0)),0)</f>
        <v>119</v>
      </c>
      <c r="K648" s="260" t="n">
        <f aca="false" t="array" ref="K648:K648">ROUND(INDEX('0.0.1 Pokémon Dex Data'!$S$3:$S951,MATCH($E648,'0.0.1 Pokémon Dex Data'!$B$3:$B951,0))*INDEX('0.0.1 Pokémon Dex Data'!U$3:U951,MATCH($E648,'0.0.1 Pokémon Dex Data'!$B$3:$B951,0)),0)</f>
        <v>91</v>
      </c>
      <c r="L648" s="260" t="n">
        <f aca="false" t="array" ref="L648:L648">ROUND(INDEX('0.0.1 Pokémon Dex Data'!$S$3:$S951,MATCH($E648,'0.0.1 Pokémon Dex Data'!$B$3:$B951,0))*INDEX('0.0.1 Pokémon Dex Data'!V$3:V951,MATCH($E648,'0.0.1 Pokémon Dex Data'!$B$3:$B951,0)),0)</f>
        <v>128</v>
      </c>
      <c r="M648" s="260" t="n">
        <f aca="false" t="array" ref="M648:M648">INDEX('0.0.1 Pokémon Dex Data'!$J$3:$J951,MATCH(E648,'0.0.1 Pokémon Dex Data'!$B$3:$B951,0))</f>
        <v>0</v>
      </c>
      <c r="O648" s="490"/>
      <c r="Q648" s="367" t="n">
        <f aca="false">IF('Reverse Search'!$F$4="All (including temporary formes)",1,IF('Reverse Search'!$F$4="Base Pokémon and permanent formes only",IF(F648&lt;=1,1,0),IF(F648=0,1,0)))</f>
        <v>1</v>
      </c>
      <c r="R648" s="0" t="n">
        <f aca="false">IF('Reverse Search'!$C$7="Disable",1,IF('Reverse Search'!$D$9="Disable",1,IF(OR('Reverse Search'!$F$9=H648,'Reverse Search'!$F$9=I648),1,0)))</f>
        <v>1</v>
      </c>
      <c r="S648" s="0" t="n">
        <f aca="false">IF('Reverse Search'!$C$7="Disable",1,IF('Reverse Search'!$D$10="Disable",1,IF(OR('Reverse Search'!$F$10=H648,'Reverse Search'!$F$10=I648),1,0)))</f>
        <v>1</v>
      </c>
      <c r="T648" s="0" t="n">
        <f aca="false">INDEX($B$4:$B$22,MATCH(H648,$A$4:$A$22,0))</f>
        <v>1</v>
      </c>
      <c r="U648" s="0" t="e">
        <f aca="false">IF(ISBLANK(I648),1,INDEX($B$4:$B$22,MATCH(I648,$A$4:$A$22,0)))</f>
        <v>#N/A</v>
      </c>
      <c r="V648" s="367" t="n">
        <f aca="false">IF('Reverse Search'!$C$7="Disable",1,IF('Reverse Search'!$D$11="Disable",1,IF('Reverse Search'!$E$11="Neutral to:",IF(ROUND(T648*U648,2)&lt;=1,1,0),IF(ROUND(T648*U648,2)&lt;1,1,0))))</f>
        <v>1</v>
      </c>
      <c r="W648" s="0" t="n">
        <f aca="false">IF('Reverse Search'!$N$7="Disable",1,IF('Reverse Search'!$I$9="Disable",1,IF('Reverse Search'!$K$9="≥",IF(J648&gt;='Reverse Search'!$L$9,1,0),IF('Reverse Search'!$K$9="≤",IF(J648&lt;='Reverse Search'!$L$9,1,0),IF(J648='Reverse Search'!$L$9,1,0)))))</f>
        <v>1</v>
      </c>
      <c r="X648" s="0" t="n">
        <f aca="false">IF('Reverse Search'!$N$7="Disable",1,IF('Reverse Search'!$I$10="Disable",1,IF('Reverse Search'!$K$10="≥",IF(K648&gt;='Reverse Search'!$L$10,1,0),IF('Reverse Search'!$K$10="≤",IF(K648&lt;='Reverse Search'!$L$10,1,0),IF(K648='Reverse Search'!$L$10,1,0)))))</f>
        <v>1</v>
      </c>
      <c r="Y648" s="367" t="n">
        <f aca="false">IF('Reverse Search'!$N$7="Disable",1,IF('Reverse Search'!$I$11="Disable",1,IF('Reverse Search'!$K$11="≥",IF(L648&gt;='Reverse Search'!$L$11,1,0),IF('Reverse Search'!$K$11="≤",IF(L648&lt;='Reverse Search'!$L$11,1,0),IF(L648='Reverse Search'!$L$11,1,0)))))</f>
        <v>1</v>
      </c>
      <c r="Z648" s="0" t="n">
        <f aca="true">IF('Reverse Search'!$C$14="Disable",1,IF('Reverse Search'!$D$16="Disable",1,IF($C$2=3,IF($M648=0,0,COUNTIF(INDIRECT("'0.0.2 Pokémon Learnset (Core)'!$D$"&amp;MATCH($E648,'0.0.2 Pokémon Learnset (Core)'!$A$1:$A951,0)&amp;":$FK$"&amp;MATCH($E648,'0.0.2 Pokémon Learnset (Core)'!$A$1:$A951,0)),'Reverse Search'!$E$21)),IF($C$2=2,COUNTIF(INDIRECT("'0.1.1 Pokémon GO Moves'!$B$"&amp;MATCH($E648,'0.1.1 Pokémon GO Moves'!$A$1:$A951,0)&amp;":$R$"&amp;MATCH($E648,'0.1.1 Pokémon GO Moves'!$A$1:$A951,0)),'Reverse Search'!$E$21),COUNTIF(INDIRECT("'0.1.1 Pokémon GO Moves'!$B$"&amp;MATCH($E648,'0.1.1 Pokémon GO Moves'!$A$1:$A951,0)&amp;":$L$"&amp;MATCH($E648,'0.1.1 Pokémon GO Moves'!$A$1:$A951,0)),'Reverse Search'!$E$21)))))</f>
        <v>1</v>
      </c>
      <c r="AA648" s="0" t="n">
        <f aca="true">IF('Reverse Search'!$C$14="Disable",1,IF('Reverse Search'!$I$16="Disable",1,IF($D$2=3,IF($M648=0,0,COUNTIF(INDIRECT("'0.0.2 Pokémon Learnset (Core)'!$D$"&amp;MATCH($E648,'0.0.2 Pokémon Learnset (Core)'!$A$1:$A951,0)&amp;":$FK$"&amp;MATCH($E648,'0.0.2 Pokémon Learnset (Core)'!$A$1:$A951,0)),'Reverse Search'!$J$21)),IF($D$2=2,COUNTIF(INDIRECT("'0.1.1 Pokémon GO Moves'!$B$"&amp;MATCH($E648,'0.1.1 Pokémon GO Moves'!$A$1:$A951,0)&amp;":$R$"&amp;MATCH($E648,'0.1.1 Pokémon GO Moves'!$A$1:$A951,0)),'Reverse Search'!$J$21),COUNTIF(INDIRECT("'0.1.1 Pokémon GO Moves'!$B$"&amp;MATCH($E648,'0.1.1 Pokémon GO Moves'!$A$1:$A951,0)&amp;":$L$"&amp;MATCH($E648,'0.1.1 Pokémon GO Moves'!$A$1:$A951,0)),'Reverse Search'!$J$21)))))</f>
        <v>0</v>
      </c>
      <c r="AB648" s="490"/>
      <c r="AC648" s="260" t="n">
        <f aca="false">IF((Q648+R648+S648+V648+W648+X648+Y648+IF(Z648&gt;=1,1,0)+IF(AA648&gt;=1,1,0))=9,G648&amp;", ",)</f>
        <v>0</v>
      </c>
    </row>
    <row r="649" customFormat="false" ht="15.75" hidden="false" customHeight="false" outlineLevel="0" collapsed="false">
      <c r="A649" s="260"/>
      <c r="B649" s="358"/>
      <c r="C649" s="260"/>
      <c r="D649" s="358"/>
      <c r="E649" s="260" t="n">
        <v>648</v>
      </c>
      <c r="F649" s="260" t="n">
        <f aca="false" t="array" ref="F649:F649">INDEX('0.0.1 Pokémon Dex Data'!$H$3:$H951,MATCH(E649,'0.0.1 Pokémon Dex Data'!$B$3:$B951,0))</f>
        <v>0</v>
      </c>
      <c r="G649" s="0" t="str">
        <f aca="false" t="array" ref="G649:G649">INDEX('0.0.1 Pokémon Dex Data'!$E$3:$E951,MATCH(E649,'0.0.1 Pokémon Dex Data'!$B$3:$B951,0))</f>
        <v>Lilligant</v>
      </c>
      <c r="H649" s="0" t="str">
        <f aca="false" t="array" ref="H649:H649">INDEX('0.0.1 Pokémon Dex Data'!$Q$3:$Q951,MATCH(E649,'0.0.1 Pokémon Dex Data'!$B$3:$B951,0))</f>
        <v>Grass</v>
      </c>
      <c r="I649" s="0" t="n">
        <f aca="false">INDEX('0.0.1 Pokémon Dex Data'!$R$3:$R951,MATCH(E649,'0.0.1 Pokémon Dex Data'!$B$3:$B951,0))</f>
        <v>0</v>
      </c>
      <c r="J649" s="260" t="n">
        <f aca="false" t="array" ref="J649:J649">ROUND(INDEX('0.0.1 Pokémon Dex Data'!$S$3:$S951,MATCH($E649,'0.0.1 Pokémon Dex Data'!$B$3:$B951,0))*INDEX('0.0.1 Pokémon Dex Data'!T$3:T951,MATCH($E649,'0.0.1 Pokémon Dex Data'!$B$3:$B951,0)),0)</f>
        <v>214</v>
      </c>
      <c r="K649" s="260" t="n">
        <f aca="false" t="array" ref="K649:K649">ROUND(INDEX('0.0.1 Pokémon Dex Data'!$S$3:$S951,MATCH($E649,'0.0.1 Pokémon Dex Data'!$B$3:$B951,0))*INDEX('0.0.1 Pokémon Dex Data'!U$3:U951,MATCH($E649,'0.0.1 Pokémon Dex Data'!$B$3:$B951,0)),0)</f>
        <v>155</v>
      </c>
      <c r="L649" s="260" t="n">
        <f aca="false" t="array" ref="L649:L649">ROUND(INDEX('0.0.1 Pokémon Dex Data'!$S$3:$S951,MATCH($E649,'0.0.1 Pokémon Dex Data'!$B$3:$B951,0))*INDEX('0.0.1 Pokémon Dex Data'!V$3:V951,MATCH($E649,'0.0.1 Pokémon Dex Data'!$B$3:$B951,0)),0)</f>
        <v>172</v>
      </c>
      <c r="M649" s="260" t="n">
        <f aca="false" t="array" ref="M649:M649">INDEX('0.0.1 Pokémon Dex Data'!$J$3:$J951,MATCH(E649,'0.0.1 Pokémon Dex Data'!$B$3:$B951,0))</f>
        <v>1</v>
      </c>
      <c r="O649" s="490"/>
      <c r="Q649" s="367" t="n">
        <f aca="false">IF('Reverse Search'!$F$4="All (including temporary formes)",1,IF('Reverse Search'!$F$4="Base Pokémon and permanent formes only",IF(F649&lt;=1,1,0),IF(F649=0,1,0)))</f>
        <v>1</v>
      </c>
      <c r="R649" s="0" t="n">
        <f aca="false">IF('Reverse Search'!$C$7="Disable",1,IF('Reverse Search'!$D$9="Disable",1,IF(OR('Reverse Search'!$F$9=H649,'Reverse Search'!$F$9=I649),1,0)))</f>
        <v>1</v>
      </c>
      <c r="S649" s="0" t="n">
        <f aca="false">IF('Reverse Search'!$C$7="Disable",1,IF('Reverse Search'!$D$10="Disable",1,IF(OR('Reverse Search'!$F$10=H649,'Reverse Search'!$F$10=I649),1,0)))</f>
        <v>1</v>
      </c>
      <c r="T649" s="0" t="n">
        <f aca="false">INDEX($B$4:$B$22,MATCH(H649,$A$4:$A$22,0))</f>
        <v>1</v>
      </c>
      <c r="U649" s="0" t="e">
        <f aca="false">IF(ISBLANK(I649),1,INDEX($B$4:$B$22,MATCH(I649,$A$4:$A$22,0)))</f>
        <v>#N/A</v>
      </c>
      <c r="V649" s="367" t="n">
        <f aca="false">IF('Reverse Search'!$C$7="Disable",1,IF('Reverse Search'!$D$11="Disable",1,IF('Reverse Search'!$E$11="Neutral to:",IF(ROUND(T649*U649,2)&lt;=1,1,0),IF(ROUND(T649*U649,2)&lt;1,1,0))))</f>
        <v>1</v>
      </c>
      <c r="W649" s="0" t="n">
        <f aca="false">IF('Reverse Search'!$N$7="Disable",1,IF('Reverse Search'!$I$9="Disable",1,IF('Reverse Search'!$K$9="≥",IF(J649&gt;='Reverse Search'!$L$9,1,0),IF('Reverse Search'!$K$9="≤",IF(J649&lt;='Reverse Search'!$L$9,1,0),IF(J649='Reverse Search'!$L$9,1,0)))))</f>
        <v>1</v>
      </c>
      <c r="X649" s="0" t="n">
        <f aca="false">IF('Reverse Search'!$N$7="Disable",1,IF('Reverse Search'!$I$10="Disable",1,IF('Reverse Search'!$K$10="≥",IF(K649&gt;='Reverse Search'!$L$10,1,0),IF('Reverse Search'!$K$10="≤",IF(K649&lt;='Reverse Search'!$L$10,1,0),IF(K649='Reverse Search'!$L$10,1,0)))))</f>
        <v>1</v>
      </c>
      <c r="Y649" s="367" t="n">
        <f aca="false">IF('Reverse Search'!$N$7="Disable",1,IF('Reverse Search'!$I$11="Disable",1,IF('Reverse Search'!$K$11="≥",IF(L649&gt;='Reverse Search'!$L$11,1,0),IF('Reverse Search'!$K$11="≤",IF(L649&lt;='Reverse Search'!$L$11,1,0),IF(L649='Reverse Search'!$L$11,1,0)))))</f>
        <v>1</v>
      </c>
      <c r="Z649" s="0" t="n">
        <f aca="true">IF('Reverse Search'!$C$14="Disable",1,IF('Reverse Search'!$D$16="Disable",1,IF($C$2=3,IF($M649=0,0,COUNTIF(INDIRECT("'0.0.2 Pokémon Learnset (Core)'!$D$"&amp;MATCH($E649,'0.0.2 Pokémon Learnset (Core)'!$A$1:$A951,0)&amp;":$FK$"&amp;MATCH($E649,'0.0.2 Pokémon Learnset (Core)'!$A$1:$A951,0)),'Reverse Search'!$E$21)),IF($C$2=2,COUNTIF(INDIRECT("'0.1.1 Pokémon GO Moves'!$B$"&amp;MATCH($E649,'0.1.1 Pokémon GO Moves'!$A$1:$A951,0)&amp;":$R$"&amp;MATCH($E649,'0.1.1 Pokémon GO Moves'!$A$1:$A951,0)),'Reverse Search'!$E$21),COUNTIF(INDIRECT("'0.1.1 Pokémon GO Moves'!$B$"&amp;MATCH($E649,'0.1.1 Pokémon GO Moves'!$A$1:$A951,0)&amp;":$L$"&amp;MATCH($E649,'0.1.1 Pokémon GO Moves'!$A$1:$A951,0)),'Reverse Search'!$E$21)))))</f>
        <v>1</v>
      </c>
      <c r="AA649" s="0" t="n">
        <f aca="true">IF('Reverse Search'!$C$14="Disable",1,IF('Reverse Search'!$I$16="Disable",1,IF($D$2=3,IF($M649=0,0,COUNTIF(INDIRECT("'0.0.2 Pokémon Learnset (Core)'!$D$"&amp;MATCH($E649,'0.0.2 Pokémon Learnset (Core)'!$A$1:$A951,0)&amp;":$FK$"&amp;MATCH($E649,'0.0.2 Pokémon Learnset (Core)'!$A$1:$A951,0)),'Reverse Search'!$J$21)),IF($D$2=2,COUNTIF(INDIRECT("'0.1.1 Pokémon GO Moves'!$B$"&amp;MATCH($E649,'0.1.1 Pokémon GO Moves'!$A$1:$A951,0)&amp;":$R$"&amp;MATCH($E649,'0.1.1 Pokémon GO Moves'!$A$1:$A951,0)),'Reverse Search'!$J$21),COUNTIF(INDIRECT("'0.1.1 Pokémon GO Moves'!$B$"&amp;MATCH($E649,'0.1.1 Pokémon GO Moves'!$A$1:$A951,0)&amp;":$L$"&amp;MATCH($E649,'0.1.1 Pokémon GO Moves'!$A$1:$A951,0)),'Reverse Search'!$J$21)))))</f>
        <v>0</v>
      </c>
      <c r="AB649" s="490"/>
      <c r="AC649" s="260" t="n">
        <f aca="false">IF((Q649+R649+S649+V649+W649+X649+Y649+IF(Z649&gt;=1,1,0)+IF(AA649&gt;=1,1,0))=9,G649&amp;", ",)</f>
        <v>0</v>
      </c>
    </row>
    <row r="650" customFormat="false" ht="15.75" hidden="false" customHeight="false" outlineLevel="0" collapsed="false">
      <c r="A650" s="260"/>
      <c r="B650" s="358"/>
      <c r="C650" s="260"/>
      <c r="D650" s="358"/>
      <c r="E650" s="260" t="n">
        <v>649</v>
      </c>
      <c r="F650" s="260" t="n">
        <f aca="false" t="array" ref="F650:F650">INDEX('0.0.1 Pokémon Dex Data'!$H$3:$H951,MATCH(E650,'0.0.1 Pokémon Dex Data'!$B$3:$B951,0))</f>
        <v>0</v>
      </c>
      <c r="G650" s="0" t="str">
        <f aca="false" t="array" ref="G650:G650">INDEX('0.0.1 Pokémon Dex Data'!$E$3:$E951,MATCH(E650,'0.0.1 Pokémon Dex Data'!$B$3:$B951,0))</f>
        <v>Basculin</v>
      </c>
      <c r="H650" s="0" t="str">
        <f aca="false" t="array" ref="H650:H650">INDEX('0.0.1 Pokémon Dex Data'!$Q$3:$Q951,MATCH(E650,'0.0.1 Pokémon Dex Data'!$B$3:$B951,0))</f>
        <v>Water</v>
      </c>
      <c r="I650" s="0" t="n">
        <f aca="false">INDEX('0.0.1 Pokémon Dex Data'!$R$3:$R951,MATCH(E650,'0.0.1 Pokémon Dex Data'!$B$3:$B951,0))</f>
        <v>0</v>
      </c>
      <c r="J650" s="260" t="n">
        <f aca="false" t="array" ref="J650:J650">ROUND(INDEX('0.0.1 Pokémon Dex Data'!$S$3:$S951,MATCH($E650,'0.0.1 Pokémon Dex Data'!$B$3:$B951,0))*INDEX('0.0.1 Pokémon Dex Data'!T$3:T951,MATCH($E650,'0.0.1 Pokémon Dex Data'!$B$3:$B951,0)),0)</f>
        <v>189</v>
      </c>
      <c r="K650" s="260" t="n">
        <f aca="false" t="array" ref="K650:K650">ROUND(INDEX('0.0.1 Pokémon Dex Data'!$S$3:$S951,MATCH($E650,'0.0.1 Pokémon Dex Data'!$B$3:$B951,0))*INDEX('0.0.1 Pokémon Dex Data'!U$3:U951,MATCH($E650,'0.0.1 Pokémon Dex Data'!$B$3:$B951,0)),0)</f>
        <v>129</v>
      </c>
      <c r="L650" s="260" t="n">
        <f aca="false" t="array" ref="L650:L650">ROUND(INDEX('0.0.1 Pokémon Dex Data'!$S$3:$S951,MATCH($E650,'0.0.1 Pokémon Dex Data'!$B$3:$B951,0))*INDEX('0.0.1 Pokémon Dex Data'!V$3:V951,MATCH($E650,'0.0.1 Pokémon Dex Data'!$B$3:$B951,0)),0)</f>
        <v>172</v>
      </c>
      <c r="M650" s="260" t="n">
        <f aca="false" t="array" ref="M650:M650">INDEX('0.0.1 Pokémon Dex Data'!$J$3:$J951,MATCH(E650,'0.0.1 Pokémon Dex Data'!$B$3:$B951,0))</f>
        <v>1</v>
      </c>
      <c r="O650" s="490"/>
      <c r="Q650" s="367" t="n">
        <f aca="false">IF('Reverse Search'!$F$4="All (including temporary formes)",1,IF('Reverse Search'!$F$4="Base Pokémon and permanent formes only",IF(F650&lt;=1,1,0),IF(F650=0,1,0)))</f>
        <v>1</v>
      </c>
      <c r="R650" s="0" t="n">
        <f aca="false">IF('Reverse Search'!$C$7="Disable",1,IF('Reverse Search'!$D$9="Disable",1,IF(OR('Reverse Search'!$F$9=H650,'Reverse Search'!$F$9=I650),1,0)))</f>
        <v>1</v>
      </c>
      <c r="S650" s="0" t="n">
        <f aca="false">IF('Reverse Search'!$C$7="Disable",1,IF('Reverse Search'!$D$10="Disable",1,IF(OR('Reverse Search'!$F$10=H650,'Reverse Search'!$F$10=I650),1,0)))</f>
        <v>1</v>
      </c>
      <c r="T650" s="0" t="n">
        <f aca="false">INDEX($B$4:$B$22,MATCH(H650,$A$4:$A$22,0))</f>
        <v>1</v>
      </c>
      <c r="U650" s="0" t="e">
        <f aca="false">IF(ISBLANK(I650),1,INDEX($B$4:$B$22,MATCH(I650,$A$4:$A$22,0)))</f>
        <v>#N/A</v>
      </c>
      <c r="V650" s="367" t="n">
        <f aca="false">IF('Reverse Search'!$C$7="Disable",1,IF('Reverse Search'!$D$11="Disable",1,IF('Reverse Search'!$E$11="Neutral to:",IF(ROUND(T650*U650,2)&lt;=1,1,0),IF(ROUND(T650*U650,2)&lt;1,1,0))))</f>
        <v>1</v>
      </c>
      <c r="W650" s="0" t="n">
        <f aca="false">IF('Reverse Search'!$N$7="Disable",1,IF('Reverse Search'!$I$9="Disable",1,IF('Reverse Search'!$K$9="≥",IF(J650&gt;='Reverse Search'!$L$9,1,0),IF('Reverse Search'!$K$9="≤",IF(J650&lt;='Reverse Search'!$L$9,1,0),IF(J650='Reverse Search'!$L$9,1,0)))))</f>
        <v>1</v>
      </c>
      <c r="X650" s="0" t="n">
        <f aca="false">IF('Reverse Search'!$N$7="Disable",1,IF('Reverse Search'!$I$10="Disable",1,IF('Reverse Search'!$K$10="≥",IF(K650&gt;='Reverse Search'!$L$10,1,0),IF('Reverse Search'!$K$10="≤",IF(K650&lt;='Reverse Search'!$L$10,1,0),IF(K650='Reverse Search'!$L$10,1,0)))))</f>
        <v>1</v>
      </c>
      <c r="Y650" s="367" t="n">
        <f aca="false">IF('Reverse Search'!$N$7="Disable",1,IF('Reverse Search'!$I$11="Disable",1,IF('Reverse Search'!$K$11="≥",IF(L650&gt;='Reverse Search'!$L$11,1,0),IF('Reverse Search'!$K$11="≤",IF(L650&lt;='Reverse Search'!$L$11,1,0),IF(L650='Reverse Search'!$L$11,1,0)))))</f>
        <v>1</v>
      </c>
      <c r="Z650" s="0" t="n">
        <f aca="true">IF('Reverse Search'!$C$14="Disable",1,IF('Reverse Search'!$D$16="Disable",1,IF($C$2=3,IF($M650=0,0,COUNTIF(INDIRECT("'0.0.2 Pokémon Learnset (Core)'!$D$"&amp;MATCH($E650,'0.0.2 Pokémon Learnset (Core)'!$A$1:$A951,0)&amp;":$FK$"&amp;MATCH($E650,'0.0.2 Pokémon Learnset (Core)'!$A$1:$A951,0)),'Reverse Search'!$E$21)),IF($C$2=2,COUNTIF(INDIRECT("'0.1.1 Pokémon GO Moves'!$B$"&amp;MATCH($E650,'0.1.1 Pokémon GO Moves'!$A$1:$A951,0)&amp;":$R$"&amp;MATCH($E650,'0.1.1 Pokémon GO Moves'!$A$1:$A951,0)),'Reverse Search'!$E$21),COUNTIF(INDIRECT("'0.1.1 Pokémon GO Moves'!$B$"&amp;MATCH($E650,'0.1.1 Pokémon GO Moves'!$A$1:$A951,0)&amp;":$L$"&amp;MATCH($E650,'0.1.1 Pokémon GO Moves'!$A$1:$A951,0)),'Reverse Search'!$E$21)))))</f>
        <v>1</v>
      </c>
      <c r="AA650" s="0" t="n">
        <f aca="true">IF('Reverse Search'!$C$14="Disable",1,IF('Reverse Search'!$I$16="Disable",1,IF($D$2=3,IF($M650=0,0,COUNTIF(INDIRECT("'0.0.2 Pokémon Learnset (Core)'!$D$"&amp;MATCH($E650,'0.0.2 Pokémon Learnset (Core)'!$A$1:$A951,0)&amp;":$FK$"&amp;MATCH($E650,'0.0.2 Pokémon Learnset (Core)'!$A$1:$A951,0)),'Reverse Search'!$J$21)),IF($D$2=2,COUNTIF(INDIRECT("'0.1.1 Pokémon GO Moves'!$B$"&amp;MATCH($E650,'0.1.1 Pokémon GO Moves'!$A$1:$A951,0)&amp;":$R$"&amp;MATCH($E650,'0.1.1 Pokémon GO Moves'!$A$1:$A951,0)),'Reverse Search'!$J$21),COUNTIF(INDIRECT("'0.1.1 Pokémon GO Moves'!$B$"&amp;MATCH($E650,'0.1.1 Pokémon GO Moves'!$A$1:$A951,0)&amp;":$L$"&amp;MATCH($E650,'0.1.1 Pokémon GO Moves'!$A$1:$A951,0)),'Reverse Search'!$J$21)))))</f>
        <v>0</v>
      </c>
      <c r="AB650" s="490"/>
      <c r="AC650" s="260" t="n">
        <f aca="false">IF((Q650+R650+S650+V650+W650+X650+Y650+IF(Z650&gt;=1,1,0)+IF(AA650&gt;=1,1,0))=9,G650&amp;", ",)</f>
        <v>0</v>
      </c>
    </row>
    <row r="651" customFormat="false" ht="15.75" hidden="false" customHeight="false" outlineLevel="0" collapsed="false">
      <c r="A651" s="260"/>
      <c r="B651" s="358"/>
      <c r="C651" s="260"/>
      <c r="D651" s="358"/>
      <c r="E651" s="260" t="n">
        <v>650</v>
      </c>
      <c r="F651" s="260" t="n">
        <f aca="false" t="array" ref="F651:F651">INDEX('0.0.1 Pokémon Dex Data'!$H$3:$H951,MATCH(E651,'0.0.1 Pokémon Dex Data'!$B$3:$B951,0))</f>
        <v>0</v>
      </c>
      <c r="G651" s="0" t="str">
        <f aca="false" t="array" ref="G651:G651">INDEX('0.0.1 Pokémon Dex Data'!$E$3:$E951,MATCH(E651,'0.0.1 Pokémon Dex Data'!$B$3:$B951,0))</f>
        <v>Sandile</v>
      </c>
      <c r="H651" s="0" t="str">
        <f aca="false" t="array" ref="H651:H651">INDEX('0.0.1 Pokémon Dex Data'!$Q$3:$Q951,MATCH(E651,'0.0.1 Pokémon Dex Data'!$B$3:$B951,0))</f>
        <v>Ground</v>
      </c>
      <c r="I651" s="0" t="str">
        <f aca="false" t="array" ref="I651:I651">INDEX('0.0.1 Pokémon Dex Data'!$R$3:$R951,MATCH(E651,'0.0.1 Pokémon Dex Data'!$B$3:$B951,0))</f>
        <v>Dark</v>
      </c>
      <c r="J651" s="260" t="n">
        <f aca="false" t="array" ref="J651:J651">ROUND(INDEX('0.0.1 Pokémon Dex Data'!$S$3:$S951,MATCH($E651,'0.0.1 Pokémon Dex Data'!$B$3:$B951,0))*INDEX('0.0.1 Pokémon Dex Data'!T$3:T951,MATCH($E651,'0.0.1 Pokémon Dex Data'!$B$3:$B951,0)),0)</f>
        <v>132</v>
      </c>
      <c r="K651" s="260" t="n">
        <f aca="false" t="array" ref="K651:K651">ROUND(INDEX('0.0.1 Pokémon Dex Data'!$S$3:$S951,MATCH($E651,'0.0.1 Pokémon Dex Data'!$B$3:$B951,0))*INDEX('0.0.1 Pokémon Dex Data'!U$3:U951,MATCH($E651,'0.0.1 Pokémon Dex Data'!$B$3:$B951,0)),0)</f>
        <v>69</v>
      </c>
      <c r="L651" s="260" t="n">
        <f aca="false" t="array" ref="L651:L651">ROUND(INDEX('0.0.1 Pokémon Dex Data'!$S$3:$S951,MATCH($E651,'0.0.1 Pokémon Dex Data'!$B$3:$B951,0))*INDEX('0.0.1 Pokémon Dex Data'!V$3:V951,MATCH($E651,'0.0.1 Pokémon Dex Data'!$B$3:$B951,0)),0)</f>
        <v>137</v>
      </c>
      <c r="M651" s="260" t="n">
        <f aca="false" t="array" ref="M651:M651">INDEX('0.0.1 Pokémon Dex Data'!$J$3:$J951,MATCH(E651,'0.0.1 Pokémon Dex Data'!$B$3:$B951,0))</f>
        <v>0</v>
      </c>
      <c r="O651" s="490"/>
      <c r="Q651" s="367" t="n">
        <f aca="false">IF('Reverse Search'!$F$4="All (including temporary formes)",1,IF('Reverse Search'!$F$4="Base Pokémon and permanent formes only",IF(F651&lt;=1,1,0),IF(F651=0,1,0)))</f>
        <v>1</v>
      </c>
      <c r="R651" s="0" t="n">
        <f aca="false">IF('Reverse Search'!$C$7="Disable",1,IF('Reverse Search'!$D$9="Disable",1,IF(OR('Reverse Search'!$F$9=H651,'Reverse Search'!$F$9=I651),1,0)))</f>
        <v>1</v>
      </c>
      <c r="S651" s="0" t="n">
        <f aca="false">IF('Reverse Search'!$C$7="Disable",1,IF('Reverse Search'!$D$10="Disable",1,IF(OR('Reverse Search'!$F$10=H651,'Reverse Search'!$F$10=I651),1,0)))</f>
        <v>1</v>
      </c>
      <c r="T651" s="0" t="n">
        <f aca="false">INDEX($B$4:$B$22,MATCH(H651,$A$4:$A$22,0))</f>
        <v>1</v>
      </c>
      <c r="U651" s="0" t="n">
        <f aca="false">IF(ISBLANK(I651),1,INDEX($B$4:$B$22,MATCH(I651,$A$4:$A$22,0)))</f>
        <v>1</v>
      </c>
      <c r="V651" s="367" t="n">
        <f aca="false">IF('Reverse Search'!$C$7="Disable",1,IF('Reverse Search'!$D$11="Disable",1,IF('Reverse Search'!$E$11="Neutral to:",IF(ROUND(T651*U651,2)&lt;=1,1,0),IF(ROUND(T651*U651,2)&lt;1,1,0))))</f>
        <v>1</v>
      </c>
      <c r="W651" s="0" t="n">
        <f aca="false">IF('Reverse Search'!$N$7="Disable",1,IF('Reverse Search'!$I$9="Disable",1,IF('Reverse Search'!$K$9="≥",IF(J651&gt;='Reverse Search'!$L$9,1,0),IF('Reverse Search'!$K$9="≤",IF(J651&lt;='Reverse Search'!$L$9,1,0),IF(J651='Reverse Search'!$L$9,1,0)))))</f>
        <v>1</v>
      </c>
      <c r="X651" s="0" t="n">
        <f aca="false">IF('Reverse Search'!$N$7="Disable",1,IF('Reverse Search'!$I$10="Disable",1,IF('Reverse Search'!$K$10="≥",IF(K651&gt;='Reverse Search'!$L$10,1,0),IF('Reverse Search'!$K$10="≤",IF(K651&lt;='Reverse Search'!$L$10,1,0),IF(K651='Reverse Search'!$L$10,1,0)))))</f>
        <v>1</v>
      </c>
      <c r="Y651" s="367" t="n">
        <f aca="false">IF('Reverse Search'!$N$7="Disable",1,IF('Reverse Search'!$I$11="Disable",1,IF('Reverse Search'!$K$11="≥",IF(L651&gt;='Reverse Search'!$L$11,1,0),IF('Reverse Search'!$K$11="≤",IF(L651&lt;='Reverse Search'!$L$11,1,0),IF(L651='Reverse Search'!$L$11,1,0)))))</f>
        <v>1</v>
      </c>
      <c r="Z651" s="0" t="n">
        <f aca="true">IF('Reverse Search'!$C$14="Disable",1,IF('Reverse Search'!$D$16="Disable",1,IF($C$2=3,IF($M651=0,0,COUNTIF(INDIRECT("'0.0.2 Pokémon Learnset (Core)'!$D$"&amp;MATCH($E651,'0.0.2 Pokémon Learnset (Core)'!$A$1:$A951,0)&amp;":$FK$"&amp;MATCH($E651,'0.0.2 Pokémon Learnset (Core)'!$A$1:$A951,0)),'Reverse Search'!$E$21)),IF($C$2=2,COUNTIF(INDIRECT("'0.1.1 Pokémon GO Moves'!$B$"&amp;MATCH($E651,'0.1.1 Pokémon GO Moves'!$A$1:$A951,0)&amp;":$R$"&amp;MATCH($E651,'0.1.1 Pokémon GO Moves'!$A$1:$A951,0)),'Reverse Search'!$E$21),COUNTIF(INDIRECT("'0.1.1 Pokémon GO Moves'!$B$"&amp;MATCH($E651,'0.1.1 Pokémon GO Moves'!$A$1:$A951,0)&amp;":$L$"&amp;MATCH($E651,'0.1.1 Pokémon GO Moves'!$A$1:$A951,0)),'Reverse Search'!$E$21)))))</f>
        <v>1</v>
      </c>
      <c r="AA651" s="0" t="n">
        <f aca="true">IF('Reverse Search'!$C$14="Disable",1,IF('Reverse Search'!$I$16="Disable",1,IF($D$2=3,IF($M651=0,0,COUNTIF(INDIRECT("'0.0.2 Pokémon Learnset (Core)'!$D$"&amp;MATCH($E651,'0.0.2 Pokémon Learnset (Core)'!$A$1:$A951,0)&amp;":$FK$"&amp;MATCH($E651,'0.0.2 Pokémon Learnset (Core)'!$A$1:$A951,0)),'Reverse Search'!$J$21)),IF($D$2=2,COUNTIF(INDIRECT("'0.1.1 Pokémon GO Moves'!$B$"&amp;MATCH($E651,'0.1.1 Pokémon GO Moves'!$A$1:$A951,0)&amp;":$R$"&amp;MATCH($E651,'0.1.1 Pokémon GO Moves'!$A$1:$A951,0)),'Reverse Search'!$J$21),COUNTIF(INDIRECT("'0.1.1 Pokémon GO Moves'!$B$"&amp;MATCH($E651,'0.1.1 Pokémon GO Moves'!$A$1:$A951,0)&amp;":$L$"&amp;MATCH($E651,'0.1.1 Pokémon GO Moves'!$A$1:$A951,0)),'Reverse Search'!$J$21)))))</f>
        <v>0</v>
      </c>
      <c r="AB651" s="490"/>
      <c r="AC651" s="260" t="n">
        <f aca="false">IF((Q651+R651+S651+V651+W651+X651+Y651+IF(Z651&gt;=1,1,0)+IF(AA651&gt;=1,1,0))=9,G651&amp;", ",)</f>
        <v>0</v>
      </c>
    </row>
    <row r="652" customFormat="false" ht="15.75" hidden="false" customHeight="false" outlineLevel="0" collapsed="false">
      <c r="A652" s="260"/>
      <c r="B652" s="358"/>
      <c r="C652" s="260"/>
      <c r="D652" s="358"/>
      <c r="E652" s="260" t="n">
        <v>651</v>
      </c>
      <c r="F652" s="260" t="n">
        <f aca="false" t="array" ref="F652:F652">INDEX('0.0.1 Pokémon Dex Data'!$H$3:$H951,MATCH(E652,'0.0.1 Pokémon Dex Data'!$B$3:$B951,0))</f>
        <v>0</v>
      </c>
      <c r="G652" s="0" t="str">
        <f aca="false" t="array" ref="G652:G652">INDEX('0.0.1 Pokémon Dex Data'!$E$3:$E951,MATCH(E652,'0.0.1 Pokémon Dex Data'!$B$3:$B951,0))</f>
        <v>Krokorok</v>
      </c>
      <c r="H652" s="0" t="str">
        <f aca="false" t="array" ref="H652:H652">INDEX('0.0.1 Pokémon Dex Data'!$Q$3:$Q951,MATCH(E652,'0.0.1 Pokémon Dex Data'!$B$3:$B951,0))</f>
        <v>Ground</v>
      </c>
      <c r="I652" s="0" t="str">
        <f aca="false" t="array" ref="I652:I652">INDEX('0.0.1 Pokémon Dex Data'!$R$3:$R951,MATCH(E652,'0.0.1 Pokémon Dex Data'!$B$3:$B951,0))</f>
        <v>Dark</v>
      </c>
      <c r="J652" s="260" t="n">
        <f aca="false" t="array" ref="J652:J652">ROUND(INDEX('0.0.1 Pokémon Dex Data'!$S$3:$S951,MATCH($E652,'0.0.1 Pokémon Dex Data'!$B$3:$B951,0))*INDEX('0.0.1 Pokémon Dex Data'!T$3:T951,MATCH($E652,'0.0.1 Pokémon Dex Data'!$B$3:$B951,0)),0)</f>
        <v>155</v>
      </c>
      <c r="K652" s="260" t="n">
        <f aca="false" t="array" ref="K652:K652">ROUND(INDEX('0.0.1 Pokémon Dex Data'!$S$3:$S951,MATCH($E652,'0.0.1 Pokémon Dex Data'!$B$3:$B951,0))*INDEX('0.0.1 Pokémon Dex Data'!U$3:U951,MATCH($E652,'0.0.1 Pokémon Dex Data'!$B$3:$B951,0)),0)</f>
        <v>90</v>
      </c>
      <c r="L652" s="260" t="n">
        <f aca="false" t="array" ref="L652:L652">ROUND(INDEX('0.0.1 Pokémon Dex Data'!$S$3:$S951,MATCH($E652,'0.0.1 Pokémon Dex Data'!$B$3:$B951,0))*INDEX('0.0.1 Pokémon Dex Data'!V$3:V951,MATCH($E652,'0.0.1 Pokémon Dex Data'!$B$3:$B951,0)),0)</f>
        <v>155</v>
      </c>
      <c r="M652" s="260" t="n">
        <f aca="false" t="array" ref="M652:M652">INDEX('0.0.1 Pokémon Dex Data'!$J$3:$J951,MATCH(E652,'0.0.1 Pokémon Dex Data'!$B$3:$B951,0))</f>
        <v>0</v>
      </c>
      <c r="O652" s="490"/>
      <c r="Q652" s="367" t="n">
        <f aca="false">IF('Reverse Search'!$F$4="All (including temporary formes)",1,IF('Reverse Search'!$F$4="Base Pokémon and permanent formes only",IF(F652&lt;=1,1,0),IF(F652=0,1,0)))</f>
        <v>1</v>
      </c>
      <c r="R652" s="0" t="n">
        <f aca="false">IF('Reverse Search'!$C$7="Disable",1,IF('Reverse Search'!$D$9="Disable",1,IF(OR('Reverse Search'!$F$9=H652,'Reverse Search'!$F$9=I652),1,0)))</f>
        <v>1</v>
      </c>
      <c r="S652" s="0" t="n">
        <f aca="false">IF('Reverse Search'!$C$7="Disable",1,IF('Reverse Search'!$D$10="Disable",1,IF(OR('Reverse Search'!$F$10=H652,'Reverse Search'!$F$10=I652),1,0)))</f>
        <v>1</v>
      </c>
      <c r="T652" s="0" t="n">
        <f aca="false">INDEX($B$4:$B$22,MATCH(H652,$A$4:$A$22,0))</f>
        <v>1</v>
      </c>
      <c r="U652" s="0" t="n">
        <f aca="false">IF(ISBLANK(I652),1,INDEX($B$4:$B$22,MATCH(I652,$A$4:$A$22,0)))</f>
        <v>1</v>
      </c>
      <c r="V652" s="367" t="n">
        <f aca="false">IF('Reverse Search'!$C$7="Disable",1,IF('Reverse Search'!$D$11="Disable",1,IF('Reverse Search'!$E$11="Neutral to:",IF(ROUND(T652*U652,2)&lt;=1,1,0),IF(ROUND(T652*U652,2)&lt;1,1,0))))</f>
        <v>1</v>
      </c>
      <c r="W652" s="0" t="n">
        <f aca="false">IF('Reverse Search'!$N$7="Disable",1,IF('Reverse Search'!$I$9="Disable",1,IF('Reverse Search'!$K$9="≥",IF(J652&gt;='Reverse Search'!$L$9,1,0),IF('Reverse Search'!$K$9="≤",IF(J652&lt;='Reverse Search'!$L$9,1,0),IF(J652='Reverse Search'!$L$9,1,0)))))</f>
        <v>1</v>
      </c>
      <c r="X652" s="0" t="n">
        <f aca="false">IF('Reverse Search'!$N$7="Disable",1,IF('Reverse Search'!$I$10="Disable",1,IF('Reverse Search'!$K$10="≥",IF(K652&gt;='Reverse Search'!$L$10,1,0),IF('Reverse Search'!$K$10="≤",IF(K652&lt;='Reverse Search'!$L$10,1,0),IF(K652='Reverse Search'!$L$10,1,0)))))</f>
        <v>1</v>
      </c>
      <c r="Y652" s="367" t="n">
        <f aca="false">IF('Reverse Search'!$N$7="Disable",1,IF('Reverse Search'!$I$11="Disable",1,IF('Reverse Search'!$K$11="≥",IF(L652&gt;='Reverse Search'!$L$11,1,0),IF('Reverse Search'!$K$11="≤",IF(L652&lt;='Reverse Search'!$L$11,1,0),IF(L652='Reverse Search'!$L$11,1,0)))))</f>
        <v>1</v>
      </c>
      <c r="Z652" s="0" t="n">
        <f aca="true">IF('Reverse Search'!$C$14="Disable",1,IF('Reverse Search'!$D$16="Disable",1,IF($C$2=3,IF($M652=0,0,COUNTIF(INDIRECT("'0.0.2 Pokémon Learnset (Core)'!$D$"&amp;MATCH($E652,'0.0.2 Pokémon Learnset (Core)'!$A$1:$A951,0)&amp;":$FK$"&amp;MATCH($E652,'0.0.2 Pokémon Learnset (Core)'!$A$1:$A951,0)),'Reverse Search'!$E$21)),IF($C$2=2,COUNTIF(INDIRECT("'0.1.1 Pokémon GO Moves'!$B$"&amp;MATCH($E652,'0.1.1 Pokémon GO Moves'!$A$1:$A951,0)&amp;":$R$"&amp;MATCH($E652,'0.1.1 Pokémon GO Moves'!$A$1:$A951,0)),'Reverse Search'!$E$21),COUNTIF(INDIRECT("'0.1.1 Pokémon GO Moves'!$B$"&amp;MATCH($E652,'0.1.1 Pokémon GO Moves'!$A$1:$A951,0)&amp;":$L$"&amp;MATCH($E652,'0.1.1 Pokémon GO Moves'!$A$1:$A951,0)),'Reverse Search'!$E$21)))))</f>
        <v>1</v>
      </c>
      <c r="AA652" s="0" t="n">
        <f aca="true">IF('Reverse Search'!$C$14="Disable",1,IF('Reverse Search'!$I$16="Disable",1,IF($D$2=3,IF($M652=0,0,COUNTIF(INDIRECT("'0.0.2 Pokémon Learnset (Core)'!$D$"&amp;MATCH($E652,'0.0.2 Pokémon Learnset (Core)'!$A$1:$A951,0)&amp;":$FK$"&amp;MATCH($E652,'0.0.2 Pokémon Learnset (Core)'!$A$1:$A951,0)),'Reverse Search'!$J$21)),IF($D$2=2,COUNTIF(INDIRECT("'0.1.1 Pokémon GO Moves'!$B$"&amp;MATCH($E652,'0.1.1 Pokémon GO Moves'!$A$1:$A951,0)&amp;":$R$"&amp;MATCH($E652,'0.1.1 Pokémon GO Moves'!$A$1:$A951,0)),'Reverse Search'!$J$21),COUNTIF(INDIRECT("'0.1.1 Pokémon GO Moves'!$B$"&amp;MATCH($E652,'0.1.1 Pokémon GO Moves'!$A$1:$A951,0)&amp;":$L$"&amp;MATCH($E652,'0.1.1 Pokémon GO Moves'!$A$1:$A951,0)),'Reverse Search'!$J$21)))))</f>
        <v>0</v>
      </c>
      <c r="AB652" s="490"/>
      <c r="AC652" s="260" t="n">
        <f aca="false">IF((Q652+R652+S652+V652+W652+X652+Y652+IF(Z652&gt;=1,1,0)+IF(AA652&gt;=1,1,0))=9,G652&amp;", ",)</f>
        <v>0</v>
      </c>
    </row>
    <row r="653" customFormat="false" ht="15.75" hidden="false" customHeight="false" outlineLevel="0" collapsed="false">
      <c r="A653" s="260"/>
      <c r="B653" s="358"/>
      <c r="C653" s="260"/>
      <c r="D653" s="358"/>
      <c r="E653" s="260" t="n">
        <v>652</v>
      </c>
      <c r="F653" s="260" t="n">
        <f aca="false" t="array" ref="F653:F653">INDEX('0.0.1 Pokémon Dex Data'!$H$3:$H951,MATCH(E653,'0.0.1 Pokémon Dex Data'!$B$3:$B951,0))</f>
        <v>0</v>
      </c>
      <c r="G653" s="0" t="str">
        <f aca="false" t="array" ref="G653:G653">INDEX('0.0.1 Pokémon Dex Data'!$E$3:$E951,MATCH(E653,'0.0.1 Pokémon Dex Data'!$B$3:$B951,0))</f>
        <v>Krookodile</v>
      </c>
      <c r="H653" s="0" t="str">
        <f aca="false" t="array" ref="H653:H653">INDEX('0.0.1 Pokémon Dex Data'!$Q$3:$Q951,MATCH(E653,'0.0.1 Pokémon Dex Data'!$B$3:$B951,0))</f>
        <v>Ground</v>
      </c>
      <c r="I653" s="0" t="str">
        <f aca="false" t="array" ref="I653:I653">INDEX('0.0.1 Pokémon Dex Data'!$R$3:$R951,MATCH(E653,'0.0.1 Pokémon Dex Data'!$B$3:$B951,0))</f>
        <v>Dark</v>
      </c>
      <c r="J653" s="260" t="n">
        <f aca="false" t="array" ref="J653:J653">ROUND(INDEX('0.0.1 Pokémon Dex Data'!$S$3:$S951,MATCH($E653,'0.0.1 Pokémon Dex Data'!$B$3:$B951,0))*INDEX('0.0.1 Pokémon Dex Data'!T$3:T951,MATCH($E653,'0.0.1 Pokémon Dex Data'!$B$3:$B951,0)),0)</f>
        <v>229</v>
      </c>
      <c r="K653" s="260" t="n">
        <f aca="false" t="array" ref="K653:K653">ROUND(INDEX('0.0.1 Pokémon Dex Data'!$S$3:$S951,MATCH($E653,'0.0.1 Pokémon Dex Data'!$B$3:$B951,0))*INDEX('0.0.1 Pokémon Dex Data'!U$3:U951,MATCH($E653,'0.0.1 Pokémon Dex Data'!$B$3:$B951,0)),0)</f>
        <v>158</v>
      </c>
      <c r="L653" s="260" t="n">
        <f aca="false" t="array" ref="L653:L653">ROUND(INDEX('0.0.1 Pokémon Dex Data'!$S$3:$S951,MATCH($E653,'0.0.1 Pokémon Dex Data'!$B$3:$B951,0))*INDEX('0.0.1 Pokémon Dex Data'!V$3:V951,MATCH($E653,'0.0.1 Pokémon Dex Data'!$B$3:$B951,0)),0)</f>
        <v>216</v>
      </c>
      <c r="M653" s="260" t="n">
        <f aca="false" t="array" ref="M653:M653">INDEX('0.0.1 Pokémon Dex Data'!$J$3:$J951,MATCH(E653,'0.0.1 Pokémon Dex Data'!$B$3:$B951,0))</f>
        <v>1</v>
      </c>
      <c r="O653" s="490"/>
      <c r="Q653" s="367" t="n">
        <f aca="false">IF('Reverse Search'!$F$4="All (including temporary formes)",1,IF('Reverse Search'!$F$4="Base Pokémon and permanent formes only",IF(F653&lt;=1,1,0),IF(F653=0,1,0)))</f>
        <v>1</v>
      </c>
      <c r="R653" s="0" t="n">
        <f aca="false">IF('Reverse Search'!$C$7="Disable",1,IF('Reverse Search'!$D$9="Disable",1,IF(OR('Reverse Search'!$F$9=H653,'Reverse Search'!$F$9=I653),1,0)))</f>
        <v>1</v>
      </c>
      <c r="S653" s="0" t="n">
        <f aca="false">IF('Reverse Search'!$C$7="Disable",1,IF('Reverse Search'!$D$10="Disable",1,IF(OR('Reverse Search'!$F$10=H653,'Reverse Search'!$F$10=I653),1,0)))</f>
        <v>1</v>
      </c>
      <c r="T653" s="0" t="n">
        <f aca="false">INDEX($B$4:$B$22,MATCH(H653,$A$4:$A$22,0))</f>
        <v>1</v>
      </c>
      <c r="U653" s="0" t="n">
        <f aca="false">IF(ISBLANK(I653),1,INDEX($B$4:$B$22,MATCH(I653,$A$4:$A$22,0)))</f>
        <v>1</v>
      </c>
      <c r="V653" s="367" t="n">
        <f aca="false">IF('Reverse Search'!$C$7="Disable",1,IF('Reverse Search'!$D$11="Disable",1,IF('Reverse Search'!$E$11="Neutral to:",IF(ROUND(T653*U653,2)&lt;=1,1,0),IF(ROUND(T653*U653,2)&lt;1,1,0))))</f>
        <v>1</v>
      </c>
      <c r="W653" s="0" t="n">
        <f aca="false">IF('Reverse Search'!$N$7="Disable",1,IF('Reverse Search'!$I$9="Disable",1,IF('Reverse Search'!$K$9="≥",IF(J653&gt;='Reverse Search'!$L$9,1,0),IF('Reverse Search'!$K$9="≤",IF(J653&lt;='Reverse Search'!$L$9,1,0),IF(J653='Reverse Search'!$L$9,1,0)))))</f>
        <v>1</v>
      </c>
      <c r="X653" s="0" t="n">
        <f aca="false">IF('Reverse Search'!$N$7="Disable",1,IF('Reverse Search'!$I$10="Disable",1,IF('Reverse Search'!$K$10="≥",IF(K653&gt;='Reverse Search'!$L$10,1,0),IF('Reverse Search'!$K$10="≤",IF(K653&lt;='Reverse Search'!$L$10,1,0),IF(K653='Reverse Search'!$L$10,1,0)))))</f>
        <v>1</v>
      </c>
      <c r="Y653" s="367" t="n">
        <f aca="false">IF('Reverse Search'!$N$7="Disable",1,IF('Reverse Search'!$I$11="Disable",1,IF('Reverse Search'!$K$11="≥",IF(L653&gt;='Reverse Search'!$L$11,1,0),IF('Reverse Search'!$K$11="≤",IF(L653&lt;='Reverse Search'!$L$11,1,0),IF(L653='Reverse Search'!$L$11,1,0)))))</f>
        <v>1</v>
      </c>
      <c r="Z653" s="0" t="n">
        <f aca="true">IF('Reverse Search'!$C$14="Disable",1,IF('Reverse Search'!$D$16="Disable",1,IF($C$2=3,IF($M653=0,0,COUNTIF(INDIRECT("'0.0.2 Pokémon Learnset (Core)'!$D$"&amp;MATCH($E653,'0.0.2 Pokémon Learnset (Core)'!$A$1:$A951,0)&amp;":$FK$"&amp;MATCH($E653,'0.0.2 Pokémon Learnset (Core)'!$A$1:$A951,0)),'Reverse Search'!$E$21)),IF($C$2=2,COUNTIF(INDIRECT("'0.1.1 Pokémon GO Moves'!$B$"&amp;MATCH($E653,'0.1.1 Pokémon GO Moves'!$A$1:$A951,0)&amp;":$R$"&amp;MATCH($E653,'0.1.1 Pokémon GO Moves'!$A$1:$A951,0)),'Reverse Search'!$E$21),COUNTIF(INDIRECT("'0.1.1 Pokémon GO Moves'!$B$"&amp;MATCH($E653,'0.1.1 Pokémon GO Moves'!$A$1:$A951,0)&amp;":$L$"&amp;MATCH($E653,'0.1.1 Pokémon GO Moves'!$A$1:$A951,0)),'Reverse Search'!$E$21)))))</f>
        <v>1</v>
      </c>
      <c r="AA653" s="0" t="n">
        <f aca="true">IF('Reverse Search'!$C$14="Disable",1,IF('Reverse Search'!$I$16="Disable",1,IF($D$2=3,IF($M653=0,0,COUNTIF(INDIRECT("'0.0.2 Pokémon Learnset (Core)'!$D$"&amp;MATCH($E653,'0.0.2 Pokémon Learnset (Core)'!$A$1:$A951,0)&amp;":$FK$"&amp;MATCH($E653,'0.0.2 Pokémon Learnset (Core)'!$A$1:$A951,0)),'Reverse Search'!$J$21)),IF($D$2=2,COUNTIF(INDIRECT("'0.1.1 Pokémon GO Moves'!$B$"&amp;MATCH($E653,'0.1.1 Pokémon GO Moves'!$A$1:$A951,0)&amp;":$R$"&amp;MATCH($E653,'0.1.1 Pokémon GO Moves'!$A$1:$A951,0)),'Reverse Search'!$J$21),COUNTIF(INDIRECT("'0.1.1 Pokémon GO Moves'!$B$"&amp;MATCH($E653,'0.1.1 Pokémon GO Moves'!$A$1:$A951,0)&amp;":$L$"&amp;MATCH($E653,'0.1.1 Pokémon GO Moves'!$A$1:$A951,0)),'Reverse Search'!$J$21)))))</f>
        <v>0</v>
      </c>
      <c r="AB653" s="490"/>
      <c r="AC653" s="260" t="n">
        <f aca="false">IF((Q653+R653+S653+V653+W653+X653+Y653+IF(Z653&gt;=1,1,0)+IF(AA653&gt;=1,1,0))=9,G653&amp;", ",)</f>
        <v>0</v>
      </c>
    </row>
    <row r="654" customFormat="false" ht="15.75" hidden="false" customHeight="false" outlineLevel="0" collapsed="false">
      <c r="A654" s="260"/>
      <c r="B654" s="358"/>
      <c r="C654" s="260"/>
      <c r="D654" s="358"/>
      <c r="E654" s="260" t="n">
        <v>653</v>
      </c>
      <c r="F654" s="260" t="n">
        <f aca="false" t="array" ref="F654:F654">INDEX('0.0.1 Pokémon Dex Data'!$H$3:$H951,MATCH(E654,'0.0.1 Pokémon Dex Data'!$B$3:$B951,0))</f>
        <v>0</v>
      </c>
      <c r="G654" s="0" t="str">
        <f aca="false" t="array" ref="G654:G654">INDEX('0.0.1 Pokémon Dex Data'!$E$3:$E951,MATCH(E654,'0.0.1 Pokémon Dex Data'!$B$3:$B951,0))</f>
        <v>Darumaka</v>
      </c>
      <c r="H654" s="0" t="str">
        <f aca="false" t="array" ref="H654:H654">INDEX('0.0.1 Pokémon Dex Data'!$Q$3:$Q951,MATCH(E654,'0.0.1 Pokémon Dex Data'!$B$3:$B951,0))</f>
        <v>Fire</v>
      </c>
      <c r="I654" s="0" t="n">
        <f aca="false">INDEX('0.0.1 Pokémon Dex Data'!$R$3:$R951,MATCH(E654,'0.0.1 Pokémon Dex Data'!$B$3:$B951,0))</f>
        <v>0</v>
      </c>
      <c r="J654" s="260" t="n">
        <f aca="false" t="array" ref="J654:J654">ROUND(INDEX('0.0.1 Pokémon Dex Data'!$S$3:$S951,MATCH($E654,'0.0.1 Pokémon Dex Data'!$B$3:$B951,0))*INDEX('0.0.1 Pokémon Dex Data'!T$3:T951,MATCH($E654,'0.0.1 Pokémon Dex Data'!$B$3:$B951,0)),0)</f>
        <v>153</v>
      </c>
      <c r="K654" s="260" t="n">
        <f aca="false" t="array" ref="K654:K654">ROUND(INDEX('0.0.1 Pokémon Dex Data'!$S$3:$S951,MATCH($E654,'0.0.1 Pokémon Dex Data'!$B$3:$B951,0))*INDEX('0.0.1 Pokémon Dex Data'!U$3:U951,MATCH($E654,'0.0.1 Pokémon Dex Data'!$B$3:$B951,0)),0)</f>
        <v>86</v>
      </c>
      <c r="L654" s="260" t="n">
        <f aca="false" t="array" ref="L654:L654">ROUND(INDEX('0.0.1 Pokémon Dex Data'!$S$3:$S951,MATCH($E654,'0.0.1 Pokémon Dex Data'!$B$3:$B951,0))*INDEX('0.0.1 Pokémon Dex Data'!V$3:V951,MATCH($E654,'0.0.1 Pokémon Dex Data'!$B$3:$B951,0)),0)</f>
        <v>172</v>
      </c>
      <c r="M654" s="260" t="n">
        <f aca="false" t="array" ref="M654:M654">INDEX('0.0.1 Pokémon Dex Data'!$J$3:$J951,MATCH(E654,'0.0.1 Pokémon Dex Data'!$B$3:$B951,0))</f>
        <v>0</v>
      </c>
      <c r="O654" s="490"/>
      <c r="Q654" s="367" t="n">
        <f aca="false">IF('Reverse Search'!$F$4="All (including temporary formes)",1,IF('Reverse Search'!$F$4="Base Pokémon and permanent formes only",IF(F654&lt;=1,1,0),IF(F654=0,1,0)))</f>
        <v>1</v>
      </c>
      <c r="R654" s="0" t="n">
        <f aca="false">IF('Reverse Search'!$C$7="Disable",1,IF('Reverse Search'!$D$9="Disable",1,IF(OR('Reverse Search'!$F$9=H654,'Reverse Search'!$F$9=I654),1,0)))</f>
        <v>1</v>
      </c>
      <c r="S654" s="0" t="n">
        <f aca="false">IF('Reverse Search'!$C$7="Disable",1,IF('Reverse Search'!$D$10="Disable",1,IF(OR('Reverse Search'!$F$10=H654,'Reverse Search'!$F$10=I654),1,0)))</f>
        <v>1</v>
      </c>
      <c r="T654" s="0" t="n">
        <f aca="false">INDEX($B$4:$B$22,MATCH(H654,$A$4:$A$22,0))</f>
        <v>1</v>
      </c>
      <c r="U654" s="0" t="e">
        <f aca="false">IF(ISBLANK(I654),1,INDEX($B$4:$B$22,MATCH(I654,$A$4:$A$22,0)))</f>
        <v>#N/A</v>
      </c>
      <c r="V654" s="367" t="n">
        <f aca="false">IF('Reverse Search'!$C$7="Disable",1,IF('Reverse Search'!$D$11="Disable",1,IF('Reverse Search'!$E$11="Neutral to:",IF(ROUND(T654*U654,2)&lt;=1,1,0),IF(ROUND(T654*U654,2)&lt;1,1,0))))</f>
        <v>1</v>
      </c>
      <c r="W654" s="0" t="n">
        <f aca="false">IF('Reverse Search'!$N$7="Disable",1,IF('Reverse Search'!$I$9="Disable",1,IF('Reverse Search'!$K$9="≥",IF(J654&gt;='Reverse Search'!$L$9,1,0),IF('Reverse Search'!$K$9="≤",IF(J654&lt;='Reverse Search'!$L$9,1,0),IF(J654='Reverse Search'!$L$9,1,0)))))</f>
        <v>1</v>
      </c>
      <c r="X654" s="0" t="n">
        <f aca="false">IF('Reverse Search'!$N$7="Disable",1,IF('Reverse Search'!$I$10="Disable",1,IF('Reverse Search'!$K$10="≥",IF(K654&gt;='Reverse Search'!$L$10,1,0),IF('Reverse Search'!$K$10="≤",IF(K654&lt;='Reverse Search'!$L$10,1,0),IF(K654='Reverse Search'!$L$10,1,0)))))</f>
        <v>1</v>
      </c>
      <c r="Y654" s="367" t="n">
        <f aca="false">IF('Reverse Search'!$N$7="Disable",1,IF('Reverse Search'!$I$11="Disable",1,IF('Reverse Search'!$K$11="≥",IF(L654&gt;='Reverse Search'!$L$11,1,0),IF('Reverse Search'!$K$11="≤",IF(L654&lt;='Reverse Search'!$L$11,1,0),IF(L654='Reverse Search'!$L$11,1,0)))))</f>
        <v>1</v>
      </c>
      <c r="Z654" s="0" t="n">
        <f aca="true">IF('Reverse Search'!$C$14="Disable",1,IF('Reverse Search'!$D$16="Disable",1,IF($C$2=3,IF($M654=0,0,COUNTIF(INDIRECT("'0.0.2 Pokémon Learnset (Core)'!$D$"&amp;MATCH($E654,'0.0.2 Pokémon Learnset (Core)'!$A$1:$A951,0)&amp;":$FK$"&amp;MATCH($E654,'0.0.2 Pokémon Learnset (Core)'!$A$1:$A951,0)),'Reverse Search'!$E$21)),IF($C$2=2,COUNTIF(INDIRECT("'0.1.1 Pokémon GO Moves'!$B$"&amp;MATCH($E654,'0.1.1 Pokémon GO Moves'!$A$1:$A951,0)&amp;":$R$"&amp;MATCH($E654,'0.1.1 Pokémon GO Moves'!$A$1:$A951,0)),'Reverse Search'!$E$21),COUNTIF(INDIRECT("'0.1.1 Pokémon GO Moves'!$B$"&amp;MATCH($E654,'0.1.1 Pokémon GO Moves'!$A$1:$A951,0)&amp;":$L$"&amp;MATCH($E654,'0.1.1 Pokémon GO Moves'!$A$1:$A951,0)),'Reverse Search'!$E$21)))))</f>
        <v>1</v>
      </c>
      <c r="AA654" s="0" t="n">
        <f aca="true">IF('Reverse Search'!$C$14="Disable",1,IF('Reverse Search'!$I$16="Disable",1,IF($D$2=3,IF($M654=0,0,COUNTIF(INDIRECT("'0.0.2 Pokémon Learnset (Core)'!$D$"&amp;MATCH($E654,'0.0.2 Pokémon Learnset (Core)'!$A$1:$A951,0)&amp;":$FK$"&amp;MATCH($E654,'0.0.2 Pokémon Learnset (Core)'!$A$1:$A951,0)),'Reverse Search'!$J$21)),IF($D$2=2,COUNTIF(INDIRECT("'0.1.1 Pokémon GO Moves'!$B$"&amp;MATCH($E654,'0.1.1 Pokémon GO Moves'!$A$1:$A951,0)&amp;":$R$"&amp;MATCH($E654,'0.1.1 Pokémon GO Moves'!$A$1:$A951,0)),'Reverse Search'!$J$21),COUNTIF(INDIRECT("'0.1.1 Pokémon GO Moves'!$B$"&amp;MATCH($E654,'0.1.1 Pokémon GO Moves'!$A$1:$A951,0)&amp;":$L$"&amp;MATCH($E654,'0.1.1 Pokémon GO Moves'!$A$1:$A951,0)),'Reverse Search'!$J$21)))))</f>
        <v>0</v>
      </c>
      <c r="AB654" s="490"/>
      <c r="AC654" s="260" t="n">
        <f aca="false">IF((Q654+R654+S654+V654+W654+X654+Y654+IF(Z654&gt;=1,1,0)+IF(AA654&gt;=1,1,0))=9,G654&amp;", ",)</f>
        <v>0</v>
      </c>
    </row>
    <row r="655" customFormat="false" ht="15.75" hidden="false" customHeight="false" outlineLevel="0" collapsed="false">
      <c r="A655" s="260"/>
      <c r="B655" s="358"/>
      <c r="C655" s="260"/>
      <c r="D655" s="358"/>
      <c r="E655" s="260" t="n">
        <v>654</v>
      </c>
      <c r="F655" s="260" t="n">
        <f aca="false" t="array" ref="F655:F655">INDEX('0.0.1 Pokémon Dex Data'!$H$3:$H951,MATCH(E655,'0.0.1 Pokémon Dex Data'!$B$3:$B951,0))</f>
        <v>0</v>
      </c>
      <c r="G655" s="0" t="str">
        <f aca="false" t="array" ref="G655:G655">INDEX('0.0.1 Pokémon Dex Data'!$E$3:$E951,MATCH(E655,'0.0.1 Pokémon Dex Data'!$B$3:$B951,0))</f>
        <v>Darmanitan</v>
      </c>
      <c r="H655" s="0" t="str">
        <f aca="false" t="array" ref="H655:H655">INDEX('0.0.1 Pokémon Dex Data'!$Q$3:$Q951,MATCH(E655,'0.0.1 Pokémon Dex Data'!$B$3:$B951,0))</f>
        <v>Fire</v>
      </c>
      <c r="I655" s="0" t="n">
        <f aca="false">INDEX('0.0.1 Pokémon Dex Data'!$R$3:$R951,MATCH(E655,'0.0.1 Pokémon Dex Data'!$B$3:$B951,0))</f>
        <v>0</v>
      </c>
      <c r="J655" s="260" t="n">
        <f aca="false" t="array" ref="J655:J655">ROUND(INDEX('0.0.1 Pokémon Dex Data'!$S$3:$S951,MATCH($E655,'0.0.1 Pokémon Dex Data'!$B$3:$B951,0))*INDEX('0.0.1 Pokémon Dex Data'!T$3:T951,MATCH($E655,'0.0.1 Pokémon Dex Data'!$B$3:$B951,0)),0)</f>
        <v>263</v>
      </c>
      <c r="K655" s="260" t="n">
        <f aca="false" t="array" ref="K655:K655">ROUND(INDEX('0.0.1 Pokémon Dex Data'!$S$3:$S951,MATCH($E655,'0.0.1 Pokémon Dex Data'!$B$3:$B951,0))*INDEX('0.0.1 Pokémon Dex Data'!U$3:U951,MATCH($E655,'0.0.1 Pokémon Dex Data'!$B$3:$B951,0)),0)</f>
        <v>114</v>
      </c>
      <c r="L655" s="260" t="n">
        <f aca="false" t="array" ref="L655:L655">ROUND(INDEX('0.0.1 Pokémon Dex Data'!$S$3:$S951,MATCH($E655,'0.0.1 Pokémon Dex Data'!$B$3:$B951,0))*INDEX('0.0.1 Pokémon Dex Data'!V$3:V951,MATCH($E655,'0.0.1 Pokémon Dex Data'!$B$3:$B951,0)),0)</f>
        <v>233</v>
      </c>
      <c r="M655" s="260" t="n">
        <f aca="false" t="array" ref="M655:M655">INDEX('0.0.1 Pokémon Dex Data'!$J$3:$J951,MATCH(E655,'0.0.1 Pokémon Dex Data'!$B$3:$B951,0))</f>
        <v>1</v>
      </c>
      <c r="O655" s="490"/>
      <c r="Q655" s="367" t="n">
        <f aca="false">IF('Reverse Search'!$F$4="All (including temporary formes)",1,IF('Reverse Search'!$F$4="Base Pokémon and permanent formes only",IF(F655&lt;=1,1,0),IF(F655=0,1,0)))</f>
        <v>1</v>
      </c>
      <c r="R655" s="0" t="n">
        <f aca="false">IF('Reverse Search'!$C$7="Disable",1,IF('Reverse Search'!$D$9="Disable",1,IF(OR('Reverse Search'!$F$9=H655,'Reverse Search'!$F$9=I655),1,0)))</f>
        <v>1</v>
      </c>
      <c r="S655" s="0" t="n">
        <f aca="false">IF('Reverse Search'!$C$7="Disable",1,IF('Reverse Search'!$D$10="Disable",1,IF(OR('Reverse Search'!$F$10=H655,'Reverse Search'!$F$10=I655),1,0)))</f>
        <v>1</v>
      </c>
      <c r="T655" s="0" t="n">
        <f aca="false">INDEX($B$4:$B$22,MATCH(H655,$A$4:$A$22,0))</f>
        <v>1</v>
      </c>
      <c r="U655" s="0" t="e">
        <f aca="false">IF(ISBLANK(I655),1,INDEX($B$4:$B$22,MATCH(I655,$A$4:$A$22,0)))</f>
        <v>#N/A</v>
      </c>
      <c r="V655" s="367" t="n">
        <f aca="false">IF('Reverse Search'!$C$7="Disable",1,IF('Reverse Search'!$D$11="Disable",1,IF('Reverse Search'!$E$11="Neutral to:",IF(ROUND(T655*U655,2)&lt;=1,1,0),IF(ROUND(T655*U655,2)&lt;1,1,0))))</f>
        <v>1</v>
      </c>
      <c r="W655" s="0" t="n">
        <f aca="false">IF('Reverse Search'!$N$7="Disable",1,IF('Reverse Search'!$I$9="Disable",1,IF('Reverse Search'!$K$9="≥",IF(J655&gt;='Reverse Search'!$L$9,1,0),IF('Reverse Search'!$K$9="≤",IF(J655&lt;='Reverse Search'!$L$9,1,0),IF(J655='Reverse Search'!$L$9,1,0)))))</f>
        <v>1</v>
      </c>
      <c r="X655" s="0" t="n">
        <f aca="false">IF('Reverse Search'!$N$7="Disable",1,IF('Reverse Search'!$I$10="Disable",1,IF('Reverse Search'!$K$10="≥",IF(K655&gt;='Reverse Search'!$L$10,1,0),IF('Reverse Search'!$K$10="≤",IF(K655&lt;='Reverse Search'!$L$10,1,0),IF(K655='Reverse Search'!$L$10,1,0)))))</f>
        <v>1</v>
      </c>
      <c r="Y655" s="367" t="n">
        <f aca="false">IF('Reverse Search'!$N$7="Disable",1,IF('Reverse Search'!$I$11="Disable",1,IF('Reverse Search'!$K$11="≥",IF(L655&gt;='Reverse Search'!$L$11,1,0),IF('Reverse Search'!$K$11="≤",IF(L655&lt;='Reverse Search'!$L$11,1,0),IF(L655='Reverse Search'!$L$11,1,0)))))</f>
        <v>1</v>
      </c>
      <c r="Z655" s="0" t="n">
        <f aca="true">IF('Reverse Search'!$C$14="Disable",1,IF('Reverse Search'!$D$16="Disable",1,IF($C$2=3,IF($M655=0,0,COUNTIF(INDIRECT("'0.0.2 Pokémon Learnset (Core)'!$D$"&amp;MATCH($E655,'0.0.2 Pokémon Learnset (Core)'!$A$1:$A951,0)&amp;":$FK$"&amp;MATCH($E655,'0.0.2 Pokémon Learnset (Core)'!$A$1:$A951,0)),'Reverse Search'!$E$21)),IF($C$2=2,COUNTIF(INDIRECT("'0.1.1 Pokémon GO Moves'!$B$"&amp;MATCH($E655,'0.1.1 Pokémon GO Moves'!$A$1:$A951,0)&amp;":$R$"&amp;MATCH($E655,'0.1.1 Pokémon GO Moves'!$A$1:$A951,0)),'Reverse Search'!$E$21),COUNTIF(INDIRECT("'0.1.1 Pokémon GO Moves'!$B$"&amp;MATCH($E655,'0.1.1 Pokémon GO Moves'!$A$1:$A951,0)&amp;":$L$"&amp;MATCH($E655,'0.1.1 Pokémon GO Moves'!$A$1:$A951,0)),'Reverse Search'!$E$21)))))</f>
        <v>1</v>
      </c>
      <c r="AA655" s="0" t="n">
        <f aca="true">IF('Reverse Search'!$C$14="Disable",1,IF('Reverse Search'!$I$16="Disable",1,IF($D$2=3,IF($M655=0,0,COUNTIF(INDIRECT("'0.0.2 Pokémon Learnset (Core)'!$D$"&amp;MATCH($E655,'0.0.2 Pokémon Learnset (Core)'!$A$1:$A951,0)&amp;":$FK$"&amp;MATCH($E655,'0.0.2 Pokémon Learnset (Core)'!$A$1:$A951,0)),'Reverse Search'!$J$21)),IF($D$2=2,COUNTIF(INDIRECT("'0.1.1 Pokémon GO Moves'!$B$"&amp;MATCH($E655,'0.1.1 Pokémon GO Moves'!$A$1:$A951,0)&amp;":$R$"&amp;MATCH($E655,'0.1.1 Pokémon GO Moves'!$A$1:$A951,0)),'Reverse Search'!$J$21),COUNTIF(INDIRECT("'0.1.1 Pokémon GO Moves'!$B$"&amp;MATCH($E655,'0.1.1 Pokémon GO Moves'!$A$1:$A951,0)&amp;":$L$"&amp;MATCH($E655,'0.1.1 Pokémon GO Moves'!$A$1:$A951,0)),'Reverse Search'!$J$21)))))</f>
        <v>0</v>
      </c>
      <c r="AB655" s="490"/>
      <c r="AC655" s="260" t="n">
        <f aca="false">IF((Q655+R655+S655+V655+W655+X655+Y655+IF(Z655&gt;=1,1,0)+IF(AA655&gt;=1,1,0))=9,G655&amp;", ",)</f>
        <v>0</v>
      </c>
    </row>
    <row r="656" customFormat="false" ht="15.75" hidden="false" customHeight="false" outlineLevel="0" collapsed="false">
      <c r="A656" s="260"/>
      <c r="B656" s="358"/>
      <c r="C656" s="260"/>
      <c r="D656" s="358"/>
      <c r="E656" s="260" t="n">
        <v>655</v>
      </c>
      <c r="F656" s="260" t="n">
        <f aca="false" t="array" ref="F656:F656">INDEX('0.0.1 Pokémon Dex Data'!$H$3:$H951,MATCH(E656,'0.0.1 Pokémon Dex Data'!$B$3:$B951,0))</f>
        <v>2</v>
      </c>
      <c r="G656" s="0" t="str">
        <f aca="false" t="array" ref="G656:G656">INDEX('0.0.1 Pokémon Dex Data'!$E$3:$E951,MATCH(E656,'0.0.1 Pokémon Dex Data'!$B$3:$B951,0))</f>
        <v>Darmanitan-Zen</v>
      </c>
      <c r="H656" s="0" t="str">
        <f aca="false" t="array" ref="H656:H656">INDEX('0.0.1 Pokémon Dex Data'!$Q$3:$Q951,MATCH(E656,'0.0.1 Pokémon Dex Data'!$B$3:$B951,0))</f>
        <v>Fire</v>
      </c>
      <c r="I656" s="0" t="str">
        <f aca="false" t="array" ref="I656:I656">INDEX('0.0.1 Pokémon Dex Data'!$R$3:$R951,MATCH(E656,'0.0.1 Pokémon Dex Data'!$B$3:$B951,0))</f>
        <v>Psychic</v>
      </c>
      <c r="J656" s="260" t="n">
        <f aca="false" t="array" ref="J656:J656">ROUND(INDEX('0.0.1 Pokémon Dex Data'!$S$3:$S951,MATCH($E656,'0.0.1 Pokémon Dex Data'!$B$3:$B951,0))*INDEX('0.0.1 Pokémon Dex Data'!T$3:T951,MATCH($E656,'0.0.1 Pokémon Dex Data'!$B$3:$B951,0)),0)</f>
        <v>243</v>
      </c>
      <c r="K656" s="260" t="n">
        <f aca="false" t="array" ref="K656:K656">ROUND(INDEX('0.0.1 Pokémon Dex Data'!$S$3:$S951,MATCH($E656,'0.0.1 Pokémon Dex Data'!$B$3:$B951,0))*INDEX('0.0.1 Pokémon Dex Data'!U$3:U951,MATCH($E656,'0.0.1 Pokémon Dex Data'!$B$3:$B951,0)),0)</f>
        <v>202</v>
      </c>
      <c r="L656" s="260" t="n">
        <f aca="false" t="array" ref="L656:L656">ROUND(INDEX('0.0.1 Pokémon Dex Data'!$S$3:$S951,MATCH($E656,'0.0.1 Pokémon Dex Data'!$B$3:$B951,0))*INDEX('0.0.1 Pokémon Dex Data'!V$3:V951,MATCH($E656,'0.0.1 Pokémon Dex Data'!$B$3:$B951,0)),0)</f>
        <v>233</v>
      </c>
      <c r="M656" s="260" t="n">
        <f aca="false" t="array" ref="M656:M656">INDEX('0.0.1 Pokémon Dex Data'!$J$3:$J951,MATCH(E656,'0.0.1 Pokémon Dex Data'!$B$3:$B951,0))</f>
        <v>1</v>
      </c>
      <c r="O656" s="490"/>
      <c r="Q656" s="367" t="n">
        <f aca="false">IF('Reverse Search'!$F$4="All (including temporary formes)",1,IF('Reverse Search'!$F$4="Base Pokémon and permanent formes only",IF(F656&lt;=1,1,0),IF(F656=0,1,0)))</f>
        <v>0</v>
      </c>
      <c r="R656" s="0" t="n">
        <f aca="false">IF('Reverse Search'!$C$7="Disable",1,IF('Reverse Search'!$D$9="Disable",1,IF(OR('Reverse Search'!$F$9=H656,'Reverse Search'!$F$9=I656),1,0)))</f>
        <v>1</v>
      </c>
      <c r="S656" s="0" t="n">
        <f aca="false">IF('Reverse Search'!$C$7="Disable",1,IF('Reverse Search'!$D$10="Disable",1,IF(OR('Reverse Search'!$F$10=H656,'Reverse Search'!$F$10=I656),1,0)))</f>
        <v>1</v>
      </c>
      <c r="T656" s="0" t="n">
        <f aca="false">INDEX($B$4:$B$22,MATCH(H656,$A$4:$A$22,0))</f>
        <v>1</v>
      </c>
      <c r="U656" s="0" t="n">
        <f aca="false">IF(ISBLANK(I656),1,INDEX($B$4:$B$22,MATCH(I656,$A$4:$A$22,0)))</f>
        <v>1</v>
      </c>
      <c r="V656" s="367" t="n">
        <f aca="false">IF('Reverse Search'!$C$7="Disable",1,IF('Reverse Search'!$D$11="Disable",1,IF('Reverse Search'!$E$11="Neutral to:",IF(ROUND(T656*U656,2)&lt;=1,1,0),IF(ROUND(T656*U656,2)&lt;1,1,0))))</f>
        <v>1</v>
      </c>
      <c r="W656" s="0" t="n">
        <f aca="false">IF('Reverse Search'!$N$7="Disable",1,IF('Reverse Search'!$I$9="Disable",1,IF('Reverse Search'!$K$9="≥",IF(J656&gt;='Reverse Search'!$L$9,1,0),IF('Reverse Search'!$K$9="≤",IF(J656&lt;='Reverse Search'!$L$9,1,0),IF(J656='Reverse Search'!$L$9,1,0)))))</f>
        <v>1</v>
      </c>
      <c r="X656" s="0" t="n">
        <f aca="false">IF('Reverse Search'!$N$7="Disable",1,IF('Reverse Search'!$I$10="Disable",1,IF('Reverse Search'!$K$10="≥",IF(K656&gt;='Reverse Search'!$L$10,1,0),IF('Reverse Search'!$K$10="≤",IF(K656&lt;='Reverse Search'!$L$10,1,0),IF(K656='Reverse Search'!$L$10,1,0)))))</f>
        <v>1</v>
      </c>
      <c r="Y656" s="367" t="n">
        <f aca="false">IF('Reverse Search'!$N$7="Disable",1,IF('Reverse Search'!$I$11="Disable",1,IF('Reverse Search'!$K$11="≥",IF(L656&gt;='Reverse Search'!$L$11,1,0),IF('Reverse Search'!$K$11="≤",IF(L656&lt;='Reverse Search'!$L$11,1,0),IF(L656='Reverse Search'!$L$11,1,0)))))</f>
        <v>1</v>
      </c>
      <c r="Z656" s="0" t="n">
        <f aca="true">IF('Reverse Search'!$C$14="Disable",1,IF('Reverse Search'!$D$16="Disable",1,IF($C$2=3,IF($M656=0,0,COUNTIF(INDIRECT("'0.0.2 Pokémon Learnset (Core)'!$D$"&amp;MATCH($E656,'0.0.2 Pokémon Learnset (Core)'!$A$1:$A951,0)&amp;":$FK$"&amp;MATCH($E656,'0.0.2 Pokémon Learnset (Core)'!$A$1:$A951,0)),'Reverse Search'!$E$21)),IF($C$2=2,COUNTIF(INDIRECT("'0.1.1 Pokémon GO Moves'!$B$"&amp;MATCH($E656,'0.1.1 Pokémon GO Moves'!$A$1:$A951,0)&amp;":$R$"&amp;MATCH($E656,'0.1.1 Pokémon GO Moves'!$A$1:$A951,0)),'Reverse Search'!$E$21),COUNTIF(INDIRECT("'0.1.1 Pokémon GO Moves'!$B$"&amp;MATCH($E656,'0.1.1 Pokémon GO Moves'!$A$1:$A951,0)&amp;":$L$"&amp;MATCH($E656,'0.1.1 Pokémon GO Moves'!$A$1:$A951,0)),'Reverse Search'!$E$21)))))</f>
        <v>1</v>
      </c>
      <c r="AA656" s="0" t="e">
        <f aca="true">IF('Reverse Search'!$C$14="Disable",1,IF('Reverse Search'!$I$16="Disable",1,IF($D$2=3,IF($M656=0,0,COUNTIF(INDIRECT("'0.0.2 Pokémon Learnset (Core)'!$D$"&amp;MATCH($E656,'0.0.2 Pokémon Learnset (Core)'!$A$1:$A951,0)&amp;":$FK$"&amp;MATCH($E656,'0.0.2 Pokémon Learnset (Core)'!$A$1:$A951,0)),'Reverse Search'!$J$21)),IF($D$2=2,COUNTIF(INDIRECT("'0.1.1 Pokémon GO Moves'!$B$"&amp;MATCH($E656,'0.1.1 Pokémon GO Moves'!$A$1:$A951,0)&amp;":$R$"&amp;MATCH($E656,'0.1.1 Pokémon GO Moves'!$A$1:$A951,0)),'Reverse Search'!$J$21),COUNTIF(INDIRECT("'0.1.1 Pokémon GO Moves'!$B$"&amp;MATCH($E656,'0.1.1 Pokémon GO Moves'!$A$1:$A951,0)&amp;":$L$"&amp;MATCH($E656,'0.1.1 Pokémon GO Moves'!$A$1:$A951,0)),'Reverse Search'!$J$21)))))</f>
        <v>#N/A</v>
      </c>
      <c r="AB656" s="490"/>
      <c r="AC656" s="260" t="e">
        <f aca="false">IF((Q656+R656+S656+V656+W656+X656+Y656+IF(Z656&gt;=1,1,0)+IF(AA656&gt;=1,1,0))=9,G656&amp;", ",)</f>
        <v>#N/A</v>
      </c>
    </row>
    <row r="657" customFormat="false" ht="15.75" hidden="false" customHeight="false" outlineLevel="0" collapsed="false">
      <c r="A657" s="260"/>
      <c r="B657" s="358"/>
      <c r="C657" s="260"/>
      <c r="D657" s="358"/>
      <c r="E657" s="260" t="n">
        <v>656</v>
      </c>
      <c r="F657" s="260" t="n">
        <f aca="false" t="array" ref="F657:F657">INDEX('0.0.1 Pokémon Dex Data'!$H$3:$H951,MATCH(E657,'0.0.1 Pokémon Dex Data'!$B$3:$B951,0))</f>
        <v>0</v>
      </c>
      <c r="G657" s="0" t="str">
        <f aca="false" t="array" ref="G657:G657">INDEX('0.0.1 Pokémon Dex Data'!$E$3:$E951,MATCH(E657,'0.0.1 Pokémon Dex Data'!$B$3:$B951,0))</f>
        <v>Maractus</v>
      </c>
      <c r="H657" s="0" t="str">
        <f aca="false" t="array" ref="H657:H657">INDEX('0.0.1 Pokémon Dex Data'!$Q$3:$Q951,MATCH(E657,'0.0.1 Pokémon Dex Data'!$B$3:$B951,0))</f>
        <v>Grass</v>
      </c>
      <c r="I657" s="0" t="n">
        <f aca="false">INDEX('0.0.1 Pokémon Dex Data'!$R$3:$R951,MATCH(E657,'0.0.1 Pokémon Dex Data'!$B$3:$B951,0))</f>
        <v>0</v>
      </c>
      <c r="J657" s="260" t="n">
        <f aca="false" t="array" ref="J657:J657">ROUND(INDEX('0.0.1 Pokémon Dex Data'!$S$3:$S951,MATCH($E657,'0.0.1 Pokémon Dex Data'!$B$3:$B951,0))*INDEX('0.0.1 Pokémon Dex Data'!T$3:T951,MATCH($E657,'0.0.1 Pokémon Dex Data'!$B$3:$B951,0)),0)</f>
        <v>201</v>
      </c>
      <c r="K657" s="260" t="n">
        <f aca="false" t="array" ref="K657:K657">ROUND(INDEX('0.0.1 Pokémon Dex Data'!$S$3:$S951,MATCH($E657,'0.0.1 Pokémon Dex Data'!$B$3:$B951,0))*INDEX('0.0.1 Pokémon Dex Data'!U$3:U951,MATCH($E657,'0.0.1 Pokémon Dex Data'!$B$3:$B951,0)),0)</f>
        <v>130</v>
      </c>
      <c r="L657" s="260" t="n">
        <f aca="false" t="array" ref="L657:L657">ROUND(INDEX('0.0.1 Pokémon Dex Data'!$S$3:$S951,MATCH($E657,'0.0.1 Pokémon Dex Data'!$B$3:$B951,0))*INDEX('0.0.1 Pokémon Dex Data'!V$3:V951,MATCH($E657,'0.0.1 Pokémon Dex Data'!$B$3:$B951,0)),0)</f>
        <v>181</v>
      </c>
      <c r="M657" s="260" t="n">
        <f aca="false" t="array" ref="M657:M657">INDEX('0.0.1 Pokémon Dex Data'!$J$3:$J951,MATCH(E657,'0.0.1 Pokémon Dex Data'!$B$3:$B951,0))</f>
        <v>1</v>
      </c>
      <c r="O657" s="490"/>
      <c r="Q657" s="367" t="n">
        <f aca="false">IF('Reverse Search'!$F$4="All (including temporary formes)",1,IF('Reverse Search'!$F$4="Base Pokémon and permanent formes only",IF(F657&lt;=1,1,0),IF(F657=0,1,0)))</f>
        <v>1</v>
      </c>
      <c r="R657" s="0" t="n">
        <f aca="false">IF('Reverse Search'!$C$7="Disable",1,IF('Reverse Search'!$D$9="Disable",1,IF(OR('Reverse Search'!$F$9=H657,'Reverse Search'!$F$9=I657),1,0)))</f>
        <v>1</v>
      </c>
      <c r="S657" s="0" t="n">
        <f aca="false">IF('Reverse Search'!$C$7="Disable",1,IF('Reverse Search'!$D$10="Disable",1,IF(OR('Reverse Search'!$F$10=H657,'Reverse Search'!$F$10=I657),1,0)))</f>
        <v>1</v>
      </c>
      <c r="T657" s="0" t="n">
        <f aca="false">INDEX($B$4:$B$22,MATCH(H657,$A$4:$A$22,0))</f>
        <v>1</v>
      </c>
      <c r="U657" s="0" t="e">
        <f aca="false">IF(ISBLANK(I657),1,INDEX($B$4:$B$22,MATCH(I657,$A$4:$A$22,0)))</f>
        <v>#N/A</v>
      </c>
      <c r="V657" s="367" t="n">
        <f aca="false">IF('Reverse Search'!$C$7="Disable",1,IF('Reverse Search'!$D$11="Disable",1,IF('Reverse Search'!$E$11="Neutral to:",IF(ROUND(T657*U657,2)&lt;=1,1,0),IF(ROUND(T657*U657,2)&lt;1,1,0))))</f>
        <v>1</v>
      </c>
      <c r="W657" s="0" t="n">
        <f aca="false">IF('Reverse Search'!$N$7="Disable",1,IF('Reverse Search'!$I$9="Disable",1,IF('Reverse Search'!$K$9="≥",IF(J657&gt;='Reverse Search'!$L$9,1,0),IF('Reverse Search'!$K$9="≤",IF(J657&lt;='Reverse Search'!$L$9,1,0),IF(J657='Reverse Search'!$L$9,1,0)))))</f>
        <v>1</v>
      </c>
      <c r="X657" s="0" t="n">
        <f aca="false">IF('Reverse Search'!$N$7="Disable",1,IF('Reverse Search'!$I$10="Disable",1,IF('Reverse Search'!$K$10="≥",IF(K657&gt;='Reverse Search'!$L$10,1,0),IF('Reverse Search'!$K$10="≤",IF(K657&lt;='Reverse Search'!$L$10,1,0),IF(K657='Reverse Search'!$L$10,1,0)))))</f>
        <v>1</v>
      </c>
      <c r="Y657" s="367" t="n">
        <f aca="false">IF('Reverse Search'!$N$7="Disable",1,IF('Reverse Search'!$I$11="Disable",1,IF('Reverse Search'!$K$11="≥",IF(L657&gt;='Reverse Search'!$L$11,1,0),IF('Reverse Search'!$K$11="≤",IF(L657&lt;='Reverse Search'!$L$11,1,0),IF(L657='Reverse Search'!$L$11,1,0)))))</f>
        <v>1</v>
      </c>
      <c r="Z657" s="0" t="n">
        <f aca="true">IF('Reverse Search'!$C$14="Disable",1,IF('Reverse Search'!$D$16="Disable",1,IF($C$2=3,IF($M657=0,0,COUNTIF(INDIRECT("'0.0.2 Pokémon Learnset (Core)'!$D$"&amp;MATCH($E657,'0.0.2 Pokémon Learnset (Core)'!$A$1:$A951,0)&amp;":$FK$"&amp;MATCH($E657,'0.0.2 Pokémon Learnset (Core)'!$A$1:$A951,0)),'Reverse Search'!$E$21)),IF($C$2=2,COUNTIF(INDIRECT("'0.1.1 Pokémon GO Moves'!$B$"&amp;MATCH($E657,'0.1.1 Pokémon GO Moves'!$A$1:$A951,0)&amp;":$R$"&amp;MATCH($E657,'0.1.1 Pokémon GO Moves'!$A$1:$A951,0)),'Reverse Search'!$E$21),COUNTIF(INDIRECT("'0.1.1 Pokémon GO Moves'!$B$"&amp;MATCH($E657,'0.1.1 Pokémon GO Moves'!$A$1:$A951,0)&amp;":$L$"&amp;MATCH($E657,'0.1.1 Pokémon GO Moves'!$A$1:$A951,0)),'Reverse Search'!$E$21)))))</f>
        <v>1</v>
      </c>
      <c r="AA657" s="0" t="n">
        <f aca="true">IF('Reverse Search'!$C$14="Disable",1,IF('Reverse Search'!$I$16="Disable",1,IF($D$2=3,IF($M657=0,0,COUNTIF(INDIRECT("'0.0.2 Pokémon Learnset (Core)'!$D$"&amp;MATCH($E657,'0.0.2 Pokémon Learnset (Core)'!$A$1:$A951,0)&amp;":$FK$"&amp;MATCH($E657,'0.0.2 Pokémon Learnset (Core)'!$A$1:$A951,0)),'Reverse Search'!$J$21)),IF($D$2=2,COUNTIF(INDIRECT("'0.1.1 Pokémon GO Moves'!$B$"&amp;MATCH($E657,'0.1.1 Pokémon GO Moves'!$A$1:$A951,0)&amp;":$R$"&amp;MATCH($E657,'0.1.1 Pokémon GO Moves'!$A$1:$A951,0)),'Reverse Search'!$J$21),COUNTIF(INDIRECT("'0.1.1 Pokémon GO Moves'!$B$"&amp;MATCH($E657,'0.1.1 Pokémon GO Moves'!$A$1:$A951,0)&amp;":$L$"&amp;MATCH($E657,'0.1.1 Pokémon GO Moves'!$A$1:$A951,0)),'Reverse Search'!$J$21)))))</f>
        <v>0</v>
      </c>
      <c r="AB657" s="490"/>
      <c r="AC657" s="260" t="n">
        <f aca="false">IF((Q657+R657+S657+V657+W657+X657+Y657+IF(Z657&gt;=1,1,0)+IF(AA657&gt;=1,1,0))=9,G657&amp;", ",)</f>
        <v>0</v>
      </c>
    </row>
    <row r="658" customFormat="false" ht="15.75" hidden="false" customHeight="false" outlineLevel="0" collapsed="false">
      <c r="A658" s="260"/>
      <c r="B658" s="358"/>
      <c r="C658" s="260"/>
      <c r="D658" s="358"/>
      <c r="E658" s="260" t="n">
        <v>657</v>
      </c>
      <c r="F658" s="260" t="n">
        <f aca="false" t="array" ref="F658:F658">INDEX('0.0.1 Pokémon Dex Data'!$H$3:$H951,MATCH(E658,'0.0.1 Pokémon Dex Data'!$B$3:$B951,0))</f>
        <v>0</v>
      </c>
      <c r="G658" s="0" t="str">
        <f aca="false" t="array" ref="G658:G658">INDEX('0.0.1 Pokémon Dex Data'!$E$3:$E951,MATCH(E658,'0.0.1 Pokémon Dex Data'!$B$3:$B951,0))</f>
        <v>Dwebble</v>
      </c>
      <c r="H658" s="0" t="str">
        <f aca="false" t="array" ref="H658:H658">INDEX('0.0.1 Pokémon Dex Data'!$Q$3:$Q951,MATCH(E658,'0.0.1 Pokémon Dex Data'!$B$3:$B951,0))</f>
        <v>Bug</v>
      </c>
      <c r="I658" s="0" t="str">
        <f aca="false" t="array" ref="I658:I658">INDEX('0.0.1 Pokémon Dex Data'!$R$3:$R951,MATCH(E658,'0.0.1 Pokémon Dex Data'!$B$3:$B951,0))</f>
        <v>Rock</v>
      </c>
      <c r="J658" s="260" t="n">
        <f aca="false" t="array" ref="J658:J658">ROUND(INDEX('0.0.1 Pokémon Dex Data'!$S$3:$S951,MATCH($E658,'0.0.1 Pokémon Dex Data'!$B$3:$B951,0))*INDEX('0.0.1 Pokémon Dex Data'!T$3:T951,MATCH($E658,'0.0.1 Pokémon Dex Data'!$B$3:$B951,0)),0)</f>
        <v>118</v>
      </c>
      <c r="K658" s="260" t="n">
        <f aca="false" t="array" ref="K658:K658">ROUND(INDEX('0.0.1 Pokémon Dex Data'!$S$3:$S951,MATCH($E658,'0.0.1 Pokémon Dex Data'!$B$3:$B951,0))*INDEX('0.0.1 Pokémon Dex Data'!U$3:U951,MATCH($E658,'0.0.1 Pokémon Dex Data'!$B$3:$B951,0)),0)</f>
        <v>128</v>
      </c>
      <c r="L658" s="260" t="n">
        <f aca="false" t="array" ref="L658:L658">ROUND(INDEX('0.0.1 Pokémon Dex Data'!$S$3:$S951,MATCH($E658,'0.0.1 Pokémon Dex Data'!$B$3:$B951,0))*INDEX('0.0.1 Pokémon Dex Data'!V$3:V951,MATCH($E658,'0.0.1 Pokémon Dex Data'!$B$3:$B951,0)),0)</f>
        <v>137</v>
      </c>
      <c r="M658" s="260" t="n">
        <f aca="false" t="array" ref="M658:M658">INDEX('0.0.1 Pokémon Dex Data'!$J$3:$J951,MATCH(E658,'0.0.1 Pokémon Dex Data'!$B$3:$B951,0))</f>
        <v>0</v>
      </c>
      <c r="O658" s="490"/>
      <c r="Q658" s="367" t="n">
        <f aca="false">IF('Reverse Search'!$F$4="All (including temporary formes)",1,IF('Reverse Search'!$F$4="Base Pokémon and permanent formes only",IF(F658&lt;=1,1,0),IF(F658=0,1,0)))</f>
        <v>1</v>
      </c>
      <c r="R658" s="0" t="n">
        <f aca="false">IF('Reverse Search'!$C$7="Disable",1,IF('Reverse Search'!$D$9="Disable",1,IF(OR('Reverse Search'!$F$9=H658,'Reverse Search'!$F$9=I658),1,0)))</f>
        <v>1</v>
      </c>
      <c r="S658" s="0" t="n">
        <f aca="false">IF('Reverse Search'!$C$7="Disable",1,IF('Reverse Search'!$D$10="Disable",1,IF(OR('Reverse Search'!$F$10=H658,'Reverse Search'!$F$10=I658),1,0)))</f>
        <v>1</v>
      </c>
      <c r="T658" s="0" t="n">
        <f aca="false">INDEX($B$4:$B$22,MATCH(H658,$A$4:$A$22,0))</f>
        <v>1</v>
      </c>
      <c r="U658" s="0" t="n">
        <f aca="false">IF(ISBLANK(I658),1,INDEX($B$4:$B$22,MATCH(I658,$A$4:$A$22,0)))</f>
        <v>0.714</v>
      </c>
      <c r="V658" s="367" t="n">
        <f aca="false">IF('Reverse Search'!$C$7="Disable",1,IF('Reverse Search'!$D$11="Disable",1,IF('Reverse Search'!$E$11="Neutral to:",IF(ROUND(T658*U658,2)&lt;=1,1,0),IF(ROUND(T658*U658,2)&lt;1,1,0))))</f>
        <v>1</v>
      </c>
      <c r="W658" s="0" t="n">
        <f aca="false">IF('Reverse Search'!$N$7="Disable",1,IF('Reverse Search'!$I$9="Disable",1,IF('Reverse Search'!$K$9="≥",IF(J658&gt;='Reverse Search'!$L$9,1,0),IF('Reverse Search'!$K$9="≤",IF(J658&lt;='Reverse Search'!$L$9,1,0),IF(J658='Reverse Search'!$L$9,1,0)))))</f>
        <v>1</v>
      </c>
      <c r="X658" s="0" t="n">
        <f aca="false">IF('Reverse Search'!$N$7="Disable",1,IF('Reverse Search'!$I$10="Disable",1,IF('Reverse Search'!$K$10="≥",IF(K658&gt;='Reverse Search'!$L$10,1,0),IF('Reverse Search'!$K$10="≤",IF(K658&lt;='Reverse Search'!$L$10,1,0),IF(K658='Reverse Search'!$L$10,1,0)))))</f>
        <v>1</v>
      </c>
      <c r="Y658" s="367" t="n">
        <f aca="false">IF('Reverse Search'!$N$7="Disable",1,IF('Reverse Search'!$I$11="Disable",1,IF('Reverse Search'!$K$11="≥",IF(L658&gt;='Reverse Search'!$L$11,1,0),IF('Reverse Search'!$K$11="≤",IF(L658&lt;='Reverse Search'!$L$11,1,0),IF(L658='Reverse Search'!$L$11,1,0)))))</f>
        <v>1</v>
      </c>
      <c r="Z658" s="0" t="n">
        <f aca="true">IF('Reverse Search'!$C$14="Disable",1,IF('Reverse Search'!$D$16="Disable",1,IF($C$2=3,IF($M658=0,0,COUNTIF(INDIRECT("'0.0.2 Pokémon Learnset (Core)'!$D$"&amp;MATCH($E658,'0.0.2 Pokémon Learnset (Core)'!$A$1:$A951,0)&amp;":$FK$"&amp;MATCH($E658,'0.0.2 Pokémon Learnset (Core)'!$A$1:$A951,0)),'Reverse Search'!$E$21)),IF($C$2=2,COUNTIF(INDIRECT("'0.1.1 Pokémon GO Moves'!$B$"&amp;MATCH($E658,'0.1.1 Pokémon GO Moves'!$A$1:$A951,0)&amp;":$R$"&amp;MATCH($E658,'0.1.1 Pokémon GO Moves'!$A$1:$A951,0)),'Reverse Search'!$E$21),COUNTIF(INDIRECT("'0.1.1 Pokémon GO Moves'!$B$"&amp;MATCH($E658,'0.1.1 Pokémon GO Moves'!$A$1:$A951,0)&amp;":$L$"&amp;MATCH($E658,'0.1.1 Pokémon GO Moves'!$A$1:$A951,0)),'Reverse Search'!$E$21)))))</f>
        <v>1</v>
      </c>
      <c r="AA658" s="0" t="n">
        <f aca="true">IF('Reverse Search'!$C$14="Disable",1,IF('Reverse Search'!$I$16="Disable",1,IF($D$2=3,IF($M658=0,0,COUNTIF(INDIRECT("'0.0.2 Pokémon Learnset (Core)'!$D$"&amp;MATCH($E658,'0.0.2 Pokémon Learnset (Core)'!$A$1:$A951,0)&amp;":$FK$"&amp;MATCH($E658,'0.0.2 Pokémon Learnset (Core)'!$A$1:$A951,0)),'Reverse Search'!$J$21)),IF($D$2=2,COUNTIF(INDIRECT("'0.1.1 Pokémon GO Moves'!$B$"&amp;MATCH($E658,'0.1.1 Pokémon GO Moves'!$A$1:$A951,0)&amp;":$R$"&amp;MATCH($E658,'0.1.1 Pokémon GO Moves'!$A$1:$A951,0)),'Reverse Search'!$J$21),COUNTIF(INDIRECT("'0.1.1 Pokémon GO Moves'!$B$"&amp;MATCH($E658,'0.1.1 Pokémon GO Moves'!$A$1:$A951,0)&amp;":$L$"&amp;MATCH($E658,'0.1.1 Pokémon GO Moves'!$A$1:$A951,0)),'Reverse Search'!$J$21)))))</f>
        <v>0</v>
      </c>
      <c r="AB658" s="490"/>
      <c r="AC658" s="260" t="n">
        <f aca="false">IF((Q658+R658+S658+V658+W658+X658+Y658+IF(Z658&gt;=1,1,0)+IF(AA658&gt;=1,1,0))=9,G658&amp;", ",)</f>
        <v>0</v>
      </c>
    </row>
    <row r="659" customFormat="false" ht="15.75" hidden="false" customHeight="false" outlineLevel="0" collapsed="false">
      <c r="A659" s="260"/>
      <c r="B659" s="358"/>
      <c r="C659" s="260"/>
      <c r="D659" s="358"/>
      <c r="E659" s="260" t="n">
        <v>658</v>
      </c>
      <c r="F659" s="260" t="n">
        <f aca="false" t="array" ref="F659:F659">INDEX('0.0.1 Pokémon Dex Data'!$H$3:$H951,MATCH(E659,'0.0.1 Pokémon Dex Data'!$B$3:$B951,0))</f>
        <v>0</v>
      </c>
      <c r="G659" s="0" t="str">
        <f aca="false" t="array" ref="G659:G659">INDEX('0.0.1 Pokémon Dex Data'!$E$3:$E951,MATCH(E659,'0.0.1 Pokémon Dex Data'!$B$3:$B951,0))</f>
        <v>Crustle</v>
      </c>
      <c r="H659" s="0" t="str">
        <f aca="false" t="array" ref="H659:H659">INDEX('0.0.1 Pokémon Dex Data'!$Q$3:$Q951,MATCH(E659,'0.0.1 Pokémon Dex Data'!$B$3:$B951,0))</f>
        <v>Bug</v>
      </c>
      <c r="I659" s="0" t="str">
        <f aca="false" t="array" ref="I659:I659">INDEX('0.0.1 Pokémon Dex Data'!$R$3:$R951,MATCH(E659,'0.0.1 Pokémon Dex Data'!$B$3:$B951,0))</f>
        <v>Rock</v>
      </c>
      <c r="J659" s="260" t="n">
        <f aca="false" t="array" ref="J659:J659">ROUND(INDEX('0.0.1 Pokémon Dex Data'!$S$3:$S951,MATCH($E659,'0.0.1 Pokémon Dex Data'!$B$3:$B951,0))*INDEX('0.0.1 Pokémon Dex Data'!T$3:T951,MATCH($E659,'0.0.1 Pokémon Dex Data'!$B$3:$B951,0)),0)</f>
        <v>188</v>
      </c>
      <c r="K659" s="260" t="n">
        <f aca="false" t="array" ref="K659:K659">ROUND(INDEX('0.0.1 Pokémon Dex Data'!$S$3:$S951,MATCH($E659,'0.0.1 Pokémon Dex Data'!$B$3:$B951,0))*INDEX('0.0.1 Pokémon Dex Data'!U$3:U951,MATCH($E659,'0.0.1 Pokémon Dex Data'!$B$3:$B951,0)),0)</f>
        <v>200</v>
      </c>
      <c r="L659" s="260" t="n">
        <f aca="false" t="array" ref="L659:L659">ROUND(INDEX('0.0.1 Pokémon Dex Data'!$S$3:$S951,MATCH($E659,'0.0.1 Pokémon Dex Data'!$B$3:$B951,0))*INDEX('0.0.1 Pokémon Dex Data'!V$3:V951,MATCH($E659,'0.0.1 Pokémon Dex Data'!$B$3:$B951,0)),0)</f>
        <v>172</v>
      </c>
      <c r="M659" s="260" t="n">
        <f aca="false" t="array" ref="M659:M659">INDEX('0.0.1 Pokémon Dex Data'!$J$3:$J951,MATCH(E659,'0.0.1 Pokémon Dex Data'!$B$3:$B951,0))</f>
        <v>1</v>
      </c>
      <c r="O659" s="490"/>
      <c r="Q659" s="367" t="n">
        <f aca="false">IF('Reverse Search'!$F$4="All (including temporary formes)",1,IF('Reverse Search'!$F$4="Base Pokémon and permanent formes only",IF(F659&lt;=1,1,0),IF(F659=0,1,0)))</f>
        <v>1</v>
      </c>
      <c r="R659" s="0" t="n">
        <f aca="false">IF('Reverse Search'!$C$7="Disable",1,IF('Reverse Search'!$D$9="Disable",1,IF(OR('Reverse Search'!$F$9=H659,'Reverse Search'!$F$9=I659),1,0)))</f>
        <v>1</v>
      </c>
      <c r="S659" s="0" t="n">
        <f aca="false">IF('Reverse Search'!$C$7="Disable",1,IF('Reverse Search'!$D$10="Disable",1,IF(OR('Reverse Search'!$F$10=H659,'Reverse Search'!$F$10=I659),1,0)))</f>
        <v>1</v>
      </c>
      <c r="T659" s="0" t="n">
        <f aca="false">INDEX($B$4:$B$22,MATCH(H659,$A$4:$A$22,0))</f>
        <v>1</v>
      </c>
      <c r="U659" s="0" t="n">
        <f aca="false">IF(ISBLANK(I659),1,INDEX($B$4:$B$22,MATCH(I659,$A$4:$A$22,0)))</f>
        <v>0.714</v>
      </c>
      <c r="V659" s="367" t="n">
        <f aca="false">IF('Reverse Search'!$C$7="Disable",1,IF('Reverse Search'!$D$11="Disable",1,IF('Reverse Search'!$E$11="Neutral to:",IF(ROUND(T659*U659,2)&lt;=1,1,0),IF(ROUND(T659*U659,2)&lt;1,1,0))))</f>
        <v>1</v>
      </c>
      <c r="W659" s="0" t="n">
        <f aca="false">IF('Reverse Search'!$N$7="Disable",1,IF('Reverse Search'!$I$9="Disable",1,IF('Reverse Search'!$K$9="≥",IF(J659&gt;='Reverse Search'!$L$9,1,0),IF('Reverse Search'!$K$9="≤",IF(J659&lt;='Reverse Search'!$L$9,1,0),IF(J659='Reverse Search'!$L$9,1,0)))))</f>
        <v>1</v>
      </c>
      <c r="X659" s="0" t="n">
        <f aca="false">IF('Reverse Search'!$N$7="Disable",1,IF('Reverse Search'!$I$10="Disable",1,IF('Reverse Search'!$K$10="≥",IF(K659&gt;='Reverse Search'!$L$10,1,0),IF('Reverse Search'!$K$10="≤",IF(K659&lt;='Reverse Search'!$L$10,1,0),IF(K659='Reverse Search'!$L$10,1,0)))))</f>
        <v>1</v>
      </c>
      <c r="Y659" s="367" t="n">
        <f aca="false">IF('Reverse Search'!$N$7="Disable",1,IF('Reverse Search'!$I$11="Disable",1,IF('Reverse Search'!$K$11="≥",IF(L659&gt;='Reverse Search'!$L$11,1,0),IF('Reverse Search'!$K$11="≤",IF(L659&lt;='Reverse Search'!$L$11,1,0),IF(L659='Reverse Search'!$L$11,1,0)))))</f>
        <v>1</v>
      </c>
      <c r="Z659" s="0" t="n">
        <f aca="true">IF('Reverse Search'!$C$14="Disable",1,IF('Reverse Search'!$D$16="Disable",1,IF($C$2=3,IF($M659=0,0,COUNTIF(INDIRECT("'0.0.2 Pokémon Learnset (Core)'!$D$"&amp;MATCH($E659,'0.0.2 Pokémon Learnset (Core)'!$A$1:$A951,0)&amp;":$FK$"&amp;MATCH($E659,'0.0.2 Pokémon Learnset (Core)'!$A$1:$A951,0)),'Reverse Search'!$E$21)),IF($C$2=2,COUNTIF(INDIRECT("'0.1.1 Pokémon GO Moves'!$B$"&amp;MATCH($E659,'0.1.1 Pokémon GO Moves'!$A$1:$A951,0)&amp;":$R$"&amp;MATCH($E659,'0.1.1 Pokémon GO Moves'!$A$1:$A951,0)),'Reverse Search'!$E$21),COUNTIF(INDIRECT("'0.1.1 Pokémon GO Moves'!$B$"&amp;MATCH($E659,'0.1.1 Pokémon GO Moves'!$A$1:$A951,0)&amp;":$L$"&amp;MATCH($E659,'0.1.1 Pokémon GO Moves'!$A$1:$A951,0)),'Reverse Search'!$E$21)))))</f>
        <v>1</v>
      </c>
      <c r="AA659" s="0" t="n">
        <f aca="true">IF('Reverse Search'!$C$14="Disable",1,IF('Reverse Search'!$I$16="Disable",1,IF($D$2=3,IF($M659=0,0,COUNTIF(INDIRECT("'0.0.2 Pokémon Learnset (Core)'!$D$"&amp;MATCH($E659,'0.0.2 Pokémon Learnset (Core)'!$A$1:$A951,0)&amp;":$FK$"&amp;MATCH($E659,'0.0.2 Pokémon Learnset (Core)'!$A$1:$A951,0)),'Reverse Search'!$J$21)),IF($D$2=2,COUNTIF(INDIRECT("'0.1.1 Pokémon GO Moves'!$B$"&amp;MATCH($E659,'0.1.1 Pokémon GO Moves'!$A$1:$A951,0)&amp;":$R$"&amp;MATCH($E659,'0.1.1 Pokémon GO Moves'!$A$1:$A951,0)),'Reverse Search'!$J$21),COUNTIF(INDIRECT("'0.1.1 Pokémon GO Moves'!$B$"&amp;MATCH($E659,'0.1.1 Pokémon GO Moves'!$A$1:$A951,0)&amp;":$L$"&amp;MATCH($E659,'0.1.1 Pokémon GO Moves'!$A$1:$A951,0)),'Reverse Search'!$J$21)))))</f>
        <v>0</v>
      </c>
      <c r="AB659" s="490"/>
      <c r="AC659" s="260" t="n">
        <f aca="false">IF((Q659+R659+S659+V659+W659+X659+Y659+IF(Z659&gt;=1,1,0)+IF(AA659&gt;=1,1,0))=9,G659&amp;", ",)</f>
        <v>0</v>
      </c>
    </row>
    <row r="660" customFormat="false" ht="15.75" hidden="false" customHeight="false" outlineLevel="0" collapsed="false">
      <c r="A660" s="260"/>
      <c r="B660" s="358"/>
      <c r="C660" s="260"/>
      <c r="D660" s="358"/>
      <c r="E660" s="260" t="n">
        <v>659</v>
      </c>
      <c r="F660" s="260" t="n">
        <f aca="false" t="array" ref="F660:F660">INDEX('0.0.1 Pokémon Dex Data'!$H$3:$H951,MATCH(E660,'0.0.1 Pokémon Dex Data'!$B$3:$B951,0))</f>
        <v>0</v>
      </c>
      <c r="G660" s="0" t="str">
        <f aca="false" t="array" ref="G660:G660">INDEX('0.0.1 Pokémon Dex Data'!$E$3:$E951,MATCH(E660,'0.0.1 Pokémon Dex Data'!$B$3:$B951,0))</f>
        <v>Scraggy</v>
      </c>
      <c r="H660" s="0" t="str">
        <f aca="false" t="array" ref="H660:H660">INDEX('0.0.1 Pokémon Dex Data'!$Q$3:$Q951,MATCH(E660,'0.0.1 Pokémon Dex Data'!$B$3:$B951,0))</f>
        <v>Dark</v>
      </c>
      <c r="I660" s="0" t="str">
        <f aca="false" t="array" ref="I660:I660">INDEX('0.0.1 Pokémon Dex Data'!$R$3:$R951,MATCH(E660,'0.0.1 Pokémon Dex Data'!$B$3:$B951,0))</f>
        <v>Fighting</v>
      </c>
      <c r="J660" s="260" t="n">
        <f aca="false" t="array" ref="J660:J660">ROUND(INDEX('0.0.1 Pokémon Dex Data'!$S$3:$S951,MATCH($E660,'0.0.1 Pokémon Dex Data'!$B$3:$B951,0))*INDEX('0.0.1 Pokémon Dex Data'!T$3:T951,MATCH($E660,'0.0.1 Pokémon Dex Data'!$B$3:$B951,0)),0)</f>
        <v>132</v>
      </c>
      <c r="K660" s="260" t="n">
        <f aca="false" t="array" ref="K660:K660">ROUND(INDEX('0.0.1 Pokémon Dex Data'!$S$3:$S951,MATCH($E660,'0.0.1 Pokémon Dex Data'!$B$3:$B951,0))*INDEX('0.0.1 Pokémon Dex Data'!U$3:U951,MATCH($E660,'0.0.1 Pokémon Dex Data'!$B$3:$B951,0)),0)</f>
        <v>132</v>
      </c>
      <c r="L660" s="260" t="n">
        <f aca="false" t="array" ref="L660:L660">ROUND(INDEX('0.0.1 Pokémon Dex Data'!$S$3:$S951,MATCH($E660,'0.0.1 Pokémon Dex Data'!$B$3:$B951,0))*INDEX('0.0.1 Pokémon Dex Data'!V$3:V951,MATCH($E660,'0.0.1 Pokémon Dex Data'!$B$3:$B951,0)),0)</f>
        <v>137</v>
      </c>
      <c r="M660" s="260" t="n">
        <f aca="false" t="array" ref="M660:M660">INDEX('0.0.1 Pokémon Dex Data'!$J$3:$J951,MATCH(E660,'0.0.1 Pokémon Dex Data'!$B$3:$B951,0))</f>
        <v>0</v>
      </c>
      <c r="O660" s="490"/>
      <c r="Q660" s="367" t="n">
        <f aca="false">IF('Reverse Search'!$F$4="All (including temporary formes)",1,IF('Reverse Search'!$F$4="Base Pokémon and permanent formes only",IF(F660&lt;=1,1,0),IF(F660=0,1,0)))</f>
        <v>1</v>
      </c>
      <c r="R660" s="0" t="n">
        <f aca="false">IF('Reverse Search'!$C$7="Disable",1,IF('Reverse Search'!$D$9="Disable",1,IF(OR('Reverse Search'!$F$9=H660,'Reverse Search'!$F$9=I660),1,0)))</f>
        <v>1</v>
      </c>
      <c r="S660" s="0" t="n">
        <f aca="false">IF('Reverse Search'!$C$7="Disable",1,IF('Reverse Search'!$D$10="Disable",1,IF(OR('Reverse Search'!$F$10=H660,'Reverse Search'!$F$10=I660),1,0)))</f>
        <v>1</v>
      </c>
      <c r="T660" s="0" t="n">
        <f aca="false">INDEX($B$4:$B$22,MATCH(H660,$A$4:$A$22,0))</f>
        <v>1</v>
      </c>
      <c r="U660" s="0" t="n">
        <f aca="false">IF(ISBLANK(I660),1,INDEX($B$4:$B$22,MATCH(I660,$A$4:$A$22,0)))</f>
        <v>1</v>
      </c>
      <c r="V660" s="367" t="n">
        <f aca="false">IF('Reverse Search'!$C$7="Disable",1,IF('Reverse Search'!$D$11="Disable",1,IF('Reverse Search'!$E$11="Neutral to:",IF(ROUND(T660*U660,2)&lt;=1,1,0),IF(ROUND(T660*U660,2)&lt;1,1,0))))</f>
        <v>1</v>
      </c>
      <c r="W660" s="0" t="n">
        <f aca="false">IF('Reverse Search'!$N$7="Disable",1,IF('Reverse Search'!$I$9="Disable",1,IF('Reverse Search'!$K$9="≥",IF(J660&gt;='Reverse Search'!$L$9,1,0),IF('Reverse Search'!$K$9="≤",IF(J660&lt;='Reverse Search'!$L$9,1,0),IF(J660='Reverse Search'!$L$9,1,0)))))</f>
        <v>1</v>
      </c>
      <c r="X660" s="0" t="n">
        <f aca="false">IF('Reverse Search'!$N$7="Disable",1,IF('Reverse Search'!$I$10="Disable",1,IF('Reverse Search'!$K$10="≥",IF(K660&gt;='Reverse Search'!$L$10,1,0),IF('Reverse Search'!$K$10="≤",IF(K660&lt;='Reverse Search'!$L$10,1,0),IF(K660='Reverse Search'!$L$10,1,0)))))</f>
        <v>1</v>
      </c>
      <c r="Y660" s="367" t="n">
        <f aca="false">IF('Reverse Search'!$N$7="Disable",1,IF('Reverse Search'!$I$11="Disable",1,IF('Reverse Search'!$K$11="≥",IF(L660&gt;='Reverse Search'!$L$11,1,0),IF('Reverse Search'!$K$11="≤",IF(L660&lt;='Reverse Search'!$L$11,1,0),IF(L660='Reverse Search'!$L$11,1,0)))))</f>
        <v>1</v>
      </c>
      <c r="Z660" s="0" t="n">
        <f aca="true">IF('Reverse Search'!$C$14="Disable",1,IF('Reverse Search'!$D$16="Disable",1,IF($C$2=3,IF($M660=0,0,COUNTIF(INDIRECT("'0.0.2 Pokémon Learnset (Core)'!$D$"&amp;MATCH($E660,'0.0.2 Pokémon Learnset (Core)'!$A$1:$A951,0)&amp;":$FK$"&amp;MATCH($E660,'0.0.2 Pokémon Learnset (Core)'!$A$1:$A951,0)),'Reverse Search'!$E$21)),IF($C$2=2,COUNTIF(INDIRECT("'0.1.1 Pokémon GO Moves'!$B$"&amp;MATCH($E660,'0.1.1 Pokémon GO Moves'!$A$1:$A951,0)&amp;":$R$"&amp;MATCH($E660,'0.1.1 Pokémon GO Moves'!$A$1:$A951,0)),'Reverse Search'!$E$21),COUNTIF(INDIRECT("'0.1.1 Pokémon GO Moves'!$B$"&amp;MATCH($E660,'0.1.1 Pokémon GO Moves'!$A$1:$A951,0)&amp;":$L$"&amp;MATCH($E660,'0.1.1 Pokémon GO Moves'!$A$1:$A951,0)),'Reverse Search'!$E$21)))))</f>
        <v>1</v>
      </c>
      <c r="AA660" s="0" t="n">
        <f aca="true">IF('Reverse Search'!$C$14="Disable",1,IF('Reverse Search'!$I$16="Disable",1,IF($D$2=3,IF($M660=0,0,COUNTIF(INDIRECT("'0.0.2 Pokémon Learnset (Core)'!$D$"&amp;MATCH($E660,'0.0.2 Pokémon Learnset (Core)'!$A$1:$A951,0)&amp;":$FK$"&amp;MATCH($E660,'0.0.2 Pokémon Learnset (Core)'!$A$1:$A951,0)),'Reverse Search'!$J$21)),IF($D$2=2,COUNTIF(INDIRECT("'0.1.1 Pokémon GO Moves'!$B$"&amp;MATCH($E660,'0.1.1 Pokémon GO Moves'!$A$1:$A951,0)&amp;":$R$"&amp;MATCH($E660,'0.1.1 Pokémon GO Moves'!$A$1:$A951,0)),'Reverse Search'!$J$21),COUNTIF(INDIRECT("'0.1.1 Pokémon GO Moves'!$B$"&amp;MATCH($E660,'0.1.1 Pokémon GO Moves'!$A$1:$A951,0)&amp;":$L$"&amp;MATCH($E660,'0.1.1 Pokémon GO Moves'!$A$1:$A951,0)),'Reverse Search'!$J$21)))))</f>
        <v>0</v>
      </c>
      <c r="AB660" s="490"/>
      <c r="AC660" s="260" t="n">
        <f aca="false">IF((Q660+R660+S660+V660+W660+X660+Y660+IF(Z660&gt;=1,1,0)+IF(AA660&gt;=1,1,0))=9,G660&amp;", ",)</f>
        <v>0</v>
      </c>
    </row>
    <row r="661" customFormat="false" ht="15.75" hidden="false" customHeight="false" outlineLevel="0" collapsed="false">
      <c r="A661" s="260"/>
      <c r="B661" s="358"/>
      <c r="C661" s="260"/>
      <c r="D661" s="358"/>
      <c r="E661" s="260" t="n">
        <v>660</v>
      </c>
      <c r="F661" s="260" t="n">
        <f aca="false" t="array" ref="F661:F661">INDEX('0.0.1 Pokémon Dex Data'!$H$3:$H951,MATCH(E661,'0.0.1 Pokémon Dex Data'!$B$3:$B951,0))</f>
        <v>0</v>
      </c>
      <c r="G661" s="0" t="str">
        <f aca="false" t="array" ref="G661:G661">INDEX('0.0.1 Pokémon Dex Data'!$E$3:$E951,MATCH(E661,'0.0.1 Pokémon Dex Data'!$B$3:$B951,0))</f>
        <v>Scrafty</v>
      </c>
      <c r="H661" s="0" t="str">
        <f aca="false" t="array" ref="H661:H661">INDEX('0.0.1 Pokémon Dex Data'!$Q$3:$Q951,MATCH(E661,'0.0.1 Pokémon Dex Data'!$B$3:$B951,0))</f>
        <v>Dark</v>
      </c>
      <c r="I661" s="0" t="str">
        <f aca="false" t="array" ref="I661:I661">INDEX('0.0.1 Pokémon Dex Data'!$R$3:$R951,MATCH(E661,'0.0.1 Pokémon Dex Data'!$B$3:$B951,0))</f>
        <v>Fighting</v>
      </c>
      <c r="J661" s="260" t="n">
        <f aca="false" t="array" ref="J661:J661">ROUND(INDEX('0.0.1 Pokémon Dex Data'!$S$3:$S951,MATCH($E661,'0.0.1 Pokémon Dex Data'!$B$3:$B951,0))*INDEX('0.0.1 Pokémon Dex Data'!T$3:T951,MATCH($E661,'0.0.1 Pokémon Dex Data'!$B$3:$B951,0)),0)</f>
        <v>163</v>
      </c>
      <c r="K661" s="260" t="n">
        <f aca="false" t="array" ref="K661:K661">ROUND(INDEX('0.0.1 Pokémon Dex Data'!$S$3:$S951,MATCH($E661,'0.0.1 Pokémon Dex Data'!$B$3:$B951,0))*INDEX('0.0.1 Pokémon Dex Data'!U$3:U951,MATCH($E661,'0.0.1 Pokémon Dex Data'!$B$3:$B951,0)),0)</f>
        <v>222</v>
      </c>
      <c r="L661" s="260" t="n">
        <f aca="false" t="array" ref="L661:L661">ROUND(INDEX('0.0.1 Pokémon Dex Data'!$S$3:$S951,MATCH($E661,'0.0.1 Pokémon Dex Data'!$B$3:$B951,0))*INDEX('0.0.1 Pokémon Dex Data'!V$3:V951,MATCH($E661,'0.0.1 Pokémon Dex Data'!$B$3:$B951,0)),0)</f>
        <v>163</v>
      </c>
      <c r="M661" s="260" t="n">
        <f aca="false" t="array" ref="M661:M661">INDEX('0.0.1 Pokémon Dex Data'!$J$3:$J951,MATCH(E661,'0.0.1 Pokémon Dex Data'!$B$3:$B951,0))</f>
        <v>1</v>
      </c>
      <c r="O661" s="490"/>
      <c r="Q661" s="367" t="n">
        <f aca="false">IF('Reverse Search'!$F$4="All (including temporary formes)",1,IF('Reverse Search'!$F$4="Base Pokémon and permanent formes only",IF(F661&lt;=1,1,0),IF(F661=0,1,0)))</f>
        <v>1</v>
      </c>
      <c r="R661" s="0" t="n">
        <f aca="false">IF('Reverse Search'!$C$7="Disable",1,IF('Reverse Search'!$D$9="Disable",1,IF(OR('Reverse Search'!$F$9=H661,'Reverse Search'!$F$9=I661),1,0)))</f>
        <v>1</v>
      </c>
      <c r="S661" s="0" t="n">
        <f aca="false">IF('Reverse Search'!$C$7="Disable",1,IF('Reverse Search'!$D$10="Disable",1,IF(OR('Reverse Search'!$F$10=H661,'Reverse Search'!$F$10=I661),1,0)))</f>
        <v>1</v>
      </c>
      <c r="T661" s="0" t="n">
        <f aca="false">INDEX($B$4:$B$22,MATCH(H661,$A$4:$A$22,0))</f>
        <v>1</v>
      </c>
      <c r="U661" s="0" t="n">
        <f aca="false">IF(ISBLANK(I661),1,INDEX($B$4:$B$22,MATCH(I661,$A$4:$A$22,0)))</f>
        <v>1</v>
      </c>
      <c r="V661" s="367" t="n">
        <f aca="false">IF('Reverse Search'!$C$7="Disable",1,IF('Reverse Search'!$D$11="Disable",1,IF('Reverse Search'!$E$11="Neutral to:",IF(ROUND(T661*U661,2)&lt;=1,1,0),IF(ROUND(T661*U661,2)&lt;1,1,0))))</f>
        <v>1</v>
      </c>
      <c r="W661" s="0" t="n">
        <f aca="false">IF('Reverse Search'!$N$7="Disable",1,IF('Reverse Search'!$I$9="Disable",1,IF('Reverse Search'!$K$9="≥",IF(J661&gt;='Reverse Search'!$L$9,1,0),IF('Reverse Search'!$K$9="≤",IF(J661&lt;='Reverse Search'!$L$9,1,0),IF(J661='Reverse Search'!$L$9,1,0)))))</f>
        <v>1</v>
      </c>
      <c r="X661" s="0" t="n">
        <f aca="false">IF('Reverse Search'!$N$7="Disable",1,IF('Reverse Search'!$I$10="Disable",1,IF('Reverse Search'!$K$10="≥",IF(K661&gt;='Reverse Search'!$L$10,1,0),IF('Reverse Search'!$K$10="≤",IF(K661&lt;='Reverse Search'!$L$10,1,0),IF(K661='Reverse Search'!$L$10,1,0)))))</f>
        <v>1</v>
      </c>
      <c r="Y661" s="367" t="n">
        <f aca="false">IF('Reverse Search'!$N$7="Disable",1,IF('Reverse Search'!$I$11="Disable",1,IF('Reverse Search'!$K$11="≥",IF(L661&gt;='Reverse Search'!$L$11,1,0),IF('Reverse Search'!$K$11="≤",IF(L661&lt;='Reverse Search'!$L$11,1,0),IF(L661='Reverse Search'!$L$11,1,0)))))</f>
        <v>1</v>
      </c>
      <c r="Z661" s="0" t="n">
        <f aca="true">IF('Reverse Search'!$C$14="Disable",1,IF('Reverse Search'!$D$16="Disable",1,IF($C$2=3,IF($M661=0,0,COUNTIF(INDIRECT("'0.0.2 Pokémon Learnset (Core)'!$D$"&amp;MATCH($E661,'0.0.2 Pokémon Learnset (Core)'!$A$1:$A951,0)&amp;":$FK$"&amp;MATCH($E661,'0.0.2 Pokémon Learnset (Core)'!$A$1:$A951,0)),'Reverse Search'!$E$21)),IF($C$2=2,COUNTIF(INDIRECT("'0.1.1 Pokémon GO Moves'!$B$"&amp;MATCH($E661,'0.1.1 Pokémon GO Moves'!$A$1:$A951,0)&amp;":$R$"&amp;MATCH($E661,'0.1.1 Pokémon GO Moves'!$A$1:$A951,0)),'Reverse Search'!$E$21),COUNTIF(INDIRECT("'0.1.1 Pokémon GO Moves'!$B$"&amp;MATCH($E661,'0.1.1 Pokémon GO Moves'!$A$1:$A951,0)&amp;":$L$"&amp;MATCH($E661,'0.1.1 Pokémon GO Moves'!$A$1:$A951,0)),'Reverse Search'!$E$21)))))</f>
        <v>1</v>
      </c>
      <c r="AA661" s="0" t="n">
        <f aca="true">IF('Reverse Search'!$C$14="Disable",1,IF('Reverse Search'!$I$16="Disable",1,IF($D$2=3,IF($M661=0,0,COUNTIF(INDIRECT("'0.0.2 Pokémon Learnset (Core)'!$D$"&amp;MATCH($E661,'0.0.2 Pokémon Learnset (Core)'!$A$1:$A951,0)&amp;":$FK$"&amp;MATCH($E661,'0.0.2 Pokémon Learnset (Core)'!$A$1:$A951,0)),'Reverse Search'!$J$21)),IF($D$2=2,COUNTIF(INDIRECT("'0.1.1 Pokémon GO Moves'!$B$"&amp;MATCH($E661,'0.1.1 Pokémon GO Moves'!$A$1:$A951,0)&amp;":$R$"&amp;MATCH($E661,'0.1.1 Pokémon GO Moves'!$A$1:$A951,0)),'Reverse Search'!$J$21),COUNTIF(INDIRECT("'0.1.1 Pokémon GO Moves'!$B$"&amp;MATCH($E661,'0.1.1 Pokémon GO Moves'!$A$1:$A951,0)&amp;":$L$"&amp;MATCH($E661,'0.1.1 Pokémon GO Moves'!$A$1:$A951,0)),'Reverse Search'!$J$21)))))</f>
        <v>0</v>
      </c>
      <c r="AB661" s="490"/>
      <c r="AC661" s="260" t="n">
        <f aca="false">IF((Q661+R661+S661+V661+W661+X661+Y661+IF(Z661&gt;=1,1,0)+IF(AA661&gt;=1,1,0))=9,G661&amp;", ",)</f>
        <v>0</v>
      </c>
    </row>
    <row r="662" customFormat="false" ht="15.75" hidden="false" customHeight="false" outlineLevel="0" collapsed="false">
      <c r="A662" s="260"/>
      <c r="B662" s="358"/>
      <c r="C662" s="260"/>
      <c r="D662" s="358"/>
      <c r="E662" s="260" t="n">
        <v>661</v>
      </c>
      <c r="F662" s="260" t="n">
        <f aca="false" t="array" ref="F662:F662">INDEX('0.0.1 Pokémon Dex Data'!$H$3:$H951,MATCH(E662,'0.0.1 Pokémon Dex Data'!$B$3:$B951,0))</f>
        <v>0</v>
      </c>
      <c r="G662" s="0" t="str">
        <f aca="false" t="array" ref="G662:G662">INDEX('0.0.1 Pokémon Dex Data'!$E$3:$E951,MATCH(E662,'0.0.1 Pokémon Dex Data'!$B$3:$B951,0))</f>
        <v>Sigilyph</v>
      </c>
      <c r="H662" s="0" t="str">
        <f aca="false" t="array" ref="H662:H662">INDEX('0.0.1 Pokémon Dex Data'!$Q$3:$Q951,MATCH(E662,'0.0.1 Pokémon Dex Data'!$B$3:$B951,0))</f>
        <v>Psychic</v>
      </c>
      <c r="I662" s="0" t="str">
        <f aca="false" t="array" ref="I662:I662">INDEX('0.0.1 Pokémon Dex Data'!$R$3:$R951,MATCH(E662,'0.0.1 Pokémon Dex Data'!$B$3:$B951,0))</f>
        <v>Flying</v>
      </c>
      <c r="J662" s="260" t="n">
        <f aca="false" t="array" ref="J662:J662">ROUND(INDEX('0.0.1 Pokémon Dex Data'!$S$3:$S951,MATCH($E662,'0.0.1 Pokémon Dex Data'!$B$3:$B951,0))*INDEX('0.0.1 Pokémon Dex Data'!T$3:T951,MATCH($E662,'0.0.1 Pokémon Dex Data'!$B$3:$B951,0)),0)</f>
        <v>204</v>
      </c>
      <c r="K662" s="260" t="n">
        <f aca="false" t="array" ref="K662:K662">ROUND(INDEX('0.0.1 Pokémon Dex Data'!$S$3:$S951,MATCH($E662,'0.0.1 Pokémon Dex Data'!$B$3:$B951,0))*INDEX('0.0.1 Pokémon Dex Data'!U$3:U951,MATCH($E662,'0.0.1 Pokémon Dex Data'!$B$3:$B951,0)),0)</f>
        <v>167</v>
      </c>
      <c r="L662" s="260" t="n">
        <f aca="false" t="array" ref="L662:L662">ROUND(INDEX('0.0.1 Pokémon Dex Data'!$S$3:$S951,MATCH($E662,'0.0.1 Pokémon Dex Data'!$B$3:$B951,0))*INDEX('0.0.1 Pokémon Dex Data'!V$3:V951,MATCH($E662,'0.0.1 Pokémon Dex Data'!$B$3:$B951,0)),0)</f>
        <v>176</v>
      </c>
      <c r="M662" s="260" t="n">
        <f aca="false" t="array" ref="M662:M662">INDEX('0.0.1 Pokémon Dex Data'!$J$3:$J951,MATCH(E662,'0.0.1 Pokémon Dex Data'!$B$3:$B951,0))</f>
        <v>1</v>
      </c>
      <c r="O662" s="490"/>
      <c r="Q662" s="367" t="n">
        <f aca="false">IF('Reverse Search'!$F$4="All (including temporary formes)",1,IF('Reverse Search'!$F$4="Base Pokémon and permanent formes only",IF(F662&lt;=1,1,0),IF(F662=0,1,0)))</f>
        <v>1</v>
      </c>
      <c r="R662" s="0" t="n">
        <f aca="false">IF('Reverse Search'!$C$7="Disable",1,IF('Reverse Search'!$D$9="Disable",1,IF(OR('Reverse Search'!$F$9=H662,'Reverse Search'!$F$9=I662),1,0)))</f>
        <v>1</v>
      </c>
      <c r="S662" s="0" t="n">
        <f aca="false">IF('Reverse Search'!$C$7="Disable",1,IF('Reverse Search'!$D$10="Disable",1,IF(OR('Reverse Search'!$F$10=H662,'Reverse Search'!$F$10=I662),1,0)))</f>
        <v>1</v>
      </c>
      <c r="T662" s="0" t="n">
        <f aca="false">INDEX($B$4:$B$22,MATCH(H662,$A$4:$A$22,0))</f>
        <v>1</v>
      </c>
      <c r="U662" s="0" t="n">
        <f aca="false">IF(ISBLANK(I662),1,INDEX($B$4:$B$22,MATCH(I662,$A$4:$A$22,0)))</f>
        <v>1</v>
      </c>
      <c r="V662" s="367" t="n">
        <f aca="false">IF('Reverse Search'!$C$7="Disable",1,IF('Reverse Search'!$D$11="Disable",1,IF('Reverse Search'!$E$11="Neutral to:",IF(ROUND(T662*U662,2)&lt;=1,1,0),IF(ROUND(T662*U662,2)&lt;1,1,0))))</f>
        <v>1</v>
      </c>
      <c r="W662" s="0" t="n">
        <f aca="false">IF('Reverse Search'!$N$7="Disable",1,IF('Reverse Search'!$I$9="Disable",1,IF('Reverse Search'!$K$9="≥",IF(J662&gt;='Reverse Search'!$L$9,1,0),IF('Reverse Search'!$K$9="≤",IF(J662&lt;='Reverse Search'!$L$9,1,0),IF(J662='Reverse Search'!$L$9,1,0)))))</f>
        <v>1</v>
      </c>
      <c r="X662" s="0" t="n">
        <f aca="false">IF('Reverse Search'!$N$7="Disable",1,IF('Reverse Search'!$I$10="Disable",1,IF('Reverse Search'!$K$10="≥",IF(K662&gt;='Reverse Search'!$L$10,1,0),IF('Reverse Search'!$K$10="≤",IF(K662&lt;='Reverse Search'!$L$10,1,0),IF(K662='Reverse Search'!$L$10,1,0)))))</f>
        <v>1</v>
      </c>
      <c r="Y662" s="367" t="n">
        <f aca="false">IF('Reverse Search'!$N$7="Disable",1,IF('Reverse Search'!$I$11="Disable",1,IF('Reverse Search'!$K$11="≥",IF(L662&gt;='Reverse Search'!$L$11,1,0),IF('Reverse Search'!$K$11="≤",IF(L662&lt;='Reverse Search'!$L$11,1,0),IF(L662='Reverse Search'!$L$11,1,0)))))</f>
        <v>1</v>
      </c>
      <c r="Z662" s="0" t="n">
        <f aca="true">IF('Reverse Search'!$C$14="Disable",1,IF('Reverse Search'!$D$16="Disable",1,IF($C$2=3,IF($M662=0,0,COUNTIF(INDIRECT("'0.0.2 Pokémon Learnset (Core)'!$D$"&amp;MATCH($E662,'0.0.2 Pokémon Learnset (Core)'!$A$1:$A951,0)&amp;":$FK$"&amp;MATCH($E662,'0.0.2 Pokémon Learnset (Core)'!$A$1:$A951,0)),'Reverse Search'!$E$21)),IF($C$2=2,COUNTIF(INDIRECT("'0.1.1 Pokémon GO Moves'!$B$"&amp;MATCH($E662,'0.1.1 Pokémon GO Moves'!$A$1:$A951,0)&amp;":$R$"&amp;MATCH($E662,'0.1.1 Pokémon GO Moves'!$A$1:$A951,0)),'Reverse Search'!$E$21),COUNTIF(INDIRECT("'0.1.1 Pokémon GO Moves'!$B$"&amp;MATCH($E662,'0.1.1 Pokémon GO Moves'!$A$1:$A951,0)&amp;":$L$"&amp;MATCH($E662,'0.1.1 Pokémon GO Moves'!$A$1:$A951,0)),'Reverse Search'!$E$21)))))</f>
        <v>1</v>
      </c>
      <c r="AA662" s="0" t="n">
        <f aca="true">IF('Reverse Search'!$C$14="Disable",1,IF('Reverse Search'!$I$16="Disable",1,IF($D$2=3,IF($M662=0,0,COUNTIF(INDIRECT("'0.0.2 Pokémon Learnset (Core)'!$D$"&amp;MATCH($E662,'0.0.2 Pokémon Learnset (Core)'!$A$1:$A951,0)&amp;":$FK$"&amp;MATCH($E662,'0.0.2 Pokémon Learnset (Core)'!$A$1:$A951,0)),'Reverse Search'!$J$21)),IF($D$2=2,COUNTIF(INDIRECT("'0.1.1 Pokémon GO Moves'!$B$"&amp;MATCH($E662,'0.1.1 Pokémon GO Moves'!$A$1:$A951,0)&amp;":$R$"&amp;MATCH($E662,'0.1.1 Pokémon GO Moves'!$A$1:$A951,0)),'Reverse Search'!$J$21),COUNTIF(INDIRECT("'0.1.1 Pokémon GO Moves'!$B$"&amp;MATCH($E662,'0.1.1 Pokémon GO Moves'!$A$1:$A951,0)&amp;":$L$"&amp;MATCH($E662,'0.1.1 Pokémon GO Moves'!$A$1:$A951,0)),'Reverse Search'!$J$21)))))</f>
        <v>0</v>
      </c>
      <c r="AB662" s="490"/>
      <c r="AC662" s="260" t="n">
        <f aca="false">IF((Q662+R662+S662+V662+W662+X662+Y662+IF(Z662&gt;=1,1,0)+IF(AA662&gt;=1,1,0))=9,G662&amp;", ",)</f>
        <v>0</v>
      </c>
    </row>
    <row r="663" customFormat="false" ht="15.75" hidden="false" customHeight="false" outlineLevel="0" collapsed="false">
      <c r="A663" s="260"/>
      <c r="B663" s="358"/>
      <c r="C663" s="260"/>
      <c r="D663" s="358"/>
      <c r="E663" s="260" t="n">
        <v>662</v>
      </c>
      <c r="F663" s="260" t="n">
        <f aca="false" t="array" ref="F663:F663">INDEX('0.0.1 Pokémon Dex Data'!$H$3:$H951,MATCH(E663,'0.0.1 Pokémon Dex Data'!$B$3:$B951,0))</f>
        <v>0</v>
      </c>
      <c r="G663" s="0" t="str">
        <f aca="false" t="array" ref="G663:G663">INDEX('0.0.1 Pokémon Dex Data'!$E$3:$E951,MATCH(E663,'0.0.1 Pokémon Dex Data'!$B$3:$B951,0))</f>
        <v>Yamask</v>
      </c>
      <c r="H663" s="0" t="str">
        <f aca="false" t="array" ref="H663:H663">INDEX('0.0.1 Pokémon Dex Data'!$Q$3:$Q951,MATCH(E663,'0.0.1 Pokémon Dex Data'!$B$3:$B951,0))</f>
        <v>Ghost</v>
      </c>
      <c r="I663" s="0" t="n">
        <f aca="false">INDEX('0.0.1 Pokémon Dex Data'!$R$3:$R951,MATCH(E663,'0.0.1 Pokémon Dex Data'!$B$3:$B951,0))</f>
        <v>0</v>
      </c>
      <c r="J663" s="260" t="n">
        <f aca="false" t="array" ref="J663:J663">ROUND(INDEX('0.0.1 Pokémon Dex Data'!$S$3:$S951,MATCH($E663,'0.0.1 Pokémon Dex Data'!$B$3:$B951,0))*INDEX('0.0.1 Pokémon Dex Data'!T$3:T951,MATCH($E663,'0.0.1 Pokémon Dex Data'!$B$3:$B951,0)),0)</f>
        <v>95</v>
      </c>
      <c r="K663" s="260" t="n">
        <f aca="false" t="array" ref="K663:K663">ROUND(INDEX('0.0.1 Pokémon Dex Data'!$S$3:$S951,MATCH($E663,'0.0.1 Pokémon Dex Data'!$B$3:$B951,0))*INDEX('0.0.1 Pokémon Dex Data'!U$3:U951,MATCH($E663,'0.0.1 Pokémon Dex Data'!$B$3:$B951,0)),0)</f>
        <v>141</v>
      </c>
      <c r="L663" s="260" t="n">
        <f aca="false" t="array" ref="L663:L663">ROUND(INDEX('0.0.1 Pokémon Dex Data'!$S$3:$S951,MATCH($E663,'0.0.1 Pokémon Dex Data'!$B$3:$B951,0))*INDEX('0.0.1 Pokémon Dex Data'!V$3:V951,MATCH($E663,'0.0.1 Pokémon Dex Data'!$B$3:$B951,0)),0)</f>
        <v>116</v>
      </c>
      <c r="M663" s="260" t="n">
        <f aca="false" t="array" ref="M663:M663">INDEX('0.0.1 Pokémon Dex Data'!$J$3:$J951,MATCH(E663,'0.0.1 Pokémon Dex Data'!$B$3:$B951,0))</f>
        <v>0</v>
      </c>
      <c r="O663" s="490"/>
      <c r="Q663" s="367" t="n">
        <f aca="false">IF('Reverse Search'!$F$4="All (including temporary formes)",1,IF('Reverse Search'!$F$4="Base Pokémon and permanent formes only",IF(F663&lt;=1,1,0),IF(F663=0,1,0)))</f>
        <v>1</v>
      </c>
      <c r="R663" s="0" t="n">
        <f aca="false">IF('Reverse Search'!$C$7="Disable",1,IF('Reverse Search'!$D$9="Disable",1,IF(OR('Reverse Search'!$F$9=H663,'Reverse Search'!$F$9=I663),1,0)))</f>
        <v>1</v>
      </c>
      <c r="S663" s="0" t="n">
        <f aca="false">IF('Reverse Search'!$C$7="Disable",1,IF('Reverse Search'!$D$10="Disable",1,IF(OR('Reverse Search'!$F$10=H663,'Reverse Search'!$F$10=I663),1,0)))</f>
        <v>1</v>
      </c>
      <c r="T663" s="0" t="n">
        <f aca="false">INDEX($B$4:$B$22,MATCH(H663,$A$4:$A$22,0))</f>
        <v>0.51</v>
      </c>
      <c r="U663" s="0" t="e">
        <f aca="false">IF(ISBLANK(I663),1,INDEX($B$4:$B$22,MATCH(I663,$A$4:$A$22,0)))</f>
        <v>#N/A</v>
      </c>
      <c r="V663" s="367" t="n">
        <f aca="false">IF('Reverse Search'!$C$7="Disable",1,IF('Reverse Search'!$D$11="Disable",1,IF('Reverse Search'!$E$11="Neutral to:",IF(ROUND(T663*U663,2)&lt;=1,1,0),IF(ROUND(T663*U663,2)&lt;1,1,0))))</f>
        <v>1</v>
      </c>
      <c r="W663" s="0" t="n">
        <f aca="false">IF('Reverse Search'!$N$7="Disable",1,IF('Reverse Search'!$I$9="Disable",1,IF('Reverse Search'!$K$9="≥",IF(J663&gt;='Reverse Search'!$L$9,1,0),IF('Reverse Search'!$K$9="≤",IF(J663&lt;='Reverse Search'!$L$9,1,0),IF(J663='Reverse Search'!$L$9,1,0)))))</f>
        <v>1</v>
      </c>
      <c r="X663" s="0" t="n">
        <f aca="false">IF('Reverse Search'!$N$7="Disable",1,IF('Reverse Search'!$I$10="Disable",1,IF('Reverse Search'!$K$10="≥",IF(K663&gt;='Reverse Search'!$L$10,1,0),IF('Reverse Search'!$K$10="≤",IF(K663&lt;='Reverse Search'!$L$10,1,0),IF(K663='Reverse Search'!$L$10,1,0)))))</f>
        <v>1</v>
      </c>
      <c r="Y663" s="367" t="n">
        <f aca="false">IF('Reverse Search'!$N$7="Disable",1,IF('Reverse Search'!$I$11="Disable",1,IF('Reverse Search'!$K$11="≥",IF(L663&gt;='Reverse Search'!$L$11,1,0),IF('Reverse Search'!$K$11="≤",IF(L663&lt;='Reverse Search'!$L$11,1,0),IF(L663='Reverse Search'!$L$11,1,0)))))</f>
        <v>1</v>
      </c>
      <c r="Z663" s="0" t="n">
        <f aca="true">IF('Reverse Search'!$C$14="Disable",1,IF('Reverse Search'!$D$16="Disable",1,IF($C$2=3,IF($M663=0,0,COUNTIF(INDIRECT("'0.0.2 Pokémon Learnset (Core)'!$D$"&amp;MATCH($E663,'0.0.2 Pokémon Learnset (Core)'!$A$1:$A951,0)&amp;":$FK$"&amp;MATCH($E663,'0.0.2 Pokémon Learnset (Core)'!$A$1:$A951,0)),'Reverse Search'!$E$21)),IF($C$2=2,COUNTIF(INDIRECT("'0.1.1 Pokémon GO Moves'!$B$"&amp;MATCH($E663,'0.1.1 Pokémon GO Moves'!$A$1:$A951,0)&amp;":$R$"&amp;MATCH($E663,'0.1.1 Pokémon GO Moves'!$A$1:$A951,0)),'Reverse Search'!$E$21),COUNTIF(INDIRECT("'0.1.1 Pokémon GO Moves'!$B$"&amp;MATCH($E663,'0.1.1 Pokémon GO Moves'!$A$1:$A951,0)&amp;":$L$"&amp;MATCH($E663,'0.1.1 Pokémon GO Moves'!$A$1:$A951,0)),'Reverse Search'!$E$21)))))</f>
        <v>1</v>
      </c>
      <c r="AA663" s="0" t="n">
        <f aca="true">IF('Reverse Search'!$C$14="Disable",1,IF('Reverse Search'!$I$16="Disable",1,IF($D$2=3,IF($M663=0,0,COUNTIF(INDIRECT("'0.0.2 Pokémon Learnset (Core)'!$D$"&amp;MATCH($E663,'0.0.2 Pokémon Learnset (Core)'!$A$1:$A951,0)&amp;":$FK$"&amp;MATCH($E663,'0.0.2 Pokémon Learnset (Core)'!$A$1:$A951,0)),'Reverse Search'!$J$21)),IF($D$2=2,COUNTIF(INDIRECT("'0.1.1 Pokémon GO Moves'!$B$"&amp;MATCH($E663,'0.1.1 Pokémon GO Moves'!$A$1:$A951,0)&amp;":$R$"&amp;MATCH($E663,'0.1.1 Pokémon GO Moves'!$A$1:$A951,0)),'Reverse Search'!$J$21),COUNTIF(INDIRECT("'0.1.1 Pokémon GO Moves'!$B$"&amp;MATCH($E663,'0.1.1 Pokémon GO Moves'!$A$1:$A951,0)&amp;":$L$"&amp;MATCH($E663,'0.1.1 Pokémon GO Moves'!$A$1:$A951,0)),'Reverse Search'!$J$21)))))</f>
        <v>0</v>
      </c>
      <c r="AB663" s="490"/>
      <c r="AC663" s="260" t="n">
        <f aca="false">IF((Q663+R663+S663+V663+W663+X663+Y663+IF(Z663&gt;=1,1,0)+IF(AA663&gt;=1,1,0))=9,G663&amp;", ",)</f>
        <v>0</v>
      </c>
    </row>
    <row r="664" customFormat="false" ht="15.75" hidden="false" customHeight="false" outlineLevel="0" collapsed="false">
      <c r="A664" s="260"/>
      <c r="B664" s="358"/>
      <c r="C664" s="260"/>
      <c r="D664" s="358"/>
      <c r="E664" s="260" t="n">
        <v>663</v>
      </c>
      <c r="F664" s="260" t="n">
        <f aca="false" t="array" ref="F664:F664">INDEX('0.0.1 Pokémon Dex Data'!$H$3:$H951,MATCH(E664,'0.0.1 Pokémon Dex Data'!$B$3:$B951,0))</f>
        <v>0</v>
      </c>
      <c r="G664" s="0" t="str">
        <f aca="false" t="array" ref="G664:G664">INDEX('0.0.1 Pokémon Dex Data'!$E$3:$E951,MATCH(E664,'0.0.1 Pokémon Dex Data'!$B$3:$B951,0))</f>
        <v>Cofagrigus</v>
      </c>
      <c r="H664" s="0" t="str">
        <f aca="false" t="array" ref="H664:H664">INDEX('0.0.1 Pokémon Dex Data'!$Q$3:$Q951,MATCH(E664,'0.0.1 Pokémon Dex Data'!$B$3:$B951,0))</f>
        <v>Ghost</v>
      </c>
      <c r="I664" s="0" t="n">
        <f aca="false">INDEX('0.0.1 Pokémon Dex Data'!$R$3:$R951,MATCH(E664,'0.0.1 Pokémon Dex Data'!$B$3:$B951,0))</f>
        <v>0</v>
      </c>
      <c r="J664" s="260" t="n">
        <f aca="false" t="array" ref="J664:J664">ROUND(INDEX('0.0.1 Pokémon Dex Data'!$S$3:$S951,MATCH($E664,'0.0.1 Pokémon Dex Data'!$B$3:$B951,0))*INDEX('0.0.1 Pokémon Dex Data'!T$3:T951,MATCH($E664,'0.0.1 Pokémon Dex Data'!$B$3:$B951,0)),0)</f>
        <v>163</v>
      </c>
      <c r="K664" s="260" t="n">
        <f aca="false" t="array" ref="K664:K664">ROUND(INDEX('0.0.1 Pokémon Dex Data'!$S$3:$S951,MATCH($E664,'0.0.1 Pokémon Dex Data'!$B$3:$B951,0))*INDEX('0.0.1 Pokémon Dex Data'!U$3:U951,MATCH($E664,'0.0.1 Pokémon Dex Data'!$B$3:$B951,0)),0)</f>
        <v>237</v>
      </c>
      <c r="L664" s="260" t="n">
        <f aca="false" t="array" ref="L664:L664">ROUND(INDEX('0.0.1 Pokémon Dex Data'!$S$3:$S951,MATCH($E664,'0.0.1 Pokémon Dex Data'!$B$3:$B951,0))*INDEX('0.0.1 Pokémon Dex Data'!V$3:V951,MATCH($E664,'0.0.1 Pokémon Dex Data'!$B$3:$B951,0)),0)</f>
        <v>151</v>
      </c>
      <c r="M664" s="260" t="n">
        <f aca="false" t="array" ref="M664:M664">INDEX('0.0.1 Pokémon Dex Data'!$J$3:$J951,MATCH(E664,'0.0.1 Pokémon Dex Data'!$B$3:$B951,0))</f>
        <v>1</v>
      </c>
      <c r="O664" s="490"/>
      <c r="Q664" s="367" t="n">
        <f aca="false">IF('Reverse Search'!$F$4="All (including temporary formes)",1,IF('Reverse Search'!$F$4="Base Pokémon and permanent formes only",IF(F664&lt;=1,1,0),IF(F664=0,1,0)))</f>
        <v>1</v>
      </c>
      <c r="R664" s="0" t="n">
        <f aca="false">IF('Reverse Search'!$C$7="Disable",1,IF('Reverse Search'!$D$9="Disable",1,IF(OR('Reverse Search'!$F$9=H664,'Reverse Search'!$F$9=I664),1,0)))</f>
        <v>1</v>
      </c>
      <c r="S664" s="0" t="n">
        <f aca="false">IF('Reverse Search'!$C$7="Disable",1,IF('Reverse Search'!$D$10="Disable",1,IF(OR('Reverse Search'!$F$10=H664,'Reverse Search'!$F$10=I664),1,0)))</f>
        <v>1</v>
      </c>
      <c r="T664" s="0" t="n">
        <f aca="false">INDEX($B$4:$B$22,MATCH(H664,$A$4:$A$22,0))</f>
        <v>0.51</v>
      </c>
      <c r="U664" s="0" t="e">
        <f aca="false">IF(ISBLANK(I664),1,INDEX($B$4:$B$22,MATCH(I664,$A$4:$A$22,0)))</f>
        <v>#N/A</v>
      </c>
      <c r="V664" s="367" t="n">
        <f aca="false">IF('Reverse Search'!$C$7="Disable",1,IF('Reverse Search'!$D$11="Disable",1,IF('Reverse Search'!$E$11="Neutral to:",IF(ROUND(T664*U664,2)&lt;=1,1,0),IF(ROUND(T664*U664,2)&lt;1,1,0))))</f>
        <v>1</v>
      </c>
      <c r="W664" s="0" t="n">
        <f aca="false">IF('Reverse Search'!$N$7="Disable",1,IF('Reverse Search'!$I$9="Disable",1,IF('Reverse Search'!$K$9="≥",IF(J664&gt;='Reverse Search'!$L$9,1,0),IF('Reverse Search'!$K$9="≤",IF(J664&lt;='Reverse Search'!$L$9,1,0),IF(J664='Reverse Search'!$L$9,1,0)))))</f>
        <v>1</v>
      </c>
      <c r="X664" s="0" t="n">
        <f aca="false">IF('Reverse Search'!$N$7="Disable",1,IF('Reverse Search'!$I$10="Disable",1,IF('Reverse Search'!$K$10="≥",IF(K664&gt;='Reverse Search'!$L$10,1,0),IF('Reverse Search'!$K$10="≤",IF(K664&lt;='Reverse Search'!$L$10,1,0),IF(K664='Reverse Search'!$L$10,1,0)))))</f>
        <v>1</v>
      </c>
      <c r="Y664" s="367" t="n">
        <f aca="false">IF('Reverse Search'!$N$7="Disable",1,IF('Reverse Search'!$I$11="Disable",1,IF('Reverse Search'!$K$11="≥",IF(L664&gt;='Reverse Search'!$L$11,1,0),IF('Reverse Search'!$K$11="≤",IF(L664&lt;='Reverse Search'!$L$11,1,0),IF(L664='Reverse Search'!$L$11,1,0)))))</f>
        <v>1</v>
      </c>
      <c r="Z664" s="0" t="n">
        <f aca="true">IF('Reverse Search'!$C$14="Disable",1,IF('Reverse Search'!$D$16="Disable",1,IF($C$2=3,IF($M664=0,0,COUNTIF(INDIRECT("'0.0.2 Pokémon Learnset (Core)'!$D$"&amp;MATCH($E664,'0.0.2 Pokémon Learnset (Core)'!$A$1:$A951,0)&amp;":$FK$"&amp;MATCH($E664,'0.0.2 Pokémon Learnset (Core)'!$A$1:$A951,0)),'Reverse Search'!$E$21)),IF($C$2=2,COUNTIF(INDIRECT("'0.1.1 Pokémon GO Moves'!$B$"&amp;MATCH($E664,'0.1.1 Pokémon GO Moves'!$A$1:$A951,0)&amp;":$R$"&amp;MATCH($E664,'0.1.1 Pokémon GO Moves'!$A$1:$A951,0)),'Reverse Search'!$E$21),COUNTIF(INDIRECT("'0.1.1 Pokémon GO Moves'!$B$"&amp;MATCH($E664,'0.1.1 Pokémon GO Moves'!$A$1:$A951,0)&amp;":$L$"&amp;MATCH($E664,'0.1.1 Pokémon GO Moves'!$A$1:$A951,0)),'Reverse Search'!$E$21)))))</f>
        <v>1</v>
      </c>
      <c r="AA664" s="0" t="n">
        <f aca="true">IF('Reverse Search'!$C$14="Disable",1,IF('Reverse Search'!$I$16="Disable",1,IF($D$2=3,IF($M664=0,0,COUNTIF(INDIRECT("'0.0.2 Pokémon Learnset (Core)'!$D$"&amp;MATCH($E664,'0.0.2 Pokémon Learnset (Core)'!$A$1:$A951,0)&amp;":$FK$"&amp;MATCH($E664,'0.0.2 Pokémon Learnset (Core)'!$A$1:$A951,0)),'Reverse Search'!$J$21)),IF($D$2=2,COUNTIF(INDIRECT("'0.1.1 Pokémon GO Moves'!$B$"&amp;MATCH($E664,'0.1.1 Pokémon GO Moves'!$A$1:$A951,0)&amp;":$R$"&amp;MATCH($E664,'0.1.1 Pokémon GO Moves'!$A$1:$A951,0)),'Reverse Search'!$J$21),COUNTIF(INDIRECT("'0.1.1 Pokémon GO Moves'!$B$"&amp;MATCH($E664,'0.1.1 Pokémon GO Moves'!$A$1:$A951,0)&amp;":$L$"&amp;MATCH($E664,'0.1.1 Pokémon GO Moves'!$A$1:$A951,0)),'Reverse Search'!$J$21)))))</f>
        <v>0</v>
      </c>
      <c r="AB664" s="490"/>
      <c r="AC664" s="260" t="n">
        <f aca="false">IF((Q664+R664+S664+V664+W664+X664+Y664+IF(Z664&gt;=1,1,0)+IF(AA664&gt;=1,1,0))=9,G664&amp;", ",)</f>
        <v>0</v>
      </c>
    </row>
    <row r="665" customFormat="false" ht="15.75" hidden="false" customHeight="false" outlineLevel="0" collapsed="false">
      <c r="A665" s="260"/>
      <c r="B665" s="358"/>
      <c r="C665" s="260"/>
      <c r="D665" s="358"/>
      <c r="E665" s="260" t="n">
        <v>664</v>
      </c>
      <c r="F665" s="260" t="n">
        <f aca="false" t="array" ref="F665:F665">INDEX('0.0.1 Pokémon Dex Data'!$H$3:$H951,MATCH(E665,'0.0.1 Pokémon Dex Data'!$B$3:$B951,0))</f>
        <v>0</v>
      </c>
      <c r="G665" s="0" t="str">
        <f aca="false" t="array" ref="G665:G665">INDEX('0.0.1 Pokémon Dex Data'!$E$3:$E951,MATCH(E665,'0.0.1 Pokémon Dex Data'!$B$3:$B951,0))</f>
        <v>Tirtouga</v>
      </c>
      <c r="H665" s="0" t="str">
        <f aca="false" t="array" ref="H665:H665">INDEX('0.0.1 Pokémon Dex Data'!$Q$3:$Q951,MATCH(E665,'0.0.1 Pokémon Dex Data'!$B$3:$B951,0))</f>
        <v>Water</v>
      </c>
      <c r="I665" s="0" t="str">
        <f aca="false" t="array" ref="I665:I665">INDEX('0.0.1 Pokémon Dex Data'!$R$3:$R951,MATCH(E665,'0.0.1 Pokémon Dex Data'!$B$3:$B951,0))</f>
        <v>Rock</v>
      </c>
      <c r="J665" s="260" t="n">
        <f aca="false" t="array" ref="J665:J665">ROUND(INDEX('0.0.1 Pokémon Dex Data'!$S$3:$S951,MATCH($E665,'0.0.1 Pokémon Dex Data'!$B$3:$B951,0))*INDEX('0.0.1 Pokémon Dex Data'!T$3:T951,MATCH($E665,'0.0.1 Pokémon Dex Data'!$B$3:$B951,0)),0)</f>
        <v>134</v>
      </c>
      <c r="K665" s="260" t="n">
        <f aca="false" t="array" ref="K665:K665">ROUND(INDEX('0.0.1 Pokémon Dex Data'!$S$3:$S951,MATCH($E665,'0.0.1 Pokémon Dex Data'!$B$3:$B951,0))*INDEX('0.0.1 Pokémon Dex Data'!U$3:U951,MATCH($E665,'0.0.1 Pokémon Dex Data'!$B$3:$B951,0)),0)</f>
        <v>146</v>
      </c>
      <c r="L665" s="260" t="n">
        <f aca="false" t="array" ref="L665:L665">ROUND(INDEX('0.0.1 Pokémon Dex Data'!$S$3:$S951,MATCH($E665,'0.0.1 Pokémon Dex Data'!$B$3:$B951,0))*INDEX('0.0.1 Pokémon Dex Data'!V$3:V951,MATCH($E665,'0.0.1 Pokémon Dex Data'!$B$3:$B951,0)),0)</f>
        <v>144</v>
      </c>
      <c r="M665" s="260" t="n">
        <f aca="false" t="array" ref="M665:M665">INDEX('0.0.1 Pokémon Dex Data'!$J$3:$J951,MATCH(E665,'0.0.1 Pokémon Dex Data'!$B$3:$B951,0))</f>
        <v>0</v>
      </c>
      <c r="O665" s="490"/>
      <c r="Q665" s="367" t="n">
        <f aca="false">IF('Reverse Search'!$F$4="All (including temporary formes)",1,IF('Reverse Search'!$F$4="Base Pokémon and permanent formes only",IF(F665&lt;=1,1,0),IF(F665=0,1,0)))</f>
        <v>1</v>
      </c>
      <c r="R665" s="0" t="n">
        <f aca="false">IF('Reverse Search'!$C$7="Disable",1,IF('Reverse Search'!$D$9="Disable",1,IF(OR('Reverse Search'!$F$9=H665,'Reverse Search'!$F$9=I665),1,0)))</f>
        <v>1</v>
      </c>
      <c r="S665" s="0" t="n">
        <f aca="false">IF('Reverse Search'!$C$7="Disable",1,IF('Reverse Search'!$D$10="Disable",1,IF(OR('Reverse Search'!$F$10=H665,'Reverse Search'!$F$10=I665),1,0)))</f>
        <v>1</v>
      </c>
      <c r="T665" s="0" t="n">
        <f aca="false">INDEX($B$4:$B$22,MATCH(H665,$A$4:$A$22,0))</f>
        <v>1</v>
      </c>
      <c r="U665" s="0" t="n">
        <f aca="false">IF(ISBLANK(I665),1,INDEX($B$4:$B$22,MATCH(I665,$A$4:$A$22,0)))</f>
        <v>0.714</v>
      </c>
      <c r="V665" s="367" t="n">
        <f aca="false">IF('Reverse Search'!$C$7="Disable",1,IF('Reverse Search'!$D$11="Disable",1,IF('Reverse Search'!$E$11="Neutral to:",IF(ROUND(T665*U665,2)&lt;=1,1,0),IF(ROUND(T665*U665,2)&lt;1,1,0))))</f>
        <v>1</v>
      </c>
      <c r="W665" s="0" t="n">
        <f aca="false">IF('Reverse Search'!$N$7="Disable",1,IF('Reverse Search'!$I$9="Disable",1,IF('Reverse Search'!$K$9="≥",IF(J665&gt;='Reverse Search'!$L$9,1,0),IF('Reverse Search'!$K$9="≤",IF(J665&lt;='Reverse Search'!$L$9,1,0),IF(J665='Reverse Search'!$L$9,1,0)))))</f>
        <v>1</v>
      </c>
      <c r="X665" s="0" t="n">
        <f aca="false">IF('Reverse Search'!$N$7="Disable",1,IF('Reverse Search'!$I$10="Disable",1,IF('Reverse Search'!$K$10="≥",IF(K665&gt;='Reverse Search'!$L$10,1,0),IF('Reverse Search'!$K$10="≤",IF(K665&lt;='Reverse Search'!$L$10,1,0),IF(K665='Reverse Search'!$L$10,1,0)))))</f>
        <v>1</v>
      </c>
      <c r="Y665" s="367" t="n">
        <f aca="false">IF('Reverse Search'!$N$7="Disable",1,IF('Reverse Search'!$I$11="Disable",1,IF('Reverse Search'!$K$11="≥",IF(L665&gt;='Reverse Search'!$L$11,1,0),IF('Reverse Search'!$K$11="≤",IF(L665&lt;='Reverse Search'!$L$11,1,0),IF(L665='Reverse Search'!$L$11,1,0)))))</f>
        <v>1</v>
      </c>
      <c r="Z665" s="0" t="n">
        <f aca="true">IF('Reverse Search'!$C$14="Disable",1,IF('Reverse Search'!$D$16="Disable",1,IF($C$2=3,IF($M665=0,0,COUNTIF(INDIRECT("'0.0.2 Pokémon Learnset (Core)'!$D$"&amp;MATCH($E665,'0.0.2 Pokémon Learnset (Core)'!$A$1:$A951,0)&amp;":$FK$"&amp;MATCH($E665,'0.0.2 Pokémon Learnset (Core)'!$A$1:$A951,0)),'Reverse Search'!$E$21)),IF($C$2=2,COUNTIF(INDIRECT("'0.1.1 Pokémon GO Moves'!$B$"&amp;MATCH($E665,'0.1.1 Pokémon GO Moves'!$A$1:$A951,0)&amp;":$R$"&amp;MATCH($E665,'0.1.1 Pokémon GO Moves'!$A$1:$A951,0)),'Reverse Search'!$E$21),COUNTIF(INDIRECT("'0.1.1 Pokémon GO Moves'!$B$"&amp;MATCH($E665,'0.1.1 Pokémon GO Moves'!$A$1:$A951,0)&amp;":$L$"&amp;MATCH($E665,'0.1.1 Pokémon GO Moves'!$A$1:$A951,0)),'Reverse Search'!$E$21)))))</f>
        <v>1</v>
      </c>
      <c r="AA665" s="0" t="n">
        <f aca="true">IF('Reverse Search'!$C$14="Disable",1,IF('Reverse Search'!$I$16="Disable",1,IF($D$2=3,IF($M665=0,0,COUNTIF(INDIRECT("'0.0.2 Pokémon Learnset (Core)'!$D$"&amp;MATCH($E665,'0.0.2 Pokémon Learnset (Core)'!$A$1:$A951,0)&amp;":$FK$"&amp;MATCH($E665,'0.0.2 Pokémon Learnset (Core)'!$A$1:$A951,0)),'Reverse Search'!$J$21)),IF($D$2=2,COUNTIF(INDIRECT("'0.1.1 Pokémon GO Moves'!$B$"&amp;MATCH($E665,'0.1.1 Pokémon GO Moves'!$A$1:$A951,0)&amp;":$R$"&amp;MATCH($E665,'0.1.1 Pokémon GO Moves'!$A$1:$A951,0)),'Reverse Search'!$J$21),COUNTIF(INDIRECT("'0.1.1 Pokémon GO Moves'!$B$"&amp;MATCH($E665,'0.1.1 Pokémon GO Moves'!$A$1:$A951,0)&amp;":$L$"&amp;MATCH($E665,'0.1.1 Pokémon GO Moves'!$A$1:$A951,0)),'Reverse Search'!$J$21)))))</f>
        <v>0</v>
      </c>
      <c r="AB665" s="490"/>
      <c r="AC665" s="260" t="n">
        <f aca="false">IF((Q665+R665+S665+V665+W665+X665+Y665+IF(Z665&gt;=1,1,0)+IF(AA665&gt;=1,1,0))=9,G665&amp;", ",)</f>
        <v>0</v>
      </c>
    </row>
    <row r="666" customFormat="false" ht="15.75" hidden="false" customHeight="false" outlineLevel="0" collapsed="false">
      <c r="A666" s="260"/>
      <c r="B666" s="358"/>
      <c r="C666" s="260"/>
      <c r="D666" s="358"/>
      <c r="E666" s="260" t="n">
        <v>665</v>
      </c>
      <c r="F666" s="260" t="n">
        <f aca="false" t="array" ref="F666:F666">INDEX('0.0.1 Pokémon Dex Data'!$H$3:$H951,MATCH(E666,'0.0.1 Pokémon Dex Data'!$B$3:$B951,0))</f>
        <v>0</v>
      </c>
      <c r="G666" s="0" t="str">
        <f aca="false" t="array" ref="G666:G666">INDEX('0.0.1 Pokémon Dex Data'!$E$3:$E951,MATCH(E666,'0.0.1 Pokémon Dex Data'!$B$3:$B951,0))</f>
        <v>Carracosta</v>
      </c>
      <c r="H666" s="0" t="str">
        <f aca="false" t="array" ref="H666:H666">INDEX('0.0.1 Pokémon Dex Data'!$Q$3:$Q951,MATCH(E666,'0.0.1 Pokémon Dex Data'!$B$3:$B951,0))</f>
        <v>Water</v>
      </c>
      <c r="I666" s="0" t="str">
        <f aca="false" t="array" ref="I666:I666">INDEX('0.0.1 Pokémon Dex Data'!$R$3:$R951,MATCH(E666,'0.0.1 Pokémon Dex Data'!$B$3:$B951,0))</f>
        <v>Rock</v>
      </c>
      <c r="J666" s="260" t="n">
        <f aca="false" t="array" ref="J666:J666">ROUND(INDEX('0.0.1 Pokémon Dex Data'!$S$3:$S951,MATCH($E666,'0.0.1 Pokémon Dex Data'!$B$3:$B951,0))*INDEX('0.0.1 Pokémon Dex Data'!T$3:T951,MATCH($E666,'0.0.1 Pokémon Dex Data'!$B$3:$B951,0)),0)</f>
        <v>192</v>
      </c>
      <c r="K666" s="260" t="n">
        <f aca="false" t="array" ref="K666:K666">ROUND(INDEX('0.0.1 Pokémon Dex Data'!$S$3:$S951,MATCH($E666,'0.0.1 Pokémon Dex Data'!$B$3:$B951,0))*INDEX('0.0.1 Pokémon Dex Data'!U$3:U951,MATCH($E666,'0.0.1 Pokémon Dex Data'!$B$3:$B951,0)),0)</f>
        <v>197</v>
      </c>
      <c r="L666" s="260" t="n">
        <f aca="false" t="array" ref="L666:L666">ROUND(INDEX('0.0.1 Pokémon Dex Data'!$S$3:$S951,MATCH($E666,'0.0.1 Pokémon Dex Data'!$B$3:$B951,0))*INDEX('0.0.1 Pokémon Dex Data'!V$3:V951,MATCH($E666,'0.0.1 Pokémon Dex Data'!$B$3:$B951,0)),0)</f>
        <v>179</v>
      </c>
      <c r="M666" s="260" t="n">
        <f aca="false" t="array" ref="M666:M666">INDEX('0.0.1 Pokémon Dex Data'!$J$3:$J951,MATCH(E666,'0.0.1 Pokémon Dex Data'!$B$3:$B951,0))</f>
        <v>1</v>
      </c>
      <c r="O666" s="490"/>
      <c r="Q666" s="367" t="n">
        <f aca="false">IF('Reverse Search'!$F$4="All (including temporary formes)",1,IF('Reverse Search'!$F$4="Base Pokémon and permanent formes only",IF(F666&lt;=1,1,0),IF(F666=0,1,0)))</f>
        <v>1</v>
      </c>
      <c r="R666" s="0" t="n">
        <f aca="false">IF('Reverse Search'!$C$7="Disable",1,IF('Reverse Search'!$D$9="Disable",1,IF(OR('Reverse Search'!$F$9=H666,'Reverse Search'!$F$9=I666),1,0)))</f>
        <v>1</v>
      </c>
      <c r="S666" s="0" t="n">
        <f aca="false">IF('Reverse Search'!$C$7="Disable",1,IF('Reverse Search'!$D$10="Disable",1,IF(OR('Reverse Search'!$F$10=H666,'Reverse Search'!$F$10=I666),1,0)))</f>
        <v>1</v>
      </c>
      <c r="T666" s="0" t="n">
        <f aca="false">INDEX($B$4:$B$22,MATCH(H666,$A$4:$A$22,0))</f>
        <v>1</v>
      </c>
      <c r="U666" s="0" t="n">
        <f aca="false">IF(ISBLANK(I666),1,INDEX($B$4:$B$22,MATCH(I666,$A$4:$A$22,0)))</f>
        <v>0.714</v>
      </c>
      <c r="V666" s="367" t="n">
        <f aca="false">IF('Reverse Search'!$C$7="Disable",1,IF('Reverse Search'!$D$11="Disable",1,IF('Reverse Search'!$E$11="Neutral to:",IF(ROUND(T666*U666,2)&lt;=1,1,0),IF(ROUND(T666*U666,2)&lt;1,1,0))))</f>
        <v>1</v>
      </c>
      <c r="W666" s="0" t="n">
        <f aca="false">IF('Reverse Search'!$N$7="Disable",1,IF('Reverse Search'!$I$9="Disable",1,IF('Reverse Search'!$K$9="≥",IF(J666&gt;='Reverse Search'!$L$9,1,0),IF('Reverse Search'!$K$9="≤",IF(J666&lt;='Reverse Search'!$L$9,1,0),IF(J666='Reverse Search'!$L$9,1,0)))))</f>
        <v>1</v>
      </c>
      <c r="X666" s="0" t="n">
        <f aca="false">IF('Reverse Search'!$N$7="Disable",1,IF('Reverse Search'!$I$10="Disable",1,IF('Reverse Search'!$K$10="≥",IF(K666&gt;='Reverse Search'!$L$10,1,0),IF('Reverse Search'!$K$10="≤",IF(K666&lt;='Reverse Search'!$L$10,1,0),IF(K666='Reverse Search'!$L$10,1,0)))))</f>
        <v>1</v>
      </c>
      <c r="Y666" s="367" t="n">
        <f aca="false">IF('Reverse Search'!$N$7="Disable",1,IF('Reverse Search'!$I$11="Disable",1,IF('Reverse Search'!$K$11="≥",IF(L666&gt;='Reverse Search'!$L$11,1,0),IF('Reverse Search'!$K$11="≤",IF(L666&lt;='Reverse Search'!$L$11,1,0),IF(L666='Reverse Search'!$L$11,1,0)))))</f>
        <v>1</v>
      </c>
      <c r="Z666" s="0" t="n">
        <f aca="true">IF('Reverse Search'!$C$14="Disable",1,IF('Reverse Search'!$D$16="Disable",1,IF($C$2=3,IF($M666=0,0,COUNTIF(INDIRECT("'0.0.2 Pokémon Learnset (Core)'!$D$"&amp;MATCH($E666,'0.0.2 Pokémon Learnset (Core)'!$A$1:$A951,0)&amp;":$FK$"&amp;MATCH($E666,'0.0.2 Pokémon Learnset (Core)'!$A$1:$A951,0)),'Reverse Search'!$E$21)),IF($C$2=2,COUNTIF(INDIRECT("'0.1.1 Pokémon GO Moves'!$B$"&amp;MATCH($E666,'0.1.1 Pokémon GO Moves'!$A$1:$A951,0)&amp;":$R$"&amp;MATCH($E666,'0.1.1 Pokémon GO Moves'!$A$1:$A951,0)),'Reverse Search'!$E$21),COUNTIF(INDIRECT("'0.1.1 Pokémon GO Moves'!$B$"&amp;MATCH($E666,'0.1.1 Pokémon GO Moves'!$A$1:$A951,0)&amp;":$L$"&amp;MATCH($E666,'0.1.1 Pokémon GO Moves'!$A$1:$A951,0)),'Reverse Search'!$E$21)))))</f>
        <v>1</v>
      </c>
      <c r="AA666" s="0" t="n">
        <f aca="true">IF('Reverse Search'!$C$14="Disable",1,IF('Reverse Search'!$I$16="Disable",1,IF($D$2=3,IF($M666=0,0,COUNTIF(INDIRECT("'0.0.2 Pokémon Learnset (Core)'!$D$"&amp;MATCH($E666,'0.0.2 Pokémon Learnset (Core)'!$A$1:$A951,0)&amp;":$FK$"&amp;MATCH($E666,'0.0.2 Pokémon Learnset (Core)'!$A$1:$A951,0)),'Reverse Search'!$J$21)),IF($D$2=2,COUNTIF(INDIRECT("'0.1.1 Pokémon GO Moves'!$B$"&amp;MATCH($E666,'0.1.1 Pokémon GO Moves'!$A$1:$A951,0)&amp;":$R$"&amp;MATCH($E666,'0.1.1 Pokémon GO Moves'!$A$1:$A951,0)),'Reverse Search'!$J$21),COUNTIF(INDIRECT("'0.1.1 Pokémon GO Moves'!$B$"&amp;MATCH($E666,'0.1.1 Pokémon GO Moves'!$A$1:$A951,0)&amp;":$L$"&amp;MATCH($E666,'0.1.1 Pokémon GO Moves'!$A$1:$A951,0)),'Reverse Search'!$J$21)))))</f>
        <v>0</v>
      </c>
      <c r="AB666" s="490"/>
      <c r="AC666" s="260" t="n">
        <f aca="false">IF((Q666+R666+S666+V666+W666+X666+Y666+IF(Z666&gt;=1,1,0)+IF(AA666&gt;=1,1,0))=9,G666&amp;", ",)</f>
        <v>0</v>
      </c>
    </row>
    <row r="667" customFormat="false" ht="15.75" hidden="false" customHeight="false" outlineLevel="0" collapsed="false">
      <c r="A667" s="260"/>
      <c r="B667" s="358"/>
      <c r="C667" s="260"/>
      <c r="D667" s="358"/>
      <c r="E667" s="260" t="n">
        <v>666</v>
      </c>
      <c r="F667" s="260" t="n">
        <f aca="false" t="array" ref="F667:F667">INDEX('0.0.1 Pokémon Dex Data'!$H$3:$H951,MATCH(E667,'0.0.1 Pokémon Dex Data'!$B$3:$B951,0))</f>
        <v>0</v>
      </c>
      <c r="G667" s="0" t="str">
        <f aca="false" t="array" ref="G667:G667">INDEX('0.0.1 Pokémon Dex Data'!$E$3:$E951,MATCH(E667,'0.0.1 Pokémon Dex Data'!$B$3:$B951,0))</f>
        <v>Archen</v>
      </c>
      <c r="H667" s="0" t="str">
        <f aca="false" t="array" ref="H667:H667">INDEX('0.0.1 Pokémon Dex Data'!$Q$3:$Q951,MATCH(E667,'0.0.1 Pokémon Dex Data'!$B$3:$B951,0))</f>
        <v>Rock</v>
      </c>
      <c r="I667" s="0" t="str">
        <f aca="false" t="array" ref="I667:I667">INDEX('0.0.1 Pokémon Dex Data'!$R$3:$R951,MATCH(E667,'0.0.1 Pokémon Dex Data'!$B$3:$B951,0))</f>
        <v>Flying</v>
      </c>
      <c r="J667" s="260" t="n">
        <f aca="false" t="array" ref="J667:J667">ROUND(INDEX('0.0.1 Pokémon Dex Data'!$S$3:$S951,MATCH($E667,'0.0.1 Pokémon Dex Data'!$B$3:$B951,0))*INDEX('0.0.1 Pokémon Dex Data'!T$3:T951,MATCH($E667,'0.0.1 Pokémon Dex Data'!$B$3:$B951,0)),0)</f>
        <v>213</v>
      </c>
      <c r="K667" s="260" t="n">
        <f aca="false" t="array" ref="K667:K667">ROUND(INDEX('0.0.1 Pokémon Dex Data'!$S$3:$S951,MATCH($E667,'0.0.1 Pokémon Dex Data'!$B$3:$B951,0))*INDEX('0.0.1 Pokémon Dex Data'!U$3:U951,MATCH($E667,'0.0.1 Pokémon Dex Data'!$B$3:$B951,0)),0)</f>
        <v>89</v>
      </c>
      <c r="L667" s="260" t="n">
        <f aca="false" t="array" ref="L667:L667">ROUND(INDEX('0.0.1 Pokémon Dex Data'!$S$3:$S951,MATCH($E667,'0.0.1 Pokémon Dex Data'!$B$3:$B951,0))*INDEX('0.0.1 Pokémon Dex Data'!V$3:V951,MATCH($E667,'0.0.1 Pokémon Dex Data'!$B$3:$B951,0)),0)</f>
        <v>146</v>
      </c>
      <c r="M667" s="260" t="n">
        <f aca="false" t="array" ref="M667:M667">INDEX('0.0.1 Pokémon Dex Data'!$J$3:$J951,MATCH(E667,'0.0.1 Pokémon Dex Data'!$B$3:$B951,0))</f>
        <v>0</v>
      </c>
      <c r="O667" s="490"/>
      <c r="Q667" s="367" t="n">
        <f aca="false">IF('Reverse Search'!$F$4="All (including temporary formes)",1,IF('Reverse Search'!$F$4="Base Pokémon and permanent formes only",IF(F667&lt;=1,1,0),IF(F667=0,1,0)))</f>
        <v>1</v>
      </c>
      <c r="R667" s="0" t="n">
        <f aca="false">IF('Reverse Search'!$C$7="Disable",1,IF('Reverse Search'!$D$9="Disable",1,IF(OR('Reverse Search'!$F$9=H667,'Reverse Search'!$F$9=I667),1,0)))</f>
        <v>1</v>
      </c>
      <c r="S667" s="0" t="n">
        <f aca="false">IF('Reverse Search'!$C$7="Disable",1,IF('Reverse Search'!$D$10="Disable",1,IF(OR('Reverse Search'!$F$10=H667,'Reverse Search'!$F$10=I667),1,0)))</f>
        <v>1</v>
      </c>
      <c r="T667" s="0" t="n">
        <f aca="false">INDEX($B$4:$B$22,MATCH(H667,$A$4:$A$22,0))</f>
        <v>0.714</v>
      </c>
      <c r="U667" s="0" t="n">
        <f aca="false">IF(ISBLANK(I667),1,INDEX($B$4:$B$22,MATCH(I667,$A$4:$A$22,0)))</f>
        <v>1</v>
      </c>
      <c r="V667" s="367" t="n">
        <f aca="false">IF('Reverse Search'!$C$7="Disable",1,IF('Reverse Search'!$D$11="Disable",1,IF('Reverse Search'!$E$11="Neutral to:",IF(ROUND(T667*U667,2)&lt;=1,1,0),IF(ROUND(T667*U667,2)&lt;1,1,0))))</f>
        <v>1</v>
      </c>
      <c r="W667" s="0" t="n">
        <f aca="false">IF('Reverse Search'!$N$7="Disable",1,IF('Reverse Search'!$I$9="Disable",1,IF('Reverse Search'!$K$9="≥",IF(J667&gt;='Reverse Search'!$L$9,1,0),IF('Reverse Search'!$K$9="≤",IF(J667&lt;='Reverse Search'!$L$9,1,0),IF(J667='Reverse Search'!$L$9,1,0)))))</f>
        <v>1</v>
      </c>
      <c r="X667" s="0" t="n">
        <f aca="false">IF('Reverse Search'!$N$7="Disable",1,IF('Reverse Search'!$I$10="Disable",1,IF('Reverse Search'!$K$10="≥",IF(K667&gt;='Reverse Search'!$L$10,1,0),IF('Reverse Search'!$K$10="≤",IF(K667&lt;='Reverse Search'!$L$10,1,0),IF(K667='Reverse Search'!$L$10,1,0)))))</f>
        <v>1</v>
      </c>
      <c r="Y667" s="367" t="n">
        <f aca="false">IF('Reverse Search'!$N$7="Disable",1,IF('Reverse Search'!$I$11="Disable",1,IF('Reverse Search'!$K$11="≥",IF(L667&gt;='Reverse Search'!$L$11,1,0),IF('Reverse Search'!$K$11="≤",IF(L667&lt;='Reverse Search'!$L$11,1,0),IF(L667='Reverse Search'!$L$11,1,0)))))</f>
        <v>1</v>
      </c>
      <c r="Z667" s="0" t="n">
        <f aca="true">IF('Reverse Search'!$C$14="Disable",1,IF('Reverse Search'!$D$16="Disable",1,IF($C$2=3,IF($M667=0,0,COUNTIF(INDIRECT("'0.0.2 Pokémon Learnset (Core)'!$D$"&amp;MATCH($E667,'0.0.2 Pokémon Learnset (Core)'!$A$1:$A951,0)&amp;":$FK$"&amp;MATCH($E667,'0.0.2 Pokémon Learnset (Core)'!$A$1:$A951,0)),'Reverse Search'!$E$21)),IF($C$2=2,COUNTIF(INDIRECT("'0.1.1 Pokémon GO Moves'!$B$"&amp;MATCH($E667,'0.1.1 Pokémon GO Moves'!$A$1:$A951,0)&amp;":$R$"&amp;MATCH($E667,'0.1.1 Pokémon GO Moves'!$A$1:$A951,0)),'Reverse Search'!$E$21),COUNTIF(INDIRECT("'0.1.1 Pokémon GO Moves'!$B$"&amp;MATCH($E667,'0.1.1 Pokémon GO Moves'!$A$1:$A951,0)&amp;":$L$"&amp;MATCH($E667,'0.1.1 Pokémon GO Moves'!$A$1:$A951,0)),'Reverse Search'!$E$21)))))</f>
        <v>1</v>
      </c>
      <c r="AA667" s="0" t="n">
        <f aca="true">IF('Reverse Search'!$C$14="Disable",1,IF('Reverse Search'!$I$16="Disable",1,IF($D$2=3,IF($M667=0,0,COUNTIF(INDIRECT("'0.0.2 Pokémon Learnset (Core)'!$D$"&amp;MATCH($E667,'0.0.2 Pokémon Learnset (Core)'!$A$1:$A951,0)&amp;":$FK$"&amp;MATCH($E667,'0.0.2 Pokémon Learnset (Core)'!$A$1:$A951,0)),'Reverse Search'!$J$21)),IF($D$2=2,COUNTIF(INDIRECT("'0.1.1 Pokémon GO Moves'!$B$"&amp;MATCH($E667,'0.1.1 Pokémon GO Moves'!$A$1:$A951,0)&amp;":$R$"&amp;MATCH($E667,'0.1.1 Pokémon GO Moves'!$A$1:$A951,0)),'Reverse Search'!$J$21),COUNTIF(INDIRECT("'0.1.1 Pokémon GO Moves'!$B$"&amp;MATCH($E667,'0.1.1 Pokémon GO Moves'!$A$1:$A951,0)&amp;":$L$"&amp;MATCH($E667,'0.1.1 Pokémon GO Moves'!$A$1:$A951,0)),'Reverse Search'!$J$21)))))</f>
        <v>0</v>
      </c>
      <c r="AB667" s="490"/>
      <c r="AC667" s="260" t="n">
        <f aca="false">IF((Q667+R667+S667+V667+W667+X667+Y667+IF(Z667&gt;=1,1,0)+IF(AA667&gt;=1,1,0))=9,G667&amp;", ",)</f>
        <v>0</v>
      </c>
    </row>
    <row r="668" customFormat="false" ht="15.75" hidden="false" customHeight="false" outlineLevel="0" collapsed="false">
      <c r="A668" s="260"/>
      <c r="B668" s="358"/>
      <c r="C668" s="260"/>
      <c r="D668" s="358"/>
      <c r="E668" s="260" t="n">
        <v>667</v>
      </c>
      <c r="F668" s="260" t="n">
        <f aca="false" t="array" ref="F668:F668">INDEX('0.0.1 Pokémon Dex Data'!$H$3:$H951,MATCH(E668,'0.0.1 Pokémon Dex Data'!$B$3:$B951,0))</f>
        <v>0</v>
      </c>
      <c r="G668" s="0" t="str">
        <f aca="false" t="array" ref="G668:G668">INDEX('0.0.1 Pokémon Dex Data'!$E$3:$E951,MATCH(E668,'0.0.1 Pokémon Dex Data'!$B$3:$B951,0))</f>
        <v>Archeops</v>
      </c>
      <c r="H668" s="0" t="str">
        <f aca="false" t="array" ref="H668:H668">INDEX('0.0.1 Pokémon Dex Data'!$Q$3:$Q951,MATCH(E668,'0.0.1 Pokémon Dex Data'!$B$3:$B951,0))</f>
        <v>Rock</v>
      </c>
      <c r="I668" s="0" t="str">
        <f aca="false" t="array" ref="I668:I668">INDEX('0.0.1 Pokémon Dex Data'!$R$3:$R951,MATCH(E668,'0.0.1 Pokémon Dex Data'!$B$3:$B951,0))</f>
        <v>Flying</v>
      </c>
      <c r="J668" s="260" t="n">
        <f aca="false" t="array" ref="J668:J668">ROUND(INDEX('0.0.1 Pokémon Dex Data'!$S$3:$S951,MATCH($E668,'0.0.1 Pokémon Dex Data'!$B$3:$B951,0))*INDEX('0.0.1 Pokémon Dex Data'!T$3:T951,MATCH($E668,'0.0.1 Pokémon Dex Data'!$B$3:$B951,0)),0)</f>
        <v>292</v>
      </c>
      <c r="K668" s="260" t="n">
        <f aca="false" t="array" ref="K668:K668">ROUND(INDEX('0.0.1 Pokémon Dex Data'!$S$3:$S951,MATCH($E668,'0.0.1 Pokémon Dex Data'!$B$3:$B951,0))*INDEX('0.0.1 Pokémon Dex Data'!U$3:U951,MATCH($E668,'0.0.1 Pokémon Dex Data'!$B$3:$B951,0)),0)</f>
        <v>139</v>
      </c>
      <c r="L668" s="260" t="n">
        <f aca="false" t="array" ref="L668:L668">ROUND(INDEX('0.0.1 Pokémon Dex Data'!$S$3:$S951,MATCH($E668,'0.0.1 Pokémon Dex Data'!$B$3:$B951,0))*INDEX('0.0.1 Pokémon Dex Data'!V$3:V951,MATCH($E668,'0.0.1 Pokémon Dex Data'!$B$3:$B951,0)),0)</f>
        <v>181</v>
      </c>
      <c r="M668" s="260" t="n">
        <f aca="false" t="array" ref="M668:M668">INDEX('0.0.1 Pokémon Dex Data'!$J$3:$J951,MATCH(E668,'0.0.1 Pokémon Dex Data'!$B$3:$B951,0))</f>
        <v>1</v>
      </c>
      <c r="O668" s="490"/>
      <c r="Q668" s="367" t="n">
        <f aca="false">IF('Reverse Search'!$F$4="All (including temporary formes)",1,IF('Reverse Search'!$F$4="Base Pokémon and permanent formes only",IF(F668&lt;=1,1,0),IF(F668=0,1,0)))</f>
        <v>1</v>
      </c>
      <c r="R668" s="0" t="n">
        <f aca="false">IF('Reverse Search'!$C$7="Disable",1,IF('Reverse Search'!$D$9="Disable",1,IF(OR('Reverse Search'!$F$9=H668,'Reverse Search'!$F$9=I668),1,0)))</f>
        <v>1</v>
      </c>
      <c r="S668" s="0" t="n">
        <f aca="false">IF('Reverse Search'!$C$7="Disable",1,IF('Reverse Search'!$D$10="Disable",1,IF(OR('Reverse Search'!$F$10=H668,'Reverse Search'!$F$10=I668),1,0)))</f>
        <v>1</v>
      </c>
      <c r="T668" s="0" t="n">
        <f aca="false">INDEX($B$4:$B$22,MATCH(H668,$A$4:$A$22,0))</f>
        <v>0.714</v>
      </c>
      <c r="U668" s="0" t="n">
        <f aca="false">IF(ISBLANK(I668),1,INDEX($B$4:$B$22,MATCH(I668,$A$4:$A$22,0)))</f>
        <v>1</v>
      </c>
      <c r="V668" s="367" t="n">
        <f aca="false">IF('Reverse Search'!$C$7="Disable",1,IF('Reverse Search'!$D$11="Disable",1,IF('Reverse Search'!$E$11="Neutral to:",IF(ROUND(T668*U668,2)&lt;=1,1,0),IF(ROUND(T668*U668,2)&lt;1,1,0))))</f>
        <v>1</v>
      </c>
      <c r="W668" s="0" t="n">
        <f aca="false">IF('Reverse Search'!$N$7="Disable",1,IF('Reverse Search'!$I$9="Disable",1,IF('Reverse Search'!$K$9="≥",IF(J668&gt;='Reverse Search'!$L$9,1,0),IF('Reverse Search'!$K$9="≤",IF(J668&lt;='Reverse Search'!$L$9,1,0),IF(J668='Reverse Search'!$L$9,1,0)))))</f>
        <v>1</v>
      </c>
      <c r="X668" s="0" t="n">
        <f aca="false">IF('Reverse Search'!$N$7="Disable",1,IF('Reverse Search'!$I$10="Disable",1,IF('Reverse Search'!$K$10="≥",IF(K668&gt;='Reverse Search'!$L$10,1,0),IF('Reverse Search'!$K$10="≤",IF(K668&lt;='Reverse Search'!$L$10,1,0),IF(K668='Reverse Search'!$L$10,1,0)))))</f>
        <v>1</v>
      </c>
      <c r="Y668" s="367" t="n">
        <f aca="false">IF('Reverse Search'!$N$7="Disable",1,IF('Reverse Search'!$I$11="Disable",1,IF('Reverse Search'!$K$11="≥",IF(L668&gt;='Reverse Search'!$L$11,1,0),IF('Reverse Search'!$K$11="≤",IF(L668&lt;='Reverse Search'!$L$11,1,0),IF(L668='Reverse Search'!$L$11,1,0)))))</f>
        <v>1</v>
      </c>
      <c r="Z668" s="0" t="n">
        <f aca="true">IF('Reverse Search'!$C$14="Disable",1,IF('Reverse Search'!$D$16="Disable",1,IF($C$2=3,IF($M668=0,0,COUNTIF(INDIRECT("'0.0.2 Pokémon Learnset (Core)'!$D$"&amp;MATCH($E668,'0.0.2 Pokémon Learnset (Core)'!$A$1:$A951,0)&amp;":$FK$"&amp;MATCH($E668,'0.0.2 Pokémon Learnset (Core)'!$A$1:$A951,0)),'Reverse Search'!$E$21)),IF($C$2=2,COUNTIF(INDIRECT("'0.1.1 Pokémon GO Moves'!$B$"&amp;MATCH($E668,'0.1.1 Pokémon GO Moves'!$A$1:$A951,0)&amp;":$R$"&amp;MATCH($E668,'0.1.1 Pokémon GO Moves'!$A$1:$A951,0)),'Reverse Search'!$E$21),COUNTIF(INDIRECT("'0.1.1 Pokémon GO Moves'!$B$"&amp;MATCH($E668,'0.1.1 Pokémon GO Moves'!$A$1:$A951,0)&amp;":$L$"&amp;MATCH($E668,'0.1.1 Pokémon GO Moves'!$A$1:$A951,0)),'Reverse Search'!$E$21)))))</f>
        <v>1</v>
      </c>
      <c r="AA668" s="0" t="n">
        <f aca="true">IF('Reverse Search'!$C$14="Disable",1,IF('Reverse Search'!$I$16="Disable",1,IF($D$2=3,IF($M668=0,0,COUNTIF(INDIRECT("'0.0.2 Pokémon Learnset (Core)'!$D$"&amp;MATCH($E668,'0.0.2 Pokémon Learnset (Core)'!$A$1:$A951,0)&amp;":$FK$"&amp;MATCH($E668,'0.0.2 Pokémon Learnset (Core)'!$A$1:$A951,0)),'Reverse Search'!$J$21)),IF($D$2=2,COUNTIF(INDIRECT("'0.1.1 Pokémon GO Moves'!$B$"&amp;MATCH($E668,'0.1.1 Pokémon GO Moves'!$A$1:$A951,0)&amp;":$R$"&amp;MATCH($E668,'0.1.1 Pokémon GO Moves'!$A$1:$A951,0)),'Reverse Search'!$J$21),COUNTIF(INDIRECT("'0.1.1 Pokémon GO Moves'!$B$"&amp;MATCH($E668,'0.1.1 Pokémon GO Moves'!$A$1:$A951,0)&amp;":$L$"&amp;MATCH($E668,'0.1.1 Pokémon GO Moves'!$A$1:$A951,0)),'Reverse Search'!$J$21)))))</f>
        <v>0</v>
      </c>
      <c r="AB668" s="490"/>
      <c r="AC668" s="260" t="n">
        <f aca="false">IF((Q668+R668+S668+V668+W668+X668+Y668+IF(Z668&gt;=1,1,0)+IF(AA668&gt;=1,1,0))=9,G668&amp;", ",)</f>
        <v>0</v>
      </c>
    </row>
    <row r="669" customFormat="false" ht="15.75" hidden="false" customHeight="false" outlineLevel="0" collapsed="false">
      <c r="A669" s="260"/>
      <c r="B669" s="358"/>
      <c r="C669" s="260"/>
      <c r="D669" s="358"/>
      <c r="E669" s="260" t="n">
        <v>668</v>
      </c>
      <c r="F669" s="260" t="n">
        <f aca="false" t="array" ref="F669:F669">INDEX('0.0.1 Pokémon Dex Data'!$H$3:$H951,MATCH(E669,'0.0.1 Pokémon Dex Data'!$B$3:$B951,0))</f>
        <v>0</v>
      </c>
      <c r="G669" s="0" t="str">
        <f aca="false" t="array" ref="G669:G669">INDEX('0.0.1 Pokémon Dex Data'!$E$3:$E951,MATCH(E669,'0.0.1 Pokémon Dex Data'!$B$3:$B951,0))</f>
        <v>Trubbish</v>
      </c>
      <c r="H669" s="0" t="str">
        <f aca="false" t="array" ref="H669:H669">INDEX('0.0.1 Pokémon Dex Data'!$Q$3:$Q951,MATCH(E669,'0.0.1 Pokémon Dex Data'!$B$3:$B951,0))</f>
        <v>Poison</v>
      </c>
      <c r="I669" s="0" t="n">
        <f aca="false">INDEX('0.0.1 Pokémon Dex Data'!$R$3:$R951,MATCH(E669,'0.0.1 Pokémon Dex Data'!$B$3:$B951,0))</f>
        <v>0</v>
      </c>
      <c r="J669" s="260" t="n">
        <f aca="false" t="array" ref="J669:J669">ROUND(INDEX('0.0.1 Pokémon Dex Data'!$S$3:$S951,MATCH($E669,'0.0.1 Pokémon Dex Data'!$B$3:$B951,0))*INDEX('0.0.1 Pokémon Dex Data'!T$3:T951,MATCH($E669,'0.0.1 Pokémon Dex Data'!$B$3:$B951,0)),0)</f>
        <v>96</v>
      </c>
      <c r="K669" s="260" t="n">
        <f aca="false" t="array" ref="K669:K669">ROUND(INDEX('0.0.1 Pokémon Dex Data'!$S$3:$S951,MATCH($E669,'0.0.1 Pokémon Dex Data'!$B$3:$B951,0))*INDEX('0.0.1 Pokémon Dex Data'!U$3:U951,MATCH($E669,'0.0.1 Pokémon Dex Data'!$B$3:$B951,0)),0)</f>
        <v>122</v>
      </c>
      <c r="L669" s="260" t="n">
        <f aca="false" t="array" ref="L669:L669">ROUND(INDEX('0.0.1 Pokémon Dex Data'!$S$3:$S951,MATCH($E669,'0.0.1 Pokémon Dex Data'!$B$3:$B951,0))*INDEX('0.0.1 Pokémon Dex Data'!V$3:V951,MATCH($E669,'0.0.1 Pokémon Dex Data'!$B$3:$B951,0)),0)</f>
        <v>137</v>
      </c>
      <c r="M669" s="260" t="n">
        <f aca="false" t="array" ref="M669:M669">INDEX('0.0.1 Pokémon Dex Data'!$J$3:$J951,MATCH(E669,'0.0.1 Pokémon Dex Data'!$B$3:$B951,0))</f>
        <v>0</v>
      </c>
      <c r="O669" s="490"/>
      <c r="Q669" s="367" t="n">
        <f aca="false">IF('Reverse Search'!$F$4="All (including temporary formes)",1,IF('Reverse Search'!$F$4="Base Pokémon and permanent formes only",IF(F669&lt;=1,1,0),IF(F669=0,1,0)))</f>
        <v>1</v>
      </c>
      <c r="R669" s="0" t="n">
        <f aca="false">IF('Reverse Search'!$C$7="Disable",1,IF('Reverse Search'!$D$9="Disable",1,IF(OR('Reverse Search'!$F$9=H669,'Reverse Search'!$F$9=I669),1,0)))</f>
        <v>1</v>
      </c>
      <c r="S669" s="0" t="n">
        <f aca="false">IF('Reverse Search'!$C$7="Disable",1,IF('Reverse Search'!$D$10="Disable",1,IF(OR('Reverse Search'!$F$10=H669,'Reverse Search'!$F$10=I669),1,0)))</f>
        <v>1</v>
      </c>
      <c r="T669" s="0" t="n">
        <f aca="false">INDEX($B$4:$B$22,MATCH(H669,$A$4:$A$22,0))</f>
        <v>1</v>
      </c>
      <c r="U669" s="0" t="e">
        <f aca="false">IF(ISBLANK(I669),1,INDEX($B$4:$B$22,MATCH(I669,$A$4:$A$22,0)))</f>
        <v>#N/A</v>
      </c>
      <c r="V669" s="367" t="n">
        <f aca="false">IF('Reverse Search'!$C$7="Disable",1,IF('Reverse Search'!$D$11="Disable",1,IF('Reverse Search'!$E$11="Neutral to:",IF(ROUND(T669*U669,2)&lt;=1,1,0),IF(ROUND(T669*U669,2)&lt;1,1,0))))</f>
        <v>1</v>
      </c>
      <c r="W669" s="0" t="n">
        <f aca="false">IF('Reverse Search'!$N$7="Disable",1,IF('Reverse Search'!$I$9="Disable",1,IF('Reverse Search'!$K$9="≥",IF(J669&gt;='Reverse Search'!$L$9,1,0),IF('Reverse Search'!$K$9="≤",IF(J669&lt;='Reverse Search'!$L$9,1,0),IF(J669='Reverse Search'!$L$9,1,0)))))</f>
        <v>1</v>
      </c>
      <c r="X669" s="0" t="n">
        <f aca="false">IF('Reverse Search'!$N$7="Disable",1,IF('Reverse Search'!$I$10="Disable",1,IF('Reverse Search'!$K$10="≥",IF(K669&gt;='Reverse Search'!$L$10,1,0),IF('Reverse Search'!$K$10="≤",IF(K669&lt;='Reverse Search'!$L$10,1,0),IF(K669='Reverse Search'!$L$10,1,0)))))</f>
        <v>1</v>
      </c>
      <c r="Y669" s="367" t="n">
        <f aca="false">IF('Reverse Search'!$N$7="Disable",1,IF('Reverse Search'!$I$11="Disable",1,IF('Reverse Search'!$K$11="≥",IF(L669&gt;='Reverse Search'!$L$11,1,0),IF('Reverse Search'!$K$11="≤",IF(L669&lt;='Reverse Search'!$L$11,1,0),IF(L669='Reverse Search'!$L$11,1,0)))))</f>
        <v>1</v>
      </c>
      <c r="Z669" s="0" t="n">
        <f aca="true">IF('Reverse Search'!$C$14="Disable",1,IF('Reverse Search'!$D$16="Disable",1,IF($C$2=3,IF($M669=0,0,COUNTIF(INDIRECT("'0.0.2 Pokémon Learnset (Core)'!$D$"&amp;MATCH($E669,'0.0.2 Pokémon Learnset (Core)'!$A$1:$A951,0)&amp;":$FK$"&amp;MATCH($E669,'0.0.2 Pokémon Learnset (Core)'!$A$1:$A951,0)),'Reverse Search'!$E$21)),IF($C$2=2,COUNTIF(INDIRECT("'0.1.1 Pokémon GO Moves'!$B$"&amp;MATCH($E669,'0.1.1 Pokémon GO Moves'!$A$1:$A951,0)&amp;":$R$"&amp;MATCH($E669,'0.1.1 Pokémon GO Moves'!$A$1:$A951,0)),'Reverse Search'!$E$21),COUNTIF(INDIRECT("'0.1.1 Pokémon GO Moves'!$B$"&amp;MATCH($E669,'0.1.1 Pokémon GO Moves'!$A$1:$A951,0)&amp;":$L$"&amp;MATCH($E669,'0.1.1 Pokémon GO Moves'!$A$1:$A951,0)),'Reverse Search'!$E$21)))))</f>
        <v>1</v>
      </c>
      <c r="AA669" s="0" t="n">
        <f aca="true">IF('Reverse Search'!$C$14="Disable",1,IF('Reverse Search'!$I$16="Disable",1,IF($D$2=3,IF($M669=0,0,COUNTIF(INDIRECT("'0.0.2 Pokémon Learnset (Core)'!$D$"&amp;MATCH($E669,'0.0.2 Pokémon Learnset (Core)'!$A$1:$A951,0)&amp;":$FK$"&amp;MATCH($E669,'0.0.2 Pokémon Learnset (Core)'!$A$1:$A951,0)),'Reverse Search'!$J$21)),IF($D$2=2,COUNTIF(INDIRECT("'0.1.1 Pokémon GO Moves'!$B$"&amp;MATCH($E669,'0.1.1 Pokémon GO Moves'!$A$1:$A951,0)&amp;":$R$"&amp;MATCH($E669,'0.1.1 Pokémon GO Moves'!$A$1:$A951,0)),'Reverse Search'!$J$21),COUNTIF(INDIRECT("'0.1.1 Pokémon GO Moves'!$B$"&amp;MATCH($E669,'0.1.1 Pokémon GO Moves'!$A$1:$A951,0)&amp;":$L$"&amp;MATCH($E669,'0.1.1 Pokémon GO Moves'!$A$1:$A951,0)),'Reverse Search'!$J$21)))))</f>
        <v>0</v>
      </c>
      <c r="AB669" s="490"/>
      <c r="AC669" s="260" t="n">
        <f aca="false">IF((Q669+R669+S669+V669+W669+X669+Y669+IF(Z669&gt;=1,1,0)+IF(AA669&gt;=1,1,0))=9,G669&amp;", ",)</f>
        <v>0</v>
      </c>
    </row>
    <row r="670" customFormat="false" ht="15.75" hidden="false" customHeight="false" outlineLevel="0" collapsed="false">
      <c r="A670" s="260"/>
      <c r="B670" s="358"/>
      <c r="C670" s="260"/>
      <c r="D670" s="358"/>
      <c r="E670" s="260" t="n">
        <v>669</v>
      </c>
      <c r="F670" s="260" t="n">
        <f aca="false" t="array" ref="F670:F670">INDEX('0.0.1 Pokémon Dex Data'!$H$3:$H951,MATCH(E670,'0.0.1 Pokémon Dex Data'!$B$3:$B951,0))</f>
        <v>0</v>
      </c>
      <c r="G670" s="0" t="str">
        <f aca="false" t="array" ref="G670:G670">INDEX('0.0.1 Pokémon Dex Data'!$E$3:$E951,MATCH(E670,'0.0.1 Pokémon Dex Data'!$B$3:$B951,0))</f>
        <v>Garbodor</v>
      </c>
      <c r="H670" s="0" t="str">
        <f aca="false" t="array" ref="H670:H670">INDEX('0.0.1 Pokémon Dex Data'!$Q$3:$Q951,MATCH(E670,'0.0.1 Pokémon Dex Data'!$B$3:$B951,0))</f>
        <v>Poison</v>
      </c>
      <c r="I670" s="0" t="n">
        <f aca="false">INDEX('0.0.1 Pokémon Dex Data'!$R$3:$R951,MATCH(E670,'0.0.1 Pokémon Dex Data'!$B$3:$B951,0))</f>
        <v>0</v>
      </c>
      <c r="J670" s="260" t="n">
        <f aca="false" t="array" ref="J670:J670">ROUND(INDEX('0.0.1 Pokémon Dex Data'!$S$3:$S951,MATCH($E670,'0.0.1 Pokémon Dex Data'!$B$3:$B951,0))*INDEX('0.0.1 Pokémon Dex Data'!T$3:T951,MATCH($E670,'0.0.1 Pokémon Dex Data'!$B$3:$B951,0)),0)</f>
        <v>181</v>
      </c>
      <c r="K670" s="260" t="n">
        <f aca="false" t="array" ref="K670:K670">ROUND(INDEX('0.0.1 Pokémon Dex Data'!$S$3:$S951,MATCH($E670,'0.0.1 Pokémon Dex Data'!$B$3:$B951,0))*INDEX('0.0.1 Pokémon Dex Data'!U$3:U951,MATCH($E670,'0.0.1 Pokémon Dex Data'!$B$3:$B951,0)),0)</f>
        <v>164</v>
      </c>
      <c r="L670" s="260" t="n">
        <f aca="false" t="array" ref="L670:L670">ROUND(INDEX('0.0.1 Pokémon Dex Data'!$S$3:$S951,MATCH($E670,'0.0.1 Pokémon Dex Data'!$B$3:$B951,0))*INDEX('0.0.1 Pokémon Dex Data'!V$3:V951,MATCH($E670,'0.0.1 Pokémon Dex Data'!$B$3:$B951,0)),0)</f>
        <v>190</v>
      </c>
      <c r="M670" s="260" t="n">
        <f aca="false" t="array" ref="M670:M670">INDEX('0.0.1 Pokémon Dex Data'!$J$3:$J951,MATCH(E670,'0.0.1 Pokémon Dex Data'!$B$3:$B951,0))</f>
        <v>1</v>
      </c>
      <c r="O670" s="490"/>
      <c r="Q670" s="367" t="n">
        <f aca="false">IF('Reverse Search'!$F$4="All (including temporary formes)",1,IF('Reverse Search'!$F$4="Base Pokémon and permanent formes only",IF(F670&lt;=1,1,0),IF(F670=0,1,0)))</f>
        <v>1</v>
      </c>
      <c r="R670" s="0" t="n">
        <f aca="false">IF('Reverse Search'!$C$7="Disable",1,IF('Reverse Search'!$D$9="Disable",1,IF(OR('Reverse Search'!$F$9=H670,'Reverse Search'!$F$9=I670),1,0)))</f>
        <v>1</v>
      </c>
      <c r="S670" s="0" t="n">
        <f aca="false">IF('Reverse Search'!$C$7="Disable",1,IF('Reverse Search'!$D$10="Disable",1,IF(OR('Reverse Search'!$F$10=H670,'Reverse Search'!$F$10=I670),1,0)))</f>
        <v>1</v>
      </c>
      <c r="T670" s="0" t="n">
        <f aca="false">INDEX($B$4:$B$22,MATCH(H670,$A$4:$A$22,0))</f>
        <v>1</v>
      </c>
      <c r="U670" s="0" t="e">
        <f aca="false">IF(ISBLANK(I670),1,INDEX($B$4:$B$22,MATCH(I670,$A$4:$A$22,0)))</f>
        <v>#N/A</v>
      </c>
      <c r="V670" s="367" t="n">
        <f aca="false">IF('Reverse Search'!$C$7="Disable",1,IF('Reverse Search'!$D$11="Disable",1,IF('Reverse Search'!$E$11="Neutral to:",IF(ROUND(T670*U670,2)&lt;=1,1,0),IF(ROUND(T670*U670,2)&lt;1,1,0))))</f>
        <v>1</v>
      </c>
      <c r="W670" s="0" t="n">
        <f aca="false">IF('Reverse Search'!$N$7="Disable",1,IF('Reverse Search'!$I$9="Disable",1,IF('Reverse Search'!$K$9="≥",IF(J670&gt;='Reverse Search'!$L$9,1,0),IF('Reverse Search'!$K$9="≤",IF(J670&lt;='Reverse Search'!$L$9,1,0),IF(J670='Reverse Search'!$L$9,1,0)))))</f>
        <v>1</v>
      </c>
      <c r="X670" s="0" t="n">
        <f aca="false">IF('Reverse Search'!$N$7="Disable",1,IF('Reverse Search'!$I$10="Disable",1,IF('Reverse Search'!$K$10="≥",IF(K670&gt;='Reverse Search'!$L$10,1,0),IF('Reverse Search'!$K$10="≤",IF(K670&lt;='Reverse Search'!$L$10,1,0),IF(K670='Reverse Search'!$L$10,1,0)))))</f>
        <v>1</v>
      </c>
      <c r="Y670" s="367" t="n">
        <f aca="false">IF('Reverse Search'!$N$7="Disable",1,IF('Reverse Search'!$I$11="Disable",1,IF('Reverse Search'!$K$11="≥",IF(L670&gt;='Reverse Search'!$L$11,1,0),IF('Reverse Search'!$K$11="≤",IF(L670&lt;='Reverse Search'!$L$11,1,0),IF(L670='Reverse Search'!$L$11,1,0)))))</f>
        <v>1</v>
      </c>
      <c r="Z670" s="0" t="n">
        <f aca="true">IF('Reverse Search'!$C$14="Disable",1,IF('Reverse Search'!$D$16="Disable",1,IF($C$2=3,IF($M670=0,0,COUNTIF(INDIRECT("'0.0.2 Pokémon Learnset (Core)'!$D$"&amp;MATCH($E670,'0.0.2 Pokémon Learnset (Core)'!$A$1:$A951,0)&amp;":$FK$"&amp;MATCH($E670,'0.0.2 Pokémon Learnset (Core)'!$A$1:$A951,0)),'Reverse Search'!$E$21)),IF($C$2=2,COUNTIF(INDIRECT("'0.1.1 Pokémon GO Moves'!$B$"&amp;MATCH($E670,'0.1.1 Pokémon GO Moves'!$A$1:$A951,0)&amp;":$R$"&amp;MATCH($E670,'0.1.1 Pokémon GO Moves'!$A$1:$A951,0)),'Reverse Search'!$E$21),COUNTIF(INDIRECT("'0.1.1 Pokémon GO Moves'!$B$"&amp;MATCH($E670,'0.1.1 Pokémon GO Moves'!$A$1:$A951,0)&amp;":$L$"&amp;MATCH($E670,'0.1.1 Pokémon GO Moves'!$A$1:$A951,0)),'Reverse Search'!$E$21)))))</f>
        <v>1</v>
      </c>
      <c r="AA670" s="0" t="n">
        <f aca="true">IF('Reverse Search'!$C$14="Disable",1,IF('Reverse Search'!$I$16="Disable",1,IF($D$2=3,IF($M670=0,0,COUNTIF(INDIRECT("'0.0.2 Pokémon Learnset (Core)'!$D$"&amp;MATCH($E670,'0.0.2 Pokémon Learnset (Core)'!$A$1:$A951,0)&amp;":$FK$"&amp;MATCH($E670,'0.0.2 Pokémon Learnset (Core)'!$A$1:$A951,0)),'Reverse Search'!$J$21)),IF($D$2=2,COUNTIF(INDIRECT("'0.1.1 Pokémon GO Moves'!$B$"&amp;MATCH($E670,'0.1.1 Pokémon GO Moves'!$A$1:$A951,0)&amp;":$R$"&amp;MATCH($E670,'0.1.1 Pokémon GO Moves'!$A$1:$A951,0)),'Reverse Search'!$J$21),COUNTIF(INDIRECT("'0.1.1 Pokémon GO Moves'!$B$"&amp;MATCH($E670,'0.1.1 Pokémon GO Moves'!$A$1:$A951,0)&amp;":$L$"&amp;MATCH($E670,'0.1.1 Pokémon GO Moves'!$A$1:$A951,0)),'Reverse Search'!$J$21)))))</f>
        <v>0</v>
      </c>
      <c r="AB670" s="490"/>
      <c r="AC670" s="260" t="n">
        <f aca="false">IF((Q670+R670+S670+V670+W670+X670+Y670+IF(Z670&gt;=1,1,0)+IF(AA670&gt;=1,1,0))=9,G670&amp;", ",)</f>
        <v>0</v>
      </c>
    </row>
    <row r="671" customFormat="false" ht="15.75" hidden="false" customHeight="false" outlineLevel="0" collapsed="false">
      <c r="A671" s="260"/>
      <c r="B671" s="358"/>
      <c r="C671" s="260"/>
      <c r="D671" s="358"/>
      <c r="E671" s="260" t="n">
        <v>670</v>
      </c>
      <c r="F671" s="260" t="n">
        <f aca="false" t="array" ref="F671:F671">INDEX('0.0.1 Pokémon Dex Data'!$H$3:$H951,MATCH(E671,'0.0.1 Pokémon Dex Data'!$B$3:$B951,0))</f>
        <v>0</v>
      </c>
      <c r="G671" s="0" t="str">
        <f aca="false" t="array" ref="G671:G671">INDEX('0.0.1 Pokémon Dex Data'!$E$3:$E951,MATCH(E671,'0.0.1 Pokémon Dex Data'!$B$3:$B951,0))</f>
        <v>Zorua</v>
      </c>
      <c r="H671" s="0" t="str">
        <f aca="false" t="array" ref="H671:H671">INDEX('0.0.1 Pokémon Dex Data'!$Q$3:$Q951,MATCH(E671,'0.0.1 Pokémon Dex Data'!$B$3:$B951,0))</f>
        <v>Dark</v>
      </c>
      <c r="I671" s="0" t="n">
        <f aca="false">INDEX('0.0.1 Pokémon Dex Data'!$R$3:$R951,MATCH(E671,'0.0.1 Pokémon Dex Data'!$B$3:$B951,0))</f>
        <v>0</v>
      </c>
      <c r="J671" s="260" t="n">
        <f aca="false" t="array" ref="J671:J671">ROUND(INDEX('0.0.1 Pokémon Dex Data'!$S$3:$S951,MATCH($E671,'0.0.1 Pokémon Dex Data'!$B$3:$B951,0))*INDEX('0.0.1 Pokémon Dex Data'!T$3:T951,MATCH($E671,'0.0.1 Pokémon Dex Data'!$B$3:$B951,0)),0)</f>
        <v>153</v>
      </c>
      <c r="K671" s="260" t="n">
        <f aca="false" t="array" ref="K671:K671">ROUND(INDEX('0.0.1 Pokémon Dex Data'!$S$3:$S951,MATCH($E671,'0.0.1 Pokémon Dex Data'!$B$3:$B951,0))*INDEX('0.0.1 Pokémon Dex Data'!U$3:U951,MATCH($E671,'0.0.1 Pokémon Dex Data'!$B$3:$B951,0)),0)</f>
        <v>78</v>
      </c>
      <c r="L671" s="260" t="n">
        <f aca="false" t="array" ref="L671:L671">ROUND(INDEX('0.0.1 Pokémon Dex Data'!$S$3:$S951,MATCH($E671,'0.0.1 Pokémon Dex Data'!$B$3:$B951,0))*INDEX('0.0.1 Pokémon Dex Data'!V$3:V951,MATCH($E671,'0.0.1 Pokémon Dex Data'!$B$3:$B951,0)),0)</f>
        <v>120</v>
      </c>
      <c r="M671" s="260" t="n">
        <f aca="false" t="array" ref="M671:M671">INDEX('0.0.1 Pokémon Dex Data'!$J$3:$J951,MATCH(E671,'0.0.1 Pokémon Dex Data'!$B$3:$B951,0))</f>
        <v>0</v>
      </c>
      <c r="O671" s="490"/>
      <c r="Q671" s="367" t="n">
        <f aca="false">IF('Reverse Search'!$F$4="All (including temporary formes)",1,IF('Reverse Search'!$F$4="Base Pokémon and permanent formes only",IF(F671&lt;=1,1,0),IF(F671=0,1,0)))</f>
        <v>1</v>
      </c>
      <c r="R671" s="0" t="n">
        <f aca="false">IF('Reverse Search'!$C$7="Disable",1,IF('Reverse Search'!$D$9="Disable",1,IF(OR('Reverse Search'!$F$9=H671,'Reverse Search'!$F$9=I671),1,0)))</f>
        <v>1</v>
      </c>
      <c r="S671" s="0" t="n">
        <f aca="false">IF('Reverse Search'!$C$7="Disable",1,IF('Reverse Search'!$D$10="Disable",1,IF(OR('Reverse Search'!$F$10=H671,'Reverse Search'!$F$10=I671),1,0)))</f>
        <v>1</v>
      </c>
      <c r="T671" s="0" t="n">
        <f aca="false">INDEX($B$4:$B$22,MATCH(H671,$A$4:$A$22,0))</f>
        <v>1</v>
      </c>
      <c r="U671" s="0" t="e">
        <f aca="false">IF(ISBLANK(I671),1,INDEX($B$4:$B$22,MATCH(I671,$A$4:$A$22,0)))</f>
        <v>#N/A</v>
      </c>
      <c r="V671" s="367" t="n">
        <f aca="false">IF('Reverse Search'!$C$7="Disable",1,IF('Reverse Search'!$D$11="Disable",1,IF('Reverse Search'!$E$11="Neutral to:",IF(ROUND(T671*U671,2)&lt;=1,1,0),IF(ROUND(T671*U671,2)&lt;1,1,0))))</f>
        <v>1</v>
      </c>
      <c r="W671" s="0" t="n">
        <f aca="false">IF('Reverse Search'!$N$7="Disable",1,IF('Reverse Search'!$I$9="Disable",1,IF('Reverse Search'!$K$9="≥",IF(J671&gt;='Reverse Search'!$L$9,1,0),IF('Reverse Search'!$K$9="≤",IF(J671&lt;='Reverse Search'!$L$9,1,0),IF(J671='Reverse Search'!$L$9,1,0)))))</f>
        <v>1</v>
      </c>
      <c r="X671" s="0" t="n">
        <f aca="false">IF('Reverse Search'!$N$7="Disable",1,IF('Reverse Search'!$I$10="Disable",1,IF('Reverse Search'!$K$10="≥",IF(K671&gt;='Reverse Search'!$L$10,1,0),IF('Reverse Search'!$K$10="≤",IF(K671&lt;='Reverse Search'!$L$10,1,0),IF(K671='Reverse Search'!$L$10,1,0)))))</f>
        <v>1</v>
      </c>
      <c r="Y671" s="367" t="n">
        <f aca="false">IF('Reverse Search'!$N$7="Disable",1,IF('Reverse Search'!$I$11="Disable",1,IF('Reverse Search'!$K$11="≥",IF(L671&gt;='Reverse Search'!$L$11,1,0),IF('Reverse Search'!$K$11="≤",IF(L671&lt;='Reverse Search'!$L$11,1,0),IF(L671='Reverse Search'!$L$11,1,0)))))</f>
        <v>1</v>
      </c>
      <c r="Z671" s="0" t="n">
        <f aca="true">IF('Reverse Search'!$C$14="Disable",1,IF('Reverse Search'!$D$16="Disable",1,IF($C$2=3,IF($M671=0,0,COUNTIF(INDIRECT("'0.0.2 Pokémon Learnset (Core)'!$D$"&amp;MATCH($E671,'0.0.2 Pokémon Learnset (Core)'!$A$1:$A951,0)&amp;":$FK$"&amp;MATCH($E671,'0.0.2 Pokémon Learnset (Core)'!$A$1:$A951,0)),'Reverse Search'!$E$21)),IF($C$2=2,COUNTIF(INDIRECT("'0.1.1 Pokémon GO Moves'!$B$"&amp;MATCH($E671,'0.1.1 Pokémon GO Moves'!$A$1:$A951,0)&amp;":$R$"&amp;MATCH($E671,'0.1.1 Pokémon GO Moves'!$A$1:$A951,0)),'Reverse Search'!$E$21),COUNTIF(INDIRECT("'0.1.1 Pokémon GO Moves'!$B$"&amp;MATCH($E671,'0.1.1 Pokémon GO Moves'!$A$1:$A951,0)&amp;":$L$"&amp;MATCH($E671,'0.1.1 Pokémon GO Moves'!$A$1:$A951,0)),'Reverse Search'!$E$21)))))</f>
        <v>1</v>
      </c>
      <c r="AA671" s="0" t="n">
        <f aca="true">IF('Reverse Search'!$C$14="Disable",1,IF('Reverse Search'!$I$16="Disable",1,IF($D$2=3,IF($M671=0,0,COUNTIF(INDIRECT("'0.0.2 Pokémon Learnset (Core)'!$D$"&amp;MATCH($E671,'0.0.2 Pokémon Learnset (Core)'!$A$1:$A951,0)&amp;":$FK$"&amp;MATCH($E671,'0.0.2 Pokémon Learnset (Core)'!$A$1:$A951,0)),'Reverse Search'!$J$21)),IF($D$2=2,COUNTIF(INDIRECT("'0.1.1 Pokémon GO Moves'!$B$"&amp;MATCH($E671,'0.1.1 Pokémon GO Moves'!$A$1:$A951,0)&amp;":$R$"&amp;MATCH($E671,'0.1.1 Pokémon GO Moves'!$A$1:$A951,0)),'Reverse Search'!$J$21),COUNTIF(INDIRECT("'0.1.1 Pokémon GO Moves'!$B$"&amp;MATCH($E671,'0.1.1 Pokémon GO Moves'!$A$1:$A951,0)&amp;":$L$"&amp;MATCH($E671,'0.1.1 Pokémon GO Moves'!$A$1:$A951,0)),'Reverse Search'!$J$21)))))</f>
        <v>0</v>
      </c>
      <c r="AB671" s="490"/>
      <c r="AC671" s="260" t="n">
        <f aca="false">IF((Q671+R671+S671+V671+W671+X671+Y671+IF(Z671&gt;=1,1,0)+IF(AA671&gt;=1,1,0))=9,G671&amp;", ",)</f>
        <v>0</v>
      </c>
    </row>
    <row r="672" customFormat="false" ht="15.75" hidden="false" customHeight="false" outlineLevel="0" collapsed="false">
      <c r="A672" s="260"/>
      <c r="B672" s="358"/>
      <c r="C672" s="260"/>
      <c r="D672" s="358"/>
      <c r="E672" s="260" t="n">
        <v>671</v>
      </c>
      <c r="F672" s="260" t="n">
        <f aca="false" t="array" ref="F672:F672">INDEX('0.0.1 Pokémon Dex Data'!$H$3:$H951,MATCH(E672,'0.0.1 Pokémon Dex Data'!$B$3:$B951,0))</f>
        <v>0</v>
      </c>
      <c r="G672" s="0" t="str">
        <f aca="false" t="array" ref="G672:G672">INDEX('0.0.1 Pokémon Dex Data'!$E$3:$E951,MATCH(E672,'0.0.1 Pokémon Dex Data'!$B$3:$B951,0))</f>
        <v>Zoroark</v>
      </c>
      <c r="H672" s="0" t="str">
        <f aca="false" t="array" ref="H672:H672">INDEX('0.0.1 Pokémon Dex Data'!$Q$3:$Q951,MATCH(E672,'0.0.1 Pokémon Dex Data'!$B$3:$B951,0))</f>
        <v>Dark</v>
      </c>
      <c r="I672" s="0" t="n">
        <f aca="false">INDEX('0.0.1 Pokémon Dex Data'!$R$3:$R951,MATCH(E672,'0.0.1 Pokémon Dex Data'!$B$3:$B951,0))</f>
        <v>0</v>
      </c>
      <c r="J672" s="260" t="n">
        <f aca="false" t="array" ref="J672:J672">ROUND(INDEX('0.0.1 Pokémon Dex Data'!$S$3:$S951,MATCH($E672,'0.0.1 Pokémon Dex Data'!$B$3:$B951,0))*INDEX('0.0.1 Pokémon Dex Data'!T$3:T951,MATCH($E672,'0.0.1 Pokémon Dex Data'!$B$3:$B951,0)),0)</f>
        <v>250</v>
      </c>
      <c r="K672" s="260" t="n">
        <f aca="false" t="array" ref="K672:K672">ROUND(INDEX('0.0.1 Pokémon Dex Data'!$S$3:$S951,MATCH($E672,'0.0.1 Pokémon Dex Data'!$B$3:$B951,0))*INDEX('0.0.1 Pokémon Dex Data'!U$3:U951,MATCH($E672,'0.0.1 Pokémon Dex Data'!$B$3:$B951,0)),0)</f>
        <v>127</v>
      </c>
      <c r="L672" s="260" t="n">
        <f aca="false" t="array" ref="L672:L672">ROUND(INDEX('0.0.1 Pokémon Dex Data'!$S$3:$S951,MATCH($E672,'0.0.1 Pokémon Dex Data'!$B$3:$B951,0))*INDEX('0.0.1 Pokémon Dex Data'!V$3:V951,MATCH($E672,'0.0.1 Pokémon Dex Data'!$B$3:$B951,0)),0)</f>
        <v>155</v>
      </c>
      <c r="M672" s="260" t="n">
        <f aca="false" t="array" ref="M672:M672">INDEX('0.0.1 Pokémon Dex Data'!$J$3:$J951,MATCH(E672,'0.0.1 Pokémon Dex Data'!$B$3:$B951,0))</f>
        <v>1</v>
      </c>
      <c r="O672" s="490"/>
      <c r="Q672" s="367" t="n">
        <f aca="false">IF('Reverse Search'!$F$4="All (including temporary formes)",1,IF('Reverse Search'!$F$4="Base Pokémon and permanent formes only",IF(F672&lt;=1,1,0),IF(F672=0,1,0)))</f>
        <v>1</v>
      </c>
      <c r="R672" s="0" t="n">
        <f aca="false">IF('Reverse Search'!$C$7="Disable",1,IF('Reverse Search'!$D$9="Disable",1,IF(OR('Reverse Search'!$F$9=H672,'Reverse Search'!$F$9=I672),1,0)))</f>
        <v>1</v>
      </c>
      <c r="S672" s="0" t="n">
        <f aca="false">IF('Reverse Search'!$C$7="Disable",1,IF('Reverse Search'!$D$10="Disable",1,IF(OR('Reverse Search'!$F$10=H672,'Reverse Search'!$F$10=I672),1,0)))</f>
        <v>1</v>
      </c>
      <c r="T672" s="0" t="n">
        <f aca="false">INDEX($B$4:$B$22,MATCH(H672,$A$4:$A$22,0))</f>
        <v>1</v>
      </c>
      <c r="U672" s="0" t="e">
        <f aca="false">IF(ISBLANK(I672),1,INDEX($B$4:$B$22,MATCH(I672,$A$4:$A$22,0)))</f>
        <v>#N/A</v>
      </c>
      <c r="V672" s="367" t="n">
        <f aca="false">IF('Reverse Search'!$C$7="Disable",1,IF('Reverse Search'!$D$11="Disable",1,IF('Reverse Search'!$E$11="Neutral to:",IF(ROUND(T672*U672,2)&lt;=1,1,0),IF(ROUND(T672*U672,2)&lt;1,1,0))))</f>
        <v>1</v>
      </c>
      <c r="W672" s="0" t="n">
        <f aca="false">IF('Reverse Search'!$N$7="Disable",1,IF('Reverse Search'!$I$9="Disable",1,IF('Reverse Search'!$K$9="≥",IF(J672&gt;='Reverse Search'!$L$9,1,0),IF('Reverse Search'!$K$9="≤",IF(J672&lt;='Reverse Search'!$L$9,1,0),IF(J672='Reverse Search'!$L$9,1,0)))))</f>
        <v>1</v>
      </c>
      <c r="X672" s="0" t="n">
        <f aca="false">IF('Reverse Search'!$N$7="Disable",1,IF('Reverse Search'!$I$10="Disable",1,IF('Reverse Search'!$K$10="≥",IF(K672&gt;='Reverse Search'!$L$10,1,0),IF('Reverse Search'!$K$10="≤",IF(K672&lt;='Reverse Search'!$L$10,1,0),IF(K672='Reverse Search'!$L$10,1,0)))))</f>
        <v>1</v>
      </c>
      <c r="Y672" s="367" t="n">
        <f aca="false">IF('Reverse Search'!$N$7="Disable",1,IF('Reverse Search'!$I$11="Disable",1,IF('Reverse Search'!$K$11="≥",IF(L672&gt;='Reverse Search'!$L$11,1,0),IF('Reverse Search'!$K$11="≤",IF(L672&lt;='Reverse Search'!$L$11,1,0),IF(L672='Reverse Search'!$L$11,1,0)))))</f>
        <v>1</v>
      </c>
      <c r="Z672" s="0" t="n">
        <f aca="true">IF('Reverse Search'!$C$14="Disable",1,IF('Reverse Search'!$D$16="Disable",1,IF($C$2=3,IF($M672=0,0,COUNTIF(INDIRECT("'0.0.2 Pokémon Learnset (Core)'!$D$"&amp;MATCH($E672,'0.0.2 Pokémon Learnset (Core)'!$A$1:$A951,0)&amp;":$FK$"&amp;MATCH($E672,'0.0.2 Pokémon Learnset (Core)'!$A$1:$A951,0)),'Reverse Search'!$E$21)),IF($C$2=2,COUNTIF(INDIRECT("'0.1.1 Pokémon GO Moves'!$B$"&amp;MATCH($E672,'0.1.1 Pokémon GO Moves'!$A$1:$A951,0)&amp;":$R$"&amp;MATCH($E672,'0.1.1 Pokémon GO Moves'!$A$1:$A951,0)),'Reverse Search'!$E$21),COUNTIF(INDIRECT("'0.1.1 Pokémon GO Moves'!$B$"&amp;MATCH($E672,'0.1.1 Pokémon GO Moves'!$A$1:$A951,0)&amp;":$L$"&amp;MATCH($E672,'0.1.1 Pokémon GO Moves'!$A$1:$A951,0)),'Reverse Search'!$E$21)))))</f>
        <v>1</v>
      </c>
      <c r="AA672" s="0" t="n">
        <f aca="true">IF('Reverse Search'!$C$14="Disable",1,IF('Reverse Search'!$I$16="Disable",1,IF($D$2=3,IF($M672=0,0,COUNTIF(INDIRECT("'0.0.2 Pokémon Learnset (Core)'!$D$"&amp;MATCH($E672,'0.0.2 Pokémon Learnset (Core)'!$A$1:$A951,0)&amp;":$FK$"&amp;MATCH($E672,'0.0.2 Pokémon Learnset (Core)'!$A$1:$A951,0)),'Reverse Search'!$J$21)),IF($D$2=2,COUNTIF(INDIRECT("'0.1.1 Pokémon GO Moves'!$B$"&amp;MATCH($E672,'0.1.1 Pokémon GO Moves'!$A$1:$A951,0)&amp;":$R$"&amp;MATCH($E672,'0.1.1 Pokémon GO Moves'!$A$1:$A951,0)),'Reverse Search'!$J$21),COUNTIF(INDIRECT("'0.1.1 Pokémon GO Moves'!$B$"&amp;MATCH($E672,'0.1.1 Pokémon GO Moves'!$A$1:$A951,0)&amp;":$L$"&amp;MATCH($E672,'0.1.1 Pokémon GO Moves'!$A$1:$A951,0)),'Reverse Search'!$J$21)))))</f>
        <v>0</v>
      </c>
      <c r="AB672" s="490"/>
      <c r="AC672" s="260" t="n">
        <f aca="false">IF((Q672+R672+S672+V672+W672+X672+Y672+IF(Z672&gt;=1,1,0)+IF(AA672&gt;=1,1,0))=9,G672&amp;", ",)</f>
        <v>0</v>
      </c>
    </row>
    <row r="673" customFormat="false" ht="15.75" hidden="false" customHeight="false" outlineLevel="0" collapsed="false">
      <c r="A673" s="260"/>
      <c r="B673" s="358"/>
      <c r="C673" s="260"/>
      <c r="D673" s="358"/>
      <c r="E673" s="260" t="n">
        <v>672</v>
      </c>
      <c r="F673" s="260" t="n">
        <f aca="false" t="array" ref="F673:F673">INDEX('0.0.1 Pokémon Dex Data'!$H$3:$H951,MATCH(E673,'0.0.1 Pokémon Dex Data'!$B$3:$B951,0))</f>
        <v>0</v>
      </c>
      <c r="G673" s="0" t="str">
        <f aca="false" t="array" ref="G673:G673">INDEX('0.0.1 Pokémon Dex Data'!$E$3:$E951,MATCH(E673,'0.0.1 Pokémon Dex Data'!$B$3:$B951,0))</f>
        <v>Minccino</v>
      </c>
      <c r="H673" s="0" t="str">
        <f aca="false" t="array" ref="H673:H673">INDEX('0.0.1 Pokémon Dex Data'!$Q$3:$Q951,MATCH(E673,'0.0.1 Pokémon Dex Data'!$B$3:$B951,0))</f>
        <v>Normal</v>
      </c>
      <c r="I673" s="0" t="n">
        <f aca="false">INDEX('0.0.1 Pokémon Dex Data'!$R$3:$R951,MATCH(E673,'0.0.1 Pokémon Dex Data'!$B$3:$B951,0))</f>
        <v>0</v>
      </c>
      <c r="J673" s="260" t="n">
        <f aca="false" t="array" ref="J673:J673">ROUND(INDEX('0.0.1 Pokémon Dex Data'!$S$3:$S951,MATCH($E673,'0.0.1 Pokémon Dex Data'!$B$3:$B951,0))*INDEX('0.0.1 Pokémon Dex Data'!T$3:T951,MATCH($E673,'0.0.1 Pokémon Dex Data'!$B$3:$B951,0)),0)</f>
        <v>98</v>
      </c>
      <c r="K673" s="260" t="n">
        <f aca="false" t="array" ref="K673:K673">ROUND(INDEX('0.0.1 Pokémon Dex Data'!$S$3:$S951,MATCH($E673,'0.0.1 Pokémon Dex Data'!$B$3:$B951,0))*INDEX('0.0.1 Pokémon Dex Data'!U$3:U951,MATCH($E673,'0.0.1 Pokémon Dex Data'!$B$3:$B951,0)),0)</f>
        <v>80</v>
      </c>
      <c r="L673" s="260" t="n">
        <f aca="false" t="array" ref="L673:L673">ROUND(INDEX('0.0.1 Pokémon Dex Data'!$S$3:$S951,MATCH($E673,'0.0.1 Pokémon Dex Data'!$B$3:$B951,0))*INDEX('0.0.1 Pokémon Dex Data'!V$3:V951,MATCH($E673,'0.0.1 Pokémon Dex Data'!$B$3:$B951,0)),0)</f>
        <v>146</v>
      </c>
      <c r="M673" s="260" t="n">
        <f aca="false" t="array" ref="M673:M673">INDEX('0.0.1 Pokémon Dex Data'!$J$3:$J951,MATCH(E673,'0.0.1 Pokémon Dex Data'!$B$3:$B951,0))</f>
        <v>0</v>
      </c>
      <c r="O673" s="490"/>
      <c r="Q673" s="367" t="n">
        <f aca="false">IF('Reverse Search'!$F$4="All (including temporary formes)",1,IF('Reverse Search'!$F$4="Base Pokémon and permanent formes only",IF(F673&lt;=1,1,0),IF(F673=0,1,0)))</f>
        <v>1</v>
      </c>
      <c r="R673" s="0" t="n">
        <f aca="false">IF('Reverse Search'!$C$7="Disable",1,IF('Reverse Search'!$D$9="Disable",1,IF(OR('Reverse Search'!$F$9=H673,'Reverse Search'!$F$9=I673),1,0)))</f>
        <v>1</v>
      </c>
      <c r="S673" s="0" t="n">
        <f aca="false">IF('Reverse Search'!$C$7="Disable",1,IF('Reverse Search'!$D$10="Disable",1,IF(OR('Reverse Search'!$F$10=H673,'Reverse Search'!$F$10=I673),1,0)))</f>
        <v>1</v>
      </c>
      <c r="T673" s="0" t="n">
        <f aca="false">INDEX($B$4:$B$22,MATCH(H673,$A$4:$A$22,0))</f>
        <v>1</v>
      </c>
      <c r="U673" s="0" t="e">
        <f aca="false">IF(ISBLANK(I673),1,INDEX($B$4:$B$22,MATCH(I673,$A$4:$A$22,0)))</f>
        <v>#N/A</v>
      </c>
      <c r="V673" s="367" t="n">
        <f aca="false">IF('Reverse Search'!$C$7="Disable",1,IF('Reverse Search'!$D$11="Disable",1,IF('Reverse Search'!$E$11="Neutral to:",IF(ROUND(T673*U673,2)&lt;=1,1,0),IF(ROUND(T673*U673,2)&lt;1,1,0))))</f>
        <v>1</v>
      </c>
      <c r="W673" s="0" t="n">
        <f aca="false">IF('Reverse Search'!$N$7="Disable",1,IF('Reverse Search'!$I$9="Disable",1,IF('Reverse Search'!$K$9="≥",IF(J673&gt;='Reverse Search'!$L$9,1,0),IF('Reverse Search'!$K$9="≤",IF(J673&lt;='Reverse Search'!$L$9,1,0),IF(J673='Reverse Search'!$L$9,1,0)))))</f>
        <v>1</v>
      </c>
      <c r="X673" s="0" t="n">
        <f aca="false">IF('Reverse Search'!$N$7="Disable",1,IF('Reverse Search'!$I$10="Disable",1,IF('Reverse Search'!$K$10="≥",IF(K673&gt;='Reverse Search'!$L$10,1,0),IF('Reverse Search'!$K$10="≤",IF(K673&lt;='Reverse Search'!$L$10,1,0),IF(K673='Reverse Search'!$L$10,1,0)))))</f>
        <v>1</v>
      </c>
      <c r="Y673" s="367" t="n">
        <f aca="false">IF('Reverse Search'!$N$7="Disable",1,IF('Reverse Search'!$I$11="Disable",1,IF('Reverse Search'!$K$11="≥",IF(L673&gt;='Reverse Search'!$L$11,1,0),IF('Reverse Search'!$K$11="≤",IF(L673&lt;='Reverse Search'!$L$11,1,0),IF(L673='Reverse Search'!$L$11,1,0)))))</f>
        <v>1</v>
      </c>
      <c r="Z673" s="0" t="n">
        <f aca="true">IF('Reverse Search'!$C$14="Disable",1,IF('Reverse Search'!$D$16="Disable",1,IF($C$2=3,IF($M673=0,0,COUNTIF(INDIRECT("'0.0.2 Pokémon Learnset (Core)'!$D$"&amp;MATCH($E673,'0.0.2 Pokémon Learnset (Core)'!$A$1:$A951,0)&amp;":$FK$"&amp;MATCH($E673,'0.0.2 Pokémon Learnset (Core)'!$A$1:$A951,0)),'Reverse Search'!$E$21)),IF($C$2=2,COUNTIF(INDIRECT("'0.1.1 Pokémon GO Moves'!$B$"&amp;MATCH($E673,'0.1.1 Pokémon GO Moves'!$A$1:$A951,0)&amp;":$R$"&amp;MATCH($E673,'0.1.1 Pokémon GO Moves'!$A$1:$A951,0)),'Reverse Search'!$E$21),COUNTIF(INDIRECT("'0.1.1 Pokémon GO Moves'!$B$"&amp;MATCH($E673,'0.1.1 Pokémon GO Moves'!$A$1:$A951,0)&amp;":$L$"&amp;MATCH($E673,'0.1.1 Pokémon GO Moves'!$A$1:$A951,0)),'Reverse Search'!$E$21)))))</f>
        <v>1</v>
      </c>
      <c r="AA673" s="0" t="n">
        <f aca="true">IF('Reverse Search'!$C$14="Disable",1,IF('Reverse Search'!$I$16="Disable",1,IF($D$2=3,IF($M673=0,0,COUNTIF(INDIRECT("'0.0.2 Pokémon Learnset (Core)'!$D$"&amp;MATCH($E673,'0.0.2 Pokémon Learnset (Core)'!$A$1:$A951,0)&amp;":$FK$"&amp;MATCH($E673,'0.0.2 Pokémon Learnset (Core)'!$A$1:$A951,0)),'Reverse Search'!$J$21)),IF($D$2=2,COUNTIF(INDIRECT("'0.1.1 Pokémon GO Moves'!$B$"&amp;MATCH($E673,'0.1.1 Pokémon GO Moves'!$A$1:$A951,0)&amp;":$R$"&amp;MATCH($E673,'0.1.1 Pokémon GO Moves'!$A$1:$A951,0)),'Reverse Search'!$J$21),COUNTIF(INDIRECT("'0.1.1 Pokémon GO Moves'!$B$"&amp;MATCH($E673,'0.1.1 Pokémon GO Moves'!$A$1:$A951,0)&amp;":$L$"&amp;MATCH($E673,'0.1.1 Pokémon GO Moves'!$A$1:$A951,0)),'Reverse Search'!$J$21)))))</f>
        <v>0</v>
      </c>
      <c r="AB673" s="490"/>
      <c r="AC673" s="260" t="n">
        <f aca="false">IF((Q673+R673+S673+V673+W673+X673+Y673+IF(Z673&gt;=1,1,0)+IF(AA673&gt;=1,1,0))=9,G673&amp;", ",)</f>
        <v>0</v>
      </c>
    </row>
    <row r="674" customFormat="false" ht="15.75" hidden="false" customHeight="false" outlineLevel="0" collapsed="false">
      <c r="A674" s="260"/>
      <c r="B674" s="358"/>
      <c r="C674" s="260"/>
      <c r="D674" s="358"/>
      <c r="E674" s="260" t="n">
        <v>673</v>
      </c>
      <c r="F674" s="260" t="n">
        <f aca="false" t="array" ref="F674:F674">INDEX('0.0.1 Pokémon Dex Data'!$H$3:$H951,MATCH(E674,'0.0.1 Pokémon Dex Data'!$B$3:$B951,0))</f>
        <v>0</v>
      </c>
      <c r="G674" s="0" t="str">
        <f aca="false" t="array" ref="G674:G674">INDEX('0.0.1 Pokémon Dex Data'!$E$3:$E951,MATCH(E674,'0.0.1 Pokémon Dex Data'!$B$3:$B951,0))</f>
        <v>Cinccino</v>
      </c>
      <c r="H674" s="0" t="str">
        <f aca="false" t="array" ref="H674:H674">INDEX('0.0.1 Pokémon Dex Data'!$Q$3:$Q951,MATCH(E674,'0.0.1 Pokémon Dex Data'!$B$3:$B951,0))</f>
        <v>Normal</v>
      </c>
      <c r="I674" s="0" t="n">
        <f aca="false">INDEX('0.0.1 Pokémon Dex Data'!$R$3:$R951,MATCH(E674,'0.0.1 Pokémon Dex Data'!$B$3:$B951,0))</f>
        <v>0</v>
      </c>
      <c r="J674" s="260" t="n">
        <f aca="false" t="array" ref="J674:J674">ROUND(INDEX('0.0.1 Pokémon Dex Data'!$S$3:$S951,MATCH($E674,'0.0.1 Pokémon Dex Data'!$B$3:$B951,0))*INDEX('0.0.1 Pokémon Dex Data'!T$3:T951,MATCH($E674,'0.0.1 Pokémon Dex Data'!$B$3:$B951,0)),0)</f>
        <v>198</v>
      </c>
      <c r="K674" s="260" t="n">
        <f aca="false" t="array" ref="K674:K674">ROUND(INDEX('0.0.1 Pokémon Dex Data'!$S$3:$S951,MATCH($E674,'0.0.1 Pokémon Dex Data'!$B$3:$B951,0))*INDEX('0.0.1 Pokémon Dex Data'!U$3:U951,MATCH($E674,'0.0.1 Pokémon Dex Data'!$B$3:$B951,0)),0)</f>
        <v>130</v>
      </c>
      <c r="L674" s="260" t="n">
        <f aca="false" t="array" ref="L674:L674">ROUND(INDEX('0.0.1 Pokémon Dex Data'!$S$3:$S951,MATCH($E674,'0.0.1 Pokémon Dex Data'!$B$3:$B951,0))*INDEX('0.0.1 Pokémon Dex Data'!V$3:V951,MATCH($E674,'0.0.1 Pokémon Dex Data'!$B$3:$B951,0)),0)</f>
        <v>181</v>
      </c>
      <c r="M674" s="260" t="n">
        <f aca="false" t="array" ref="M674:M674">INDEX('0.0.1 Pokémon Dex Data'!$J$3:$J951,MATCH(E674,'0.0.1 Pokémon Dex Data'!$B$3:$B951,0))</f>
        <v>1</v>
      </c>
      <c r="O674" s="490"/>
      <c r="Q674" s="367" t="n">
        <f aca="false">IF('Reverse Search'!$F$4="All (including temporary formes)",1,IF('Reverse Search'!$F$4="Base Pokémon and permanent formes only",IF(F674&lt;=1,1,0),IF(F674=0,1,0)))</f>
        <v>1</v>
      </c>
      <c r="R674" s="0" t="n">
        <f aca="false">IF('Reverse Search'!$C$7="Disable",1,IF('Reverse Search'!$D$9="Disable",1,IF(OR('Reverse Search'!$F$9=H674,'Reverse Search'!$F$9=I674),1,0)))</f>
        <v>1</v>
      </c>
      <c r="S674" s="0" t="n">
        <f aca="false">IF('Reverse Search'!$C$7="Disable",1,IF('Reverse Search'!$D$10="Disable",1,IF(OR('Reverse Search'!$F$10=H674,'Reverse Search'!$F$10=I674),1,0)))</f>
        <v>1</v>
      </c>
      <c r="T674" s="0" t="n">
        <f aca="false">INDEX($B$4:$B$22,MATCH(H674,$A$4:$A$22,0))</f>
        <v>1</v>
      </c>
      <c r="U674" s="0" t="e">
        <f aca="false">IF(ISBLANK(I674),1,INDEX($B$4:$B$22,MATCH(I674,$A$4:$A$22,0)))</f>
        <v>#N/A</v>
      </c>
      <c r="V674" s="367" t="n">
        <f aca="false">IF('Reverse Search'!$C$7="Disable",1,IF('Reverse Search'!$D$11="Disable",1,IF('Reverse Search'!$E$11="Neutral to:",IF(ROUND(T674*U674,2)&lt;=1,1,0),IF(ROUND(T674*U674,2)&lt;1,1,0))))</f>
        <v>1</v>
      </c>
      <c r="W674" s="0" t="n">
        <f aca="false">IF('Reverse Search'!$N$7="Disable",1,IF('Reverse Search'!$I$9="Disable",1,IF('Reverse Search'!$K$9="≥",IF(J674&gt;='Reverse Search'!$L$9,1,0),IF('Reverse Search'!$K$9="≤",IF(J674&lt;='Reverse Search'!$L$9,1,0),IF(J674='Reverse Search'!$L$9,1,0)))))</f>
        <v>1</v>
      </c>
      <c r="X674" s="0" t="n">
        <f aca="false">IF('Reverse Search'!$N$7="Disable",1,IF('Reverse Search'!$I$10="Disable",1,IF('Reverse Search'!$K$10="≥",IF(K674&gt;='Reverse Search'!$L$10,1,0),IF('Reverse Search'!$K$10="≤",IF(K674&lt;='Reverse Search'!$L$10,1,0),IF(K674='Reverse Search'!$L$10,1,0)))))</f>
        <v>1</v>
      </c>
      <c r="Y674" s="367" t="n">
        <f aca="false">IF('Reverse Search'!$N$7="Disable",1,IF('Reverse Search'!$I$11="Disable",1,IF('Reverse Search'!$K$11="≥",IF(L674&gt;='Reverse Search'!$L$11,1,0),IF('Reverse Search'!$K$11="≤",IF(L674&lt;='Reverse Search'!$L$11,1,0),IF(L674='Reverse Search'!$L$11,1,0)))))</f>
        <v>1</v>
      </c>
      <c r="Z674" s="0" t="n">
        <f aca="true">IF('Reverse Search'!$C$14="Disable",1,IF('Reverse Search'!$D$16="Disable",1,IF($C$2=3,IF($M674=0,0,COUNTIF(INDIRECT("'0.0.2 Pokémon Learnset (Core)'!$D$"&amp;MATCH($E674,'0.0.2 Pokémon Learnset (Core)'!$A$1:$A951,0)&amp;":$FK$"&amp;MATCH($E674,'0.0.2 Pokémon Learnset (Core)'!$A$1:$A951,0)),'Reverse Search'!$E$21)),IF($C$2=2,COUNTIF(INDIRECT("'0.1.1 Pokémon GO Moves'!$B$"&amp;MATCH($E674,'0.1.1 Pokémon GO Moves'!$A$1:$A951,0)&amp;":$R$"&amp;MATCH($E674,'0.1.1 Pokémon GO Moves'!$A$1:$A951,0)),'Reverse Search'!$E$21),COUNTIF(INDIRECT("'0.1.1 Pokémon GO Moves'!$B$"&amp;MATCH($E674,'0.1.1 Pokémon GO Moves'!$A$1:$A951,0)&amp;":$L$"&amp;MATCH($E674,'0.1.1 Pokémon GO Moves'!$A$1:$A951,0)),'Reverse Search'!$E$21)))))</f>
        <v>1</v>
      </c>
      <c r="AA674" s="0" t="n">
        <f aca="true">IF('Reverse Search'!$C$14="Disable",1,IF('Reverse Search'!$I$16="Disable",1,IF($D$2=3,IF($M674=0,0,COUNTIF(INDIRECT("'0.0.2 Pokémon Learnset (Core)'!$D$"&amp;MATCH($E674,'0.0.2 Pokémon Learnset (Core)'!$A$1:$A951,0)&amp;":$FK$"&amp;MATCH($E674,'0.0.2 Pokémon Learnset (Core)'!$A$1:$A951,0)),'Reverse Search'!$J$21)),IF($D$2=2,COUNTIF(INDIRECT("'0.1.1 Pokémon GO Moves'!$B$"&amp;MATCH($E674,'0.1.1 Pokémon GO Moves'!$A$1:$A951,0)&amp;":$R$"&amp;MATCH($E674,'0.1.1 Pokémon GO Moves'!$A$1:$A951,0)),'Reverse Search'!$J$21),COUNTIF(INDIRECT("'0.1.1 Pokémon GO Moves'!$B$"&amp;MATCH($E674,'0.1.1 Pokémon GO Moves'!$A$1:$A951,0)&amp;":$L$"&amp;MATCH($E674,'0.1.1 Pokémon GO Moves'!$A$1:$A951,0)),'Reverse Search'!$J$21)))))</f>
        <v>0</v>
      </c>
      <c r="AB674" s="490"/>
      <c r="AC674" s="260" t="n">
        <f aca="false">IF((Q674+R674+S674+V674+W674+X674+Y674+IF(Z674&gt;=1,1,0)+IF(AA674&gt;=1,1,0))=9,G674&amp;", ",)</f>
        <v>0</v>
      </c>
    </row>
    <row r="675" customFormat="false" ht="15.75" hidden="false" customHeight="false" outlineLevel="0" collapsed="false">
      <c r="A675" s="260"/>
      <c r="B675" s="358"/>
      <c r="C675" s="260"/>
      <c r="D675" s="358"/>
      <c r="E675" s="260" t="n">
        <v>674</v>
      </c>
      <c r="F675" s="260" t="n">
        <f aca="false" t="array" ref="F675:F675">INDEX('0.0.1 Pokémon Dex Data'!$H$3:$H951,MATCH(E675,'0.0.1 Pokémon Dex Data'!$B$3:$B951,0))</f>
        <v>0</v>
      </c>
      <c r="G675" s="0" t="str">
        <f aca="false" t="array" ref="G675:G675">INDEX('0.0.1 Pokémon Dex Data'!$E$3:$E951,MATCH(E675,'0.0.1 Pokémon Dex Data'!$B$3:$B951,0))</f>
        <v>Gothita</v>
      </c>
      <c r="H675" s="0" t="str">
        <f aca="false" t="array" ref="H675:H675">INDEX('0.0.1 Pokémon Dex Data'!$Q$3:$Q951,MATCH(E675,'0.0.1 Pokémon Dex Data'!$B$3:$B951,0))</f>
        <v>Psychic</v>
      </c>
      <c r="I675" s="0" t="n">
        <f aca="false">INDEX('0.0.1 Pokémon Dex Data'!$R$3:$R951,MATCH(E675,'0.0.1 Pokémon Dex Data'!$B$3:$B951,0))</f>
        <v>0</v>
      </c>
      <c r="J675" s="260" t="n">
        <f aca="false" t="array" ref="J675:J675">ROUND(INDEX('0.0.1 Pokémon Dex Data'!$S$3:$S951,MATCH($E675,'0.0.1 Pokémon Dex Data'!$B$3:$B951,0))*INDEX('0.0.1 Pokémon Dex Data'!T$3:T951,MATCH($E675,'0.0.1 Pokémon Dex Data'!$B$3:$B951,0)),0)</f>
        <v>98</v>
      </c>
      <c r="K675" s="260" t="n">
        <f aca="false" t="array" ref="K675:K675">ROUND(INDEX('0.0.1 Pokémon Dex Data'!$S$3:$S951,MATCH($E675,'0.0.1 Pokémon Dex Data'!$B$3:$B951,0))*INDEX('0.0.1 Pokémon Dex Data'!U$3:U951,MATCH($E675,'0.0.1 Pokémon Dex Data'!$B$3:$B951,0)),0)</f>
        <v>112</v>
      </c>
      <c r="L675" s="260" t="n">
        <f aca="false" t="array" ref="L675:L675">ROUND(INDEX('0.0.1 Pokémon Dex Data'!$S$3:$S951,MATCH($E675,'0.0.1 Pokémon Dex Data'!$B$3:$B951,0))*INDEX('0.0.1 Pokémon Dex Data'!V$3:V951,MATCH($E675,'0.0.1 Pokémon Dex Data'!$B$3:$B951,0)),0)</f>
        <v>128</v>
      </c>
      <c r="M675" s="260" t="n">
        <f aca="false" t="array" ref="M675:M675">INDEX('0.0.1 Pokémon Dex Data'!$J$3:$J951,MATCH(E675,'0.0.1 Pokémon Dex Data'!$B$3:$B951,0))</f>
        <v>0</v>
      </c>
      <c r="O675" s="490"/>
      <c r="Q675" s="367" t="n">
        <f aca="false">IF('Reverse Search'!$F$4="All (including temporary formes)",1,IF('Reverse Search'!$F$4="Base Pokémon and permanent formes only",IF(F675&lt;=1,1,0),IF(F675=0,1,0)))</f>
        <v>1</v>
      </c>
      <c r="R675" s="0" t="n">
        <f aca="false">IF('Reverse Search'!$C$7="Disable",1,IF('Reverse Search'!$D$9="Disable",1,IF(OR('Reverse Search'!$F$9=H675,'Reverse Search'!$F$9=I675),1,0)))</f>
        <v>1</v>
      </c>
      <c r="S675" s="0" t="n">
        <f aca="false">IF('Reverse Search'!$C$7="Disable",1,IF('Reverse Search'!$D$10="Disable",1,IF(OR('Reverse Search'!$F$10=H675,'Reverse Search'!$F$10=I675),1,0)))</f>
        <v>1</v>
      </c>
      <c r="T675" s="0" t="n">
        <f aca="false">INDEX($B$4:$B$22,MATCH(H675,$A$4:$A$22,0))</f>
        <v>1</v>
      </c>
      <c r="U675" s="0" t="e">
        <f aca="false">IF(ISBLANK(I675),1,INDEX($B$4:$B$22,MATCH(I675,$A$4:$A$22,0)))</f>
        <v>#N/A</v>
      </c>
      <c r="V675" s="367" t="n">
        <f aca="false">IF('Reverse Search'!$C$7="Disable",1,IF('Reverse Search'!$D$11="Disable",1,IF('Reverse Search'!$E$11="Neutral to:",IF(ROUND(T675*U675,2)&lt;=1,1,0),IF(ROUND(T675*U675,2)&lt;1,1,0))))</f>
        <v>1</v>
      </c>
      <c r="W675" s="0" t="n">
        <f aca="false">IF('Reverse Search'!$N$7="Disable",1,IF('Reverse Search'!$I$9="Disable",1,IF('Reverse Search'!$K$9="≥",IF(J675&gt;='Reverse Search'!$L$9,1,0),IF('Reverse Search'!$K$9="≤",IF(J675&lt;='Reverse Search'!$L$9,1,0),IF(J675='Reverse Search'!$L$9,1,0)))))</f>
        <v>1</v>
      </c>
      <c r="X675" s="0" t="n">
        <f aca="false">IF('Reverse Search'!$N$7="Disable",1,IF('Reverse Search'!$I$10="Disable",1,IF('Reverse Search'!$K$10="≥",IF(K675&gt;='Reverse Search'!$L$10,1,0),IF('Reverse Search'!$K$10="≤",IF(K675&lt;='Reverse Search'!$L$10,1,0),IF(K675='Reverse Search'!$L$10,1,0)))))</f>
        <v>1</v>
      </c>
      <c r="Y675" s="367" t="n">
        <f aca="false">IF('Reverse Search'!$N$7="Disable",1,IF('Reverse Search'!$I$11="Disable",1,IF('Reverse Search'!$K$11="≥",IF(L675&gt;='Reverse Search'!$L$11,1,0),IF('Reverse Search'!$K$11="≤",IF(L675&lt;='Reverse Search'!$L$11,1,0),IF(L675='Reverse Search'!$L$11,1,0)))))</f>
        <v>1</v>
      </c>
      <c r="Z675" s="0" t="n">
        <f aca="true">IF('Reverse Search'!$C$14="Disable",1,IF('Reverse Search'!$D$16="Disable",1,IF($C$2=3,IF($M675=0,0,COUNTIF(INDIRECT("'0.0.2 Pokémon Learnset (Core)'!$D$"&amp;MATCH($E675,'0.0.2 Pokémon Learnset (Core)'!$A$1:$A951,0)&amp;":$FK$"&amp;MATCH($E675,'0.0.2 Pokémon Learnset (Core)'!$A$1:$A951,0)),'Reverse Search'!$E$21)),IF($C$2=2,COUNTIF(INDIRECT("'0.1.1 Pokémon GO Moves'!$B$"&amp;MATCH($E675,'0.1.1 Pokémon GO Moves'!$A$1:$A951,0)&amp;":$R$"&amp;MATCH($E675,'0.1.1 Pokémon GO Moves'!$A$1:$A951,0)),'Reverse Search'!$E$21),COUNTIF(INDIRECT("'0.1.1 Pokémon GO Moves'!$B$"&amp;MATCH($E675,'0.1.1 Pokémon GO Moves'!$A$1:$A951,0)&amp;":$L$"&amp;MATCH($E675,'0.1.1 Pokémon GO Moves'!$A$1:$A951,0)),'Reverse Search'!$E$21)))))</f>
        <v>1</v>
      </c>
      <c r="AA675" s="0" t="n">
        <f aca="true">IF('Reverse Search'!$C$14="Disable",1,IF('Reverse Search'!$I$16="Disable",1,IF($D$2=3,IF($M675=0,0,COUNTIF(INDIRECT("'0.0.2 Pokémon Learnset (Core)'!$D$"&amp;MATCH($E675,'0.0.2 Pokémon Learnset (Core)'!$A$1:$A951,0)&amp;":$FK$"&amp;MATCH($E675,'0.0.2 Pokémon Learnset (Core)'!$A$1:$A951,0)),'Reverse Search'!$J$21)),IF($D$2=2,COUNTIF(INDIRECT("'0.1.1 Pokémon GO Moves'!$B$"&amp;MATCH($E675,'0.1.1 Pokémon GO Moves'!$A$1:$A951,0)&amp;":$R$"&amp;MATCH($E675,'0.1.1 Pokémon GO Moves'!$A$1:$A951,0)),'Reverse Search'!$J$21),COUNTIF(INDIRECT("'0.1.1 Pokémon GO Moves'!$B$"&amp;MATCH($E675,'0.1.1 Pokémon GO Moves'!$A$1:$A951,0)&amp;":$L$"&amp;MATCH($E675,'0.1.1 Pokémon GO Moves'!$A$1:$A951,0)),'Reverse Search'!$J$21)))))</f>
        <v>0</v>
      </c>
      <c r="AB675" s="490"/>
      <c r="AC675" s="260" t="n">
        <f aca="false">IF((Q675+R675+S675+V675+W675+X675+Y675+IF(Z675&gt;=1,1,0)+IF(AA675&gt;=1,1,0))=9,G675&amp;", ",)</f>
        <v>0</v>
      </c>
    </row>
    <row r="676" customFormat="false" ht="15.75" hidden="false" customHeight="false" outlineLevel="0" collapsed="false">
      <c r="A676" s="260"/>
      <c r="B676" s="358"/>
      <c r="C676" s="260"/>
      <c r="D676" s="358"/>
      <c r="E676" s="260" t="n">
        <v>675</v>
      </c>
      <c r="F676" s="260" t="n">
        <f aca="false" t="array" ref="F676:F676">INDEX('0.0.1 Pokémon Dex Data'!$H$3:$H951,MATCH(E676,'0.0.1 Pokémon Dex Data'!$B$3:$B951,0))</f>
        <v>0</v>
      </c>
      <c r="G676" s="0" t="str">
        <f aca="false" t="array" ref="G676:G676">INDEX('0.0.1 Pokémon Dex Data'!$E$3:$E951,MATCH(E676,'0.0.1 Pokémon Dex Data'!$B$3:$B951,0))</f>
        <v>Gothorita</v>
      </c>
      <c r="H676" s="0" t="str">
        <f aca="false" t="array" ref="H676:H676">INDEX('0.0.1 Pokémon Dex Data'!$Q$3:$Q951,MATCH(E676,'0.0.1 Pokémon Dex Data'!$B$3:$B951,0))</f>
        <v>Psychic</v>
      </c>
      <c r="I676" s="0" t="n">
        <f aca="false">INDEX('0.0.1 Pokémon Dex Data'!$R$3:$R951,MATCH(E676,'0.0.1 Pokémon Dex Data'!$B$3:$B951,0))</f>
        <v>0</v>
      </c>
      <c r="J676" s="260" t="n">
        <f aca="false" t="array" ref="J676:J676">ROUND(INDEX('0.0.1 Pokémon Dex Data'!$S$3:$S951,MATCH($E676,'0.0.1 Pokémon Dex Data'!$B$3:$B951,0))*INDEX('0.0.1 Pokémon Dex Data'!T$3:T951,MATCH($E676,'0.0.1 Pokémon Dex Data'!$B$3:$B951,0)),0)</f>
        <v>137</v>
      </c>
      <c r="K676" s="260" t="n">
        <f aca="false" t="array" ref="K676:K676">ROUND(INDEX('0.0.1 Pokémon Dex Data'!$S$3:$S951,MATCH($E676,'0.0.1 Pokémon Dex Data'!$B$3:$B951,0))*INDEX('0.0.1 Pokémon Dex Data'!U$3:U951,MATCH($E676,'0.0.1 Pokémon Dex Data'!$B$3:$B951,0)),0)</f>
        <v>153</v>
      </c>
      <c r="L676" s="260" t="n">
        <f aca="false" t="array" ref="L676:L676">ROUND(INDEX('0.0.1 Pokémon Dex Data'!$S$3:$S951,MATCH($E676,'0.0.1 Pokémon Dex Data'!$B$3:$B951,0))*INDEX('0.0.1 Pokémon Dex Data'!V$3:V951,MATCH($E676,'0.0.1 Pokémon Dex Data'!$B$3:$B951,0)),0)</f>
        <v>155</v>
      </c>
      <c r="M676" s="260" t="n">
        <f aca="false" t="array" ref="M676:M676">INDEX('0.0.1 Pokémon Dex Data'!$J$3:$J951,MATCH(E676,'0.0.1 Pokémon Dex Data'!$B$3:$B951,0))</f>
        <v>0</v>
      </c>
      <c r="O676" s="490"/>
      <c r="Q676" s="367" t="n">
        <f aca="false">IF('Reverse Search'!$F$4="All (including temporary formes)",1,IF('Reverse Search'!$F$4="Base Pokémon and permanent formes only",IF(F676&lt;=1,1,0),IF(F676=0,1,0)))</f>
        <v>1</v>
      </c>
      <c r="R676" s="0" t="n">
        <f aca="false">IF('Reverse Search'!$C$7="Disable",1,IF('Reverse Search'!$D$9="Disable",1,IF(OR('Reverse Search'!$F$9=H676,'Reverse Search'!$F$9=I676),1,0)))</f>
        <v>1</v>
      </c>
      <c r="S676" s="0" t="n">
        <f aca="false">IF('Reverse Search'!$C$7="Disable",1,IF('Reverse Search'!$D$10="Disable",1,IF(OR('Reverse Search'!$F$10=H676,'Reverse Search'!$F$10=I676),1,0)))</f>
        <v>1</v>
      </c>
      <c r="T676" s="0" t="n">
        <f aca="false">INDEX($B$4:$B$22,MATCH(H676,$A$4:$A$22,0))</f>
        <v>1</v>
      </c>
      <c r="U676" s="0" t="e">
        <f aca="false">IF(ISBLANK(I676),1,INDEX($B$4:$B$22,MATCH(I676,$A$4:$A$22,0)))</f>
        <v>#N/A</v>
      </c>
      <c r="V676" s="367" t="n">
        <f aca="false">IF('Reverse Search'!$C$7="Disable",1,IF('Reverse Search'!$D$11="Disable",1,IF('Reverse Search'!$E$11="Neutral to:",IF(ROUND(T676*U676,2)&lt;=1,1,0),IF(ROUND(T676*U676,2)&lt;1,1,0))))</f>
        <v>1</v>
      </c>
      <c r="W676" s="0" t="n">
        <f aca="false">IF('Reverse Search'!$N$7="Disable",1,IF('Reverse Search'!$I$9="Disable",1,IF('Reverse Search'!$K$9="≥",IF(J676&gt;='Reverse Search'!$L$9,1,0),IF('Reverse Search'!$K$9="≤",IF(J676&lt;='Reverse Search'!$L$9,1,0),IF(J676='Reverse Search'!$L$9,1,0)))))</f>
        <v>1</v>
      </c>
      <c r="X676" s="0" t="n">
        <f aca="false">IF('Reverse Search'!$N$7="Disable",1,IF('Reverse Search'!$I$10="Disable",1,IF('Reverse Search'!$K$10="≥",IF(K676&gt;='Reverse Search'!$L$10,1,0),IF('Reverse Search'!$K$10="≤",IF(K676&lt;='Reverse Search'!$L$10,1,0),IF(K676='Reverse Search'!$L$10,1,0)))))</f>
        <v>1</v>
      </c>
      <c r="Y676" s="367" t="n">
        <f aca="false">IF('Reverse Search'!$N$7="Disable",1,IF('Reverse Search'!$I$11="Disable",1,IF('Reverse Search'!$K$11="≥",IF(L676&gt;='Reverse Search'!$L$11,1,0),IF('Reverse Search'!$K$11="≤",IF(L676&lt;='Reverse Search'!$L$11,1,0),IF(L676='Reverse Search'!$L$11,1,0)))))</f>
        <v>1</v>
      </c>
      <c r="Z676" s="0" t="n">
        <f aca="true">IF('Reverse Search'!$C$14="Disable",1,IF('Reverse Search'!$D$16="Disable",1,IF($C$2=3,IF($M676=0,0,COUNTIF(INDIRECT("'0.0.2 Pokémon Learnset (Core)'!$D$"&amp;MATCH($E676,'0.0.2 Pokémon Learnset (Core)'!$A$1:$A951,0)&amp;":$FK$"&amp;MATCH($E676,'0.0.2 Pokémon Learnset (Core)'!$A$1:$A951,0)),'Reverse Search'!$E$21)),IF($C$2=2,COUNTIF(INDIRECT("'0.1.1 Pokémon GO Moves'!$B$"&amp;MATCH($E676,'0.1.1 Pokémon GO Moves'!$A$1:$A951,0)&amp;":$R$"&amp;MATCH($E676,'0.1.1 Pokémon GO Moves'!$A$1:$A951,0)),'Reverse Search'!$E$21),COUNTIF(INDIRECT("'0.1.1 Pokémon GO Moves'!$B$"&amp;MATCH($E676,'0.1.1 Pokémon GO Moves'!$A$1:$A951,0)&amp;":$L$"&amp;MATCH($E676,'0.1.1 Pokémon GO Moves'!$A$1:$A951,0)),'Reverse Search'!$E$21)))))</f>
        <v>1</v>
      </c>
      <c r="AA676" s="0" t="n">
        <f aca="true">IF('Reverse Search'!$C$14="Disable",1,IF('Reverse Search'!$I$16="Disable",1,IF($D$2=3,IF($M676=0,0,COUNTIF(INDIRECT("'0.0.2 Pokémon Learnset (Core)'!$D$"&amp;MATCH($E676,'0.0.2 Pokémon Learnset (Core)'!$A$1:$A951,0)&amp;":$FK$"&amp;MATCH($E676,'0.0.2 Pokémon Learnset (Core)'!$A$1:$A951,0)),'Reverse Search'!$J$21)),IF($D$2=2,COUNTIF(INDIRECT("'0.1.1 Pokémon GO Moves'!$B$"&amp;MATCH($E676,'0.1.1 Pokémon GO Moves'!$A$1:$A951,0)&amp;":$R$"&amp;MATCH($E676,'0.1.1 Pokémon GO Moves'!$A$1:$A951,0)),'Reverse Search'!$J$21),COUNTIF(INDIRECT("'0.1.1 Pokémon GO Moves'!$B$"&amp;MATCH($E676,'0.1.1 Pokémon GO Moves'!$A$1:$A951,0)&amp;":$L$"&amp;MATCH($E676,'0.1.1 Pokémon GO Moves'!$A$1:$A951,0)),'Reverse Search'!$J$21)))))</f>
        <v>0</v>
      </c>
      <c r="AB676" s="490"/>
      <c r="AC676" s="260" t="n">
        <f aca="false">IF((Q676+R676+S676+V676+W676+X676+Y676+IF(Z676&gt;=1,1,0)+IF(AA676&gt;=1,1,0))=9,G676&amp;", ",)</f>
        <v>0</v>
      </c>
    </row>
    <row r="677" customFormat="false" ht="15.75" hidden="false" customHeight="false" outlineLevel="0" collapsed="false">
      <c r="A677" s="260"/>
      <c r="B677" s="358"/>
      <c r="C677" s="260"/>
      <c r="D677" s="358"/>
      <c r="E677" s="260" t="n">
        <v>676</v>
      </c>
      <c r="F677" s="260" t="n">
        <f aca="false" t="array" ref="F677:F677">INDEX('0.0.1 Pokémon Dex Data'!$H$3:$H951,MATCH(E677,'0.0.1 Pokémon Dex Data'!$B$3:$B951,0))</f>
        <v>0</v>
      </c>
      <c r="G677" s="0" t="str">
        <f aca="false" t="array" ref="G677:G677">INDEX('0.0.1 Pokémon Dex Data'!$E$3:$E951,MATCH(E677,'0.0.1 Pokémon Dex Data'!$B$3:$B951,0))</f>
        <v>Gothitelle</v>
      </c>
      <c r="H677" s="0" t="str">
        <f aca="false" t="array" ref="H677:H677">INDEX('0.0.1 Pokémon Dex Data'!$Q$3:$Q951,MATCH(E677,'0.0.1 Pokémon Dex Data'!$B$3:$B951,0))</f>
        <v>Psychic</v>
      </c>
      <c r="I677" s="0" t="n">
        <f aca="false">INDEX('0.0.1 Pokémon Dex Data'!$R$3:$R951,MATCH(E677,'0.0.1 Pokémon Dex Data'!$B$3:$B951,0))</f>
        <v>0</v>
      </c>
      <c r="J677" s="260" t="n">
        <f aca="false" t="array" ref="J677:J677">ROUND(INDEX('0.0.1 Pokémon Dex Data'!$S$3:$S951,MATCH($E677,'0.0.1 Pokémon Dex Data'!$B$3:$B951,0))*INDEX('0.0.1 Pokémon Dex Data'!T$3:T951,MATCH($E677,'0.0.1 Pokémon Dex Data'!$B$3:$B951,0)),0)</f>
        <v>176</v>
      </c>
      <c r="K677" s="260" t="n">
        <f aca="false" t="array" ref="K677:K677">ROUND(INDEX('0.0.1 Pokémon Dex Data'!$S$3:$S951,MATCH($E677,'0.0.1 Pokémon Dex Data'!$B$3:$B951,0))*INDEX('0.0.1 Pokémon Dex Data'!U$3:U951,MATCH($E677,'0.0.1 Pokémon Dex Data'!$B$3:$B951,0)),0)</f>
        <v>205</v>
      </c>
      <c r="L677" s="260" t="n">
        <f aca="false" t="array" ref="L677:L677">ROUND(INDEX('0.0.1 Pokémon Dex Data'!$S$3:$S951,MATCH($E677,'0.0.1 Pokémon Dex Data'!$B$3:$B951,0))*INDEX('0.0.1 Pokémon Dex Data'!V$3:V951,MATCH($E677,'0.0.1 Pokémon Dex Data'!$B$3:$B951,0)),0)</f>
        <v>172</v>
      </c>
      <c r="M677" s="260" t="n">
        <f aca="false" t="array" ref="M677:M677">INDEX('0.0.1 Pokémon Dex Data'!$J$3:$J951,MATCH(E677,'0.0.1 Pokémon Dex Data'!$B$3:$B951,0))</f>
        <v>1</v>
      </c>
      <c r="O677" s="490"/>
      <c r="Q677" s="367" t="n">
        <f aca="false">IF('Reverse Search'!$F$4="All (including temporary formes)",1,IF('Reverse Search'!$F$4="Base Pokémon and permanent formes only",IF(F677&lt;=1,1,0),IF(F677=0,1,0)))</f>
        <v>1</v>
      </c>
      <c r="R677" s="0" t="n">
        <f aca="false">IF('Reverse Search'!$C$7="Disable",1,IF('Reverse Search'!$D$9="Disable",1,IF(OR('Reverse Search'!$F$9=H677,'Reverse Search'!$F$9=I677),1,0)))</f>
        <v>1</v>
      </c>
      <c r="S677" s="0" t="n">
        <f aca="false">IF('Reverse Search'!$C$7="Disable",1,IF('Reverse Search'!$D$10="Disable",1,IF(OR('Reverse Search'!$F$10=H677,'Reverse Search'!$F$10=I677),1,0)))</f>
        <v>1</v>
      </c>
      <c r="T677" s="0" t="n">
        <f aca="false">INDEX($B$4:$B$22,MATCH(H677,$A$4:$A$22,0))</f>
        <v>1</v>
      </c>
      <c r="U677" s="0" t="e">
        <f aca="false">IF(ISBLANK(I677),1,INDEX($B$4:$B$22,MATCH(I677,$A$4:$A$22,0)))</f>
        <v>#N/A</v>
      </c>
      <c r="V677" s="367" t="n">
        <f aca="false">IF('Reverse Search'!$C$7="Disable",1,IF('Reverse Search'!$D$11="Disable",1,IF('Reverse Search'!$E$11="Neutral to:",IF(ROUND(T677*U677,2)&lt;=1,1,0),IF(ROUND(T677*U677,2)&lt;1,1,0))))</f>
        <v>1</v>
      </c>
      <c r="W677" s="0" t="n">
        <f aca="false">IF('Reverse Search'!$N$7="Disable",1,IF('Reverse Search'!$I$9="Disable",1,IF('Reverse Search'!$K$9="≥",IF(J677&gt;='Reverse Search'!$L$9,1,0),IF('Reverse Search'!$K$9="≤",IF(J677&lt;='Reverse Search'!$L$9,1,0),IF(J677='Reverse Search'!$L$9,1,0)))))</f>
        <v>1</v>
      </c>
      <c r="X677" s="0" t="n">
        <f aca="false">IF('Reverse Search'!$N$7="Disable",1,IF('Reverse Search'!$I$10="Disable",1,IF('Reverse Search'!$K$10="≥",IF(K677&gt;='Reverse Search'!$L$10,1,0),IF('Reverse Search'!$K$10="≤",IF(K677&lt;='Reverse Search'!$L$10,1,0),IF(K677='Reverse Search'!$L$10,1,0)))))</f>
        <v>1</v>
      </c>
      <c r="Y677" s="367" t="n">
        <f aca="false">IF('Reverse Search'!$N$7="Disable",1,IF('Reverse Search'!$I$11="Disable",1,IF('Reverse Search'!$K$11="≥",IF(L677&gt;='Reverse Search'!$L$11,1,0),IF('Reverse Search'!$K$11="≤",IF(L677&lt;='Reverse Search'!$L$11,1,0),IF(L677='Reverse Search'!$L$11,1,0)))))</f>
        <v>1</v>
      </c>
      <c r="Z677" s="0" t="n">
        <f aca="true">IF('Reverse Search'!$C$14="Disable",1,IF('Reverse Search'!$D$16="Disable",1,IF($C$2=3,IF($M677=0,0,COUNTIF(INDIRECT("'0.0.2 Pokémon Learnset (Core)'!$D$"&amp;MATCH($E677,'0.0.2 Pokémon Learnset (Core)'!$A$1:$A951,0)&amp;":$FK$"&amp;MATCH($E677,'0.0.2 Pokémon Learnset (Core)'!$A$1:$A951,0)),'Reverse Search'!$E$21)),IF($C$2=2,COUNTIF(INDIRECT("'0.1.1 Pokémon GO Moves'!$B$"&amp;MATCH($E677,'0.1.1 Pokémon GO Moves'!$A$1:$A951,0)&amp;":$R$"&amp;MATCH($E677,'0.1.1 Pokémon GO Moves'!$A$1:$A951,0)),'Reverse Search'!$E$21),COUNTIF(INDIRECT("'0.1.1 Pokémon GO Moves'!$B$"&amp;MATCH($E677,'0.1.1 Pokémon GO Moves'!$A$1:$A951,0)&amp;":$L$"&amp;MATCH($E677,'0.1.1 Pokémon GO Moves'!$A$1:$A951,0)),'Reverse Search'!$E$21)))))</f>
        <v>1</v>
      </c>
      <c r="AA677" s="0" t="n">
        <f aca="true">IF('Reverse Search'!$C$14="Disable",1,IF('Reverse Search'!$I$16="Disable",1,IF($D$2=3,IF($M677=0,0,COUNTIF(INDIRECT("'0.0.2 Pokémon Learnset (Core)'!$D$"&amp;MATCH($E677,'0.0.2 Pokémon Learnset (Core)'!$A$1:$A951,0)&amp;":$FK$"&amp;MATCH($E677,'0.0.2 Pokémon Learnset (Core)'!$A$1:$A951,0)),'Reverse Search'!$J$21)),IF($D$2=2,COUNTIF(INDIRECT("'0.1.1 Pokémon GO Moves'!$B$"&amp;MATCH($E677,'0.1.1 Pokémon GO Moves'!$A$1:$A951,0)&amp;":$R$"&amp;MATCH($E677,'0.1.1 Pokémon GO Moves'!$A$1:$A951,0)),'Reverse Search'!$J$21),COUNTIF(INDIRECT("'0.1.1 Pokémon GO Moves'!$B$"&amp;MATCH($E677,'0.1.1 Pokémon GO Moves'!$A$1:$A951,0)&amp;":$L$"&amp;MATCH($E677,'0.1.1 Pokémon GO Moves'!$A$1:$A951,0)),'Reverse Search'!$J$21)))))</f>
        <v>0</v>
      </c>
      <c r="AB677" s="490"/>
      <c r="AC677" s="260" t="n">
        <f aca="false">IF((Q677+R677+S677+V677+W677+X677+Y677+IF(Z677&gt;=1,1,0)+IF(AA677&gt;=1,1,0))=9,G677&amp;", ",)</f>
        <v>0</v>
      </c>
    </row>
    <row r="678" customFormat="false" ht="15.75" hidden="false" customHeight="false" outlineLevel="0" collapsed="false">
      <c r="A678" s="260"/>
      <c r="B678" s="358"/>
      <c r="C678" s="260"/>
      <c r="D678" s="358"/>
      <c r="E678" s="260" t="n">
        <v>677</v>
      </c>
      <c r="F678" s="260" t="n">
        <f aca="false" t="array" ref="F678:F678">INDEX('0.0.1 Pokémon Dex Data'!$H$3:$H951,MATCH(E678,'0.0.1 Pokémon Dex Data'!$B$3:$B951,0))</f>
        <v>0</v>
      </c>
      <c r="G678" s="0" t="str">
        <f aca="false" t="array" ref="G678:G678">INDEX('0.0.1 Pokémon Dex Data'!$E$3:$E951,MATCH(E678,'0.0.1 Pokémon Dex Data'!$B$3:$B951,0))</f>
        <v>Solosis</v>
      </c>
      <c r="H678" s="0" t="str">
        <f aca="false" t="array" ref="H678:H678">INDEX('0.0.1 Pokémon Dex Data'!$Q$3:$Q951,MATCH(E678,'0.0.1 Pokémon Dex Data'!$B$3:$B951,0))</f>
        <v>Psychic</v>
      </c>
      <c r="I678" s="0" t="n">
        <f aca="false">INDEX('0.0.1 Pokémon Dex Data'!$R$3:$R951,MATCH(E678,'0.0.1 Pokémon Dex Data'!$B$3:$B951,0))</f>
        <v>0</v>
      </c>
      <c r="J678" s="260" t="n">
        <f aca="false" t="array" ref="J678:J678">ROUND(INDEX('0.0.1 Pokémon Dex Data'!$S$3:$S951,MATCH($E678,'0.0.1 Pokémon Dex Data'!$B$3:$B951,0))*INDEX('0.0.1 Pokémon Dex Data'!T$3:T951,MATCH($E678,'0.0.1 Pokémon Dex Data'!$B$3:$B951,0)),0)</f>
        <v>170</v>
      </c>
      <c r="K678" s="260" t="n">
        <f aca="false" t="array" ref="K678:K678">ROUND(INDEX('0.0.1 Pokémon Dex Data'!$S$3:$S951,MATCH($E678,'0.0.1 Pokémon Dex Data'!$B$3:$B951,0))*INDEX('0.0.1 Pokémon Dex Data'!U$3:U951,MATCH($E678,'0.0.1 Pokémon Dex Data'!$B$3:$B951,0)),0)</f>
        <v>83</v>
      </c>
      <c r="L678" s="260" t="n">
        <f aca="false" t="array" ref="L678:L678">ROUND(INDEX('0.0.1 Pokémon Dex Data'!$S$3:$S951,MATCH($E678,'0.0.1 Pokémon Dex Data'!$B$3:$B951,0))*INDEX('0.0.1 Pokémon Dex Data'!V$3:V951,MATCH($E678,'0.0.1 Pokémon Dex Data'!$B$3:$B951,0)),0)</f>
        <v>128</v>
      </c>
      <c r="M678" s="260" t="n">
        <f aca="false" t="array" ref="M678:M678">INDEX('0.0.1 Pokémon Dex Data'!$J$3:$J951,MATCH(E678,'0.0.1 Pokémon Dex Data'!$B$3:$B951,0))</f>
        <v>0</v>
      </c>
      <c r="O678" s="490"/>
      <c r="Q678" s="367" t="n">
        <f aca="false">IF('Reverse Search'!$F$4="All (including temporary formes)",1,IF('Reverse Search'!$F$4="Base Pokémon and permanent formes only",IF(F678&lt;=1,1,0),IF(F678=0,1,0)))</f>
        <v>1</v>
      </c>
      <c r="R678" s="0" t="n">
        <f aca="false">IF('Reverse Search'!$C$7="Disable",1,IF('Reverse Search'!$D$9="Disable",1,IF(OR('Reverse Search'!$F$9=H678,'Reverse Search'!$F$9=I678),1,0)))</f>
        <v>1</v>
      </c>
      <c r="S678" s="0" t="n">
        <f aca="false">IF('Reverse Search'!$C$7="Disable",1,IF('Reverse Search'!$D$10="Disable",1,IF(OR('Reverse Search'!$F$10=H678,'Reverse Search'!$F$10=I678),1,0)))</f>
        <v>1</v>
      </c>
      <c r="T678" s="0" t="n">
        <f aca="false">INDEX($B$4:$B$22,MATCH(H678,$A$4:$A$22,0))</f>
        <v>1</v>
      </c>
      <c r="U678" s="0" t="e">
        <f aca="false">IF(ISBLANK(I678),1,INDEX($B$4:$B$22,MATCH(I678,$A$4:$A$22,0)))</f>
        <v>#N/A</v>
      </c>
      <c r="V678" s="367" t="n">
        <f aca="false">IF('Reverse Search'!$C$7="Disable",1,IF('Reverse Search'!$D$11="Disable",1,IF('Reverse Search'!$E$11="Neutral to:",IF(ROUND(T678*U678,2)&lt;=1,1,0),IF(ROUND(T678*U678,2)&lt;1,1,0))))</f>
        <v>1</v>
      </c>
      <c r="W678" s="0" t="n">
        <f aca="false">IF('Reverse Search'!$N$7="Disable",1,IF('Reverse Search'!$I$9="Disable",1,IF('Reverse Search'!$K$9="≥",IF(J678&gt;='Reverse Search'!$L$9,1,0),IF('Reverse Search'!$K$9="≤",IF(J678&lt;='Reverse Search'!$L$9,1,0),IF(J678='Reverse Search'!$L$9,1,0)))))</f>
        <v>1</v>
      </c>
      <c r="X678" s="0" t="n">
        <f aca="false">IF('Reverse Search'!$N$7="Disable",1,IF('Reverse Search'!$I$10="Disable",1,IF('Reverse Search'!$K$10="≥",IF(K678&gt;='Reverse Search'!$L$10,1,0),IF('Reverse Search'!$K$10="≤",IF(K678&lt;='Reverse Search'!$L$10,1,0),IF(K678='Reverse Search'!$L$10,1,0)))))</f>
        <v>1</v>
      </c>
      <c r="Y678" s="367" t="n">
        <f aca="false">IF('Reverse Search'!$N$7="Disable",1,IF('Reverse Search'!$I$11="Disable",1,IF('Reverse Search'!$K$11="≥",IF(L678&gt;='Reverse Search'!$L$11,1,0),IF('Reverse Search'!$K$11="≤",IF(L678&lt;='Reverse Search'!$L$11,1,0),IF(L678='Reverse Search'!$L$11,1,0)))))</f>
        <v>1</v>
      </c>
      <c r="Z678" s="0" t="n">
        <f aca="true">IF('Reverse Search'!$C$14="Disable",1,IF('Reverse Search'!$D$16="Disable",1,IF($C$2=3,IF($M678=0,0,COUNTIF(INDIRECT("'0.0.2 Pokémon Learnset (Core)'!$D$"&amp;MATCH($E678,'0.0.2 Pokémon Learnset (Core)'!$A$1:$A951,0)&amp;":$FK$"&amp;MATCH($E678,'0.0.2 Pokémon Learnset (Core)'!$A$1:$A951,0)),'Reverse Search'!$E$21)),IF($C$2=2,COUNTIF(INDIRECT("'0.1.1 Pokémon GO Moves'!$B$"&amp;MATCH($E678,'0.1.1 Pokémon GO Moves'!$A$1:$A951,0)&amp;":$R$"&amp;MATCH($E678,'0.1.1 Pokémon GO Moves'!$A$1:$A951,0)),'Reverse Search'!$E$21),COUNTIF(INDIRECT("'0.1.1 Pokémon GO Moves'!$B$"&amp;MATCH($E678,'0.1.1 Pokémon GO Moves'!$A$1:$A951,0)&amp;":$L$"&amp;MATCH($E678,'0.1.1 Pokémon GO Moves'!$A$1:$A951,0)),'Reverse Search'!$E$21)))))</f>
        <v>1</v>
      </c>
      <c r="AA678" s="0" t="n">
        <f aca="true">IF('Reverse Search'!$C$14="Disable",1,IF('Reverse Search'!$I$16="Disable",1,IF($D$2=3,IF($M678=0,0,COUNTIF(INDIRECT("'0.0.2 Pokémon Learnset (Core)'!$D$"&amp;MATCH($E678,'0.0.2 Pokémon Learnset (Core)'!$A$1:$A951,0)&amp;":$FK$"&amp;MATCH($E678,'0.0.2 Pokémon Learnset (Core)'!$A$1:$A951,0)),'Reverse Search'!$J$21)),IF($D$2=2,COUNTIF(INDIRECT("'0.1.1 Pokémon GO Moves'!$B$"&amp;MATCH($E678,'0.1.1 Pokémon GO Moves'!$A$1:$A951,0)&amp;":$R$"&amp;MATCH($E678,'0.1.1 Pokémon GO Moves'!$A$1:$A951,0)),'Reverse Search'!$J$21),COUNTIF(INDIRECT("'0.1.1 Pokémon GO Moves'!$B$"&amp;MATCH($E678,'0.1.1 Pokémon GO Moves'!$A$1:$A951,0)&amp;":$L$"&amp;MATCH($E678,'0.1.1 Pokémon GO Moves'!$A$1:$A951,0)),'Reverse Search'!$J$21)))))</f>
        <v>0</v>
      </c>
      <c r="AB678" s="490"/>
      <c r="AC678" s="260" t="n">
        <f aca="false">IF((Q678+R678+S678+V678+W678+X678+Y678+IF(Z678&gt;=1,1,0)+IF(AA678&gt;=1,1,0))=9,G678&amp;", ",)</f>
        <v>0</v>
      </c>
    </row>
    <row r="679" customFormat="false" ht="15.75" hidden="false" customHeight="false" outlineLevel="0" collapsed="false">
      <c r="A679" s="260"/>
      <c r="B679" s="358"/>
      <c r="C679" s="260"/>
      <c r="D679" s="358"/>
      <c r="E679" s="260" t="n">
        <v>678</v>
      </c>
      <c r="F679" s="260" t="n">
        <f aca="false" t="array" ref="F679:F679">INDEX('0.0.1 Pokémon Dex Data'!$H$3:$H951,MATCH(E679,'0.0.1 Pokémon Dex Data'!$B$3:$B951,0))</f>
        <v>0</v>
      </c>
      <c r="G679" s="0" t="str">
        <f aca="false" t="array" ref="G679:G679">INDEX('0.0.1 Pokémon Dex Data'!$E$3:$E951,MATCH(E679,'0.0.1 Pokémon Dex Data'!$B$3:$B951,0))</f>
        <v>Duosion</v>
      </c>
      <c r="H679" s="0" t="str">
        <f aca="false" t="array" ref="H679:H679">INDEX('0.0.1 Pokémon Dex Data'!$Q$3:$Q951,MATCH(E679,'0.0.1 Pokémon Dex Data'!$B$3:$B951,0))</f>
        <v>Psychic</v>
      </c>
      <c r="I679" s="0" t="n">
        <f aca="false">INDEX('0.0.1 Pokémon Dex Data'!$R$3:$R951,MATCH(E679,'0.0.1 Pokémon Dex Data'!$B$3:$B951,0))</f>
        <v>0</v>
      </c>
      <c r="J679" s="260" t="n">
        <f aca="false" t="array" ref="J679:J679">ROUND(INDEX('0.0.1 Pokémon Dex Data'!$S$3:$S951,MATCH($E679,'0.0.1 Pokémon Dex Data'!$B$3:$B951,0))*INDEX('0.0.1 Pokémon Dex Data'!T$3:T951,MATCH($E679,'0.0.1 Pokémon Dex Data'!$B$3:$B951,0)),0)</f>
        <v>208</v>
      </c>
      <c r="K679" s="260" t="n">
        <f aca="false" t="array" ref="K679:K679">ROUND(INDEX('0.0.1 Pokémon Dex Data'!$S$3:$S951,MATCH($E679,'0.0.1 Pokémon Dex Data'!$B$3:$B951,0))*INDEX('0.0.1 Pokémon Dex Data'!U$3:U951,MATCH($E679,'0.0.1 Pokémon Dex Data'!$B$3:$B951,0)),0)</f>
        <v>103</v>
      </c>
      <c r="L679" s="260" t="n">
        <f aca="false" t="array" ref="L679:L679">ROUND(INDEX('0.0.1 Pokémon Dex Data'!$S$3:$S951,MATCH($E679,'0.0.1 Pokémon Dex Data'!$B$3:$B951,0))*INDEX('0.0.1 Pokémon Dex Data'!V$3:V951,MATCH($E679,'0.0.1 Pokémon Dex Data'!$B$3:$B951,0)),0)</f>
        <v>163</v>
      </c>
      <c r="M679" s="260" t="n">
        <f aca="false" t="array" ref="M679:M679">INDEX('0.0.1 Pokémon Dex Data'!$J$3:$J951,MATCH(E679,'0.0.1 Pokémon Dex Data'!$B$3:$B951,0))</f>
        <v>0</v>
      </c>
      <c r="O679" s="490"/>
      <c r="Q679" s="367" t="n">
        <f aca="false">IF('Reverse Search'!$F$4="All (including temporary formes)",1,IF('Reverse Search'!$F$4="Base Pokémon and permanent formes only",IF(F679&lt;=1,1,0),IF(F679=0,1,0)))</f>
        <v>1</v>
      </c>
      <c r="R679" s="0" t="n">
        <f aca="false">IF('Reverse Search'!$C$7="Disable",1,IF('Reverse Search'!$D$9="Disable",1,IF(OR('Reverse Search'!$F$9=H679,'Reverse Search'!$F$9=I679),1,0)))</f>
        <v>1</v>
      </c>
      <c r="S679" s="0" t="n">
        <f aca="false">IF('Reverse Search'!$C$7="Disable",1,IF('Reverse Search'!$D$10="Disable",1,IF(OR('Reverse Search'!$F$10=H679,'Reverse Search'!$F$10=I679),1,0)))</f>
        <v>1</v>
      </c>
      <c r="T679" s="0" t="n">
        <f aca="false">INDEX($B$4:$B$22,MATCH(H679,$A$4:$A$22,0))</f>
        <v>1</v>
      </c>
      <c r="U679" s="0" t="e">
        <f aca="false">IF(ISBLANK(I679),1,INDEX($B$4:$B$22,MATCH(I679,$A$4:$A$22,0)))</f>
        <v>#N/A</v>
      </c>
      <c r="V679" s="367" t="n">
        <f aca="false">IF('Reverse Search'!$C$7="Disable",1,IF('Reverse Search'!$D$11="Disable",1,IF('Reverse Search'!$E$11="Neutral to:",IF(ROUND(T679*U679,2)&lt;=1,1,0),IF(ROUND(T679*U679,2)&lt;1,1,0))))</f>
        <v>1</v>
      </c>
      <c r="W679" s="0" t="n">
        <f aca="false">IF('Reverse Search'!$N$7="Disable",1,IF('Reverse Search'!$I$9="Disable",1,IF('Reverse Search'!$K$9="≥",IF(J679&gt;='Reverse Search'!$L$9,1,0),IF('Reverse Search'!$K$9="≤",IF(J679&lt;='Reverse Search'!$L$9,1,0),IF(J679='Reverse Search'!$L$9,1,0)))))</f>
        <v>1</v>
      </c>
      <c r="X679" s="0" t="n">
        <f aca="false">IF('Reverse Search'!$N$7="Disable",1,IF('Reverse Search'!$I$10="Disable",1,IF('Reverse Search'!$K$10="≥",IF(K679&gt;='Reverse Search'!$L$10,1,0),IF('Reverse Search'!$K$10="≤",IF(K679&lt;='Reverse Search'!$L$10,1,0),IF(K679='Reverse Search'!$L$10,1,0)))))</f>
        <v>1</v>
      </c>
      <c r="Y679" s="367" t="n">
        <f aca="false">IF('Reverse Search'!$N$7="Disable",1,IF('Reverse Search'!$I$11="Disable",1,IF('Reverse Search'!$K$11="≥",IF(L679&gt;='Reverse Search'!$L$11,1,0),IF('Reverse Search'!$K$11="≤",IF(L679&lt;='Reverse Search'!$L$11,1,0),IF(L679='Reverse Search'!$L$11,1,0)))))</f>
        <v>1</v>
      </c>
      <c r="Z679" s="0" t="n">
        <f aca="true">IF('Reverse Search'!$C$14="Disable",1,IF('Reverse Search'!$D$16="Disable",1,IF($C$2=3,IF($M679=0,0,COUNTIF(INDIRECT("'0.0.2 Pokémon Learnset (Core)'!$D$"&amp;MATCH($E679,'0.0.2 Pokémon Learnset (Core)'!$A$1:$A951,0)&amp;":$FK$"&amp;MATCH($E679,'0.0.2 Pokémon Learnset (Core)'!$A$1:$A951,0)),'Reverse Search'!$E$21)),IF($C$2=2,COUNTIF(INDIRECT("'0.1.1 Pokémon GO Moves'!$B$"&amp;MATCH($E679,'0.1.1 Pokémon GO Moves'!$A$1:$A951,0)&amp;":$R$"&amp;MATCH($E679,'0.1.1 Pokémon GO Moves'!$A$1:$A951,0)),'Reverse Search'!$E$21),COUNTIF(INDIRECT("'0.1.1 Pokémon GO Moves'!$B$"&amp;MATCH($E679,'0.1.1 Pokémon GO Moves'!$A$1:$A951,0)&amp;":$L$"&amp;MATCH($E679,'0.1.1 Pokémon GO Moves'!$A$1:$A951,0)),'Reverse Search'!$E$21)))))</f>
        <v>1</v>
      </c>
      <c r="AA679" s="0" t="n">
        <f aca="true">IF('Reverse Search'!$C$14="Disable",1,IF('Reverse Search'!$I$16="Disable",1,IF($D$2=3,IF($M679=0,0,COUNTIF(INDIRECT("'0.0.2 Pokémon Learnset (Core)'!$D$"&amp;MATCH($E679,'0.0.2 Pokémon Learnset (Core)'!$A$1:$A951,0)&amp;":$FK$"&amp;MATCH($E679,'0.0.2 Pokémon Learnset (Core)'!$A$1:$A951,0)),'Reverse Search'!$J$21)),IF($D$2=2,COUNTIF(INDIRECT("'0.1.1 Pokémon GO Moves'!$B$"&amp;MATCH($E679,'0.1.1 Pokémon GO Moves'!$A$1:$A951,0)&amp;":$R$"&amp;MATCH($E679,'0.1.1 Pokémon GO Moves'!$A$1:$A951,0)),'Reverse Search'!$J$21),COUNTIF(INDIRECT("'0.1.1 Pokémon GO Moves'!$B$"&amp;MATCH($E679,'0.1.1 Pokémon GO Moves'!$A$1:$A951,0)&amp;":$L$"&amp;MATCH($E679,'0.1.1 Pokémon GO Moves'!$A$1:$A951,0)),'Reverse Search'!$J$21)))))</f>
        <v>0</v>
      </c>
      <c r="AB679" s="490"/>
      <c r="AC679" s="260" t="n">
        <f aca="false">IF((Q679+R679+S679+V679+W679+X679+Y679+IF(Z679&gt;=1,1,0)+IF(AA679&gt;=1,1,0))=9,G679&amp;", ",)</f>
        <v>0</v>
      </c>
    </row>
    <row r="680" customFormat="false" ht="15.75" hidden="false" customHeight="false" outlineLevel="0" collapsed="false">
      <c r="A680" s="260"/>
      <c r="B680" s="358"/>
      <c r="C680" s="260"/>
      <c r="D680" s="358"/>
      <c r="E680" s="260" t="n">
        <v>679</v>
      </c>
      <c r="F680" s="260" t="n">
        <f aca="false" t="array" ref="F680:F680">INDEX('0.0.1 Pokémon Dex Data'!$H$3:$H951,MATCH(E680,'0.0.1 Pokémon Dex Data'!$B$3:$B951,0))</f>
        <v>0</v>
      </c>
      <c r="G680" s="0" t="str">
        <f aca="false" t="array" ref="G680:G680">INDEX('0.0.1 Pokémon Dex Data'!$E$3:$E951,MATCH(E680,'0.0.1 Pokémon Dex Data'!$B$3:$B951,0))</f>
        <v>Reuniclus</v>
      </c>
      <c r="H680" s="0" t="str">
        <f aca="false" t="array" ref="H680:H680">INDEX('0.0.1 Pokémon Dex Data'!$Q$3:$Q951,MATCH(E680,'0.0.1 Pokémon Dex Data'!$B$3:$B951,0))</f>
        <v>Psychic</v>
      </c>
      <c r="I680" s="0" t="n">
        <f aca="false">INDEX('0.0.1 Pokémon Dex Data'!$R$3:$R951,MATCH(E680,'0.0.1 Pokémon Dex Data'!$B$3:$B951,0))</f>
        <v>0</v>
      </c>
      <c r="J680" s="260" t="n">
        <f aca="false" t="array" ref="J680:J680">ROUND(INDEX('0.0.1 Pokémon Dex Data'!$S$3:$S951,MATCH($E680,'0.0.1 Pokémon Dex Data'!$B$3:$B951,0))*INDEX('0.0.1 Pokémon Dex Data'!T$3:T951,MATCH($E680,'0.0.1 Pokémon Dex Data'!$B$3:$B951,0)),0)</f>
        <v>214</v>
      </c>
      <c r="K680" s="260" t="n">
        <f aca="false" t="array" ref="K680:K680">ROUND(INDEX('0.0.1 Pokémon Dex Data'!$S$3:$S951,MATCH($E680,'0.0.1 Pokémon Dex Data'!$B$3:$B951,0))*INDEX('0.0.1 Pokémon Dex Data'!U$3:U951,MATCH($E680,'0.0.1 Pokémon Dex Data'!$B$3:$B951,0)),0)</f>
        <v>148</v>
      </c>
      <c r="L680" s="260" t="n">
        <f aca="false" t="array" ref="L680:L680">ROUND(INDEX('0.0.1 Pokémon Dex Data'!$S$3:$S951,MATCH($E680,'0.0.1 Pokémon Dex Data'!$B$3:$B951,0))*INDEX('0.0.1 Pokémon Dex Data'!V$3:V951,MATCH($E680,'0.0.1 Pokémon Dex Data'!$B$3:$B951,0)),0)</f>
        <v>242</v>
      </c>
      <c r="M680" s="260" t="n">
        <f aca="false" t="array" ref="M680:M680">INDEX('0.0.1 Pokémon Dex Data'!$J$3:$J951,MATCH(E680,'0.0.1 Pokémon Dex Data'!$B$3:$B951,0))</f>
        <v>1</v>
      </c>
      <c r="O680" s="490"/>
      <c r="Q680" s="367" t="n">
        <f aca="false">IF('Reverse Search'!$F$4="All (including temporary formes)",1,IF('Reverse Search'!$F$4="Base Pokémon and permanent formes only",IF(F680&lt;=1,1,0),IF(F680=0,1,0)))</f>
        <v>1</v>
      </c>
      <c r="R680" s="0" t="n">
        <f aca="false">IF('Reverse Search'!$C$7="Disable",1,IF('Reverse Search'!$D$9="Disable",1,IF(OR('Reverse Search'!$F$9=H680,'Reverse Search'!$F$9=I680),1,0)))</f>
        <v>1</v>
      </c>
      <c r="S680" s="0" t="n">
        <f aca="false">IF('Reverse Search'!$C$7="Disable",1,IF('Reverse Search'!$D$10="Disable",1,IF(OR('Reverse Search'!$F$10=H680,'Reverse Search'!$F$10=I680),1,0)))</f>
        <v>1</v>
      </c>
      <c r="T680" s="0" t="n">
        <f aca="false">INDEX($B$4:$B$22,MATCH(H680,$A$4:$A$22,0))</f>
        <v>1</v>
      </c>
      <c r="U680" s="0" t="e">
        <f aca="false">IF(ISBLANK(I680),1,INDEX($B$4:$B$22,MATCH(I680,$A$4:$A$22,0)))</f>
        <v>#N/A</v>
      </c>
      <c r="V680" s="367" t="n">
        <f aca="false">IF('Reverse Search'!$C$7="Disable",1,IF('Reverse Search'!$D$11="Disable",1,IF('Reverse Search'!$E$11="Neutral to:",IF(ROUND(T680*U680,2)&lt;=1,1,0),IF(ROUND(T680*U680,2)&lt;1,1,0))))</f>
        <v>1</v>
      </c>
      <c r="W680" s="0" t="n">
        <f aca="false">IF('Reverse Search'!$N$7="Disable",1,IF('Reverse Search'!$I$9="Disable",1,IF('Reverse Search'!$K$9="≥",IF(J680&gt;='Reverse Search'!$L$9,1,0),IF('Reverse Search'!$K$9="≤",IF(J680&lt;='Reverse Search'!$L$9,1,0),IF(J680='Reverse Search'!$L$9,1,0)))))</f>
        <v>1</v>
      </c>
      <c r="X680" s="0" t="n">
        <f aca="false">IF('Reverse Search'!$N$7="Disable",1,IF('Reverse Search'!$I$10="Disable",1,IF('Reverse Search'!$K$10="≥",IF(K680&gt;='Reverse Search'!$L$10,1,0),IF('Reverse Search'!$K$10="≤",IF(K680&lt;='Reverse Search'!$L$10,1,0),IF(K680='Reverse Search'!$L$10,1,0)))))</f>
        <v>1</v>
      </c>
      <c r="Y680" s="367" t="n">
        <f aca="false">IF('Reverse Search'!$N$7="Disable",1,IF('Reverse Search'!$I$11="Disable",1,IF('Reverse Search'!$K$11="≥",IF(L680&gt;='Reverse Search'!$L$11,1,0),IF('Reverse Search'!$K$11="≤",IF(L680&lt;='Reverse Search'!$L$11,1,0),IF(L680='Reverse Search'!$L$11,1,0)))))</f>
        <v>1</v>
      </c>
      <c r="Z680" s="0" t="n">
        <f aca="true">IF('Reverse Search'!$C$14="Disable",1,IF('Reverse Search'!$D$16="Disable",1,IF($C$2=3,IF($M680=0,0,COUNTIF(INDIRECT("'0.0.2 Pokémon Learnset (Core)'!$D$"&amp;MATCH($E680,'0.0.2 Pokémon Learnset (Core)'!$A$1:$A951,0)&amp;":$FK$"&amp;MATCH($E680,'0.0.2 Pokémon Learnset (Core)'!$A$1:$A951,0)),'Reverse Search'!$E$21)),IF($C$2=2,COUNTIF(INDIRECT("'0.1.1 Pokémon GO Moves'!$B$"&amp;MATCH($E680,'0.1.1 Pokémon GO Moves'!$A$1:$A951,0)&amp;":$R$"&amp;MATCH($E680,'0.1.1 Pokémon GO Moves'!$A$1:$A951,0)),'Reverse Search'!$E$21),COUNTIF(INDIRECT("'0.1.1 Pokémon GO Moves'!$B$"&amp;MATCH($E680,'0.1.1 Pokémon GO Moves'!$A$1:$A951,0)&amp;":$L$"&amp;MATCH($E680,'0.1.1 Pokémon GO Moves'!$A$1:$A951,0)),'Reverse Search'!$E$21)))))</f>
        <v>1</v>
      </c>
      <c r="AA680" s="0" t="n">
        <f aca="true">IF('Reverse Search'!$C$14="Disable",1,IF('Reverse Search'!$I$16="Disable",1,IF($D$2=3,IF($M680=0,0,COUNTIF(INDIRECT("'0.0.2 Pokémon Learnset (Core)'!$D$"&amp;MATCH($E680,'0.0.2 Pokémon Learnset (Core)'!$A$1:$A951,0)&amp;":$FK$"&amp;MATCH($E680,'0.0.2 Pokémon Learnset (Core)'!$A$1:$A951,0)),'Reverse Search'!$J$21)),IF($D$2=2,COUNTIF(INDIRECT("'0.1.1 Pokémon GO Moves'!$B$"&amp;MATCH($E680,'0.1.1 Pokémon GO Moves'!$A$1:$A951,0)&amp;":$R$"&amp;MATCH($E680,'0.1.1 Pokémon GO Moves'!$A$1:$A951,0)),'Reverse Search'!$J$21),COUNTIF(INDIRECT("'0.1.1 Pokémon GO Moves'!$B$"&amp;MATCH($E680,'0.1.1 Pokémon GO Moves'!$A$1:$A951,0)&amp;":$L$"&amp;MATCH($E680,'0.1.1 Pokémon GO Moves'!$A$1:$A951,0)),'Reverse Search'!$J$21)))))</f>
        <v>0</v>
      </c>
      <c r="AB680" s="490"/>
      <c r="AC680" s="260" t="n">
        <f aca="false">IF((Q680+R680+S680+V680+W680+X680+Y680+IF(Z680&gt;=1,1,0)+IF(AA680&gt;=1,1,0))=9,G680&amp;", ",)</f>
        <v>0</v>
      </c>
    </row>
    <row r="681" customFormat="false" ht="15.75" hidden="false" customHeight="false" outlineLevel="0" collapsed="false">
      <c r="A681" s="260"/>
      <c r="B681" s="358"/>
      <c r="C681" s="260"/>
      <c r="D681" s="358"/>
      <c r="E681" s="260" t="n">
        <v>680</v>
      </c>
      <c r="F681" s="260" t="n">
        <f aca="false" t="array" ref="F681:F681">INDEX('0.0.1 Pokémon Dex Data'!$H$3:$H951,MATCH(E681,'0.0.1 Pokémon Dex Data'!$B$3:$B951,0))</f>
        <v>0</v>
      </c>
      <c r="G681" s="0" t="str">
        <f aca="false" t="array" ref="G681:G681">INDEX('0.0.1 Pokémon Dex Data'!$E$3:$E951,MATCH(E681,'0.0.1 Pokémon Dex Data'!$B$3:$B951,0))</f>
        <v>Ducklett</v>
      </c>
      <c r="H681" s="0" t="str">
        <f aca="false" t="array" ref="H681:H681">INDEX('0.0.1 Pokémon Dex Data'!$Q$3:$Q951,MATCH(E681,'0.0.1 Pokémon Dex Data'!$B$3:$B951,0))</f>
        <v>Water</v>
      </c>
      <c r="I681" s="0" t="str">
        <f aca="false" t="array" ref="I681:I681">INDEX('0.0.1 Pokémon Dex Data'!$R$3:$R951,MATCH(E681,'0.0.1 Pokémon Dex Data'!$B$3:$B951,0))</f>
        <v>Flying</v>
      </c>
      <c r="J681" s="260" t="n">
        <f aca="false" t="array" ref="J681:J681">ROUND(INDEX('0.0.1 Pokémon Dex Data'!$S$3:$S951,MATCH($E681,'0.0.1 Pokémon Dex Data'!$B$3:$B951,0))*INDEX('0.0.1 Pokémon Dex Data'!T$3:T951,MATCH($E681,'0.0.1 Pokémon Dex Data'!$B$3:$B951,0)),0)</f>
        <v>84</v>
      </c>
      <c r="K681" s="260" t="n">
        <f aca="false" t="array" ref="K681:K681">ROUND(INDEX('0.0.1 Pokémon Dex Data'!$S$3:$S951,MATCH($E681,'0.0.1 Pokémon Dex Data'!$B$3:$B951,0))*INDEX('0.0.1 Pokémon Dex Data'!U$3:U951,MATCH($E681,'0.0.1 Pokémon Dex Data'!$B$3:$B951,0)),0)</f>
        <v>96</v>
      </c>
      <c r="L681" s="260" t="n">
        <f aca="false" t="array" ref="L681:L681">ROUND(INDEX('0.0.1 Pokémon Dex Data'!$S$3:$S951,MATCH($E681,'0.0.1 Pokémon Dex Data'!$B$3:$B951,0))*INDEX('0.0.1 Pokémon Dex Data'!V$3:V951,MATCH($E681,'0.0.1 Pokémon Dex Data'!$B$3:$B951,0)),0)</f>
        <v>158</v>
      </c>
      <c r="M681" s="260" t="n">
        <f aca="false" t="array" ref="M681:M681">INDEX('0.0.1 Pokémon Dex Data'!$J$3:$J951,MATCH(E681,'0.0.1 Pokémon Dex Data'!$B$3:$B951,0))</f>
        <v>0</v>
      </c>
      <c r="O681" s="490"/>
      <c r="Q681" s="367" t="n">
        <f aca="false">IF('Reverse Search'!$F$4="All (including temporary formes)",1,IF('Reverse Search'!$F$4="Base Pokémon and permanent formes only",IF(F681&lt;=1,1,0),IF(F681=0,1,0)))</f>
        <v>1</v>
      </c>
      <c r="R681" s="0" t="n">
        <f aca="false">IF('Reverse Search'!$C$7="Disable",1,IF('Reverse Search'!$D$9="Disable",1,IF(OR('Reverse Search'!$F$9=H681,'Reverse Search'!$F$9=I681),1,0)))</f>
        <v>1</v>
      </c>
      <c r="S681" s="0" t="n">
        <f aca="false">IF('Reverse Search'!$C$7="Disable",1,IF('Reverse Search'!$D$10="Disable",1,IF(OR('Reverse Search'!$F$10=H681,'Reverse Search'!$F$10=I681),1,0)))</f>
        <v>1</v>
      </c>
      <c r="T681" s="0" t="n">
        <f aca="false">INDEX($B$4:$B$22,MATCH(H681,$A$4:$A$22,0))</f>
        <v>1</v>
      </c>
      <c r="U681" s="0" t="n">
        <f aca="false">IF(ISBLANK(I681),1,INDEX($B$4:$B$22,MATCH(I681,$A$4:$A$22,0)))</f>
        <v>1</v>
      </c>
      <c r="V681" s="367" t="n">
        <f aca="false">IF('Reverse Search'!$C$7="Disable",1,IF('Reverse Search'!$D$11="Disable",1,IF('Reverse Search'!$E$11="Neutral to:",IF(ROUND(T681*U681,2)&lt;=1,1,0),IF(ROUND(T681*U681,2)&lt;1,1,0))))</f>
        <v>1</v>
      </c>
      <c r="W681" s="0" t="n">
        <f aca="false">IF('Reverse Search'!$N$7="Disable",1,IF('Reverse Search'!$I$9="Disable",1,IF('Reverse Search'!$K$9="≥",IF(J681&gt;='Reverse Search'!$L$9,1,0),IF('Reverse Search'!$K$9="≤",IF(J681&lt;='Reverse Search'!$L$9,1,0),IF(J681='Reverse Search'!$L$9,1,0)))))</f>
        <v>1</v>
      </c>
      <c r="X681" s="0" t="n">
        <f aca="false">IF('Reverse Search'!$N$7="Disable",1,IF('Reverse Search'!$I$10="Disable",1,IF('Reverse Search'!$K$10="≥",IF(K681&gt;='Reverse Search'!$L$10,1,0),IF('Reverse Search'!$K$10="≤",IF(K681&lt;='Reverse Search'!$L$10,1,0),IF(K681='Reverse Search'!$L$10,1,0)))))</f>
        <v>1</v>
      </c>
      <c r="Y681" s="367" t="n">
        <f aca="false">IF('Reverse Search'!$N$7="Disable",1,IF('Reverse Search'!$I$11="Disable",1,IF('Reverse Search'!$K$11="≥",IF(L681&gt;='Reverse Search'!$L$11,1,0),IF('Reverse Search'!$K$11="≤",IF(L681&lt;='Reverse Search'!$L$11,1,0),IF(L681='Reverse Search'!$L$11,1,0)))))</f>
        <v>1</v>
      </c>
      <c r="Z681" s="0" t="n">
        <f aca="true">IF('Reverse Search'!$C$14="Disable",1,IF('Reverse Search'!$D$16="Disable",1,IF($C$2=3,IF($M681=0,0,COUNTIF(INDIRECT("'0.0.2 Pokémon Learnset (Core)'!$D$"&amp;MATCH($E681,'0.0.2 Pokémon Learnset (Core)'!$A$1:$A951,0)&amp;":$FK$"&amp;MATCH($E681,'0.0.2 Pokémon Learnset (Core)'!$A$1:$A951,0)),'Reverse Search'!$E$21)),IF($C$2=2,COUNTIF(INDIRECT("'0.1.1 Pokémon GO Moves'!$B$"&amp;MATCH($E681,'0.1.1 Pokémon GO Moves'!$A$1:$A951,0)&amp;":$R$"&amp;MATCH($E681,'0.1.1 Pokémon GO Moves'!$A$1:$A951,0)),'Reverse Search'!$E$21),COUNTIF(INDIRECT("'0.1.1 Pokémon GO Moves'!$B$"&amp;MATCH($E681,'0.1.1 Pokémon GO Moves'!$A$1:$A951,0)&amp;":$L$"&amp;MATCH($E681,'0.1.1 Pokémon GO Moves'!$A$1:$A951,0)),'Reverse Search'!$E$21)))))</f>
        <v>1</v>
      </c>
      <c r="AA681" s="0" t="n">
        <f aca="true">IF('Reverse Search'!$C$14="Disable",1,IF('Reverse Search'!$I$16="Disable",1,IF($D$2=3,IF($M681=0,0,COUNTIF(INDIRECT("'0.0.2 Pokémon Learnset (Core)'!$D$"&amp;MATCH($E681,'0.0.2 Pokémon Learnset (Core)'!$A$1:$A951,0)&amp;":$FK$"&amp;MATCH($E681,'0.0.2 Pokémon Learnset (Core)'!$A$1:$A951,0)),'Reverse Search'!$J$21)),IF($D$2=2,COUNTIF(INDIRECT("'0.1.1 Pokémon GO Moves'!$B$"&amp;MATCH($E681,'0.1.1 Pokémon GO Moves'!$A$1:$A951,0)&amp;":$R$"&amp;MATCH($E681,'0.1.1 Pokémon GO Moves'!$A$1:$A951,0)),'Reverse Search'!$J$21),COUNTIF(INDIRECT("'0.1.1 Pokémon GO Moves'!$B$"&amp;MATCH($E681,'0.1.1 Pokémon GO Moves'!$A$1:$A951,0)&amp;":$L$"&amp;MATCH($E681,'0.1.1 Pokémon GO Moves'!$A$1:$A951,0)),'Reverse Search'!$J$21)))))</f>
        <v>0</v>
      </c>
      <c r="AB681" s="490"/>
      <c r="AC681" s="260" t="n">
        <f aca="false">IF((Q681+R681+S681+V681+W681+X681+Y681+IF(Z681&gt;=1,1,0)+IF(AA681&gt;=1,1,0))=9,G681&amp;", ",)</f>
        <v>0</v>
      </c>
    </row>
    <row r="682" customFormat="false" ht="15.75" hidden="false" customHeight="false" outlineLevel="0" collapsed="false">
      <c r="A682" s="260"/>
      <c r="B682" s="358"/>
      <c r="C682" s="260"/>
      <c r="D682" s="358"/>
      <c r="E682" s="260" t="n">
        <v>681</v>
      </c>
      <c r="F682" s="260" t="n">
        <f aca="false" t="array" ref="F682:F682">INDEX('0.0.1 Pokémon Dex Data'!$H$3:$H951,MATCH(E682,'0.0.1 Pokémon Dex Data'!$B$3:$B951,0))</f>
        <v>0</v>
      </c>
      <c r="G682" s="0" t="str">
        <f aca="false" t="array" ref="G682:G682">INDEX('0.0.1 Pokémon Dex Data'!$E$3:$E951,MATCH(E682,'0.0.1 Pokémon Dex Data'!$B$3:$B951,0))</f>
        <v>Swanna</v>
      </c>
      <c r="H682" s="0" t="str">
        <f aca="false" t="array" ref="H682:H682">INDEX('0.0.1 Pokémon Dex Data'!$Q$3:$Q951,MATCH(E682,'0.0.1 Pokémon Dex Data'!$B$3:$B951,0))</f>
        <v>Water</v>
      </c>
      <c r="I682" s="0" t="str">
        <f aca="false" t="array" ref="I682:I682">INDEX('0.0.1 Pokémon Dex Data'!$R$3:$R951,MATCH(E682,'0.0.1 Pokémon Dex Data'!$B$3:$B951,0))</f>
        <v>Flying</v>
      </c>
      <c r="J682" s="260" t="n">
        <f aca="false" t="array" ref="J682:J682">ROUND(INDEX('0.0.1 Pokémon Dex Data'!$S$3:$S951,MATCH($E682,'0.0.1 Pokémon Dex Data'!$B$3:$B951,0))*INDEX('0.0.1 Pokémon Dex Data'!T$3:T951,MATCH($E682,'0.0.1 Pokémon Dex Data'!$B$3:$B951,0)),0)</f>
        <v>182</v>
      </c>
      <c r="K682" s="260" t="n">
        <f aca="false" t="array" ref="K682:K682">ROUND(INDEX('0.0.1 Pokémon Dex Data'!$S$3:$S951,MATCH($E682,'0.0.1 Pokémon Dex Data'!$B$3:$B951,0))*INDEX('0.0.1 Pokémon Dex Data'!U$3:U951,MATCH($E682,'0.0.1 Pokémon Dex Data'!$B$3:$B951,0)),0)</f>
        <v>132</v>
      </c>
      <c r="L682" s="260" t="n">
        <f aca="false" t="array" ref="L682:L682">ROUND(INDEX('0.0.1 Pokémon Dex Data'!$S$3:$S951,MATCH($E682,'0.0.1 Pokémon Dex Data'!$B$3:$B951,0))*INDEX('0.0.1 Pokémon Dex Data'!V$3:V951,MATCH($E682,'0.0.1 Pokémon Dex Data'!$B$3:$B951,0)),0)</f>
        <v>181</v>
      </c>
      <c r="M682" s="260" t="n">
        <f aca="false" t="array" ref="M682:M682">INDEX('0.0.1 Pokémon Dex Data'!$J$3:$J951,MATCH(E682,'0.0.1 Pokémon Dex Data'!$B$3:$B951,0))</f>
        <v>1</v>
      </c>
      <c r="O682" s="490"/>
      <c r="Q682" s="367" t="n">
        <f aca="false">IF('Reverse Search'!$F$4="All (including temporary formes)",1,IF('Reverse Search'!$F$4="Base Pokémon and permanent formes only",IF(F682&lt;=1,1,0),IF(F682=0,1,0)))</f>
        <v>1</v>
      </c>
      <c r="R682" s="0" t="n">
        <f aca="false">IF('Reverse Search'!$C$7="Disable",1,IF('Reverse Search'!$D$9="Disable",1,IF(OR('Reverse Search'!$F$9=H682,'Reverse Search'!$F$9=I682),1,0)))</f>
        <v>1</v>
      </c>
      <c r="S682" s="0" t="n">
        <f aca="false">IF('Reverse Search'!$C$7="Disable",1,IF('Reverse Search'!$D$10="Disable",1,IF(OR('Reverse Search'!$F$10=H682,'Reverse Search'!$F$10=I682),1,0)))</f>
        <v>1</v>
      </c>
      <c r="T682" s="0" t="n">
        <f aca="false">INDEX($B$4:$B$22,MATCH(H682,$A$4:$A$22,0))</f>
        <v>1</v>
      </c>
      <c r="U682" s="0" t="n">
        <f aca="false">IF(ISBLANK(I682),1,INDEX($B$4:$B$22,MATCH(I682,$A$4:$A$22,0)))</f>
        <v>1</v>
      </c>
      <c r="V682" s="367" t="n">
        <f aca="false">IF('Reverse Search'!$C$7="Disable",1,IF('Reverse Search'!$D$11="Disable",1,IF('Reverse Search'!$E$11="Neutral to:",IF(ROUND(T682*U682,2)&lt;=1,1,0),IF(ROUND(T682*U682,2)&lt;1,1,0))))</f>
        <v>1</v>
      </c>
      <c r="W682" s="0" t="n">
        <f aca="false">IF('Reverse Search'!$N$7="Disable",1,IF('Reverse Search'!$I$9="Disable",1,IF('Reverse Search'!$K$9="≥",IF(J682&gt;='Reverse Search'!$L$9,1,0),IF('Reverse Search'!$K$9="≤",IF(J682&lt;='Reverse Search'!$L$9,1,0),IF(J682='Reverse Search'!$L$9,1,0)))))</f>
        <v>1</v>
      </c>
      <c r="X682" s="0" t="n">
        <f aca="false">IF('Reverse Search'!$N$7="Disable",1,IF('Reverse Search'!$I$10="Disable",1,IF('Reverse Search'!$K$10="≥",IF(K682&gt;='Reverse Search'!$L$10,1,0),IF('Reverse Search'!$K$10="≤",IF(K682&lt;='Reverse Search'!$L$10,1,0),IF(K682='Reverse Search'!$L$10,1,0)))))</f>
        <v>1</v>
      </c>
      <c r="Y682" s="367" t="n">
        <f aca="false">IF('Reverse Search'!$N$7="Disable",1,IF('Reverse Search'!$I$11="Disable",1,IF('Reverse Search'!$K$11="≥",IF(L682&gt;='Reverse Search'!$L$11,1,0),IF('Reverse Search'!$K$11="≤",IF(L682&lt;='Reverse Search'!$L$11,1,0),IF(L682='Reverse Search'!$L$11,1,0)))))</f>
        <v>1</v>
      </c>
      <c r="Z682" s="0" t="n">
        <f aca="true">IF('Reverse Search'!$C$14="Disable",1,IF('Reverse Search'!$D$16="Disable",1,IF($C$2=3,IF($M682=0,0,COUNTIF(INDIRECT("'0.0.2 Pokémon Learnset (Core)'!$D$"&amp;MATCH($E682,'0.0.2 Pokémon Learnset (Core)'!$A$1:$A951,0)&amp;":$FK$"&amp;MATCH($E682,'0.0.2 Pokémon Learnset (Core)'!$A$1:$A951,0)),'Reverse Search'!$E$21)),IF($C$2=2,COUNTIF(INDIRECT("'0.1.1 Pokémon GO Moves'!$B$"&amp;MATCH($E682,'0.1.1 Pokémon GO Moves'!$A$1:$A951,0)&amp;":$R$"&amp;MATCH($E682,'0.1.1 Pokémon GO Moves'!$A$1:$A951,0)),'Reverse Search'!$E$21),COUNTIF(INDIRECT("'0.1.1 Pokémon GO Moves'!$B$"&amp;MATCH($E682,'0.1.1 Pokémon GO Moves'!$A$1:$A951,0)&amp;":$L$"&amp;MATCH($E682,'0.1.1 Pokémon GO Moves'!$A$1:$A951,0)),'Reverse Search'!$E$21)))))</f>
        <v>1</v>
      </c>
      <c r="AA682" s="0" t="n">
        <f aca="true">IF('Reverse Search'!$C$14="Disable",1,IF('Reverse Search'!$I$16="Disable",1,IF($D$2=3,IF($M682=0,0,COUNTIF(INDIRECT("'0.0.2 Pokémon Learnset (Core)'!$D$"&amp;MATCH($E682,'0.0.2 Pokémon Learnset (Core)'!$A$1:$A951,0)&amp;":$FK$"&amp;MATCH($E682,'0.0.2 Pokémon Learnset (Core)'!$A$1:$A951,0)),'Reverse Search'!$J$21)),IF($D$2=2,COUNTIF(INDIRECT("'0.1.1 Pokémon GO Moves'!$B$"&amp;MATCH($E682,'0.1.1 Pokémon GO Moves'!$A$1:$A951,0)&amp;":$R$"&amp;MATCH($E682,'0.1.1 Pokémon GO Moves'!$A$1:$A951,0)),'Reverse Search'!$J$21),COUNTIF(INDIRECT("'0.1.1 Pokémon GO Moves'!$B$"&amp;MATCH($E682,'0.1.1 Pokémon GO Moves'!$A$1:$A951,0)&amp;":$L$"&amp;MATCH($E682,'0.1.1 Pokémon GO Moves'!$A$1:$A951,0)),'Reverse Search'!$J$21)))))</f>
        <v>0</v>
      </c>
      <c r="AB682" s="490"/>
      <c r="AC682" s="260" t="n">
        <f aca="false">IF((Q682+R682+S682+V682+W682+X682+Y682+IF(Z682&gt;=1,1,0)+IF(AA682&gt;=1,1,0))=9,G682&amp;", ",)</f>
        <v>0</v>
      </c>
    </row>
    <row r="683" customFormat="false" ht="15.75" hidden="false" customHeight="false" outlineLevel="0" collapsed="false">
      <c r="A683" s="260"/>
      <c r="B683" s="358"/>
      <c r="C683" s="260"/>
      <c r="D683" s="358"/>
      <c r="E683" s="260" t="n">
        <v>682</v>
      </c>
      <c r="F683" s="260" t="n">
        <f aca="false" t="array" ref="F683:F683">INDEX('0.0.1 Pokémon Dex Data'!$H$3:$H951,MATCH(E683,'0.0.1 Pokémon Dex Data'!$B$3:$B951,0))</f>
        <v>0</v>
      </c>
      <c r="G683" s="0" t="str">
        <f aca="false" t="array" ref="G683:G683">INDEX('0.0.1 Pokémon Dex Data'!$E$3:$E951,MATCH(E683,'0.0.1 Pokémon Dex Data'!$B$3:$B951,0))</f>
        <v>Vanillite</v>
      </c>
      <c r="H683" s="0" t="str">
        <f aca="false" t="array" ref="H683:H683">INDEX('0.0.1 Pokémon Dex Data'!$Q$3:$Q951,MATCH(E683,'0.0.1 Pokémon Dex Data'!$B$3:$B951,0))</f>
        <v>Ice</v>
      </c>
      <c r="I683" s="0" t="n">
        <f aca="false">INDEX('0.0.1 Pokémon Dex Data'!$R$3:$R951,MATCH(E683,'0.0.1 Pokémon Dex Data'!$B$3:$B951,0))</f>
        <v>0</v>
      </c>
      <c r="J683" s="260" t="n">
        <f aca="false" t="array" ref="J683:J683">ROUND(INDEX('0.0.1 Pokémon Dex Data'!$S$3:$S951,MATCH($E683,'0.0.1 Pokémon Dex Data'!$B$3:$B951,0))*INDEX('0.0.1 Pokémon Dex Data'!T$3:T951,MATCH($E683,'0.0.1 Pokémon Dex Data'!$B$3:$B951,0)),0)</f>
        <v>118</v>
      </c>
      <c r="K683" s="260" t="n">
        <f aca="false" t="array" ref="K683:K683">ROUND(INDEX('0.0.1 Pokémon Dex Data'!$S$3:$S951,MATCH($E683,'0.0.1 Pokémon Dex Data'!$B$3:$B951,0))*INDEX('0.0.1 Pokémon Dex Data'!U$3:U951,MATCH($E683,'0.0.1 Pokémon Dex Data'!$B$3:$B951,0)),0)</f>
        <v>106</v>
      </c>
      <c r="L683" s="260" t="n">
        <f aca="false" t="array" ref="L683:L683">ROUND(INDEX('0.0.1 Pokémon Dex Data'!$S$3:$S951,MATCH($E683,'0.0.1 Pokémon Dex Data'!$B$3:$B951,0))*INDEX('0.0.1 Pokémon Dex Data'!V$3:V951,MATCH($E683,'0.0.1 Pokémon Dex Data'!$B$3:$B951,0)),0)</f>
        <v>113</v>
      </c>
      <c r="M683" s="260" t="n">
        <f aca="false" t="array" ref="M683:M683">INDEX('0.0.1 Pokémon Dex Data'!$J$3:$J951,MATCH(E683,'0.0.1 Pokémon Dex Data'!$B$3:$B951,0))</f>
        <v>0</v>
      </c>
      <c r="O683" s="490"/>
      <c r="Q683" s="367" t="n">
        <f aca="false">IF('Reverse Search'!$F$4="All (including temporary formes)",1,IF('Reverse Search'!$F$4="Base Pokémon and permanent formes only",IF(F683&lt;=1,1,0),IF(F683=0,1,0)))</f>
        <v>1</v>
      </c>
      <c r="R683" s="0" t="n">
        <f aca="false">IF('Reverse Search'!$C$7="Disable",1,IF('Reverse Search'!$D$9="Disable",1,IF(OR('Reverse Search'!$F$9=H683,'Reverse Search'!$F$9=I683),1,0)))</f>
        <v>1</v>
      </c>
      <c r="S683" s="0" t="n">
        <f aca="false">IF('Reverse Search'!$C$7="Disable",1,IF('Reverse Search'!$D$10="Disable",1,IF(OR('Reverse Search'!$F$10=H683,'Reverse Search'!$F$10=I683),1,0)))</f>
        <v>1</v>
      </c>
      <c r="T683" s="0" t="n">
        <f aca="false">INDEX($B$4:$B$22,MATCH(H683,$A$4:$A$22,0))</f>
        <v>1</v>
      </c>
      <c r="U683" s="0" t="e">
        <f aca="false">IF(ISBLANK(I683),1,INDEX($B$4:$B$22,MATCH(I683,$A$4:$A$22,0)))</f>
        <v>#N/A</v>
      </c>
      <c r="V683" s="367" t="n">
        <f aca="false">IF('Reverse Search'!$C$7="Disable",1,IF('Reverse Search'!$D$11="Disable",1,IF('Reverse Search'!$E$11="Neutral to:",IF(ROUND(T683*U683,2)&lt;=1,1,0),IF(ROUND(T683*U683,2)&lt;1,1,0))))</f>
        <v>1</v>
      </c>
      <c r="W683" s="0" t="n">
        <f aca="false">IF('Reverse Search'!$N$7="Disable",1,IF('Reverse Search'!$I$9="Disable",1,IF('Reverse Search'!$K$9="≥",IF(J683&gt;='Reverse Search'!$L$9,1,0),IF('Reverse Search'!$K$9="≤",IF(J683&lt;='Reverse Search'!$L$9,1,0),IF(J683='Reverse Search'!$L$9,1,0)))))</f>
        <v>1</v>
      </c>
      <c r="X683" s="0" t="n">
        <f aca="false">IF('Reverse Search'!$N$7="Disable",1,IF('Reverse Search'!$I$10="Disable",1,IF('Reverse Search'!$K$10="≥",IF(K683&gt;='Reverse Search'!$L$10,1,0),IF('Reverse Search'!$K$10="≤",IF(K683&lt;='Reverse Search'!$L$10,1,0),IF(K683='Reverse Search'!$L$10,1,0)))))</f>
        <v>1</v>
      </c>
      <c r="Y683" s="367" t="n">
        <f aca="false">IF('Reverse Search'!$N$7="Disable",1,IF('Reverse Search'!$I$11="Disable",1,IF('Reverse Search'!$K$11="≥",IF(L683&gt;='Reverse Search'!$L$11,1,0),IF('Reverse Search'!$K$11="≤",IF(L683&lt;='Reverse Search'!$L$11,1,0),IF(L683='Reverse Search'!$L$11,1,0)))))</f>
        <v>1</v>
      </c>
      <c r="Z683" s="0" t="n">
        <f aca="true">IF('Reverse Search'!$C$14="Disable",1,IF('Reverse Search'!$D$16="Disable",1,IF($C$2=3,IF($M683=0,0,COUNTIF(INDIRECT("'0.0.2 Pokémon Learnset (Core)'!$D$"&amp;MATCH($E683,'0.0.2 Pokémon Learnset (Core)'!$A$1:$A951,0)&amp;":$FK$"&amp;MATCH($E683,'0.0.2 Pokémon Learnset (Core)'!$A$1:$A951,0)),'Reverse Search'!$E$21)),IF($C$2=2,COUNTIF(INDIRECT("'0.1.1 Pokémon GO Moves'!$B$"&amp;MATCH($E683,'0.1.1 Pokémon GO Moves'!$A$1:$A951,0)&amp;":$R$"&amp;MATCH($E683,'0.1.1 Pokémon GO Moves'!$A$1:$A951,0)),'Reverse Search'!$E$21),COUNTIF(INDIRECT("'0.1.1 Pokémon GO Moves'!$B$"&amp;MATCH($E683,'0.1.1 Pokémon GO Moves'!$A$1:$A951,0)&amp;":$L$"&amp;MATCH($E683,'0.1.1 Pokémon GO Moves'!$A$1:$A951,0)),'Reverse Search'!$E$21)))))</f>
        <v>1</v>
      </c>
      <c r="AA683" s="0" t="n">
        <f aca="true">IF('Reverse Search'!$C$14="Disable",1,IF('Reverse Search'!$I$16="Disable",1,IF($D$2=3,IF($M683=0,0,COUNTIF(INDIRECT("'0.0.2 Pokémon Learnset (Core)'!$D$"&amp;MATCH($E683,'0.0.2 Pokémon Learnset (Core)'!$A$1:$A951,0)&amp;":$FK$"&amp;MATCH($E683,'0.0.2 Pokémon Learnset (Core)'!$A$1:$A951,0)),'Reverse Search'!$J$21)),IF($D$2=2,COUNTIF(INDIRECT("'0.1.1 Pokémon GO Moves'!$B$"&amp;MATCH($E683,'0.1.1 Pokémon GO Moves'!$A$1:$A951,0)&amp;":$R$"&amp;MATCH($E683,'0.1.1 Pokémon GO Moves'!$A$1:$A951,0)),'Reverse Search'!$J$21),COUNTIF(INDIRECT("'0.1.1 Pokémon GO Moves'!$B$"&amp;MATCH($E683,'0.1.1 Pokémon GO Moves'!$A$1:$A951,0)&amp;":$L$"&amp;MATCH($E683,'0.1.1 Pokémon GO Moves'!$A$1:$A951,0)),'Reverse Search'!$J$21)))))</f>
        <v>0</v>
      </c>
      <c r="AB683" s="490"/>
      <c r="AC683" s="260" t="n">
        <f aca="false">IF((Q683+R683+S683+V683+W683+X683+Y683+IF(Z683&gt;=1,1,0)+IF(AA683&gt;=1,1,0))=9,G683&amp;", ",)</f>
        <v>0</v>
      </c>
    </row>
    <row r="684" customFormat="false" ht="15.75" hidden="false" customHeight="false" outlineLevel="0" collapsed="false">
      <c r="A684" s="260"/>
      <c r="B684" s="358"/>
      <c r="C684" s="260"/>
      <c r="D684" s="358"/>
      <c r="E684" s="260" t="n">
        <v>683</v>
      </c>
      <c r="F684" s="260" t="n">
        <f aca="false" t="array" ref="F684:F684">INDEX('0.0.1 Pokémon Dex Data'!$H$3:$H951,MATCH(E684,'0.0.1 Pokémon Dex Data'!$B$3:$B951,0))</f>
        <v>0</v>
      </c>
      <c r="G684" s="0" t="str">
        <f aca="false" t="array" ref="G684:G684">INDEX('0.0.1 Pokémon Dex Data'!$E$3:$E951,MATCH(E684,'0.0.1 Pokémon Dex Data'!$B$3:$B951,0))</f>
        <v>Vanillish</v>
      </c>
      <c r="H684" s="0" t="str">
        <f aca="false" t="array" ref="H684:H684">INDEX('0.0.1 Pokémon Dex Data'!$Q$3:$Q951,MATCH(E684,'0.0.1 Pokémon Dex Data'!$B$3:$B951,0))</f>
        <v>Ice</v>
      </c>
      <c r="I684" s="0" t="n">
        <f aca="false">INDEX('0.0.1 Pokémon Dex Data'!$R$3:$R951,MATCH(E684,'0.0.1 Pokémon Dex Data'!$B$3:$B951,0))</f>
        <v>0</v>
      </c>
      <c r="J684" s="260" t="n">
        <f aca="false" t="array" ref="J684:J684">ROUND(INDEX('0.0.1 Pokémon Dex Data'!$S$3:$S951,MATCH($E684,'0.0.1 Pokémon Dex Data'!$B$3:$B951,0))*INDEX('0.0.1 Pokémon Dex Data'!T$3:T951,MATCH($E684,'0.0.1 Pokémon Dex Data'!$B$3:$B951,0)),0)</f>
        <v>151</v>
      </c>
      <c r="K684" s="260" t="n">
        <f aca="false" t="array" ref="K684:K684">ROUND(INDEX('0.0.1 Pokémon Dex Data'!$S$3:$S951,MATCH($E684,'0.0.1 Pokémon Dex Data'!$B$3:$B951,0))*INDEX('0.0.1 Pokémon Dex Data'!U$3:U951,MATCH($E684,'0.0.1 Pokémon Dex Data'!$B$3:$B951,0)),0)</f>
        <v>138</v>
      </c>
      <c r="L684" s="260" t="n">
        <f aca="false" t="array" ref="L684:L684">ROUND(INDEX('0.0.1 Pokémon Dex Data'!$S$3:$S951,MATCH($E684,'0.0.1 Pokémon Dex Data'!$B$3:$B951,0))*INDEX('0.0.1 Pokémon Dex Data'!V$3:V951,MATCH($E684,'0.0.1 Pokémon Dex Data'!$B$3:$B951,0)),0)</f>
        <v>139</v>
      </c>
      <c r="M684" s="260" t="n">
        <f aca="false" t="array" ref="M684:M684">INDEX('0.0.1 Pokémon Dex Data'!$J$3:$J951,MATCH(E684,'0.0.1 Pokémon Dex Data'!$B$3:$B951,0))</f>
        <v>0</v>
      </c>
      <c r="O684" s="490"/>
      <c r="Q684" s="367" t="n">
        <f aca="false">IF('Reverse Search'!$F$4="All (including temporary formes)",1,IF('Reverse Search'!$F$4="Base Pokémon and permanent formes only",IF(F684&lt;=1,1,0),IF(F684=0,1,0)))</f>
        <v>1</v>
      </c>
      <c r="R684" s="0" t="n">
        <f aca="false">IF('Reverse Search'!$C$7="Disable",1,IF('Reverse Search'!$D$9="Disable",1,IF(OR('Reverse Search'!$F$9=H684,'Reverse Search'!$F$9=I684),1,0)))</f>
        <v>1</v>
      </c>
      <c r="S684" s="0" t="n">
        <f aca="false">IF('Reverse Search'!$C$7="Disable",1,IF('Reverse Search'!$D$10="Disable",1,IF(OR('Reverse Search'!$F$10=H684,'Reverse Search'!$F$10=I684),1,0)))</f>
        <v>1</v>
      </c>
      <c r="T684" s="0" t="n">
        <f aca="false">INDEX($B$4:$B$22,MATCH(H684,$A$4:$A$22,0))</f>
        <v>1</v>
      </c>
      <c r="U684" s="0" t="e">
        <f aca="false">IF(ISBLANK(I684),1,INDEX($B$4:$B$22,MATCH(I684,$A$4:$A$22,0)))</f>
        <v>#N/A</v>
      </c>
      <c r="V684" s="367" t="n">
        <f aca="false">IF('Reverse Search'!$C$7="Disable",1,IF('Reverse Search'!$D$11="Disable",1,IF('Reverse Search'!$E$11="Neutral to:",IF(ROUND(T684*U684,2)&lt;=1,1,0),IF(ROUND(T684*U684,2)&lt;1,1,0))))</f>
        <v>1</v>
      </c>
      <c r="W684" s="0" t="n">
        <f aca="false">IF('Reverse Search'!$N$7="Disable",1,IF('Reverse Search'!$I$9="Disable",1,IF('Reverse Search'!$K$9="≥",IF(J684&gt;='Reverse Search'!$L$9,1,0),IF('Reverse Search'!$K$9="≤",IF(J684&lt;='Reverse Search'!$L$9,1,0),IF(J684='Reverse Search'!$L$9,1,0)))))</f>
        <v>1</v>
      </c>
      <c r="X684" s="0" t="n">
        <f aca="false">IF('Reverse Search'!$N$7="Disable",1,IF('Reverse Search'!$I$10="Disable",1,IF('Reverse Search'!$K$10="≥",IF(K684&gt;='Reverse Search'!$L$10,1,0),IF('Reverse Search'!$K$10="≤",IF(K684&lt;='Reverse Search'!$L$10,1,0),IF(K684='Reverse Search'!$L$10,1,0)))))</f>
        <v>1</v>
      </c>
      <c r="Y684" s="367" t="n">
        <f aca="false">IF('Reverse Search'!$N$7="Disable",1,IF('Reverse Search'!$I$11="Disable",1,IF('Reverse Search'!$K$11="≥",IF(L684&gt;='Reverse Search'!$L$11,1,0),IF('Reverse Search'!$K$11="≤",IF(L684&lt;='Reverse Search'!$L$11,1,0),IF(L684='Reverse Search'!$L$11,1,0)))))</f>
        <v>1</v>
      </c>
      <c r="Z684" s="0" t="n">
        <f aca="true">IF('Reverse Search'!$C$14="Disable",1,IF('Reverse Search'!$D$16="Disable",1,IF($C$2=3,IF($M684=0,0,COUNTIF(INDIRECT("'0.0.2 Pokémon Learnset (Core)'!$D$"&amp;MATCH($E684,'0.0.2 Pokémon Learnset (Core)'!$A$1:$A951,0)&amp;":$FK$"&amp;MATCH($E684,'0.0.2 Pokémon Learnset (Core)'!$A$1:$A951,0)),'Reverse Search'!$E$21)),IF($C$2=2,COUNTIF(INDIRECT("'0.1.1 Pokémon GO Moves'!$B$"&amp;MATCH($E684,'0.1.1 Pokémon GO Moves'!$A$1:$A951,0)&amp;":$R$"&amp;MATCH($E684,'0.1.1 Pokémon GO Moves'!$A$1:$A951,0)),'Reverse Search'!$E$21),COUNTIF(INDIRECT("'0.1.1 Pokémon GO Moves'!$B$"&amp;MATCH($E684,'0.1.1 Pokémon GO Moves'!$A$1:$A951,0)&amp;":$L$"&amp;MATCH($E684,'0.1.1 Pokémon GO Moves'!$A$1:$A951,0)),'Reverse Search'!$E$21)))))</f>
        <v>1</v>
      </c>
      <c r="AA684" s="0" t="n">
        <f aca="true">IF('Reverse Search'!$C$14="Disable",1,IF('Reverse Search'!$I$16="Disable",1,IF($D$2=3,IF($M684=0,0,COUNTIF(INDIRECT("'0.0.2 Pokémon Learnset (Core)'!$D$"&amp;MATCH($E684,'0.0.2 Pokémon Learnset (Core)'!$A$1:$A951,0)&amp;":$FK$"&amp;MATCH($E684,'0.0.2 Pokémon Learnset (Core)'!$A$1:$A951,0)),'Reverse Search'!$J$21)),IF($D$2=2,COUNTIF(INDIRECT("'0.1.1 Pokémon GO Moves'!$B$"&amp;MATCH($E684,'0.1.1 Pokémon GO Moves'!$A$1:$A951,0)&amp;":$R$"&amp;MATCH($E684,'0.1.1 Pokémon GO Moves'!$A$1:$A951,0)),'Reverse Search'!$J$21),COUNTIF(INDIRECT("'0.1.1 Pokémon GO Moves'!$B$"&amp;MATCH($E684,'0.1.1 Pokémon GO Moves'!$A$1:$A951,0)&amp;":$L$"&amp;MATCH($E684,'0.1.1 Pokémon GO Moves'!$A$1:$A951,0)),'Reverse Search'!$J$21)))))</f>
        <v>0</v>
      </c>
      <c r="AB684" s="490"/>
      <c r="AC684" s="260" t="n">
        <f aca="false">IF((Q684+R684+S684+V684+W684+X684+Y684+IF(Z684&gt;=1,1,0)+IF(AA684&gt;=1,1,0))=9,G684&amp;", ",)</f>
        <v>0</v>
      </c>
    </row>
    <row r="685" customFormat="false" ht="15.75" hidden="false" customHeight="false" outlineLevel="0" collapsed="false">
      <c r="A685" s="260"/>
      <c r="B685" s="358"/>
      <c r="C685" s="260"/>
      <c r="D685" s="358"/>
      <c r="E685" s="260" t="n">
        <v>684</v>
      </c>
      <c r="F685" s="260" t="n">
        <f aca="false" t="array" ref="F685:F685">INDEX('0.0.1 Pokémon Dex Data'!$H$3:$H951,MATCH(E685,'0.0.1 Pokémon Dex Data'!$B$3:$B951,0))</f>
        <v>0</v>
      </c>
      <c r="G685" s="0" t="str">
        <f aca="false" t="array" ref="G685:G685">INDEX('0.0.1 Pokémon Dex Data'!$E$3:$E951,MATCH(E685,'0.0.1 Pokémon Dex Data'!$B$3:$B951,0))</f>
        <v>Vanilluxe</v>
      </c>
      <c r="H685" s="0" t="str">
        <f aca="false" t="array" ref="H685:H685">INDEX('0.0.1 Pokémon Dex Data'!$Q$3:$Q951,MATCH(E685,'0.0.1 Pokémon Dex Data'!$B$3:$B951,0))</f>
        <v>Ice</v>
      </c>
      <c r="I685" s="0" t="n">
        <f aca="false">INDEX('0.0.1 Pokémon Dex Data'!$R$3:$R951,MATCH(E685,'0.0.1 Pokémon Dex Data'!$B$3:$B951,0))</f>
        <v>0</v>
      </c>
      <c r="J685" s="260" t="n">
        <f aca="false" t="array" ref="J685:J685">ROUND(INDEX('0.0.1 Pokémon Dex Data'!$S$3:$S951,MATCH($E685,'0.0.1 Pokémon Dex Data'!$B$3:$B951,0))*INDEX('0.0.1 Pokémon Dex Data'!T$3:T951,MATCH($E685,'0.0.1 Pokémon Dex Data'!$B$3:$B951,0)),0)</f>
        <v>218</v>
      </c>
      <c r="K685" s="260" t="n">
        <f aca="false" t="array" ref="K685:K685">ROUND(INDEX('0.0.1 Pokémon Dex Data'!$S$3:$S951,MATCH($E685,'0.0.1 Pokémon Dex Data'!$B$3:$B951,0))*INDEX('0.0.1 Pokémon Dex Data'!U$3:U951,MATCH($E685,'0.0.1 Pokémon Dex Data'!$B$3:$B951,0)),0)</f>
        <v>184</v>
      </c>
      <c r="L685" s="260" t="n">
        <f aca="false" t="array" ref="L685:L685">ROUND(INDEX('0.0.1 Pokémon Dex Data'!$S$3:$S951,MATCH($E685,'0.0.1 Pokémon Dex Data'!$B$3:$B951,0))*INDEX('0.0.1 Pokémon Dex Data'!V$3:V951,MATCH($E685,'0.0.1 Pokémon Dex Data'!$B$3:$B951,0)),0)</f>
        <v>174</v>
      </c>
      <c r="M685" s="260" t="n">
        <f aca="false" t="array" ref="M685:M685">INDEX('0.0.1 Pokémon Dex Data'!$J$3:$J951,MATCH(E685,'0.0.1 Pokémon Dex Data'!$B$3:$B951,0))</f>
        <v>1</v>
      </c>
      <c r="O685" s="490"/>
      <c r="Q685" s="367" t="n">
        <f aca="false">IF('Reverse Search'!$F$4="All (including temporary formes)",1,IF('Reverse Search'!$F$4="Base Pokémon and permanent formes only",IF(F685&lt;=1,1,0),IF(F685=0,1,0)))</f>
        <v>1</v>
      </c>
      <c r="R685" s="0" t="n">
        <f aca="false">IF('Reverse Search'!$C$7="Disable",1,IF('Reverse Search'!$D$9="Disable",1,IF(OR('Reverse Search'!$F$9=H685,'Reverse Search'!$F$9=I685),1,0)))</f>
        <v>1</v>
      </c>
      <c r="S685" s="0" t="n">
        <f aca="false">IF('Reverse Search'!$C$7="Disable",1,IF('Reverse Search'!$D$10="Disable",1,IF(OR('Reverse Search'!$F$10=H685,'Reverse Search'!$F$10=I685),1,0)))</f>
        <v>1</v>
      </c>
      <c r="T685" s="0" t="n">
        <f aca="false">INDEX($B$4:$B$22,MATCH(H685,$A$4:$A$22,0))</f>
        <v>1</v>
      </c>
      <c r="U685" s="0" t="e">
        <f aca="false">IF(ISBLANK(I685),1,INDEX($B$4:$B$22,MATCH(I685,$A$4:$A$22,0)))</f>
        <v>#N/A</v>
      </c>
      <c r="V685" s="367" t="n">
        <f aca="false">IF('Reverse Search'!$C$7="Disable",1,IF('Reverse Search'!$D$11="Disable",1,IF('Reverse Search'!$E$11="Neutral to:",IF(ROUND(T685*U685,2)&lt;=1,1,0),IF(ROUND(T685*U685,2)&lt;1,1,0))))</f>
        <v>1</v>
      </c>
      <c r="W685" s="0" t="n">
        <f aca="false">IF('Reverse Search'!$N$7="Disable",1,IF('Reverse Search'!$I$9="Disable",1,IF('Reverse Search'!$K$9="≥",IF(J685&gt;='Reverse Search'!$L$9,1,0),IF('Reverse Search'!$K$9="≤",IF(J685&lt;='Reverse Search'!$L$9,1,0),IF(J685='Reverse Search'!$L$9,1,0)))))</f>
        <v>1</v>
      </c>
      <c r="X685" s="0" t="n">
        <f aca="false">IF('Reverse Search'!$N$7="Disable",1,IF('Reverse Search'!$I$10="Disable",1,IF('Reverse Search'!$K$10="≥",IF(K685&gt;='Reverse Search'!$L$10,1,0),IF('Reverse Search'!$K$10="≤",IF(K685&lt;='Reverse Search'!$L$10,1,0),IF(K685='Reverse Search'!$L$10,1,0)))))</f>
        <v>1</v>
      </c>
      <c r="Y685" s="367" t="n">
        <f aca="false">IF('Reverse Search'!$N$7="Disable",1,IF('Reverse Search'!$I$11="Disable",1,IF('Reverse Search'!$K$11="≥",IF(L685&gt;='Reverse Search'!$L$11,1,0),IF('Reverse Search'!$K$11="≤",IF(L685&lt;='Reverse Search'!$L$11,1,0),IF(L685='Reverse Search'!$L$11,1,0)))))</f>
        <v>1</v>
      </c>
      <c r="Z685" s="0" t="n">
        <f aca="true">IF('Reverse Search'!$C$14="Disable",1,IF('Reverse Search'!$D$16="Disable",1,IF($C$2=3,IF($M685=0,0,COUNTIF(INDIRECT("'0.0.2 Pokémon Learnset (Core)'!$D$"&amp;MATCH($E685,'0.0.2 Pokémon Learnset (Core)'!$A$1:$A951,0)&amp;":$FK$"&amp;MATCH($E685,'0.0.2 Pokémon Learnset (Core)'!$A$1:$A951,0)),'Reverse Search'!$E$21)),IF($C$2=2,COUNTIF(INDIRECT("'0.1.1 Pokémon GO Moves'!$B$"&amp;MATCH($E685,'0.1.1 Pokémon GO Moves'!$A$1:$A951,0)&amp;":$R$"&amp;MATCH($E685,'0.1.1 Pokémon GO Moves'!$A$1:$A951,0)),'Reverse Search'!$E$21),COUNTIF(INDIRECT("'0.1.1 Pokémon GO Moves'!$B$"&amp;MATCH($E685,'0.1.1 Pokémon GO Moves'!$A$1:$A951,0)&amp;":$L$"&amp;MATCH($E685,'0.1.1 Pokémon GO Moves'!$A$1:$A951,0)),'Reverse Search'!$E$21)))))</f>
        <v>1</v>
      </c>
      <c r="AA685" s="0" t="n">
        <f aca="true">IF('Reverse Search'!$C$14="Disable",1,IF('Reverse Search'!$I$16="Disable",1,IF($D$2=3,IF($M685=0,0,COUNTIF(INDIRECT("'0.0.2 Pokémon Learnset (Core)'!$D$"&amp;MATCH($E685,'0.0.2 Pokémon Learnset (Core)'!$A$1:$A951,0)&amp;":$FK$"&amp;MATCH($E685,'0.0.2 Pokémon Learnset (Core)'!$A$1:$A951,0)),'Reverse Search'!$J$21)),IF($D$2=2,COUNTIF(INDIRECT("'0.1.1 Pokémon GO Moves'!$B$"&amp;MATCH($E685,'0.1.1 Pokémon GO Moves'!$A$1:$A951,0)&amp;":$R$"&amp;MATCH($E685,'0.1.1 Pokémon GO Moves'!$A$1:$A951,0)),'Reverse Search'!$J$21),COUNTIF(INDIRECT("'0.1.1 Pokémon GO Moves'!$B$"&amp;MATCH($E685,'0.1.1 Pokémon GO Moves'!$A$1:$A951,0)&amp;":$L$"&amp;MATCH($E685,'0.1.1 Pokémon GO Moves'!$A$1:$A951,0)),'Reverse Search'!$J$21)))))</f>
        <v>0</v>
      </c>
      <c r="AB685" s="490"/>
      <c r="AC685" s="260" t="n">
        <f aca="false">IF((Q685+R685+S685+V685+W685+X685+Y685+IF(Z685&gt;=1,1,0)+IF(AA685&gt;=1,1,0))=9,G685&amp;", ",)</f>
        <v>0</v>
      </c>
    </row>
    <row r="686" customFormat="false" ht="15.75" hidden="false" customHeight="false" outlineLevel="0" collapsed="false">
      <c r="A686" s="260"/>
      <c r="B686" s="358"/>
      <c r="C686" s="260"/>
      <c r="D686" s="358"/>
      <c r="E686" s="260" t="n">
        <v>685</v>
      </c>
      <c r="F686" s="260" t="n">
        <f aca="false" t="array" ref="F686:F686">INDEX('0.0.1 Pokémon Dex Data'!$H$3:$H951,MATCH(E686,'0.0.1 Pokémon Dex Data'!$B$3:$B951,0))</f>
        <v>0</v>
      </c>
      <c r="G686" s="0" t="str">
        <f aca="false" t="array" ref="G686:G686">INDEX('0.0.1 Pokémon Dex Data'!$E$3:$E951,MATCH(E686,'0.0.1 Pokémon Dex Data'!$B$3:$B951,0))</f>
        <v>Deerling</v>
      </c>
      <c r="H686" s="0" t="str">
        <f aca="false" t="array" ref="H686:H686">INDEX('0.0.1 Pokémon Dex Data'!$Q$3:$Q951,MATCH(E686,'0.0.1 Pokémon Dex Data'!$B$3:$B951,0))</f>
        <v>Normal</v>
      </c>
      <c r="I686" s="0" t="str">
        <f aca="false" t="array" ref="I686:I686">INDEX('0.0.1 Pokémon Dex Data'!$R$3:$R951,MATCH(E686,'0.0.1 Pokémon Dex Data'!$B$3:$B951,0))</f>
        <v>Grass</v>
      </c>
      <c r="J686" s="260" t="n">
        <f aca="false" t="array" ref="J686:J686">ROUND(INDEX('0.0.1 Pokémon Dex Data'!$S$3:$S951,MATCH($E686,'0.0.1 Pokémon Dex Data'!$B$3:$B951,0))*INDEX('0.0.1 Pokémon Dex Data'!T$3:T951,MATCH($E686,'0.0.1 Pokémon Dex Data'!$B$3:$B951,0)),0)</f>
        <v>115</v>
      </c>
      <c r="K686" s="260" t="n">
        <f aca="false" t="array" ref="K686:K686">ROUND(INDEX('0.0.1 Pokémon Dex Data'!$S$3:$S951,MATCH($E686,'0.0.1 Pokémon Dex Data'!$B$3:$B951,0))*INDEX('0.0.1 Pokémon Dex Data'!U$3:U951,MATCH($E686,'0.0.1 Pokémon Dex Data'!$B$3:$B951,0)),0)</f>
        <v>100</v>
      </c>
      <c r="L686" s="260" t="n">
        <f aca="false" t="array" ref="L686:L686">ROUND(INDEX('0.0.1 Pokémon Dex Data'!$S$3:$S951,MATCH($E686,'0.0.1 Pokémon Dex Data'!$B$3:$B951,0))*INDEX('0.0.1 Pokémon Dex Data'!V$3:V951,MATCH($E686,'0.0.1 Pokémon Dex Data'!$B$3:$B951,0)),0)</f>
        <v>155</v>
      </c>
      <c r="M686" s="260" t="n">
        <f aca="false" t="array" ref="M686:M686">INDEX('0.0.1 Pokémon Dex Data'!$J$3:$J951,MATCH(E686,'0.0.1 Pokémon Dex Data'!$B$3:$B951,0))</f>
        <v>0</v>
      </c>
      <c r="O686" s="490"/>
      <c r="Q686" s="367" t="n">
        <f aca="false">IF('Reverse Search'!$F$4="All (including temporary formes)",1,IF('Reverse Search'!$F$4="Base Pokémon and permanent formes only",IF(F686&lt;=1,1,0),IF(F686=0,1,0)))</f>
        <v>1</v>
      </c>
      <c r="R686" s="0" t="n">
        <f aca="false">IF('Reverse Search'!$C$7="Disable",1,IF('Reverse Search'!$D$9="Disable",1,IF(OR('Reverse Search'!$F$9=H686,'Reverse Search'!$F$9=I686),1,0)))</f>
        <v>1</v>
      </c>
      <c r="S686" s="0" t="n">
        <f aca="false">IF('Reverse Search'!$C$7="Disable",1,IF('Reverse Search'!$D$10="Disable",1,IF(OR('Reverse Search'!$F$10=H686,'Reverse Search'!$F$10=I686),1,0)))</f>
        <v>1</v>
      </c>
      <c r="T686" s="0" t="n">
        <f aca="false">INDEX($B$4:$B$22,MATCH(H686,$A$4:$A$22,0))</f>
        <v>1</v>
      </c>
      <c r="U686" s="0" t="n">
        <f aca="false">IF(ISBLANK(I686),1,INDEX($B$4:$B$22,MATCH(I686,$A$4:$A$22,0)))</f>
        <v>1</v>
      </c>
      <c r="V686" s="367" t="n">
        <f aca="false">IF('Reverse Search'!$C$7="Disable",1,IF('Reverse Search'!$D$11="Disable",1,IF('Reverse Search'!$E$11="Neutral to:",IF(ROUND(T686*U686,2)&lt;=1,1,0),IF(ROUND(T686*U686,2)&lt;1,1,0))))</f>
        <v>1</v>
      </c>
      <c r="W686" s="0" t="n">
        <f aca="false">IF('Reverse Search'!$N$7="Disable",1,IF('Reverse Search'!$I$9="Disable",1,IF('Reverse Search'!$K$9="≥",IF(J686&gt;='Reverse Search'!$L$9,1,0),IF('Reverse Search'!$K$9="≤",IF(J686&lt;='Reverse Search'!$L$9,1,0),IF(J686='Reverse Search'!$L$9,1,0)))))</f>
        <v>1</v>
      </c>
      <c r="X686" s="0" t="n">
        <f aca="false">IF('Reverse Search'!$N$7="Disable",1,IF('Reverse Search'!$I$10="Disable",1,IF('Reverse Search'!$K$10="≥",IF(K686&gt;='Reverse Search'!$L$10,1,0),IF('Reverse Search'!$K$10="≤",IF(K686&lt;='Reverse Search'!$L$10,1,0),IF(K686='Reverse Search'!$L$10,1,0)))))</f>
        <v>1</v>
      </c>
      <c r="Y686" s="367" t="n">
        <f aca="false">IF('Reverse Search'!$N$7="Disable",1,IF('Reverse Search'!$I$11="Disable",1,IF('Reverse Search'!$K$11="≥",IF(L686&gt;='Reverse Search'!$L$11,1,0),IF('Reverse Search'!$K$11="≤",IF(L686&lt;='Reverse Search'!$L$11,1,0),IF(L686='Reverse Search'!$L$11,1,0)))))</f>
        <v>1</v>
      </c>
      <c r="Z686" s="0" t="n">
        <f aca="true">IF('Reverse Search'!$C$14="Disable",1,IF('Reverse Search'!$D$16="Disable",1,IF($C$2=3,IF($M686=0,0,COUNTIF(INDIRECT("'0.0.2 Pokémon Learnset (Core)'!$D$"&amp;MATCH($E686,'0.0.2 Pokémon Learnset (Core)'!$A$1:$A951,0)&amp;":$FK$"&amp;MATCH($E686,'0.0.2 Pokémon Learnset (Core)'!$A$1:$A951,0)),'Reverse Search'!$E$21)),IF($C$2=2,COUNTIF(INDIRECT("'0.1.1 Pokémon GO Moves'!$B$"&amp;MATCH($E686,'0.1.1 Pokémon GO Moves'!$A$1:$A951,0)&amp;":$R$"&amp;MATCH($E686,'0.1.1 Pokémon GO Moves'!$A$1:$A951,0)),'Reverse Search'!$E$21),COUNTIF(INDIRECT("'0.1.1 Pokémon GO Moves'!$B$"&amp;MATCH($E686,'0.1.1 Pokémon GO Moves'!$A$1:$A951,0)&amp;":$L$"&amp;MATCH($E686,'0.1.1 Pokémon GO Moves'!$A$1:$A951,0)),'Reverse Search'!$E$21)))))</f>
        <v>1</v>
      </c>
      <c r="AA686" s="0" t="n">
        <f aca="true">IF('Reverse Search'!$C$14="Disable",1,IF('Reverse Search'!$I$16="Disable",1,IF($D$2=3,IF($M686=0,0,COUNTIF(INDIRECT("'0.0.2 Pokémon Learnset (Core)'!$D$"&amp;MATCH($E686,'0.0.2 Pokémon Learnset (Core)'!$A$1:$A951,0)&amp;":$FK$"&amp;MATCH($E686,'0.0.2 Pokémon Learnset (Core)'!$A$1:$A951,0)),'Reverse Search'!$J$21)),IF($D$2=2,COUNTIF(INDIRECT("'0.1.1 Pokémon GO Moves'!$B$"&amp;MATCH($E686,'0.1.1 Pokémon GO Moves'!$A$1:$A951,0)&amp;":$R$"&amp;MATCH($E686,'0.1.1 Pokémon GO Moves'!$A$1:$A951,0)),'Reverse Search'!$J$21),COUNTIF(INDIRECT("'0.1.1 Pokémon GO Moves'!$B$"&amp;MATCH($E686,'0.1.1 Pokémon GO Moves'!$A$1:$A951,0)&amp;":$L$"&amp;MATCH($E686,'0.1.1 Pokémon GO Moves'!$A$1:$A951,0)),'Reverse Search'!$J$21)))))</f>
        <v>0</v>
      </c>
      <c r="AB686" s="490"/>
      <c r="AC686" s="260" t="n">
        <f aca="false">IF((Q686+R686+S686+V686+W686+X686+Y686+IF(Z686&gt;=1,1,0)+IF(AA686&gt;=1,1,0))=9,G686&amp;", ",)</f>
        <v>0</v>
      </c>
    </row>
    <row r="687" customFormat="false" ht="15.75" hidden="false" customHeight="false" outlineLevel="0" collapsed="false">
      <c r="A687" s="260"/>
      <c r="B687" s="358"/>
      <c r="C687" s="260"/>
      <c r="D687" s="358"/>
      <c r="E687" s="260" t="n">
        <v>686</v>
      </c>
      <c r="F687" s="260" t="n">
        <f aca="false" t="array" ref="F687:F687">INDEX('0.0.1 Pokémon Dex Data'!$H$3:$H951,MATCH(E687,'0.0.1 Pokémon Dex Data'!$B$3:$B951,0))</f>
        <v>0</v>
      </c>
      <c r="G687" s="0" t="str">
        <f aca="false" t="array" ref="G687:G687">INDEX('0.0.1 Pokémon Dex Data'!$E$3:$E951,MATCH(E687,'0.0.1 Pokémon Dex Data'!$B$3:$B951,0))</f>
        <v>Sawsbuck</v>
      </c>
      <c r="H687" s="0" t="str">
        <f aca="false" t="array" ref="H687:H687">INDEX('0.0.1 Pokémon Dex Data'!$Q$3:$Q951,MATCH(E687,'0.0.1 Pokémon Dex Data'!$B$3:$B951,0))</f>
        <v>Normal</v>
      </c>
      <c r="I687" s="0" t="str">
        <f aca="false" t="array" ref="I687:I687">INDEX('0.0.1 Pokémon Dex Data'!$R$3:$R951,MATCH(E687,'0.0.1 Pokémon Dex Data'!$B$3:$B951,0))</f>
        <v>Grass</v>
      </c>
      <c r="J687" s="260" t="n">
        <f aca="false" t="array" ref="J687:J687">ROUND(INDEX('0.0.1 Pokémon Dex Data'!$S$3:$S951,MATCH($E687,'0.0.1 Pokémon Dex Data'!$B$3:$B951,0))*INDEX('0.0.1 Pokémon Dex Data'!T$3:T951,MATCH($E687,'0.0.1 Pokémon Dex Data'!$B$3:$B951,0)),0)</f>
        <v>198</v>
      </c>
      <c r="K687" s="260" t="n">
        <f aca="false" t="array" ref="K687:K687">ROUND(INDEX('0.0.1 Pokémon Dex Data'!$S$3:$S951,MATCH($E687,'0.0.1 Pokémon Dex Data'!$B$3:$B951,0))*INDEX('0.0.1 Pokémon Dex Data'!U$3:U951,MATCH($E687,'0.0.1 Pokémon Dex Data'!$B$3:$B951,0)),0)</f>
        <v>146</v>
      </c>
      <c r="L687" s="260" t="n">
        <f aca="false" t="array" ref="L687:L687">ROUND(INDEX('0.0.1 Pokémon Dex Data'!$S$3:$S951,MATCH($E687,'0.0.1 Pokémon Dex Data'!$B$3:$B951,0))*INDEX('0.0.1 Pokémon Dex Data'!V$3:V951,MATCH($E687,'0.0.1 Pokémon Dex Data'!$B$3:$B951,0)),0)</f>
        <v>190</v>
      </c>
      <c r="M687" s="260" t="n">
        <f aca="false" t="array" ref="M687:M687">INDEX('0.0.1 Pokémon Dex Data'!$J$3:$J951,MATCH(E687,'0.0.1 Pokémon Dex Data'!$B$3:$B951,0))</f>
        <v>1</v>
      </c>
      <c r="O687" s="490"/>
      <c r="Q687" s="367" t="n">
        <f aca="false">IF('Reverse Search'!$F$4="All (including temporary formes)",1,IF('Reverse Search'!$F$4="Base Pokémon and permanent formes only",IF(F687&lt;=1,1,0),IF(F687=0,1,0)))</f>
        <v>1</v>
      </c>
      <c r="R687" s="0" t="n">
        <f aca="false">IF('Reverse Search'!$C$7="Disable",1,IF('Reverse Search'!$D$9="Disable",1,IF(OR('Reverse Search'!$F$9=H687,'Reverse Search'!$F$9=I687),1,0)))</f>
        <v>1</v>
      </c>
      <c r="S687" s="0" t="n">
        <f aca="false">IF('Reverse Search'!$C$7="Disable",1,IF('Reverse Search'!$D$10="Disable",1,IF(OR('Reverse Search'!$F$10=H687,'Reverse Search'!$F$10=I687),1,0)))</f>
        <v>1</v>
      </c>
      <c r="T687" s="0" t="n">
        <f aca="false">INDEX($B$4:$B$22,MATCH(H687,$A$4:$A$22,0))</f>
        <v>1</v>
      </c>
      <c r="U687" s="0" t="n">
        <f aca="false">IF(ISBLANK(I687),1,INDEX($B$4:$B$22,MATCH(I687,$A$4:$A$22,0)))</f>
        <v>1</v>
      </c>
      <c r="V687" s="367" t="n">
        <f aca="false">IF('Reverse Search'!$C$7="Disable",1,IF('Reverse Search'!$D$11="Disable",1,IF('Reverse Search'!$E$11="Neutral to:",IF(ROUND(T687*U687,2)&lt;=1,1,0),IF(ROUND(T687*U687,2)&lt;1,1,0))))</f>
        <v>1</v>
      </c>
      <c r="W687" s="0" t="n">
        <f aca="false">IF('Reverse Search'!$N$7="Disable",1,IF('Reverse Search'!$I$9="Disable",1,IF('Reverse Search'!$K$9="≥",IF(J687&gt;='Reverse Search'!$L$9,1,0),IF('Reverse Search'!$K$9="≤",IF(J687&lt;='Reverse Search'!$L$9,1,0),IF(J687='Reverse Search'!$L$9,1,0)))))</f>
        <v>1</v>
      </c>
      <c r="X687" s="0" t="n">
        <f aca="false">IF('Reverse Search'!$N$7="Disable",1,IF('Reverse Search'!$I$10="Disable",1,IF('Reverse Search'!$K$10="≥",IF(K687&gt;='Reverse Search'!$L$10,1,0),IF('Reverse Search'!$K$10="≤",IF(K687&lt;='Reverse Search'!$L$10,1,0),IF(K687='Reverse Search'!$L$10,1,0)))))</f>
        <v>1</v>
      </c>
      <c r="Y687" s="367" t="n">
        <f aca="false">IF('Reverse Search'!$N$7="Disable",1,IF('Reverse Search'!$I$11="Disable",1,IF('Reverse Search'!$K$11="≥",IF(L687&gt;='Reverse Search'!$L$11,1,0),IF('Reverse Search'!$K$11="≤",IF(L687&lt;='Reverse Search'!$L$11,1,0),IF(L687='Reverse Search'!$L$11,1,0)))))</f>
        <v>1</v>
      </c>
      <c r="Z687" s="0" t="n">
        <f aca="true">IF('Reverse Search'!$C$14="Disable",1,IF('Reverse Search'!$D$16="Disable",1,IF($C$2=3,IF($M687=0,0,COUNTIF(INDIRECT("'0.0.2 Pokémon Learnset (Core)'!$D$"&amp;MATCH($E687,'0.0.2 Pokémon Learnset (Core)'!$A$1:$A951,0)&amp;":$FK$"&amp;MATCH($E687,'0.0.2 Pokémon Learnset (Core)'!$A$1:$A951,0)),'Reverse Search'!$E$21)),IF($C$2=2,COUNTIF(INDIRECT("'0.1.1 Pokémon GO Moves'!$B$"&amp;MATCH($E687,'0.1.1 Pokémon GO Moves'!$A$1:$A951,0)&amp;":$R$"&amp;MATCH($E687,'0.1.1 Pokémon GO Moves'!$A$1:$A951,0)),'Reverse Search'!$E$21),COUNTIF(INDIRECT("'0.1.1 Pokémon GO Moves'!$B$"&amp;MATCH($E687,'0.1.1 Pokémon GO Moves'!$A$1:$A951,0)&amp;":$L$"&amp;MATCH($E687,'0.1.1 Pokémon GO Moves'!$A$1:$A951,0)),'Reverse Search'!$E$21)))))</f>
        <v>1</v>
      </c>
      <c r="AA687" s="0" t="n">
        <f aca="true">IF('Reverse Search'!$C$14="Disable",1,IF('Reverse Search'!$I$16="Disable",1,IF($D$2=3,IF($M687=0,0,COUNTIF(INDIRECT("'0.0.2 Pokémon Learnset (Core)'!$D$"&amp;MATCH($E687,'0.0.2 Pokémon Learnset (Core)'!$A$1:$A951,0)&amp;":$FK$"&amp;MATCH($E687,'0.0.2 Pokémon Learnset (Core)'!$A$1:$A951,0)),'Reverse Search'!$J$21)),IF($D$2=2,COUNTIF(INDIRECT("'0.1.1 Pokémon GO Moves'!$B$"&amp;MATCH($E687,'0.1.1 Pokémon GO Moves'!$A$1:$A951,0)&amp;":$R$"&amp;MATCH($E687,'0.1.1 Pokémon GO Moves'!$A$1:$A951,0)),'Reverse Search'!$J$21),COUNTIF(INDIRECT("'0.1.1 Pokémon GO Moves'!$B$"&amp;MATCH($E687,'0.1.1 Pokémon GO Moves'!$A$1:$A951,0)&amp;":$L$"&amp;MATCH($E687,'0.1.1 Pokémon GO Moves'!$A$1:$A951,0)),'Reverse Search'!$J$21)))))</f>
        <v>0</v>
      </c>
      <c r="AB687" s="490"/>
      <c r="AC687" s="260" t="n">
        <f aca="false">IF((Q687+R687+S687+V687+W687+X687+Y687+IF(Z687&gt;=1,1,0)+IF(AA687&gt;=1,1,0))=9,G687&amp;", ",)</f>
        <v>0</v>
      </c>
    </row>
    <row r="688" customFormat="false" ht="15.75" hidden="false" customHeight="false" outlineLevel="0" collapsed="false">
      <c r="A688" s="260"/>
      <c r="B688" s="358"/>
      <c r="C688" s="260"/>
      <c r="D688" s="358"/>
      <c r="E688" s="260" t="n">
        <v>687</v>
      </c>
      <c r="F688" s="260" t="n">
        <f aca="false" t="array" ref="F688:F688">INDEX('0.0.1 Pokémon Dex Data'!$H$3:$H951,MATCH(E688,'0.0.1 Pokémon Dex Data'!$B$3:$B951,0))</f>
        <v>0</v>
      </c>
      <c r="G688" s="0" t="str">
        <f aca="false" t="array" ref="G688:G688">INDEX('0.0.1 Pokémon Dex Data'!$E$3:$E951,MATCH(E688,'0.0.1 Pokémon Dex Data'!$B$3:$B951,0))</f>
        <v>Emolga</v>
      </c>
      <c r="H688" s="0" t="str">
        <f aca="false" t="array" ref="H688:H688">INDEX('0.0.1 Pokémon Dex Data'!$Q$3:$Q951,MATCH(E688,'0.0.1 Pokémon Dex Data'!$B$3:$B951,0))</f>
        <v>Electric</v>
      </c>
      <c r="I688" s="0" t="str">
        <f aca="false" t="array" ref="I688:I688">INDEX('0.0.1 Pokémon Dex Data'!$R$3:$R951,MATCH(E688,'0.0.1 Pokémon Dex Data'!$B$3:$B951,0))</f>
        <v>Flying</v>
      </c>
      <c r="J688" s="260" t="n">
        <f aca="false" t="array" ref="J688:J688">ROUND(INDEX('0.0.1 Pokémon Dex Data'!$S$3:$S951,MATCH($E688,'0.0.1 Pokémon Dex Data'!$B$3:$B951,0))*INDEX('0.0.1 Pokémon Dex Data'!T$3:T951,MATCH($E688,'0.0.1 Pokémon Dex Data'!$B$3:$B951,0)),0)</f>
        <v>158</v>
      </c>
      <c r="K688" s="260" t="n">
        <f aca="false" t="array" ref="K688:K688">ROUND(INDEX('0.0.1 Pokémon Dex Data'!$S$3:$S951,MATCH($E688,'0.0.1 Pokémon Dex Data'!$B$3:$B951,0))*INDEX('0.0.1 Pokémon Dex Data'!U$3:U951,MATCH($E688,'0.0.1 Pokémon Dex Data'!$B$3:$B951,0)),0)</f>
        <v>127</v>
      </c>
      <c r="L688" s="260" t="n">
        <f aca="false" t="array" ref="L688:L688">ROUND(INDEX('0.0.1 Pokémon Dex Data'!$S$3:$S951,MATCH($E688,'0.0.1 Pokémon Dex Data'!$B$3:$B951,0))*INDEX('0.0.1 Pokémon Dex Data'!V$3:V951,MATCH($E688,'0.0.1 Pokémon Dex Data'!$B$3:$B951,0)),0)</f>
        <v>146</v>
      </c>
      <c r="M688" s="260" t="n">
        <f aca="false" t="array" ref="M688:M688">INDEX('0.0.1 Pokémon Dex Data'!$J$3:$J951,MATCH(E688,'0.0.1 Pokémon Dex Data'!$B$3:$B951,0))</f>
        <v>1</v>
      </c>
      <c r="O688" s="490"/>
      <c r="Q688" s="367" t="n">
        <f aca="false">IF('Reverse Search'!$F$4="All (including temporary formes)",1,IF('Reverse Search'!$F$4="Base Pokémon and permanent formes only",IF(F688&lt;=1,1,0),IF(F688=0,1,0)))</f>
        <v>1</v>
      </c>
      <c r="R688" s="0" t="n">
        <f aca="false">IF('Reverse Search'!$C$7="Disable",1,IF('Reverse Search'!$D$9="Disable",1,IF(OR('Reverse Search'!$F$9=H688,'Reverse Search'!$F$9=I688),1,0)))</f>
        <v>1</v>
      </c>
      <c r="S688" s="0" t="n">
        <f aca="false">IF('Reverse Search'!$C$7="Disable",1,IF('Reverse Search'!$D$10="Disable",1,IF(OR('Reverse Search'!$F$10=H688,'Reverse Search'!$F$10=I688),1,0)))</f>
        <v>1</v>
      </c>
      <c r="T688" s="0" t="n">
        <f aca="false">INDEX($B$4:$B$22,MATCH(H688,$A$4:$A$22,0))</f>
        <v>1</v>
      </c>
      <c r="U688" s="0" t="n">
        <f aca="false">IF(ISBLANK(I688),1,INDEX($B$4:$B$22,MATCH(I688,$A$4:$A$22,0)))</f>
        <v>1</v>
      </c>
      <c r="V688" s="367" t="n">
        <f aca="false">IF('Reverse Search'!$C$7="Disable",1,IF('Reverse Search'!$D$11="Disable",1,IF('Reverse Search'!$E$11="Neutral to:",IF(ROUND(T688*U688,2)&lt;=1,1,0),IF(ROUND(T688*U688,2)&lt;1,1,0))))</f>
        <v>1</v>
      </c>
      <c r="W688" s="0" t="n">
        <f aca="false">IF('Reverse Search'!$N$7="Disable",1,IF('Reverse Search'!$I$9="Disable",1,IF('Reverse Search'!$K$9="≥",IF(J688&gt;='Reverse Search'!$L$9,1,0),IF('Reverse Search'!$K$9="≤",IF(J688&lt;='Reverse Search'!$L$9,1,0),IF(J688='Reverse Search'!$L$9,1,0)))))</f>
        <v>1</v>
      </c>
      <c r="X688" s="0" t="n">
        <f aca="false">IF('Reverse Search'!$N$7="Disable",1,IF('Reverse Search'!$I$10="Disable",1,IF('Reverse Search'!$K$10="≥",IF(K688&gt;='Reverse Search'!$L$10,1,0),IF('Reverse Search'!$K$10="≤",IF(K688&lt;='Reverse Search'!$L$10,1,0),IF(K688='Reverse Search'!$L$10,1,0)))))</f>
        <v>1</v>
      </c>
      <c r="Y688" s="367" t="n">
        <f aca="false">IF('Reverse Search'!$N$7="Disable",1,IF('Reverse Search'!$I$11="Disable",1,IF('Reverse Search'!$K$11="≥",IF(L688&gt;='Reverse Search'!$L$11,1,0),IF('Reverse Search'!$K$11="≤",IF(L688&lt;='Reverse Search'!$L$11,1,0),IF(L688='Reverse Search'!$L$11,1,0)))))</f>
        <v>1</v>
      </c>
      <c r="Z688" s="0" t="n">
        <f aca="true">IF('Reverse Search'!$C$14="Disable",1,IF('Reverse Search'!$D$16="Disable",1,IF($C$2=3,IF($M688=0,0,COUNTIF(INDIRECT("'0.0.2 Pokémon Learnset (Core)'!$D$"&amp;MATCH($E688,'0.0.2 Pokémon Learnset (Core)'!$A$1:$A951,0)&amp;":$FK$"&amp;MATCH($E688,'0.0.2 Pokémon Learnset (Core)'!$A$1:$A951,0)),'Reverse Search'!$E$21)),IF($C$2=2,COUNTIF(INDIRECT("'0.1.1 Pokémon GO Moves'!$B$"&amp;MATCH($E688,'0.1.1 Pokémon GO Moves'!$A$1:$A951,0)&amp;":$R$"&amp;MATCH($E688,'0.1.1 Pokémon GO Moves'!$A$1:$A951,0)),'Reverse Search'!$E$21),COUNTIF(INDIRECT("'0.1.1 Pokémon GO Moves'!$B$"&amp;MATCH($E688,'0.1.1 Pokémon GO Moves'!$A$1:$A951,0)&amp;":$L$"&amp;MATCH($E688,'0.1.1 Pokémon GO Moves'!$A$1:$A951,0)),'Reverse Search'!$E$21)))))</f>
        <v>1</v>
      </c>
      <c r="AA688" s="0" t="n">
        <f aca="true">IF('Reverse Search'!$C$14="Disable",1,IF('Reverse Search'!$I$16="Disable",1,IF($D$2=3,IF($M688=0,0,COUNTIF(INDIRECT("'0.0.2 Pokémon Learnset (Core)'!$D$"&amp;MATCH($E688,'0.0.2 Pokémon Learnset (Core)'!$A$1:$A951,0)&amp;":$FK$"&amp;MATCH($E688,'0.0.2 Pokémon Learnset (Core)'!$A$1:$A951,0)),'Reverse Search'!$J$21)),IF($D$2=2,COUNTIF(INDIRECT("'0.1.1 Pokémon GO Moves'!$B$"&amp;MATCH($E688,'0.1.1 Pokémon GO Moves'!$A$1:$A951,0)&amp;":$R$"&amp;MATCH($E688,'0.1.1 Pokémon GO Moves'!$A$1:$A951,0)),'Reverse Search'!$J$21),COUNTIF(INDIRECT("'0.1.1 Pokémon GO Moves'!$B$"&amp;MATCH($E688,'0.1.1 Pokémon GO Moves'!$A$1:$A951,0)&amp;":$L$"&amp;MATCH($E688,'0.1.1 Pokémon GO Moves'!$A$1:$A951,0)),'Reverse Search'!$J$21)))))</f>
        <v>0</v>
      </c>
      <c r="AB688" s="490"/>
      <c r="AC688" s="260" t="n">
        <f aca="false">IF((Q688+R688+S688+V688+W688+X688+Y688+IF(Z688&gt;=1,1,0)+IF(AA688&gt;=1,1,0))=9,G688&amp;", ",)</f>
        <v>0</v>
      </c>
    </row>
    <row r="689" customFormat="false" ht="15.75" hidden="false" customHeight="false" outlineLevel="0" collapsed="false">
      <c r="A689" s="260"/>
      <c r="B689" s="358"/>
      <c r="C689" s="260"/>
      <c r="D689" s="358"/>
      <c r="E689" s="260" t="n">
        <v>688</v>
      </c>
      <c r="F689" s="260" t="n">
        <f aca="false" t="array" ref="F689:F689">INDEX('0.0.1 Pokémon Dex Data'!$H$3:$H951,MATCH(E689,'0.0.1 Pokémon Dex Data'!$B$3:$B951,0))</f>
        <v>0</v>
      </c>
      <c r="G689" s="0" t="str">
        <f aca="false" t="array" ref="G689:G689">INDEX('0.0.1 Pokémon Dex Data'!$E$3:$E951,MATCH(E689,'0.0.1 Pokémon Dex Data'!$B$3:$B951,0))</f>
        <v>Karrablast</v>
      </c>
      <c r="H689" s="0" t="str">
        <f aca="false" t="array" ref="H689:H689">INDEX('0.0.1 Pokémon Dex Data'!$Q$3:$Q951,MATCH(E689,'0.0.1 Pokémon Dex Data'!$B$3:$B951,0))</f>
        <v>Bug</v>
      </c>
      <c r="I689" s="0" t="n">
        <f aca="false">INDEX('0.0.1 Pokémon Dex Data'!$R$3:$R951,MATCH(E689,'0.0.1 Pokémon Dex Data'!$B$3:$B951,0))</f>
        <v>0</v>
      </c>
      <c r="J689" s="260" t="n">
        <f aca="false" t="array" ref="J689:J689">ROUND(INDEX('0.0.1 Pokémon Dex Data'!$S$3:$S951,MATCH($E689,'0.0.1 Pokémon Dex Data'!$B$3:$B951,0))*INDEX('0.0.1 Pokémon Dex Data'!T$3:T951,MATCH($E689,'0.0.1 Pokémon Dex Data'!$B$3:$B951,0)),0)</f>
        <v>137</v>
      </c>
      <c r="K689" s="260" t="n">
        <f aca="false" t="array" ref="K689:K689">ROUND(INDEX('0.0.1 Pokémon Dex Data'!$S$3:$S951,MATCH($E689,'0.0.1 Pokémon Dex Data'!$B$3:$B951,0))*INDEX('0.0.1 Pokémon Dex Data'!U$3:U951,MATCH($E689,'0.0.1 Pokémon Dex Data'!$B$3:$B951,0)),0)</f>
        <v>87</v>
      </c>
      <c r="L689" s="260" t="n">
        <f aca="false" t="array" ref="L689:L689">ROUND(INDEX('0.0.1 Pokémon Dex Data'!$S$3:$S951,MATCH($E689,'0.0.1 Pokémon Dex Data'!$B$3:$B951,0))*INDEX('0.0.1 Pokémon Dex Data'!V$3:V951,MATCH($E689,'0.0.1 Pokémon Dex Data'!$B$3:$B951,0)),0)</f>
        <v>137</v>
      </c>
      <c r="M689" s="260" t="n">
        <f aca="false" t="array" ref="M689:M689">INDEX('0.0.1 Pokémon Dex Data'!$J$3:$J951,MATCH(E689,'0.0.1 Pokémon Dex Data'!$B$3:$B951,0))</f>
        <v>0</v>
      </c>
      <c r="O689" s="490"/>
      <c r="Q689" s="367" t="n">
        <f aca="false">IF('Reverse Search'!$F$4="All (including temporary formes)",1,IF('Reverse Search'!$F$4="Base Pokémon and permanent formes only",IF(F689&lt;=1,1,0),IF(F689=0,1,0)))</f>
        <v>1</v>
      </c>
      <c r="R689" s="0" t="n">
        <f aca="false">IF('Reverse Search'!$C$7="Disable",1,IF('Reverse Search'!$D$9="Disable",1,IF(OR('Reverse Search'!$F$9=H689,'Reverse Search'!$F$9=I689),1,0)))</f>
        <v>1</v>
      </c>
      <c r="S689" s="0" t="n">
        <f aca="false">IF('Reverse Search'!$C$7="Disable",1,IF('Reverse Search'!$D$10="Disable",1,IF(OR('Reverse Search'!$F$10=H689,'Reverse Search'!$F$10=I689),1,0)))</f>
        <v>1</v>
      </c>
      <c r="T689" s="0" t="n">
        <f aca="false">INDEX($B$4:$B$22,MATCH(H689,$A$4:$A$22,0))</f>
        <v>1</v>
      </c>
      <c r="U689" s="0" t="e">
        <f aca="false">IF(ISBLANK(I689),1,INDEX($B$4:$B$22,MATCH(I689,$A$4:$A$22,0)))</f>
        <v>#N/A</v>
      </c>
      <c r="V689" s="367" t="n">
        <f aca="false">IF('Reverse Search'!$C$7="Disable",1,IF('Reverse Search'!$D$11="Disable",1,IF('Reverse Search'!$E$11="Neutral to:",IF(ROUND(T689*U689,2)&lt;=1,1,0),IF(ROUND(T689*U689,2)&lt;1,1,0))))</f>
        <v>1</v>
      </c>
      <c r="W689" s="0" t="n">
        <f aca="false">IF('Reverse Search'!$N$7="Disable",1,IF('Reverse Search'!$I$9="Disable",1,IF('Reverse Search'!$K$9="≥",IF(J689&gt;='Reverse Search'!$L$9,1,0),IF('Reverse Search'!$K$9="≤",IF(J689&lt;='Reverse Search'!$L$9,1,0),IF(J689='Reverse Search'!$L$9,1,0)))))</f>
        <v>1</v>
      </c>
      <c r="X689" s="0" t="n">
        <f aca="false">IF('Reverse Search'!$N$7="Disable",1,IF('Reverse Search'!$I$10="Disable",1,IF('Reverse Search'!$K$10="≥",IF(K689&gt;='Reverse Search'!$L$10,1,0),IF('Reverse Search'!$K$10="≤",IF(K689&lt;='Reverse Search'!$L$10,1,0),IF(K689='Reverse Search'!$L$10,1,0)))))</f>
        <v>1</v>
      </c>
      <c r="Y689" s="367" t="n">
        <f aca="false">IF('Reverse Search'!$N$7="Disable",1,IF('Reverse Search'!$I$11="Disable",1,IF('Reverse Search'!$K$11="≥",IF(L689&gt;='Reverse Search'!$L$11,1,0),IF('Reverse Search'!$K$11="≤",IF(L689&lt;='Reverse Search'!$L$11,1,0),IF(L689='Reverse Search'!$L$11,1,0)))))</f>
        <v>1</v>
      </c>
      <c r="Z689" s="0" t="n">
        <f aca="true">IF('Reverse Search'!$C$14="Disable",1,IF('Reverse Search'!$D$16="Disable",1,IF($C$2=3,IF($M689=0,0,COUNTIF(INDIRECT("'0.0.2 Pokémon Learnset (Core)'!$D$"&amp;MATCH($E689,'0.0.2 Pokémon Learnset (Core)'!$A$1:$A951,0)&amp;":$FK$"&amp;MATCH($E689,'0.0.2 Pokémon Learnset (Core)'!$A$1:$A951,0)),'Reverse Search'!$E$21)),IF($C$2=2,COUNTIF(INDIRECT("'0.1.1 Pokémon GO Moves'!$B$"&amp;MATCH($E689,'0.1.1 Pokémon GO Moves'!$A$1:$A951,0)&amp;":$R$"&amp;MATCH($E689,'0.1.1 Pokémon GO Moves'!$A$1:$A951,0)),'Reverse Search'!$E$21),COUNTIF(INDIRECT("'0.1.1 Pokémon GO Moves'!$B$"&amp;MATCH($E689,'0.1.1 Pokémon GO Moves'!$A$1:$A951,0)&amp;":$L$"&amp;MATCH($E689,'0.1.1 Pokémon GO Moves'!$A$1:$A951,0)),'Reverse Search'!$E$21)))))</f>
        <v>1</v>
      </c>
      <c r="AA689" s="0" t="n">
        <f aca="true">IF('Reverse Search'!$C$14="Disable",1,IF('Reverse Search'!$I$16="Disable",1,IF($D$2=3,IF($M689=0,0,COUNTIF(INDIRECT("'0.0.2 Pokémon Learnset (Core)'!$D$"&amp;MATCH($E689,'0.0.2 Pokémon Learnset (Core)'!$A$1:$A951,0)&amp;":$FK$"&amp;MATCH($E689,'0.0.2 Pokémon Learnset (Core)'!$A$1:$A951,0)),'Reverse Search'!$J$21)),IF($D$2=2,COUNTIF(INDIRECT("'0.1.1 Pokémon GO Moves'!$B$"&amp;MATCH($E689,'0.1.1 Pokémon GO Moves'!$A$1:$A951,0)&amp;":$R$"&amp;MATCH($E689,'0.1.1 Pokémon GO Moves'!$A$1:$A951,0)),'Reverse Search'!$J$21),COUNTIF(INDIRECT("'0.1.1 Pokémon GO Moves'!$B$"&amp;MATCH($E689,'0.1.1 Pokémon GO Moves'!$A$1:$A951,0)&amp;":$L$"&amp;MATCH($E689,'0.1.1 Pokémon GO Moves'!$A$1:$A951,0)),'Reverse Search'!$J$21)))))</f>
        <v>0</v>
      </c>
      <c r="AB689" s="490"/>
      <c r="AC689" s="260" t="n">
        <f aca="false">IF((Q689+R689+S689+V689+W689+X689+Y689+IF(Z689&gt;=1,1,0)+IF(AA689&gt;=1,1,0))=9,G689&amp;", ",)</f>
        <v>0</v>
      </c>
    </row>
    <row r="690" customFormat="false" ht="15.75" hidden="false" customHeight="false" outlineLevel="0" collapsed="false">
      <c r="A690" s="260"/>
      <c r="B690" s="358"/>
      <c r="C690" s="260"/>
      <c r="D690" s="358"/>
      <c r="E690" s="260" t="n">
        <v>689</v>
      </c>
      <c r="F690" s="260" t="n">
        <f aca="false" t="array" ref="F690:F690">INDEX('0.0.1 Pokémon Dex Data'!$H$3:$H951,MATCH(E690,'0.0.1 Pokémon Dex Data'!$B$3:$B951,0))</f>
        <v>0</v>
      </c>
      <c r="G690" s="0" t="str">
        <f aca="false" t="array" ref="G690:G690">INDEX('0.0.1 Pokémon Dex Data'!$E$3:$E951,MATCH(E690,'0.0.1 Pokémon Dex Data'!$B$3:$B951,0))</f>
        <v>Escavalier</v>
      </c>
      <c r="H690" s="0" t="str">
        <f aca="false" t="array" ref="H690:H690">INDEX('0.0.1 Pokémon Dex Data'!$Q$3:$Q951,MATCH(E690,'0.0.1 Pokémon Dex Data'!$B$3:$B951,0))</f>
        <v>Bug</v>
      </c>
      <c r="I690" s="0" t="str">
        <f aca="false" t="array" ref="I690:I690">INDEX('0.0.1 Pokémon Dex Data'!$R$3:$R951,MATCH(E690,'0.0.1 Pokémon Dex Data'!$B$3:$B951,0))</f>
        <v>Steel</v>
      </c>
      <c r="J690" s="260" t="n">
        <f aca="false" t="array" ref="J690:J690">ROUND(INDEX('0.0.1 Pokémon Dex Data'!$S$3:$S951,MATCH($E690,'0.0.1 Pokémon Dex Data'!$B$3:$B951,0))*INDEX('0.0.1 Pokémon Dex Data'!T$3:T951,MATCH($E690,'0.0.1 Pokémon Dex Data'!$B$3:$B951,0)),0)</f>
        <v>223</v>
      </c>
      <c r="K690" s="260" t="n">
        <f aca="false" t="array" ref="K690:K690">ROUND(INDEX('0.0.1 Pokémon Dex Data'!$S$3:$S951,MATCH($E690,'0.0.1 Pokémon Dex Data'!$B$3:$B951,0))*INDEX('0.0.1 Pokémon Dex Data'!U$3:U951,MATCH($E690,'0.0.1 Pokémon Dex Data'!$B$3:$B951,0)),0)</f>
        <v>187</v>
      </c>
      <c r="L690" s="260" t="n">
        <f aca="false" t="array" ref="L690:L690">ROUND(INDEX('0.0.1 Pokémon Dex Data'!$S$3:$S951,MATCH($E690,'0.0.1 Pokémon Dex Data'!$B$3:$B951,0))*INDEX('0.0.1 Pokémon Dex Data'!V$3:V951,MATCH($E690,'0.0.1 Pokémon Dex Data'!$B$3:$B951,0)),0)</f>
        <v>172</v>
      </c>
      <c r="M690" s="260" t="n">
        <f aca="false" t="array" ref="M690:M690">INDEX('0.0.1 Pokémon Dex Data'!$J$3:$J951,MATCH(E690,'0.0.1 Pokémon Dex Data'!$B$3:$B951,0))</f>
        <v>1</v>
      </c>
      <c r="O690" s="490"/>
      <c r="Q690" s="367" t="n">
        <f aca="false">IF('Reverse Search'!$F$4="All (including temporary formes)",1,IF('Reverse Search'!$F$4="Base Pokémon and permanent formes only",IF(F690&lt;=1,1,0),IF(F690=0,1,0)))</f>
        <v>1</v>
      </c>
      <c r="R690" s="0" t="n">
        <f aca="false">IF('Reverse Search'!$C$7="Disable",1,IF('Reverse Search'!$D$9="Disable",1,IF(OR('Reverse Search'!$F$9=H690,'Reverse Search'!$F$9=I690),1,0)))</f>
        <v>1</v>
      </c>
      <c r="S690" s="0" t="n">
        <f aca="false">IF('Reverse Search'!$C$7="Disable",1,IF('Reverse Search'!$D$10="Disable",1,IF(OR('Reverse Search'!$F$10=H690,'Reverse Search'!$F$10=I690),1,0)))</f>
        <v>1</v>
      </c>
      <c r="T690" s="0" t="n">
        <f aca="false">INDEX($B$4:$B$22,MATCH(H690,$A$4:$A$22,0))</f>
        <v>1</v>
      </c>
      <c r="U690" s="0" t="n">
        <f aca="false">IF(ISBLANK(I690),1,INDEX($B$4:$B$22,MATCH(I690,$A$4:$A$22,0)))</f>
        <v>0.714</v>
      </c>
      <c r="V690" s="367" t="n">
        <f aca="false">IF('Reverse Search'!$C$7="Disable",1,IF('Reverse Search'!$D$11="Disable",1,IF('Reverse Search'!$E$11="Neutral to:",IF(ROUND(T690*U690,2)&lt;=1,1,0),IF(ROUND(T690*U690,2)&lt;1,1,0))))</f>
        <v>1</v>
      </c>
      <c r="W690" s="0" t="n">
        <f aca="false">IF('Reverse Search'!$N$7="Disable",1,IF('Reverse Search'!$I$9="Disable",1,IF('Reverse Search'!$K$9="≥",IF(J690&gt;='Reverse Search'!$L$9,1,0),IF('Reverse Search'!$K$9="≤",IF(J690&lt;='Reverse Search'!$L$9,1,0),IF(J690='Reverse Search'!$L$9,1,0)))))</f>
        <v>1</v>
      </c>
      <c r="X690" s="0" t="n">
        <f aca="false">IF('Reverse Search'!$N$7="Disable",1,IF('Reverse Search'!$I$10="Disable",1,IF('Reverse Search'!$K$10="≥",IF(K690&gt;='Reverse Search'!$L$10,1,0),IF('Reverse Search'!$K$10="≤",IF(K690&lt;='Reverse Search'!$L$10,1,0),IF(K690='Reverse Search'!$L$10,1,0)))))</f>
        <v>1</v>
      </c>
      <c r="Y690" s="367" t="n">
        <f aca="false">IF('Reverse Search'!$N$7="Disable",1,IF('Reverse Search'!$I$11="Disable",1,IF('Reverse Search'!$K$11="≥",IF(L690&gt;='Reverse Search'!$L$11,1,0),IF('Reverse Search'!$K$11="≤",IF(L690&lt;='Reverse Search'!$L$11,1,0),IF(L690='Reverse Search'!$L$11,1,0)))))</f>
        <v>1</v>
      </c>
      <c r="Z690" s="0" t="n">
        <f aca="true">IF('Reverse Search'!$C$14="Disable",1,IF('Reverse Search'!$D$16="Disable",1,IF($C$2=3,IF($M690=0,0,COUNTIF(INDIRECT("'0.0.2 Pokémon Learnset (Core)'!$D$"&amp;MATCH($E690,'0.0.2 Pokémon Learnset (Core)'!$A$1:$A951,0)&amp;":$FK$"&amp;MATCH($E690,'0.0.2 Pokémon Learnset (Core)'!$A$1:$A951,0)),'Reverse Search'!$E$21)),IF($C$2=2,COUNTIF(INDIRECT("'0.1.1 Pokémon GO Moves'!$B$"&amp;MATCH($E690,'0.1.1 Pokémon GO Moves'!$A$1:$A951,0)&amp;":$R$"&amp;MATCH($E690,'0.1.1 Pokémon GO Moves'!$A$1:$A951,0)),'Reverse Search'!$E$21),COUNTIF(INDIRECT("'0.1.1 Pokémon GO Moves'!$B$"&amp;MATCH($E690,'0.1.1 Pokémon GO Moves'!$A$1:$A951,0)&amp;":$L$"&amp;MATCH($E690,'0.1.1 Pokémon GO Moves'!$A$1:$A951,0)),'Reverse Search'!$E$21)))))</f>
        <v>1</v>
      </c>
      <c r="AA690" s="0" t="n">
        <f aca="true">IF('Reverse Search'!$C$14="Disable",1,IF('Reverse Search'!$I$16="Disable",1,IF($D$2=3,IF($M690=0,0,COUNTIF(INDIRECT("'0.0.2 Pokémon Learnset (Core)'!$D$"&amp;MATCH($E690,'0.0.2 Pokémon Learnset (Core)'!$A$1:$A951,0)&amp;":$FK$"&amp;MATCH($E690,'0.0.2 Pokémon Learnset (Core)'!$A$1:$A951,0)),'Reverse Search'!$J$21)),IF($D$2=2,COUNTIF(INDIRECT("'0.1.1 Pokémon GO Moves'!$B$"&amp;MATCH($E690,'0.1.1 Pokémon GO Moves'!$A$1:$A951,0)&amp;":$R$"&amp;MATCH($E690,'0.1.1 Pokémon GO Moves'!$A$1:$A951,0)),'Reverse Search'!$J$21),COUNTIF(INDIRECT("'0.1.1 Pokémon GO Moves'!$B$"&amp;MATCH($E690,'0.1.1 Pokémon GO Moves'!$A$1:$A951,0)&amp;":$L$"&amp;MATCH($E690,'0.1.1 Pokémon GO Moves'!$A$1:$A951,0)),'Reverse Search'!$J$21)))))</f>
        <v>0</v>
      </c>
      <c r="AB690" s="490"/>
      <c r="AC690" s="260" t="n">
        <f aca="false">IF((Q690+R690+S690+V690+W690+X690+Y690+IF(Z690&gt;=1,1,0)+IF(AA690&gt;=1,1,0))=9,G690&amp;", ",)</f>
        <v>0</v>
      </c>
    </row>
    <row r="691" customFormat="false" ht="15.75" hidden="false" customHeight="false" outlineLevel="0" collapsed="false">
      <c r="A691" s="260"/>
      <c r="B691" s="358"/>
      <c r="C691" s="260"/>
      <c r="D691" s="358"/>
      <c r="E691" s="260" t="n">
        <v>690</v>
      </c>
      <c r="F691" s="260" t="n">
        <f aca="false" t="array" ref="F691:F691">INDEX('0.0.1 Pokémon Dex Data'!$H$3:$H951,MATCH(E691,'0.0.1 Pokémon Dex Data'!$B$3:$B951,0))</f>
        <v>0</v>
      </c>
      <c r="G691" s="0" t="str">
        <f aca="false" t="array" ref="G691:G691">INDEX('0.0.1 Pokémon Dex Data'!$E$3:$E951,MATCH(E691,'0.0.1 Pokémon Dex Data'!$B$3:$B951,0))</f>
        <v>Foongus</v>
      </c>
      <c r="H691" s="0" t="str">
        <f aca="false" t="array" ref="H691:H691">INDEX('0.0.1 Pokémon Dex Data'!$Q$3:$Q951,MATCH(E691,'0.0.1 Pokémon Dex Data'!$B$3:$B951,0))</f>
        <v>Grass</v>
      </c>
      <c r="I691" s="0" t="str">
        <f aca="false" t="array" ref="I691:I691">INDEX('0.0.1 Pokémon Dex Data'!$R$3:$R951,MATCH(E691,'0.0.1 Pokémon Dex Data'!$B$3:$B951,0))</f>
        <v>Poison</v>
      </c>
      <c r="J691" s="260" t="n">
        <f aca="false" t="array" ref="J691:J691">ROUND(INDEX('0.0.1 Pokémon Dex Data'!$S$3:$S951,MATCH($E691,'0.0.1 Pokémon Dex Data'!$B$3:$B951,0))*INDEX('0.0.1 Pokémon Dex Data'!T$3:T951,MATCH($E691,'0.0.1 Pokémon Dex Data'!$B$3:$B951,0)),0)</f>
        <v>97</v>
      </c>
      <c r="K691" s="260" t="n">
        <f aca="false" t="array" ref="K691:K691">ROUND(INDEX('0.0.1 Pokémon Dex Data'!$S$3:$S951,MATCH($E691,'0.0.1 Pokémon Dex Data'!$B$3:$B951,0))*INDEX('0.0.1 Pokémon Dex Data'!U$3:U951,MATCH($E691,'0.0.1 Pokémon Dex Data'!$B$3:$B951,0)),0)</f>
        <v>91</v>
      </c>
      <c r="L691" s="260" t="n">
        <f aca="false" t="array" ref="L691:L691">ROUND(INDEX('0.0.1 Pokémon Dex Data'!$S$3:$S951,MATCH($E691,'0.0.1 Pokémon Dex Data'!$B$3:$B951,0))*INDEX('0.0.1 Pokémon Dex Data'!V$3:V951,MATCH($E691,'0.0.1 Pokémon Dex Data'!$B$3:$B951,0)),0)</f>
        <v>170</v>
      </c>
      <c r="M691" s="260" t="n">
        <f aca="false" t="array" ref="M691:M691">INDEX('0.0.1 Pokémon Dex Data'!$J$3:$J951,MATCH(E691,'0.0.1 Pokémon Dex Data'!$B$3:$B951,0))</f>
        <v>0</v>
      </c>
      <c r="O691" s="490"/>
      <c r="Q691" s="367" t="n">
        <f aca="false">IF('Reverse Search'!$F$4="All (including temporary formes)",1,IF('Reverse Search'!$F$4="Base Pokémon and permanent formes only",IF(F691&lt;=1,1,0),IF(F691=0,1,0)))</f>
        <v>1</v>
      </c>
      <c r="R691" s="0" t="n">
        <f aca="false">IF('Reverse Search'!$C$7="Disable",1,IF('Reverse Search'!$D$9="Disable",1,IF(OR('Reverse Search'!$F$9=H691,'Reverse Search'!$F$9=I691),1,0)))</f>
        <v>1</v>
      </c>
      <c r="S691" s="0" t="n">
        <f aca="false">IF('Reverse Search'!$C$7="Disable",1,IF('Reverse Search'!$D$10="Disable",1,IF(OR('Reverse Search'!$F$10=H691,'Reverse Search'!$F$10=I691),1,0)))</f>
        <v>1</v>
      </c>
      <c r="T691" s="0" t="n">
        <f aca="false">INDEX($B$4:$B$22,MATCH(H691,$A$4:$A$22,0))</f>
        <v>1</v>
      </c>
      <c r="U691" s="0" t="n">
        <f aca="false">IF(ISBLANK(I691),1,INDEX($B$4:$B$22,MATCH(I691,$A$4:$A$22,0)))</f>
        <v>1</v>
      </c>
      <c r="V691" s="367" t="n">
        <f aca="false">IF('Reverse Search'!$C$7="Disable",1,IF('Reverse Search'!$D$11="Disable",1,IF('Reverse Search'!$E$11="Neutral to:",IF(ROUND(T691*U691,2)&lt;=1,1,0),IF(ROUND(T691*U691,2)&lt;1,1,0))))</f>
        <v>1</v>
      </c>
      <c r="W691" s="0" t="n">
        <f aca="false">IF('Reverse Search'!$N$7="Disable",1,IF('Reverse Search'!$I$9="Disable",1,IF('Reverse Search'!$K$9="≥",IF(J691&gt;='Reverse Search'!$L$9,1,0),IF('Reverse Search'!$K$9="≤",IF(J691&lt;='Reverse Search'!$L$9,1,0),IF(J691='Reverse Search'!$L$9,1,0)))))</f>
        <v>1</v>
      </c>
      <c r="X691" s="0" t="n">
        <f aca="false">IF('Reverse Search'!$N$7="Disable",1,IF('Reverse Search'!$I$10="Disable",1,IF('Reverse Search'!$K$10="≥",IF(K691&gt;='Reverse Search'!$L$10,1,0),IF('Reverse Search'!$K$10="≤",IF(K691&lt;='Reverse Search'!$L$10,1,0),IF(K691='Reverse Search'!$L$10,1,0)))))</f>
        <v>1</v>
      </c>
      <c r="Y691" s="367" t="n">
        <f aca="false">IF('Reverse Search'!$N$7="Disable",1,IF('Reverse Search'!$I$11="Disable",1,IF('Reverse Search'!$K$11="≥",IF(L691&gt;='Reverse Search'!$L$11,1,0),IF('Reverse Search'!$K$11="≤",IF(L691&lt;='Reverse Search'!$L$11,1,0),IF(L691='Reverse Search'!$L$11,1,0)))))</f>
        <v>1</v>
      </c>
      <c r="Z691" s="0" t="n">
        <f aca="true">IF('Reverse Search'!$C$14="Disable",1,IF('Reverse Search'!$D$16="Disable",1,IF($C$2=3,IF($M691=0,0,COUNTIF(INDIRECT("'0.0.2 Pokémon Learnset (Core)'!$D$"&amp;MATCH($E691,'0.0.2 Pokémon Learnset (Core)'!$A$1:$A951,0)&amp;":$FK$"&amp;MATCH($E691,'0.0.2 Pokémon Learnset (Core)'!$A$1:$A951,0)),'Reverse Search'!$E$21)),IF($C$2=2,COUNTIF(INDIRECT("'0.1.1 Pokémon GO Moves'!$B$"&amp;MATCH($E691,'0.1.1 Pokémon GO Moves'!$A$1:$A951,0)&amp;":$R$"&amp;MATCH($E691,'0.1.1 Pokémon GO Moves'!$A$1:$A951,0)),'Reverse Search'!$E$21),COUNTIF(INDIRECT("'0.1.1 Pokémon GO Moves'!$B$"&amp;MATCH($E691,'0.1.1 Pokémon GO Moves'!$A$1:$A951,0)&amp;":$L$"&amp;MATCH($E691,'0.1.1 Pokémon GO Moves'!$A$1:$A951,0)),'Reverse Search'!$E$21)))))</f>
        <v>1</v>
      </c>
      <c r="AA691" s="0" t="n">
        <f aca="true">IF('Reverse Search'!$C$14="Disable",1,IF('Reverse Search'!$I$16="Disable",1,IF($D$2=3,IF($M691=0,0,COUNTIF(INDIRECT("'0.0.2 Pokémon Learnset (Core)'!$D$"&amp;MATCH($E691,'0.0.2 Pokémon Learnset (Core)'!$A$1:$A951,0)&amp;":$FK$"&amp;MATCH($E691,'0.0.2 Pokémon Learnset (Core)'!$A$1:$A951,0)),'Reverse Search'!$J$21)),IF($D$2=2,COUNTIF(INDIRECT("'0.1.1 Pokémon GO Moves'!$B$"&amp;MATCH($E691,'0.1.1 Pokémon GO Moves'!$A$1:$A951,0)&amp;":$R$"&amp;MATCH($E691,'0.1.1 Pokémon GO Moves'!$A$1:$A951,0)),'Reverse Search'!$J$21),COUNTIF(INDIRECT("'0.1.1 Pokémon GO Moves'!$B$"&amp;MATCH($E691,'0.1.1 Pokémon GO Moves'!$A$1:$A951,0)&amp;":$L$"&amp;MATCH($E691,'0.1.1 Pokémon GO Moves'!$A$1:$A951,0)),'Reverse Search'!$J$21)))))</f>
        <v>0</v>
      </c>
      <c r="AB691" s="490"/>
      <c r="AC691" s="260" t="n">
        <f aca="false">IF((Q691+R691+S691+V691+W691+X691+Y691+IF(Z691&gt;=1,1,0)+IF(AA691&gt;=1,1,0))=9,G691&amp;", ",)</f>
        <v>0</v>
      </c>
    </row>
    <row r="692" customFormat="false" ht="15.75" hidden="false" customHeight="false" outlineLevel="0" collapsed="false">
      <c r="A692" s="260"/>
      <c r="B692" s="358"/>
      <c r="C692" s="260"/>
      <c r="D692" s="358"/>
      <c r="E692" s="260" t="n">
        <v>691</v>
      </c>
      <c r="F692" s="260" t="n">
        <f aca="false" t="array" ref="F692:F692">INDEX('0.0.1 Pokémon Dex Data'!$H$3:$H951,MATCH(E692,'0.0.1 Pokémon Dex Data'!$B$3:$B951,0))</f>
        <v>0</v>
      </c>
      <c r="G692" s="0" t="str">
        <f aca="false" t="array" ref="G692:G692">INDEX('0.0.1 Pokémon Dex Data'!$E$3:$E951,MATCH(E692,'0.0.1 Pokémon Dex Data'!$B$3:$B951,0))</f>
        <v>Amoonguss</v>
      </c>
      <c r="H692" s="0" t="str">
        <f aca="false" t="array" ref="H692:H692">INDEX('0.0.1 Pokémon Dex Data'!$Q$3:$Q951,MATCH(E692,'0.0.1 Pokémon Dex Data'!$B$3:$B951,0))</f>
        <v>Grass</v>
      </c>
      <c r="I692" s="0" t="str">
        <f aca="false" t="array" ref="I692:I692">INDEX('0.0.1 Pokémon Dex Data'!$R$3:$R951,MATCH(E692,'0.0.1 Pokémon Dex Data'!$B$3:$B951,0))</f>
        <v>Poison</v>
      </c>
      <c r="J692" s="260" t="n">
        <f aca="false" t="array" ref="J692:J692">ROUND(INDEX('0.0.1 Pokémon Dex Data'!$S$3:$S951,MATCH($E692,'0.0.1 Pokémon Dex Data'!$B$3:$B951,0))*INDEX('0.0.1 Pokémon Dex Data'!T$3:T951,MATCH($E692,'0.0.1 Pokémon Dex Data'!$B$3:$B951,0)),0)</f>
        <v>155</v>
      </c>
      <c r="K692" s="260" t="n">
        <f aca="false" t="array" ref="K692:K692">ROUND(INDEX('0.0.1 Pokémon Dex Data'!$S$3:$S951,MATCH($E692,'0.0.1 Pokémon Dex Data'!$B$3:$B951,0))*INDEX('0.0.1 Pokémon Dex Data'!U$3:U951,MATCH($E692,'0.0.1 Pokémon Dex Data'!$B$3:$B951,0)),0)</f>
        <v>139</v>
      </c>
      <c r="L692" s="260" t="n">
        <f aca="false" t="array" ref="L692:L692">ROUND(INDEX('0.0.1 Pokémon Dex Data'!$S$3:$S951,MATCH($E692,'0.0.1 Pokémon Dex Data'!$B$3:$B951,0))*INDEX('0.0.1 Pokémon Dex Data'!V$3:V951,MATCH($E692,'0.0.1 Pokémon Dex Data'!$B$3:$B951,0)),0)</f>
        <v>249</v>
      </c>
      <c r="M692" s="260" t="n">
        <f aca="false" t="array" ref="M692:M692">INDEX('0.0.1 Pokémon Dex Data'!$J$3:$J951,MATCH(E692,'0.0.1 Pokémon Dex Data'!$B$3:$B951,0))</f>
        <v>1</v>
      </c>
      <c r="O692" s="490"/>
      <c r="Q692" s="367" t="n">
        <f aca="false">IF('Reverse Search'!$F$4="All (including temporary formes)",1,IF('Reverse Search'!$F$4="Base Pokémon and permanent formes only",IF(F692&lt;=1,1,0),IF(F692=0,1,0)))</f>
        <v>1</v>
      </c>
      <c r="R692" s="0" t="n">
        <f aca="false">IF('Reverse Search'!$C$7="Disable",1,IF('Reverse Search'!$D$9="Disable",1,IF(OR('Reverse Search'!$F$9=H692,'Reverse Search'!$F$9=I692),1,0)))</f>
        <v>1</v>
      </c>
      <c r="S692" s="0" t="n">
        <f aca="false">IF('Reverse Search'!$C$7="Disable",1,IF('Reverse Search'!$D$10="Disable",1,IF(OR('Reverse Search'!$F$10=H692,'Reverse Search'!$F$10=I692),1,0)))</f>
        <v>1</v>
      </c>
      <c r="T692" s="0" t="n">
        <f aca="false">INDEX($B$4:$B$22,MATCH(H692,$A$4:$A$22,0))</f>
        <v>1</v>
      </c>
      <c r="U692" s="0" t="n">
        <f aca="false">IF(ISBLANK(I692),1,INDEX($B$4:$B$22,MATCH(I692,$A$4:$A$22,0)))</f>
        <v>1</v>
      </c>
      <c r="V692" s="367" t="n">
        <f aca="false">IF('Reverse Search'!$C$7="Disable",1,IF('Reverse Search'!$D$11="Disable",1,IF('Reverse Search'!$E$11="Neutral to:",IF(ROUND(T692*U692,2)&lt;=1,1,0),IF(ROUND(T692*U692,2)&lt;1,1,0))))</f>
        <v>1</v>
      </c>
      <c r="W692" s="0" t="n">
        <f aca="false">IF('Reverse Search'!$N$7="Disable",1,IF('Reverse Search'!$I$9="Disable",1,IF('Reverse Search'!$K$9="≥",IF(J692&gt;='Reverse Search'!$L$9,1,0),IF('Reverse Search'!$K$9="≤",IF(J692&lt;='Reverse Search'!$L$9,1,0),IF(J692='Reverse Search'!$L$9,1,0)))))</f>
        <v>1</v>
      </c>
      <c r="X692" s="0" t="n">
        <f aca="false">IF('Reverse Search'!$N$7="Disable",1,IF('Reverse Search'!$I$10="Disable",1,IF('Reverse Search'!$K$10="≥",IF(K692&gt;='Reverse Search'!$L$10,1,0),IF('Reverse Search'!$K$10="≤",IF(K692&lt;='Reverse Search'!$L$10,1,0),IF(K692='Reverse Search'!$L$10,1,0)))))</f>
        <v>1</v>
      </c>
      <c r="Y692" s="367" t="n">
        <f aca="false">IF('Reverse Search'!$N$7="Disable",1,IF('Reverse Search'!$I$11="Disable",1,IF('Reverse Search'!$K$11="≥",IF(L692&gt;='Reverse Search'!$L$11,1,0),IF('Reverse Search'!$K$11="≤",IF(L692&lt;='Reverse Search'!$L$11,1,0),IF(L692='Reverse Search'!$L$11,1,0)))))</f>
        <v>1</v>
      </c>
      <c r="Z692" s="0" t="n">
        <f aca="true">IF('Reverse Search'!$C$14="Disable",1,IF('Reverse Search'!$D$16="Disable",1,IF($C$2=3,IF($M692=0,0,COUNTIF(INDIRECT("'0.0.2 Pokémon Learnset (Core)'!$D$"&amp;MATCH($E692,'0.0.2 Pokémon Learnset (Core)'!$A$1:$A951,0)&amp;":$FK$"&amp;MATCH($E692,'0.0.2 Pokémon Learnset (Core)'!$A$1:$A951,0)),'Reverse Search'!$E$21)),IF($C$2=2,COUNTIF(INDIRECT("'0.1.1 Pokémon GO Moves'!$B$"&amp;MATCH($E692,'0.1.1 Pokémon GO Moves'!$A$1:$A951,0)&amp;":$R$"&amp;MATCH($E692,'0.1.1 Pokémon GO Moves'!$A$1:$A951,0)),'Reverse Search'!$E$21),COUNTIF(INDIRECT("'0.1.1 Pokémon GO Moves'!$B$"&amp;MATCH($E692,'0.1.1 Pokémon GO Moves'!$A$1:$A951,0)&amp;":$L$"&amp;MATCH($E692,'0.1.1 Pokémon GO Moves'!$A$1:$A951,0)),'Reverse Search'!$E$21)))))</f>
        <v>1</v>
      </c>
      <c r="AA692" s="0" t="n">
        <f aca="true">IF('Reverse Search'!$C$14="Disable",1,IF('Reverse Search'!$I$16="Disable",1,IF($D$2=3,IF($M692=0,0,COUNTIF(INDIRECT("'0.0.2 Pokémon Learnset (Core)'!$D$"&amp;MATCH($E692,'0.0.2 Pokémon Learnset (Core)'!$A$1:$A951,0)&amp;":$FK$"&amp;MATCH($E692,'0.0.2 Pokémon Learnset (Core)'!$A$1:$A951,0)),'Reverse Search'!$J$21)),IF($D$2=2,COUNTIF(INDIRECT("'0.1.1 Pokémon GO Moves'!$B$"&amp;MATCH($E692,'0.1.1 Pokémon GO Moves'!$A$1:$A951,0)&amp;":$R$"&amp;MATCH($E692,'0.1.1 Pokémon GO Moves'!$A$1:$A951,0)),'Reverse Search'!$J$21),COUNTIF(INDIRECT("'0.1.1 Pokémon GO Moves'!$B$"&amp;MATCH($E692,'0.1.1 Pokémon GO Moves'!$A$1:$A951,0)&amp;":$L$"&amp;MATCH($E692,'0.1.1 Pokémon GO Moves'!$A$1:$A951,0)),'Reverse Search'!$J$21)))))</f>
        <v>0</v>
      </c>
      <c r="AB692" s="490"/>
      <c r="AC692" s="260" t="n">
        <f aca="false">IF((Q692+R692+S692+V692+W692+X692+Y692+IF(Z692&gt;=1,1,0)+IF(AA692&gt;=1,1,0))=9,G692&amp;", ",)</f>
        <v>0</v>
      </c>
    </row>
    <row r="693" customFormat="false" ht="15.75" hidden="false" customHeight="false" outlineLevel="0" collapsed="false">
      <c r="A693" s="260"/>
      <c r="B693" s="358"/>
      <c r="C693" s="260"/>
      <c r="D693" s="358"/>
      <c r="E693" s="260" t="n">
        <v>692</v>
      </c>
      <c r="F693" s="260" t="n">
        <f aca="false" t="array" ref="F693:F693">INDEX('0.0.1 Pokémon Dex Data'!$H$3:$H951,MATCH(E693,'0.0.1 Pokémon Dex Data'!$B$3:$B951,0))</f>
        <v>0</v>
      </c>
      <c r="G693" s="0" t="str">
        <f aca="false" t="array" ref="G693:G693">INDEX('0.0.1 Pokémon Dex Data'!$E$3:$E951,MATCH(E693,'0.0.1 Pokémon Dex Data'!$B$3:$B951,0))</f>
        <v>Frillish</v>
      </c>
      <c r="H693" s="0" t="str">
        <f aca="false" t="array" ref="H693:H693">INDEX('0.0.1 Pokémon Dex Data'!$Q$3:$Q951,MATCH(E693,'0.0.1 Pokémon Dex Data'!$B$3:$B951,0))</f>
        <v>Water</v>
      </c>
      <c r="I693" s="0" t="str">
        <f aca="false" t="array" ref="I693:I693">INDEX('0.0.1 Pokémon Dex Data'!$R$3:$R951,MATCH(E693,'0.0.1 Pokémon Dex Data'!$B$3:$B951,0))</f>
        <v>Ghost</v>
      </c>
      <c r="J693" s="260" t="n">
        <f aca="false" t="array" ref="J693:J693">ROUND(INDEX('0.0.1 Pokémon Dex Data'!$S$3:$S951,MATCH($E693,'0.0.1 Pokémon Dex Data'!$B$3:$B951,0))*INDEX('0.0.1 Pokémon Dex Data'!T$3:T951,MATCH($E693,'0.0.1 Pokémon Dex Data'!$B$3:$B951,0)),0)</f>
        <v>115</v>
      </c>
      <c r="K693" s="260" t="n">
        <f aca="false" t="array" ref="K693:K693">ROUND(INDEX('0.0.1 Pokémon Dex Data'!$S$3:$S951,MATCH($E693,'0.0.1 Pokémon Dex Data'!$B$3:$B951,0))*INDEX('0.0.1 Pokémon Dex Data'!U$3:U951,MATCH($E693,'0.0.1 Pokémon Dex Data'!$B$3:$B951,0)),0)</f>
        <v>134</v>
      </c>
      <c r="L693" s="260" t="n">
        <f aca="false" t="array" ref="L693:L693">ROUND(INDEX('0.0.1 Pokémon Dex Data'!$S$3:$S951,MATCH($E693,'0.0.1 Pokémon Dex Data'!$B$3:$B951,0))*INDEX('0.0.1 Pokémon Dex Data'!V$3:V951,MATCH($E693,'0.0.1 Pokémon Dex Data'!$B$3:$B951,0)),0)</f>
        <v>146</v>
      </c>
      <c r="M693" s="260" t="n">
        <f aca="false" t="array" ref="M693:M693">INDEX('0.0.1 Pokémon Dex Data'!$J$3:$J951,MATCH(E693,'0.0.1 Pokémon Dex Data'!$B$3:$B951,0))</f>
        <v>0</v>
      </c>
      <c r="O693" s="490"/>
      <c r="Q693" s="367" t="n">
        <f aca="false">IF('Reverse Search'!$F$4="All (including temporary formes)",1,IF('Reverse Search'!$F$4="Base Pokémon and permanent formes only",IF(F693&lt;=1,1,0),IF(F693=0,1,0)))</f>
        <v>1</v>
      </c>
      <c r="R693" s="0" t="n">
        <f aca="false">IF('Reverse Search'!$C$7="Disable",1,IF('Reverse Search'!$D$9="Disable",1,IF(OR('Reverse Search'!$F$9=H693,'Reverse Search'!$F$9=I693),1,0)))</f>
        <v>1</v>
      </c>
      <c r="S693" s="0" t="n">
        <f aca="false">IF('Reverse Search'!$C$7="Disable",1,IF('Reverse Search'!$D$10="Disable",1,IF(OR('Reverse Search'!$F$10=H693,'Reverse Search'!$F$10=I693),1,0)))</f>
        <v>1</v>
      </c>
      <c r="T693" s="0" t="n">
        <f aca="false">INDEX($B$4:$B$22,MATCH(H693,$A$4:$A$22,0))</f>
        <v>1</v>
      </c>
      <c r="U693" s="0" t="n">
        <f aca="false">IF(ISBLANK(I693),1,INDEX($B$4:$B$22,MATCH(I693,$A$4:$A$22,0)))</f>
        <v>0.51</v>
      </c>
      <c r="V693" s="367" t="n">
        <f aca="false">IF('Reverse Search'!$C$7="Disable",1,IF('Reverse Search'!$D$11="Disable",1,IF('Reverse Search'!$E$11="Neutral to:",IF(ROUND(T693*U693,2)&lt;=1,1,0),IF(ROUND(T693*U693,2)&lt;1,1,0))))</f>
        <v>1</v>
      </c>
      <c r="W693" s="0" t="n">
        <f aca="false">IF('Reverse Search'!$N$7="Disable",1,IF('Reverse Search'!$I$9="Disable",1,IF('Reverse Search'!$K$9="≥",IF(J693&gt;='Reverse Search'!$L$9,1,0),IF('Reverse Search'!$K$9="≤",IF(J693&lt;='Reverse Search'!$L$9,1,0),IF(J693='Reverse Search'!$L$9,1,0)))))</f>
        <v>1</v>
      </c>
      <c r="X693" s="0" t="n">
        <f aca="false">IF('Reverse Search'!$N$7="Disable",1,IF('Reverse Search'!$I$10="Disable",1,IF('Reverse Search'!$K$10="≥",IF(K693&gt;='Reverse Search'!$L$10,1,0),IF('Reverse Search'!$K$10="≤",IF(K693&lt;='Reverse Search'!$L$10,1,0),IF(K693='Reverse Search'!$L$10,1,0)))))</f>
        <v>1</v>
      </c>
      <c r="Y693" s="367" t="n">
        <f aca="false">IF('Reverse Search'!$N$7="Disable",1,IF('Reverse Search'!$I$11="Disable",1,IF('Reverse Search'!$K$11="≥",IF(L693&gt;='Reverse Search'!$L$11,1,0),IF('Reverse Search'!$K$11="≤",IF(L693&lt;='Reverse Search'!$L$11,1,0),IF(L693='Reverse Search'!$L$11,1,0)))))</f>
        <v>1</v>
      </c>
      <c r="Z693" s="0" t="n">
        <f aca="true">IF('Reverse Search'!$C$14="Disable",1,IF('Reverse Search'!$D$16="Disable",1,IF($C$2=3,IF($M693=0,0,COUNTIF(INDIRECT("'0.0.2 Pokémon Learnset (Core)'!$D$"&amp;MATCH($E693,'0.0.2 Pokémon Learnset (Core)'!$A$1:$A951,0)&amp;":$FK$"&amp;MATCH($E693,'0.0.2 Pokémon Learnset (Core)'!$A$1:$A951,0)),'Reverse Search'!$E$21)),IF($C$2=2,COUNTIF(INDIRECT("'0.1.1 Pokémon GO Moves'!$B$"&amp;MATCH($E693,'0.1.1 Pokémon GO Moves'!$A$1:$A951,0)&amp;":$R$"&amp;MATCH($E693,'0.1.1 Pokémon GO Moves'!$A$1:$A951,0)),'Reverse Search'!$E$21),COUNTIF(INDIRECT("'0.1.1 Pokémon GO Moves'!$B$"&amp;MATCH($E693,'0.1.1 Pokémon GO Moves'!$A$1:$A951,0)&amp;":$L$"&amp;MATCH($E693,'0.1.1 Pokémon GO Moves'!$A$1:$A951,0)),'Reverse Search'!$E$21)))))</f>
        <v>1</v>
      </c>
      <c r="AA693" s="0" t="n">
        <f aca="true">IF('Reverse Search'!$C$14="Disable",1,IF('Reverse Search'!$I$16="Disable",1,IF($D$2=3,IF($M693=0,0,COUNTIF(INDIRECT("'0.0.2 Pokémon Learnset (Core)'!$D$"&amp;MATCH($E693,'0.0.2 Pokémon Learnset (Core)'!$A$1:$A951,0)&amp;":$FK$"&amp;MATCH($E693,'0.0.2 Pokémon Learnset (Core)'!$A$1:$A951,0)),'Reverse Search'!$J$21)),IF($D$2=2,COUNTIF(INDIRECT("'0.1.1 Pokémon GO Moves'!$B$"&amp;MATCH($E693,'0.1.1 Pokémon GO Moves'!$A$1:$A951,0)&amp;":$R$"&amp;MATCH($E693,'0.1.1 Pokémon GO Moves'!$A$1:$A951,0)),'Reverse Search'!$J$21),COUNTIF(INDIRECT("'0.1.1 Pokémon GO Moves'!$B$"&amp;MATCH($E693,'0.1.1 Pokémon GO Moves'!$A$1:$A951,0)&amp;":$L$"&amp;MATCH($E693,'0.1.1 Pokémon GO Moves'!$A$1:$A951,0)),'Reverse Search'!$J$21)))))</f>
        <v>0</v>
      </c>
      <c r="AB693" s="490"/>
      <c r="AC693" s="260" t="n">
        <f aca="false">IF((Q693+R693+S693+V693+W693+X693+Y693+IF(Z693&gt;=1,1,0)+IF(AA693&gt;=1,1,0))=9,G693&amp;", ",)</f>
        <v>0</v>
      </c>
    </row>
    <row r="694" customFormat="false" ht="15.75" hidden="false" customHeight="false" outlineLevel="0" collapsed="false">
      <c r="A694" s="260"/>
      <c r="B694" s="358"/>
      <c r="C694" s="260"/>
      <c r="D694" s="358"/>
      <c r="E694" s="260" t="n">
        <v>693</v>
      </c>
      <c r="F694" s="260" t="n">
        <f aca="false" t="array" ref="F694:F694">INDEX('0.0.1 Pokémon Dex Data'!$H$3:$H951,MATCH(E694,'0.0.1 Pokémon Dex Data'!$B$3:$B951,0))</f>
        <v>0</v>
      </c>
      <c r="G694" s="0" t="str">
        <f aca="false" t="array" ref="G694:G694">INDEX('0.0.1 Pokémon Dex Data'!$E$3:$E951,MATCH(E694,'0.0.1 Pokémon Dex Data'!$B$3:$B951,0))</f>
        <v>Jellicent</v>
      </c>
      <c r="H694" s="0" t="str">
        <f aca="false" t="array" ref="H694:H694">INDEX('0.0.1 Pokémon Dex Data'!$Q$3:$Q951,MATCH(E694,'0.0.1 Pokémon Dex Data'!$B$3:$B951,0))</f>
        <v>Water</v>
      </c>
      <c r="I694" s="0" t="str">
        <f aca="false" t="array" ref="I694:I694">INDEX('0.0.1 Pokémon Dex Data'!$R$3:$R951,MATCH(E694,'0.0.1 Pokémon Dex Data'!$B$3:$B951,0))</f>
        <v>Ghost</v>
      </c>
      <c r="J694" s="260" t="n">
        <f aca="false" t="array" ref="J694:J694">ROUND(INDEX('0.0.1 Pokémon Dex Data'!$S$3:$S951,MATCH($E694,'0.0.1 Pokémon Dex Data'!$B$3:$B951,0))*INDEX('0.0.1 Pokémon Dex Data'!T$3:T951,MATCH($E694,'0.0.1 Pokémon Dex Data'!$B$3:$B951,0)),0)</f>
        <v>159</v>
      </c>
      <c r="K694" s="260" t="n">
        <f aca="false" t="array" ref="K694:K694">ROUND(INDEX('0.0.1 Pokémon Dex Data'!$S$3:$S951,MATCH($E694,'0.0.1 Pokémon Dex Data'!$B$3:$B951,0))*INDEX('0.0.1 Pokémon Dex Data'!U$3:U951,MATCH($E694,'0.0.1 Pokémon Dex Data'!$B$3:$B951,0)),0)</f>
        <v>178</v>
      </c>
      <c r="L694" s="260" t="n">
        <f aca="false" t="array" ref="L694:L694">ROUND(INDEX('0.0.1 Pokémon Dex Data'!$S$3:$S951,MATCH($E694,'0.0.1 Pokémon Dex Data'!$B$3:$B951,0))*INDEX('0.0.1 Pokémon Dex Data'!V$3:V951,MATCH($E694,'0.0.1 Pokémon Dex Data'!$B$3:$B951,0)),0)</f>
        <v>225</v>
      </c>
      <c r="M694" s="260" t="n">
        <f aca="false" t="array" ref="M694:M694">INDEX('0.0.1 Pokémon Dex Data'!$J$3:$J951,MATCH(E694,'0.0.1 Pokémon Dex Data'!$B$3:$B951,0))</f>
        <v>1</v>
      </c>
      <c r="O694" s="490"/>
      <c r="Q694" s="367" t="n">
        <f aca="false">IF('Reverse Search'!$F$4="All (including temporary formes)",1,IF('Reverse Search'!$F$4="Base Pokémon and permanent formes only",IF(F694&lt;=1,1,0),IF(F694=0,1,0)))</f>
        <v>1</v>
      </c>
      <c r="R694" s="0" t="n">
        <f aca="false">IF('Reverse Search'!$C$7="Disable",1,IF('Reverse Search'!$D$9="Disable",1,IF(OR('Reverse Search'!$F$9=H694,'Reverse Search'!$F$9=I694),1,0)))</f>
        <v>1</v>
      </c>
      <c r="S694" s="0" t="n">
        <f aca="false">IF('Reverse Search'!$C$7="Disable",1,IF('Reverse Search'!$D$10="Disable",1,IF(OR('Reverse Search'!$F$10=H694,'Reverse Search'!$F$10=I694),1,0)))</f>
        <v>1</v>
      </c>
      <c r="T694" s="0" t="n">
        <f aca="false">INDEX($B$4:$B$22,MATCH(H694,$A$4:$A$22,0))</f>
        <v>1</v>
      </c>
      <c r="U694" s="0" t="n">
        <f aca="false">IF(ISBLANK(I694),1,INDEX($B$4:$B$22,MATCH(I694,$A$4:$A$22,0)))</f>
        <v>0.51</v>
      </c>
      <c r="V694" s="367" t="n">
        <f aca="false">IF('Reverse Search'!$C$7="Disable",1,IF('Reverse Search'!$D$11="Disable",1,IF('Reverse Search'!$E$11="Neutral to:",IF(ROUND(T694*U694,2)&lt;=1,1,0),IF(ROUND(T694*U694,2)&lt;1,1,0))))</f>
        <v>1</v>
      </c>
      <c r="W694" s="0" t="n">
        <f aca="false">IF('Reverse Search'!$N$7="Disable",1,IF('Reverse Search'!$I$9="Disable",1,IF('Reverse Search'!$K$9="≥",IF(J694&gt;='Reverse Search'!$L$9,1,0),IF('Reverse Search'!$K$9="≤",IF(J694&lt;='Reverse Search'!$L$9,1,0),IF(J694='Reverse Search'!$L$9,1,0)))))</f>
        <v>1</v>
      </c>
      <c r="X694" s="0" t="n">
        <f aca="false">IF('Reverse Search'!$N$7="Disable",1,IF('Reverse Search'!$I$10="Disable",1,IF('Reverse Search'!$K$10="≥",IF(K694&gt;='Reverse Search'!$L$10,1,0),IF('Reverse Search'!$K$10="≤",IF(K694&lt;='Reverse Search'!$L$10,1,0),IF(K694='Reverse Search'!$L$10,1,0)))))</f>
        <v>1</v>
      </c>
      <c r="Y694" s="367" t="n">
        <f aca="false">IF('Reverse Search'!$N$7="Disable",1,IF('Reverse Search'!$I$11="Disable",1,IF('Reverse Search'!$K$11="≥",IF(L694&gt;='Reverse Search'!$L$11,1,0),IF('Reverse Search'!$K$11="≤",IF(L694&lt;='Reverse Search'!$L$11,1,0),IF(L694='Reverse Search'!$L$11,1,0)))))</f>
        <v>1</v>
      </c>
      <c r="Z694" s="0" t="n">
        <f aca="true">IF('Reverse Search'!$C$14="Disable",1,IF('Reverse Search'!$D$16="Disable",1,IF($C$2=3,IF($M694=0,0,COUNTIF(INDIRECT("'0.0.2 Pokémon Learnset (Core)'!$D$"&amp;MATCH($E694,'0.0.2 Pokémon Learnset (Core)'!$A$1:$A951,0)&amp;":$FK$"&amp;MATCH($E694,'0.0.2 Pokémon Learnset (Core)'!$A$1:$A951,0)),'Reverse Search'!$E$21)),IF($C$2=2,COUNTIF(INDIRECT("'0.1.1 Pokémon GO Moves'!$B$"&amp;MATCH($E694,'0.1.1 Pokémon GO Moves'!$A$1:$A951,0)&amp;":$R$"&amp;MATCH($E694,'0.1.1 Pokémon GO Moves'!$A$1:$A951,0)),'Reverse Search'!$E$21),COUNTIF(INDIRECT("'0.1.1 Pokémon GO Moves'!$B$"&amp;MATCH($E694,'0.1.1 Pokémon GO Moves'!$A$1:$A951,0)&amp;":$L$"&amp;MATCH($E694,'0.1.1 Pokémon GO Moves'!$A$1:$A951,0)),'Reverse Search'!$E$21)))))</f>
        <v>1</v>
      </c>
      <c r="AA694" s="0" t="n">
        <f aca="true">IF('Reverse Search'!$C$14="Disable",1,IF('Reverse Search'!$I$16="Disable",1,IF($D$2=3,IF($M694=0,0,COUNTIF(INDIRECT("'0.0.2 Pokémon Learnset (Core)'!$D$"&amp;MATCH($E694,'0.0.2 Pokémon Learnset (Core)'!$A$1:$A951,0)&amp;":$FK$"&amp;MATCH($E694,'0.0.2 Pokémon Learnset (Core)'!$A$1:$A951,0)),'Reverse Search'!$J$21)),IF($D$2=2,COUNTIF(INDIRECT("'0.1.1 Pokémon GO Moves'!$B$"&amp;MATCH($E694,'0.1.1 Pokémon GO Moves'!$A$1:$A951,0)&amp;":$R$"&amp;MATCH($E694,'0.1.1 Pokémon GO Moves'!$A$1:$A951,0)),'Reverse Search'!$J$21),COUNTIF(INDIRECT("'0.1.1 Pokémon GO Moves'!$B$"&amp;MATCH($E694,'0.1.1 Pokémon GO Moves'!$A$1:$A951,0)&amp;":$L$"&amp;MATCH($E694,'0.1.1 Pokémon GO Moves'!$A$1:$A951,0)),'Reverse Search'!$J$21)))))</f>
        <v>0</v>
      </c>
      <c r="AB694" s="490"/>
      <c r="AC694" s="260" t="n">
        <f aca="false">IF((Q694+R694+S694+V694+W694+X694+Y694+IF(Z694&gt;=1,1,0)+IF(AA694&gt;=1,1,0))=9,G694&amp;", ",)</f>
        <v>0</v>
      </c>
    </row>
    <row r="695" customFormat="false" ht="15.75" hidden="false" customHeight="false" outlineLevel="0" collapsed="false">
      <c r="A695" s="260"/>
      <c r="B695" s="358"/>
      <c r="C695" s="260"/>
      <c r="D695" s="358"/>
      <c r="E695" s="260" t="n">
        <v>694</v>
      </c>
      <c r="F695" s="260" t="n">
        <f aca="false" t="array" ref="F695:F695">INDEX('0.0.1 Pokémon Dex Data'!$H$3:$H951,MATCH(E695,'0.0.1 Pokémon Dex Data'!$B$3:$B951,0))</f>
        <v>0</v>
      </c>
      <c r="G695" s="0" t="str">
        <f aca="false" t="array" ref="G695:G695">INDEX('0.0.1 Pokémon Dex Data'!$E$3:$E951,MATCH(E695,'0.0.1 Pokémon Dex Data'!$B$3:$B951,0))</f>
        <v>Alomomola</v>
      </c>
      <c r="H695" s="0" t="str">
        <f aca="false" t="array" ref="H695:H695">INDEX('0.0.1 Pokémon Dex Data'!$Q$3:$Q951,MATCH(E695,'0.0.1 Pokémon Dex Data'!$B$3:$B951,0))</f>
        <v>Water</v>
      </c>
      <c r="I695" s="0" t="n">
        <f aca="false">INDEX('0.0.1 Pokémon Dex Data'!$R$3:$R951,MATCH(E695,'0.0.1 Pokémon Dex Data'!$B$3:$B951,0))</f>
        <v>0</v>
      </c>
      <c r="J695" s="260" t="n">
        <f aca="false" t="array" ref="J695:J695">ROUND(INDEX('0.0.1 Pokémon Dex Data'!$S$3:$S951,MATCH($E695,'0.0.1 Pokémon Dex Data'!$B$3:$B951,0))*INDEX('0.0.1 Pokémon Dex Data'!T$3:T951,MATCH($E695,'0.0.1 Pokémon Dex Data'!$B$3:$B951,0)),0)</f>
        <v>138</v>
      </c>
      <c r="K695" s="260" t="n">
        <f aca="false" t="array" ref="K695:K695">ROUND(INDEX('0.0.1 Pokémon Dex Data'!$S$3:$S951,MATCH($E695,'0.0.1 Pokémon Dex Data'!$B$3:$B951,0))*INDEX('0.0.1 Pokémon Dex Data'!U$3:U951,MATCH($E695,'0.0.1 Pokémon Dex Data'!$B$3:$B951,0)),0)</f>
        <v>131</v>
      </c>
      <c r="L695" s="260" t="n">
        <f aca="false" t="array" ref="L695:L695">ROUND(INDEX('0.0.1 Pokémon Dex Data'!$S$3:$S951,MATCH($E695,'0.0.1 Pokémon Dex Data'!$B$3:$B951,0))*INDEX('0.0.1 Pokémon Dex Data'!V$3:V951,MATCH($E695,'0.0.1 Pokémon Dex Data'!$B$3:$B951,0)),0)</f>
        <v>338</v>
      </c>
      <c r="M695" s="260" t="n">
        <f aca="false" t="array" ref="M695:M695">INDEX('0.0.1 Pokémon Dex Data'!$J$3:$J951,MATCH(E695,'0.0.1 Pokémon Dex Data'!$B$3:$B951,0))</f>
        <v>1</v>
      </c>
      <c r="O695" s="490"/>
      <c r="Q695" s="367" t="n">
        <f aca="false">IF('Reverse Search'!$F$4="All (including temporary formes)",1,IF('Reverse Search'!$F$4="Base Pokémon and permanent formes only",IF(F695&lt;=1,1,0),IF(F695=0,1,0)))</f>
        <v>1</v>
      </c>
      <c r="R695" s="0" t="n">
        <f aca="false">IF('Reverse Search'!$C$7="Disable",1,IF('Reverse Search'!$D$9="Disable",1,IF(OR('Reverse Search'!$F$9=H695,'Reverse Search'!$F$9=I695),1,0)))</f>
        <v>1</v>
      </c>
      <c r="S695" s="0" t="n">
        <f aca="false">IF('Reverse Search'!$C$7="Disable",1,IF('Reverse Search'!$D$10="Disable",1,IF(OR('Reverse Search'!$F$10=H695,'Reverse Search'!$F$10=I695),1,0)))</f>
        <v>1</v>
      </c>
      <c r="T695" s="0" t="n">
        <f aca="false">INDEX($B$4:$B$22,MATCH(H695,$A$4:$A$22,0))</f>
        <v>1</v>
      </c>
      <c r="U695" s="0" t="e">
        <f aca="false">IF(ISBLANK(I695),1,INDEX($B$4:$B$22,MATCH(I695,$A$4:$A$22,0)))</f>
        <v>#N/A</v>
      </c>
      <c r="V695" s="367" t="n">
        <f aca="false">IF('Reverse Search'!$C$7="Disable",1,IF('Reverse Search'!$D$11="Disable",1,IF('Reverse Search'!$E$11="Neutral to:",IF(ROUND(T695*U695,2)&lt;=1,1,0),IF(ROUND(T695*U695,2)&lt;1,1,0))))</f>
        <v>1</v>
      </c>
      <c r="W695" s="0" t="n">
        <f aca="false">IF('Reverse Search'!$N$7="Disable",1,IF('Reverse Search'!$I$9="Disable",1,IF('Reverse Search'!$K$9="≥",IF(J695&gt;='Reverse Search'!$L$9,1,0),IF('Reverse Search'!$K$9="≤",IF(J695&lt;='Reverse Search'!$L$9,1,0),IF(J695='Reverse Search'!$L$9,1,0)))))</f>
        <v>1</v>
      </c>
      <c r="X695" s="0" t="n">
        <f aca="false">IF('Reverse Search'!$N$7="Disable",1,IF('Reverse Search'!$I$10="Disable",1,IF('Reverse Search'!$K$10="≥",IF(K695&gt;='Reverse Search'!$L$10,1,0),IF('Reverse Search'!$K$10="≤",IF(K695&lt;='Reverse Search'!$L$10,1,0),IF(K695='Reverse Search'!$L$10,1,0)))))</f>
        <v>1</v>
      </c>
      <c r="Y695" s="367" t="n">
        <f aca="false">IF('Reverse Search'!$N$7="Disable",1,IF('Reverse Search'!$I$11="Disable",1,IF('Reverse Search'!$K$11="≥",IF(L695&gt;='Reverse Search'!$L$11,1,0),IF('Reverse Search'!$K$11="≤",IF(L695&lt;='Reverse Search'!$L$11,1,0),IF(L695='Reverse Search'!$L$11,1,0)))))</f>
        <v>1</v>
      </c>
      <c r="Z695" s="0" t="n">
        <f aca="true">IF('Reverse Search'!$C$14="Disable",1,IF('Reverse Search'!$D$16="Disable",1,IF($C$2=3,IF($M695=0,0,COUNTIF(INDIRECT("'0.0.2 Pokémon Learnset (Core)'!$D$"&amp;MATCH($E695,'0.0.2 Pokémon Learnset (Core)'!$A$1:$A951,0)&amp;":$FK$"&amp;MATCH($E695,'0.0.2 Pokémon Learnset (Core)'!$A$1:$A951,0)),'Reverse Search'!$E$21)),IF($C$2=2,COUNTIF(INDIRECT("'0.1.1 Pokémon GO Moves'!$B$"&amp;MATCH($E695,'0.1.1 Pokémon GO Moves'!$A$1:$A951,0)&amp;":$R$"&amp;MATCH($E695,'0.1.1 Pokémon GO Moves'!$A$1:$A951,0)),'Reverse Search'!$E$21),COUNTIF(INDIRECT("'0.1.1 Pokémon GO Moves'!$B$"&amp;MATCH($E695,'0.1.1 Pokémon GO Moves'!$A$1:$A951,0)&amp;":$L$"&amp;MATCH($E695,'0.1.1 Pokémon GO Moves'!$A$1:$A951,0)),'Reverse Search'!$E$21)))))</f>
        <v>1</v>
      </c>
      <c r="AA695" s="0" t="n">
        <f aca="true">IF('Reverse Search'!$C$14="Disable",1,IF('Reverse Search'!$I$16="Disable",1,IF($D$2=3,IF($M695=0,0,COUNTIF(INDIRECT("'0.0.2 Pokémon Learnset (Core)'!$D$"&amp;MATCH($E695,'0.0.2 Pokémon Learnset (Core)'!$A$1:$A951,0)&amp;":$FK$"&amp;MATCH($E695,'0.0.2 Pokémon Learnset (Core)'!$A$1:$A951,0)),'Reverse Search'!$J$21)),IF($D$2=2,COUNTIF(INDIRECT("'0.1.1 Pokémon GO Moves'!$B$"&amp;MATCH($E695,'0.1.1 Pokémon GO Moves'!$A$1:$A951,0)&amp;":$R$"&amp;MATCH($E695,'0.1.1 Pokémon GO Moves'!$A$1:$A951,0)),'Reverse Search'!$J$21),COUNTIF(INDIRECT("'0.1.1 Pokémon GO Moves'!$B$"&amp;MATCH($E695,'0.1.1 Pokémon GO Moves'!$A$1:$A951,0)&amp;":$L$"&amp;MATCH($E695,'0.1.1 Pokémon GO Moves'!$A$1:$A951,0)),'Reverse Search'!$J$21)))))</f>
        <v>0</v>
      </c>
      <c r="AB695" s="490"/>
      <c r="AC695" s="260" t="n">
        <f aca="false">IF((Q695+R695+S695+V695+W695+X695+Y695+IF(Z695&gt;=1,1,0)+IF(AA695&gt;=1,1,0))=9,G695&amp;", ",)</f>
        <v>0</v>
      </c>
    </row>
    <row r="696" customFormat="false" ht="15.75" hidden="false" customHeight="false" outlineLevel="0" collapsed="false">
      <c r="A696" s="260"/>
      <c r="B696" s="358"/>
      <c r="C696" s="260"/>
      <c r="D696" s="358"/>
      <c r="E696" s="260" t="n">
        <v>695</v>
      </c>
      <c r="F696" s="260" t="n">
        <f aca="false" t="array" ref="F696:F696">INDEX('0.0.1 Pokémon Dex Data'!$H$3:$H951,MATCH(E696,'0.0.1 Pokémon Dex Data'!$B$3:$B951,0))</f>
        <v>0</v>
      </c>
      <c r="G696" s="0" t="str">
        <f aca="false" t="array" ref="G696:G696">INDEX('0.0.1 Pokémon Dex Data'!$E$3:$E951,MATCH(E696,'0.0.1 Pokémon Dex Data'!$B$3:$B951,0))</f>
        <v>Joltik</v>
      </c>
      <c r="H696" s="0" t="str">
        <f aca="false" t="array" ref="H696:H696">INDEX('0.0.1 Pokémon Dex Data'!$Q$3:$Q951,MATCH(E696,'0.0.1 Pokémon Dex Data'!$B$3:$B951,0))</f>
        <v>Bug</v>
      </c>
      <c r="I696" s="0" t="str">
        <f aca="false" t="array" ref="I696:I696">INDEX('0.0.1 Pokémon Dex Data'!$R$3:$R951,MATCH(E696,'0.0.1 Pokémon Dex Data'!$B$3:$B951,0))</f>
        <v>Electric</v>
      </c>
      <c r="J696" s="260" t="n">
        <f aca="false" t="array" ref="J696:J696">ROUND(INDEX('0.0.1 Pokémon Dex Data'!$S$3:$S951,MATCH($E696,'0.0.1 Pokémon Dex Data'!$B$3:$B951,0))*INDEX('0.0.1 Pokémon Dex Data'!T$3:T951,MATCH($E696,'0.0.1 Pokémon Dex Data'!$B$3:$B951,0)),0)</f>
        <v>110</v>
      </c>
      <c r="K696" s="260" t="n">
        <f aca="false" t="array" ref="K696:K696">ROUND(INDEX('0.0.1 Pokémon Dex Data'!$S$3:$S951,MATCH($E696,'0.0.1 Pokémon Dex Data'!$B$3:$B951,0))*INDEX('0.0.1 Pokémon Dex Data'!U$3:U951,MATCH($E696,'0.0.1 Pokémon Dex Data'!$B$3:$B951,0)),0)</f>
        <v>98</v>
      </c>
      <c r="L696" s="260" t="n">
        <f aca="false" t="array" ref="L696:L696">ROUND(INDEX('0.0.1 Pokémon Dex Data'!$S$3:$S951,MATCH($E696,'0.0.1 Pokémon Dex Data'!$B$3:$B951,0))*INDEX('0.0.1 Pokémon Dex Data'!V$3:V951,MATCH($E696,'0.0.1 Pokémon Dex Data'!$B$3:$B951,0)),0)</f>
        <v>137</v>
      </c>
      <c r="M696" s="260" t="n">
        <f aca="false" t="array" ref="M696:M696">INDEX('0.0.1 Pokémon Dex Data'!$J$3:$J951,MATCH(E696,'0.0.1 Pokémon Dex Data'!$B$3:$B951,0))</f>
        <v>0</v>
      </c>
      <c r="O696" s="490"/>
      <c r="Q696" s="367" t="n">
        <f aca="false">IF('Reverse Search'!$F$4="All (including temporary formes)",1,IF('Reverse Search'!$F$4="Base Pokémon and permanent formes only",IF(F696&lt;=1,1,0),IF(F696=0,1,0)))</f>
        <v>1</v>
      </c>
      <c r="R696" s="0" t="n">
        <f aca="false">IF('Reverse Search'!$C$7="Disable",1,IF('Reverse Search'!$D$9="Disable",1,IF(OR('Reverse Search'!$F$9=H696,'Reverse Search'!$F$9=I696),1,0)))</f>
        <v>1</v>
      </c>
      <c r="S696" s="0" t="n">
        <f aca="false">IF('Reverse Search'!$C$7="Disable",1,IF('Reverse Search'!$D$10="Disable",1,IF(OR('Reverse Search'!$F$10=H696,'Reverse Search'!$F$10=I696),1,0)))</f>
        <v>1</v>
      </c>
      <c r="T696" s="0" t="n">
        <f aca="false">INDEX($B$4:$B$22,MATCH(H696,$A$4:$A$22,0))</f>
        <v>1</v>
      </c>
      <c r="U696" s="0" t="n">
        <f aca="false">IF(ISBLANK(I696),1,INDEX($B$4:$B$22,MATCH(I696,$A$4:$A$22,0)))</f>
        <v>1</v>
      </c>
      <c r="V696" s="367" t="n">
        <f aca="false">IF('Reverse Search'!$C$7="Disable",1,IF('Reverse Search'!$D$11="Disable",1,IF('Reverse Search'!$E$11="Neutral to:",IF(ROUND(T696*U696,2)&lt;=1,1,0),IF(ROUND(T696*U696,2)&lt;1,1,0))))</f>
        <v>1</v>
      </c>
      <c r="W696" s="0" t="n">
        <f aca="false">IF('Reverse Search'!$N$7="Disable",1,IF('Reverse Search'!$I$9="Disable",1,IF('Reverse Search'!$K$9="≥",IF(J696&gt;='Reverse Search'!$L$9,1,0),IF('Reverse Search'!$K$9="≤",IF(J696&lt;='Reverse Search'!$L$9,1,0),IF(J696='Reverse Search'!$L$9,1,0)))))</f>
        <v>1</v>
      </c>
      <c r="X696" s="0" t="n">
        <f aca="false">IF('Reverse Search'!$N$7="Disable",1,IF('Reverse Search'!$I$10="Disable",1,IF('Reverse Search'!$K$10="≥",IF(K696&gt;='Reverse Search'!$L$10,1,0),IF('Reverse Search'!$K$10="≤",IF(K696&lt;='Reverse Search'!$L$10,1,0),IF(K696='Reverse Search'!$L$10,1,0)))))</f>
        <v>1</v>
      </c>
      <c r="Y696" s="367" t="n">
        <f aca="false">IF('Reverse Search'!$N$7="Disable",1,IF('Reverse Search'!$I$11="Disable",1,IF('Reverse Search'!$K$11="≥",IF(L696&gt;='Reverse Search'!$L$11,1,0),IF('Reverse Search'!$K$11="≤",IF(L696&lt;='Reverse Search'!$L$11,1,0),IF(L696='Reverse Search'!$L$11,1,0)))))</f>
        <v>1</v>
      </c>
      <c r="Z696" s="0" t="n">
        <f aca="true">IF('Reverse Search'!$C$14="Disable",1,IF('Reverse Search'!$D$16="Disable",1,IF($C$2=3,IF($M696=0,0,COUNTIF(INDIRECT("'0.0.2 Pokémon Learnset (Core)'!$D$"&amp;MATCH($E696,'0.0.2 Pokémon Learnset (Core)'!$A$1:$A951,0)&amp;":$FK$"&amp;MATCH($E696,'0.0.2 Pokémon Learnset (Core)'!$A$1:$A951,0)),'Reverse Search'!$E$21)),IF($C$2=2,COUNTIF(INDIRECT("'0.1.1 Pokémon GO Moves'!$B$"&amp;MATCH($E696,'0.1.1 Pokémon GO Moves'!$A$1:$A951,0)&amp;":$R$"&amp;MATCH($E696,'0.1.1 Pokémon GO Moves'!$A$1:$A951,0)),'Reverse Search'!$E$21),COUNTIF(INDIRECT("'0.1.1 Pokémon GO Moves'!$B$"&amp;MATCH($E696,'0.1.1 Pokémon GO Moves'!$A$1:$A951,0)&amp;":$L$"&amp;MATCH($E696,'0.1.1 Pokémon GO Moves'!$A$1:$A951,0)),'Reverse Search'!$E$21)))))</f>
        <v>1</v>
      </c>
      <c r="AA696" s="0" t="n">
        <f aca="true">IF('Reverse Search'!$C$14="Disable",1,IF('Reverse Search'!$I$16="Disable",1,IF($D$2=3,IF($M696=0,0,COUNTIF(INDIRECT("'0.0.2 Pokémon Learnset (Core)'!$D$"&amp;MATCH($E696,'0.0.2 Pokémon Learnset (Core)'!$A$1:$A951,0)&amp;":$FK$"&amp;MATCH($E696,'0.0.2 Pokémon Learnset (Core)'!$A$1:$A951,0)),'Reverse Search'!$J$21)),IF($D$2=2,COUNTIF(INDIRECT("'0.1.1 Pokémon GO Moves'!$B$"&amp;MATCH($E696,'0.1.1 Pokémon GO Moves'!$A$1:$A951,0)&amp;":$R$"&amp;MATCH($E696,'0.1.1 Pokémon GO Moves'!$A$1:$A951,0)),'Reverse Search'!$J$21),COUNTIF(INDIRECT("'0.1.1 Pokémon GO Moves'!$B$"&amp;MATCH($E696,'0.1.1 Pokémon GO Moves'!$A$1:$A951,0)&amp;":$L$"&amp;MATCH($E696,'0.1.1 Pokémon GO Moves'!$A$1:$A951,0)),'Reverse Search'!$J$21)))))</f>
        <v>0</v>
      </c>
      <c r="AB696" s="490"/>
      <c r="AC696" s="260" t="n">
        <f aca="false">IF((Q696+R696+S696+V696+W696+X696+Y696+IF(Z696&gt;=1,1,0)+IF(AA696&gt;=1,1,0))=9,G696&amp;", ",)</f>
        <v>0</v>
      </c>
    </row>
    <row r="697" customFormat="false" ht="15.75" hidden="false" customHeight="false" outlineLevel="0" collapsed="false">
      <c r="A697" s="260"/>
      <c r="B697" s="358"/>
      <c r="C697" s="260"/>
      <c r="D697" s="358"/>
      <c r="E697" s="260" t="n">
        <v>696</v>
      </c>
      <c r="F697" s="260" t="n">
        <f aca="false" t="array" ref="F697:F697">INDEX('0.0.1 Pokémon Dex Data'!$H$3:$H951,MATCH(E697,'0.0.1 Pokémon Dex Data'!$B$3:$B951,0))</f>
        <v>0</v>
      </c>
      <c r="G697" s="0" t="str">
        <f aca="false" t="array" ref="G697:G697">INDEX('0.0.1 Pokémon Dex Data'!$E$3:$E951,MATCH(E697,'0.0.1 Pokémon Dex Data'!$B$3:$B951,0))</f>
        <v>Galvantula</v>
      </c>
      <c r="H697" s="0" t="str">
        <f aca="false" t="array" ref="H697:H697">INDEX('0.0.1 Pokémon Dex Data'!$Q$3:$Q951,MATCH(E697,'0.0.1 Pokémon Dex Data'!$B$3:$B951,0))</f>
        <v>Bug</v>
      </c>
      <c r="I697" s="0" t="str">
        <f aca="false" t="array" ref="I697:I697">INDEX('0.0.1 Pokémon Dex Data'!$R$3:$R951,MATCH(E697,'0.0.1 Pokémon Dex Data'!$B$3:$B951,0))</f>
        <v>Electric</v>
      </c>
      <c r="J697" s="260" t="n">
        <f aca="false" t="array" ref="J697:J697">ROUND(INDEX('0.0.1 Pokémon Dex Data'!$S$3:$S951,MATCH($E697,'0.0.1 Pokémon Dex Data'!$B$3:$B951,0))*INDEX('0.0.1 Pokémon Dex Data'!T$3:T951,MATCH($E697,'0.0.1 Pokémon Dex Data'!$B$3:$B951,0)),0)</f>
        <v>201</v>
      </c>
      <c r="K697" s="260" t="n">
        <f aca="false" t="array" ref="K697:K697">ROUND(INDEX('0.0.1 Pokémon Dex Data'!$S$3:$S951,MATCH($E697,'0.0.1 Pokémon Dex Data'!$B$3:$B951,0))*INDEX('0.0.1 Pokémon Dex Data'!U$3:U951,MATCH($E697,'0.0.1 Pokémon Dex Data'!$B$3:$B951,0)),0)</f>
        <v>128</v>
      </c>
      <c r="L697" s="260" t="n">
        <f aca="false" t="array" ref="L697:L697">ROUND(INDEX('0.0.1 Pokémon Dex Data'!$S$3:$S951,MATCH($E697,'0.0.1 Pokémon Dex Data'!$B$3:$B951,0))*INDEX('0.0.1 Pokémon Dex Data'!V$3:V951,MATCH($E697,'0.0.1 Pokémon Dex Data'!$B$3:$B951,0)),0)</f>
        <v>172</v>
      </c>
      <c r="M697" s="260" t="n">
        <f aca="false" t="array" ref="M697:M697">INDEX('0.0.1 Pokémon Dex Data'!$J$3:$J951,MATCH(E697,'0.0.1 Pokémon Dex Data'!$B$3:$B951,0))</f>
        <v>1</v>
      </c>
      <c r="O697" s="490"/>
      <c r="Q697" s="367" t="n">
        <f aca="false">IF('Reverse Search'!$F$4="All (including temporary formes)",1,IF('Reverse Search'!$F$4="Base Pokémon and permanent formes only",IF(F697&lt;=1,1,0),IF(F697=0,1,0)))</f>
        <v>1</v>
      </c>
      <c r="R697" s="0" t="n">
        <f aca="false">IF('Reverse Search'!$C$7="Disable",1,IF('Reverse Search'!$D$9="Disable",1,IF(OR('Reverse Search'!$F$9=H697,'Reverse Search'!$F$9=I697),1,0)))</f>
        <v>1</v>
      </c>
      <c r="S697" s="0" t="n">
        <f aca="false">IF('Reverse Search'!$C$7="Disable",1,IF('Reverse Search'!$D$10="Disable",1,IF(OR('Reverse Search'!$F$10=H697,'Reverse Search'!$F$10=I697),1,0)))</f>
        <v>1</v>
      </c>
      <c r="T697" s="0" t="n">
        <f aca="false">INDEX($B$4:$B$22,MATCH(H697,$A$4:$A$22,0))</f>
        <v>1</v>
      </c>
      <c r="U697" s="0" t="n">
        <f aca="false">IF(ISBLANK(I697),1,INDEX($B$4:$B$22,MATCH(I697,$A$4:$A$22,0)))</f>
        <v>1</v>
      </c>
      <c r="V697" s="367" t="n">
        <f aca="false">IF('Reverse Search'!$C$7="Disable",1,IF('Reverse Search'!$D$11="Disable",1,IF('Reverse Search'!$E$11="Neutral to:",IF(ROUND(T697*U697,2)&lt;=1,1,0),IF(ROUND(T697*U697,2)&lt;1,1,0))))</f>
        <v>1</v>
      </c>
      <c r="W697" s="0" t="n">
        <f aca="false">IF('Reverse Search'!$N$7="Disable",1,IF('Reverse Search'!$I$9="Disable",1,IF('Reverse Search'!$K$9="≥",IF(J697&gt;='Reverse Search'!$L$9,1,0),IF('Reverse Search'!$K$9="≤",IF(J697&lt;='Reverse Search'!$L$9,1,0),IF(J697='Reverse Search'!$L$9,1,0)))))</f>
        <v>1</v>
      </c>
      <c r="X697" s="0" t="n">
        <f aca="false">IF('Reverse Search'!$N$7="Disable",1,IF('Reverse Search'!$I$10="Disable",1,IF('Reverse Search'!$K$10="≥",IF(K697&gt;='Reverse Search'!$L$10,1,0),IF('Reverse Search'!$K$10="≤",IF(K697&lt;='Reverse Search'!$L$10,1,0),IF(K697='Reverse Search'!$L$10,1,0)))))</f>
        <v>1</v>
      </c>
      <c r="Y697" s="367" t="n">
        <f aca="false">IF('Reverse Search'!$N$7="Disable",1,IF('Reverse Search'!$I$11="Disable",1,IF('Reverse Search'!$K$11="≥",IF(L697&gt;='Reverse Search'!$L$11,1,0),IF('Reverse Search'!$K$11="≤",IF(L697&lt;='Reverse Search'!$L$11,1,0),IF(L697='Reverse Search'!$L$11,1,0)))))</f>
        <v>1</v>
      </c>
      <c r="Z697" s="0" t="n">
        <f aca="true">IF('Reverse Search'!$C$14="Disable",1,IF('Reverse Search'!$D$16="Disable",1,IF($C$2=3,IF($M697=0,0,COUNTIF(INDIRECT("'0.0.2 Pokémon Learnset (Core)'!$D$"&amp;MATCH($E697,'0.0.2 Pokémon Learnset (Core)'!$A$1:$A951,0)&amp;":$FK$"&amp;MATCH($E697,'0.0.2 Pokémon Learnset (Core)'!$A$1:$A951,0)),'Reverse Search'!$E$21)),IF($C$2=2,COUNTIF(INDIRECT("'0.1.1 Pokémon GO Moves'!$B$"&amp;MATCH($E697,'0.1.1 Pokémon GO Moves'!$A$1:$A951,0)&amp;":$R$"&amp;MATCH($E697,'0.1.1 Pokémon GO Moves'!$A$1:$A951,0)),'Reverse Search'!$E$21),COUNTIF(INDIRECT("'0.1.1 Pokémon GO Moves'!$B$"&amp;MATCH($E697,'0.1.1 Pokémon GO Moves'!$A$1:$A951,0)&amp;":$L$"&amp;MATCH($E697,'0.1.1 Pokémon GO Moves'!$A$1:$A951,0)),'Reverse Search'!$E$21)))))</f>
        <v>1</v>
      </c>
      <c r="AA697" s="0" t="n">
        <f aca="true">IF('Reverse Search'!$C$14="Disable",1,IF('Reverse Search'!$I$16="Disable",1,IF($D$2=3,IF($M697=0,0,COUNTIF(INDIRECT("'0.0.2 Pokémon Learnset (Core)'!$D$"&amp;MATCH($E697,'0.0.2 Pokémon Learnset (Core)'!$A$1:$A951,0)&amp;":$FK$"&amp;MATCH($E697,'0.0.2 Pokémon Learnset (Core)'!$A$1:$A951,0)),'Reverse Search'!$J$21)),IF($D$2=2,COUNTIF(INDIRECT("'0.1.1 Pokémon GO Moves'!$B$"&amp;MATCH($E697,'0.1.1 Pokémon GO Moves'!$A$1:$A951,0)&amp;":$R$"&amp;MATCH($E697,'0.1.1 Pokémon GO Moves'!$A$1:$A951,0)),'Reverse Search'!$J$21),COUNTIF(INDIRECT("'0.1.1 Pokémon GO Moves'!$B$"&amp;MATCH($E697,'0.1.1 Pokémon GO Moves'!$A$1:$A951,0)&amp;":$L$"&amp;MATCH($E697,'0.1.1 Pokémon GO Moves'!$A$1:$A951,0)),'Reverse Search'!$J$21)))))</f>
        <v>0</v>
      </c>
      <c r="AB697" s="490"/>
      <c r="AC697" s="260" t="n">
        <f aca="false">IF((Q697+R697+S697+V697+W697+X697+Y697+IF(Z697&gt;=1,1,0)+IF(AA697&gt;=1,1,0))=9,G697&amp;", ",)</f>
        <v>0</v>
      </c>
    </row>
    <row r="698" customFormat="false" ht="15.75" hidden="false" customHeight="false" outlineLevel="0" collapsed="false">
      <c r="A698" s="260"/>
      <c r="B698" s="358"/>
      <c r="C698" s="260"/>
      <c r="D698" s="358"/>
      <c r="E698" s="260" t="n">
        <v>697</v>
      </c>
      <c r="F698" s="260" t="n">
        <f aca="false" t="array" ref="F698:F698">INDEX('0.0.1 Pokémon Dex Data'!$H$3:$H951,MATCH(E698,'0.0.1 Pokémon Dex Data'!$B$3:$B951,0))</f>
        <v>0</v>
      </c>
      <c r="G698" s="0" t="str">
        <f aca="false" t="array" ref="G698:G698">INDEX('0.0.1 Pokémon Dex Data'!$E$3:$E951,MATCH(E698,'0.0.1 Pokémon Dex Data'!$B$3:$B951,0))</f>
        <v>Ferroseed</v>
      </c>
      <c r="H698" s="0" t="str">
        <f aca="false" t="array" ref="H698:H698">INDEX('0.0.1 Pokémon Dex Data'!$Q$3:$Q951,MATCH(E698,'0.0.1 Pokémon Dex Data'!$B$3:$B951,0))</f>
        <v>Grass</v>
      </c>
      <c r="I698" s="0" t="str">
        <f aca="false" t="array" ref="I698:I698">INDEX('0.0.1 Pokémon Dex Data'!$R$3:$R951,MATCH(E698,'0.0.1 Pokémon Dex Data'!$B$3:$B951,0))</f>
        <v>Steel</v>
      </c>
      <c r="J698" s="260" t="n">
        <f aca="false" t="array" ref="J698:J698">ROUND(INDEX('0.0.1 Pokémon Dex Data'!$S$3:$S951,MATCH($E698,'0.0.1 Pokémon Dex Data'!$B$3:$B951,0))*INDEX('0.0.1 Pokémon Dex Data'!T$3:T951,MATCH($E698,'0.0.1 Pokémon Dex Data'!$B$3:$B951,0)),0)</f>
        <v>82</v>
      </c>
      <c r="K698" s="260" t="n">
        <f aca="false" t="array" ref="K698:K698">ROUND(INDEX('0.0.1 Pokémon Dex Data'!$S$3:$S951,MATCH($E698,'0.0.1 Pokémon Dex Data'!$B$3:$B951,0))*INDEX('0.0.1 Pokémon Dex Data'!U$3:U951,MATCH($E698,'0.0.1 Pokémon Dex Data'!$B$3:$B951,0)),0)</f>
        <v>155</v>
      </c>
      <c r="L698" s="260" t="n">
        <f aca="false" t="array" ref="L698:L698">ROUND(INDEX('0.0.1 Pokémon Dex Data'!$S$3:$S951,MATCH($E698,'0.0.1 Pokémon Dex Data'!$B$3:$B951,0))*INDEX('0.0.1 Pokémon Dex Data'!V$3:V951,MATCH($E698,'0.0.1 Pokémon Dex Data'!$B$3:$B951,0)),0)</f>
        <v>127</v>
      </c>
      <c r="M698" s="260" t="n">
        <f aca="false" t="array" ref="M698:M698">INDEX('0.0.1 Pokémon Dex Data'!$J$3:$J951,MATCH(E698,'0.0.1 Pokémon Dex Data'!$B$3:$B951,0))</f>
        <v>0</v>
      </c>
      <c r="O698" s="490"/>
      <c r="Q698" s="367" t="n">
        <f aca="false">IF('Reverse Search'!$F$4="All (including temporary formes)",1,IF('Reverse Search'!$F$4="Base Pokémon and permanent formes only",IF(F698&lt;=1,1,0),IF(F698=0,1,0)))</f>
        <v>1</v>
      </c>
      <c r="R698" s="0" t="n">
        <f aca="false">IF('Reverse Search'!$C$7="Disable",1,IF('Reverse Search'!$D$9="Disable",1,IF(OR('Reverse Search'!$F$9=H698,'Reverse Search'!$F$9=I698),1,0)))</f>
        <v>1</v>
      </c>
      <c r="S698" s="0" t="n">
        <f aca="false">IF('Reverse Search'!$C$7="Disable",1,IF('Reverse Search'!$D$10="Disable",1,IF(OR('Reverse Search'!$F$10=H698,'Reverse Search'!$F$10=I698),1,0)))</f>
        <v>1</v>
      </c>
      <c r="T698" s="0" t="n">
        <f aca="false">INDEX($B$4:$B$22,MATCH(H698,$A$4:$A$22,0))</f>
        <v>1</v>
      </c>
      <c r="U698" s="0" t="n">
        <f aca="false">IF(ISBLANK(I698),1,INDEX($B$4:$B$22,MATCH(I698,$A$4:$A$22,0)))</f>
        <v>0.714</v>
      </c>
      <c r="V698" s="367" t="n">
        <f aca="false">IF('Reverse Search'!$C$7="Disable",1,IF('Reverse Search'!$D$11="Disable",1,IF('Reverse Search'!$E$11="Neutral to:",IF(ROUND(T698*U698,2)&lt;=1,1,0),IF(ROUND(T698*U698,2)&lt;1,1,0))))</f>
        <v>1</v>
      </c>
      <c r="W698" s="0" t="n">
        <f aca="false">IF('Reverse Search'!$N$7="Disable",1,IF('Reverse Search'!$I$9="Disable",1,IF('Reverse Search'!$K$9="≥",IF(J698&gt;='Reverse Search'!$L$9,1,0),IF('Reverse Search'!$K$9="≤",IF(J698&lt;='Reverse Search'!$L$9,1,0),IF(J698='Reverse Search'!$L$9,1,0)))))</f>
        <v>1</v>
      </c>
      <c r="X698" s="0" t="n">
        <f aca="false">IF('Reverse Search'!$N$7="Disable",1,IF('Reverse Search'!$I$10="Disable",1,IF('Reverse Search'!$K$10="≥",IF(K698&gt;='Reverse Search'!$L$10,1,0),IF('Reverse Search'!$K$10="≤",IF(K698&lt;='Reverse Search'!$L$10,1,0),IF(K698='Reverse Search'!$L$10,1,0)))))</f>
        <v>1</v>
      </c>
      <c r="Y698" s="367" t="n">
        <f aca="false">IF('Reverse Search'!$N$7="Disable",1,IF('Reverse Search'!$I$11="Disable",1,IF('Reverse Search'!$K$11="≥",IF(L698&gt;='Reverse Search'!$L$11,1,0),IF('Reverse Search'!$K$11="≤",IF(L698&lt;='Reverse Search'!$L$11,1,0),IF(L698='Reverse Search'!$L$11,1,0)))))</f>
        <v>1</v>
      </c>
      <c r="Z698" s="0" t="n">
        <f aca="true">IF('Reverse Search'!$C$14="Disable",1,IF('Reverse Search'!$D$16="Disable",1,IF($C$2=3,IF($M698=0,0,COUNTIF(INDIRECT("'0.0.2 Pokémon Learnset (Core)'!$D$"&amp;MATCH($E698,'0.0.2 Pokémon Learnset (Core)'!$A$1:$A951,0)&amp;":$FK$"&amp;MATCH($E698,'0.0.2 Pokémon Learnset (Core)'!$A$1:$A951,0)),'Reverse Search'!$E$21)),IF($C$2=2,COUNTIF(INDIRECT("'0.1.1 Pokémon GO Moves'!$B$"&amp;MATCH($E698,'0.1.1 Pokémon GO Moves'!$A$1:$A951,0)&amp;":$R$"&amp;MATCH($E698,'0.1.1 Pokémon GO Moves'!$A$1:$A951,0)),'Reverse Search'!$E$21),COUNTIF(INDIRECT("'0.1.1 Pokémon GO Moves'!$B$"&amp;MATCH($E698,'0.1.1 Pokémon GO Moves'!$A$1:$A951,0)&amp;":$L$"&amp;MATCH($E698,'0.1.1 Pokémon GO Moves'!$A$1:$A951,0)),'Reverse Search'!$E$21)))))</f>
        <v>1</v>
      </c>
      <c r="AA698" s="0" t="n">
        <f aca="true">IF('Reverse Search'!$C$14="Disable",1,IF('Reverse Search'!$I$16="Disable",1,IF($D$2=3,IF($M698=0,0,COUNTIF(INDIRECT("'0.0.2 Pokémon Learnset (Core)'!$D$"&amp;MATCH($E698,'0.0.2 Pokémon Learnset (Core)'!$A$1:$A951,0)&amp;":$FK$"&amp;MATCH($E698,'0.0.2 Pokémon Learnset (Core)'!$A$1:$A951,0)),'Reverse Search'!$J$21)),IF($D$2=2,COUNTIF(INDIRECT("'0.1.1 Pokémon GO Moves'!$B$"&amp;MATCH($E698,'0.1.1 Pokémon GO Moves'!$A$1:$A951,0)&amp;":$R$"&amp;MATCH($E698,'0.1.1 Pokémon GO Moves'!$A$1:$A951,0)),'Reverse Search'!$J$21),COUNTIF(INDIRECT("'0.1.1 Pokémon GO Moves'!$B$"&amp;MATCH($E698,'0.1.1 Pokémon GO Moves'!$A$1:$A951,0)&amp;":$L$"&amp;MATCH($E698,'0.1.1 Pokémon GO Moves'!$A$1:$A951,0)),'Reverse Search'!$J$21)))))</f>
        <v>0</v>
      </c>
      <c r="AB698" s="490"/>
      <c r="AC698" s="260" t="n">
        <f aca="false">IF((Q698+R698+S698+V698+W698+X698+Y698+IF(Z698&gt;=1,1,0)+IF(AA698&gt;=1,1,0))=9,G698&amp;", ",)</f>
        <v>0</v>
      </c>
    </row>
    <row r="699" customFormat="false" ht="15.75" hidden="false" customHeight="false" outlineLevel="0" collapsed="false">
      <c r="A699" s="260"/>
      <c r="B699" s="358"/>
      <c r="C699" s="260"/>
      <c r="D699" s="358"/>
      <c r="E699" s="260" t="n">
        <v>698</v>
      </c>
      <c r="F699" s="260" t="n">
        <f aca="false" t="array" ref="F699:F699">INDEX('0.0.1 Pokémon Dex Data'!$H$3:$H951,MATCH(E699,'0.0.1 Pokémon Dex Data'!$B$3:$B951,0))</f>
        <v>0</v>
      </c>
      <c r="G699" s="0" t="str">
        <f aca="false" t="array" ref="G699:G699">INDEX('0.0.1 Pokémon Dex Data'!$E$3:$E951,MATCH(E699,'0.0.1 Pokémon Dex Data'!$B$3:$B951,0))</f>
        <v>Ferrothorn</v>
      </c>
      <c r="H699" s="0" t="str">
        <f aca="false" t="array" ref="H699:H699">INDEX('0.0.1 Pokémon Dex Data'!$Q$3:$Q951,MATCH(E699,'0.0.1 Pokémon Dex Data'!$B$3:$B951,0))</f>
        <v>Grass</v>
      </c>
      <c r="I699" s="0" t="str">
        <f aca="false" t="array" ref="I699:I699">INDEX('0.0.1 Pokémon Dex Data'!$R$3:$R951,MATCH(E699,'0.0.1 Pokémon Dex Data'!$B$3:$B951,0))</f>
        <v>Steel</v>
      </c>
      <c r="J699" s="260" t="n">
        <f aca="false" t="array" ref="J699:J699">ROUND(INDEX('0.0.1 Pokémon Dex Data'!$S$3:$S951,MATCH($E699,'0.0.1 Pokémon Dex Data'!$B$3:$B951,0))*INDEX('0.0.1 Pokémon Dex Data'!T$3:T951,MATCH($E699,'0.0.1 Pokémon Dex Data'!$B$3:$B951,0)),0)</f>
        <v>158</v>
      </c>
      <c r="K699" s="260" t="n">
        <f aca="false" t="array" ref="K699:K699">ROUND(INDEX('0.0.1 Pokémon Dex Data'!$S$3:$S951,MATCH($E699,'0.0.1 Pokémon Dex Data'!$B$3:$B951,0))*INDEX('0.0.1 Pokémon Dex Data'!U$3:U951,MATCH($E699,'0.0.1 Pokémon Dex Data'!$B$3:$B951,0)),0)</f>
        <v>223</v>
      </c>
      <c r="L699" s="260" t="n">
        <f aca="false" t="array" ref="L699:L699">ROUND(INDEX('0.0.1 Pokémon Dex Data'!$S$3:$S951,MATCH($E699,'0.0.1 Pokémon Dex Data'!$B$3:$B951,0))*INDEX('0.0.1 Pokémon Dex Data'!V$3:V951,MATCH($E699,'0.0.1 Pokémon Dex Data'!$B$3:$B951,0)),0)</f>
        <v>179</v>
      </c>
      <c r="M699" s="260" t="n">
        <f aca="false" t="array" ref="M699:M699">INDEX('0.0.1 Pokémon Dex Data'!$J$3:$J951,MATCH(E699,'0.0.1 Pokémon Dex Data'!$B$3:$B951,0))</f>
        <v>1</v>
      </c>
      <c r="O699" s="490"/>
      <c r="Q699" s="367" t="n">
        <f aca="false">IF('Reverse Search'!$F$4="All (including temporary formes)",1,IF('Reverse Search'!$F$4="Base Pokémon and permanent formes only",IF(F699&lt;=1,1,0),IF(F699=0,1,0)))</f>
        <v>1</v>
      </c>
      <c r="R699" s="0" t="n">
        <f aca="false">IF('Reverse Search'!$C$7="Disable",1,IF('Reverse Search'!$D$9="Disable",1,IF(OR('Reverse Search'!$F$9=H699,'Reverse Search'!$F$9=I699),1,0)))</f>
        <v>1</v>
      </c>
      <c r="S699" s="0" t="n">
        <f aca="false">IF('Reverse Search'!$C$7="Disable",1,IF('Reverse Search'!$D$10="Disable",1,IF(OR('Reverse Search'!$F$10=H699,'Reverse Search'!$F$10=I699),1,0)))</f>
        <v>1</v>
      </c>
      <c r="T699" s="0" t="n">
        <f aca="false">INDEX($B$4:$B$22,MATCH(H699,$A$4:$A$22,0))</f>
        <v>1</v>
      </c>
      <c r="U699" s="0" t="n">
        <f aca="false">IF(ISBLANK(I699),1,INDEX($B$4:$B$22,MATCH(I699,$A$4:$A$22,0)))</f>
        <v>0.714</v>
      </c>
      <c r="V699" s="367" t="n">
        <f aca="false">IF('Reverse Search'!$C$7="Disable",1,IF('Reverse Search'!$D$11="Disable",1,IF('Reverse Search'!$E$11="Neutral to:",IF(ROUND(T699*U699,2)&lt;=1,1,0),IF(ROUND(T699*U699,2)&lt;1,1,0))))</f>
        <v>1</v>
      </c>
      <c r="W699" s="0" t="n">
        <f aca="false">IF('Reverse Search'!$N$7="Disable",1,IF('Reverse Search'!$I$9="Disable",1,IF('Reverse Search'!$K$9="≥",IF(J699&gt;='Reverse Search'!$L$9,1,0),IF('Reverse Search'!$K$9="≤",IF(J699&lt;='Reverse Search'!$L$9,1,0),IF(J699='Reverse Search'!$L$9,1,0)))))</f>
        <v>1</v>
      </c>
      <c r="X699" s="0" t="n">
        <f aca="false">IF('Reverse Search'!$N$7="Disable",1,IF('Reverse Search'!$I$10="Disable",1,IF('Reverse Search'!$K$10="≥",IF(K699&gt;='Reverse Search'!$L$10,1,0),IF('Reverse Search'!$K$10="≤",IF(K699&lt;='Reverse Search'!$L$10,1,0),IF(K699='Reverse Search'!$L$10,1,0)))))</f>
        <v>1</v>
      </c>
      <c r="Y699" s="367" t="n">
        <f aca="false">IF('Reverse Search'!$N$7="Disable",1,IF('Reverse Search'!$I$11="Disable",1,IF('Reverse Search'!$K$11="≥",IF(L699&gt;='Reverse Search'!$L$11,1,0),IF('Reverse Search'!$K$11="≤",IF(L699&lt;='Reverse Search'!$L$11,1,0),IF(L699='Reverse Search'!$L$11,1,0)))))</f>
        <v>1</v>
      </c>
      <c r="Z699" s="0" t="n">
        <f aca="true">IF('Reverse Search'!$C$14="Disable",1,IF('Reverse Search'!$D$16="Disable",1,IF($C$2=3,IF($M699=0,0,COUNTIF(INDIRECT("'0.0.2 Pokémon Learnset (Core)'!$D$"&amp;MATCH($E699,'0.0.2 Pokémon Learnset (Core)'!$A$1:$A951,0)&amp;":$FK$"&amp;MATCH($E699,'0.0.2 Pokémon Learnset (Core)'!$A$1:$A951,0)),'Reverse Search'!$E$21)),IF($C$2=2,COUNTIF(INDIRECT("'0.1.1 Pokémon GO Moves'!$B$"&amp;MATCH($E699,'0.1.1 Pokémon GO Moves'!$A$1:$A951,0)&amp;":$R$"&amp;MATCH($E699,'0.1.1 Pokémon GO Moves'!$A$1:$A951,0)),'Reverse Search'!$E$21),COUNTIF(INDIRECT("'0.1.1 Pokémon GO Moves'!$B$"&amp;MATCH($E699,'0.1.1 Pokémon GO Moves'!$A$1:$A951,0)&amp;":$L$"&amp;MATCH($E699,'0.1.1 Pokémon GO Moves'!$A$1:$A951,0)),'Reverse Search'!$E$21)))))</f>
        <v>1</v>
      </c>
      <c r="AA699" s="0" t="n">
        <f aca="true">IF('Reverse Search'!$C$14="Disable",1,IF('Reverse Search'!$I$16="Disable",1,IF($D$2=3,IF($M699=0,0,COUNTIF(INDIRECT("'0.0.2 Pokémon Learnset (Core)'!$D$"&amp;MATCH($E699,'0.0.2 Pokémon Learnset (Core)'!$A$1:$A951,0)&amp;":$FK$"&amp;MATCH($E699,'0.0.2 Pokémon Learnset (Core)'!$A$1:$A951,0)),'Reverse Search'!$J$21)),IF($D$2=2,COUNTIF(INDIRECT("'0.1.1 Pokémon GO Moves'!$B$"&amp;MATCH($E699,'0.1.1 Pokémon GO Moves'!$A$1:$A951,0)&amp;":$R$"&amp;MATCH($E699,'0.1.1 Pokémon GO Moves'!$A$1:$A951,0)),'Reverse Search'!$J$21),COUNTIF(INDIRECT("'0.1.1 Pokémon GO Moves'!$B$"&amp;MATCH($E699,'0.1.1 Pokémon GO Moves'!$A$1:$A951,0)&amp;":$L$"&amp;MATCH($E699,'0.1.1 Pokémon GO Moves'!$A$1:$A951,0)),'Reverse Search'!$J$21)))))</f>
        <v>0</v>
      </c>
      <c r="AB699" s="490"/>
      <c r="AC699" s="260" t="n">
        <f aca="false">IF((Q699+R699+S699+V699+W699+X699+Y699+IF(Z699&gt;=1,1,0)+IF(AA699&gt;=1,1,0))=9,G699&amp;", ",)</f>
        <v>0</v>
      </c>
    </row>
    <row r="700" customFormat="false" ht="15.75" hidden="false" customHeight="false" outlineLevel="0" collapsed="false">
      <c r="A700" s="260"/>
      <c r="B700" s="358"/>
      <c r="C700" s="260"/>
      <c r="D700" s="358"/>
      <c r="E700" s="260" t="n">
        <v>699</v>
      </c>
      <c r="F700" s="260" t="n">
        <f aca="false" t="array" ref="F700:F700">INDEX('0.0.1 Pokémon Dex Data'!$H$3:$H951,MATCH(E700,'0.0.1 Pokémon Dex Data'!$B$3:$B951,0))</f>
        <v>0</v>
      </c>
      <c r="G700" s="0" t="str">
        <f aca="false" t="array" ref="G700:G700">INDEX('0.0.1 Pokémon Dex Data'!$E$3:$E951,MATCH(E700,'0.0.1 Pokémon Dex Data'!$B$3:$B951,0))</f>
        <v>Klink</v>
      </c>
      <c r="H700" s="0" t="str">
        <f aca="false" t="array" ref="H700:H700">INDEX('0.0.1 Pokémon Dex Data'!$Q$3:$Q951,MATCH(E700,'0.0.1 Pokémon Dex Data'!$B$3:$B951,0))</f>
        <v>Steel</v>
      </c>
      <c r="I700" s="0" t="n">
        <f aca="false">INDEX('0.0.1 Pokémon Dex Data'!$R$3:$R951,MATCH(E700,'0.0.1 Pokémon Dex Data'!$B$3:$B951,0))</f>
        <v>0</v>
      </c>
      <c r="J700" s="260" t="n">
        <f aca="false" t="array" ref="J700:J700">ROUND(INDEX('0.0.1 Pokémon Dex Data'!$S$3:$S951,MATCH($E700,'0.0.1 Pokémon Dex Data'!$B$3:$B951,0))*INDEX('0.0.1 Pokémon Dex Data'!T$3:T951,MATCH($E700,'0.0.1 Pokémon Dex Data'!$B$3:$B951,0)),0)</f>
        <v>98</v>
      </c>
      <c r="K700" s="260" t="n">
        <f aca="false" t="array" ref="K700:K700">ROUND(INDEX('0.0.1 Pokémon Dex Data'!$S$3:$S951,MATCH($E700,'0.0.1 Pokémon Dex Data'!$B$3:$B951,0))*INDEX('0.0.1 Pokémon Dex Data'!U$3:U951,MATCH($E700,'0.0.1 Pokémon Dex Data'!$B$3:$B951,0)),0)</f>
        <v>121</v>
      </c>
      <c r="L700" s="260" t="n">
        <f aca="false" t="array" ref="L700:L700">ROUND(INDEX('0.0.1 Pokémon Dex Data'!$S$3:$S951,MATCH($E700,'0.0.1 Pokémon Dex Data'!$B$3:$B951,0))*INDEX('0.0.1 Pokémon Dex Data'!V$3:V951,MATCH($E700,'0.0.1 Pokémon Dex Data'!$B$3:$B951,0)),0)</f>
        <v>120</v>
      </c>
      <c r="M700" s="260" t="n">
        <f aca="false" t="array" ref="M700:M700">INDEX('0.0.1 Pokémon Dex Data'!$J$3:$J951,MATCH(E700,'0.0.1 Pokémon Dex Data'!$B$3:$B951,0))</f>
        <v>0</v>
      </c>
      <c r="O700" s="490"/>
      <c r="Q700" s="367" t="n">
        <f aca="false">IF('Reverse Search'!$F$4="All (including temporary formes)",1,IF('Reverse Search'!$F$4="Base Pokémon and permanent formes only",IF(F700&lt;=1,1,0),IF(F700=0,1,0)))</f>
        <v>1</v>
      </c>
      <c r="R700" s="0" t="n">
        <f aca="false">IF('Reverse Search'!$C$7="Disable",1,IF('Reverse Search'!$D$9="Disable",1,IF(OR('Reverse Search'!$F$9=H700,'Reverse Search'!$F$9=I700),1,0)))</f>
        <v>1</v>
      </c>
      <c r="S700" s="0" t="n">
        <f aca="false">IF('Reverse Search'!$C$7="Disable",1,IF('Reverse Search'!$D$10="Disable",1,IF(OR('Reverse Search'!$F$10=H700,'Reverse Search'!$F$10=I700),1,0)))</f>
        <v>1</v>
      </c>
      <c r="T700" s="0" t="n">
        <f aca="false">INDEX($B$4:$B$22,MATCH(H700,$A$4:$A$22,0))</f>
        <v>0.714</v>
      </c>
      <c r="U700" s="0" t="e">
        <f aca="false">IF(ISBLANK(I700),1,INDEX($B$4:$B$22,MATCH(I700,$A$4:$A$22,0)))</f>
        <v>#N/A</v>
      </c>
      <c r="V700" s="367" t="n">
        <f aca="false">IF('Reverse Search'!$C$7="Disable",1,IF('Reverse Search'!$D$11="Disable",1,IF('Reverse Search'!$E$11="Neutral to:",IF(ROUND(T700*U700,2)&lt;=1,1,0),IF(ROUND(T700*U700,2)&lt;1,1,0))))</f>
        <v>1</v>
      </c>
      <c r="W700" s="0" t="n">
        <f aca="false">IF('Reverse Search'!$N$7="Disable",1,IF('Reverse Search'!$I$9="Disable",1,IF('Reverse Search'!$K$9="≥",IF(J700&gt;='Reverse Search'!$L$9,1,0),IF('Reverse Search'!$K$9="≤",IF(J700&lt;='Reverse Search'!$L$9,1,0),IF(J700='Reverse Search'!$L$9,1,0)))))</f>
        <v>1</v>
      </c>
      <c r="X700" s="0" t="n">
        <f aca="false">IF('Reverse Search'!$N$7="Disable",1,IF('Reverse Search'!$I$10="Disable",1,IF('Reverse Search'!$K$10="≥",IF(K700&gt;='Reverse Search'!$L$10,1,0),IF('Reverse Search'!$K$10="≤",IF(K700&lt;='Reverse Search'!$L$10,1,0),IF(K700='Reverse Search'!$L$10,1,0)))))</f>
        <v>1</v>
      </c>
      <c r="Y700" s="367" t="n">
        <f aca="false">IF('Reverse Search'!$N$7="Disable",1,IF('Reverse Search'!$I$11="Disable",1,IF('Reverse Search'!$K$11="≥",IF(L700&gt;='Reverse Search'!$L$11,1,0),IF('Reverse Search'!$K$11="≤",IF(L700&lt;='Reverse Search'!$L$11,1,0),IF(L700='Reverse Search'!$L$11,1,0)))))</f>
        <v>1</v>
      </c>
      <c r="Z700" s="0" t="n">
        <f aca="true">IF('Reverse Search'!$C$14="Disable",1,IF('Reverse Search'!$D$16="Disable",1,IF($C$2=3,IF($M700=0,0,COUNTIF(INDIRECT("'0.0.2 Pokémon Learnset (Core)'!$D$"&amp;MATCH($E700,'0.0.2 Pokémon Learnset (Core)'!$A$1:$A951,0)&amp;":$FK$"&amp;MATCH($E700,'0.0.2 Pokémon Learnset (Core)'!$A$1:$A951,0)),'Reverse Search'!$E$21)),IF($C$2=2,COUNTIF(INDIRECT("'0.1.1 Pokémon GO Moves'!$B$"&amp;MATCH($E700,'0.1.1 Pokémon GO Moves'!$A$1:$A951,0)&amp;":$R$"&amp;MATCH($E700,'0.1.1 Pokémon GO Moves'!$A$1:$A951,0)),'Reverse Search'!$E$21),COUNTIF(INDIRECT("'0.1.1 Pokémon GO Moves'!$B$"&amp;MATCH($E700,'0.1.1 Pokémon GO Moves'!$A$1:$A951,0)&amp;":$L$"&amp;MATCH($E700,'0.1.1 Pokémon GO Moves'!$A$1:$A951,0)),'Reverse Search'!$E$21)))))</f>
        <v>1</v>
      </c>
      <c r="AA700" s="0" t="n">
        <f aca="true">IF('Reverse Search'!$C$14="Disable",1,IF('Reverse Search'!$I$16="Disable",1,IF($D$2=3,IF($M700=0,0,COUNTIF(INDIRECT("'0.0.2 Pokémon Learnset (Core)'!$D$"&amp;MATCH($E700,'0.0.2 Pokémon Learnset (Core)'!$A$1:$A951,0)&amp;":$FK$"&amp;MATCH($E700,'0.0.2 Pokémon Learnset (Core)'!$A$1:$A951,0)),'Reverse Search'!$J$21)),IF($D$2=2,COUNTIF(INDIRECT("'0.1.1 Pokémon GO Moves'!$B$"&amp;MATCH($E700,'0.1.1 Pokémon GO Moves'!$A$1:$A951,0)&amp;":$R$"&amp;MATCH($E700,'0.1.1 Pokémon GO Moves'!$A$1:$A951,0)),'Reverse Search'!$J$21),COUNTIF(INDIRECT("'0.1.1 Pokémon GO Moves'!$B$"&amp;MATCH($E700,'0.1.1 Pokémon GO Moves'!$A$1:$A951,0)&amp;":$L$"&amp;MATCH($E700,'0.1.1 Pokémon GO Moves'!$A$1:$A951,0)),'Reverse Search'!$J$21)))))</f>
        <v>0</v>
      </c>
      <c r="AB700" s="490"/>
      <c r="AC700" s="260" t="n">
        <f aca="false">IF((Q700+R700+S700+V700+W700+X700+Y700+IF(Z700&gt;=1,1,0)+IF(AA700&gt;=1,1,0))=9,G700&amp;", ",)</f>
        <v>0</v>
      </c>
    </row>
    <row r="701" customFormat="false" ht="15.75" hidden="false" customHeight="false" outlineLevel="0" collapsed="false">
      <c r="A701" s="260"/>
      <c r="B701" s="358"/>
      <c r="C701" s="260"/>
      <c r="D701" s="358"/>
      <c r="E701" s="260" t="n">
        <v>700</v>
      </c>
      <c r="F701" s="260" t="n">
        <f aca="false" t="array" ref="F701:F701">INDEX('0.0.1 Pokémon Dex Data'!$H$3:$H951,MATCH(E701,'0.0.1 Pokémon Dex Data'!$B$3:$B951,0))</f>
        <v>0</v>
      </c>
      <c r="G701" s="0" t="str">
        <f aca="false" t="array" ref="G701:G701">INDEX('0.0.1 Pokémon Dex Data'!$E$3:$E951,MATCH(E701,'0.0.1 Pokémon Dex Data'!$B$3:$B951,0))</f>
        <v>Klang</v>
      </c>
      <c r="H701" s="0" t="str">
        <f aca="false" t="array" ref="H701:H701">INDEX('0.0.1 Pokémon Dex Data'!$Q$3:$Q951,MATCH(E701,'0.0.1 Pokémon Dex Data'!$B$3:$B951,0))</f>
        <v>Steel</v>
      </c>
      <c r="I701" s="0" t="n">
        <f aca="false">INDEX('0.0.1 Pokémon Dex Data'!$R$3:$R951,MATCH(E701,'0.0.1 Pokémon Dex Data'!$B$3:$B951,0))</f>
        <v>0</v>
      </c>
      <c r="J701" s="260" t="n">
        <f aca="false" t="array" ref="J701:J701">ROUND(INDEX('0.0.1 Pokémon Dex Data'!$S$3:$S951,MATCH($E701,'0.0.1 Pokémon Dex Data'!$B$3:$B951,0))*INDEX('0.0.1 Pokémon Dex Data'!T$3:T951,MATCH($E701,'0.0.1 Pokémon Dex Data'!$B$3:$B951,0)),0)</f>
        <v>150</v>
      </c>
      <c r="K701" s="260" t="n">
        <f aca="false" t="array" ref="K701:K701">ROUND(INDEX('0.0.1 Pokémon Dex Data'!$S$3:$S951,MATCH($E701,'0.0.1 Pokémon Dex Data'!$B$3:$B951,0))*INDEX('0.0.1 Pokémon Dex Data'!U$3:U951,MATCH($E701,'0.0.1 Pokémon Dex Data'!$B$3:$B951,0)),0)</f>
        <v>174</v>
      </c>
      <c r="L701" s="260" t="n">
        <f aca="false" t="array" ref="L701:L701">ROUND(INDEX('0.0.1 Pokémon Dex Data'!$S$3:$S951,MATCH($E701,'0.0.1 Pokémon Dex Data'!$B$3:$B951,0))*INDEX('0.0.1 Pokémon Dex Data'!V$3:V951,MATCH($E701,'0.0.1 Pokémon Dex Data'!$B$3:$B951,0)),0)</f>
        <v>155</v>
      </c>
      <c r="M701" s="260" t="n">
        <f aca="false" t="array" ref="M701:M701">INDEX('0.0.1 Pokémon Dex Data'!$J$3:$J951,MATCH(E701,'0.0.1 Pokémon Dex Data'!$B$3:$B951,0))</f>
        <v>0</v>
      </c>
      <c r="O701" s="490"/>
      <c r="Q701" s="367" t="n">
        <f aca="false">IF('Reverse Search'!$F$4="All (including temporary formes)",1,IF('Reverse Search'!$F$4="Base Pokémon and permanent formes only",IF(F701&lt;=1,1,0),IF(F701=0,1,0)))</f>
        <v>1</v>
      </c>
      <c r="R701" s="0" t="n">
        <f aca="false">IF('Reverse Search'!$C$7="Disable",1,IF('Reverse Search'!$D$9="Disable",1,IF(OR('Reverse Search'!$F$9=H701,'Reverse Search'!$F$9=I701),1,0)))</f>
        <v>1</v>
      </c>
      <c r="S701" s="0" t="n">
        <f aca="false">IF('Reverse Search'!$C$7="Disable",1,IF('Reverse Search'!$D$10="Disable",1,IF(OR('Reverse Search'!$F$10=H701,'Reverse Search'!$F$10=I701),1,0)))</f>
        <v>1</v>
      </c>
      <c r="T701" s="0" t="n">
        <f aca="false">INDEX($B$4:$B$22,MATCH(H701,$A$4:$A$22,0))</f>
        <v>0.714</v>
      </c>
      <c r="U701" s="0" t="e">
        <f aca="false">IF(ISBLANK(I701),1,INDEX($B$4:$B$22,MATCH(I701,$A$4:$A$22,0)))</f>
        <v>#N/A</v>
      </c>
      <c r="V701" s="367" t="n">
        <f aca="false">IF('Reverse Search'!$C$7="Disable",1,IF('Reverse Search'!$D$11="Disable",1,IF('Reverse Search'!$E$11="Neutral to:",IF(ROUND(T701*U701,2)&lt;=1,1,0),IF(ROUND(T701*U701,2)&lt;1,1,0))))</f>
        <v>1</v>
      </c>
      <c r="W701" s="0" t="n">
        <f aca="false">IF('Reverse Search'!$N$7="Disable",1,IF('Reverse Search'!$I$9="Disable",1,IF('Reverse Search'!$K$9="≥",IF(J701&gt;='Reverse Search'!$L$9,1,0),IF('Reverse Search'!$K$9="≤",IF(J701&lt;='Reverse Search'!$L$9,1,0),IF(J701='Reverse Search'!$L$9,1,0)))))</f>
        <v>1</v>
      </c>
      <c r="X701" s="0" t="n">
        <f aca="false">IF('Reverse Search'!$N$7="Disable",1,IF('Reverse Search'!$I$10="Disable",1,IF('Reverse Search'!$K$10="≥",IF(K701&gt;='Reverse Search'!$L$10,1,0),IF('Reverse Search'!$K$10="≤",IF(K701&lt;='Reverse Search'!$L$10,1,0),IF(K701='Reverse Search'!$L$10,1,0)))))</f>
        <v>1</v>
      </c>
      <c r="Y701" s="367" t="n">
        <f aca="false">IF('Reverse Search'!$N$7="Disable",1,IF('Reverse Search'!$I$11="Disable",1,IF('Reverse Search'!$K$11="≥",IF(L701&gt;='Reverse Search'!$L$11,1,0),IF('Reverse Search'!$K$11="≤",IF(L701&lt;='Reverse Search'!$L$11,1,0),IF(L701='Reverse Search'!$L$11,1,0)))))</f>
        <v>1</v>
      </c>
      <c r="Z701" s="0" t="n">
        <f aca="true">IF('Reverse Search'!$C$14="Disable",1,IF('Reverse Search'!$D$16="Disable",1,IF($C$2=3,IF($M701=0,0,COUNTIF(INDIRECT("'0.0.2 Pokémon Learnset (Core)'!$D$"&amp;MATCH($E701,'0.0.2 Pokémon Learnset (Core)'!$A$1:$A951,0)&amp;":$FK$"&amp;MATCH($E701,'0.0.2 Pokémon Learnset (Core)'!$A$1:$A951,0)),'Reverse Search'!$E$21)),IF($C$2=2,COUNTIF(INDIRECT("'0.1.1 Pokémon GO Moves'!$B$"&amp;MATCH($E701,'0.1.1 Pokémon GO Moves'!$A$1:$A951,0)&amp;":$R$"&amp;MATCH($E701,'0.1.1 Pokémon GO Moves'!$A$1:$A951,0)),'Reverse Search'!$E$21),COUNTIF(INDIRECT("'0.1.1 Pokémon GO Moves'!$B$"&amp;MATCH($E701,'0.1.1 Pokémon GO Moves'!$A$1:$A951,0)&amp;":$L$"&amp;MATCH($E701,'0.1.1 Pokémon GO Moves'!$A$1:$A951,0)),'Reverse Search'!$E$21)))))</f>
        <v>1</v>
      </c>
      <c r="AA701" s="0" t="n">
        <f aca="true">IF('Reverse Search'!$C$14="Disable",1,IF('Reverse Search'!$I$16="Disable",1,IF($D$2=3,IF($M701=0,0,COUNTIF(INDIRECT("'0.0.2 Pokémon Learnset (Core)'!$D$"&amp;MATCH($E701,'0.0.2 Pokémon Learnset (Core)'!$A$1:$A951,0)&amp;":$FK$"&amp;MATCH($E701,'0.0.2 Pokémon Learnset (Core)'!$A$1:$A951,0)),'Reverse Search'!$J$21)),IF($D$2=2,COUNTIF(INDIRECT("'0.1.1 Pokémon GO Moves'!$B$"&amp;MATCH($E701,'0.1.1 Pokémon GO Moves'!$A$1:$A951,0)&amp;":$R$"&amp;MATCH($E701,'0.1.1 Pokémon GO Moves'!$A$1:$A951,0)),'Reverse Search'!$J$21),COUNTIF(INDIRECT("'0.1.1 Pokémon GO Moves'!$B$"&amp;MATCH($E701,'0.1.1 Pokémon GO Moves'!$A$1:$A951,0)&amp;":$L$"&amp;MATCH($E701,'0.1.1 Pokémon GO Moves'!$A$1:$A951,0)),'Reverse Search'!$J$21)))))</f>
        <v>0</v>
      </c>
      <c r="AB701" s="490"/>
      <c r="AC701" s="260" t="n">
        <f aca="false">IF((Q701+R701+S701+V701+W701+X701+Y701+IF(Z701&gt;=1,1,0)+IF(AA701&gt;=1,1,0))=9,G701&amp;", ",)</f>
        <v>0</v>
      </c>
    </row>
    <row r="702" customFormat="false" ht="15.75" hidden="false" customHeight="false" outlineLevel="0" collapsed="false">
      <c r="A702" s="260"/>
      <c r="B702" s="358"/>
      <c r="C702" s="260"/>
      <c r="D702" s="358"/>
      <c r="E702" s="260" t="n">
        <v>701</v>
      </c>
      <c r="F702" s="260" t="n">
        <f aca="false" t="array" ref="F702:F702">INDEX('0.0.1 Pokémon Dex Data'!$H$3:$H951,MATCH(E702,'0.0.1 Pokémon Dex Data'!$B$3:$B951,0))</f>
        <v>0</v>
      </c>
      <c r="G702" s="0" t="str">
        <f aca="false" t="array" ref="G702:G702">INDEX('0.0.1 Pokémon Dex Data'!$E$3:$E951,MATCH(E702,'0.0.1 Pokémon Dex Data'!$B$3:$B951,0))</f>
        <v>Klinklang</v>
      </c>
      <c r="H702" s="0" t="str">
        <f aca="false" t="array" ref="H702:H702">INDEX('0.0.1 Pokémon Dex Data'!$Q$3:$Q951,MATCH(E702,'0.0.1 Pokémon Dex Data'!$B$3:$B951,0))</f>
        <v>Steel</v>
      </c>
      <c r="I702" s="0" t="n">
        <f aca="false">INDEX('0.0.1 Pokémon Dex Data'!$R$3:$R951,MATCH(E702,'0.0.1 Pokémon Dex Data'!$B$3:$B951,0))</f>
        <v>0</v>
      </c>
      <c r="J702" s="260" t="n">
        <f aca="false" t="array" ref="J702:J702">ROUND(INDEX('0.0.1 Pokémon Dex Data'!$S$3:$S951,MATCH($E702,'0.0.1 Pokémon Dex Data'!$B$3:$B951,0))*INDEX('0.0.1 Pokémon Dex Data'!T$3:T951,MATCH($E702,'0.0.1 Pokémon Dex Data'!$B$3:$B951,0)),0)</f>
        <v>199</v>
      </c>
      <c r="K702" s="260" t="n">
        <f aca="false" t="array" ref="K702:K702">ROUND(INDEX('0.0.1 Pokémon Dex Data'!$S$3:$S951,MATCH($E702,'0.0.1 Pokémon Dex Data'!$B$3:$B951,0))*INDEX('0.0.1 Pokémon Dex Data'!U$3:U951,MATCH($E702,'0.0.1 Pokémon Dex Data'!$B$3:$B951,0)),0)</f>
        <v>214</v>
      </c>
      <c r="L702" s="260" t="n">
        <f aca="false" t="array" ref="L702:L702">ROUND(INDEX('0.0.1 Pokémon Dex Data'!$S$3:$S951,MATCH($E702,'0.0.1 Pokémon Dex Data'!$B$3:$B951,0))*INDEX('0.0.1 Pokémon Dex Data'!V$3:V951,MATCH($E702,'0.0.1 Pokémon Dex Data'!$B$3:$B951,0)),0)</f>
        <v>155</v>
      </c>
      <c r="M702" s="260" t="n">
        <f aca="false" t="array" ref="M702:M702">INDEX('0.0.1 Pokémon Dex Data'!$J$3:$J951,MATCH(E702,'0.0.1 Pokémon Dex Data'!$B$3:$B951,0))</f>
        <v>1</v>
      </c>
      <c r="O702" s="490"/>
      <c r="Q702" s="367" t="n">
        <f aca="false">IF('Reverse Search'!$F$4="All (including temporary formes)",1,IF('Reverse Search'!$F$4="Base Pokémon and permanent formes only",IF(F702&lt;=1,1,0),IF(F702=0,1,0)))</f>
        <v>1</v>
      </c>
      <c r="R702" s="0" t="n">
        <f aca="false">IF('Reverse Search'!$C$7="Disable",1,IF('Reverse Search'!$D$9="Disable",1,IF(OR('Reverse Search'!$F$9=H702,'Reverse Search'!$F$9=I702),1,0)))</f>
        <v>1</v>
      </c>
      <c r="S702" s="0" t="n">
        <f aca="false">IF('Reverse Search'!$C$7="Disable",1,IF('Reverse Search'!$D$10="Disable",1,IF(OR('Reverse Search'!$F$10=H702,'Reverse Search'!$F$10=I702),1,0)))</f>
        <v>1</v>
      </c>
      <c r="T702" s="0" t="n">
        <f aca="false">INDEX($B$4:$B$22,MATCH(H702,$A$4:$A$22,0))</f>
        <v>0.714</v>
      </c>
      <c r="U702" s="0" t="e">
        <f aca="false">IF(ISBLANK(I702),1,INDEX($B$4:$B$22,MATCH(I702,$A$4:$A$22,0)))</f>
        <v>#N/A</v>
      </c>
      <c r="V702" s="367" t="n">
        <f aca="false">IF('Reverse Search'!$C$7="Disable",1,IF('Reverse Search'!$D$11="Disable",1,IF('Reverse Search'!$E$11="Neutral to:",IF(ROUND(T702*U702,2)&lt;=1,1,0),IF(ROUND(T702*U702,2)&lt;1,1,0))))</f>
        <v>1</v>
      </c>
      <c r="W702" s="0" t="n">
        <f aca="false">IF('Reverse Search'!$N$7="Disable",1,IF('Reverse Search'!$I$9="Disable",1,IF('Reverse Search'!$K$9="≥",IF(J702&gt;='Reverse Search'!$L$9,1,0),IF('Reverse Search'!$K$9="≤",IF(J702&lt;='Reverse Search'!$L$9,1,0),IF(J702='Reverse Search'!$L$9,1,0)))))</f>
        <v>1</v>
      </c>
      <c r="X702" s="0" t="n">
        <f aca="false">IF('Reverse Search'!$N$7="Disable",1,IF('Reverse Search'!$I$10="Disable",1,IF('Reverse Search'!$K$10="≥",IF(K702&gt;='Reverse Search'!$L$10,1,0),IF('Reverse Search'!$K$10="≤",IF(K702&lt;='Reverse Search'!$L$10,1,0),IF(K702='Reverse Search'!$L$10,1,0)))))</f>
        <v>1</v>
      </c>
      <c r="Y702" s="367" t="n">
        <f aca="false">IF('Reverse Search'!$N$7="Disable",1,IF('Reverse Search'!$I$11="Disable",1,IF('Reverse Search'!$K$11="≥",IF(L702&gt;='Reverse Search'!$L$11,1,0),IF('Reverse Search'!$K$11="≤",IF(L702&lt;='Reverse Search'!$L$11,1,0),IF(L702='Reverse Search'!$L$11,1,0)))))</f>
        <v>1</v>
      </c>
      <c r="Z702" s="0" t="n">
        <f aca="true">IF('Reverse Search'!$C$14="Disable",1,IF('Reverse Search'!$D$16="Disable",1,IF($C$2=3,IF($M702=0,0,COUNTIF(INDIRECT("'0.0.2 Pokémon Learnset (Core)'!$D$"&amp;MATCH($E702,'0.0.2 Pokémon Learnset (Core)'!$A$1:$A951,0)&amp;":$FK$"&amp;MATCH($E702,'0.0.2 Pokémon Learnset (Core)'!$A$1:$A951,0)),'Reverse Search'!$E$21)),IF($C$2=2,COUNTIF(INDIRECT("'0.1.1 Pokémon GO Moves'!$B$"&amp;MATCH($E702,'0.1.1 Pokémon GO Moves'!$A$1:$A951,0)&amp;":$R$"&amp;MATCH($E702,'0.1.1 Pokémon GO Moves'!$A$1:$A951,0)),'Reverse Search'!$E$21),COUNTIF(INDIRECT("'0.1.1 Pokémon GO Moves'!$B$"&amp;MATCH($E702,'0.1.1 Pokémon GO Moves'!$A$1:$A951,0)&amp;":$L$"&amp;MATCH($E702,'0.1.1 Pokémon GO Moves'!$A$1:$A951,0)),'Reverse Search'!$E$21)))))</f>
        <v>1</v>
      </c>
      <c r="AA702" s="0" t="n">
        <f aca="true">IF('Reverse Search'!$C$14="Disable",1,IF('Reverse Search'!$I$16="Disable",1,IF($D$2=3,IF($M702=0,0,COUNTIF(INDIRECT("'0.0.2 Pokémon Learnset (Core)'!$D$"&amp;MATCH($E702,'0.0.2 Pokémon Learnset (Core)'!$A$1:$A951,0)&amp;":$FK$"&amp;MATCH($E702,'0.0.2 Pokémon Learnset (Core)'!$A$1:$A951,0)),'Reverse Search'!$J$21)),IF($D$2=2,COUNTIF(INDIRECT("'0.1.1 Pokémon GO Moves'!$B$"&amp;MATCH($E702,'0.1.1 Pokémon GO Moves'!$A$1:$A951,0)&amp;":$R$"&amp;MATCH($E702,'0.1.1 Pokémon GO Moves'!$A$1:$A951,0)),'Reverse Search'!$J$21),COUNTIF(INDIRECT("'0.1.1 Pokémon GO Moves'!$B$"&amp;MATCH($E702,'0.1.1 Pokémon GO Moves'!$A$1:$A951,0)&amp;":$L$"&amp;MATCH($E702,'0.1.1 Pokémon GO Moves'!$A$1:$A951,0)),'Reverse Search'!$J$21)))))</f>
        <v>0</v>
      </c>
      <c r="AB702" s="490"/>
      <c r="AC702" s="260" t="n">
        <f aca="false">IF((Q702+R702+S702+V702+W702+X702+Y702+IF(Z702&gt;=1,1,0)+IF(AA702&gt;=1,1,0))=9,G702&amp;", ",)</f>
        <v>0</v>
      </c>
    </row>
    <row r="703" customFormat="false" ht="15.75" hidden="false" customHeight="false" outlineLevel="0" collapsed="false">
      <c r="A703" s="260"/>
      <c r="B703" s="358"/>
      <c r="C703" s="260"/>
      <c r="D703" s="358"/>
      <c r="E703" s="260" t="n">
        <v>702</v>
      </c>
      <c r="F703" s="260" t="n">
        <f aca="false" t="array" ref="F703:F703">INDEX('0.0.1 Pokémon Dex Data'!$H$3:$H951,MATCH(E703,'0.0.1 Pokémon Dex Data'!$B$3:$B951,0))</f>
        <v>0</v>
      </c>
      <c r="G703" s="0" t="str">
        <f aca="false" t="array" ref="G703:G703">INDEX('0.0.1 Pokémon Dex Data'!$E$3:$E951,MATCH(E703,'0.0.1 Pokémon Dex Data'!$B$3:$B951,0))</f>
        <v>Tynamo</v>
      </c>
      <c r="H703" s="0" t="str">
        <f aca="false" t="array" ref="H703:H703">INDEX('0.0.1 Pokémon Dex Data'!$Q$3:$Q951,MATCH(E703,'0.0.1 Pokémon Dex Data'!$B$3:$B951,0))</f>
        <v>Electric</v>
      </c>
      <c r="I703" s="0" t="n">
        <f aca="false">INDEX('0.0.1 Pokémon Dex Data'!$R$3:$R951,MATCH(E703,'0.0.1 Pokémon Dex Data'!$B$3:$B951,0))</f>
        <v>0</v>
      </c>
      <c r="J703" s="260" t="n">
        <f aca="false" t="array" ref="J703:J703">ROUND(INDEX('0.0.1 Pokémon Dex Data'!$S$3:$S951,MATCH($E703,'0.0.1 Pokémon Dex Data'!$B$3:$B951,0))*INDEX('0.0.1 Pokémon Dex Data'!T$3:T951,MATCH($E703,'0.0.1 Pokémon Dex Data'!$B$3:$B951,0)),0)</f>
        <v>105</v>
      </c>
      <c r="K703" s="260" t="n">
        <f aca="false" t="array" ref="K703:K703">ROUND(INDEX('0.0.1 Pokémon Dex Data'!$S$3:$S951,MATCH($E703,'0.0.1 Pokémon Dex Data'!$B$3:$B951,0))*INDEX('0.0.1 Pokémon Dex Data'!U$3:U951,MATCH($E703,'0.0.1 Pokémon Dex Data'!$B$3:$B951,0)),0)</f>
        <v>78</v>
      </c>
      <c r="L703" s="260" t="n">
        <f aca="false" t="array" ref="L703:L703">ROUND(INDEX('0.0.1 Pokémon Dex Data'!$S$3:$S951,MATCH($E703,'0.0.1 Pokémon Dex Data'!$B$3:$B951,0))*INDEX('0.0.1 Pokémon Dex Data'!V$3:V951,MATCH($E703,'0.0.1 Pokémon Dex Data'!$B$3:$B951,0)),0)</f>
        <v>111</v>
      </c>
      <c r="M703" s="260" t="n">
        <f aca="false" t="array" ref="M703:M703">INDEX('0.0.1 Pokémon Dex Data'!$J$3:$J951,MATCH(E703,'0.0.1 Pokémon Dex Data'!$B$3:$B951,0))</f>
        <v>0</v>
      </c>
      <c r="O703" s="490"/>
      <c r="Q703" s="367" t="n">
        <f aca="false">IF('Reverse Search'!$F$4="All (including temporary formes)",1,IF('Reverse Search'!$F$4="Base Pokémon and permanent formes only",IF(F703&lt;=1,1,0),IF(F703=0,1,0)))</f>
        <v>1</v>
      </c>
      <c r="R703" s="0" t="n">
        <f aca="false">IF('Reverse Search'!$C$7="Disable",1,IF('Reverse Search'!$D$9="Disable",1,IF(OR('Reverse Search'!$F$9=H703,'Reverse Search'!$F$9=I703),1,0)))</f>
        <v>1</v>
      </c>
      <c r="S703" s="0" t="n">
        <f aca="false">IF('Reverse Search'!$C$7="Disable",1,IF('Reverse Search'!$D$10="Disable",1,IF(OR('Reverse Search'!$F$10=H703,'Reverse Search'!$F$10=I703),1,0)))</f>
        <v>1</v>
      </c>
      <c r="T703" s="0" t="n">
        <f aca="false">INDEX($B$4:$B$22,MATCH(H703,$A$4:$A$22,0))</f>
        <v>1</v>
      </c>
      <c r="U703" s="0" t="e">
        <f aca="false">IF(ISBLANK(I703),1,INDEX($B$4:$B$22,MATCH(I703,$A$4:$A$22,0)))</f>
        <v>#N/A</v>
      </c>
      <c r="V703" s="367" t="n">
        <f aca="false">IF('Reverse Search'!$C$7="Disable",1,IF('Reverse Search'!$D$11="Disable",1,IF('Reverse Search'!$E$11="Neutral to:",IF(ROUND(T703*U703,2)&lt;=1,1,0),IF(ROUND(T703*U703,2)&lt;1,1,0))))</f>
        <v>1</v>
      </c>
      <c r="W703" s="0" t="n">
        <f aca="false">IF('Reverse Search'!$N$7="Disable",1,IF('Reverse Search'!$I$9="Disable",1,IF('Reverse Search'!$K$9="≥",IF(J703&gt;='Reverse Search'!$L$9,1,0),IF('Reverse Search'!$K$9="≤",IF(J703&lt;='Reverse Search'!$L$9,1,0),IF(J703='Reverse Search'!$L$9,1,0)))))</f>
        <v>1</v>
      </c>
      <c r="X703" s="0" t="n">
        <f aca="false">IF('Reverse Search'!$N$7="Disable",1,IF('Reverse Search'!$I$10="Disable",1,IF('Reverse Search'!$K$10="≥",IF(K703&gt;='Reverse Search'!$L$10,1,0),IF('Reverse Search'!$K$10="≤",IF(K703&lt;='Reverse Search'!$L$10,1,0),IF(K703='Reverse Search'!$L$10,1,0)))))</f>
        <v>1</v>
      </c>
      <c r="Y703" s="367" t="n">
        <f aca="false">IF('Reverse Search'!$N$7="Disable",1,IF('Reverse Search'!$I$11="Disable",1,IF('Reverse Search'!$K$11="≥",IF(L703&gt;='Reverse Search'!$L$11,1,0),IF('Reverse Search'!$K$11="≤",IF(L703&lt;='Reverse Search'!$L$11,1,0),IF(L703='Reverse Search'!$L$11,1,0)))))</f>
        <v>1</v>
      </c>
      <c r="Z703" s="0" t="n">
        <f aca="true">IF('Reverse Search'!$C$14="Disable",1,IF('Reverse Search'!$D$16="Disable",1,IF($C$2=3,IF($M703=0,0,COUNTIF(INDIRECT("'0.0.2 Pokémon Learnset (Core)'!$D$"&amp;MATCH($E703,'0.0.2 Pokémon Learnset (Core)'!$A$1:$A951,0)&amp;":$FK$"&amp;MATCH($E703,'0.0.2 Pokémon Learnset (Core)'!$A$1:$A951,0)),'Reverse Search'!$E$21)),IF($C$2=2,COUNTIF(INDIRECT("'0.1.1 Pokémon GO Moves'!$B$"&amp;MATCH($E703,'0.1.1 Pokémon GO Moves'!$A$1:$A951,0)&amp;":$R$"&amp;MATCH($E703,'0.1.1 Pokémon GO Moves'!$A$1:$A951,0)),'Reverse Search'!$E$21),COUNTIF(INDIRECT("'0.1.1 Pokémon GO Moves'!$B$"&amp;MATCH($E703,'0.1.1 Pokémon GO Moves'!$A$1:$A951,0)&amp;":$L$"&amp;MATCH($E703,'0.1.1 Pokémon GO Moves'!$A$1:$A951,0)),'Reverse Search'!$E$21)))))</f>
        <v>1</v>
      </c>
      <c r="AA703" s="0" t="n">
        <f aca="true">IF('Reverse Search'!$C$14="Disable",1,IF('Reverse Search'!$I$16="Disable",1,IF($D$2=3,IF($M703=0,0,COUNTIF(INDIRECT("'0.0.2 Pokémon Learnset (Core)'!$D$"&amp;MATCH($E703,'0.0.2 Pokémon Learnset (Core)'!$A$1:$A951,0)&amp;":$FK$"&amp;MATCH($E703,'0.0.2 Pokémon Learnset (Core)'!$A$1:$A951,0)),'Reverse Search'!$J$21)),IF($D$2=2,COUNTIF(INDIRECT("'0.1.1 Pokémon GO Moves'!$B$"&amp;MATCH($E703,'0.1.1 Pokémon GO Moves'!$A$1:$A951,0)&amp;":$R$"&amp;MATCH($E703,'0.1.1 Pokémon GO Moves'!$A$1:$A951,0)),'Reverse Search'!$J$21),COUNTIF(INDIRECT("'0.1.1 Pokémon GO Moves'!$B$"&amp;MATCH($E703,'0.1.1 Pokémon GO Moves'!$A$1:$A951,0)&amp;":$L$"&amp;MATCH($E703,'0.1.1 Pokémon GO Moves'!$A$1:$A951,0)),'Reverse Search'!$J$21)))))</f>
        <v>0</v>
      </c>
      <c r="AB703" s="490"/>
      <c r="AC703" s="260" t="n">
        <f aca="false">IF((Q703+R703+S703+V703+W703+X703+Y703+IF(Z703&gt;=1,1,0)+IF(AA703&gt;=1,1,0))=9,G703&amp;", ",)</f>
        <v>0</v>
      </c>
    </row>
    <row r="704" customFormat="false" ht="15.75" hidden="false" customHeight="false" outlineLevel="0" collapsed="false">
      <c r="A704" s="260"/>
      <c r="B704" s="358"/>
      <c r="C704" s="260"/>
      <c r="D704" s="358"/>
      <c r="E704" s="260" t="n">
        <v>703</v>
      </c>
      <c r="F704" s="260" t="n">
        <f aca="false" t="array" ref="F704:F704">INDEX('0.0.1 Pokémon Dex Data'!$H$3:$H951,MATCH(E704,'0.0.1 Pokémon Dex Data'!$B$3:$B951,0))</f>
        <v>0</v>
      </c>
      <c r="G704" s="0" t="str">
        <f aca="false" t="array" ref="G704:G704">INDEX('0.0.1 Pokémon Dex Data'!$E$3:$E951,MATCH(E704,'0.0.1 Pokémon Dex Data'!$B$3:$B951,0))</f>
        <v>Eelektrik</v>
      </c>
      <c r="H704" s="0" t="str">
        <f aca="false" t="array" ref="H704:H704">INDEX('0.0.1 Pokémon Dex Data'!$Q$3:$Q951,MATCH(E704,'0.0.1 Pokémon Dex Data'!$B$3:$B951,0))</f>
        <v>Electric</v>
      </c>
      <c r="I704" s="0" t="n">
        <f aca="false">INDEX('0.0.1 Pokémon Dex Data'!$R$3:$R951,MATCH(E704,'0.0.1 Pokémon Dex Data'!$B$3:$B951,0))</f>
        <v>0</v>
      </c>
      <c r="J704" s="260" t="n">
        <f aca="false" t="array" ref="J704:J704">ROUND(INDEX('0.0.1 Pokémon Dex Data'!$S$3:$S951,MATCH($E704,'0.0.1 Pokémon Dex Data'!$B$3:$B951,0))*INDEX('0.0.1 Pokémon Dex Data'!T$3:T951,MATCH($E704,'0.0.1 Pokémon Dex Data'!$B$3:$B951,0)),0)</f>
        <v>156</v>
      </c>
      <c r="K704" s="260" t="n">
        <f aca="false" t="array" ref="K704:K704">ROUND(INDEX('0.0.1 Pokémon Dex Data'!$S$3:$S951,MATCH($E704,'0.0.1 Pokémon Dex Data'!$B$3:$B951,0))*INDEX('0.0.1 Pokémon Dex Data'!U$3:U951,MATCH($E704,'0.0.1 Pokémon Dex Data'!$B$3:$B951,0)),0)</f>
        <v>130</v>
      </c>
      <c r="L704" s="260" t="n">
        <f aca="false" t="array" ref="L704:L704">ROUND(INDEX('0.0.1 Pokémon Dex Data'!$S$3:$S951,MATCH($E704,'0.0.1 Pokémon Dex Data'!$B$3:$B951,0))*INDEX('0.0.1 Pokémon Dex Data'!V$3:V951,MATCH($E704,'0.0.1 Pokémon Dex Data'!$B$3:$B951,0)),0)</f>
        <v>163</v>
      </c>
      <c r="M704" s="260" t="n">
        <f aca="false" t="array" ref="M704:M704">INDEX('0.0.1 Pokémon Dex Data'!$J$3:$J951,MATCH(E704,'0.0.1 Pokémon Dex Data'!$B$3:$B951,0))</f>
        <v>0</v>
      </c>
      <c r="O704" s="490"/>
      <c r="Q704" s="367" t="n">
        <f aca="false">IF('Reverse Search'!$F$4="All (including temporary formes)",1,IF('Reverse Search'!$F$4="Base Pokémon and permanent formes only",IF(F704&lt;=1,1,0),IF(F704=0,1,0)))</f>
        <v>1</v>
      </c>
      <c r="R704" s="0" t="n">
        <f aca="false">IF('Reverse Search'!$C$7="Disable",1,IF('Reverse Search'!$D$9="Disable",1,IF(OR('Reverse Search'!$F$9=H704,'Reverse Search'!$F$9=I704),1,0)))</f>
        <v>1</v>
      </c>
      <c r="S704" s="0" t="n">
        <f aca="false">IF('Reverse Search'!$C$7="Disable",1,IF('Reverse Search'!$D$10="Disable",1,IF(OR('Reverse Search'!$F$10=H704,'Reverse Search'!$F$10=I704),1,0)))</f>
        <v>1</v>
      </c>
      <c r="T704" s="0" t="n">
        <f aca="false">INDEX($B$4:$B$22,MATCH(H704,$A$4:$A$22,0))</f>
        <v>1</v>
      </c>
      <c r="U704" s="0" t="e">
        <f aca="false">IF(ISBLANK(I704),1,INDEX($B$4:$B$22,MATCH(I704,$A$4:$A$22,0)))</f>
        <v>#N/A</v>
      </c>
      <c r="V704" s="367" t="n">
        <f aca="false">IF('Reverse Search'!$C$7="Disable",1,IF('Reverse Search'!$D$11="Disable",1,IF('Reverse Search'!$E$11="Neutral to:",IF(ROUND(T704*U704,2)&lt;=1,1,0),IF(ROUND(T704*U704,2)&lt;1,1,0))))</f>
        <v>1</v>
      </c>
      <c r="W704" s="0" t="n">
        <f aca="false">IF('Reverse Search'!$N$7="Disable",1,IF('Reverse Search'!$I$9="Disable",1,IF('Reverse Search'!$K$9="≥",IF(J704&gt;='Reverse Search'!$L$9,1,0),IF('Reverse Search'!$K$9="≤",IF(J704&lt;='Reverse Search'!$L$9,1,0),IF(J704='Reverse Search'!$L$9,1,0)))))</f>
        <v>1</v>
      </c>
      <c r="X704" s="0" t="n">
        <f aca="false">IF('Reverse Search'!$N$7="Disable",1,IF('Reverse Search'!$I$10="Disable",1,IF('Reverse Search'!$K$10="≥",IF(K704&gt;='Reverse Search'!$L$10,1,0),IF('Reverse Search'!$K$10="≤",IF(K704&lt;='Reverse Search'!$L$10,1,0),IF(K704='Reverse Search'!$L$10,1,0)))))</f>
        <v>1</v>
      </c>
      <c r="Y704" s="367" t="n">
        <f aca="false">IF('Reverse Search'!$N$7="Disable",1,IF('Reverse Search'!$I$11="Disable",1,IF('Reverse Search'!$K$11="≥",IF(L704&gt;='Reverse Search'!$L$11,1,0),IF('Reverse Search'!$K$11="≤",IF(L704&lt;='Reverse Search'!$L$11,1,0),IF(L704='Reverse Search'!$L$11,1,0)))))</f>
        <v>1</v>
      </c>
      <c r="Z704" s="0" t="n">
        <f aca="true">IF('Reverse Search'!$C$14="Disable",1,IF('Reverse Search'!$D$16="Disable",1,IF($C$2=3,IF($M704=0,0,COUNTIF(INDIRECT("'0.0.2 Pokémon Learnset (Core)'!$D$"&amp;MATCH($E704,'0.0.2 Pokémon Learnset (Core)'!$A$1:$A951,0)&amp;":$FK$"&amp;MATCH($E704,'0.0.2 Pokémon Learnset (Core)'!$A$1:$A951,0)),'Reverse Search'!$E$21)),IF($C$2=2,COUNTIF(INDIRECT("'0.1.1 Pokémon GO Moves'!$B$"&amp;MATCH($E704,'0.1.1 Pokémon GO Moves'!$A$1:$A951,0)&amp;":$R$"&amp;MATCH($E704,'0.1.1 Pokémon GO Moves'!$A$1:$A951,0)),'Reverse Search'!$E$21),COUNTIF(INDIRECT("'0.1.1 Pokémon GO Moves'!$B$"&amp;MATCH($E704,'0.1.1 Pokémon GO Moves'!$A$1:$A951,0)&amp;":$L$"&amp;MATCH($E704,'0.1.1 Pokémon GO Moves'!$A$1:$A951,0)),'Reverse Search'!$E$21)))))</f>
        <v>1</v>
      </c>
      <c r="AA704" s="0" t="n">
        <f aca="true">IF('Reverse Search'!$C$14="Disable",1,IF('Reverse Search'!$I$16="Disable",1,IF($D$2=3,IF($M704=0,0,COUNTIF(INDIRECT("'0.0.2 Pokémon Learnset (Core)'!$D$"&amp;MATCH($E704,'0.0.2 Pokémon Learnset (Core)'!$A$1:$A951,0)&amp;":$FK$"&amp;MATCH($E704,'0.0.2 Pokémon Learnset (Core)'!$A$1:$A951,0)),'Reverse Search'!$J$21)),IF($D$2=2,COUNTIF(INDIRECT("'0.1.1 Pokémon GO Moves'!$B$"&amp;MATCH($E704,'0.1.1 Pokémon GO Moves'!$A$1:$A951,0)&amp;":$R$"&amp;MATCH($E704,'0.1.1 Pokémon GO Moves'!$A$1:$A951,0)),'Reverse Search'!$J$21),COUNTIF(INDIRECT("'0.1.1 Pokémon GO Moves'!$B$"&amp;MATCH($E704,'0.1.1 Pokémon GO Moves'!$A$1:$A951,0)&amp;":$L$"&amp;MATCH($E704,'0.1.1 Pokémon GO Moves'!$A$1:$A951,0)),'Reverse Search'!$J$21)))))</f>
        <v>0</v>
      </c>
      <c r="AB704" s="490"/>
      <c r="AC704" s="260" t="n">
        <f aca="false">IF((Q704+R704+S704+V704+W704+X704+Y704+IF(Z704&gt;=1,1,0)+IF(AA704&gt;=1,1,0))=9,G704&amp;", ",)</f>
        <v>0</v>
      </c>
    </row>
    <row r="705" customFormat="false" ht="15.75" hidden="false" customHeight="false" outlineLevel="0" collapsed="false">
      <c r="A705" s="260"/>
      <c r="B705" s="358"/>
      <c r="C705" s="260"/>
      <c r="D705" s="358"/>
      <c r="E705" s="260" t="n">
        <v>704</v>
      </c>
      <c r="F705" s="260" t="n">
        <f aca="false" t="array" ref="F705:F705">INDEX('0.0.1 Pokémon Dex Data'!$H$3:$H951,MATCH(E705,'0.0.1 Pokémon Dex Data'!$B$3:$B951,0))</f>
        <v>0</v>
      </c>
      <c r="G705" s="0" t="str">
        <f aca="false" t="array" ref="G705:G705">INDEX('0.0.1 Pokémon Dex Data'!$E$3:$E951,MATCH(E705,'0.0.1 Pokémon Dex Data'!$B$3:$B951,0))</f>
        <v>Eelektross</v>
      </c>
      <c r="H705" s="0" t="str">
        <f aca="false" t="array" ref="H705:H705">INDEX('0.0.1 Pokémon Dex Data'!$Q$3:$Q951,MATCH(E705,'0.0.1 Pokémon Dex Data'!$B$3:$B951,0))</f>
        <v>Electric</v>
      </c>
      <c r="I705" s="0" t="n">
        <f aca="false">INDEX('0.0.1 Pokémon Dex Data'!$R$3:$R951,MATCH(E705,'0.0.1 Pokémon Dex Data'!$B$3:$B951,0))</f>
        <v>0</v>
      </c>
      <c r="J705" s="260" t="n">
        <f aca="false" t="array" ref="J705:J705">ROUND(INDEX('0.0.1 Pokémon Dex Data'!$S$3:$S951,MATCH($E705,'0.0.1 Pokémon Dex Data'!$B$3:$B951,0))*INDEX('0.0.1 Pokémon Dex Data'!T$3:T951,MATCH($E705,'0.0.1 Pokémon Dex Data'!$B$3:$B951,0)),0)</f>
        <v>217</v>
      </c>
      <c r="K705" s="260" t="n">
        <f aca="false" t="array" ref="K705:K705">ROUND(INDEX('0.0.1 Pokémon Dex Data'!$S$3:$S951,MATCH($E705,'0.0.1 Pokémon Dex Data'!$B$3:$B951,0))*INDEX('0.0.1 Pokémon Dex Data'!U$3:U951,MATCH($E705,'0.0.1 Pokémon Dex Data'!$B$3:$B951,0)),0)</f>
        <v>152</v>
      </c>
      <c r="L705" s="260" t="n">
        <f aca="false" t="array" ref="L705:L705">ROUND(INDEX('0.0.1 Pokémon Dex Data'!$S$3:$S951,MATCH($E705,'0.0.1 Pokémon Dex Data'!$B$3:$B951,0))*INDEX('0.0.1 Pokémon Dex Data'!V$3:V951,MATCH($E705,'0.0.1 Pokémon Dex Data'!$B$3:$B951,0)),0)</f>
        <v>198</v>
      </c>
      <c r="M705" s="260" t="n">
        <f aca="false" t="array" ref="M705:M705">INDEX('0.0.1 Pokémon Dex Data'!$J$3:$J951,MATCH(E705,'0.0.1 Pokémon Dex Data'!$B$3:$B951,0))</f>
        <v>1</v>
      </c>
      <c r="O705" s="490"/>
      <c r="Q705" s="367" t="n">
        <f aca="false">IF('Reverse Search'!$F$4="All (including temporary formes)",1,IF('Reverse Search'!$F$4="Base Pokémon and permanent formes only",IF(F705&lt;=1,1,0),IF(F705=0,1,0)))</f>
        <v>1</v>
      </c>
      <c r="R705" s="0" t="n">
        <f aca="false">IF('Reverse Search'!$C$7="Disable",1,IF('Reverse Search'!$D$9="Disable",1,IF(OR('Reverse Search'!$F$9=H705,'Reverse Search'!$F$9=I705),1,0)))</f>
        <v>1</v>
      </c>
      <c r="S705" s="0" t="n">
        <f aca="false">IF('Reverse Search'!$C$7="Disable",1,IF('Reverse Search'!$D$10="Disable",1,IF(OR('Reverse Search'!$F$10=H705,'Reverse Search'!$F$10=I705),1,0)))</f>
        <v>1</v>
      </c>
      <c r="T705" s="0" t="n">
        <f aca="false">INDEX($B$4:$B$22,MATCH(H705,$A$4:$A$22,0))</f>
        <v>1</v>
      </c>
      <c r="U705" s="0" t="e">
        <f aca="false">IF(ISBLANK(I705),1,INDEX($B$4:$B$22,MATCH(I705,$A$4:$A$22,0)))</f>
        <v>#N/A</v>
      </c>
      <c r="V705" s="367" t="n">
        <f aca="false">IF('Reverse Search'!$C$7="Disable",1,IF('Reverse Search'!$D$11="Disable",1,IF('Reverse Search'!$E$11="Neutral to:",IF(ROUND(T705*U705,2)&lt;=1,1,0),IF(ROUND(T705*U705,2)&lt;1,1,0))))</f>
        <v>1</v>
      </c>
      <c r="W705" s="0" t="n">
        <f aca="false">IF('Reverse Search'!$N$7="Disable",1,IF('Reverse Search'!$I$9="Disable",1,IF('Reverse Search'!$K$9="≥",IF(J705&gt;='Reverse Search'!$L$9,1,0),IF('Reverse Search'!$K$9="≤",IF(J705&lt;='Reverse Search'!$L$9,1,0),IF(J705='Reverse Search'!$L$9,1,0)))))</f>
        <v>1</v>
      </c>
      <c r="X705" s="0" t="n">
        <f aca="false">IF('Reverse Search'!$N$7="Disable",1,IF('Reverse Search'!$I$10="Disable",1,IF('Reverse Search'!$K$10="≥",IF(K705&gt;='Reverse Search'!$L$10,1,0),IF('Reverse Search'!$K$10="≤",IF(K705&lt;='Reverse Search'!$L$10,1,0),IF(K705='Reverse Search'!$L$10,1,0)))))</f>
        <v>1</v>
      </c>
      <c r="Y705" s="367" t="n">
        <f aca="false">IF('Reverse Search'!$N$7="Disable",1,IF('Reverse Search'!$I$11="Disable",1,IF('Reverse Search'!$K$11="≥",IF(L705&gt;='Reverse Search'!$L$11,1,0),IF('Reverse Search'!$K$11="≤",IF(L705&lt;='Reverse Search'!$L$11,1,0),IF(L705='Reverse Search'!$L$11,1,0)))))</f>
        <v>1</v>
      </c>
      <c r="Z705" s="0" t="n">
        <f aca="true">IF('Reverse Search'!$C$14="Disable",1,IF('Reverse Search'!$D$16="Disable",1,IF($C$2=3,IF($M705=0,0,COUNTIF(INDIRECT("'0.0.2 Pokémon Learnset (Core)'!$D$"&amp;MATCH($E705,'0.0.2 Pokémon Learnset (Core)'!$A$1:$A951,0)&amp;":$FK$"&amp;MATCH($E705,'0.0.2 Pokémon Learnset (Core)'!$A$1:$A951,0)),'Reverse Search'!$E$21)),IF($C$2=2,COUNTIF(INDIRECT("'0.1.1 Pokémon GO Moves'!$B$"&amp;MATCH($E705,'0.1.1 Pokémon GO Moves'!$A$1:$A951,0)&amp;":$R$"&amp;MATCH($E705,'0.1.1 Pokémon GO Moves'!$A$1:$A951,0)),'Reverse Search'!$E$21),COUNTIF(INDIRECT("'0.1.1 Pokémon GO Moves'!$B$"&amp;MATCH($E705,'0.1.1 Pokémon GO Moves'!$A$1:$A951,0)&amp;":$L$"&amp;MATCH($E705,'0.1.1 Pokémon GO Moves'!$A$1:$A951,0)),'Reverse Search'!$E$21)))))</f>
        <v>1</v>
      </c>
      <c r="AA705" s="0" t="n">
        <f aca="true">IF('Reverse Search'!$C$14="Disable",1,IF('Reverse Search'!$I$16="Disable",1,IF($D$2=3,IF($M705=0,0,COUNTIF(INDIRECT("'0.0.2 Pokémon Learnset (Core)'!$D$"&amp;MATCH($E705,'0.0.2 Pokémon Learnset (Core)'!$A$1:$A951,0)&amp;":$FK$"&amp;MATCH($E705,'0.0.2 Pokémon Learnset (Core)'!$A$1:$A951,0)),'Reverse Search'!$J$21)),IF($D$2=2,COUNTIF(INDIRECT("'0.1.1 Pokémon GO Moves'!$B$"&amp;MATCH($E705,'0.1.1 Pokémon GO Moves'!$A$1:$A951,0)&amp;":$R$"&amp;MATCH($E705,'0.1.1 Pokémon GO Moves'!$A$1:$A951,0)),'Reverse Search'!$J$21),COUNTIF(INDIRECT("'0.1.1 Pokémon GO Moves'!$B$"&amp;MATCH($E705,'0.1.1 Pokémon GO Moves'!$A$1:$A951,0)&amp;":$L$"&amp;MATCH($E705,'0.1.1 Pokémon GO Moves'!$A$1:$A951,0)),'Reverse Search'!$J$21)))))</f>
        <v>0</v>
      </c>
      <c r="AB705" s="490"/>
      <c r="AC705" s="260" t="n">
        <f aca="false">IF((Q705+R705+S705+V705+W705+X705+Y705+IF(Z705&gt;=1,1,0)+IF(AA705&gt;=1,1,0))=9,G705&amp;", ",)</f>
        <v>0</v>
      </c>
    </row>
    <row r="706" customFormat="false" ht="15.75" hidden="false" customHeight="false" outlineLevel="0" collapsed="false">
      <c r="A706" s="260"/>
      <c r="B706" s="358"/>
      <c r="C706" s="260"/>
      <c r="D706" s="358"/>
      <c r="E706" s="260" t="n">
        <v>705</v>
      </c>
      <c r="F706" s="260" t="n">
        <f aca="false" t="array" ref="F706:F706">INDEX('0.0.1 Pokémon Dex Data'!$H$3:$H951,MATCH(E706,'0.0.1 Pokémon Dex Data'!$B$3:$B951,0))</f>
        <v>0</v>
      </c>
      <c r="G706" s="0" t="str">
        <f aca="false" t="array" ref="G706:G706">INDEX('0.0.1 Pokémon Dex Data'!$E$3:$E951,MATCH(E706,'0.0.1 Pokémon Dex Data'!$B$3:$B951,0))</f>
        <v>Elgyem</v>
      </c>
      <c r="H706" s="0" t="str">
        <f aca="false" t="array" ref="H706:H706">INDEX('0.0.1 Pokémon Dex Data'!$Q$3:$Q951,MATCH(E706,'0.0.1 Pokémon Dex Data'!$B$3:$B951,0))</f>
        <v>Psychic</v>
      </c>
      <c r="I706" s="0" t="n">
        <f aca="false">INDEX('0.0.1 Pokémon Dex Data'!$R$3:$R951,MATCH(E706,'0.0.1 Pokémon Dex Data'!$B$3:$B951,0))</f>
        <v>0</v>
      </c>
      <c r="J706" s="260" t="n">
        <f aca="false" t="array" ref="J706:J706">ROUND(INDEX('0.0.1 Pokémon Dex Data'!$S$3:$S951,MATCH($E706,'0.0.1 Pokémon Dex Data'!$B$3:$B951,0))*INDEX('0.0.1 Pokémon Dex Data'!T$3:T951,MATCH($E706,'0.0.1 Pokémon Dex Data'!$B$3:$B951,0)),0)</f>
        <v>148</v>
      </c>
      <c r="K706" s="260" t="n">
        <f aca="false" t="array" ref="K706:K706">ROUND(INDEX('0.0.1 Pokémon Dex Data'!$S$3:$S951,MATCH($E706,'0.0.1 Pokémon Dex Data'!$B$3:$B951,0))*INDEX('0.0.1 Pokémon Dex Data'!U$3:U951,MATCH($E706,'0.0.1 Pokémon Dex Data'!$B$3:$B951,0)),0)</f>
        <v>100</v>
      </c>
      <c r="L706" s="260" t="n">
        <f aca="false" t="array" ref="L706:L706">ROUND(INDEX('0.0.1 Pokémon Dex Data'!$S$3:$S951,MATCH($E706,'0.0.1 Pokémon Dex Data'!$B$3:$B951,0))*INDEX('0.0.1 Pokémon Dex Data'!V$3:V951,MATCH($E706,'0.0.1 Pokémon Dex Data'!$B$3:$B951,0)),0)</f>
        <v>146</v>
      </c>
      <c r="M706" s="260" t="n">
        <f aca="false" t="array" ref="M706:M706">INDEX('0.0.1 Pokémon Dex Data'!$J$3:$J951,MATCH(E706,'0.0.1 Pokémon Dex Data'!$B$3:$B951,0))</f>
        <v>0</v>
      </c>
      <c r="O706" s="490"/>
      <c r="Q706" s="367" t="n">
        <f aca="false">IF('Reverse Search'!$F$4="All (including temporary formes)",1,IF('Reverse Search'!$F$4="Base Pokémon and permanent formes only",IF(F706&lt;=1,1,0),IF(F706=0,1,0)))</f>
        <v>1</v>
      </c>
      <c r="R706" s="0" t="n">
        <f aca="false">IF('Reverse Search'!$C$7="Disable",1,IF('Reverse Search'!$D$9="Disable",1,IF(OR('Reverse Search'!$F$9=H706,'Reverse Search'!$F$9=I706),1,0)))</f>
        <v>1</v>
      </c>
      <c r="S706" s="0" t="n">
        <f aca="false">IF('Reverse Search'!$C$7="Disable",1,IF('Reverse Search'!$D$10="Disable",1,IF(OR('Reverse Search'!$F$10=H706,'Reverse Search'!$F$10=I706),1,0)))</f>
        <v>1</v>
      </c>
      <c r="T706" s="0" t="n">
        <f aca="false">INDEX($B$4:$B$22,MATCH(H706,$A$4:$A$22,0))</f>
        <v>1</v>
      </c>
      <c r="U706" s="0" t="e">
        <f aca="false">IF(ISBLANK(I706),1,INDEX($B$4:$B$22,MATCH(I706,$A$4:$A$22,0)))</f>
        <v>#N/A</v>
      </c>
      <c r="V706" s="367" t="n">
        <f aca="false">IF('Reverse Search'!$C$7="Disable",1,IF('Reverse Search'!$D$11="Disable",1,IF('Reverse Search'!$E$11="Neutral to:",IF(ROUND(T706*U706,2)&lt;=1,1,0),IF(ROUND(T706*U706,2)&lt;1,1,0))))</f>
        <v>1</v>
      </c>
      <c r="W706" s="0" t="n">
        <f aca="false">IF('Reverse Search'!$N$7="Disable",1,IF('Reverse Search'!$I$9="Disable",1,IF('Reverse Search'!$K$9="≥",IF(J706&gt;='Reverse Search'!$L$9,1,0),IF('Reverse Search'!$K$9="≤",IF(J706&lt;='Reverse Search'!$L$9,1,0),IF(J706='Reverse Search'!$L$9,1,0)))))</f>
        <v>1</v>
      </c>
      <c r="X706" s="0" t="n">
        <f aca="false">IF('Reverse Search'!$N$7="Disable",1,IF('Reverse Search'!$I$10="Disable",1,IF('Reverse Search'!$K$10="≥",IF(K706&gt;='Reverse Search'!$L$10,1,0),IF('Reverse Search'!$K$10="≤",IF(K706&lt;='Reverse Search'!$L$10,1,0),IF(K706='Reverse Search'!$L$10,1,0)))))</f>
        <v>1</v>
      </c>
      <c r="Y706" s="367" t="n">
        <f aca="false">IF('Reverse Search'!$N$7="Disable",1,IF('Reverse Search'!$I$11="Disable",1,IF('Reverse Search'!$K$11="≥",IF(L706&gt;='Reverse Search'!$L$11,1,0),IF('Reverse Search'!$K$11="≤",IF(L706&lt;='Reverse Search'!$L$11,1,0),IF(L706='Reverse Search'!$L$11,1,0)))))</f>
        <v>1</v>
      </c>
      <c r="Z706" s="0" t="n">
        <f aca="true">IF('Reverse Search'!$C$14="Disable",1,IF('Reverse Search'!$D$16="Disable",1,IF($C$2=3,IF($M706=0,0,COUNTIF(INDIRECT("'0.0.2 Pokémon Learnset (Core)'!$D$"&amp;MATCH($E706,'0.0.2 Pokémon Learnset (Core)'!$A$1:$A951,0)&amp;":$FK$"&amp;MATCH($E706,'0.0.2 Pokémon Learnset (Core)'!$A$1:$A951,0)),'Reverse Search'!$E$21)),IF($C$2=2,COUNTIF(INDIRECT("'0.1.1 Pokémon GO Moves'!$B$"&amp;MATCH($E706,'0.1.1 Pokémon GO Moves'!$A$1:$A951,0)&amp;":$R$"&amp;MATCH($E706,'0.1.1 Pokémon GO Moves'!$A$1:$A951,0)),'Reverse Search'!$E$21),COUNTIF(INDIRECT("'0.1.1 Pokémon GO Moves'!$B$"&amp;MATCH($E706,'0.1.1 Pokémon GO Moves'!$A$1:$A951,0)&amp;":$L$"&amp;MATCH($E706,'0.1.1 Pokémon GO Moves'!$A$1:$A951,0)),'Reverse Search'!$E$21)))))</f>
        <v>1</v>
      </c>
      <c r="AA706" s="0" t="n">
        <f aca="true">IF('Reverse Search'!$C$14="Disable",1,IF('Reverse Search'!$I$16="Disable",1,IF($D$2=3,IF($M706=0,0,COUNTIF(INDIRECT("'0.0.2 Pokémon Learnset (Core)'!$D$"&amp;MATCH($E706,'0.0.2 Pokémon Learnset (Core)'!$A$1:$A951,0)&amp;":$FK$"&amp;MATCH($E706,'0.0.2 Pokémon Learnset (Core)'!$A$1:$A951,0)),'Reverse Search'!$J$21)),IF($D$2=2,COUNTIF(INDIRECT("'0.1.1 Pokémon GO Moves'!$B$"&amp;MATCH($E706,'0.1.1 Pokémon GO Moves'!$A$1:$A951,0)&amp;":$R$"&amp;MATCH($E706,'0.1.1 Pokémon GO Moves'!$A$1:$A951,0)),'Reverse Search'!$J$21),COUNTIF(INDIRECT("'0.1.1 Pokémon GO Moves'!$B$"&amp;MATCH($E706,'0.1.1 Pokémon GO Moves'!$A$1:$A951,0)&amp;":$L$"&amp;MATCH($E706,'0.1.1 Pokémon GO Moves'!$A$1:$A951,0)),'Reverse Search'!$J$21)))))</f>
        <v>0</v>
      </c>
      <c r="AB706" s="490"/>
      <c r="AC706" s="260" t="n">
        <f aca="false">IF((Q706+R706+S706+V706+W706+X706+Y706+IF(Z706&gt;=1,1,0)+IF(AA706&gt;=1,1,0))=9,G706&amp;", ",)</f>
        <v>0</v>
      </c>
    </row>
    <row r="707" customFormat="false" ht="15.75" hidden="false" customHeight="false" outlineLevel="0" collapsed="false">
      <c r="A707" s="260"/>
      <c r="B707" s="358"/>
      <c r="C707" s="260"/>
      <c r="D707" s="358"/>
      <c r="E707" s="260" t="n">
        <v>706</v>
      </c>
      <c r="F707" s="260" t="n">
        <f aca="false" t="array" ref="F707:F707">INDEX('0.0.1 Pokémon Dex Data'!$H$3:$H951,MATCH(E707,'0.0.1 Pokémon Dex Data'!$B$3:$B951,0))</f>
        <v>0</v>
      </c>
      <c r="G707" s="0" t="str">
        <f aca="false" t="array" ref="G707:G707">INDEX('0.0.1 Pokémon Dex Data'!$E$3:$E951,MATCH(E707,'0.0.1 Pokémon Dex Data'!$B$3:$B951,0))</f>
        <v>Beheeyem</v>
      </c>
      <c r="H707" s="0" t="str">
        <f aca="false" t="array" ref="H707:H707">INDEX('0.0.1 Pokémon Dex Data'!$Q$3:$Q951,MATCH(E707,'0.0.1 Pokémon Dex Data'!$B$3:$B951,0))</f>
        <v>Psychic</v>
      </c>
      <c r="I707" s="0" t="n">
        <f aca="false">INDEX('0.0.1 Pokémon Dex Data'!$R$3:$R951,MATCH(E707,'0.0.1 Pokémon Dex Data'!$B$3:$B951,0))</f>
        <v>0</v>
      </c>
      <c r="J707" s="260" t="n">
        <f aca="false" t="array" ref="J707:J707">ROUND(INDEX('0.0.1 Pokémon Dex Data'!$S$3:$S951,MATCH($E707,'0.0.1 Pokémon Dex Data'!$B$3:$B951,0))*INDEX('0.0.1 Pokémon Dex Data'!T$3:T951,MATCH($E707,'0.0.1 Pokémon Dex Data'!$B$3:$B951,0)),0)</f>
        <v>221</v>
      </c>
      <c r="K707" s="260" t="n">
        <f aca="false" t="array" ref="K707:K707">ROUND(INDEX('0.0.1 Pokémon Dex Data'!$S$3:$S951,MATCH($E707,'0.0.1 Pokémon Dex Data'!$B$3:$B951,0))*INDEX('0.0.1 Pokémon Dex Data'!U$3:U951,MATCH($E707,'0.0.1 Pokémon Dex Data'!$B$3:$B951,0)),0)</f>
        <v>163</v>
      </c>
      <c r="L707" s="260" t="n">
        <f aca="false" t="array" ref="L707:L707">ROUND(INDEX('0.0.1 Pokémon Dex Data'!$S$3:$S951,MATCH($E707,'0.0.1 Pokémon Dex Data'!$B$3:$B951,0))*INDEX('0.0.1 Pokémon Dex Data'!V$3:V951,MATCH($E707,'0.0.1 Pokémon Dex Data'!$B$3:$B951,0)),0)</f>
        <v>181</v>
      </c>
      <c r="M707" s="260" t="n">
        <f aca="false" t="array" ref="M707:M707">INDEX('0.0.1 Pokémon Dex Data'!$J$3:$J951,MATCH(E707,'0.0.1 Pokémon Dex Data'!$B$3:$B951,0))</f>
        <v>1</v>
      </c>
      <c r="O707" s="490"/>
      <c r="Q707" s="367" t="n">
        <f aca="false">IF('Reverse Search'!$F$4="All (including temporary formes)",1,IF('Reverse Search'!$F$4="Base Pokémon and permanent formes only",IF(F707&lt;=1,1,0),IF(F707=0,1,0)))</f>
        <v>1</v>
      </c>
      <c r="R707" s="0" t="n">
        <f aca="false">IF('Reverse Search'!$C$7="Disable",1,IF('Reverse Search'!$D$9="Disable",1,IF(OR('Reverse Search'!$F$9=H707,'Reverse Search'!$F$9=I707),1,0)))</f>
        <v>1</v>
      </c>
      <c r="S707" s="0" t="n">
        <f aca="false">IF('Reverse Search'!$C$7="Disable",1,IF('Reverse Search'!$D$10="Disable",1,IF(OR('Reverse Search'!$F$10=H707,'Reverse Search'!$F$10=I707),1,0)))</f>
        <v>1</v>
      </c>
      <c r="T707" s="0" t="n">
        <f aca="false">INDEX($B$4:$B$22,MATCH(H707,$A$4:$A$22,0))</f>
        <v>1</v>
      </c>
      <c r="U707" s="0" t="e">
        <f aca="false">IF(ISBLANK(I707),1,INDEX($B$4:$B$22,MATCH(I707,$A$4:$A$22,0)))</f>
        <v>#N/A</v>
      </c>
      <c r="V707" s="367" t="n">
        <f aca="false">IF('Reverse Search'!$C$7="Disable",1,IF('Reverse Search'!$D$11="Disable",1,IF('Reverse Search'!$E$11="Neutral to:",IF(ROUND(T707*U707,2)&lt;=1,1,0),IF(ROUND(T707*U707,2)&lt;1,1,0))))</f>
        <v>1</v>
      </c>
      <c r="W707" s="0" t="n">
        <f aca="false">IF('Reverse Search'!$N$7="Disable",1,IF('Reverse Search'!$I$9="Disable",1,IF('Reverse Search'!$K$9="≥",IF(J707&gt;='Reverse Search'!$L$9,1,0),IF('Reverse Search'!$K$9="≤",IF(J707&lt;='Reverse Search'!$L$9,1,0),IF(J707='Reverse Search'!$L$9,1,0)))))</f>
        <v>1</v>
      </c>
      <c r="X707" s="0" t="n">
        <f aca="false">IF('Reverse Search'!$N$7="Disable",1,IF('Reverse Search'!$I$10="Disable",1,IF('Reverse Search'!$K$10="≥",IF(K707&gt;='Reverse Search'!$L$10,1,0),IF('Reverse Search'!$K$10="≤",IF(K707&lt;='Reverse Search'!$L$10,1,0),IF(K707='Reverse Search'!$L$10,1,0)))))</f>
        <v>1</v>
      </c>
      <c r="Y707" s="367" t="n">
        <f aca="false">IF('Reverse Search'!$N$7="Disable",1,IF('Reverse Search'!$I$11="Disable",1,IF('Reverse Search'!$K$11="≥",IF(L707&gt;='Reverse Search'!$L$11,1,0),IF('Reverse Search'!$K$11="≤",IF(L707&lt;='Reverse Search'!$L$11,1,0),IF(L707='Reverse Search'!$L$11,1,0)))))</f>
        <v>1</v>
      </c>
      <c r="Z707" s="0" t="n">
        <f aca="true">IF('Reverse Search'!$C$14="Disable",1,IF('Reverse Search'!$D$16="Disable",1,IF($C$2=3,IF($M707=0,0,COUNTIF(INDIRECT("'0.0.2 Pokémon Learnset (Core)'!$D$"&amp;MATCH($E707,'0.0.2 Pokémon Learnset (Core)'!$A$1:$A951,0)&amp;":$FK$"&amp;MATCH($E707,'0.0.2 Pokémon Learnset (Core)'!$A$1:$A951,0)),'Reverse Search'!$E$21)),IF($C$2=2,COUNTIF(INDIRECT("'0.1.1 Pokémon GO Moves'!$B$"&amp;MATCH($E707,'0.1.1 Pokémon GO Moves'!$A$1:$A951,0)&amp;":$R$"&amp;MATCH($E707,'0.1.1 Pokémon GO Moves'!$A$1:$A951,0)),'Reverse Search'!$E$21),COUNTIF(INDIRECT("'0.1.1 Pokémon GO Moves'!$B$"&amp;MATCH($E707,'0.1.1 Pokémon GO Moves'!$A$1:$A951,0)&amp;":$L$"&amp;MATCH($E707,'0.1.1 Pokémon GO Moves'!$A$1:$A951,0)),'Reverse Search'!$E$21)))))</f>
        <v>1</v>
      </c>
      <c r="AA707" s="0" t="n">
        <f aca="true">IF('Reverse Search'!$C$14="Disable",1,IF('Reverse Search'!$I$16="Disable",1,IF($D$2=3,IF($M707=0,0,COUNTIF(INDIRECT("'0.0.2 Pokémon Learnset (Core)'!$D$"&amp;MATCH($E707,'0.0.2 Pokémon Learnset (Core)'!$A$1:$A951,0)&amp;":$FK$"&amp;MATCH($E707,'0.0.2 Pokémon Learnset (Core)'!$A$1:$A951,0)),'Reverse Search'!$J$21)),IF($D$2=2,COUNTIF(INDIRECT("'0.1.1 Pokémon GO Moves'!$B$"&amp;MATCH($E707,'0.1.1 Pokémon GO Moves'!$A$1:$A951,0)&amp;":$R$"&amp;MATCH($E707,'0.1.1 Pokémon GO Moves'!$A$1:$A951,0)),'Reverse Search'!$J$21),COUNTIF(INDIRECT("'0.1.1 Pokémon GO Moves'!$B$"&amp;MATCH($E707,'0.1.1 Pokémon GO Moves'!$A$1:$A951,0)&amp;":$L$"&amp;MATCH($E707,'0.1.1 Pokémon GO Moves'!$A$1:$A951,0)),'Reverse Search'!$J$21)))))</f>
        <v>0</v>
      </c>
      <c r="AB707" s="490"/>
      <c r="AC707" s="260" t="n">
        <f aca="false">IF((Q707+R707+S707+V707+W707+X707+Y707+IF(Z707&gt;=1,1,0)+IF(AA707&gt;=1,1,0))=9,G707&amp;", ",)</f>
        <v>0</v>
      </c>
    </row>
    <row r="708" customFormat="false" ht="15.75" hidden="false" customHeight="false" outlineLevel="0" collapsed="false">
      <c r="A708" s="260"/>
      <c r="B708" s="358"/>
      <c r="C708" s="260"/>
      <c r="D708" s="358"/>
      <c r="E708" s="260" t="n">
        <v>707</v>
      </c>
      <c r="F708" s="260" t="n">
        <f aca="false" t="array" ref="F708:F708">INDEX('0.0.1 Pokémon Dex Data'!$H$3:$H951,MATCH(E708,'0.0.1 Pokémon Dex Data'!$B$3:$B951,0))</f>
        <v>0</v>
      </c>
      <c r="G708" s="0" t="str">
        <f aca="false" t="array" ref="G708:G708">INDEX('0.0.1 Pokémon Dex Data'!$E$3:$E951,MATCH(E708,'0.0.1 Pokémon Dex Data'!$B$3:$B951,0))</f>
        <v>Litwick</v>
      </c>
      <c r="H708" s="0" t="str">
        <f aca="false" t="array" ref="H708:H708">INDEX('0.0.1 Pokémon Dex Data'!$Q$3:$Q951,MATCH(E708,'0.0.1 Pokémon Dex Data'!$B$3:$B951,0))</f>
        <v>Ghost</v>
      </c>
      <c r="I708" s="0" t="str">
        <f aca="false" t="array" ref="I708:I708">INDEX('0.0.1 Pokémon Dex Data'!$R$3:$R951,MATCH(E708,'0.0.1 Pokémon Dex Data'!$B$3:$B951,0))</f>
        <v>Fire</v>
      </c>
      <c r="J708" s="260" t="n">
        <f aca="false" t="array" ref="J708:J708">ROUND(INDEX('0.0.1 Pokémon Dex Data'!$S$3:$S951,MATCH($E708,'0.0.1 Pokémon Dex Data'!$B$3:$B951,0))*INDEX('0.0.1 Pokémon Dex Data'!T$3:T951,MATCH($E708,'0.0.1 Pokémon Dex Data'!$B$3:$B951,0)),0)</f>
        <v>108</v>
      </c>
      <c r="K708" s="260" t="n">
        <f aca="false" t="array" ref="K708:K708">ROUND(INDEX('0.0.1 Pokémon Dex Data'!$S$3:$S951,MATCH($E708,'0.0.1 Pokémon Dex Data'!$B$3:$B951,0))*INDEX('0.0.1 Pokémon Dex Data'!U$3:U951,MATCH($E708,'0.0.1 Pokémon Dex Data'!$B$3:$B951,0)),0)</f>
        <v>98</v>
      </c>
      <c r="L708" s="260" t="n">
        <f aca="false" t="array" ref="L708:L708">ROUND(INDEX('0.0.1 Pokémon Dex Data'!$S$3:$S951,MATCH($E708,'0.0.1 Pokémon Dex Data'!$B$3:$B951,0))*INDEX('0.0.1 Pokémon Dex Data'!V$3:V951,MATCH($E708,'0.0.1 Pokémon Dex Data'!$B$3:$B951,0)),0)</f>
        <v>137</v>
      </c>
      <c r="M708" s="260" t="n">
        <f aca="false" t="array" ref="M708:M708">INDEX('0.0.1 Pokémon Dex Data'!$J$3:$J951,MATCH(E708,'0.0.1 Pokémon Dex Data'!$B$3:$B951,0))</f>
        <v>0</v>
      </c>
      <c r="O708" s="490"/>
      <c r="Q708" s="367" t="n">
        <f aca="false">IF('Reverse Search'!$F$4="All (including temporary formes)",1,IF('Reverse Search'!$F$4="Base Pokémon and permanent formes only",IF(F708&lt;=1,1,0),IF(F708=0,1,0)))</f>
        <v>1</v>
      </c>
      <c r="R708" s="0" t="n">
        <f aca="false">IF('Reverse Search'!$C$7="Disable",1,IF('Reverse Search'!$D$9="Disable",1,IF(OR('Reverse Search'!$F$9=H708,'Reverse Search'!$F$9=I708),1,0)))</f>
        <v>1</v>
      </c>
      <c r="S708" s="0" t="n">
        <f aca="false">IF('Reverse Search'!$C$7="Disable",1,IF('Reverse Search'!$D$10="Disable",1,IF(OR('Reverse Search'!$F$10=H708,'Reverse Search'!$F$10=I708),1,0)))</f>
        <v>1</v>
      </c>
      <c r="T708" s="0" t="n">
        <f aca="false">INDEX($B$4:$B$22,MATCH(H708,$A$4:$A$22,0))</f>
        <v>0.51</v>
      </c>
      <c r="U708" s="0" t="n">
        <f aca="false">IF(ISBLANK(I708),1,INDEX($B$4:$B$22,MATCH(I708,$A$4:$A$22,0)))</f>
        <v>1</v>
      </c>
      <c r="V708" s="367" t="n">
        <f aca="false">IF('Reverse Search'!$C$7="Disable",1,IF('Reverse Search'!$D$11="Disable",1,IF('Reverse Search'!$E$11="Neutral to:",IF(ROUND(T708*U708,2)&lt;=1,1,0),IF(ROUND(T708*U708,2)&lt;1,1,0))))</f>
        <v>1</v>
      </c>
      <c r="W708" s="0" t="n">
        <f aca="false">IF('Reverse Search'!$N$7="Disable",1,IF('Reverse Search'!$I$9="Disable",1,IF('Reverse Search'!$K$9="≥",IF(J708&gt;='Reverse Search'!$L$9,1,0),IF('Reverse Search'!$K$9="≤",IF(J708&lt;='Reverse Search'!$L$9,1,0),IF(J708='Reverse Search'!$L$9,1,0)))))</f>
        <v>1</v>
      </c>
      <c r="X708" s="0" t="n">
        <f aca="false">IF('Reverse Search'!$N$7="Disable",1,IF('Reverse Search'!$I$10="Disable",1,IF('Reverse Search'!$K$10="≥",IF(K708&gt;='Reverse Search'!$L$10,1,0),IF('Reverse Search'!$K$10="≤",IF(K708&lt;='Reverse Search'!$L$10,1,0),IF(K708='Reverse Search'!$L$10,1,0)))))</f>
        <v>1</v>
      </c>
      <c r="Y708" s="367" t="n">
        <f aca="false">IF('Reverse Search'!$N$7="Disable",1,IF('Reverse Search'!$I$11="Disable",1,IF('Reverse Search'!$K$11="≥",IF(L708&gt;='Reverse Search'!$L$11,1,0),IF('Reverse Search'!$K$11="≤",IF(L708&lt;='Reverse Search'!$L$11,1,0),IF(L708='Reverse Search'!$L$11,1,0)))))</f>
        <v>1</v>
      </c>
      <c r="Z708" s="0" t="n">
        <f aca="true">IF('Reverse Search'!$C$14="Disable",1,IF('Reverse Search'!$D$16="Disable",1,IF($C$2=3,IF($M708=0,0,COUNTIF(INDIRECT("'0.0.2 Pokémon Learnset (Core)'!$D$"&amp;MATCH($E708,'0.0.2 Pokémon Learnset (Core)'!$A$1:$A951,0)&amp;":$FK$"&amp;MATCH($E708,'0.0.2 Pokémon Learnset (Core)'!$A$1:$A951,0)),'Reverse Search'!$E$21)),IF($C$2=2,COUNTIF(INDIRECT("'0.1.1 Pokémon GO Moves'!$B$"&amp;MATCH($E708,'0.1.1 Pokémon GO Moves'!$A$1:$A951,0)&amp;":$R$"&amp;MATCH($E708,'0.1.1 Pokémon GO Moves'!$A$1:$A951,0)),'Reverse Search'!$E$21),COUNTIF(INDIRECT("'0.1.1 Pokémon GO Moves'!$B$"&amp;MATCH($E708,'0.1.1 Pokémon GO Moves'!$A$1:$A951,0)&amp;":$L$"&amp;MATCH($E708,'0.1.1 Pokémon GO Moves'!$A$1:$A951,0)),'Reverse Search'!$E$21)))))</f>
        <v>1</v>
      </c>
      <c r="AA708" s="0" t="n">
        <f aca="true">IF('Reverse Search'!$C$14="Disable",1,IF('Reverse Search'!$I$16="Disable",1,IF($D$2=3,IF($M708=0,0,COUNTIF(INDIRECT("'0.0.2 Pokémon Learnset (Core)'!$D$"&amp;MATCH($E708,'0.0.2 Pokémon Learnset (Core)'!$A$1:$A951,0)&amp;":$FK$"&amp;MATCH($E708,'0.0.2 Pokémon Learnset (Core)'!$A$1:$A951,0)),'Reverse Search'!$J$21)),IF($D$2=2,COUNTIF(INDIRECT("'0.1.1 Pokémon GO Moves'!$B$"&amp;MATCH($E708,'0.1.1 Pokémon GO Moves'!$A$1:$A951,0)&amp;":$R$"&amp;MATCH($E708,'0.1.1 Pokémon GO Moves'!$A$1:$A951,0)),'Reverse Search'!$J$21),COUNTIF(INDIRECT("'0.1.1 Pokémon GO Moves'!$B$"&amp;MATCH($E708,'0.1.1 Pokémon GO Moves'!$A$1:$A951,0)&amp;":$L$"&amp;MATCH($E708,'0.1.1 Pokémon GO Moves'!$A$1:$A951,0)),'Reverse Search'!$J$21)))))</f>
        <v>0</v>
      </c>
      <c r="AB708" s="490"/>
      <c r="AC708" s="260" t="n">
        <f aca="false">IF((Q708+R708+S708+V708+W708+X708+Y708+IF(Z708&gt;=1,1,0)+IF(AA708&gt;=1,1,0))=9,G708&amp;", ",)</f>
        <v>0</v>
      </c>
    </row>
    <row r="709" customFormat="false" ht="15.75" hidden="false" customHeight="false" outlineLevel="0" collapsed="false">
      <c r="A709" s="260"/>
      <c r="B709" s="358"/>
      <c r="C709" s="260"/>
      <c r="D709" s="358"/>
      <c r="E709" s="260" t="n">
        <v>708</v>
      </c>
      <c r="F709" s="260" t="n">
        <f aca="false" t="array" ref="F709:F709">INDEX('0.0.1 Pokémon Dex Data'!$H$3:$H951,MATCH(E709,'0.0.1 Pokémon Dex Data'!$B$3:$B951,0))</f>
        <v>0</v>
      </c>
      <c r="G709" s="0" t="str">
        <f aca="false" t="array" ref="G709:G709">INDEX('0.0.1 Pokémon Dex Data'!$E$3:$E951,MATCH(E709,'0.0.1 Pokémon Dex Data'!$B$3:$B951,0))</f>
        <v>Lampent</v>
      </c>
      <c r="H709" s="0" t="str">
        <f aca="false" t="array" ref="H709:H709">INDEX('0.0.1 Pokémon Dex Data'!$Q$3:$Q951,MATCH(E709,'0.0.1 Pokémon Dex Data'!$B$3:$B951,0))</f>
        <v>Ghost</v>
      </c>
      <c r="I709" s="0" t="str">
        <f aca="false" t="array" ref="I709:I709">INDEX('0.0.1 Pokémon Dex Data'!$R$3:$R951,MATCH(E709,'0.0.1 Pokémon Dex Data'!$B$3:$B951,0))</f>
        <v>Fire</v>
      </c>
      <c r="J709" s="260" t="n">
        <f aca="false" t="array" ref="J709:J709">ROUND(INDEX('0.0.1 Pokémon Dex Data'!$S$3:$S951,MATCH($E709,'0.0.1 Pokémon Dex Data'!$B$3:$B951,0))*INDEX('0.0.1 Pokémon Dex Data'!T$3:T951,MATCH($E709,'0.0.1 Pokémon Dex Data'!$B$3:$B951,0)),0)</f>
        <v>169</v>
      </c>
      <c r="K709" s="260" t="n">
        <f aca="false" t="array" ref="K709:K709">ROUND(INDEX('0.0.1 Pokémon Dex Data'!$S$3:$S951,MATCH($E709,'0.0.1 Pokémon Dex Data'!$B$3:$B951,0))*INDEX('0.0.1 Pokémon Dex Data'!U$3:U951,MATCH($E709,'0.0.1 Pokémon Dex Data'!$B$3:$B951,0)),0)</f>
        <v>115</v>
      </c>
      <c r="L709" s="260" t="n">
        <f aca="false" t="array" ref="L709:L709">ROUND(INDEX('0.0.1 Pokémon Dex Data'!$S$3:$S951,MATCH($E709,'0.0.1 Pokémon Dex Data'!$B$3:$B951,0))*INDEX('0.0.1 Pokémon Dex Data'!V$3:V951,MATCH($E709,'0.0.1 Pokémon Dex Data'!$B$3:$B951,0)),0)</f>
        <v>155</v>
      </c>
      <c r="M709" s="260" t="n">
        <f aca="false" t="array" ref="M709:M709">INDEX('0.0.1 Pokémon Dex Data'!$J$3:$J951,MATCH(E709,'0.0.1 Pokémon Dex Data'!$B$3:$B951,0))</f>
        <v>0</v>
      </c>
      <c r="O709" s="490"/>
      <c r="Q709" s="367" t="n">
        <f aca="false">IF('Reverse Search'!$F$4="All (including temporary formes)",1,IF('Reverse Search'!$F$4="Base Pokémon and permanent formes only",IF(F709&lt;=1,1,0),IF(F709=0,1,0)))</f>
        <v>1</v>
      </c>
      <c r="R709" s="0" t="n">
        <f aca="false">IF('Reverse Search'!$C$7="Disable",1,IF('Reverse Search'!$D$9="Disable",1,IF(OR('Reverse Search'!$F$9=H709,'Reverse Search'!$F$9=I709),1,0)))</f>
        <v>1</v>
      </c>
      <c r="S709" s="0" t="n">
        <f aca="false">IF('Reverse Search'!$C$7="Disable",1,IF('Reverse Search'!$D$10="Disable",1,IF(OR('Reverse Search'!$F$10=H709,'Reverse Search'!$F$10=I709),1,0)))</f>
        <v>1</v>
      </c>
      <c r="T709" s="0" t="n">
        <f aca="false">INDEX($B$4:$B$22,MATCH(H709,$A$4:$A$22,0))</f>
        <v>0.51</v>
      </c>
      <c r="U709" s="0" t="n">
        <f aca="false">IF(ISBLANK(I709),1,INDEX($B$4:$B$22,MATCH(I709,$A$4:$A$22,0)))</f>
        <v>1</v>
      </c>
      <c r="V709" s="367" t="n">
        <f aca="false">IF('Reverse Search'!$C$7="Disable",1,IF('Reverse Search'!$D$11="Disable",1,IF('Reverse Search'!$E$11="Neutral to:",IF(ROUND(T709*U709,2)&lt;=1,1,0),IF(ROUND(T709*U709,2)&lt;1,1,0))))</f>
        <v>1</v>
      </c>
      <c r="W709" s="0" t="n">
        <f aca="false">IF('Reverse Search'!$N$7="Disable",1,IF('Reverse Search'!$I$9="Disable",1,IF('Reverse Search'!$K$9="≥",IF(J709&gt;='Reverse Search'!$L$9,1,0),IF('Reverse Search'!$K$9="≤",IF(J709&lt;='Reverse Search'!$L$9,1,0),IF(J709='Reverse Search'!$L$9,1,0)))))</f>
        <v>1</v>
      </c>
      <c r="X709" s="0" t="n">
        <f aca="false">IF('Reverse Search'!$N$7="Disable",1,IF('Reverse Search'!$I$10="Disable",1,IF('Reverse Search'!$K$10="≥",IF(K709&gt;='Reverse Search'!$L$10,1,0),IF('Reverse Search'!$K$10="≤",IF(K709&lt;='Reverse Search'!$L$10,1,0),IF(K709='Reverse Search'!$L$10,1,0)))))</f>
        <v>1</v>
      </c>
      <c r="Y709" s="367" t="n">
        <f aca="false">IF('Reverse Search'!$N$7="Disable",1,IF('Reverse Search'!$I$11="Disable",1,IF('Reverse Search'!$K$11="≥",IF(L709&gt;='Reverse Search'!$L$11,1,0),IF('Reverse Search'!$K$11="≤",IF(L709&lt;='Reverse Search'!$L$11,1,0),IF(L709='Reverse Search'!$L$11,1,0)))))</f>
        <v>1</v>
      </c>
      <c r="Z709" s="0" t="n">
        <f aca="true">IF('Reverse Search'!$C$14="Disable",1,IF('Reverse Search'!$D$16="Disable",1,IF($C$2=3,IF($M709=0,0,COUNTIF(INDIRECT("'0.0.2 Pokémon Learnset (Core)'!$D$"&amp;MATCH($E709,'0.0.2 Pokémon Learnset (Core)'!$A$1:$A951,0)&amp;":$FK$"&amp;MATCH($E709,'0.0.2 Pokémon Learnset (Core)'!$A$1:$A951,0)),'Reverse Search'!$E$21)),IF($C$2=2,COUNTIF(INDIRECT("'0.1.1 Pokémon GO Moves'!$B$"&amp;MATCH($E709,'0.1.1 Pokémon GO Moves'!$A$1:$A951,0)&amp;":$R$"&amp;MATCH($E709,'0.1.1 Pokémon GO Moves'!$A$1:$A951,0)),'Reverse Search'!$E$21),COUNTIF(INDIRECT("'0.1.1 Pokémon GO Moves'!$B$"&amp;MATCH($E709,'0.1.1 Pokémon GO Moves'!$A$1:$A951,0)&amp;":$L$"&amp;MATCH($E709,'0.1.1 Pokémon GO Moves'!$A$1:$A951,0)),'Reverse Search'!$E$21)))))</f>
        <v>1</v>
      </c>
      <c r="AA709" s="0" t="n">
        <f aca="true">IF('Reverse Search'!$C$14="Disable",1,IF('Reverse Search'!$I$16="Disable",1,IF($D$2=3,IF($M709=0,0,COUNTIF(INDIRECT("'0.0.2 Pokémon Learnset (Core)'!$D$"&amp;MATCH($E709,'0.0.2 Pokémon Learnset (Core)'!$A$1:$A951,0)&amp;":$FK$"&amp;MATCH($E709,'0.0.2 Pokémon Learnset (Core)'!$A$1:$A951,0)),'Reverse Search'!$J$21)),IF($D$2=2,COUNTIF(INDIRECT("'0.1.1 Pokémon GO Moves'!$B$"&amp;MATCH($E709,'0.1.1 Pokémon GO Moves'!$A$1:$A951,0)&amp;":$R$"&amp;MATCH($E709,'0.1.1 Pokémon GO Moves'!$A$1:$A951,0)),'Reverse Search'!$J$21),COUNTIF(INDIRECT("'0.1.1 Pokémon GO Moves'!$B$"&amp;MATCH($E709,'0.1.1 Pokémon GO Moves'!$A$1:$A951,0)&amp;":$L$"&amp;MATCH($E709,'0.1.1 Pokémon GO Moves'!$A$1:$A951,0)),'Reverse Search'!$J$21)))))</f>
        <v>0</v>
      </c>
      <c r="AB709" s="490"/>
      <c r="AC709" s="260" t="n">
        <f aca="false">IF((Q709+R709+S709+V709+W709+X709+Y709+IF(Z709&gt;=1,1,0)+IF(AA709&gt;=1,1,0))=9,G709&amp;", ",)</f>
        <v>0</v>
      </c>
    </row>
    <row r="710" customFormat="false" ht="15.75" hidden="false" customHeight="false" outlineLevel="0" collapsed="false">
      <c r="A710" s="260"/>
      <c r="B710" s="358"/>
      <c r="C710" s="260"/>
      <c r="D710" s="358"/>
      <c r="E710" s="260" t="n">
        <v>709</v>
      </c>
      <c r="F710" s="260" t="n">
        <f aca="false" t="array" ref="F710:F710">INDEX('0.0.1 Pokémon Dex Data'!$H$3:$H951,MATCH(E710,'0.0.1 Pokémon Dex Data'!$B$3:$B951,0))</f>
        <v>0</v>
      </c>
      <c r="G710" s="0" t="str">
        <f aca="false" t="array" ref="G710:G710">INDEX('0.0.1 Pokémon Dex Data'!$E$3:$E951,MATCH(E710,'0.0.1 Pokémon Dex Data'!$B$3:$B951,0))</f>
        <v>Chandelure</v>
      </c>
      <c r="H710" s="0" t="str">
        <f aca="false" t="array" ref="H710:H710">INDEX('0.0.1 Pokémon Dex Data'!$Q$3:$Q951,MATCH(E710,'0.0.1 Pokémon Dex Data'!$B$3:$B951,0))</f>
        <v>Ghost</v>
      </c>
      <c r="I710" s="0" t="str">
        <f aca="false" t="array" ref="I710:I710">INDEX('0.0.1 Pokémon Dex Data'!$R$3:$R951,MATCH(E710,'0.0.1 Pokémon Dex Data'!$B$3:$B951,0))</f>
        <v>Fire</v>
      </c>
      <c r="J710" s="260" t="n">
        <f aca="false" t="array" ref="J710:J710">ROUND(INDEX('0.0.1 Pokémon Dex Data'!$S$3:$S951,MATCH($E710,'0.0.1 Pokémon Dex Data'!$B$3:$B951,0))*INDEX('0.0.1 Pokémon Dex Data'!T$3:T951,MATCH($E710,'0.0.1 Pokémon Dex Data'!$B$3:$B951,0)),0)</f>
        <v>271</v>
      </c>
      <c r="K710" s="260" t="n">
        <f aca="false" t="array" ref="K710:K710">ROUND(INDEX('0.0.1 Pokémon Dex Data'!$S$3:$S951,MATCH($E710,'0.0.1 Pokémon Dex Data'!$B$3:$B951,0))*INDEX('0.0.1 Pokémon Dex Data'!U$3:U951,MATCH($E710,'0.0.1 Pokémon Dex Data'!$B$3:$B951,0)),0)</f>
        <v>182</v>
      </c>
      <c r="L710" s="260" t="n">
        <f aca="false" t="array" ref="L710:L710">ROUND(INDEX('0.0.1 Pokémon Dex Data'!$S$3:$S951,MATCH($E710,'0.0.1 Pokémon Dex Data'!$B$3:$B951,0))*INDEX('0.0.1 Pokémon Dex Data'!V$3:V951,MATCH($E710,'0.0.1 Pokémon Dex Data'!$B$3:$B951,0)),0)</f>
        <v>155</v>
      </c>
      <c r="M710" s="260" t="n">
        <f aca="false" t="array" ref="M710:M710">INDEX('0.0.1 Pokémon Dex Data'!$J$3:$J951,MATCH(E710,'0.0.1 Pokémon Dex Data'!$B$3:$B951,0))</f>
        <v>1</v>
      </c>
      <c r="O710" s="490"/>
      <c r="Q710" s="367" t="n">
        <f aca="false">IF('Reverse Search'!$F$4="All (including temporary formes)",1,IF('Reverse Search'!$F$4="Base Pokémon and permanent formes only",IF(F710&lt;=1,1,0),IF(F710=0,1,0)))</f>
        <v>1</v>
      </c>
      <c r="R710" s="0" t="n">
        <f aca="false">IF('Reverse Search'!$C$7="Disable",1,IF('Reverse Search'!$D$9="Disable",1,IF(OR('Reverse Search'!$F$9=H710,'Reverse Search'!$F$9=I710),1,0)))</f>
        <v>1</v>
      </c>
      <c r="S710" s="0" t="n">
        <f aca="false">IF('Reverse Search'!$C$7="Disable",1,IF('Reverse Search'!$D$10="Disable",1,IF(OR('Reverse Search'!$F$10=H710,'Reverse Search'!$F$10=I710),1,0)))</f>
        <v>1</v>
      </c>
      <c r="T710" s="0" t="n">
        <f aca="false">INDEX($B$4:$B$22,MATCH(H710,$A$4:$A$22,0))</f>
        <v>0.51</v>
      </c>
      <c r="U710" s="0" t="n">
        <f aca="false">IF(ISBLANK(I710),1,INDEX($B$4:$B$22,MATCH(I710,$A$4:$A$22,0)))</f>
        <v>1</v>
      </c>
      <c r="V710" s="367" t="n">
        <f aca="false">IF('Reverse Search'!$C$7="Disable",1,IF('Reverse Search'!$D$11="Disable",1,IF('Reverse Search'!$E$11="Neutral to:",IF(ROUND(T710*U710,2)&lt;=1,1,0),IF(ROUND(T710*U710,2)&lt;1,1,0))))</f>
        <v>1</v>
      </c>
      <c r="W710" s="0" t="n">
        <f aca="false">IF('Reverse Search'!$N$7="Disable",1,IF('Reverse Search'!$I$9="Disable",1,IF('Reverse Search'!$K$9="≥",IF(J710&gt;='Reverse Search'!$L$9,1,0),IF('Reverse Search'!$K$9="≤",IF(J710&lt;='Reverse Search'!$L$9,1,0),IF(J710='Reverse Search'!$L$9,1,0)))))</f>
        <v>1</v>
      </c>
      <c r="X710" s="0" t="n">
        <f aca="false">IF('Reverse Search'!$N$7="Disable",1,IF('Reverse Search'!$I$10="Disable",1,IF('Reverse Search'!$K$10="≥",IF(K710&gt;='Reverse Search'!$L$10,1,0),IF('Reverse Search'!$K$10="≤",IF(K710&lt;='Reverse Search'!$L$10,1,0),IF(K710='Reverse Search'!$L$10,1,0)))))</f>
        <v>1</v>
      </c>
      <c r="Y710" s="367" t="n">
        <f aca="false">IF('Reverse Search'!$N$7="Disable",1,IF('Reverse Search'!$I$11="Disable",1,IF('Reverse Search'!$K$11="≥",IF(L710&gt;='Reverse Search'!$L$11,1,0),IF('Reverse Search'!$K$11="≤",IF(L710&lt;='Reverse Search'!$L$11,1,0),IF(L710='Reverse Search'!$L$11,1,0)))))</f>
        <v>1</v>
      </c>
      <c r="Z710" s="0" t="n">
        <f aca="true">IF('Reverse Search'!$C$14="Disable",1,IF('Reverse Search'!$D$16="Disable",1,IF($C$2=3,IF($M710=0,0,COUNTIF(INDIRECT("'0.0.2 Pokémon Learnset (Core)'!$D$"&amp;MATCH($E710,'0.0.2 Pokémon Learnset (Core)'!$A$1:$A951,0)&amp;":$FK$"&amp;MATCH($E710,'0.0.2 Pokémon Learnset (Core)'!$A$1:$A951,0)),'Reverse Search'!$E$21)),IF($C$2=2,COUNTIF(INDIRECT("'0.1.1 Pokémon GO Moves'!$B$"&amp;MATCH($E710,'0.1.1 Pokémon GO Moves'!$A$1:$A951,0)&amp;":$R$"&amp;MATCH($E710,'0.1.1 Pokémon GO Moves'!$A$1:$A951,0)),'Reverse Search'!$E$21),COUNTIF(INDIRECT("'0.1.1 Pokémon GO Moves'!$B$"&amp;MATCH($E710,'0.1.1 Pokémon GO Moves'!$A$1:$A951,0)&amp;":$L$"&amp;MATCH($E710,'0.1.1 Pokémon GO Moves'!$A$1:$A951,0)),'Reverse Search'!$E$21)))))</f>
        <v>1</v>
      </c>
      <c r="AA710" s="0" t="n">
        <f aca="true">IF('Reverse Search'!$C$14="Disable",1,IF('Reverse Search'!$I$16="Disable",1,IF($D$2=3,IF($M710=0,0,COUNTIF(INDIRECT("'0.0.2 Pokémon Learnset (Core)'!$D$"&amp;MATCH($E710,'0.0.2 Pokémon Learnset (Core)'!$A$1:$A951,0)&amp;":$FK$"&amp;MATCH($E710,'0.0.2 Pokémon Learnset (Core)'!$A$1:$A951,0)),'Reverse Search'!$J$21)),IF($D$2=2,COUNTIF(INDIRECT("'0.1.1 Pokémon GO Moves'!$B$"&amp;MATCH($E710,'0.1.1 Pokémon GO Moves'!$A$1:$A951,0)&amp;":$R$"&amp;MATCH($E710,'0.1.1 Pokémon GO Moves'!$A$1:$A951,0)),'Reverse Search'!$J$21),COUNTIF(INDIRECT("'0.1.1 Pokémon GO Moves'!$B$"&amp;MATCH($E710,'0.1.1 Pokémon GO Moves'!$A$1:$A951,0)&amp;":$L$"&amp;MATCH($E710,'0.1.1 Pokémon GO Moves'!$A$1:$A951,0)),'Reverse Search'!$J$21)))))</f>
        <v>0</v>
      </c>
      <c r="AB710" s="490"/>
      <c r="AC710" s="260" t="n">
        <f aca="false">IF((Q710+R710+S710+V710+W710+X710+Y710+IF(Z710&gt;=1,1,0)+IF(AA710&gt;=1,1,0))=9,G710&amp;", ",)</f>
        <v>0</v>
      </c>
    </row>
    <row r="711" customFormat="false" ht="15.75" hidden="false" customHeight="false" outlineLevel="0" collapsed="false">
      <c r="A711" s="260"/>
      <c r="B711" s="358"/>
      <c r="C711" s="260"/>
      <c r="D711" s="358"/>
      <c r="E711" s="260" t="n">
        <v>710</v>
      </c>
      <c r="F711" s="260" t="n">
        <f aca="false" t="array" ref="F711:F711">INDEX('0.0.1 Pokémon Dex Data'!$H$3:$H951,MATCH(E711,'0.0.1 Pokémon Dex Data'!$B$3:$B951,0))</f>
        <v>0</v>
      </c>
      <c r="G711" s="0" t="str">
        <f aca="false" t="array" ref="G711:G711">INDEX('0.0.1 Pokémon Dex Data'!$E$3:$E951,MATCH(E711,'0.0.1 Pokémon Dex Data'!$B$3:$B951,0))</f>
        <v>Axew</v>
      </c>
      <c r="H711" s="0" t="str">
        <f aca="false" t="array" ref="H711:H711">INDEX('0.0.1 Pokémon Dex Data'!$Q$3:$Q951,MATCH(E711,'0.0.1 Pokémon Dex Data'!$B$3:$B951,0))</f>
        <v>Dragon</v>
      </c>
      <c r="I711" s="0" t="n">
        <f aca="false">INDEX('0.0.1 Pokémon Dex Data'!$R$3:$R951,MATCH(E711,'0.0.1 Pokémon Dex Data'!$B$3:$B951,0))</f>
        <v>0</v>
      </c>
      <c r="J711" s="260" t="n">
        <f aca="false" t="array" ref="J711:J711">ROUND(INDEX('0.0.1 Pokémon Dex Data'!$S$3:$S951,MATCH($E711,'0.0.1 Pokémon Dex Data'!$B$3:$B951,0))*INDEX('0.0.1 Pokémon Dex Data'!T$3:T951,MATCH($E711,'0.0.1 Pokémon Dex Data'!$B$3:$B951,0)),0)</f>
        <v>154</v>
      </c>
      <c r="K711" s="260" t="n">
        <f aca="false" t="array" ref="K711:K711">ROUND(INDEX('0.0.1 Pokémon Dex Data'!$S$3:$S951,MATCH($E711,'0.0.1 Pokémon Dex Data'!$B$3:$B951,0))*INDEX('0.0.1 Pokémon Dex Data'!U$3:U951,MATCH($E711,'0.0.1 Pokémon Dex Data'!$B$3:$B951,0)),0)</f>
        <v>101</v>
      </c>
      <c r="L711" s="260" t="n">
        <f aca="false" t="array" ref="L711:L711">ROUND(INDEX('0.0.1 Pokémon Dex Data'!$S$3:$S951,MATCH($E711,'0.0.1 Pokémon Dex Data'!$B$3:$B951,0))*INDEX('0.0.1 Pokémon Dex Data'!V$3:V951,MATCH($E711,'0.0.1 Pokémon Dex Data'!$B$3:$B951,0)),0)</f>
        <v>130</v>
      </c>
      <c r="M711" s="260" t="n">
        <f aca="false" t="array" ref="M711:M711">INDEX('0.0.1 Pokémon Dex Data'!$J$3:$J951,MATCH(E711,'0.0.1 Pokémon Dex Data'!$B$3:$B951,0))</f>
        <v>0</v>
      </c>
      <c r="O711" s="490"/>
      <c r="Q711" s="367" t="n">
        <f aca="false">IF('Reverse Search'!$F$4="All (including temporary formes)",1,IF('Reverse Search'!$F$4="Base Pokémon and permanent formes only",IF(F711&lt;=1,1,0),IF(F711=0,1,0)))</f>
        <v>1</v>
      </c>
      <c r="R711" s="0" t="n">
        <f aca="false">IF('Reverse Search'!$C$7="Disable",1,IF('Reverse Search'!$D$9="Disable",1,IF(OR('Reverse Search'!$F$9=H711,'Reverse Search'!$F$9=I711),1,0)))</f>
        <v>1</v>
      </c>
      <c r="S711" s="0" t="n">
        <f aca="false">IF('Reverse Search'!$C$7="Disable",1,IF('Reverse Search'!$D$10="Disable",1,IF(OR('Reverse Search'!$F$10=H711,'Reverse Search'!$F$10=I711),1,0)))</f>
        <v>1</v>
      </c>
      <c r="T711" s="0" t="n">
        <f aca="false">INDEX($B$4:$B$22,MATCH(H711,$A$4:$A$22,0))</f>
        <v>1</v>
      </c>
      <c r="U711" s="0" t="e">
        <f aca="false">IF(ISBLANK(I711),1,INDEX($B$4:$B$22,MATCH(I711,$A$4:$A$22,0)))</f>
        <v>#N/A</v>
      </c>
      <c r="V711" s="367" t="n">
        <f aca="false">IF('Reverse Search'!$C$7="Disable",1,IF('Reverse Search'!$D$11="Disable",1,IF('Reverse Search'!$E$11="Neutral to:",IF(ROUND(T711*U711,2)&lt;=1,1,0),IF(ROUND(T711*U711,2)&lt;1,1,0))))</f>
        <v>1</v>
      </c>
      <c r="W711" s="0" t="n">
        <f aca="false">IF('Reverse Search'!$N$7="Disable",1,IF('Reverse Search'!$I$9="Disable",1,IF('Reverse Search'!$K$9="≥",IF(J711&gt;='Reverse Search'!$L$9,1,0),IF('Reverse Search'!$K$9="≤",IF(J711&lt;='Reverse Search'!$L$9,1,0),IF(J711='Reverse Search'!$L$9,1,0)))))</f>
        <v>1</v>
      </c>
      <c r="X711" s="0" t="n">
        <f aca="false">IF('Reverse Search'!$N$7="Disable",1,IF('Reverse Search'!$I$10="Disable",1,IF('Reverse Search'!$K$10="≥",IF(K711&gt;='Reverse Search'!$L$10,1,0),IF('Reverse Search'!$K$10="≤",IF(K711&lt;='Reverse Search'!$L$10,1,0),IF(K711='Reverse Search'!$L$10,1,0)))))</f>
        <v>1</v>
      </c>
      <c r="Y711" s="367" t="n">
        <f aca="false">IF('Reverse Search'!$N$7="Disable",1,IF('Reverse Search'!$I$11="Disable",1,IF('Reverse Search'!$K$11="≥",IF(L711&gt;='Reverse Search'!$L$11,1,0),IF('Reverse Search'!$K$11="≤",IF(L711&lt;='Reverse Search'!$L$11,1,0),IF(L711='Reverse Search'!$L$11,1,0)))))</f>
        <v>1</v>
      </c>
      <c r="Z711" s="0" t="n">
        <f aca="true">IF('Reverse Search'!$C$14="Disable",1,IF('Reverse Search'!$D$16="Disable",1,IF($C$2=3,IF($M711=0,0,COUNTIF(INDIRECT("'0.0.2 Pokémon Learnset (Core)'!$D$"&amp;MATCH($E711,'0.0.2 Pokémon Learnset (Core)'!$A$1:$A951,0)&amp;":$FK$"&amp;MATCH($E711,'0.0.2 Pokémon Learnset (Core)'!$A$1:$A951,0)),'Reverse Search'!$E$21)),IF($C$2=2,COUNTIF(INDIRECT("'0.1.1 Pokémon GO Moves'!$B$"&amp;MATCH($E711,'0.1.1 Pokémon GO Moves'!$A$1:$A951,0)&amp;":$R$"&amp;MATCH($E711,'0.1.1 Pokémon GO Moves'!$A$1:$A951,0)),'Reverse Search'!$E$21),COUNTIF(INDIRECT("'0.1.1 Pokémon GO Moves'!$B$"&amp;MATCH($E711,'0.1.1 Pokémon GO Moves'!$A$1:$A951,0)&amp;":$L$"&amp;MATCH($E711,'0.1.1 Pokémon GO Moves'!$A$1:$A951,0)),'Reverse Search'!$E$21)))))</f>
        <v>1</v>
      </c>
      <c r="AA711" s="0" t="n">
        <f aca="true">IF('Reverse Search'!$C$14="Disable",1,IF('Reverse Search'!$I$16="Disable",1,IF($D$2=3,IF($M711=0,0,COUNTIF(INDIRECT("'0.0.2 Pokémon Learnset (Core)'!$D$"&amp;MATCH($E711,'0.0.2 Pokémon Learnset (Core)'!$A$1:$A951,0)&amp;":$FK$"&amp;MATCH($E711,'0.0.2 Pokémon Learnset (Core)'!$A$1:$A951,0)),'Reverse Search'!$J$21)),IF($D$2=2,COUNTIF(INDIRECT("'0.1.1 Pokémon GO Moves'!$B$"&amp;MATCH($E711,'0.1.1 Pokémon GO Moves'!$A$1:$A951,0)&amp;":$R$"&amp;MATCH($E711,'0.1.1 Pokémon GO Moves'!$A$1:$A951,0)),'Reverse Search'!$J$21),COUNTIF(INDIRECT("'0.1.1 Pokémon GO Moves'!$B$"&amp;MATCH($E711,'0.1.1 Pokémon GO Moves'!$A$1:$A951,0)&amp;":$L$"&amp;MATCH($E711,'0.1.1 Pokémon GO Moves'!$A$1:$A951,0)),'Reverse Search'!$J$21)))))</f>
        <v>0</v>
      </c>
      <c r="AB711" s="490"/>
      <c r="AC711" s="260" t="n">
        <f aca="false">IF((Q711+R711+S711+V711+W711+X711+Y711+IF(Z711&gt;=1,1,0)+IF(AA711&gt;=1,1,0))=9,G711&amp;", ",)</f>
        <v>0</v>
      </c>
    </row>
    <row r="712" customFormat="false" ht="15.75" hidden="false" customHeight="false" outlineLevel="0" collapsed="false">
      <c r="A712" s="260"/>
      <c r="B712" s="358"/>
      <c r="C712" s="260"/>
      <c r="D712" s="358"/>
      <c r="E712" s="260" t="n">
        <v>711</v>
      </c>
      <c r="F712" s="260" t="n">
        <f aca="false" t="array" ref="F712:F712">INDEX('0.0.1 Pokémon Dex Data'!$H$3:$H951,MATCH(E712,'0.0.1 Pokémon Dex Data'!$B$3:$B951,0))</f>
        <v>0</v>
      </c>
      <c r="G712" s="0" t="str">
        <f aca="false" t="array" ref="G712:G712">INDEX('0.0.1 Pokémon Dex Data'!$E$3:$E951,MATCH(E712,'0.0.1 Pokémon Dex Data'!$B$3:$B951,0))</f>
        <v>Fraxure</v>
      </c>
      <c r="H712" s="0" t="str">
        <f aca="false" t="array" ref="H712:H712">INDEX('0.0.1 Pokémon Dex Data'!$Q$3:$Q951,MATCH(E712,'0.0.1 Pokémon Dex Data'!$B$3:$B951,0))</f>
        <v>Dragon</v>
      </c>
      <c r="I712" s="0" t="n">
        <f aca="false">INDEX('0.0.1 Pokémon Dex Data'!$R$3:$R951,MATCH(E712,'0.0.1 Pokémon Dex Data'!$B$3:$B951,0))</f>
        <v>0</v>
      </c>
      <c r="J712" s="260" t="n">
        <f aca="false" t="array" ref="J712:J712">ROUND(INDEX('0.0.1 Pokémon Dex Data'!$S$3:$S951,MATCH($E712,'0.0.1 Pokémon Dex Data'!$B$3:$B951,0))*INDEX('0.0.1 Pokémon Dex Data'!T$3:T951,MATCH($E712,'0.0.1 Pokémon Dex Data'!$B$3:$B951,0)),0)</f>
        <v>212</v>
      </c>
      <c r="K712" s="260" t="n">
        <f aca="false" t="array" ref="K712:K712">ROUND(INDEX('0.0.1 Pokémon Dex Data'!$S$3:$S951,MATCH($E712,'0.0.1 Pokémon Dex Data'!$B$3:$B951,0))*INDEX('0.0.1 Pokémon Dex Data'!U$3:U951,MATCH($E712,'0.0.1 Pokémon Dex Data'!$B$3:$B951,0)),0)</f>
        <v>123</v>
      </c>
      <c r="L712" s="260" t="n">
        <f aca="false" t="array" ref="L712:L712">ROUND(INDEX('0.0.1 Pokémon Dex Data'!$S$3:$S951,MATCH($E712,'0.0.1 Pokémon Dex Data'!$B$3:$B951,0))*INDEX('0.0.1 Pokémon Dex Data'!V$3:V951,MATCH($E712,'0.0.1 Pokémon Dex Data'!$B$3:$B951,0)),0)</f>
        <v>165</v>
      </c>
      <c r="M712" s="260" t="n">
        <f aca="false" t="array" ref="M712:M712">INDEX('0.0.1 Pokémon Dex Data'!$J$3:$J951,MATCH(E712,'0.0.1 Pokémon Dex Data'!$B$3:$B951,0))</f>
        <v>0</v>
      </c>
      <c r="O712" s="490"/>
      <c r="Q712" s="367" t="n">
        <f aca="false">IF('Reverse Search'!$F$4="All (including temporary formes)",1,IF('Reverse Search'!$F$4="Base Pokémon and permanent formes only",IF(F712&lt;=1,1,0),IF(F712=0,1,0)))</f>
        <v>1</v>
      </c>
      <c r="R712" s="0" t="n">
        <f aca="false">IF('Reverse Search'!$C$7="Disable",1,IF('Reverse Search'!$D$9="Disable",1,IF(OR('Reverse Search'!$F$9=H712,'Reverse Search'!$F$9=I712),1,0)))</f>
        <v>1</v>
      </c>
      <c r="S712" s="0" t="n">
        <f aca="false">IF('Reverse Search'!$C$7="Disable",1,IF('Reverse Search'!$D$10="Disable",1,IF(OR('Reverse Search'!$F$10=H712,'Reverse Search'!$F$10=I712),1,0)))</f>
        <v>1</v>
      </c>
      <c r="T712" s="0" t="n">
        <f aca="false">INDEX($B$4:$B$22,MATCH(H712,$A$4:$A$22,0))</f>
        <v>1</v>
      </c>
      <c r="U712" s="0" t="e">
        <f aca="false">IF(ISBLANK(I712),1,INDEX($B$4:$B$22,MATCH(I712,$A$4:$A$22,0)))</f>
        <v>#N/A</v>
      </c>
      <c r="V712" s="367" t="n">
        <f aca="false">IF('Reverse Search'!$C$7="Disable",1,IF('Reverse Search'!$D$11="Disable",1,IF('Reverse Search'!$E$11="Neutral to:",IF(ROUND(T712*U712,2)&lt;=1,1,0),IF(ROUND(T712*U712,2)&lt;1,1,0))))</f>
        <v>1</v>
      </c>
      <c r="W712" s="0" t="n">
        <f aca="false">IF('Reverse Search'!$N$7="Disable",1,IF('Reverse Search'!$I$9="Disable",1,IF('Reverse Search'!$K$9="≥",IF(J712&gt;='Reverse Search'!$L$9,1,0),IF('Reverse Search'!$K$9="≤",IF(J712&lt;='Reverse Search'!$L$9,1,0),IF(J712='Reverse Search'!$L$9,1,0)))))</f>
        <v>1</v>
      </c>
      <c r="X712" s="0" t="n">
        <f aca="false">IF('Reverse Search'!$N$7="Disable",1,IF('Reverse Search'!$I$10="Disable",1,IF('Reverse Search'!$K$10="≥",IF(K712&gt;='Reverse Search'!$L$10,1,0),IF('Reverse Search'!$K$10="≤",IF(K712&lt;='Reverse Search'!$L$10,1,0),IF(K712='Reverse Search'!$L$10,1,0)))))</f>
        <v>1</v>
      </c>
      <c r="Y712" s="367" t="n">
        <f aca="false">IF('Reverse Search'!$N$7="Disable",1,IF('Reverse Search'!$I$11="Disable",1,IF('Reverse Search'!$K$11="≥",IF(L712&gt;='Reverse Search'!$L$11,1,0),IF('Reverse Search'!$K$11="≤",IF(L712&lt;='Reverse Search'!$L$11,1,0),IF(L712='Reverse Search'!$L$11,1,0)))))</f>
        <v>1</v>
      </c>
      <c r="Z712" s="0" t="n">
        <f aca="true">IF('Reverse Search'!$C$14="Disable",1,IF('Reverse Search'!$D$16="Disable",1,IF($C$2=3,IF($M712=0,0,COUNTIF(INDIRECT("'0.0.2 Pokémon Learnset (Core)'!$D$"&amp;MATCH($E712,'0.0.2 Pokémon Learnset (Core)'!$A$1:$A951,0)&amp;":$FK$"&amp;MATCH($E712,'0.0.2 Pokémon Learnset (Core)'!$A$1:$A951,0)),'Reverse Search'!$E$21)),IF($C$2=2,COUNTIF(INDIRECT("'0.1.1 Pokémon GO Moves'!$B$"&amp;MATCH($E712,'0.1.1 Pokémon GO Moves'!$A$1:$A951,0)&amp;":$R$"&amp;MATCH($E712,'0.1.1 Pokémon GO Moves'!$A$1:$A951,0)),'Reverse Search'!$E$21),COUNTIF(INDIRECT("'0.1.1 Pokémon GO Moves'!$B$"&amp;MATCH($E712,'0.1.1 Pokémon GO Moves'!$A$1:$A951,0)&amp;":$L$"&amp;MATCH($E712,'0.1.1 Pokémon GO Moves'!$A$1:$A951,0)),'Reverse Search'!$E$21)))))</f>
        <v>1</v>
      </c>
      <c r="AA712" s="0" t="n">
        <f aca="true">IF('Reverse Search'!$C$14="Disable",1,IF('Reverse Search'!$I$16="Disable",1,IF($D$2=3,IF($M712=0,0,COUNTIF(INDIRECT("'0.0.2 Pokémon Learnset (Core)'!$D$"&amp;MATCH($E712,'0.0.2 Pokémon Learnset (Core)'!$A$1:$A951,0)&amp;":$FK$"&amp;MATCH($E712,'0.0.2 Pokémon Learnset (Core)'!$A$1:$A951,0)),'Reverse Search'!$J$21)),IF($D$2=2,COUNTIF(INDIRECT("'0.1.1 Pokémon GO Moves'!$B$"&amp;MATCH($E712,'0.1.1 Pokémon GO Moves'!$A$1:$A951,0)&amp;":$R$"&amp;MATCH($E712,'0.1.1 Pokémon GO Moves'!$A$1:$A951,0)),'Reverse Search'!$J$21),COUNTIF(INDIRECT("'0.1.1 Pokémon GO Moves'!$B$"&amp;MATCH($E712,'0.1.1 Pokémon GO Moves'!$A$1:$A951,0)&amp;":$L$"&amp;MATCH($E712,'0.1.1 Pokémon GO Moves'!$A$1:$A951,0)),'Reverse Search'!$J$21)))))</f>
        <v>0</v>
      </c>
      <c r="AB712" s="490"/>
      <c r="AC712" s="260" t="n">
        <f aca="false">IF((Q712+R712+S712+V712+W712+X712+Y712+IF(Z712&gt;=1,1,0)+IF(AA712&gt;=1,1,0))=9,G712&amp;", ",)</f>
        <v>0</v>
      </c>
    </row>
    <row r="713" customFormat="false" ht="15.75" hidden="false" customHeight="false" outlineLevel="0" collapsed="false">
      <c r="A713" s="260"/>
      <c r="B713" s="358"/>
      <c r="C713" s="260"/>
      <c r="D713" s="358"/>
      <c r="E713" s="260" t="n">
        <v>712</v>
      </c>
      <c r="F713" s="260" t="n">
        <f aca="false" t="array" ref="F713:F713">INDEX('0.0.1 Pokémon Dex Data'!$H$3:$H951,MATCH(E713,'0.0.1 Pokémon Dex Data'!$B$3:$B951,0))</f>
        <v>0</v>
      </c>
      <c r="G713" s="0" t="str">
        <f aca="false" t="array" ref="G713:G713">INDEX('0.0.1 Pokémon Dex Data'!$E$3:$E951,MATCH(E713,'0.0.1 Pokémon Dex Data'!$B$3:$B951,0))</f>
        <v>Haxorus</v>
      </c>
      <c r="H713" s="0" t="str">
        <f aca="false" t="array" ref="H713:H713">INDEX('0.0.1 Pokémon Dex Data'!$Q$3:$Q951,MATCH(E713,'0.0.1 Pokémon Dex Data'!$B$3:$B951,0))</f>
        <v>Dragon</v>
      </c>
      <c r="I713" s="0" t="n">
        <f aca="false">INDEX('0.0.1 Pokémon Dex Data'!$R$3:$R951,MATCH(E713,'0.0.1 Pokémon Dex Data'!$B$3:$B951,0))</f>
        <v>0</v>
      </c>
      <c r="J713" s="260" t="n">
        <f aca="false" t="array" ref="J713:J713">ROUND(INDEX('0.0.1 Pokémon Dex Data'!$S$3:$S951,MATCH($E713,'0.0.1 Pokémon Dex Data'!$B$3:$B951,0))*INDEX('0.0.1 Pokémon Dex Data'!T$3:T951,MATCH($E713,'0.0.1 Pokémon Dex Data'!$B$3:$B951,0)),0)</f>
        <v>284</v>
      </c>
      <c r="K713" s="260" t="n">
        <f aca="false" t="array" ref="K713:K713">ROUND(INDEX('0.0.1 Pokémon Dex Data'!$S$3:$S951,MATCH($E713,'0.0.1 Pokémon Dex Data'!$B$3:$B951,0))*INDEX('0.0.1 Pokémon Dex Data'!U$3:U951,MATCH($E713,'0.0.1 Pokémon Dex Data'!$B$3:$B951,0)),0)</f>
        <v>172</v>
      </c>
      <c r="L713" s="260" t="n">
        <f aca="false" t="array" ref="L713:L713">ROUND(INDEX('0.0.1 Pokémon Dex Data'!$S$3:$S951,MATCH($E713,'0.0.1 Pokémon Dex Data'!$B$3:$B951,0))*INDEX('0.0.1 Pokémon Dex Data'!V$3:V951,MATCH($E713,'0.0.1 Pokémon Dex Data'!$B$3:$B951,0)),0)</f>
        <v>183</v>
      </c>
      <c r="M713" s="260" t="n">
        <f aca="false" t="array" ref="M713:M713">INDEX('0.0.1 Pokémon Dex Data'!$J$3:$J951,MATCH(E713,'0.0.1 Pokémon Dex Data'!$B$3:$B951,0))</f>
        <v>1</v>
      </c>
      <c r="O713" s="490"/>
      <c r="Q713" s="367" t="n">
        <f aca="false">IF('Reverse Search'!$F$4="All (including temporary formes)",1,IF('Reverse Search'!$F$4="Base Pokémon and permanent formes only",IF(F713&lt;=1,1,0),IF(F713=0,1,0)))</f>
        <v>1</v>
      </c>
      <c r="R713" s="0" t="n">
        <f aca="false">IF('Reverse Search'!$C$7="Disable",1,IF('Reverse Search'!$D$9="Disable",1,IF(OR('Reverse Search'!$F$9=H713,'Reverse Search'!$F$9=I713),1,0)))</f>
        <v>1</v>
      </c>
      <c r="S713" s="0" t="n">
        <f aca="false">IF('Reverse Search'!$C$7="Disable",1,IF('Reverse Search'!$D$10="Disable",1,IF(OR('Reverse Search'!$F$10=H713,'Reverse Search'!$F$10=I713),1,0)))</f>
        <v>1</v>
      </c>
      <c r="T713" s="0" t="n">
        <f aca="false">INDEX($B$4:$B$22,MATCH(H713,$A$4:$A$22,0))</f>
        <v>1</v>
      </c>
      <c r="U713" s="0" t="e">
        <f aca="false">IF(ISBLANK(I713),1,INDEX($B$4:$B$22,MATCH(I713,$A$4:$A$22,0)))</f>
        <v>#N/A</v>
      </c>
      <c r="V713" s="367" t="n">
        <f aca="false">IF('Reverse Search'!$C$7="Disable",1,IF('Reverse Search'!$D$11="Disable",1,IF('Reverse Search'!$E$11="Neutral to:",IF(ROUND(T713*U713,2)&lt;=1,1,0),IF(ROUND(T713*U713,2)&lt;1,1,0))))</f>
        <v>1</v>
      </c>
      <c r="W713" s="0" t="n">
        <f aca="false">IF('Reverse Search'!$N$7="Disable",1,IF('Reverse Search'!$I$9="Disable",1,IF('Reverse Search'!$K$9="≥",IF(J713&gt;='Reverse Search'!$L$9,1,0),IF('Reverse Search'!$K$9="≤",IF(J713&lt;='Reverse Search'!$L$9,1,0),IF(J713='Reverse Search'!$L$9,1,0)))))</f>
        <v>1</v>
      </c>
      <c r="X713" s="0" t="n">
        <f aca="false">IF('Reverse Search'!$N$7="Disable",1,IF('Reverse Search'!$I$10="Disable",1,IF('Reverse Search'!$K$10="≥",IF(K713&gt;='Reverse Search'!$L$10,1,0),IF('Reverse Search'!$K$10="≤",IF(K713&lt;='Reverse Search'!$L$10,1,0),IF(K713='Reverse Search'!$L$10,1,0)))))</f>
        <v>1</v>
      </c>
      <c r="Y713" s="367" t="n">
        <f aca="false">IF('Reverse Search'!$N$7="Disable",1,IF('Reverse Search'!$I$11="Disable",1,IF('Reverse Search'!$K$11="≥",IF(L713&gt;='Reverse Search'!$L$11,1,0),IF('Reverse Search'!$K$11="≤",IF(L713&lt;='Reverse Search'!$L$11,1,0),IF(L713='Reverse Search'!$L$11,1,0)))))</f>
        <v>1</v>
      </c>
      <c r="Z713" s="0" t="n">
        <f aca="true">IF('Reverse Search'!$C$14="Disable",1,IF('Reverse Search'!$D$16="Disable",1,IF($C$2=3,IF($M713=0,0,COUNTIF(INDIRECT("'0.0.2 Pokémon Learnset (Core)'!$D$"&amp;MATCH($E713,'0.0.2 Pokémon Learnset (Core)'!$A$1:$A951,0)&amp;":$FK$"&amp;MATCH($E713,'0.0.2 Pokémon Learnset (Core)'!$A$1:$A951,0)),'Reverse Search'!$E$21)),IF($C$2=2,COUNTIF(INDIRECT("'0.1.1 Pokémon GO Moves'!$B$"&amp;MATCH($E713,'0.1.1 Pokémon GO Moves'!$A$1:$A951,0)&amp;":$R$"&amp;MATCH($E713,'0.1.1 Pokémon GO Moves'!$A$1:$A951,0)),'Reverse Search'!$E$21),COUNTIF(INDIRECT("'0.1.1 Pokémon GO Moves'!$B$"&amp;MATCH($E713,'0.1.1 Pokémon GO Moves'!$A$1:$A951,0)&amp;":$L$"&amp;MATCH($E713,'0.1.1 Pokémon GO Moves'!$A$1:$A951,0)),'Reverse Search'!$E$21)))))</f>
        <v>1</v>
      </c>
      <c r="AA713" s="0" t="n">
        <f aca="true">IF('Reverse Search'!$C$14="Disable",1,IF('Reverse Search'!$I$16="Disable",1,IF($D$2=3,IF($M713=0,0,COUNTIF(INDIRECT("'0.0.2 Pokémon Learnset (Core)'!$D$"&amp;MATCH($E713,'0.0.2 Pokémon Learnset (Core)'!$A$1:$A951,0)&amp;":$FK$"&amp;MATCH($E713,'0.0.2 Pokémon Learnset (Core)'!$A$1:$A951,0)),'Reverse Search'!$J$21)),IF($D$2=2,COUNTIF(INDIRECT("'0.1.1 Pokémon GO Moves'!$B$"&amp;MATCH($E713,'0.1.1 Pokémon GO Moves'!$A$1:$A951,0)&amp;":$R$"&amp;MATCH($E713,'0.1.1 Pokémon GO Moves'!$A$1:$A951,0)),'Reverse Search'!$J$21),COUNTIF(INDIRECT("'0.1.1 Pokémon GO Moves'!$B$"&amp;MATCH($E713,'0.1.1 Pokémon GO Moves'!$A$1:$A951,0)&amp;":$L$"&amp;MATCH($E713,'0.1.1 Pokémon GO Moves'!$A$1:$A951,0)),'Reverse Search'!$J$21)))))</f>
        <v>0</v>
      </c>
      <c r="AB713" s="490"/>
      <c r="AC713" s="260" t="n">
        <f aca="false">IF((Q713+R713+S713+V713+W713+X713+Y713+IF(Z713&gt;=1,1,0)+IF(AA713&gt;=1,1,0))=9,G713&amp;", ",)</f>
        <v>0</v>
      </c>
    </row>
    <row r="714" customFormat="false" ht="15.75" hidden="false" customHeight="false" outlineLevel="0" collapsed="false">
      <c r="A714" s="260"/>
      <c r="B714" s="358"/>
      <c r="C714" s="260"/>
      <c r="D714" s="358"/>
      <c r="E714" s="260" t="n">
        <v>713</v>
      </c>
      <c r="F714" s="260" t="n">
        <f aca="false" t="array" ref="F714:F714">INDEX('0.0.1 Pokémon Dex Data'!$H$3:$H951,MATCH(E714,'0.0.1 Pokémon Dex Data'!$B$3:$B951,0))</f>
        <v>0</v>
      </c>
      <c r="G714" s="0" t="str">
        <f aca="false" t="array" ref="G714:G714">INDEX('0.0.1 Pokémon Dex Data'!$E$3:$E951,MATCH(E714,'0.0.1 Pokémon Dex Data'!$B$3:$B951,0))</f>
        <v>Cubchoo</v>
      </c>
      <c r="H714" s="0" t="str">
        <f aca="false" t="array" ref="H714:H714">INDEX('0.0.1 Pokémon Dex Data'!$Q$3:$Q951,MATCH(E714,'0.0.1 Pokémon Dex Data'!$B$3:$B951,0))</f>
        <v>Ice</v>
      </c>
      <c r="I714" s="0" t="n">
        <f aca="false">INDEX('0.0.1 Pokémon Dex Data'!$R$3:$R951,MATCH(E714,'0.0.1 Pokémon Dex Data'!$B$3:$B951,0))</f>
        <v>0</v>
      </c>
      <c r="J714" s="260" t="n">
        <f aca="false" t="array" ref="J714:J714">ROUND(INDEX('0.0.1 Pokémon Dex Data'!$S$3:$S951,MATCH($E714,'0.0.1 Pokémon Dex Data'!$B$3:$B951,0))*INDEX('0.0.1 Pokémon Dex Data'!T$3:T951,MATCH($E714,'0.0.1 Pokémon Dex Data'!$B$3:$B951,0)),0)</f>
        <v>128</v>
      </c>
      <c r="K714" s="260" t="n">
        <f aca="false" t="array" ref="K714:K714">ROUND(INDEX('0.0.1 Pokémon Dex Data'!$S$3:$S951,MATCH($E714,'0.0.1 Pokémon Dex Data'!$B$3:$B951,0))*INDEX('0.0.1 Pokémon Dex Data'!U$3:U951,MATCH($E714,'0.0.1 Pokémon Dex Data'!$B$3:$B951,0)),0)</f>
        <v>74</v>
      </c>
      <c r="L714" s="260" t="n">
        <f aca="false" t="array" ref="L714:L714">ROUND(INDEX('0.0.1 Pokémon Dex Data'!$S$3:$S951,MATCH($E714,'0.0.1 Pokémon Dex Data'!$B$3:$B951,0))*INDEX('0.0.1 Pokémon Dex Data'!V$3:V951,MATCH($E714,'0.0.1 Pokémon Dex Data'!$B$3:$B951,0)),0)</f>
        <v>146</v>
      </c>
      <c r="M714" s="260" t="n">
        <f aca="false" t="array" ref="M714:M714">INDEX('0.0.1 Pokémon Dex Data'!$J$3:$J951,MATCH(E714,'0.0.1 Pokémon Dex Data'!$B$3:$B951,0))</f>
        <v>0</v>
      </c>
      <c r="O714" s="490"/>
      <c r="Q714" s="367" t="n">
        <f aca="false">IF('Reverse Search'!$F$4="All (including temporary formes)",1,IF('Reverse Search'!$F$4="Base Pokémon and permanent formes only",IF(F714&lt;=1,1,0),IF(F714=0,1,0)))</f>
        <v>1</v>
      </c>
      <c r="R714" s="0" t="n">
        <f aca="false">IF('Reverse Search'!$C$7="Disable",1,IF('Reverse Search'!$D$9="Disable",1,IF(OR('Reverse Search'!$F$9=H714,'Reverse Search'!$F$9=I714),1,0)))</f>
        <v>1</v>
      </c>
      <c r="S714" s="0" t="n">
        <f aca="false">IF('Reverse Search'!$C$7="Disable",1,IF('Reverse Search'!$D$10="Disable",1,IF(OR('Reverse Search'!$F$10=H714,'Reverse Search'!$F$10=I714),1,0)))</f>
        <v>1</v>
      </c>
      <c r="T714" s="0" t="n">
        <f aca="false">INDEX($B$4:$B$22,MATCH(H714,$A$4:$A$22,0))</f>
        <v>1</v>
      </c>
      <c r="U714" s="0" t="e">
        <f aca="false">IF(ISBLANK(I714),1,INDEX($B$4:$B$22,MATCH(I714,$A$4:$A$22,0)))</f>
        <v>#N/A</v>
      </c>
      <c r="V714" s="367" t="n">
        <f aca="false">IF('Reverse Search'!$C$7="Disable",1,IF('Reverse Search'!$D$11="Disable",1,IF('Reverse Search'!$E$11="Neutral to:",IF(ROUND(T714*U714,2)&lt;=1,1,0),IF(ROUND(T714*U714,2)&lt;1,1,0))))</f>
        <v>1</v>
      </c>
      <c r="W714" s="0" t="n">
        <f aca="false">IF('Reverse Search'!$N$7="Disable",1,IF('Reverse Search'!$I$9="Disable",1,IF('Reverse Search'!$K$9="≥",IF(J714&gt;='Reverse Search'!$L$9,1,0),IF('Reverse Search'!$K$9="≤",IF(J714&lt;='Reverse Search'!$L$9,1,0),IF(J714='Reverse Search'!$L$9,1,0)))))</f>
        <v>1</v>
      </c>
      <c r="X714" s="0" t="n">
        <f aca="false">IF('Reverse Search'!$N$7="Disable",1,IF('Reverse Search'!$I$10="Disable",1,IF('Reverse Search'!$K$10="≥",IF(K714&gt;='Reverse Search'!$L$10,1,0),IF('Reverse Search'!$K$10="≤",IF(K714&lt;='Reverse Search'!$L$10,1,0),IF(K714='Reverse Search'!$L$10,1,0)))))</f>
        <v>1</v>
      </c>
      <c r="Y714" s="367" t="n">
        <f aca="false">IF('Reverse Search'!$N$7="Disable",1,IF('Reverse Search'!$I$11="Disable",1,IF('Reverse Search'!$K$11="≥",IF(L714&gt;='Reverse Search'!$L$11,1,0),IF('Reverse Search'!$K$11="≤",IF(L714&lt;='Reverse Search'!$L$11,1,0),IF(L714='Reverse Search'!$L$11,1,0)))))</f>
        <v>1</v>
      </c>
      <c r="Z714" s="0" t="n">
        <f aca="true">IF('Reverse Search'!$C$14="Disable",1,IF('Reverse Search'!$D$16="Disable",1,IF($C$2=3,IF($M714=0,0,COUNTIF(INDIRECT("'0.0.2 Pokémon Learnset (Core)'!$D$"&amp;MATCH($E714,'0.0.2 Pokémon Learnset (Core)'!$A$1:$A951,0)&amp;":$FK$"&amp;MATCH($E714,'0.0.2 Pokémon Learnset (Core)'!$A$1:$A951,0)),'Reverse Search'!$E$21)),IF($C$2=2,COUNTIF(INDIRECT("'0.1.1 Pokémon GO Moves'!$B$"&amp;MATCH($E714,'0.1.1 Pokémon GO Moves'!$A$1:$A951,0)&amp;":$R$"&amp;MATCH($E714,'0.1.1 Pokémon GO Moves'!$A$1:$A951,0)),'Reverse Search'!$E$21),COUNTIF(INDIRECT("'0.1.1 Pokémon GO Moves'!$B$"&amp;MATCH($E714,'0.1.1 Pokémon GO Moves'!$A$1:$A951,0)&amp;":$L$"&amp;MATCH($E714,'0.1.1 Pokémon GO Moves'!$A$1:$A951,0)),'Reverse Search'!$E$21)))))</f>
        <v>1</v>
      </c>
      <c r="AA714" s="0" t="n">
        <f aca="true">IF('Reverse Search'!$C$14="Disable",1,IF('Reverse Search'!$I$16="Disable",1,IF($D$2=3,IF($M714=0,0,COUNTIF(INDIRECT("'0.0.2 Pokémon Learnset (Core)'!$D$"&amp;MATCH($E714,'0.0.2 Pokémon Learnset (Core)'!$A$1:$A951,0)&amp;":$FK$"&amp;MATCH($E714,'0.0.2 Pokémon Learnset (Core)'!$A$1:$A951,0)),'Reverse Search'!$J$21)),IF($D$2=2,COUNTIF(INDIRECT("'0.1.1 Pokémon GO Moves'!$B$"&amp;MATCH($E714,'0.1.1 Pokémon GO Moves'!$A$1:$A951,0)&amp;":$R$"&amp;MATCH($E714,'0.1.1 Pokémon GO Moves'!$A$1:$A951,0)),'Reverse Search'!$J$21),COUNTIF(INDIRECT("'0.1.1 Pokémon GO Moves'!$B$"&amp;MATCH($E714,'0.1.1 Pokémon GO Moves'!$A$1:$A951,0)&amp;":$L$"&amp;MATCH($E714,'0.1.1 Pokémon GO Moves'!$A$1:$A951,0)),'Reverse Search'!$J$21)))))</f>
        <v>0</v>
      </c>
      <c r="AB714" s="490"/>
      <c r="AC714" s="260" t="n">
        <f aca="false">IF((Q714+R714+S714+V714+W714+X714+Y714+IF(Z714&gt;=1,1,0)+IF(AA714&gt;=1,1,0))=9,G714&amp;", ",)</f>
        <v>0</v>
      </c>
    </row>
    <row r="715" customFormat="false" ht="15.75" hidden="false" customHeight="false" outlineLevel="0" collapsed="false">
      <c r="A715" s="260"/>
      <c r="B715" s="358"/>
      <c r="C715" s="260"/>
      <c r="D715" s="358"/>
      <c r="E715" s="260" t="n">
        <v>714</v>
      </c>
      <c r="F715" s="260" t="n">
        <f aca="false" t="array" ref="F715:F715">INDEX('0.0.1 Pokémon Dex Data'!$H$3:$H951,MATCH(E715,'0.0.1 Pokémon Dex Data'!$B$3:$B951,0))</f>
        <v>0</v>
      </c>
      <c r="G715" s="0" t="str">
        <f aca="false" t="array" ref="G715:G715">INDEX('0.0.1 Pokémon Dex Data'!$E$3:$E951,MATCH(E715,'0.0.1 Pokémon Dex Data'!$B$3:$B951,0))</f>
        <v>Beartic</v>
      </c>
      <c r="H715" s="0" t="str">
        <f aca="false" t="array" ref="H715:H715">INDEX('0.0.1 Pokémon Dex Data'!$Q$3:$Q951,MATCH(E715,'0.0.1 Pokémon Dex Data'!$B$3:$B951,0))</f>
        <v>Ice</v>
      </c>
      <c r="I715" s="0" t="n">
        <f aca="false">INDEX('0.0.1 Pokémon Dex Data'!$R$3:$R951,MATCH(E715,'0.0.1 Pokémon Dex Data'!$B$3:$B951,0))</f>
        <v>0</v>
      </c>
      <c r="J715" s="260" t="n">
        <f aca="false" t="array" ref="J715:J715">ROUND(INDEX('0.0.1 Pokémon Dex Data'!$S$3:$S951,MATCH($E715,'0.0.1 Pokémon Dex Data'!$B$3:$B951,0))*INDEX('0.0.1 Pokémon Dex Data'!T$3:T951,MATCH($E715,'0.0.1 Pokémon Dex Data'!$B$3:$B951,0)),0)</f>
        <v>233</v>
      </c>
      <c r="K715" s="260" t="n">
        <f aca="false" t="array" ref="K715:K715">ROUND(INDEX('0.0.1 Pokémon Dex Data'!$S$3:$S951,MATCH($E715,'0.0.1 Pokémon Dex Data'!$B$3:$B951,0))*INDEX('0.0.1 Pokémon Dex Data'!U$3:U951,MATCH($E715,'0.0.1 Pokémon Dex Data'!$B$3:$B951,0)),0)</f>
        <v>152</v>
      </c>
      <c r="L715" s="260" t="n">
        <f aca="false" t="array" ref="L715:L715">ROUND(INDEX('0.0.1 Pokémon Dex Data'!$S$3:$S951,MATCH($E715,'0.0.1 Pokémon Dex Data'!$B$3:$B951,0))*INDEX('0.0.1 Pokémon Dex Data'!V$3:V951,MATCH($E715,'0.0.1 Pokémon Dex Data'!$B$3:$B951,0)),0)</f>
        <v>216</v>
      </c>
      <c r="M715" s="260" t="n">
        <f aca="false" t="array" ref="M715:M715">INDEX('0.0.1 Pokémon Dex Data'!$J$3:$J951,MATCH(E715,'0.0.1 Pokémon Dex Data'!$B$3:$B951,0))</f>
        <v>1</v>
      </c>
      <c r="O715" s="490"/>
      <c r="Q715" s="367" t="n">
        <f aca="false">IF('Reverse Search'!$F$4="All (including temporary formes)",1,IF('Reverse Search'!$F$4="Base Pokémon and permanent formes only",IF(F715&lt;=1,1,0),IF(F715=0,1,0)))</f>
        <v>1</v>
      </c>
      <c r="R715" s="0" t="n">
        <f aca="false">IF('Reverse Search'!$C$7="Disable",1,IF('Reverse Search'!$D$9="Disable",1,IF(OR('Reverse Search'!$F$9=H715,'Reverse Search'!$F$9=I715),1,0)))</f>
        <v>1</v>
      </c>
      <c r="S715" s="0" t="n">
        <f aca="false">IF('Reverse Search'!$C$7="Disable",1,IF('Reverse Search'!$D$10="Disable",1,IF(OR('Reverse Search'!$F$10=H715,'Reverse Search'!$F$10=I715),1,0)))</f>
        <v>1</v>
      </c>
      <c r="T715" s="0" t="n">
        <f aca="false">INDEX($B$4:$B$22,MATCH(H715,$A$4:$A$22,0))</f>
        <v>1</v>
      </c>
      <c r="U715" s="0" t="e">
        <f aca="false">IF(ISBLANK(I715),1,INDEX($B$4:$B$22,MATCH(I715,$A$4:$A$22,0)))</f>
        <v>#N/A</v>
      </c>
      <c r="V715" s="367" t="n">
        <f aca="false">IF('Reverse Search'!$C$7="Disable",1,IF('Reverse Search'!$D$11="Disable",1,IF('Reverse Search'!$E$11="Neutral to:",IF(ROUND(T715*U715,2)&lt;=1,1,0),IF(ROUND(T715*U715,2)&lt;1,1,0))))</f>
        <v>1</v>
      </c>
      <c r="W715" s="0" t="n">
        <f aca="false">IF('Reverse Search'!$N$7="Disable",1,IF('Reverse Search'!$I$9="Disable",1,IF('Reverse Search'!$K$9="≥",IF(J715&gt;='Reverse Search'!$L$9,1,0),IF('Reverse Search'!$K$9="≤",IF(J715&lt;='Reverse Search'!$L$9,1,0),IF(J715='Reverse Search'!$L$9,1,0)))))</f>
        <v>1</v>
      </c>
      <c r="X715" s="0" t="n">
        <f aca="false">IF('Reverse Search'!$N$7="Disable",1,IF('Reverse Search'!$I$10="Disable",1,IF('Reverse Search'!$K$10="≥",IF(K715&gt;='Reverse Search'!$L$10,1,0),IF('Reverse Search'!$K$10="≤",IF(K715&lt;='Reverse Search'!$L$10,1,0),IF(K715='Reverse Search'!$L$10,1,0)))))</f>
        <v>1</v>
      </c>
      <c r="Y715" s="367" t="n">
        <f aca="false">IF('Reverse Search'!$N$7="Disable",1,IF('Reverse Search'!$I$11="Disable",1,IF('Reverse Search'!$K$11="≥",IF(L715&gt;='Reverse Search'!$L$11,1,0),IF('Reverse Search'!$K$11="≤",IF(L715&lt;='Reverse Search'!$L$11,1,0),IF(L715='Reverse Search'!$L$11,1,0)))))</f>
        <v>1</v>
      </c>
      <c r="Z715" s="0" t="n">
        <f aca="true">IF('Reverse Search'!$C$14="Disable",1,IF('Reverse Search'!$D$16="Disable",1,IF($C$2=3,IF($M715=0,0,COUNTIF(INDIRECT("'0.0.2 Pokémon Learnset (Core)'!$D$"&amp;MATCH($E715,'0.0.2 Pokémon Learnset (Core)'!$A$1:$A951,0)&amp;":$FK$"&amp;MATCH($E715,'0.0.2 Pokémon Learnset (Core)'!$A$1:$A951,0)),'Reverse Search'!$E$21)),IF($C$2=2,COUNTIF(INDIRECT("'0.1.1 Pokémon GO Moves'!$B$"&amp;MATCH($E715,'0.1.1 Pokémon GO Moves'!$A$1:$A951,0)&amp;":$R$"&amp;MATCH($E715,'0.1.1 Pokémon GO Moves'!$A$1:$A951,0)),'Reverse Search'!$E$21),COUNTIF(INDIRECT("'0.1.1 Pokémon GO Moves'!$B$"&amp;MATCH($E715,'0.1.1 Pokémon GO Moves'!$A$1:$A951,0)&amp;":$L$"&amp;MATCH($E715,'0.1.1 Pokémon GO Moves'!$A$1:$A951,0)),'Reverse Search'!$E$21)))))</f>
        <v>1</v>
      </c>
      <c r="AA715" s="0" t="n">
        <f aca="true">IF('Reverse Search'!$C$14="Disable",1,IF('Reverse Search'!$I$16="Disable",1,IF($D$2=3,IF($M715=0,0,COUNTIF(INDIRECT("'0.0.2 Pokémon Learnset (Core)'!$D$"&amp;MATCH($E715,'0.0.2 Pokémon Learnset (Core)'!$A$1:$A951,0)&amp;":$FK$"&amp;MATCH($E715,'0.0.2 Pokémon Learnset (Core)'!$A$1:$A951,0)),'Reverse Search'!$J$21)),IF($D$2=2,COUNTIF(INDIRECT("'0.1.1 Pokémon GO Moves'!$B$"&amp;MATCH($E715,'0.1.1 Pokémon GO Moves'!$A$1:$A951,0)&amp;":$R$"&amp;MATCH($E715,'0.1.1 Pokémon GO Moves'!$A$1:$A951,0)),'Reverse Search'!$J$21),COUNTIF(INDIRECT("'0.1.1 Pokémon GO Moves'!$B$"&amp;MATCH($E715,'0.1.1 Pokémon GO Moves'!$A$1:$A951,0)&amp;":$L$"&amp;MATCH($E715,'0.1.1 Pokémon GO Moves'!$A$1:$A951,0)),'Reverse Search'!$J$21)))))</f>
        <v>0</v>
      </c>
      <c r="AB715" s="490"/>
      <c r="AC715" s="260" t="n">
        <f aca="false">IF((Q715+R715+S715+V715+W715+X715+Y715+IF(Z715&gt;=1,1,0)+IF(AA715&gt;=1,1,0))=9,G715&amp;", ",)</f>
        <v>0</v>
      </c>
    </row>
    <row r="716" customFormat="false" ht="15.75" hidden="false" customHeight="false" outlineLevel="0" collapsed="false">
      <c r="A716" s="260"/>
      <c r="B716" s="358"/>
      <c r="C716" s="260"/>
      <c r="D716" s="358"/>
      <c r="E716" s="260" t="n">
        <v>715</v>
      </c>
      <c r="F716" s="260" t="n">
        <f aca="false" t="array" ref="F716:F716">INDEX('0.0.1 Pokémon Dex Data'!$H$3:$H951,MATCH(E716,'0.0.1 Pokémon Dex Data'!$B$3:$B951,0))</f>
        <v>0</v>
      </c>
      <c r="G716" s="0" t="str">
        <f aca="false" t="array" ref="G716:G716">INDEX('0.0.1 Pokémon Dex Data'!$E$3:$E951,MATCH(E716,'0.0.1 Pokémon Dex Data'!$B$3:$B951,0))</f>
        <v>Cryogonal</v>
      </c>
      <c r="H716" s="0" t="str">
        <f aca="false" t="array" ref="H716:H716">INDEX('0.0.1 Pokémon Dex Data'!$Q$3:$Q951,MATCH(E716,'0.0.1 Pokémon Dex Data'!$B$3:$B951,0))</f>
        <v>Ice</v>
      </c>
      <c r="I716" s="0" t="n">
        <f aca="false">INDEX('0.0.1 Pokémon Dex Data'!$R$3:$R951,MATCH(E716,'0.0.1 Pokémon Dex Data'!$B$3:$B951,0))</f>
        <v>0</v>
      </c>
      <c r="J716" s="260" t="n">
        <f aca="false" t="array" ref="J716:J716">ROUND(INDEX('0.0.1 Pokémon Dex Data'!$S$3:$S951,MATCH($E716,'0.0.1 Pokémon Dex Data'!$B$3:$B951,0))*INDEX('0.0.1 Pokémon Dex Data'!T$3:T951,MATCH($E716,'0.0.1 Pokémon Dex Data'!$B$3:$B951,0)),0)</f>
        <v>190</v>
      </c>
      <c r="K716" s="260" t="n">
        <f aca="false" t="array" ref="K716:K716">ROUND(INDEX('0.0.1 Pokémon Dex Data'!$S$3:$S951,MATCH($E716,'0.0.1 Pokémon Dex Data'!$B$3:$B951,0))*INDEX('0.0.1 Pokémon Dex Data'!U$3:U951,MATCH($E716,'0.0.1 Pokémon Dex Data'!$B$3:$B951,0)),0)</f>
        <v>218</v>
      </c>
      <c r="L716" s="260" t="n">
        <f aca="false" t="array" ref="L716:L716">ROUND(INDEX('0.0.1 Pokémon Dex Data'!$S$3:$S951,MATCH($E716,'0.0.1 Pokémon Dex Data'!$B$3:$B951,0))*INDEX('0.0.1 Pokémon Dex Data'!V$3:V951,MATCH($E716,'0.0.1 Pokémon Dex Data'!$B$3:$B951,0)),0)</f>
        <v>190</v>
      </c>
      <c r="M716" s="260" t="n">
        <f aca="false" t="array" ref="M716:M716">INDEX('0.0.1 Pokémon Dex Data'!$J$3:$J951,MATCH(E716,'0.0.1 Pokémon Dex Data'!$B$3:$B951,0))</f>
        <v>1</v>
      </c>
      <c r="O716" s="490"/>
      <c r="Q716" s="367" t="n">
        <f aca="false">IF('Reverse Search'!$F$4="All (including temporary formes)",1,IF('Reverse Search'!$F$4="Base Pokémon and permanent formes only",IF(F716&lt;=1,1,0),IF(F716=0,1,0)))</f>
        <v>1</v>
      </c>
      <c r="R716" s="0" t="n">
        <f aca="false">IF('Reverse Search'!$C$7="Disable",1,IF('Reverse Search'!$D$9="Disable",1,IF(OR('Reverse Search'!$F$9=H716,'Reverse Search'!$F$9=I716),1,0)))</f>
        <v>1</v>
      </c>
      <c r="S716" s="0" t="n">
        <f aca="false">IF('Reverse Search'!$C$7="Disable",1,IF('Reverse Search'!$D$10="Disable",1,IF(OR('Reverse Search'!$F$10=H716,'Reverse Search'!$F$10=I716),1,0)))</f>
        <v>1</v>
      </c>
      <c r="T716" s="0" t="n">
        <f aca="false">INDEX($B$4:$B$22,MATCH(H716,$A$4:$A$22,0))</f>
        <v>1</v>
      </c>
      <c r="U716" s="0" t="e">
        <f aca="false">IF(ISBLANK(I716),1,INDEX($B$4:$B$22,MATCH(I716,$A$4:$A$22,0)))</f>
        <v>#N/A</v>
      </c>
      <c r="V716" s="367" t="n">
        <f aca="false">IF('Reverse Search'!$C$7="Disable",1,IF('Reverse Search'!$D$11="Disable",1,IF('Reverse Search'!$E$11="Neutral to:",IF(ROUND(T716*U716,2)&lt;=1,1,0),IF(ROUND(T716*U716,2)&lt;1,1,0))))</f>
        <v>1</v>
      </c>
      <c r="W716" s="0" t="n">
        <f aca="false">IF('Reverse Search'!$N$7="Disable",1,IF('Reverse Search'!$I$9="Disable",1,IF('Reverse Search'!$K$9="≥",IF(J716&gt;='Reverse Search'!$L$9,1,0),IF('Reverse Search'!$K$9="≤",IF(J716&lt;='Reverse Search'!$L$9,1,0),IF(J716='Reverse Search'!$L$9,1,0)))))</f>
        <v>1</v>
      </c>
      <c r="X716" s="0" t="n">
        <f aca="false">IF('Reverse Search'!$N$7="Disable",1,IF('Reverse Search'!$I$10="Disable",1,IF('Reverse Search'!$K$10="≥",IF(K716&gt;='Reverse Search'!$L$10,1,0),IF('Reverse Search'!$K$10="≤",IF(K716&lt;='Reverse Search'!$L$10,1,0),IF(K716='Reverse Search'!$L$10,1,0)))))</f>
        <v>1</v>
      </c>
      <c r="Y716" s="367" t="n">
        <f aca="false">IF('Reverse Search'!$N$7="Disable",1,IF('Reverse Search'!$I$11="Disable",1,IF('Reverse Search'!$K$11="≥",IF(L716&gt;='Reverse Search'!$L$11,1,0),IF('Reverse Search'!$K$11="≤",IF(L716&lt;='Reverse Search'!$L$11,1,0),IF(L716='Reverse Search'!$L$11,1,0)))))</f>
        <v>1</v>
      </c>
      <c r="Z716" s="0" t="n">
        <f aca="true">IF('Reverse Search'!$C$14="Disable",1,IF('Reverse Search'!$D$16="Disable",1,IF($C$2=3,IF($M716=0,0,COUNTIF(INDIRECT("'0.0.2 Pokémon Learnset (Core)'!$D$"&amp;MATCH($E716,'0.0.2 Pokémon Learnset (Core)'!$A$1:$A951,0)&amp;":$FK$"&amp;MATCH($E716,'0.0.2 Pokémon Learnset (Core)'!$A$1:$A951,0)),'Reverse Search'!$E$21)),IF($C$2=2,COUNTIF(INDIRECT("'0.1.1 Pokémon GO Moves'!$B$"&amp;MATCH($E716,'0.1.1 Pokémon GO Moves'!$A$1:$A951,0)&amp;":$R$"&amp;MATCH($E716,'0.1.1 Pokémon GO Moves'!$A$1:$A951,0)),'Reverse Search'!$E$21),COUNTIF(INDIRECT("'0.1.1 Pokémon GO Moves'!$B$"&amp;MATCH($E716,'0.1.1 Pokémon GO Moves'!$A$1:$A951,0)&amp;":$L$"&amp;MATCH($E716,'0.1.1 Pokémon GO Moves'!$A$1:$A951,0)),'Reverse Search'!$E$21)))))</f>
        <v>1</v>
      </c>
      <c r="AA716" s="0" t="n">
        <f aca="true">IF('Reverse Search'!$C$14="Disable",1,IF('Reverse Search'!$I$16="Disable",1,IF($D$2=3,IF($M716=0,0,COUNTIF(INDIRECT("'0.0.2 Pokémon Learnset (Core)'!$D$"&amp;MATCH($E716,'0.0.2 Pokémon Learnset (Core)'!$A$1:$A951,0)&amp;":$FK$"&amp;MATCH($E716,'0.0.2 Pokémon Learnset (Core)'!$A$1:$A951,0)),'Reverse Search'!$J$21)),IF($D$2=2,COUNTIF(INDIRECT("'0.1.1 Pokémon GO Moves'!$B$"&amp;MATCH($E716,'0.1.1 Pokémon GO Moves'!$A$1:$A951,0)&amp;":$R$"&amp;MATCH($E716,'0.1.1 Pokémon GO Moves'!$A$1:$A951,0)),'Reverse Search'!$J$21),COUNTIF(INDIRECT("'0.1.1 Pokémon GO Moves'!$B$"&amp;MATCH($E716,'0.1.1 Pokémon GO Moves'!$A$1:$A951,0)&amp;":$L$"&amp;MATCH($E716,'0.1.1 Pokémon GO Moves'!$A$1:$A951,0)),'Reverse Search'!$J$21)))))</f>
        <v>0</v>
      </c>
      <c r="AB716" s="490"/>
      <c r="AC716" s="260" t="n">
        <f aca="false">IF((Q716+R716+S716+V716+W716+X716+Y716+IF(Z716&gt;=1,1,0)+IF(AA716&gt;=1,1,0))=9,G716&amp;", ",)</f>
        <v>0</v>
      </c>
    </row>
    <row r="717" customFormat="false" ht="15.75" hidden="false" customHeight="false" outlineLevel="0" collapsed="false">
      <c r="A717" s="260"/>
      <c r="B717" s="358"/>
      <c r="C717" s="260"/>
      <c r="D717" s="358"/>
      <c r="E717" s="260" t="n">
        <v>716</v>
      </c>
      <c r="F717" s="260" t="n">
        <f aca="false" t="array" ref="F717:F717">INDEX('0.0.1 Pokémon Dex Data'!$H$3:$H951,MATCH(E717,'0.0.1 Pokémon Dex Data'!$B$3:$B951,0))</f>
        <v>0</v>
      </c>
      <c r="G717" s="0" t="str">
        <f aca="false" t="array" ref="G717:G717">INDEX('0.0.1 Pokémon Dex Data'!$E$3:$E951,MATCH(E717,'0.0.1 Pokémon Dex Data'!$B$3:$B951,0))</f>
        <v>Shelmet</v>
      </c>
      <c r="H717" s="0" t="str">
        <f aca="false" t="array" ref="H717:H717">INDEX('0.0.1 Pokémon Dex Data'!$Q$3:$Q951,MATCH(E717,'0.0.1 Pokémon Dex Data'!$B$3:$B951,0))</f>
        <v>Bug</v>
      </c>
      <c r="I717" s="0" t="n">
        <f aca="false">INDEX('0.0.1 Pokémon Dex Data'!$R$3:$R951,MATCH(E717,'0.0.1 Pokémon Dex Data'!$B$3:$B951,0))</f>
        <v>0</v>
      </c>
      <c r="J717" s="260" t="n">
        <f aca="false" t="array" ref="J717:J717">ROUND(INDEX('0.0.1 Pokémon Dex Data'!$S$3:$S951,MATCH($E717,'0.0.1 Pokémon Dex Data'!$B$3:$B951,0))*INDEX('0.0.1 Pokémon Dex Data'!T$3:T951,MATCH($E717,'0.0.1 Pokémon Dex Data'!$B$3:$B951,0)),0)</f>
        <v>72</v>
      </c>
      <c r="K717" s="260" t="n">
        <f aca="false" t="array" ref="K717:K717">ROUND(INDEX('0.0.1 Pokémon Dex Data'!$S$3:$S951,MATCH($E717,'0.0.1 Pokémon Dex Data'!$B$3:$B951,0))*INDEX('0.0.1 Pokémon Dex Data'!U$3:U951,MATCH($E717,'0.0.1 Pokémon Dex Data'!$B$3:$B951,0)),0)</f>
        <v>140</v>
      </c>
      <c r="L717" s="260" t="n">
        <f aca="false" t="array" ref="L717:L717">ROUND(INDEX('0.0.1 Pokémon Dex Data'!$S$3:$S951,MATCH($E717,'0.0.1 Pokémon Dex Data'!$B$3:$B951,0))*INDEX('0.0.1 Pokémon Dex Data'!V$3:V951,MATCH($E717,'0.0.1 Pokémon Dex Data'!$B$3:$B951,0)),0)</f>
        <v>137</v>
      </c>
      <c r="M717" s="260" t="n">
        <f aca="false" t="array" ref="M717:M717">INDEX('0.0.1 Pokémon Dex Data'!$J$3:$J951,MATCH(E717,'0.0.1 Pokémon Dex Data'!$B$3:$B951,0))</f>
        <v>0</v>
      </c>
      <c r="O717" s="490"/>
      <c r="Q717" s="367" t="n">
        <f aca="false">IF('Reverse Search'!$F$4="All (including temporary formes)",1,IF('Reverse Search'!$F$4="Base Pokémon and permanent formes only",IF(F717&lt;=1,1,0),IF(F717=0,1,0)))</f>
        <v>1</v>
      </c>
      <c r="R717" s="0" t="n">
        <f aca="false">IF('Reverse Search'!$C$7="Disable",1,IF('Reverse Search'!$D$9="Disable",1,IF(OR('Reverse Search'!$F$9=H717,'Reverse Search'!$F$9=I717),1,0)))</f>
        <v>1</v>
      </c>
      <c r="S717" s="0" t="n">
        <f aca="false">IF('Reverse Search'!$C$7="Disable",1,IF('Reverse Search'!$D$10="Disable",1,IF(OR('Reverse Search'!$F$10=H717,'Reverse Search'!$F$10=I717),1,0)))</f>
        <v>1</v>
      </c>
      <c r="T717" s="0" t="n">
        <f aca="false">INDEX($B$4:$B$22,MATCH(H717,$A$4:$A$22,0))</f>
        <v>1</v>
      </c>
      <c r="U717" s="0" t="e">
        <f aca="false">IF(ISBLANK(I717),1,INDEX($B$4:$B$22,MATCH(I717,$A$4:$A$22,0)))</f>
        <v>#N/A</v>
      </c>
      <c r="V717" s="367" t="n">
        <f aca="false">IF('Reverse Search'!$C$7="Disable",1,IF('Reverse Search'!$D$11="Disable",1,IF('Reverse Search'!$E$11="Neutral to:",IF(ROUND(T717*U717,2)&lt;=1,1,0),IF(ROUND(T717*U717,2)&lt;1,1,0))))</f>
        <v>1</v>
      </c>
      <c r="W717" s="0" t="n">
        <f aca="false">IF('Reverse Search'!$N$7="Disable",1,IF('Reverse Search'!$I$9="Disable",1,IF('Reverse Search'!$K$9="≥",IF(J717&gt;='Reverse Search'!$L$9,1,0),IF('Reverse Search'!$K$9="≤",IF(J717&lt;='Reverse Search'!$L$9,1,0),IF(J717='Reverse Search'!$L$9,1,0)))))</f>
        <v>1</v>
      </c>
      <c r="X717" s="0" t="n">
        <f aca="false">IF('Reverse Search'!$N$7="Disable",1,IF('Reverse Search'!$I$10="Disable",1,IF('Reverse Search'!$K$10="≥",IF(K717&gt;='Reverse Search'!$L$10,1,0),IF('Reverse Search'!$K$10="≤",IF(K717&lt;='Reverse Search'!$L$10,1,0),IF(K717='Reverse Search'!$L$10,1,0)))))</f>
        <v>1</v>
      </c>
      <c r="Y717" s="367" t="n">
        <f aca="false">IF('Reverse Search'!$N$7="Disable",1,IF('Reverse Search'!$I$11="Disable",1,IF('Reverse Search'!$K$11="≥",IF(L717&gt;='Reverse Search'!$L$11,1,0),IF('Reverse Search'!$K$11="≤",IF(L717&lt;='Reverse Search'!$L$11,1,0),IF(L717='Reverse Search'!$L$11,1,0)))))</f>
        <v>1</v>
      </c>
      <c r="Z717" s="0" t="n">
        <f aca="true">IF('Reverse Search'!$C$14="Disable",1,IF('Reverse Search'!$D$16="Disable",1,IF($C$2=3,IF($M717=0,0,COUNTIF(INDIRECT("'0.0.2 Pokémon Learnset (Core)'!$D$"&amp;MATCH($E717,'0.0.2 Pokémon Learnset (Core)'!$A$1:$A951,0)&amp;":$FK$"&amp;MATCH($E717,'0.0.2 Pokémon Learnset (Core)'!$A$1:$A951,0)),'Reverse Search'!$E$21)),IF($C$2=2,COUNTIF(INDIRECT("'0.1.1 Pokémon GO Moves'!$B$"&amp;MATCH($E717,'0.1.1 Pokémon GO Moves'!$A$1:$A951,0)&amp;":$R$"&amp;MATCH($E717,'0.1.1 Pokémon GO Moves'!$A$1:$A951,0)),'Reverse Search'!$E$21),COUNTIF(INDIRECT("'0.1.1 Pokémon GO Moves'!$B$"&amp;MATCH($E717,'0.1.1 Pokémon GO Moves'!$A$1:$A951,0)&amp;":$L$"&amp;MATCH($E717,'0.1.1 Pokémon GO Moves'!$A$1:$A951,0)),'Reverse Search'!$E$21)))))</f>
        <v>1</v>
      </c>
      <c r="AA717" s="0" t="n">
        <f aca="true">IF('Reverse Search'!$C$14="Disable",1,IF('Reverse Search'!$I$16="Disable",1,IF($D$2=3,IF($M717=0,0,COUNTIF(INDIRECT("'0.0.2 Pokémon Learnset (Core)'!$D$"&amp;MATCH($E717,'0.0.2 Pokémon Learnset (Core)'!$A$1:$A951,0)&amp;":$FK$"&amp;MATCH($E717,'0.0.2 Pokémon Learnset (Core)'!$A$1:$A951,0)),'Reverse Search'!$J$21)),IF($D$2=2,COUNTIF(INDIRECT("'0.1.1 Pokémon GO Moves'!$B$"&amp;MATCH($E717,'0.1.1 Pokémon GO Moves'!$A$1:$A951,0)&amp;":$R$"&amp;MATCH($E717,'0.1.1 Pokémon GO Moves'!$A$1:$A951,0)),'Reverse Search'!$J$21),COUNTIF(INDIRECT("'0.1.1 Pokémon GO Moves'!$B$"&amp;MATCH($E717,'0.1.1 Pokémon GO Moves'!$A$1:$A951,0)&amp;":$L$"&amp;MATCH($E717,'0.1.1 Pokémon GO Moves'!$A$1:$A951,0)),'Reverse Search'!$J$21)))))</f>
        <v>0</v>
      </c>
      <c r="AB717" s="490"/>
      <c r="AC717" s="260" t="n">
        <f aca="false">IF((Q717+R717+S717+V717+W717+X717+Y717+IF(Z717&gt;=1,1,0)+IF(AA717&gt;=1,1,0))=9,G717&amp;", ",)</f>
        <v>0</v>
      </c>
    </row>
    <row r="718" customFormat="false" ht="15.75" hidden="false" customHeight="false" outlineLevel="0" collapsed="false">
      <c r="A718" s="260"/>
      <c r="B718" s="358"/>
      <c r="C718" s="260"/>
      <c r="D718" s="358"/>
      <c r="E718" s="260" t="n">
        <v>717</v>
      </c>
      <c r="F718" s="260" t="n">
        <f aca="false" t="array" ref="F718:F718">INDEX('0.0.1 Pokémon Dex Data'!$H$3:$H951,MATCH(E718,'0.0.1 Pokémon Dex Data'!$B$3:$B951,0))</f>
        <v>0</v>
      </c>
      <c r="G718" s="0" t="str">
        <f aca="false" t="array" ref="G718:G718">INDEX('0.0.1 Pokémon Dex Data'!$E$3:$E951,MATCH(E718,'0.0.1 Pokémon Dex Data'!$B$3:$B951,0))</f>
        <v>Accelgor</v>
      </c>
      <c r="H718" s="0" t="str">
        <f aca="false" t="array" ref="H718:H718">INDEX('0.0.1 Pokémon Dex Data'!$Q$3:$Q951,MATCH(E718,'0.0.1 Pokémon Dex Data'!$B$3:$B951,0))</f>
        <v>Bug</v>
      </c>
      <c r="I718" s="0" t="n">
        <f aca="false">INDEX('0.0.1 Pokémon Dex Data'!$R$3:$R951,MATCH(E718,'0.0.1 Pokémon Dex Data'!$B$3:$B951,0))</f>
        <v>0</v>
      </c>
      <c r="J718" s="260" t="n">
        <f aca="false" t="array" ref="J718:J718">ROUND(INDEX('0.0.1 Pokémon Dex Data'!$S$3:$S951,MATCH($E718,'0.0.1 Pokémon Dex Data'!$B$3:$B951,0))*INDEX('0.0.1 Pokémon Dex Data'!T$3:T951,MATCH($E718,'0.0.1 Pokémon Dex Data'!$B$3:$B951,0)),0)</f>
        <v>220</v>
      </c>
      <c r="K718" s="260" t="n">
        <f aca="false" t="array" ref="K718:K718">ROUND(INDEX('0.0.1 Pokémon Dex Data'!$S$3:$S951,MATCH($E718,'0.0.1 Pokémon Dex Data'!$B$3:$B951,0))*INDEX('0.0.1 Pokémon Dex Data'!U$3:U951,MATCH($E718,'0.0.1 Pokémon Dex Data'!$B$3:$B951,0)),0)</f>
        <v>120</v>
      </c>
      <c r="L718" s="260" t="n">
        <f aca="false" t="array" ref="L718:L718">ROUND(INDEX('0.0.1 Pokémon Dex Data'!$S$3:$S951,MATCH($E718,'0.0.1 Pokémon Dex Data'!$B$3:$B951,0))*INDEX('0.0.1 Pokémon Dex Data'!V$3:V951,MATCH($E718,'0.0.1 Pokémon Dex Data'!$B$3:$B951,0)),0)</f>
        <v>190</v>
      </c>
      <c r="M718" s="260" t="n">
        <f aca="false" t="array" ref="M718:M718">INDEX('0.0.1 Pokémon Dex Data'!$J$3:$J951,MATCH(E718,'0.0.1 Pokémon Dex Data'!$B$3:$B951,0))</f>
        <v>1</v>
      </c>
      <c r="O718" s="490"/>
      <c r="Q718" s="367" t="n">
        <f aca="false">IF('Reverse Search'!$F$4="All (including temporary formes)",1,IF('Reverse Search'!$F$4="Base Pokémon and permanent formes only",IF(F718&lt;=1,1,0),IF(F718=0,1,0)))</f>
        <v>1</v>
      </c>
      <c r="R718" s="0" t="n">
        <f aca="false">IF('Reverse Search'!$C$7="Disable",1,IF('Reverse Search'!$D$9="Disable",1,IF(OR('Reverse Search'!$F$9=H718,'Reverse Search'!$F$9=I718),1,0)))</f>
        <v>1</v>
      </c>
      <c r="S718" s="0" t="n">
        <f aca="false">IF('Reverse Search'!$C$7="Disable",1,IF('Reverse Search'!$D$10="Disable",1,IF(OR('Reverse Search'!$F$10=H718,'Reverse Search'!$F$10=I718),1,0)))</f>
        <v>1</v>
      </c>
      <c r="T718" s="0" t="n">
        <f aca="false">INDEX($B$4:$B$22,MATCH(H718,$A$4:$A$22,0))</f>
        <v>1</v>
      </c>
      <c r="U718" s="0" t="e">
        <f aca="false">IF(ISBLANK(I718),1,INDEX($B$4:$B$22,MATCH(I718,$A$4:$A$22,0)))</f>
        <v>#N/A</v>
      </c>
      <c r="V718" s="367" t="n">
        <f aca="false">IF('Reverse Search'!$C$7="Disable",1,IF('Reverse Search'!$D$11="Disable",1,IF('Reverse Search'!$E$11="Neutral to:",IF(ROUND(T718*U718,2)&lt;=1,1,0),IF(ROUND(T718*U718,2)&lt;1,1,0))))</f>
        <v>1</v>
      </c>
      <c r="W718" s="0" t="n">
        <f aca="false">IF('Reverse Search'!$N$7="Disable",1,IF('Reverse Search'!$I$9="Disable",1,IF('Reverse Search'!$K$9="≥",IF(J718&gt;='Reverse Search'!$L$9,1,0),IF('Reverse Search'!$K$9="≤",IF(J718&lt;='Reverse Search'!$L$9,1,0),IF(J718='Reverse Search'!$L$9,1,0)))))</f>
        <v>1</v>
      </c>
      <c r="X718" s="0" t="n">
        <f aca="false">IF('Reverse Search'!$N$7="Disable",1,IF('Reverse Search'!$I$10="Disable",1,IF('Reverse Search'!$K$10="≥",IF(K718&gt;='Reverse Search'!$L$10,1,0),IF('Reverse Search'!$K$10="≤",IF(K718&lt;='Reverse Search'!$L$10,1,0),IF(K718='Reverse Search'!$L$10,1,0)))))</f>
        <v>1</v>
      </c>
      <c r="Y718" s="367" t="n">
        <f aca="false">IF('Reverse Search'!$N$7="Disable",1,IF('Reverse Search'!$I$11="Disable",1,IF('Reverse Search'!$K$11="≥",IF(L718&gt;='Reverse Search'!$L$11,1,0),IF('Reverse Search'!$K$11="≤",IF(L718&lt;='Reverse Search'!$L$11,1,0),IF(L718='Reverse Search'!$L$11,1,0)))))</f>
        <v>1</v>
      </c>
      <c r="Z718" s="0" t="n">
        <f aca="true">IF('Reverse Search'!$C$14="Disable",1,IF('Reverse Search'!$D$16="Disable",1,IF($C$2=3,IF($M718=0,0,COUNTIF(INDIRECT("'0.0.2 Pokémon Learnset (Core)'!$D$"&amp;MATCH($E718,'0.0.2 Pokémon Learnset (Core)'!$A$1:$A951,0)&amp;":$FK$"&amp;MATCH($E718,'0.0.2 Pokémon Learnset (Core)'!$A$1:$A951,0)),'Reverse Search'!$E$21)),IF($C$2=2,COUNTIF(INDIRECT("'0.1.1 Pokémon GO Moves'!$B$"&amp;MATCH($E718,'0.1.1 Pokémon GO Moves'!$A$1:$A951,0)&amp;":$R$"&amp;MATCH($E718,'0.1.1 Pokémon GO Moves'!$A$1:$A951,0)),'Reverse Search'!$E$21),COUNTIF(INDIRECT("'0.1.1 Pokémon GO Moves'!$B$"&amp;MATCH($E718,'0.1.1 Pokémon GO Moves'!$A$1:$A951,0)&amp;":$L$"&amp;MATCH($E718,'0.1.1 Pokémon GO Moves'!$A$1:$A951,0)),'Reverse Search'!$E$21)))))</f>
        <v>1</v>
      </c>
      <c r="AA718" s="0" t="n">
        <f aca="true">IF('Reverse Search'!$C$14="Disable",1,IF('Reverse Search'!$I$16="Disable",1,IF($D$2=3,IF($M718=0,0,COUNTIF(INDIRECT("'0.0.2 Pokémon Learnset (Core)'!$D$"&amp;MATCH($E718,'0.0.2 Pokémon Learnset (Core)'!$A$1:$A951,0)&amp;":$FK$"&amp;MATCH($E718,'0.0.2 Pokémon Learnset (Core)'!$A$1:$A951,0)),'Reverse Search'!$J$21)),IF($D$2=2,COUNTIF(INDIRECT("'0.1.1 Pokémon GO Moves'!$B$"&amp;MATCH($E718,'0.1.1 Pokémon GO Moves'!$A$1:$A951,0)&amp;":$R$"&amp;MATCH($E718,'0.1.1 Pokémon GO Moves'!$A$1:$A951,0)),'Reverse Search'!$J$21),COUNTIF(INDIRECT("'0.1.1 Pokémon GO Moves'!$B$"&amp;MATCH($E718,'0.1.1 Pokémon GO Moves'!$A$1:$A951,0)&amp;":$L$"&amp;MATCH($E718,'0.1.1 Pokémon GO Moves'!$A$1:$A951,0)),'Reverse Search'!$J$21)))))</f>
        <v>0</v>
      </c>
      <c r="AB718" s="490"/>
      <c r="AC718" s="260" t="n">
        <f aca="false">IF((Q718+R718+S718+V718+W718+X718+Y718+IF(Z718&gt;=1,1,0)+IF(AA718&gt;=1,1,0))=9,G718&amp;", ",)</f>
        <v>0</v>
      </c>
    </row>
    <row r="719" customFormat="false" ht="15.75" hidden="false" customHeight="false" outlineLevel="0" collapsed="false">
      <c r="A719" s="260"/>
      <c r="B719" s="358"/>
      <c r="C719" s="260"/>
      <c r="D719" s="358"/>
      <c r="E719" s="260" t="n">
        <v>718</v>
      </c>
      <c r="F719" s="260" t="n">
        <f aca="false" t="array" ref="F719:F719">INDEX('0.0.1 Pokémon Dex Data'!$H$3:$H951,MATCH(E719,'0.0.1 Pokémon Dex Data'!$B$3:$B951,0))</f>
        <v>0</v>
      </c>
      <c r="G719" s="0" t="str">
        <f aca="false" t="array" ref="G719:G719">INDEX('0.0.1 Pokémon Dex Data'!$E$3:$E951,MATCH(E719,'0.0.1 Pokémon Dex Data'!$B$3:$B951,0))</f>
        <v>Stunfisk</v>
      </c>
      <c r="H719" s="0" t="str">
        <f aca="false" t="array" ref="H719:H719">INDEX('0.0.1 Pokémon Dex Data'!$Q$3:$Q951,MATCH(E719,'0.0.1 Pokémon Dex Data'!$B$3:$B951,0))</f>
        <v>Ground</v>
      </c>
      <c r="I719" s="0" t="str">
        <f aca="false" t="array" ref="I719:I719">INDEX('0.0.1 Pokémon Dex Data'!$R$3:$R951,MATCH(E719,'0.0.1 Pokémon Dex Data'!$B$3:$B951,0))</f>
        <v>Electric</v>
      </c>
      <c r="J719" s="260" t="n">
        <f aca="false" t="array" ref="J719:J719">ROUND(INDEX('0.0.1 Pokémon Dex Data'!$S$3:$S951,MATCH($E719,'0.0.1 Pokémon Dex Data'!$B$3:$B951,0))*INDEX('0.0.1 Pokémon Dex Data'!T$3:T951,MATCH($E719,'0.0.1 Pokémon Dex Data'!$B$3:$B951,0)),0)</f>
        <v>144</v>
      </c>
      <c r="K719" s="260" t="n">
        <f aca="false" t="array" ref="K719:K719">ROUND(INDEX('0.0.1 Pokémon Dex Data'!$S$3:$S951,MATCH($E719,'0.0.1 Pokémon Dex Data'!$B$3:$B951,0))*INDEX('0.0.1 Pokémon Dex Data'!U$3:U951,MATCH($E719,'0.0.1 Pokémon Dex Data'!$B$3:$B951,0)),0)</f>
        <v>171</v>
      </c>
      <c r="L719" s="260" t="n">
        <f aca="false" t="array" ref="L719:L719">ROUND(INDEX('0.0.1 Pokémon Dex Data'!$S$3:$S951,MATCH($E719,'0.0.1 Pokémon Dex Data'!$B$3:$B951,0))*INDEX('0.0.1 Pokémon Dex Data'!V$3:V951,MATCH($E719,'0.0.1 Pokémon Dex Data'!$B$3:$B951,0)),0)</f>
        <v>240</v>
      </c>
      <c r="M719" s="260" t="n">
        <f aca="false" t="array" ref="M719:M719">INDEX('0.0.1 Pokémon Dex Data'!$J$3:$J951,MATCH(E719,'0.0.1 Pokémon Dex Data'!$B$3:$B951,0))</f>
        <v>1</v>
      </c>
      <c r="O719" s="490"/>
      <c r="Q719" s="367" t="n">
        <f aca="false">IF('Reverse Search'!$F$4="All (including temporary formes)",1,IF('Reverse Search'!$F$4="Base Pokémon and permanent formes only",IF(F719&lt;=1,1,0),IF(F719=0,1,0)))</f>
        <v>1</v>
      </c>
      <c r="R719" s="0" t="n">
        <f aca="false">IF('Reverse Search'!$C$7="Disable",1,IF('Reverse Search'!$D$9="Disable",1,IF(OR('Reverse Search'!$F$9=H719,'Reverse Search'!$F$9=I719),1,0)))</f>
        <v>1</v>
      </c>
      <c r="S719" s="0" t="n">
        <f aca="false">IF('Reverse Search'!$C$7="Disable",1,IF('Reverse Search'!$D$10="Disable",1,IF(OR('Reverse Search'!$F$10=H719,'Reverse Search'!$F$10=I719),1,0)))</f>
        <v>1</v>
      </c>
      <c r="T719" s="0" t="n">
        <f aca="false">INDEX($B$4:$B$22,MATCH(H719,$A$4:$A$22,0))</f>
        <v>1</v>
      </c>
      <c r="U719" s="0" t="n">
        <f aca="false">IF(ISBLANK(I719),1,INDEX($B$4:$B$22,MATCH(I719,$A$4:$A$22,0)))</f>
        <v>1</v>
      </c>
      <c r="V719" s="367" t="n">
        <f aca="false">IF('Reverse Search'!$C$7="Disable",1,IF('Reverse Search'!$D$11="Disable",1,IF('Reverse Search'!$E$11="Neutral to:",IF(ROUND(T719*U719,2)&lt;=1,1,0),IF(ROUND(T719*U719,2)&lt;1,1,0))))</f>
        <v>1</v>
      </c>
      <c r="W719" s="0" t="n">
        <f aca="false">IF('Reverse Search'!$N$7="Disable",1,IF('Reverse Search'!$I$9="Disable",1,IF('Reverse Search'!$K$9="≥",IF(J719&gt;='Reverse Search'!$L$9,1,0),IF('Reverse Search'!$K$9="≤",IF(J719&lt;='Reverse Search'!$L$9,1,0),IF(J719='Reverse Search'!$L$9,1,0)))))</f>
        <v>1</v>
      </c>
      <c r="X719" s="0" t="n">
        <f aca="false">IF('Reverse Search'!$N$7="Disable",1,IF('Reverse Search'!$I$10="Disable",1,IF('Reverse Search'!$K$10="≥",IF(K719&gt;='Reverse Search'!$L$10,1,0),IF('Reverse Search'!$K$10="≤",IF(K719&lt;='Reverse Search'!$L$10,1,0),IF(K719='Reverse Search'!$L$10,1,0)))))</f>
        <v>1</v>
      </c>
      <c r="Y719" s="367" t="n">
        <f aca="false">IF('Reverse Search'!$N$7="Disable",1,IF('Reverse Search'!$I$11="Disable",1,IF('Reverse Search'!$K$11="≥",IF(L719&gt;='Reverse Search'!$L$11,1,0),IF('Reverse Search'!$K$11="≤",IF(L719&lt;='Reverse Search'!$L$11,1,0),IF(L719='Reverse Search'!$L$11,1,0)))))</f>
        <v>1</v>
      </c>
      <c r="Z719" s="0" t="n">
        <f aca="true">IF('Reverse Search'!$C$14="Disable",1,IF('Reverse Search'!$D$16="Disable",1,IF($C$2=3,IF($M719=0,0,COUNTIF(INDIRECT("'0.0.2 Pokémon Learnset (Core)'!$D$"&amp;MATCH($E719,'0.0.2 Pokémon Learnset (Core)'!$A$1:$A951,0)&amp;":$FK$"&amp;MATCH($E719,'0.0.2 Pokémon Learnset (Core)'!$A$1:$A951,0)),'Reverse Search'!$E$21)),IF($C$2=2,COUNTIF(INDIRECT("'0.1.1 Pokémon GO Moves'!$B$"&amp;MATCH($E719,'0.1.1 Pokémon GO Moves'!$A$1:$A951,0)&amp;":$R$"&amp;MATCH($E719,'0.1.1 Pokémon GO Moves'!$A$1:$A951,0)),'Reverse Search'!$E$21),COUNTIF(INDIRECT("'0.1.1 Pokémon GO Moves'!$B$"&amp;MATCH($E719,'0.1.1 Pokémon GO Moves'!$A$1:$A951,0)&amp;":$L$"&amp;MATCH($E719,'0.1.1 Pokémon GO Moves'!$A$1:$A951,0)),'Reverse Search'!$E$21)))))</f>
        <v>1</v>
      </c>
      <c r="AA719" s="0" t="n">
        <f aca="true">IF('Reverse Search'!$C$14="Disable",1,IF('Reverse Search'!$I$16="Disable",1,IF($D$2=3,IF($M719=0,0,COUNTIF(INDIRECT("'0.0.2 Pokémon Learnset (Core)'!$D$"&amp;MATCH($E719,'0.0.2 Pokémon Learnset (Core)'!$A$1:$A951,0)&amp;":$FK$"&amp;MATCH($E719,'0.0.2 Pokémon Learnset (Core)'!$A$1:$A951,0)),'Reverse Search'!$J$21)),IF($D$2=2,COUNTIF(INDIRECT("'0.1.1 Pokémon GO Moves'!$B$"&amp;MATCH($E719,'0.1.1 Pokémon GO Moves'!$A$1:$A951,0)&amp;":$R$"&amp;MATCH($E719,'0.1.1 Pokémon GO Moves'!$A$1:$A951,0)),'Reverse Search'!$J$21),COUNTIF(INDIRECT("'0.1.1 Pokémon GO Moves'!$B$"&amp;MATCH($E719,'0.1.1 Pokémon GO Moves'!$A$1:$A951,0)&amp;":$L$"&amp;MATCH($E719,'0.1.1 Pokémon GO Moves'!$A$1:$A951,0)),'Reverse Search'!$J$21)))))</f>
        <v>0</v>
      </c>
      <c r="AB719" s="490"/>
      <c r="AC719" s="260" t="n">
        <f aca="false">IF((Q719+R719+S719+V719+W719+X719+Y719+IF(Z719&gt;=1,1,0)+IF(AA719&gt;=1,1,0))=9,G719&amp;", ",)</f>
        <v>0</v>
      </c>
    </row>
    <row r="720" customFormat="false" ht="15.75" hidden="false" customHeight="false" outlineLevel="0" collapsed="false">
      <c r="A720" s="260"/>
      <c r="B720" s="358"/>
      <c r="C720" s="260"/>
      <c r="D720" s="358"/>
      <c r="E720" s="260" t="n">
        <v>719</v>
      </c>
      <c r="F720" s="260" t="n">
        <f aca="false" t="array" ref="F720:F720">INDEX('0.0.1 Pokémon Dex Data'!$H$3:$H951,MATCH(E720,'0.0.1 Pokémon Dex Data'!$B$3:$B951,0))</f>
        <v>0</v>
      </c>
      <c r="G720" s="0" t="str">
        <f aca="false" t="array" ref="G720:G720">INDEX('0.0.1 Pokémon Dex Data'!$E$3:$E951,MATCH(E720,'0.0.1 Pokémon Dex Data'!$B$3:$B951,0))</f>
        <v>Mienfoo</v>
      </c>
      <c r="H720" s="0" t="str">
        <f aca="false" t="array" ref="H720:H720">INDEX('0.0.1 Pokémon Dex Data'!$Q$3:$Q951,MATCH(E720,'0.0.1 Pokémon Dex Data'!$B$3:$B951,0))</f>
        <v>Fighting</v>
      </c>
      <c r="I720" s="0" t="n">
        <f aca="false">INDEX('0.0.1 Pokémon Dex Data'!$R$3:$R951,MATCH(E720,'0.0.1 Pokémon Dex Data'!$B$3:$B951,0))</f>
        <v>0</v>
      </c>
      <c r="J720" s="260" t="n">
        <f aca="false" t="array" ref="J720:J720">ROUND(INDEX('0.0.1 Pokémon Dex Data'!$S$3:$S951,MATCH($E720,'0.0.1 Pokémon Dex Data'!$B$3:$B951,0))*INDEX('0.0.1 Pokémon Dex Data'!T$3:T951,MATCH($E720,'0.0.1 Pokémon Dex Data'!$B$3:$B951,0)),0)</f>
        <v>160</v>
      </c>
      <c r="K720" s="260" t="n">
        <f aca="false" t="array" ref="K720:K720">ROUND(INDEX('0.0.1 Pokémon Dex Data'!$S$3:$S951,MATCH($E720,'0.0.1 Pokémon Dex Data'!$B$3:$B951,0))*INDEX('0.0.1 Pokémon Dex Data'!U$3:U951,MATCH($E720,'0.0.1 Pokémon Dex Data'!$B$3:$B951,0)),0)</f>
        <v>98</v>
      </c>
      <c r="L720" s="260" t="n">
        <f aca="false" t="array" ref="L720:L720">ROUND(INDEX('0.0.1 Pokémon Dex Data'!$S$3:$S951,MATCH($E720,'0.0.1 Pokémon Dex Data'!$B$3:$B951,0))*INDEX('0.0.1 Pokémon Dex Data'!V$3:V951,MATCH($E720,'0.0.1 Pokémon Dex Data'!$B$3:$B951,0)),0)</f>
        <v>128</v>
      </c>
      <c r="M720" s="260" t="n">
        <f aca="false" t="array" ref="M720:M720">INDEX('0.0.1 Pokémon Dex Data'!$J$3:$J951,MATCH(E720,'0.0.1 Pokémon Dex Data'!$B$3:$B951,0))</f>
        <v>0</v>
      </c>
      <c r="O720" s="490"/>
      <c r="Q720" s="367" t="n">
        <f aca="false">IF('Reverse Search'!$F$4="All (including temporary formes)",1,IF('Reverse Search'!$F$4="Base Pokémon and permanent formes only",IF(F720&lt;=1,1,0),IF(F720=0,1,0)))</f>
        <v>1</v>
      </c>
      <c r="R720" s="0" t="n">
        <f aca="false">IF('Reverse Search'!$C$7="Disable",1,IF('Reverse Search'!$D$9="Disable",1,IF(OR('Reverse Search'!$F$9=H720,'Reverse Search'!$F$9=I720),1,0)))</f>
        <v>1</v>
      </c>
      <c r="S720" s="0" t="n">
        <f aca="false">IF('Reverse Search'!$C$7="Disable",1,IF('Reverse Search'!$D$10="Disable",1,IF(OR('Reverse Search'!$F$10=H720,'Reverse Search'!$F$10=I720),1,0)))</f>
        <v>1</v>
      </c>
      <c r="T720" s="0" t="n">
        <f aca="false">INDEX($B$4:$B$22,MATCH(H720,$A$4:$A$22,0))</f>
        <v>1</v>
      </c>
      <c r="U720" s="0" t="e">
        <f aca="false">IF(ISBLANK(I720),1,INDEX($B$4:$B$22,MATCH(I720,$A$4:$A$22,0)))</f>
        <v>#N/A</v>
      </c>
      <c r="V720" s="367" t="n">
        <f aca="false">IF('Reverse Search'!$C$7="Disable",1,IF('Reverse Search'!$D$11="Disable",1,IF('Reverse Search'!$E$11="Neutral to:",IF(ROUND(T720*U720,2)&lt;=1,1,0),IF(ROUND(T720*U720,2)&lt;1,1,0))))</f>
        <v>1</v>
      </c>
      <c r="W720" s="0" t="n">
        <f aca="false">IF('Reverse Search'!$N$7="Disable",1,IF('Reverse Search'!$I$9="Disable",1,IF('Reverse Search'!$K$9="≥",IF(J720&gt;='Reverse Search'!$L$9,1,0),IF('Reverse Search'!$K$9="≤",IF(J720&lt;='Reverse Search'!$L$9,1,0),IF(J720='Reverse Search'!$L$9,1,0)))))</f>
        <v>1</v>
      </c>
      <c r="X720" s="0" t="n">
        <f aca="false">IF('Reverse Search'!$N$7="Disable",1,IF('Reverse Search'!$I$10="Disable",1,IF('Reverse Search'!$K$10="≥",IF(K720&gt;='Reverse Search'!$L$10,1,0),IF('Reverse Search'!$K$10="≤",IF(K720&lt;='Reverse Search'!$L$10,1,0),IF(K720='Reverse Search'!$L$10,1,0)))))</f>
        <v>1</v>
      </c>
      <c r="Y720" s="367" t="n">
        <f aca="false">IF('Reverse Search'!$N$7="Disable",1,IF('Reverse Search'!$I$11="Disable",1,IF('Reverse Search'!$K$11="≥",IF(L720&gt;='Reverse Search'!$L$11,1,0),IF('Reverse Search'!$K$11="≤",IF(L720&lt;='Reverse Search'!$L$11,1,0),IF(L720='Reverse Search'!$L$11,1,0)))))</f>
        <v>1</v>
      </c>
      <c r="Z720" s="0" t="n">
        <f aca="true">IF('Reverse Search'!$C$14="Disable",1,IF('Reverse Search'!$D$16="Disable",1,IF($C$2=3,IF($M720=0,0,COUNTIF(INDIRECT("'0.0.2 Pokémon Learnset (Core)'!$D$"&amp;MATCH($E720,'0.0.2 Pokémon Learnset (Core)'!$A$1:$A951,0)&amp;":$FK$"&amp;MATCH($E720,'0.0.2 Pokémon Learnset (Core)'!$A$1:$A951,0)),'Reverse Search'!$E$21)),IF($C$2=2,COUNTIF(INDIRECT("'0.1.1 Pokémon GO Moves'!$B$"&amp;MATCH($E720,'0.1.1 Pokémon GO Moves'!$A$1:$A951,0)&amp;":$R$"&amp;MATCH($E720,'0.1.1 Pokémon GO Moves'!$A$1:$A951,0)),'Reverse Search'!$E$21),COUNTIF(INDIRECT("'0.1.1 Pokémon GO Moves'!$B$"&amp;MATCH($E720,'0.1.1 Pokémon GO Moves'!$A$1:$A951,0)&amp;":$L$"&amp;MATCH($E720,'0.1.1 Pokémon GO Moves'!$A$1:$A951,0)),'Reverse Search'!$E$21)))))</f>
        <v>1</v>
      </c>
      <c r="AA720" s="0" t="n">
        <f aca="true">IF('Reverse Search'!$C$14="Disable",1,IF('Reverse Search'!$I$16="Disable",1,IF($D$2=3,IF($M720=0,0,COUNTIF(INDIRECT("'0.0.2 Pokémon Learnset (Core)'!$D$"&amp;MATCH($E720,'0.0.2 Pokémon Learnset (Core)'!$A$1:$A951,0)&amp;":$FK$"&amp;MATCH($E720,'0.0.2 Pokémon Learnset (Core)'!$A$1:$A951,0)),'Reverse Search'!$J$21)),IF($D$2=2,COUNTIF(INDIRECT("'0.1.1 Pokémon GO Moves'!$B$"&amp;MATCH($E720,'0.1.1 Pokémon GO Moves'!$A$1:$A951,0)&amp;":$R$"&amp;MATCH($E720,'0.1.1 Pokémon GO Moves'!$A$1:$A951,0)),'Reverse Search'!$J$21),COUNTIF(INDIRECT("'0.1.1 Pokémon GO Moves'!$B$"&amp;MATCH($E720,'0.1.1 Pokémon GO Moves'!$A$1:$A951,0)&amp;":$L$"&amp;MATCH($E720,'0.1.1 Pokémon GO Moves'!$A$1:$A951,0)),'Reverse Search'!$J$21)))))</f>
        <v>0</v>
      </c>
      <c r="AB720" s="490"/>
      <c r="AC720" s="260" t="n">
        <f aca="false">IF((Q720+R720+S720+V720+W720+X720+Y720+IF(Z720&gt;=1,1,0)+IF(AA720&gt;=1,1,0))=9,G720&amp;", ",)</f>
        <v>0</v>
      </c>
    </row>
    <row r="721" customFormat="false" ht="15.75" hidden="false" customHeight="false" outlineLevel="0" collapsed="false">
      <c r="A721" s="260"/>
      <c r="B721" s="358"/>
      <c r="C721" s="260"/>
      <c r="D721" s="358"/>
      <c r="E721" s="260" t="n">
        <v>720</v>
      </c>
      <c r="F721" s="260" t="n">
        <f aca="false" t="array" ref="F721:F721">INDEX('0.0.1 Pokémon Dex Data'!$H$3:$H951,MATCH(E721,'0.0.1 Pokémon Dex Data'!$B$3:$B951,0))</f>
        <v>0</v>
      </c>
      <c r="G721" s="0" t="str">
        <f aca="false" t="array" ref="G721:G721">INDEX('0.0.1 Pokémon Dex Data'!$E$3:$E951,MATCH(E721,'0.0.1 Pokémon Dex Data'!$B$3:$B951,0))</f>
        <v>Mienshao</v>
      </c>
      <c r="H721" s="0" t="str">
        <f aca="false" t="array" ref="H721:H721">INDEX('0.0.1 Pokémon Dex Data'!$Q$3:$Q951,MATCH(E721,'0.0.1 Pokémon Dex Data'!$B$3:$B951,0))</f>
        <v>Fighting</v>
      </c>
      <c r="I721" s="0" t="n">
        <f aca="false">INDEX('0.0.1 Pokémon Dex Data'!$R$3:$R951,MATCH(E721,'0.0.1 Pokémon Dex Data'!$B$3:$B951,0))</f>
        <v>0</v>
      </c>
      <c r="J721" s="260" t="n">
        <f aca="false" t="array" ref="J721:J721">ROUND(INDEX('0.0.1 Pokémon Dex Data'!$S$3:$S951,MATCH($E721,'0.0.1 Pokémon Dex Data'!$B$3:$B951,0))*INDEX('0.0.1 Pokémon Dex Data'!T$3:T951,MATCH($E721,'0.0.1 Pokémon Dex Data'!$B$3:$B951,0)),0)</f>
        <v>258</v>
      </c>
      <c r="K721" s="260" t="n">
        <f aca="false" t="array" ref="K721:K721">ROUND(INDEX('0.0.1 Pokémon Dex Data'!$S$3:$S951,MATCH($E721,'0.0.1 Pokémon Dex Data'!$B$3:$B951,0))*INDEX('0.0.1 Pokémon Dex Data'!U$3:U951,MATCH($E721,'0.0.1 Pokémon Dex Data'!$B$3:$B951,0)),0)</f>
        <v>127</v>
      </c>
      <c r="L721" s="260" t="n">
        <f aca="false" t="array" ref="L721:L721">ROUND(INDEX('0.0.1 Pokémon Dex Data'!$S$3:$S951,MATCH($E721,'0.0.1 Pokémon Dex Data'!$B$3:$B951,0))*INDEX('0.0.1 Pokémon Dex Data'!V$3:V951,MATCH($E721,'0.0.1 Pokémon Dex Data'!$B$3:$B951,0)),0)</f>
        <v>163</v>
      </c>
      <c r="M721" s="260" t="n">
        <f aca="false" t="array" ref="M721:M721">INDEX('0.0.1 Pokémon Dex Data'!$J$3:$J951,MATCH(E721,'0.0.1 Pokémon Dex Data'!$B$3:$B951,0))</f>
        <v>1</v>
      </c>
      <c r="O721" s="490"/>
      <c r="Q721" s="367" t="n">
        <f aca="false">IF('Reverse Search'!$F$4="All (including temporary formes)",1,IF('Reverse Search'!$F$4="Base Pokémon and permanent formes only",IF(F721&lt;=1,1,0),IF(F721=0,1,0)))</f>
        <v>1</v>
      </c>
      <c r="R721" s="0" t="n">
        <f aca="false">IF('Reverse Search'!$C$7="Disable",1,IF('Reverse Search'!$D$9="Disable",1,IF(OR('Reverse Search'!$F$9=H721,'Reverse Search'!$F$9=I721),1,0)))</f>
        <v>1</v>
      </c>
      <c r="S721" s="0" t="n">
        <f aca="false">IF('Reverse Search'!$C$7="Disable",1,IF('Reverse Search'!$D$10="Disable",1,IF(OR('Reverse Search'!$F$10=H721,'Reverse Search'!$F$10=I721),1,0)))</f>
        <v>1</v>
      </c>
      <c r="T721" s="0" t="n">
        <f aca="false">INDEX($B$4:$B$22,MATCH(H721,$A$4:$A$22,0))</f>
        <v>1</v>
      </c>
      <c r="U721" s="0" t="e">
        <f aca="false">IF(ISBLANK(I721),1,INDEX($B$4:$B$22,MATCH(I721,$A$4:$A$22,0)))</f>
        <v>#N/A</v>
      </c>
      <c r="V721" s="367" t="n">
        <f aca="false">IF('Reverse Search'!$C$7="Disable",1,IF('Reverse Search'!$D$11="Disable",1,IF('Reverse Search'!$E$11="Neutral to:",IF(ROUND(T721*U721,2)&lt;=1,1,0),IF(ROUND(T721*U721,2)&lt;1,1,0))))</f>
        <v>1</v>
      </c>
      <c r="W721" s="0" t="n">
        <f aca="false">IF('Reverse Search'!$N$7="Disable",1,IF('Reverse Search'!$I$9="Disable",1,IF('Reverse Search'!$K$9="≥",IF(J721&gt;='Reverse Search'!$L$9,1,0),IF('Reverse Search'!$K$9="≤",IF(J721&lt;='Reverse Search'!$L$9,1,0),IF(J721='Reverse Search'!$L$9,1,0)))))</f>
        <v>1</v>
      </c>
      <c r="X721" s="0" t="n">
        <f aca="false">IF('Reverse Search'!$N$7="Disable",1,IF('Reverse Search'!$I$10="Disable",1,IF('Reverse Search'!$K$10="≥",IF(K721&gt;='Reverse Search'!$L$10,1,0),IF('Reverse Search'!$K$10="≤",IF(K721&lt;='Reverse Search'!$L$10,1,0),IF(K721='Reverse Search'!$L$10,1,0)))))</f>
        <v>1</v>
      </c>
      <c r="Y721" s="367" t="n">
        <f aca="false">IF('Reverse Search'!$N$7="Disable",1,IF('Reverse Search'!$I$11="Disable",1,IF('Reverse Search'!$K$11="≥",IF(L721&gt;='Reverse Search'!$L$11,1,0),IF('Reverse Search'!$K$11="≤",IF(L721&lt;='Reverse Search'!$L$11,1,0),IF(L721='Reverse Search'!$L$11,1,0)))))</f>
        <v>1</v>
      </c>
      <c r="Z721" s="0" t="n">
        <f aca="true">IF('Reverse Search'!$C$14="Disable",1,IF('Reverse Search'!$D$16="Disable",1,IF($C$2=3,IF($M721=0,0,COUNTIF(INDIRECT("'0.0.2 Pokémon Learnset (Core)'!$D$"&amp;MATCH($E721,'0.0.2 Pokémon Learnset (Core)'!$A$1:$A951,0)&amp;":$FK$"&amp;MATCH($E721,'0.0.2 Pokémon Learnset (Core)'!$A$1:$A951,0)),'Reverse Search'!$E$21)),IF($C$2=2,COUNTIF(INDIRECT("'0.1.1 Pokémon GO Moves'!$B$"&amp;MATCH($E721,'0.1.1 Pokémon GO Moves'!$A$1:$A951,0)&amp;":$R$"&amp;MATCH($E721,'0.1.1 Pokémon GO Moves'!$A$1:$A951,0)),'Reverse Search'!$E$21),COUNTIF(INDIRECT("'0.1.1 Pokémon GO Moves'!$B$"&amp;MATCH($E721,'0.1.1 Pokémon GO Moves'!$A$1:$A951,0)&amp;":$L$"&amp;MATCH($E721,'0.1.1 Pokémon GO Moves'!$A$1:$A951,0)),'Reverse Search'!$E$21)))))</f>
        <v>1</v>
      </c>
      <c r="AA721" s="0" t="n">
        <f aca="true">IF('Reverse Search'!$C$14="Disable",1,IF('Reverse Search'!$I$16="Disable",1,IF($D$2=3,IF($M721=0,0,COUNTIF(INDIRECT("'0.0.2 Pokémon Learnset (Core)'!$D$"&amp;MATCH($E721,'0.0.2 Pokémon Learnset (Core)'!$A$1:$A951,0)&amp;":$FK$"&amp;MATCH($E721,'0.0.2 Pokémon Learnset (Core)'!$A$1:$A951,0)),'Reverse Search'!$J$21)),IF($D$2=2,COUNTIF(INDIRECT("'0.1.1 Pokémon GO Moves'!$B$"&amp;MATCH($E721,'0.1.1 Pokémon GO Moves'!$A$1:$A951,0)&amp;":$R$"&amp;MATCH($E721,'0.1.1 Pokémon GO Moves'!$A$1:$A951,0)),'Reverse Search'!$J$21),COUNTIF(INDIRECT("'0.1.1 Pokémon GO Moves'!$B$"&amp;MATCH($E721,'0.1.1 Pokémon GO Moves'!$A$1:$A951,0)&amp;":$L$"&amp;MATCH($E721,'0.1.1 Pokémon GO Moves'!$A$1:$A951,0)),'Reverse Search'!$J$21)))))</f>
        <v>0</v>
      </c>
      <c r="AB721" s="490"/>
      <c r="AC721" s="260" t="n">
        <f aca="false">IF((Q721+R721+S721+V721+W721+X721+Y721+IF(Z721&gt;=1,1,0)+IF(AA721&gt;=1,1,0))=9,G721&amp;", ",)</f>
        <v>0</v>
      </c>
    </row>
    <row r="722" customFormat="false" ht="15.75" hidden="false" customHeight="false" outlineLevel="0" collapsed="false">
      <c r="A722" s="260"/>
      <c r="B722" s="358"/>
      <c r="C722" s="260"/>
      <c r="D722" s="358"/>
      <c r="E722" s="260" t="n">
        <v>721</v>
      </c>
      <c r="F722" s="260" t="n">
        <f aca="false" t="array" ref="F722:F722">INDEX('0.0.1 Pokémon Dex Data'!$H$3:$H951,MATCH(E722,'0.0.1 Pokémon Dex Data'!$B$3:$B951,0))</f>
        <v>0</v>
      </c>
      <c r="G722" s="0" t="str">
        <f aca="false" t="array" ref="G722:G722">INDEX('0.0.1 Pokémon Dex Data'!$E$3:$E951,MATCH(E722,'0.0.1 Pokémon Dex Data'!$B$3:$B951,0))</f>
        <v>Druddigon</v>
      </c>
      <c r="H722" s="0" t="str">
        <f aca="false" t="array" ref="H722:H722">INDEX('0.0.1 Pokémon Dex Data'!$Q$3:$Q951,MATCH(E722,'0.0.1 Pokémon Dex Data'!$B$3:$B951,0))</f>
        <v>Dragon</v>
      </c>
      <c r="I722" s="0" t="n">
        <f aca="false">INDEX('0.0.1 Pokémon Dex Data'!$R$3:$R951,MATCH(E722,'0.0.1 Pokémon Dex Data'!$B$3:$B951,0))</f>
        <v>0</v>
      </c>
      <c r="J722" s="260" t="n">
        <f aca="false" t="array" ref="J722:J722">ROUND(INDEX('0.0.1 Pokémon Dex Data'!$S$3:$S951,MATCH($E722,'0.0.1 Pokémon Dex Data'!$B$3:$B951,0))*INDEX('0.0.1 Pokémon Dex Data'!T$3:T951,MATCH($E722,'0.0.1 Pokémon Dex Data'!$B$3:$B951,0)),0)</f>
        <v>213</v>
      </c>
      <c r="K722" s="260" t="n">
        <f aca="false" t="array" ref="K722:K722">ROUND(INDEX('0.0.1 Pokémon Dex Data'!$S$3:$S951,MATCH($E722,'0.0.1 Pokémon Dex Data'!$B$3:$B951,0))*INDEX('0.0.1 Pokémon Dex Data'!U$3:U951,MATCH($E722,'0.0.1 Pokémon Dex Data'!$B$3:$B951,0)),0)</f>
        <v>170</v>
      </c>
      <c r="L722" s="260" t="n">
        <f aca="false" t="array" ref="L722:L722">ROUND(INDEX('0.0.1 Pokémon Dex Data'!$S$3:$S951,MATCH($E722,'0.0.1 Pokémon Dex Data'!$B$3:$B951,0))*INDEX('0.0.1 Pokémon Dex Data'!V$3:V951,MATCH($E722,'0.0.1 Pokémon Dex Data'!$B$3:$B951,0)),0)</f>
        <v>184</v>
      </c>
      <c r="M722" s="260" t="n">
        <f aca="false" t="array" ref="M722:M722">INDEX('0.0.1 Pokémon Dex Data'!$J$3:$J951,MATCH(E722,'0.0.1 Pokémon Dex Data'!$B$3:$B951,0))</f>
        <v>1</v>
      </c>
      <c r="O722" s="490"/>
      <c r="Q722" s="367" t="n">
        <f aca="false">IF('Reverse Search'!$F$4="All (including temporary formes)",1,IF('Reverse Search'!$F$4="Base Pokémon and permanent formes only",IF(F722&lt;=1,1,0),IF(F722=0,1,0)))</f>
        <v>1</v>
      </c>
      <c r="R722" s="0" t="n">
        <f aca="false">IF('Reverse Search'!$C$7="Disable",1,IF('Reverse Search'!$D$9="Disable",1,IF(OR('Reverse Search'!$F$9=H722,'Reverse Search'!$F$9=I722),1,0)))</f>
        <v>1</v>
      </c>
      <c r="S722" s="0" t="n">
        <f aca="false">IF('Reverse Search'!$C$7="Disable",1,IF('Reverse Search'!$D$10="Disable",1,IF(OR('Reverse Search'!$F$10=H722,'Reverse Search'!$F$10=I722),1,0)))</f>
        <v>1</v>
      </c>
      <c r="T722" s="0" t="n">
        <f aca="false">INDEX($B$4:$B$22,MATCH(H722,$A$4:$A$22,0))</f>
        <v>1</v>
      </c>
      <c r="U722" s="0" t="e">
        <f aca="false">IF(ISBLANK(I722),1,INDEX($B$4:$B$22,MATCH(I722,$A$4:$A$22,0)))</f>
        <v>#N/A</v>
      </c>
      <c r="V722" s="367" t="n">
        <f aca="false">IF('Reverse Search'!$C$7="Disable",1,IF('Reverse Search'!$D$11="Disable",1,IF('Reverse Search'!$E$11="Neutral to:",IF(ROUND(T722*U722,2)&lt;=1,1,0),IF(ROUND(T722*U722,2)&lt;1,1,0))))</f>
        <v>1</v>
      </c>
      <c r="W722" s="0" t="n">
        <f aca="false">IF('Reverse Search'!$N$7="Disable",1,IF('Reverse Search'!$I$9="Disable",1,IF('Reverse Search'!$K$9="≥",IF(J722&gt;='Reverse Search'!$L$9,1,0),IF('Reverse Search'!$K$9="≤",IF(J722&lt;='Reverse Search'!$L$9,1,0),IF(J722='Reverse Search'!$L$9,1,0)))))</f>
        <v>1</v>
      </c>
      <c r="X722" s="0" t="n">
        <f aca="false">IF('Reverse Search'!$N$7="Disable",1,IF('Reverse Search'!$I$10="Disable",1,IF('Reverse Search'!$K$10="≥",IF(K722&gt;='Reverse Search'!$L$10,1,0),IF('Reverse Search'!$K$10="≤",IF(K722&lt;='Reverse Search'!$L$10,1,0),IF(K722='Reverse Search'!$L$10,1,0)))))</f>
        <v>1</v>
      </c>
      <c r="Y722" s="367" t="n">
        <f aca="false">IF('Reverse Search'!$N$7="Disable",1,IF('Reverse Search'!$I$11="Disable",1,IF('Reverse Search'!$K$11="≥",IF(L722&gt;='Reverse Search'!$L$11,1,0),IF('Reverse Search'!$K$11="≤",IF(L722&lt;='Reverse Search'!$L$11,1,0),IF(L722='Reverse Search'!$L$11,1,0)))))</f>
        <v>1</v>
      </c>
      <c r="Z722" s="0" t="n">
        <f aca="true">IF('Reverse Search'!$C$14="Disable",1,IF('Reverse Search'!$D$16="Disable",1,IF($C$2=3,IF($M722=0,0,COUNTIF(INDIRECT("'0.0.2 Pokémon Learnset (Core)'!$D$"&amp;MATCH($E722,'0.0.2 Pokémon Learnset (Core)'!$A$1:$A951,0)&amp;":$FK$"&amp;MATCH($E722,'0.0.2 Pokémon Learnset (Core)'!$A$1:$A951,0)),'Reverse Search'!$E$21)),IF($C$2=2,COUNTIF(INDIRECT("'0.1.1 Pokémon GO Moves'!$B$"&amp;MATCH($E722,'0.1.1 Pokémon GO Moves'!$A$1:$A951,0)&amp;":$R$"&amp;MATCH($E722,'0.1.1 Pokémon GO Moves'!$A$1:$A951,0)),'Reverse Search'!$E$21),COUNTIF(INDIRECT("'0.1.1 Pokémon GO Moves'!$B$"&amp;MATCH($E722,'0.1.1 Pokémon GO Moves'!$A$1:$A951,0)&amp;":$L$"&amp;MATCH($E722,'0.1.1 Pokémon GO Moves'!$A$1:$A951,0)),'Reverse Search'!$E$21)))))</f>
        <v>1</v>
      </c>
      <c r="AA722" s="0" t="n">
        <f aca="true">IF('Reverse Search'!$C$14="Disable",1,IF('Reverse Search'!$I$16="Disable",1,IF($D$2=3,IF($M722=0,0,COUNTIF(INDIRECT("'0.0.2 Pokémon Learnset (Core)'!$D$"&amp;MATCH($E722,'0.0.2 Pokémon Learnset (Core)'!$A$1:$A951,0)&amp;":$FK$"&amp;MATCH($E722,'0.0.2 Pokémon Learnset (Core)'!$A$1:$A951,0)),'Reverse Search'!$J$21)),IF($D$2=2,COUNTIF(INDIRECT("'0.1.1 Pokémon GO Moves'!$B$"&amp;MATCH($E722,'0.1.1 Pokémon GO Moves'!$A$1:$A951,0)&amp;":$R$"&amp;MATCH($E722,'0.1.1 Pokémon GO Moves'!$A$1:$A951,0)),'Reverse Search'!$J$21),COUNTIF(INDIRECT("'0.1.1 Pokémon GO Moves'!$B$"&amp;MATCH($E722,'0.1.1 Pokémon GO Moves'!$A$1:$A951,0)&amp;":$L$"&amp;MATCH($E722,'0.1.1 Pokémon GO Moves'!$A$1:$A951,0)),'Reverse Search'!$J$21)))))</f>
        <v>0</v>
      </c>
      <c r="AB722" s="490"/>
      <c r="AC722" s="260" t="n">
        <f aca="false">IF((Q722+R722+S722+V722+W722+X722+Y722+IF(Z722&gt;=1,1,0)+IF(AA722&gt;=1,1,0))=9,G722&amp;", ",)</f>
        <v>0</v>
      </c>
    </row>
    <row r="723" customFormat="false" ht="15.75" hidden="false" customHeight="false" outlineLevel="0" collapsed="false">
      <c r="A723" s="260"/>
      <c r="B723" s="358"/>
      <c r="C723" s="260"/>
      <c r="D723" s="358"/>
      <c r="E723" s="260" t="n">
        <v>722</v>
      </c>
      <c r="F723" s="260" t="n">
        <f aca="false" t="array" ref="F723:F723">INDEX('0.0.1 Pokémon Dex Data'!$H$3:$H951,MATCH(E723,'0.0.1 Pokémon Dex Data'!$B$3:$B951,0))</f>
        <v>0</v>
      </c>
      <c r="G723" s="0" t="str">
        <f aca="false" t="array" ref="G723:G723">INDEX('0.0.1 Pokémon Dex Data'!$E$3:$E951,MATCH(E723,'0.0.1 Pokémon Dex Data'!$B$3:$B951,0))</f>
        <v>Golett</v>
      </c>
      <c r="H723" s="0" t="str">
        <f aca="false" t="array" ref="H723:H723">INDEX('0.0.1 Pokémon Dex Data'!$Q$3:$Q951,MATCH(E723,'0.0.1 Pokémon Dex Data'!$B$3:$B951,0))</f>
        <v>Ground</v>
      </c>
      <c r="I723" s="0" t="str">
        <f aca="false" t="array" ref="I723:I723">INDEX('0.0.1 Pokémon Dex Data'!$R$3:$R951,MATCH(E723,'0.0.1 Pokémon Dex Data'!$B$3:$B951,0))</f>
        <v>Ghost</v>
      </c>
      <c r="J723" s="260" t="n">
        <f aca="false" t="array" ref="J723:J723">ROUND(INDEX('0.0.1 Pokémon Dex Data'!$S$3:$S951,MATCH($E723,'0.0.1 Pokémon Dex Data'!$B$3:$B951,0))*INDEX('0.0.1 Pokémon Dex Data'!T$3:T951,MATCH($E723,'0.0.1 Pokémon Dex Data'!$B$3:$B951,0)),0)</f>
        <v>127</v>
      </c>
      <c r="K723" s="260" t="n">
        <f aca="false" t="array" ref="K723:K723">ROUND(INDEX('0.0.1 Pokémon Dex Data'!$S$3:$S951,MATCH($E723,'0.0.1 Pokémon Dex Data'!$B$3:$B951,0))*INDEX('0.0.1 Pokémon Dex Data'!U$3:U951,MATCH($E723,'0.0.1 Pokémon Dex Data'!$B$3:$B951,0)),0)</f>
        <v>92</v>
      </c>
      <c r="L723" s="260" t="n">
        <f aca="false" t="array" ref="L723:L723">ROUND(INDEX('0.0.1 Pokémon Dex Data'!$S$3:$S951,MATCH($E723,'0.0.1 Pokémon Dex Data'!$B$3:$B951,0))*INDEX('0.0.1 Pokémon Dex Data'!V$3:V951,MATCH($E723,'0.0.1 Pokémon Dex Data'!$B$3:$B951,0)),0)</f>
        <v>153</v>
      </c>
      <c r="M723" s="260" t="n">
        <f aca="false" t="array" ref="M723:M723">INDEX('0.0.1 Pokémon Dex Data'!$J$3:$J951,MATCH(E723,'0.0.1 Pokémon Dex Data'!$B$3:$B951,0))</f>
        <v>0</v>
      </c>
      <c r="O723" s="490"/>
      <c r="Q723" s="367" t="n">
        <f aca="false">IF('Reverse Search'!$F$4="All (including temporary formes)",1,IF('Reverse Search'!$F$4="Base Pokémon and permanent formes only",IF(F723&lt;=1,1,0),IF(F723=0,1,0)))</f>
        <v>1</v>
      </c>
      <c r="R723" s="0" t="n">
        <f aca="false">IF('Reverse Search'!$C$7="Disable",1,IF('Reverse Search'!$D$9="Disable",1,IF(OR('Reverse Search'!$F$9=H723,'Reverse Search'!$F$9=I723),1,0)))</f>
        <v>1</v>
      </c>
      <c r="S723" s="0" t="n">
        <f aca="false">IF('Reverse Search'!$C$7="Disable",1,IF('Reverse Search'!$D$10="Disable",1,IF(OR('Reverse Search'!$F$10=H723,'Reverse Search'!$F$10=I723),1,0)))</f>
        <v>1</v>
      </c>
      <c r="T723" s="0" t="n">
        <f aca="false">INDEX($B$4:$B$22,MATCH(H723,$A$4:$A$22,0))</f>
        <v>1</v>
      </c>
      <c r="U723" s="0" t="n">
        <f aca="false">IF(ISBLANK(I723),1,INDEX($B$4:$B$22,MATCH(I723,$A$4:$A$22,0)))</f>
        <v>0.51</v>
      </c>
      <c r="V723" s="367" t="n">
        <f aca="false">IF('Reverse Search'!$C$7="Disable",1,IF('Reverse Search'!$D$11="Disable",1,IF('Reverse Search'!$E$11="Neutral to:",IF(ROUND(T723*U723,2)&lt;=1,1,0),IF(ROUND(T723*U723,2)&lt;1,1,0))))</f>
        <v>1</v>
      </c>
      <c r="W723" s="0" t="n">
        <f aca="false">IF('Reverse Search'!$N$7="Disable",1,IF('Reverse Search'!$I$9="Disable",1,IF('Reverse Search'!$K$9="≥",IF(J723&gt;='Reverse Search'!$L$9,1,0),IF('Reverse Search'!$K$9="≤",IF(J723&lt;='Reverse Search'!$L$9,1,0),IF(J723='Reverse Search'!$L$9,1,0)))))</f>
        <v>1</v>
      </c>
      <c r="X723" s="0" t="n">
        <f aca="false">IF('Reverse Search'!$N$7="Disable",1,IF('Reverse Search'!$I$10="Disable",1,IF('Reverse Search'!$K$10="≥",IF(K723&gt;='Reverse Search'!$L$10,1,0),IF('Reverse Search'!$K$10="≤",IF(K723&lt;='Reverse Search'!$L$10,1,0),IF(K723='Reverse Search'!$L$10,1,0)))))</f>
        <v>1</v>
      </c>
      <c r="Y723" s="367" t="n">
        <f aca="false">IF('Reverse Search'!$N$7="Disable",1,IF('Reverse Search'!$I$11="Disable",1,IF('Reverse Search'!$K$11="≥",IF(L723&gt;='Reverse Search'!$L$11,1,0),IF('Reverse Search'!$K$11="≤",IF(L723&lt;='Reverse Search'!$L$11,1,0),IF(L723='Reverse Search'!$L$11,1,0)))))</f>
        <v>1</v>
      </c>
      <c r="Z723" s="0" t="n">
        <f aca="true">IF('Reverse Search'!$C$14="Disable",1,IF('Reverse Search'!$D$16="Disable",1,IF($C$2=3,IF($M723=0,0,COUNTIF(INDIRECT("'0.0.2 Pokémon Learnset (Core)'!$D$"&amp;MATCH($E723,'0.0.2 Pokémon Learnset (Core)'!$A$1:$A951,0)&amp;":$FK$"&amp;MATCH($E723,'0.0.2 Pokémon Learnset (Core)'!$A$1:$A951,0)),'Reverse Search'!$E$21)),IF($C$2=2,COUNTIF(INDIRECT("'0.1.1 Pokémon GO Moves'!$B$"&amp;MATCH($E723,'0.1.1 Pokémon GO Moves'!$A$1:$A951,0)&amp;":$R$"&amp;MATCH($E723,'0.1.1 Pokémon GO Moves'!$A$1:$A951,0)),'Reverse Search'!$E$21),COUNTIF(INDIRECT("'0.1.1 Pokémon GO Moves'!$B$"&amp;MATCH($E723,'0.1.1 Pokémon GO Moves'!$A$1:$A951,0)&amp;":$L$"&amp;MATCH($E723,'0.1.1 Pokémon GO Moves'!$A$1:$A951,0)),'Reverse Search'!$E$21)))))</f>
        <v>1</v>
      </c>
      <c r="AA723" s="0" t="n">
        <f aca="true">IF('Reverse Search'!$C$14="Disable",1,IF('Reverse Search'!$I$16="Disable",1,IF($D$2=3,IF($M723=0,0,COUNTIF(INDIRECT("'0.0.2 Pokémon Learnset (Core)'!$D$"&amp;MATCH($E723,'0.0.2 Pokémon Learnset (Core)'!$A$1:$A951,0)&amp;":$FK$"&amp;MATCH($E723,'0.0.2 Pokémon Learnset (Core)'!$A$1:$A951,0)),'Reverse Search'!$J$21)),IF($D$2=2,COUNTIF(INDIRECT("'0.1.1 Pokémon GO Moves'!$B$"&amp;MATCH($E723,'0.1.1 Pokémon GO Moves'!$A$1:$A951,0)&amp;":$R$"&amp;MATCH($E723,'0.1.1 Pokémon GO Moves'!$A$1:$A951,0)),'Reverse Search'!$J$21),COUNTIF(INDIRECT("'0.1.1 Pokémon GO Moves'!$B$"&amp;MATCH($E723,'0.1.1 Pokémon GO Moves'!$A$1:$A951,0)&amp;":$L$"&amp;MATCH($E723,'0.1.1 Pokémon GO Moves'!$A$1:$A951,0)),'Reverse Search'!$J$21)))))</f>
        <v>0</v>
      </c>
      <c r="AB723" s="490"/>
      <c r="AC723" s="260" t="n">
        <f aca="false">IF((Q723+R723+S723+V723+W723+X723+Y723+IF(Z723&gt;=1,1,0)+IF(AA723&gt;=1,1,0))=9,G723&amp;", ",)</f>
        <v>0</v>
      </c>
    </row>
    <row r="724" customFormat="false" ht="15.75" hidden="false" customHeight="false" outlineLevel="0" collapsed="false">
      <c r="A724" s="260"/>
      <c r="B724" s="358"/>
      <c r="C724" s="260"/>
      <c r="D724" s="358"/>
      <c r="E724" s="260" t="n">
        <v>723</v>
      </c>
      <c r="F724" s="260" t="n">
        <f aca="false" t="array" ref="F724:F724">INDEX('0.0.1 Pokémon Dex Data'!$H$3:$H951,MATCH(E724,'0.0.1 Pokémon Dex Data'!$B$3:$B951,0))</f>
        <v>0</v>
      </c>
      <c r="G724" s="0" t="str">
        <f aca="false" t="array" ref="G724:G724">INDEX('0.0.1 Pokémon Dex Data'!$E$3:$E951,MATCH(E724,'0.0.1 Pokémon Dex Data'!$B$3:$B951,0))</f>
        <v>Golurk</v>
      </c>
      <c r="H724" s="0" t="str">
        <f aca="false" t="array" ref="H724:H724">INDEX('0.0.1 Pokémon Dex Data'!$Q$3:$Q951,MATCH(E724,'0.0.1 Pokémon Dex Data'!$B$3:$B951,0))</f>
        <v>Ground</v>
      </c>
      <c r="I724" s="0" t="str">
        <f aca="false" t="array" ref="I724:I724">INDEX('0.0.1 Pokémon Dex Data'!$R$3:$R951,MATCH(E724,'0.0.1 Pokémon Dex Data'!$B$3:$B951,0))</f>
        <v>Ghost</v>
      </c>
      <c r="J724" s="260" t="n">
        <f aca="false" t="array" ref="J724:J724">ROUND(INDEX('0.0.1 Pokémon Dex Data'!$S$3:$S951,MATCH($E724,'0.0.1 Pokémon Dex Data'!$B$3:$B951,0))*INDEX('0.0.1 Pokémon Dex Data'!T$3:T951,MATCH($E724,'0.0.1 Pokémon Dex Data'!$B$3:$B951,0)),0)</f>
        <v>222</v>
      </c>
      <c r="K724" s="260" t="n">
        <f aca="false" t="array" ref="K724:K724">ROUND(INDEX('0.0.1 Pokémon Dex Data'!$S$3:$S951,MATCH($E724,'0.0.1 Pokémon Dex Data'!$B$3:$B951,0))*INDEX('0.0.1 Pokémon Dex Data'!U$3:U951,MATCH($E724,'0.0.1 Pokémon Dex Data'!$B$3:$B951,0)),0)</f>
        <v>154</v>
      </c>
      <c r="L724" s="260" t="n">
        <f aca="false" t="array" ref="L724:L724">ROUND(INDEX('0.0.1 Pokémon Dex Data'!$S$3:$S951,MATCH($E724,'0.0.1 Pokémon Dex Data'!$B$3:$B951,0))*INDEX('0.0.1 Pokémon Dex Data'!V$3:V951,MATCH($E724,'0.0.1 Pokémon Dex Data'!$B$3:$B951,0)),0)</f>
        <v>205</v>
      </c>
      <c r="M724" s="260" t="n">
        <f aca="false" t="array" ref="M724:M724">INDEX('0.0.1 Pokémon Dex Data'!$J$3:$J951,MATCH(E724,'0.0.1 Pokémon Dex Data'!$B$3:$B951,0))</f>
        <v>1</v>
      </c>
      <c r="O724" s="490"/>
      <c r="Q724" s="367" t="n">
        <f aca="false">IF('Reverse Search'!$F$4="All (including temporary formes)",1,IF('Reverse Search'!$F$4="Base Pokémon and permanent formes only",IF(F724&lt;=1,1,0),IF(F724=0,1,0)))</f>
        <v>1</v>
      </c>
      <c r="R724" s="0" t="n">
        <f aca="false">IF('Reverse Search'!$C$7="Disable",1,IF('Reverse Search'!$D$9="Disable",1,IF(OR('Reverse Search'!$F$9=H724,'Reverse Search'!$F$9=I724),1,0)))</f>
        <v>1</v>
      </c>
      <c r="S724" s="0" t="n">
        <f aca="false">IF('Reverse Search'!$C$7="Disable",1,IF('Reverse Search'!$D$10="Disable",1,IF(OR('Reverse Search'!$F$10=H724,'Reverse Search'!$F$10=I724),1,0)))</f>
        <v>1</v>
      </c>
      <c r="T724" s="0" t="n">
        <f aca="false">INDEX($B$4:$B$22,MATCH(H724,$A$4:$A$22,0))</f>
        <v>1</v>
      </c>
      <c r="U724" s="0" t="n">
        <f aca="false">IF(ISBLANK(I724),1,INDEX($B$4:$B$22,MATCH(I724,$A$4:$A$22,0)))</f>
        <v>0.51</v>
      </c>
      <c r="V724" s="367" t="n">
        <f aca="false">IF('Reverse Search'!$C$7="Disable",1,IF('Reverse Search'!$D$11="Disable",1,IF('Reverse Search'!$E$11="Neutral to:",IF(ROUND(T724*U724,2)&lt;=1,1,0),IF(ROUND(T724*U724,2)&lt;1,1,0))))</f>
        <v>1</v>
      </c>
      <c r="W724" s="0" t="n">
        <f aca="false">IF('Reverse Search'!$N$7="Disable",1,IF('Reverse Search'!$I$9="Disable",1,IF('Reverse Search'!$K$9="≥",IF(J724&gt;='Reverse Search'!$L$9,1,0),IF('Reverse Search'!$K$9="≤",IF(J724&lt;='Reverse Search'!$L$9,1,0),IF(J724='Reverse Search'!$L$9,1,0)))))</f>
        <v>1</v>
      </c>
      <c r="X724" s="0" t="n">
        <f aca="false">IF('Reverse Search'!$N$7="Disable",1,IF('Reverse Search'!$I$10="Disable",1,IF('Reverse Search'!$K$10="≥",IF(K724&gt;='Reverse Search'!$L$10,1,0),IF('Reverse Search'!$K$10="≤",IF(K724&lt;='Reverse Search'!$L$10,1,0),IF(K724='Reverse Search'!$L$10,1,0)))))</f>
        <v>1</v>
      </c>
      <c r="Y724" s="367" t="n">
        <f aca="false">IF('Reverse Search'!$N$7="Disable",1,IF('Reverse Search'!$I$11="Disable",1,IF('Reverse Search'!$K$11="≥",IF(L724&gt;='Reverse Search'!$L$11,1,0),IF('Reverse Search'!$K$11="≤",IF(L724&lt;='Reverse Search'!$L$11,1,0),IF(L724='Reverse Search'!$L$11,1,0)))))</f>
        <v>1</v>
      </c>
      <c r="Z724" s="0" t="n">
        <f aca="true">IF('Reverse Search'!$C$14="Disable",1,IF('Reverse Search'!$D$16="Disable",1,IF($C$2=3,IF($M724=0,0,COUNTIF(INDIRECT("'0.0.2 Pokémon Learnset (Core)'!$D$"&amp;MATCH($E724,'0.0.2 Pokémon Learnset (Core)'!$A$1:$A951,0)&amp;":$FK$"&amp;MATCH($E724,'0.0.2 Pokémon Learnset (Core)'!$A$1:$A951,0)),'Reverse Search'!$E$21)),IF($C$2=2,COUNTIF(INDIRECT("'0.1.1 Pokémon GO Moves'!$B$"&amp;MATCH($E724,'0.1.1 Pokémon GO Moves'!$A$1:$A951,0)&amp;":$R$"&amp;MATCH($E724,'0.1.1 Pokémon GO Moves'!$A$1:$A951,0)),'Reverse Search'!$E$21),COUNTIF(INDIRECT("'0.1.1 Pokémon GO Moves'!$B$"&amp;MATCH($E724,'0.1.1 Pokémon GO Moves'!$A$1:$A951,0)&amp;":$L$"&amp;MATCH($E724,'0.1.1 Pokémon GO Moves'!$A$1:$A951,0)),'Reverse Search'!$E$21)))))</f>
        <v>1</v>
      </c>
      <c r="AA724" s="0" t="n">
        <f aca="true">IF('Reverse Search'!$C$14="Disable",1,IF('Reverse Search'!$I$16="Disable",1,IF($D$2=3,IF($M724=0,0,COUNTIF(INDIRECT("'0.0.2 Pokémon Learnset (Core)'!$D$"&amp;MATCH($E724,'0.0.2 Pokémon Learnset (Core)'!$A$1:$A951,0)&amp;":$FK$"&amp;MATCH($E724,'0.0.2 Pokémon Learnset (Core)'!$A$1:$A951,0)),'Reverse Search'!$J$21)),IF($D$2=2,COUNTIF(INDIRECT("'0.1.1 Pokémon GO Moves'!$B$"&amp;MATCH($E724,'0.1.1 Pokémon GO Moves'!$A$1:$A951,0)&amp;":$R$"&amp;MATCH($E724,'0.1.1 Pokémon GO Moves'!$A$1:$A951,0)),'Reverse Search'!$J$21),COUNTIF(INDIRECT("'0.1.1 Pokémon GO Moves'!$B$"&amp;MATCH($E724,'0.1.1 Pokémon GO Moves'!$A$1:$A951,0)&amp;":$L$"&amp;MATCH($E724,'0.1.1 Pokémon GO Moves'!$A$1:$A951,0)),'Reverse Search'!$J$21)))))</f>
        <v>0</v>
      </c>
      <c r="AB724" s="490"/>
      <c r="AC724" s="260" t="n">
        <f aca="false">IF((Q724+R724+S724+V724+W724+X724+Y724+IF(Z724&gt;=1,1,0)+IF(AA724&gt;=1,1,0))=9,G724&amp;", ",)</f>
        <v>0</v>
      </c>
    </row>
    <row r="725" customFormat="false" ht="15.75" hidden="false" customHeight="false" outlineLevel="0" collapsed="false">
      <c r="A725" s="260"/>
      <c r="B725" s="358"/>
      <c r="C725" s="260"/>
      <c r="D725" s="358"/>
      <c r="E725" s="260" t="n">
        <v>724</v>
      </c>
      <c r="F725" s="260" t="n">
        <f aca="false" t="array" ref="F725:F725">INDEX('0.0.1 Pokémon Dex Data'!$H$3:$H951,MATCH(E725,'0.0.1 Pokémon Dex Data'!$B$3:$B951,0))</f>
        <v>0</v>
      </c>
      <c r="G725" s="0" t="str">
        <f aca="false" t="array" ref="G725:G725">INDEX('0.0.1 Pokémon Dex Data'!$E$3:$E951,MATCH(E725,'0.0.1 Pokémon Dex Data'!$B$3:$B951,0))</f>
        <v>Pawniard</v>
      </c>
      <c r="H725" s="0" t="str">
        <f aca="false" t="array" ref="H725:H725">INDEX('0.0.1 Pokémon Dex Data'!$Q$3:$Q951,MATCH(E725,'0.0.1 Pokémon Dex Data'!$B$3:$B951,0))</f>
        <v>Dark</v>
      </c>
      <c r="I725" s="0" t="str">
        <f aca="false" t="array" ref="I725:I725">INDEX('0.0.1 Pokémon Dex Data'!$R$3:$R951,MATCH(E725,'0.0.1 Pokémon Dex Data'!$B$3:$B951,0))</f>
        <v>Steel</v>
      </c>
      <c r="J725" s="260" t="n">
        <f aca="false" t="array" ref="J725:J725">ROUND(INDEX('0.0.1 Pokémon Dex Data'!$S$3:$S951,MATCH($E725,'0.0.1 Pokémon Dex Data'!$B$3:$B951,0))*INDEX('0.0.1 Pokémon Dex Data'!T$3:T951,MATCH($E725,'0.0.1 Pokémon Dex Data'!$B$3:$B951,0)),0)</f>
        <v>154</v>
      </c>
      <c r="K725" s="260" t="n">
        <f aca="false" t="array" ref="K725:K725">ROUND(INDEX('0.0.1 Pokémon Dex Data'!$S$3:$S951,MATCH($E725,'0.0.1 Pokémon Dex Data'!$B$3:$B951,0))*INDEX('0.0.1 Pokémon Dex Data'!U$3:U951,MATCH($E725,'0.0.1 Pokémon Dex Data'!$B$3:$B951,0)),0)</f>
        <v>114</v>
      </c>
      <c r="L725" s="260" t="n">
        <f aca="false" t="array" ref="L725:L725">ROUND(INDEX('0.0.1 Pokémon Dex Data'!$S$3:$S951,MATCH($E725,'0.0.1 Pokémon Dex Data'!$B$3:$B951,0))*INDEX('0.0.1 Pokémon Dex Data'!V$3:V951,MATCH($E725,'0.0.1 Pokémon Dex Data'!$B$3:$B951,0)),0)</f>
        <v>128</v>
      </c>
      <c r="M725" s="260" t="n">
        <f aca="false" t="array" ref="M725:M725">INDEX('0.0.1 Pokémon Dex Data'!$J$3:$J951,MATCH(E725,'0.0.1 Pokémon Dex Data'!$B$3:$B951,0))</f>
        <v>0</v>
      </c>
      <c r="O725" s="490"/>
      <c r="Q725" s="367" t="n">
        <f aca="false">IF('Reverse Search'!$F$4="All (including temporary formes)",1,IF('Reverse Search'!$F$4="Base Pokémon and permanent formes only",IF(F725&lt;=1,1,0),IF(F725=0,1,0)))</f>
        <v>1</v>
      </c>
      <c r="R725" s="0" t="n">
        <f aca="false">IF('Reverse Search'!$C$7="Disable",1,IF('Reverse Search'!$D$9="Disable",1,IF(OR('Reverse Search'!$F$9=H725,'Reverse Search'!$F$9=I725),1,0)))</f>
        <v>1</v>
      </c>
      <c r="S725" s="0" t="n">
        <f aca="false">IF('Reverse Search'!$C$7="Disable",1,IF('Reverse Search'!$D$10="Disable",1,IF(OR('Reverse Search'!$F$10=H725,'Reverse Search'!$F$10=I725),1,0)))</f>
        <v>1</v>
      </c>
      <c r="T725" s="0" t="n">
        <f aca="false">INDEX($B$4:$B$22,MATCH(H725,$A$4:$A$22,0))</f>
        <v>1</v>
      </c>
      <c r="U725" s="0" t="n">
        <f aca="false">IF(ISBLANK(I725),1,INDEX($B$4:$B$22,MATCH(I725,$A$4:$A$22,0)))</f>
        <v>0.714</v>
      </c>
      <c r="V725" s="367" t="n">
        <f aca="false">IF('Reverse Search'!$C$7="Disable",1,IF('Reverse Search'!$D$11="Disable",1,IF('Reverse Search'!$E$11="Neutral to:",IF(ROUND(T725*U725,2)&lt;=1,1,0),IF(ROUND(T725*U725,2)&lt;1,1,0))))</f>
        <v>1</v>
      </c>
      <c r="W725" s="0" t="n">
        <f aca="false">IF('Reverse Search'!$N$7="Disable",1,IF('Reverse Search'!$I$9="Disable",1,IF('Reverse Search'!$K$9="≥",IF(J725&gt;='Reverse Search'!$L$9,1,0),IF('Reverse Search'!$K$9="≤",IF(J725&lt;='Reverse Search'!$L$9,1,0),IF(J725='Reverse Search'!$L$9,1,0)))))</f>
        <v>1</v>
      </c>
      <c r="X725" s="0" t="n">
        <f aca="false">IF('Reverse Search'!$N$7="Disable",1,IF('Reverse Search'!$I$10="Disable",1,IF('Reverse Search'!$K$10="≥",IF(K725&gt;='Reverse Search'!$L$10,1,0),IF('Reverse Search'!$K$10="≤",IF(K725&lt;='Reverse Search'!$L$10,1,0),IF(K725='Reverse Search'!$L$10,1,0)))))</f>
        <v>1</v>
      </c>
      <c r="Y725" s="367" t="n">
        <f aca="false">IF('Reverse Search'!$N$7="Disable",1,IF('Reverse Search'!$I$11="Disable",1,IF('Reverse Search'!$K$11="≥",IF(L725&gt;='Reverse Search'!$L$11,1,0),IF('Reverse Search'!$K$11="≤",IF(L725&lt;='Reverse Search'!$L$11,1,0),IF(L725='Reverse Search'!$L$11,1,0)))))</f>
        <v>1</v>
      </c>
      <c r="Z725" s="0" t="n">
        <f aca="true">IF('Reverse Search'!$C$14="Disable",1,IF('Reverse Search'!$D$16="Disable",1,IF($C$2=3,IF($M725=0,0,COUNTIF(INDIRECT("'0.0.2 Pokémon Learnset (Core)'!$D$"&amp;MATCH($E725,'0.0.2 Pokémon Learnset (Core)'!$A$1:$A951,0)&amp;":$FK$"&amp;MATCH($E725,'0.0.2 Pokémon Learnset (Core)'!$A$1:$A951,0)),'Reverse Search'!$E$21)),IF($C$2=2,COUNTIF(INDIRECT("'0.1.1 Pokémon GO Moves'!$B$"&amp;MATCH($E725,'0.1.1 Pokémon GO Moves'!$A$1:$A951,0)&amp;":$R$"&amp;MATCH($E725,'0.1.1 Pokémon GO Moves'!$A$1:$A951,0)),'Reverse Search'!$E$21),COUNTIF(INDIRECT("'0.1.1 Pokémon GO Moves'!$B$"&amp;MATCH($E725,'0.1.1 Pokémon GO Moves'!$A$1:$A951,0)&amp;":$L$"&amp;MATCH($E725,'0.1.1 Pokémon GO Moves'!$A$1:$A951,0)),'Reverse Search'!$E$21)))))</f>
        <v>1</v>
      </c>
      <c r="AA725" s="0" t="n">
        <f aca="true">IF('Reverse Search'!$C$14="Disable",1,IF('Reverse Search'!$I$16="Disable",1,IF($D$2=3,IF($M725=0,0,COUNTIF(INDIRECT("'0.0.2 Pokémon Learnset (Core)'!$D$"&amp;MATCH($E725,'0.0.2 Pokémon Learnset (Core)'!$A$1:$A951,0)&amp;":$FK$"&amp;MATCH($E725,'0.0.2 Pokémon Learnset (Core)'!$A$1:$A951,0)),'Reverse Search'!$J$21)),IF($D$2=2,COUNTIF(INDIRECT("'0.1.1 Pokémon GO Moves'!$B$"&amp;MATCH($E725,'0.1.1 Pokémon GO Moves'!$A$1:$A951,0)&amp;":$R$"&amp;MATCH($E725,'0.1.1 Pokémon GO Moves'!$A$1:$A951,0)),'Reverse Search'!$J$21),COUNTIF(INDIRECT("'0.1.1 Pokémon GO Moves'!$B$"&amp;MATCH($E725,'0.1.1 Pokémon GO Moves'!$A$1:$A951,0)&amp;":$L$"&amp;MATCH($E725,'0.1.1 Pokémon GO Moves'!$A$1:$A951,0)),'Reverse Search'!$J$21)))))</f>
        <v>0</v>
      </c>
      <c r="AB725" s="490"/>
      <c r="AC725" s="260" t="n">
        <f aca="false">IF((Q725+R725+S725+V725+W725+X725+Y725+IF(Z725&gt;=1,1,0)+IF(AA725&gt;=1,1,0))=9,G725&amp;", ",)</f>
        <v>0</v>
      </c>
    </row>
    <row r="726" customFormat="false" ht="15.75" hidden="false" customHeight="false" outlineLevel="0" collapsed="false">
      <c r="A726" s="260"/>
      <c r="B726" s="358"/>
      <c r="C726" s="260"/>
      <c r="D726" s="358"/>
      <c r="E726" s="260" t="n">
        <v>725</v>
      </c>
      <c r="F726" s="260" t="n">
        <f aca="false" t="array" ref="F726:F726">INDEX('0.0.1 Pokémon Dex Data'!$H$3:$H951,MATCH(E726,'0.0.1 Pokémon Dex Data'!$B$3:$B951,0))</f>
        <v>0</v>
      </c>
      <c r="G726" s="0" t="str">
        <f aca="false" t="array" ref="G726:G726">INDEX('0.0.1 Pokémon Dex Data'!$E$3:$E951,MATCH(E726,'0.0.1 Pokémon Dex Data'!$B$3:$B951,0))</f>
        <v>Bisharp</v>
      </c>
      <c r="H726" s="0" t="str">
        <f aca="false" t="array" ref="H726:H726">INDEX('0.0.1 Pokémon Dex Data'!$Q$3:$Q951,MATCH(E726,'0.0.1 Pokémon Dex Data'!$B$3:$B951,0))</f>
        <v>Dark</v>
      </c>
      <c r="I726" s="0" t="str">
        <f aca="false" t="array" ref="I726:I726">INDEX('0.0.1 Pokémon Dex Data'!$R$3:$R951,MATCH(E726,'0.0.1 Pokémon Dex Data'!$B$3:$B951,0))</f>
        <v>Steel</v>
      </c>
      <c r="J726" s="260" t="n">
        <f aca="false" t="array" ref="J726:J726">ROUND(INDEX('0.0.1 Pokémon Dex Data'!$S$3:$S951,MATCH($E726,'0.0.1 Pokémon Dex Data'!$B$3:$B951,0))*INDEX('0.0.1 Pokémon Dex Data'!T$3:T951,MATCH($E726,'0.0.1 Pokémon Dex Data'!$B$3:$B951,0)),0)</f>
        <v>232</v>
      </c>
      <c r="K726" s="260" t="n">
        <f aca="false" t="array" ref="K726:K726">ROUND(INDEX('0.0.1 Pokémon Dex Data'!$S$3:$S951,MATCH($E726,'0.0.1 Pokémon Dex Data'!$B$3:$B951,0))*INDEX('0.0.1 Pokémon Dex Data'!U$3:U951,MATCH($E726,'0.0.1 Pokémon Dex Data'!$B$3:$B951,0)),0)</f>
        <v>176</v>
      </c>
      <c r="L726" s="260" t="n">
        <f aca="false" t="array" ref="L726:L726">ROUND(INDEX('0.0.1 Pokémon Dex Data'!$S$3:$S951,MATCH($E726,'0.0.1 Pokémon Dex Data'!$B$3:$B951,0))*INDEX('0.0.1 Pokémon Dex Data'!V$3:V951,MATCH($E726,'0.0.1 Pokémon Dex Data'!$B$3:$B951,0)),0)</f>
        <v>163</v>
      </c>
      <c r="M726" s="260" t="n">
        <f aca="false" t="array" ref="M726:M726">INDEX('0.0.1 Pokémon Dex Data'!$J$3:$J951,MATCH(E726,'0.0.1 Pokémon Dex Data'!$B$3:$B951,0))</f>
        <v>1</v>
      </c>
      <c r="O726" s="490"/>
      <c r="Q726" s="367" t="n">
        <f aca="false">IF('Reverse Search'!$F$4="All (including temporary formes)",1,IF('Reverse Search'!$F$4="Base Pokémon and permanent formes only",IF(F726&lt;=1,1,0),IF(F726=0,1,0)))</f>
        <v>1</v>
      </c>
      <c r="R726" s="0" t="n">
        <f aca="false">IF('Reverse Search'!$C$7="Disable",1,IF('Reverse Search'!$D$9="Disable",1,IF(OR('Reverse Search'!$F$9=H726,'Reverse Search'!$F$9=I726),1,0)))</f>
        <v>1</v>
      </c>
      <c r="S726" s="0" t="n">
        <f aca="false">IF('Reverse Search'!$C$7="Disable",1,IF('Reverse Search'!$D$10="Disable",1,IF(OR('Reverse Search'!$F$10=H726,'Reverse Search'!$F$10=I726),1,0)))</f>
        <v>1</v>
      </c>
      <c r="T726" s="0" t="n">
        <f aca="false">INDEX($B$4:$B$22,MATCH(H726,$A$4:$A$22,0))</f>
        <v>1</v>
      </c>
      <c r="U726" s="0" t="n">
        <f aca="false">IF(ISBLANK(I726),1,INDEX($B$4:$B$22,MATCH(I726,$A$4:$A$22,0)))</f>
        <v>0.714</v>
      </c>
      <c r="V726" s="367" t="n">
        <f aca="false">IF('Reverse Search'!$C$7="Disable",1,IF('Reverse Search'!$D$11="Disable",1,IF('Reverse Search'!$E$11="Neutral to:",IF(ROUND(T726*U726,2)&lt;=1,1,0),IF(ROUND(T726*U726,2)&lt;1,1,0))))</f>
        <v>1</v>
      </c>
      <c r="W726" s="0" t="n">
        <f aca="false">IF('Reverse Search'!$N$7="Disable",1,IF('Reverse Search'!$I$9="Disable",1,IF('Reverse Search'!$K$9="≥",IF(J726&gt;='Reverse Search'!$L$9,1,0),IF('Reverse Search'!$K$9="≤",IF(J726&lt;='Reverse Search'!$L$9,1,0),IF(J726='Reverse Search'!$L$9,1,0)))))</f>
        <v>1</v>
      </c>
      <c r="X726" s="0" t="n">
        <f aca="false">IF('Reverse Search'!$N$7="Disable",1,IF('Reverse Search'!$I$10="Disable",1,IF('Reverse Search'!$K$10="≥",IF(K726&gt;='Reverse Search'!$L$10,1,0),IF('Reverse Search'!$K$10="≤",IF(K726&lt;='Reverse Search'!$L$10,1,0),IF(K726='Reverse Search'!$L$10,1,0)))))</f>
        <v>1</v>
      </c>
      <c r="Y726" s="367" t="n">
        <f aca="false">IF('Reverse Search'!$N$7="Disable",1,IF('Reverse Search'!$I$11="Disable",1,IF('Reverse Search'!$K$11="≥",IF(L726&gt;='Reverse Search'!$L$11,1,0),IF('Reverse Search'!$K$11="≤",IF(L726&lt;='Reverse Search'!$L$11,1,0),IF(L726='Reverse Search'!$L$11,1,0)))))</f>
        <v>1</v>
      </c>
      <c r="Z726" s="0" t="n">
        <f aca="true">IF('Reverse Search'!$C$14="Disable",1,IF('Reverse Search'!$D$16="Disable",1,IF($C$2=3,IF($M726=0,0,COUNTIF(INDIRECT("'0.0.2 Pokémon Learnset (Core)'!$D$"&amp;MATCH($E726,'0.0.2 Pokémon Learnset (Core)'!$A$1:$A951,0)&amp;":$FK$"&amp;MATCH($E726,'0.0.2 Pokémon Learnset (Core)'!$A$1:$A951,0)),'Reverse Search'!$E$21)),IF($C$2=2,COUNTIF(INDIRECT("'0.1.1 Pokémon GO Moves'!$B$"&amp;MATCH($E726,'0.1.1 Pokémon GO Moves'!$A$1:$A951,0)&amp;":$R$"&amp;MATCH($E726,'0.1.1 Pokémon GO Moves'!$A$1:$A951,0)),'Reverse Search'!$E$21),COUNTIF(INDIRECT("'0.1.1 Pokémon GO Moves'!$B$"&amp;MATCH($E726,'0.1.1 Pokémon GO Moves'!$A$1:$A951,0)&amp;":$L$"&amp;MATCH($E726,'0.1.1 Pokémon GO Moves'!$A$1:$A951,0)),'Reverse Search'!$E$21)))))</f>
        <v>1</v>
      </c>
      <c r="AA726" s="0" t="n">
        <f aca="true">IF('Reverse Search'!$C$14="Disable",1,IF('Reverse Search'!$I$16="Disable",1,IF($D$2=3,IF($M726=0,0,COUNTIF(INDIRECT("'0.0.2 Pokémon Learnset (Core)'!$D$"&amp;MATCH($E726,'0.0.2 Pokémon Learnset (Core)'!$A$1:$A951,0)&amp;":$FK$"&amp;MATCH($E726,'0.0.2 Pokémon Learnset (Core)'!$A$1:$A951,0)),'Reverse Search'!$J$21)),IF($D$2=2,COUNTIF(INDIRECT("'0.1.1 Pokémon GO Moves'!$B$"&amp;MATCH($E726,'0.1.1 Pokémon GO Moves'!$A$1:$A951,0)&amp;":$R$"&amp;MATCH($E726,'0.1.1 Pokémon GO Moves'!$A$1:$A951,0)),'Reverse Search'!$J$21),COUNTIF(INDIRECT("'0.1.1 Pokémon GO Moves'!$B$"&amp;MATCH($E726,'0.1.1 Pokémon GO Moves'!$A$1:$A951,0)&amp;":$L$"&amp;MATCH($E726,'0.1.1 Pokémon GO Moves'!$A$1:$A951,0)),'Reverse Search'!$J$21)))))</f>
        <v>0</v>
      </c>
      <c r="AB726" s="490"/>
      <c r="AC726" s="260" t="n">
        <f aca="false">IF((Q726+R726+S726+V726+W726+X726+Y726+IF(Z726&gt;=1,1,0)+IF(AA726&gt;=1,1,0))=9,G726&amp;", ",)</f>
        <v>0</v>
      </c>
    </row>
    <row r="727" customFormat="false" ht="15.75" hidden="false" customHeight="false" outlineLevel="0" collapsed="false">
      <c r="A727" s="260"/>
      <c r="B727" s="358"/>
      <c r="C727" s="260"/>
      <c r="D727" s="358"/>
      <c r="E727" s="260" t="n">
        <v>726</v>
      </c>
      <c r="F727" s="260" t="n">
        <f aca="false" t="array" ref="F727:F727">INDEX('0.0.1 Pokémon Dex Data'!$H$3:$H951,MATCH(E727,'0.0.1 Pokémon Dex Data'!$B$3:$B951,0))</f>
        <v>0</v>
      </c>
      <c r="G727" s="0" t="str">
        <f aca="false" t="array" ref="G727:G727">INDEX('0.0.1 Pokémon Dex Data'!$E$3:$E951,MATCH(E727,'0.0.1 Pokémon Dex Data'!$B$3:$B951,0))</f>
        <v>Bouffalant</v>
      </c>
      <c r="H727" s="0" t="str">
        <f aca="false" t="array" ref="H727:H727">INDEX('0.0.1 Pokémon Dex Data'!$Q$3:$Q951,MATCH(E727,'0.0.1 Pokémon Dex Data'!$B$3:$B951,0))</f>
        <v>Normal</v>
      </c>
      <c r="I727" s="0" t="n">
        <f aca="false">INDEX('0.0.1 Pokémon Dex Data'!$R$3:$R951,MATCH(E727,'0.0.1 Pokémon Dex Data'!$B$3:$B951,0))</f>
        <v>0</v>
      </c>
      <c r="J727" s="260" t="n">
        <f aca="false" t="array" ref="J727:J727">ROUND(INDEX('0.0.1 Pokémon Dex Data'!$S$3:$S951,MATCH($E727,'0.0.1 Pokémon Dex Data'!$B$3:$B951,0))*INDEX('0.0.1 Pokémon Dex Data'!T$3:T951,MATCH($E727,'0.0.1 Pokémon Dex Data'!$B$3:$B951,0)),0)</f>
        <v>195</v>
      </c>
      <c r="K727" s="260" t="n">
        <f aca="false" t="array" ref="K727:K727">ROUND(INDEX('0.0.1 Pokémon Dex Data'!$S$3:$S951,MATCH($E727,'0.0.1 Pokémon Dex Data'!$B$3:$B951,0))*INDEX('0.0.1 Pokémon Dex Data'!U$3:U951,MATCH($E727,'0.0.1 Pokémon Dex Data'!$B$3:$B951,0)),0)</f>
        <v>182</v>
      </c>
      <c r="L727" s="260" t="n">
        <f aca="false" t="array" ref="L727:L727">ROUND(INDEX('0.0.1 Pokémon Dex Data'!$S$3:$S951,MATCH($E727,'0.0.1 Pokémon Dex Data'!$B$3:$B951,0))*INDEX('0.0.1 Pokémon Dex Data'!V$3:V951,MATCH($E727,'0.0.1 Pokémon Dex Data'!$B$3:$B951,0)),0)</f>
        <v>216</v>
      </c>
      <c r="M727" s="260" t="n">
        <f aca="false" t="array" ref="M727:M727">INDEX('0.0.1 Pokémon Dex Data'!$J$3:$J951,MATCH(E727,'0.0.1 Pokémon Dex Data'!$B$3:$B951,0))</f>
        <v>1</v>
      </c>
      <c r="O727" s="490"/>
      <c r="Q727" s="367" t="n">
        <f aca="false">IF('Reverse Search'!$F$4="All (including temporary formes)",1,IF('Reverse Search'!$F$4="Base Pokémon and permanent formes only",IF(F727&lt;=1,1,0),IF(F727=0,1,0)))</f>
        <v>1</v>
      </c>
      <c r="R727" s="0" t="n">
        <f aca="false">IF('Reverse Search'!$C$7="Disable",1,IF('Reverse Search'!$D$9="Disable",1,IF(OR('Reverse Search'!$F$9=H727,'Reverse Search'!$F$9=I727),1,0)))</f>
        <v>1</v>
      </c>
      <c r="S727" s="0" t="n">
        <f aca="false">IF('Reverse Search'!$C$7="Disable",1,IF('Reverse Search'!$D$10="Disable",1,IF(OR('Reverse Search'!$F$10=H727,'Reverse Search'!$F$10=I727),1,0)))</f>
        <v>1</v>
      </c>
      <c r="T727" s="0" t="n">
        <f aca="false">INDEX($B$4:$B$22,MATCH(H727,$A$4:$A$22,0))</f>
        <v>1</v>
      </c>
      <c r="U727" s="0" t="e">
        <f aca="false">IF(ISBLANK(I727),1,INDEX($B$4:$B$22,MATCH(I727,$A$4:$A$22,0)))</f>
        <v>#N/A</v>
      </c>
      <c r="V727" s="367" t="n">
        <f aca="false">IF('Reverse Search'!$C$7="Disable",1,IF('Reverse Search'!$D$11="Disable",1,IF('Reverse Search'!$E$11="Neutral to:",IF(ROUND(T727*U727,2)&lt;=1,1,0),IF(ROUND(T727*U727,2)&lt;1,1,0))))</f>
        <v>1</v>
      </c>
      <c r="W727" s="0" t="n">
        <f aca="false">IF('Reverse Search'!$N$7="Disable",1,IF('Reverse Search'!$I$9="Disable",1,IF('Reverse Search'!$K$9="≥",IF(J727&gt;='Reverse Search'!$L$9,1,0),IF('Reverse Search'!$K$9="≤",IF(J727&lt;='Reverse Search'!$L$9,1,0),IF(J727='Reverse Search'!$L$9,1,0)))))</f>
        <v>1</v>
      </c>
      <c r="X727" s="0" t="n">
        <f aca="false">IF('Reverse Search'!$N$7="Disable",1,IF('Reverse Search'!$I$10="Disable",1,IF('Reverse Search'!$K$10="≥",IF(K727&gt;='Reverse Search'!$L$10,1,0),IF('Reverse Search'!$K$10="≤",IF(K727&lt;='Reverse Search'!$L$10,1,0),IF(K727='Reverse Search'!$L$10,1,0)))))</f>
        <v>1</v>
      </c>
      <c r="Y727" s="367" t="n">
        <f aca="false">IF('Reverse Search'!$N$7="Disable",1,IF('Reverse Search'!$I$11="Disable",1,IF('Reverse Search'!$K$11="≥",IF(L727&gt;='Reverse Search'!$L$11,1,0),IF('Reverse Search'!$K$11="≤",IF(L727&lt;='Reverse Search'!$L$11,1,0),IF(L727='Reverse Search'!$L$11,1,0)))))</f>
        <v>1</v>
      </c>
      <c r="Z727" s="0" t="n">
        <f aca="true">IF('Reverse Search'!$C$14="Disable",1,IF('Reverse Search'!$D$16="Disable",1,IF($C$2=3,IF($M727=0,0,COUNTIF(INDIRECT("'0.0.2 Pokémon Learnset (Core)'!$D$"&amp;MATCH($E727,'0.0.2 Pokémon Learnset (Core)'!$A$1:$A951,0)&amp;":$FK$"&amp;MATCH($E727,'0.0.2 Pokémon Learnset (Core)'!$A$1:$A951,0)),'Reverse Search'!$E$21)),IF($C$2=2,COUNTIF(INDIRECT("'0.1.1 Pokémon GO Moves'!$B$"&amp;MATCH($E727,'0.1.1 Pokémon GO Moves'!$A$1:$A951,0)&amp;":$R$"&amp;MATCH($E727,'0.1.1 Pokémon GO Moves'!$A$1:$A951,0)),'Reverse Search'!$E$21),COUNTIF(INDIRECT("'0.1.1 Pokémon GO Moves'!$B$"&amp;MATCH($E727,'0.1.1 Pokémon GO Moves'!$A$1:$A951,0)&amp;":$L$"&amp;MATCH($E727,'0.1.1 Pokémon GO Moves'!$A$1:$A951,0)),'Reverse Search'!$E$21)))))</f>
        <v>1</v>
      </c>
      <c r="AA727" s="0" t="n">
        <f aca="true">IF('Reverse Search'!$C$14="Disable",1,IF('Reverse Search'!$I$16="Disable",1,IF($D$2=3,IF($M727=0,0,COUNTIF(INDIRECT("'0.0.2 Pokémon Learnset (Core)'!$D$"&amp;MATCH($E727,'0.0.2 Pokémon Learnset (Core)'!$A$1:$A951,0)&amp;":$FK$"&amp;MATCH($E727,'0.0.2 Pokémon Learnset (Core)'!$A$1:$A951,0)),'Reverse Search'!$J$21)),IF($D$2=2,COUNTIF(INDIRECT("'0.1.1 Pokémon GO Moves'!$B$"&amp;MATCH($E727,'0.1.1 Pokémon GO Moves'!$A$1:$A951,0)&amp;":$R$"&amp;MATCH($E727,'0.1.1 Pokémon GO Moves'!$A$1:$A951,0)),'Reverse Search'!$J$21),COUNTIF(INDIRECT("'0.1.1 Pokémon GO Moves'!$B$"&amp;MATCH($E727,'0.1.1 Pokémon GO Moves'!$A$1:$A951,0)&amp;":$L$"&amp;MATCH($E727,'0.1.1 Pokémon GO Moves'!$A$1:$A951,0)),'Reverse Search'!$J$21)))))</f>
        <v>0</v>
      </c>
      <c r="AB727" s="490"/>
      <c r="AC727" s="260" t="n">
        <f aca="false">IF((Q727+R727+S727+V727+W727+X727+Y727+IF(Z727&gt;=1,1,0)+IF(AA727&gt;=1,1,0))=9,G727&amp;", ",)</f>
        <v>0</v>
      </c>
    </row>
    <row r="728" customFormat="false" ht="15.75" hidden="false" customHeight="false" outlineLevel="0" collapsed="false">
      <c r="A728" s="260"/>
      <c r="B728" s="358"/>
      <c r="C728" s="260"/>
      <c r="D728" s="358"/>
      <c r="E728" s="260" t="n">
        <v>727</v>
      </c>
      <c r="F728" s="260" t="n">
        <f aca="false" t="array" ref="F728:F728">INDEX('0.0.1 Pokémon Dex Data'!$H$3:$H951,MATCH(E728,'0.0.1 Pokémon Dex Data'!$B$3:$B951,0))</f>
        <v>0</v>
      </c>
      <c r="G728" s="0" t="str">
        <f aca="false" t="array" ref="G728:G728">INDEX('0.0.1 Pokémon Dex Data'!$E$3:$E951,MATCH(E728,'0.0.1 Pokémon Dex Data'!$B$3:$B951,0))</f>
        <v>Rufflet</v>
      </c>
      <c r="H728" s="0" t="str">
        <f aca="false" t="array" ref="H728:H728">INDEX('0.0.1 Pokémon Dex Data'!$Q$3:$Q951,MATCH(E728,'0.0.1 Pokémon Dex Data'!$B$3:$B951,0))</f>
        <v>Normal</v>
      </c>
      <c r="I728" s="0" t="str">
        <f aca="false" t="array" ref="I728:I728">INDEX('0.0.1 Pokémon Dex Data'!$R$3:$R951,MATCH(E728,'0.0.1 Pokémon Dex Data'!$B$3:$B951,0))</f>
        <v>Flying</v>
      </c>
      <c r="J728" s="260" t="n">
        <f aca="false" t="array" ref="J728:J728">ROUND(INDEX('0.0.1 Pokémon Dex Data'!$S$3:$S951,MATCH($E728,'0.0.1 Pokémon Dex Data'!$B$3:$B951,0))*INDEX('0.0.1 Pokémon Dex Data'!T$3:T951,MATCH($E728,'0.0.1 Pokémon Dex Data'!$B$3:$B951,0)),0)</f>
        <v>150</v>
      </c>
      <c r="K728" s="260" t="n">
        <f aca="false" t="array" ref="K728:K728">ROUND(INDEX('0.0.1 Pokémon Dex Data'!$S$3:$S951,MATCH($E728,'0.0.1 Pokémon Dex Data'!$B$3:$B951,0))*INDEX('0.0.1 Pokémon Dex Data'!U$3:U951,MATCH($E728,'0.0.1 Pokémon Dex Data'!$B$3:$B951,0)),0)</f>
        <v>97</v>
      </c>
      <c r="L728" s="260" t="n">
        <f aca="false" t="array" ref="L728:L728">ROUND(INDEX('0.0.1 Pokémon Dex Data'!$S$3:$S951,MATCH($E728,'0.0.1 Pokémon Dex Data'!$B$3:$B951,0))*INDEX('0.0.1 Pokémon Dex Data'!V$3:V951,MATCH($E728,'0.0.1 Pokémon Dex Data'!$B$3:$B951,0)),0)</f>
        <v>172</v>
      </c>
      <c r="M728" s="260" t="n">
        <f aca="false" t="array" ref="M728:M728">INDEX('0.0.1 Pokémon Dex Data'!$J$3:$J951,MATCH(E728,'0.0.1 Pokémon Dex Data'!$B$3:$B951,0))</f>
        <v>0</v>
      </c>
      <c r="O728" s="490"/>
      <c r="Q728" s="367" t="n">
        <f aca="false">IF('Reverse Search'!$F$4="All (including temporary formes)",1,IF('Reverse Search'!$F$4="Base Pokémon and permanent formes only",IF(F728&lt;=1,1,0),IF(F728=0,1,0)))</f>
        <v>1</v>
      </c>
      <c r="R728" s="0" t="n">
        <f aca="false">IF('Reverse Search'!$C$7="Disable",1,IF('Reverse Search'!$D$9="Disable",1,IF(OR('Reverse Search'!$F$9=H728,'Reverse Search'!$F$9=I728),1,0)))</f>
        <v>1</v>
      </c>
      <c r="S728" s="0" t="n">
        <f aca="false">IF('Reverse Search'!$C$7="Disable",1,IF('Reverse Search'!$D$10="Disable",1,IF(OR('Reverse Search'!$F$10=H728,'Reverse Search'!$F$10=I728),1,0)))</f>
        <v>1</v>
      </c>
      <c r="T728" s="0" t="n">
        <f aca="false">INDEX($B$4:$B$22,MATCH(H728,$A$4:$A$22,0))</f>
        <v>1</v>
      </c>
      <c r="U728" s="0" t="n">
        <f aca="false">IF(ISBLANK(I728),1,INDEX($B$4:$B$22,MATCH(I728,$A$4:$A$22,0)))</f>
        <v>1</v>
      </c>
      <c r="V728" s="367" t="n">
        <f aca="false">IF('Reverse Search'!$C$7="Disable",1,IF('Reverse Search'!$D$11="Disable",1,IF('Reverse Search'!$E$11="Neutral to:",IF(ROUND(T728*U728,2)&lt;=1,1,0),IF(ROUND(T728*U728,2)&lt;1,1,0))))</f>
        <v>1</v>
      </c>
      <c r="W728" s="0" t="n">
        <f aca="false">IF('Reverse Search'!$N$7="Disable",1,IF('Reverse Search'!$I$9="Disable",1,IF('Reverse Search'!$K$9="≥",IF(J728&gt;='Reverse Search'!$L$9,1,0),IF('Reverse Search'!$K$9="≤",IF(J728&lt;='Reverse Search'!$L$9,1,0),IF(J728='Reverse Search'!$L$9,1,0)))))</f>
        <v>1</v>
      </c>
      <c r="X728" s="0" t="n">
        <f aca="false">IF('Reverse Search'!$N$7="Disable",1,IF('Reverse Search'!$I$10="Disable",1,IF('Reverse Search'!$K$10="≥",IF(K728&gt;='Reverse Search'!$L$10,1,0),IF('Reverse Search'!$K$10="≤",IF(K728&lt;='Reverse Search'!$L$10,1,0),IF(K728='Reverse Search'!$L$10,1,0)))))</f>
        <v>1</v>
      </c>
      <c r="Y728" s="367" t="n">
        <f aca="false">IF('Reverse Search'!$N$7="Disable",1,IF('Reverse Search'!$I$11="Disable",1,IF('Reverse Search'!$K$11="≥",IF(L728&gt;='Reverse Search'!$L$11,1,0),IF('Reverse Search'!$K$11="≤",IF(L728&lt;='Reverse Search'!$L$11,1,0),IF(L728='Reverse Search'!$L$11,1,0)))))</f>
        <v>1</v>
      </c>
      <c r="Z728" s="0" t="n">
        <f aca="true">IF('Reverse Search'!$C$14="Disable",1,IF('Reverse Search'!$D$16="Disable",1,IF($C$2=3,IF($M728=0,0,COUNTIF(INDIRECT("'0.0.2 Pokémon Learnset (Core)'!$D$"&amp;MATCH($E728,'0.0.2 Pokémon Learnset (Core)'!$A$1:$A951,0)&amp;":$FK$"&amp;MATCH($E728,'0.0.2 Pokémon Learnset (Core)'!$A$1:$A951,0)),'Reverse Search'!$E$21)),IF($C$2=2,COUNTIF(INDIRECT("'0.1.1 Pokémon GO Moves'!$B$"&amp;MATCH($E728,'0.1.1 Pokémon GO Moves'!$A$1:$A951,0)&amp;":$R$"&amp;MATCH($E728,'0.1.1 Pokémon GO Moves'!$A$1:$A951,0)),'Reverse Search'!$E$21),COUNTIF(INDIRECT("'0.1.1 Pokémon GO Moves'!$B$"&amp;MATCH($E728,'0.1.1 Pokémon GO Moves'!$A$1:$A951,0)&amp;":$L$"&amp;MATCH($E728,'0.1.1 Pokémon GO Moves'!$A$1:$A951,0)),'Reverse Search'!$E$21)))))</f>
        <v>1</v>
      </c>
      <c r="AA728" s="0" t="n">
        <f aca="true">IF('Reverse Search'!$C$14="Disable",1,IF('Reverse Search'!$I$16="Disable",1,IF($D$2=3,IF($M728=0,0,COUNTIF(INDIRECT("'0.0.2 Pokémon Learnset (Core)'!$D$"&amp;MATCH($E728,'0.0.2 Pokémon Learnset (Core)'!$A$1:$A951,0)&amp;":$FK$"&amp;MATCH($E728,'0.0.2 Pokémon Learnset (Core)'!$A$1:$A951,0)),'Reverse Search'!$J$21)),IF($D$2=2,COUNTIF(INDIRECT("'0.1.1 Pokémon GO Moves'!$B$"&amp;MATCH($E728,'0.1.1 Pokémon GO Moves'!$A$1:$A951,0)&amp;":$R$"&amp;MATCH($E728,'0.1.1 Pokémon GO Moves'!$A$1:$A951,0)),'Reverse Search'!$J$21),COUNTIF(INDIRECT("'0.1.1 Pokémon GO Moves'!$B$"&amp;MATCH($E728,'0.1.1 Pokémon GO Moves'!$A$1:$A951,0)&amp;":$L$"&amp;MATCH($E728,'0.1.1 Pokémon GO Moves'!$A$1:$A951,0)),'Reverse Search'!$J$21)))))</f>
        <v>0</v>
      </c>
      <c r="AB728" s="490"/>
      <c r="AC728" s="260" t="n">
        <f aca="false">IF((Q728+R728+S728+V728+W728+X728+Y728+IF(Z728&gt;=1,1,0)+IF(AA728&gt;=1,1,0))=9,G728&amp;", ",)</f>
        <v>0</v>
      </c>
    </row>
    <row r="729" customFormat="false" ht="15.75" hidden="false" customHeight="false" outlineLevel="0" collapsed="false">
      <c r="A729" s="260"/>
      <c r="B729" s="358"/>
      <c r="C729" s="260"/>
      <c r="D729" s="358"/>
      <c r="E729" s="260" t="n">
        <v>728</v>
      </c>
      <c r="F729" s="260" t="n">
        <f aca="false" t="array" ref="F729:F729">INDEX('0.0.1 Pokémon Dex Data'!$H$3:$H951,MATCH(E729,'0.0.1 Pokémon Dex Data'!$B$3:$B951,0))</f>
        <v>0</v>
      </c>
      <c r="G729" s="0" t="str">
        <f aca="false" t="array" ref="G729:G729">INDEX('0.0.1 Pokémon Dex Data'!$E$3:$E951,MATCH(E729,'0.0.1 Pokémon Dex Data'!$B$3:$B951,0))</f>
        <v>Braviary</v>
      </c>
      <c r="H729" s="0" t="str">
        <f aca="false" t="array" ref="H729:H729">INDEX('0.0.1 Pokémon Dex Data'!$Q$3:$Q951,MATCH(E729,'0.0.1 Pokémon Dex Data'!$B$3:$B951,0))</f>
        <v>Normal</v>
      </c>
      <c r="I729" s="0" t="str">
        <f aca="false" t="array" ref="I729:I729">INDEX('0.0.1 Pokémon Dex Data'!$R$3:$R951,MATCH(E729,'0.0.1 Pokémon Dex Data'!$B$3:$B951,0))</f>
        <v>Flying</v>
      </c>
      <c r="J729" s="260" t="n">
        <f aca="false" t="array" ref="J729:J729">ROUND(INDEX('0.0.1 Pokémon Dex Data'!$S$3:$S951,MATCH($E729,'0.0.1 Pokémon Dex Data'!$B$3:$B951,0))*INDEX('0.0.1 Pokémon Dex Data'!T$3:T951,MATCH($E729,'0.0.1 Pokémon Dex Data'!$B$3:$B951,0)),0)</f>
        <v>232</v>
      </c>
      <c r="K729" s="260" t="n">
        <f aca="false" t="array" ref="K729:K729">ROUND(INDEX('0.0.1 Pokémon Dex Data'!$S$3:$S951,MATCH($E729,'0.0.1 Pokémon Dex Data'!$B$3:$B951,0))*INDEX('0.0.1 Pokémon Dex Data'!U$3:U951,MATCH($E729,'0.0.1 Pokémon Dex Data'!$B$3:$B951,0)),0)</f>
        <v>152</v>
      </c>
      <c r="L729" s="260" t="n">
        <f aca="false" t="array" ref="L729:L729">ROUND(INDEX('0.0.1 Pokémon Dex Data'!$S$3:$S951,MATCH($E729,'0.0.1 Pokémon Dex Data'!$B$3:$B951,0))*INDEX('0.0.1 Pokémon Dex Data'!V$3:V951,MATCH($E729,'0.0.1 Pokémon Dex Data'!$B$3:$B951,0)),0)</f>
        <v>225</v>
      </c>
      <c r="M729" s="260" t="n">
        <f aca="false" t="array" ref="M729:M729">INDEX('0.0.1 Pokémon Dex Data'!$J$3:$J951,MATCH(E729,'0.0.1 Pokémon Dex Data'!$B$3:$B951,0))</f>
        <v>1</v>
      </c>
      <c r="O729" s="490"/>
      <c r="Q729" s="367" t="n">
        <f aca="false">IF('Reverse Search'!$F$4="All (including temporary formes)",1,IF('Reverse Search'!$F$4="Base Pokémon and permanent formes only",IF(F729&lt;=1,1,0),IF(F729=0,1,0)))</f>
        <v>1</v>
      </c>
      <c r="R729" s="0" t="n">
        <f aca="false">IF('Reverse Search'!$C$7="Disable",1,IF('Reverse Search'!$D$9="Disable",1,IF(OR('Reverse Search'!$F$9=H729,'Reverse Search'!$F$9=I729),1,0)))</f>
        <v>1</v>
      </c>
      <c r="S729" s="0" t="n">
        <f aca="false">IF('Reverse Search'!$C$7="Disable",1,IF('Reverse Search'!$D$10="Disable",1,IF(OR('Reverse Search'!$F$10=H729,'Reverse Search'!$F$10=I729),1,0)))</f>
        <v>1</v>
      </c>
      <c r="T729" s="0" t="n">
        <f aca="false">INDEX($B$4:$B$22,MATCH(H729,$A$4:$A$22,0))</f>
        <v>1</v>
      </c>
      <c r="U729" s="0" t="n">
        <f aca="false">IF(ISBLANK(I729),1,INDEX($B$4:$B$22,MATCH(I729,$A$4:$A$22,0)))</f>
        <v>1</v>
      </c>
      <c r="V729" s="367" t="n">
        <f aca="false">IF('Reverse Search'!$C$7="Disable",1,IF('Reverse Search'!$D$11="Disable",1,IF('Reverse Search'!$E$11="Neutral to:",IF(ROUND(T729*U729,2)&lt;=1,1,0),IF(ROUND(T729*U729,2)&lt;1,1,0))))</f>
        <v>1</v>
      </c>
      <c r="W729" s="0" t="n">
        <f aca="false">IF('Reverse Search'!$N$7="Disable",1,IF('Reverse Search'!$I$9="Disable",1,IF('Reverse Search'!$K$9="≥",IF(J729&gt;='Reverse Search'!$L$9,1,0),IF('Reverse Search'!$K$9="≤",IF(J729&lt;='Reverse Search'!$L$9,1,0),IF(J729='Reverse Search'!$L$9,1,0)))))</f>
        <v>1</v>
      </c>
      <c r="X729" s="0" t="n">
        <f aca="false">IF('Reverse Search'!$N$7="Disable",1,IF('Reverse Search'!$I$10="Disable",1,IF('Reverse Search'!$K$10="≥",IF(K729&gt;='Reverse Search'!$L$10,1,0),IF('Reverse Search'!$K$10="≤",IF(K729&lt;='Reverse Search'!$L$10,1,0),IF(K729='Reverse Search'!$L$10,1,0)))))</f>
        <v>1</v>
      </c>
      <c r="Y729" s="367" t="n">
        <f aca="false">IF('Reverse Search'!$N$7="Disable",1,IF('Reverse Search'!$I$11="Disable",1,IF('Reverse Search'!$K$11="≥",IF(L729&gt;='Reverse Search'!$L$11,1,0),IF('Reverse Search'!$K$11="≤",IF(L729&lt;='Reverse Search'!$L$11,1,0),IF(L729='Reverse Search'!$L$11,1,0)))))</f>
        <v>1</v>
      </c>
      <c r="Z729" s="0" t="n">
        <f aca="true">IF('Reverse Search'!$C$14="Disable",1,IF('Reverse Search'!$D$16="Disable",1,IF($C$2=3,IF($M729=0,0,COUNTIF(INDIRECT("'0.0.2 Pokémon Learnset (Core)'!$D$"&amp;MATCH($E729,'0.0.2 Pokémon Learnset (Core)'!$A$1:$A951,0)&amp;":$FK$"&amp;MATCH($E729,'0.0.2 Pokémon Learnset (Core)'!$A$1:$A951,0)),'Reverse Search'!$E$21)),IF($C$2=2,COUNTIF(INDIRECT("'0.1.1 Pokémon GO Moves'!$B$"&amp;MATCH($E729,'0.1.1 Pokémon GO Moves'!$A$1:$A951,0)&amp;":$R$"&amp;MATCH($E729,'0.1.1 Pokémon GO Moves'!$A$1:$A951,0)),'Reverse Search'!$E$21),COUNTIF(INDIRECT("'0.1.1 Pokémon GO Moves'!$B$"&amp;MATCH($E729,'0.1.1 Pokémon GO Moves'!$A$1:$A951,0)&amp;":$L$"&amp;MATCH($E729,'0.1.1 Pokémon GO Moves'!$A$1:$A951,0)),'Reverse Search'!$E$21)))))</f>
        <v>1</v>
      </c>
      <c r="AA729" s="0" t="n">
        <f aca="true">IF('Reverse Search'!$C$14="Disable",1,IF('Reverse Search'!$I$16="Disable",1,IF($D$2=3,IF($M729=0,0,COUNTIF(INDIRECT("'0.0.2 Pokémon Learnset (Core)'!$D$"&amp;MATCH($E729,'0.0.2 Pokémon Learnset (Core)'!$A$1:$A951,0)&amp;":$FK$"&amp;MATCH($E729,'0.0.2 Pokémon Learnset (Core)'!$A$1:$A951,0)),'Reverse Search'!$J$21)),IF($D$2=2,COUNTIF(INDIRECT("'0.1.1 Pokémon GO Moves'!$B$"&amp;MATCH($E729,'0.1.1 Pokémon GO Moves'!$A$1:$A951,0)&amp;":$R$"&amp;MATCH($E729,'0.1.1 Pokémon GO Moves'!$A$1:$A951,0)),'Reverse Search'!$J$21),COUNTIF(INDIRECT("'0.1.1 Pokémon GO Moves'!$B$"&amp;MATCH($E729,'0.1.1 Pokémon GO Moves'!$A$1:$A951,0)&amp;":$L$"&amp;MATCH($E729,'0.1.1 Pokémon GO Moves'!$A$1:$A951,0)),'Reverse Search'!$J$21)))))</f>
        <v>0</v>
      </c>
      <c r="AB729" s="490"/>
      <c r="AC729" s="260" t="n">
        <f aca="false">IF((Q729+R729+S729+V729+W729+X729+Y729+IF(Z729&gt;=1,1,0)+IF(AA729&gt;=1,1,0))=9,G729&amp;", ",)</f>
        <v>0</v>
      </c>
    </row>
    <row r="730" customFormat="false" ht="15.75" hidden="false" customHeight="false" outlineLevel="0" collapsed="false">
      <c r="A730" s="260"/>
      <c r="B730" s="358"/>
      <c r="C730" s="260"/>
      <c r="D730" s="358"/>
      <c r="E730" s="260" t="n">
        <v>729</v>
      </c>
      <c r="F730" s="260" t="n">
        <f aca="false" t="array" ref="F730:F730">INDEX('0.0.1 Pokémon Dex Data'!$H$3:$H951,MATCH(E730,'0.0.1 Pokémon Dex Data'!$B$3:$B951,0))</f>
        <v>0</v>
      </c>
      <c r="G730" s="0" t="str">
        <f aca="false" t="array" ref="G730:G730">INDEX('0.0.1 Pokémon Dex Data'!$E$3:$E951,MATCH(E730,'0.0.1 Pokémon Dex Data'!$B$3:$B951,0))</f>
        <v>Vullaby</v>
      </c>
      <c r="H730" s="0" t="str">
        <f aca="false" t="array" ref="H730:H730">INDEX('0.0.1 Pokémon Dex Data'!$Q$3:$Q951,MATCH(E730,'0.0.1 Pokémon Dex Data'!$B$3:$B951,0))</f>
        <v>Dark</v>
      </c>
      <c r="I730" s="0" t="str">
        <f aca="false" t="array" ref="I730:I730">INDEX('0.0.1 Pokémon Dex Data'!$R$3:$R951,MATCH(E730,'0.0.1 Pokémon Dex Data'!$B$3:$B951,0))</f>
        <v>Flying</v>
      </c>
      <c r="J730" s="260" t="n">
        <f aca="false" t="array" ref="J730:J730">ROUND(INDEX('0.0.1 Pokémon Dex Data'!$S$3:$S951,MATCH($E730,'0.0.1 Pokémon Dex Data'!$B$3:$B951,0))*INDEX('0.0.1 Pokémon Dex Data'!T$3:T951,MATCH($E730,'0.0.1 Pokémon Dex Data'!$B$3:$B951,0)),0)</f>
        <v>105</v>
      </c>
      <c r="K730" s="260" t="n">
        <f aca="false" t="array" ref="K730:K730">ROUND(INDEX('0.0.1 Pokémon Dex Data'!$S$3:$S951,MATCH($E730,'0.0.1 Pokémon Dex Data'!$B$3:$B951,0))*INDEX('0.0.1 Pokémon Dex Data'!U$3:U951,MATCH($E730,'0.0.1 Pokémon Dex Data'!$B$3:$B951,0)),0)</f>
        <v>139</v>
      </c>
      <c r="L730" s="260" t="n">
        <f aca="false" t="array" ref="L730:L730">ROUND(INDEX('0.0.1 Pokémon Dex Data'!$S$3:$S951,MATCH($E730,'0.0.1 Pokémon Dex Data'!$B$3:$B951,0))*INDEX('0.0.1 Pokémon Dex Data'!V$3:V951,MATCH($E730,'0.0.1 Pokémon Dex Data'!$B$3:$B951,0)),0)</f>
        <v>172</v>
      </c>
      <c r="M730" s="260" t="n">
        <f aca="false" t="array" ref="M730:M730">INDEX('0.0.1 Pokémon Dex Data'!$J$3:$J951,MATCH(E730,'0.0.1 Pokémon Dex Data'!$B$3:$B951,0))</f>
        <v>0</v>
      </c>
      <c r="O730" s="490"/>
      <c r="Q730" s="367" t="n">
        <f aca="false">IF('Reverse Search'!$F$4="All (including temporary formes)",1,IF('Reverse Search'!$F$4="Base Pokémon and permanent formes only",IF(F730&lt;=1,1,0),IF(F730=0,1,0)))</f>
        <v>1</v>
      </c>
      <c r="R730" s="0" t="n">
        <f aca="false">IF('Reverse Search'!$C$7="Disable",1,IF('Reverse Search'!$D$9="Disable",1,IF(OR('Reverse Search'!$F$9=H730,'Reverse Search'!$F$9=I730),1,0)))</f>
        <v>1</v>
      </c>
      <c r="S730" s="0" t="n">
        <f aca="false">IF('Reverse Search'!$C$7="Disable",1,IF('Reverse Search'!$D$10="Disable",1,IF(OR('Reverse Search'!$F$10=H730,'Reverse Search'!$F$10=I730),1,0)))</f>
        <v>1</v>
      </c>
      <c r="T730" s="0" t="n">
        <f aca="false">INDEX($B$4:$B$22,MATCH(H730,$A$4:$A$22,0))</f>
        <v>1</v>
      </c>
      <c r="U730" s="0" t="n">
        <f aca="false">IF(ISBLANK(I730),1,INDEX($B$4:$B$22,MATCH(I730,$A$4:$A$22,0)))</f>
        <v>1</v>
      </c>
      <c r="V730" s="367" t="n">
        <f aca="false">IF('Reverse Search'!$C$7="Disable",1,IF('Reverse Search'!$D$11="Disable",1,IF('Reverse Search'!$E$11="Neutral to:",IF(ROUND(T730*U730,2)&lt;=1,1,0),IF(ROUND(T730*U730,2)&lt;1,1,0))))</f>
        <v>1</v>
      </c>
      <c r="W730" s="0" t="n">
        <f aca="false">IF('Reverse Search'!$N$7="Disable",1,IF('Reverse Search'!$I$9="Disable",1,IF('Reverse Search'!$K$9="≥",IF(J730&gt;='Reverse Search'!$L$9,1,0),IF('Reverse Search'!$K$9="≤",IF(J730&lt;='Reverse Search'!$L$9,1,0),IF(J730='Reverse Search'!$L$9,1,0)))))</f>
        <v>1</v>
      </c>
      <c r="X730" s="0" t="n">
        <f aca="false">IF('Reverse Search'!$N$7="Disable",1,IF('Reverse Search'!$I$10="Disable",1,IF('Reverse Search'!$K$10="≥",IF(K730&gt;='Reverse Search'!$L$10,1,0),IF('Reverse Search'!$K$10="≤",IF(K730&lt;='Reverse Search'!$L$10,1,0),IF(K730='Reverse Search'!$L$10,1,0)))))</f>
        <v>1</v>
      </c>
      <c r="Y730" s="367" t="n">
        <f aca="false">IF('Reverse Search'!$N$7="Disable",1,IF('Reverse Search'!$I$11="Disable",1,IF('Reverse Search'!$K$11="≥",IF(L730&gt;='Reverse Search'!$L$11,1,0),IF('Reverse Search'!$K$11="≤",IF(L730&lt;='Reverse Search'!$L$11,1,0),IF(L730='Reverse Search'!$L$11,1,0)))))</f>
        <v>1</v>
      </c>
      <c r="Z730" s="0" t="n">
        <f aca="true">IF('Reverse Search'!$C$14="Disable",1,IF('Reverse Search'!$D$16="Disable",1,IF($C$2=3,IF($M730=0,0,COUNTIF(INDIRECT("'0.0.2 Pokémon Learnset (Core)'!$D$"&amp;MATCH($E730,'0.0.2 Pokémon Learnset (Core)'!$A$1:$A951,0)&amp;":$FK$"&amp;MATCH($E730,'0.0.2 Pokémon Learnset (Core)'!$A$1:$A951,0)),'Reverse Search'!$E$21)),IF($C$2=2,COUNTIF(INDIRECT("'0.1.1 Pokémon GO Moves'!$B$"&amp;MATCH($E730,'0.1.1 Pokémon GO Moves'!$A$1:$A951,0)&amp;":$R$"&amp;MATCH($E730,'0.1.1 Pokémon GO Moves'!$A$1:$A951,0)),'Reverse Search'!$E$21),COUNTIF(INDIRECT("'0.1.1 Pokémon GO Moves'!$B$"&amp;MATCH($E730,'0.1.1 Pokémon GO Moves'!$A$1:$A951,0)&amp;":$L$"&amp;MATCH($E730,'0.1.1 Pokémon GO Moves'!$A$1:$A951,0)),'Reverse Search'!$E$21)))))</f>
        <v>1</v>
      </c>
      <c r="AA730" s="0" t="n">
        <f aca="true">IF('Reverse Search'!$C$14="Disable",1,IF('Reverse Search'!$I$16="Disable",1,IF($D$2=3,IF($M730=0,0,COUNTIF(INDIRECT("'0.0.2 Pokémon Learnset (Core)'!$D$"&amp;MATCH($E730,'0.0.2 Pokémon Learnset (Core)'!$A$1:$A951,0)&amp;":$FK$"&amp;MATCH($E730,'0.0.2 Pokémon Learnset (Core)'!$A$1:$A951,0)),'Reverse Search'!$J$21)),IF($D$2=2,COUNTIF(INDIRECT("'0.1.1 Pokémon GO Moves'!$B$"&amp;MATCH($E730,'0.1.1 Pokémon GO Moves'!$A$1:$A951,0)&amp;":$R$"&amp;MATCH($E730,'0.1.1 Pokémon GO Moves'!$A$1:$A951,0)),'Reverse Search'!$J$21),COUNTIF(INDIRECT("'0.1.1 Pokémon GO Moves'!$B$"&amp;MATCH($E730,'0.1.1 Pokémon GO Moves'!$A$1:$A951,0)&amp;":$L$"&amp;MATCH($E730,'0.1.1 Pokémon GO Moves'!$A$1:$A951,0)),'Reverse Search'!$J$21)))))</f>
        <v>0</v>
      </c>
      <c r="AB730" s="490"/>
      <c r="AC730" s="260" t="n">
        <f aca="false">IF((Q730+R730+S730+V730+W730+X730+Y730+IF(Z730&gt;=1,1,0)+IF(AA730&gt;=1,1,0))=9,G730&amp;", ",)</f>
        <v>0</v>
      </c>
    </row>
    <row r="731" customFormat="false" ht="15.75" hidden="false" customHeight="false" outlineLevel="0" collapsed="false">
      <c r="A731" s="260"/>
      <c r="B731" s="358"/>
      <c r="C731" s="260"/>
      <c r="D731" s="358"/>
      <c r="E731" s="260" t="n">
        <v>730</v>
      </c>
      <c r="F731" s="260" t="n">
        <f aca="false" t="array" ref="F731:F731">INDEX('0.0.1 Pokémon Dex Data'!$H$3:$H951,MATCH(E731,'0.0.1 Pokémon Dex Data'!$B$3:$B951,0))</f>
        <v>0</v>
      </c>
      <c r="G731" s="0" t="str">
        <f aca="false" t="array" ref="G731:G731">INDEX('0.0.1 Pokémon Dex Data'!$E$3:$E951,MATCH(E731,'0.0.1 Pokémon Dex Data'!$B$3:$B951,0))</f>
        <v>Mandibuzz</v>
      </c>
      <c r="H731" s="0" t="str">
        <f aca="false" t="array" ref="H731:H731">INDEX('0.0.1 Pokémon Dex Data'!$Q$3:$Q951,MATCH(E731,'0.0.1 Pokémon Dex Data'!$B$3:$B951,0))</f>
        <v>Dark</v>
      </c>
      <c r="I731" s="0" t="str">
        <f aca="false" t="array" ref="I731:I731">INDEX('0.0.1 Pokémon Dex Data'!$R$3:$R951,MATCH(E731,'0.0.1 Pokémon Dex Data'!$B$3:$B951,0))</f>
        <v>Flying</v>
      </c>
      <c r="J731" s="260" t="n">
        <f aca="false" t="array" ref="J731:J731">ROUND(INDEX('0.0.1 Pokémon Dex Data'!$S$3:$S951,MATCH($E731,'0.0.1 Pokémon Dex Data'!$B$3:$B951,0))*INDEX('0.0.1 Pokémon Dex Data'!T$3:T951,MATCH($E731,'0.0.1 Pokémon Dex Data'!$B$3:$B951,0)),0)</f>
        <v>129</v>
      </c>
      <c r="K731" s="260" t="n">
        <f aca="false" t="array" ref="K731:K731">ROUND(INDEX('0.0.1 Pokémon Dex Data'!$S$3:$S951,MATCH($E731,'0.0.1 Pokémon Dex Data'!$B$3:$B951,0))*INDEX('0.0.1 Pokémon Dex Data'!U$3:U951,MATCH($E731,'0.0.1 Pokémon Dex Data'!$B$3:$B951,0)),0)</f>
        <v>205</v>
      </c>
      <c r="L731" s="260" t="n">
        <f aca="false" t="array" ref="L731:L731">ROUND(INDEX('0.0.1 Pokémon Dex Data'!$S$3:$S951,MATCH($E731,'0.0.1 Pokémon Dex Data'!$B$3:$B951,0))*INDEX('0.0.1 Pokémon Dex Data'!V$3:V951,MATCH($E731,'0.0.1 Pokémon Dex Data'!$B$3:$B951,0)),0)</f>
        <v>242</v>
      </c>
      <c r="M731" s="260" t="n">
        <f aca="false" t="array" ref="M731:M731">INDEX('0.0.1 Pokémon Dex Data'!$J$3:$J951,MATCH(E731,'0.0.1 Pokémon Dex Data'!$B$3:$B951,0))</f>
        <v>1</v>
      </c>
      <c r="O731" s="490"/>
      <c r="Q731" s="367" t="n">
        <f aca="false">IF('Reverse Search'!$F$4="All (including temporary formes)",1,IF('Reverse Search'!$F$4="Base Pokémon and permanent formes only",IF(F731&lt;=1,1,0),IF(F731=0,1,0)))</f>
        <v>1</v>
      </c>
      <c r="R731" s="0" t="n">
        <f aca="false">IF('Reverse Search'!$C$7="Disable",1,IF('Reverse Search'!$D$9="Disable",1,IF(OR('Reverse Search'!$F$9=H731,'Reverse Search'!$F$9=I731),1,0)))</f>
        <v>1</v>
      </c>
      <c r="S731" s="0" t="n">
        <f aca="false">IF('Reverse Search'!$C$7="Disable",1,IF('Reverse Search'!$D$10="Disable",1,IF(OR('Reverse Search'!$F$10=H731,'Reverse Search'!$F$10=I731),1,0)))</f>
        <v>1</v>
      </c>
      <c r="T731" s="0" t="n">
        <f aca="false">INDEX($B$4:$B$22,MATCH(H731,$A$4:$A$22,0))</f>
        <v>1</v>
      </c>
      <c r="U731" s="0" t="n">
        <f aca="false">IF(ISBLANK(I731),1,INDEX($B$4:$B$22,MATCH(I731,$A$4:$A$22,0)))</f>
        <v>1</v>
      </c>
      <c r="V731" s="367" t="n">
        <f aca="false">IF('Reverse Search'!$C$7="Disable",1,IF('Reverse Search'!$D$11="Disable",1,IF('Reverse Search'!$E$11="Neutral to:",IF(ROUND(T731*U731,2)&lt;=1,1,0),IF(ROUND(T731*U731,2)&lt;1,1,0))))</f>
        <v>1</v>
      </c>
      <c r="W731" s="0" t="n">
        <f aca="false">IF('Reverse Search'!$N$7="Disable",1,IF('Reverse Search'!$I$9="Disable",1,IF('Reverse Search'!$K$9="≥",IF(J731&gt;='Reverse Search'!$L$9,1,0),IF('Reverse Search'!$K$9="≤",IF(J731&lt;='Reverse Search'!$L$9,1,0),IF(J731='Reverse Search'!$L$9,1,0)))))</f>
        <v>1</v>
      </c>
      <c r="X731" s="0" t="n">
        <f aca="false">IF('Reverse Search'!$N$7="Disable",1,IF('Reverse Search'!$I$10="Disable",1,IF('Reverse Search'!$K$10="≥",IF(K731&gt;='Reverse Search'!$L$10,1,0),IF('Reverse Search'!$K$10="≤",IF(K731&lt;='Reverse Search'!$L$10,1,0),IF(K731='Reverse Search'!$L$10,1,0)))))</f>
        <v>1</v>
      </c>
      <c r="Y731" s="367" t="n">
        <f aca="false">IF('Reverse Search'!$N$7="Disable",1,IF('Reverse Search'!$I$11="Disable",1,IF('Reverse Search'!$K$11="≥",IF(L731&gt;='Reverse Search'!$L$11,1,0),IF('Reverse Search'!$K$11="≤",IF(L731&lt;='Reverse Search'!$L$11,1,0),IF(L731='Reverse Search'!$L$11,1,0)))))</f>
        <v>1</v>
      </c>
      <c r="Z731" s="0" t="n">
        <f aca="true">IF('Reverse Search'!$C$14="Disable",1,IF('Reverse Search'!$D$16="Disable",1,IF($C$2=3,IF($M731=0,0,COUNTIF(INDIRECT("'0.0.2 Pokémon Learnset (Core)'!$D$"&amp;MATCH($E731,'0.0.2 Pokémon Learnset (Core)'!$A$1:$A951,0)&amp;":$FK$"&amp;MATCH($E731,'0.0.2 Pokémon Learnset (Core)'!$A$1:$A951,0)),'Reverse Search'!$E$21)),IF($C$2=2,COUNTIF(INDIRECT("'0.1.1 Pokémon GO Moves'!$B$"&amp;MATCH($E731,'0.1.1 Pokémon GO Moves'!$A$1:$A951,0)&amp;":$R$"&amp;MATCH($E731,'0.1.1 Pokémon GO Moves'!$A$1:$A951,0)),'Reverse Search'!$E$21),COUNTIF(INDIRECT("'0.1.1 Pokémon GO Moves'!$B$"&amp;MATCH($E731,'0.1.1 Pokémon GO Moves'!$A$1:$A951,0)&amp;":$L$"&amp;MATCH($E731,'0.1.1 Pokémon GO Moves'!$A$1:$A951,0)),'Reverse Search'!$E$21)))))</f>
        <v>1</v>
      </c>
      <c r="AA731" s="0" t="n">
        <f aca="true">IF('Reverse Search'!$C$14="Disable",1,IF('Reverse Search'!$I$16="Disable",1,IF($D$2=3,IF($M731=0,0,COUNTIF(INDIRECT("'0.0.2 Pokémon Learnset (Core)'!$D$"&amp;MATCH($E731,'0.0.2 Pokémon Learnset (Core)'!$A$1:$A951,0)&amp;":$FK$"&amp;MATCH($E731,'0.0.2 Pokémon Learnset (Core)'!$A$1:$A951,0)),'Reverse Search'!$J$21)),IF($D$2=2,COUNTIF(INDIRECT("'0.1.1 Pokémon GO Moves'!$B$"&amp;MATCH($E731,'0.1.1 Pokémon GO Moves'!$A$1:$A951,0)&amp;":$R$"&amp;MATCH($E731,'0.1.1 Pokémon GO Moves'!$A$1:$A951,0)),'Reverse Search'!$J$21),COUNTIF(INDIRECT("'0.1.1 Pokémon GO Moves'!$B$"&amp;MATCH($E731,'0.1.1 Pokémon GO Moves'!$A$1:$A951,0)&amp;":$L$"&amp;MATCH($E731,'0.1.1 Pokémon GO Moves'!$A$1:$A951,0)),'Reverse Search'!$J$21)))))</f>
        <v>0</v>
      </c>
      <c r="AB731" s="490"/>
      <c r="AC731" s="260" t="n">
        <f aca="false">IF((Q731+R731+S731+V731+W731+X731+Y731+IF(Z731&gt;=1,1,0)+IF(AA731&gt;=1,1,0))=9,G731&amp;", ",)</f>
        <v>0</v>
      </c>
    </row>
    <row r="732" customFormat="false" ht="15.75" hidden="false" customHeight="false" outlineLevel="0" collapsed="false">
      <c r="A732" s="260"/>
      <c r="B732" s="358"/>
      <c r="C732" s="260"/>
      <c r="D732" s="358"/>
      <c r="E732" s="260" t="n">
        <v>731</v>
      </c>
      <c r="F732" s="260" t="n">
        <f aca="false" t="array" ref="F732:F732">INDEX('0.0.1 Pokémon Dex Data'!$H$3:$H951,MATCH(E732,'0.0.1 Pokémon Dex Data'!$B$3:$B951,0))</f>
        <v>0</v>
      </c>
      <c r="G732" s="0" t="str">
        <f aca="false" t="array" ref="G732:G732">INDEX('0.0.1 Pokémon Dex Data'!$E$3:$E951,MATCH(E732,'0.0.1 Pokémon Dex Data'!$B$3:$B951,0))</f>
        <v>Heatmor</v>
      </c>
      <c r="H732" s="0" t="str">
        <f aca="false" t="array" ref="H732:H732">INDEX('0.0.1 Pokémon Dex Data'!$Q$3:$Q951,MATCH(E732,'0.0.1 Pokémon Dex Data'!$B$3:$B951,0))</f>
        <v>Fire</v>
      </c>
      <c r="I732" s="0" t="n">
        <f aca="false">INDEX('0.0.1 Pokémon Dex Data'!$R$3:$R951,MATCH(E732,'0.0.1 Pokémon Dex Data'!$B$3:$B951,0))</f>
        <v>0</v>
      </c>
      <c r="J732" s="260" t="n">
        <f aca="false" t="array" ref="J732:J732">ROUND(INDEX('0.0.1 Pokémon Dex Data'!$S$3:$S951,MATCH($E732,'0.0.1 Pokémon Dex Data'!$B$3:$B951,0))*INDEX('0.0.1 Pokémon Dex Data'!T$3:T951,MATCH($E732,'0.0.1 Pokémon Dex Data'!$B$3:$B951,0)),0)</f>
        <v>204</v>
      </c>
      <c r="K732" s="260" t="n">
        <f aca="false" t="array" ref="K732:K732">ROUND(INDEX('0.0.1 Pokémon Dex Data'!$S$3:$S951,MATCH($E732,'0.0.1 Pokémon Dex Data'!$B$3:$B951,0))*INDEX('0.0.1 Pokémon Dex Data'!U$3:U951,MATCH($E732,'0.0.1 Pokémon Dex Data'!$B$3:$B951,0)),0)</f>
        <v>129</v>
      </c>
      <c r="L732" s="260" t="n">
        <f aca="false" t="array" ref="L732:L732">ROUND(INDEX('0.0.1 Pokémon Dex Data'!$S$3:$S951,MATCH($E732,'0.0.1 Pokémon Dex Data'!$B$3:$B951,0))*INDEX('0.0.1 Pokémon Dex Data'!V$3:V951,MATCH($E732,'0.0.1 Pokémon Dex Data'!$B$3:$B951,0)),0)</f>
        <v>198</v>
      </c>
      <c r="M732" s="260" t="n">
        <f aca="false" t="array" ref="M732:M732">INDEX('0.0.1 Pokémon Dex Data'!$J$3:$J951,MATCH(E732,'0.0.1 Pokémon Dex Data'!$B$3:$B951,0))</f>
        <v>1</v>
      </c>
      <c r="O732" s="490"/>
      <c r="Q732" s="367" t="n">
        <f aca="false">IF('Reverse Search'!$F$4="All (including temporary formes)",1,IF('Reverse Search'!$F$4="Base Pokémon and permanent formes only",IF(F732&lt;=1,1,0),IF(F732=0,1,0)))</f>
        <v>1</v>
      </c>
      <c r="R732" s="0" t="n">
        <f aca="false">IF('Reverse Search'!$C$7="Disable",1,IF('Reverse Search'!$D$9="Disable",1,IF(OR('Reverse Search'!$F$9=H732,'Reverse Search'!$F$9=I732),1,0)))</f>
        <v>1</v>
      </c>
      <c r="S732" s="0" t="n">
        <f aca="false">IF('Reverse Search'!$C$7="Disable",1,IF('Reverse Search'!$D$10="Disable",1,IF(OR('Reverse Search'!$F$10=H732,'Reverse Search'!$F$10=I732),1,0)))</f>
        <v>1</v>
      </c>
      <c r="T732" s="0" t="n">
        <f aca="false">INDEX($B$4:$B$22,MATCH(H732,$A$4:$A$22,0))</f>
        <v>1</v>
      </c>
      <c r="U732" s="0" t="e">
        <f aca="false">IF(ISBLANK(I732),1,INDEX($B$4:$B$22,MATCH(I732,$A$4:$A$22,0)))</f>
        <v>#N/A</v>
      </c>
      <c r="V732" s="367" t="n">
        <f aca="false">IF('Reverse Search'!$C$7="Disable",1,IF('Reverse Search'!$D$11="Disable",1,IF('Reverse Search'!$E$11="Neutral to:",IF(ROUND(T732*U732,2)&lt;=1,1,0),IF(ROUND(T732*U732,2)&lt;1,1,0))))</f>
        <v>1</v>
      </c>
      <c r="W732" s="0" t="n">
        <f aca="false">IF('Reverse Search'!$N$7="Disable",1,IF('Reverse Search'!$I$9="Disable",1,IF('Reverse Search'!$K$9="≥",IF(J732&gt;='Reverse Search'!$L$9,1,0),IF('Reverse Search'!$K$9="≤",IF(J732&lt;='Reverse Search'!$L$9,1,0),IF(J732='Reverse Search'!$L$9,1,0)))))</f>
        <v>1</v>
      </c>
      <c r="X732" s="0" t="n">
        <f aca="false">IF('Reverse Search'!$N$7="Disable",1,IF('Reverse Search'!$I$10="Disable",1,IF('Reverse Search'!$K$10="≥",IF(K732&gt;='Reverse Search'!$L$10,1,0),IF('Reverse Search'!$K$10="≤",IF(K732&lt;='Reverse Search'!$L$10,1,0),IF(K732='Reverse Search'!$L$10,1,0)))))</f>
        <v>1</v>
      </c>
      <c r="Y732" s="367" t="n">
        <f aca="false">IF('Reverse Search'!$N$7="Disable",1,IF('Reverse Search'!$I$11="Disable",1,IF('Reverse Search'!$K$11="≥",IF(L732&gt;='Reverse Search'!$L$11,1,0),IF('Reverse Search'!$K$11="≤",IF(L732&lt;='Reverse Search'!$L$11,1,0),IF(L732='Reverse Search'!$L$11,1,0)))))</f>
        <v>1</v>
      </c>
      <c r="Z732" s="0" t="n">
        <f aca="true">IF('Reverse Search'!$C$14="Disable",1,IF('Reverse Search'!$D$16="Disable",1,IF($C$2=3,IF($M732=0,0,COUNTIF(INDIRECT("'0.0.2 Pokémon Learnset (Core)'!$D$"&amp;MATCH($E732,'0.0.2 Pokémon Learnset (Core)'!$A$1:$A951,0)&amp;":$FK$"&amp;MATCH($E732,'0.0.2 Pokémon Learnset (Core)'!$A$1:$A951,0)),'Reverse Search'!$E$21)),IF($C$2=2,COUNTIF(INDIRECT("'0.1.1 Pokémon GO Moves'!$B$"&amp;MATCH($E732,'0.1.1 Pokémon GO Moves'!$A$1:$A951,0)&amp;":$R$"&amp;MATCH($E732,'0.1.1 Pokémon GO Moves'!$A$1:$A951,0)),'Reverse Search'!$E$21),COUNTIF(INDIRECT("'0.1.1 Pokémon GO Moves'!$B$"&amp;MATCH($E732,'0.1.1 Pokémon GO Moves'!$A$1:$A951,0)&amp;":$L$"&amp;MATCH($E732,'0.1.1 Pokémon GO Moves'!$A$1:$A951,0)),'Reverse Search'!$E$21)))))</f>
        <v>1</v>
      </c>
      <c r="AA732" s="0" t="n">
        <f aca="true">IF('Reverse Search'!$C$14="Disable",1,IF('Reverse Search'!$I$16="Disable",1,IF($D$2=3,IF($M732=0,0,COUNTIF(INDIRECT("'0.0.2 Pokémon Learnset (Core)'!$D$"&amp;MATCH($E732,'0.0.2 Pokémon Learnset (Core)'!$A$1:$A951,0)&amp;":$FK$"&amp;MATCH($E732,'0.0.2 Pokémon Learnset (Core)'!$A$1:$A951,0)),'Reverse Search'!$J$21)),IF($D$2=2,COUNTIF(INDIRECT("'0.1.1 Pokémon GO Moves'!$B$"&amp;MATCH($E732,'0.1.1 Pokémon GO Moves'!$A$1:$A951,0)&amp;":$R$"&amp;MATCH($E732,'0.1.1 Pokémon GO Moves'!$A$1:$A951,0)),'Reverse Search'!$J$21),COUNTIF(INDIRECT("'0.1.1 Pokémon GO Moves'!$B$"&amp;MATCH($E732,'0.1.1 Pokémon GO Moves'!$A$1:$A951,0)&amp;":$L$"&amp;MATCH($E732,'0.1.1 Pokémon GO Moves'!$A$1:$A951,0)),'Reverse Search'!$J$21)))))</f>
        <v>0</v>
      </c>
      <c r="AB732" s="490"/>
      <c r="AC732" s="260" t="n">
        <f aca="false">IF((Q732+R732+S732+V732+W732+X732+Y732+IF(Z732&gt;=1,1,0)+IF(AA732&gt;=1,1,0))=9,G732&amp;", ",)</f>
        <v>0</v>
      </c>
    </row>
    <row r="733" customFormat="false" ht="15.75" hidden="false" customHeight="false" outlineLevel="0" collapsed="false">
      <c r="A733" s="260"/>
      <c r="B733" s="358"/>
      <c r="C733" s="260"/>
      <c r="D733" s="358"/>
      <c r="E733" s="260" t="n">
        <v>732</v>
      </c>
      <c r="F733" s="260" t="n">
        <f aca="false" t="array" ref="F733:F733">INDEX('0.0.1 Pokémon Dex Data'!$H$3:$H951,MATCH(E733,'0.0.1 Pokémon Dex Data'!$B$3:$B951,0))</f>
        <v>0</v>
      </c>
      <c r="G733" s="0" t="str">
        <f aca="false" t="array" ref="G733:G733">INDEX('0.0.1 Pokémon Dex Data'!$E$3:$E951,MATCH(E733,'0.0.1 Pokémon Dex Data'!$B$3:$B951,0))</f>
        <v>Durant</v>
      </c>
      <c r="H733" s="0" t="str">
        <f aca="false" t="array" ref="H733:H733">INDEX('0.0.1 Pokémon Dex Data'!$Q$3:$Q951,MATCH(E733,'0.0.1 Pokémon Dex Data'!$B$3:$B951,0))</f>
        <v>Bug</v>
      </c>
      <c r="I733" s="0" t="str">
        <f aca="false" t="array" ref="I733:I733">INDEX('0.0.1 Pokémon Dex Data'!$R$3:$R951,MATCH(E733,'0.0.1 Pokémon Dex Data'!$B$3:$B951,0))</f>
        <v>Steel</v>
      </c>
      <c r="J733" s="260" t="n">
        <f aca="false" t="array" ref="J733:J733">ROUND(INDEX('0.0.1 Pokémon Dex Data'!$S$3:$S951,MATCH($E733,'0.0.1 Pokémon Dex Data'!$B$3:$B951,0))*INDEX('0.0.1 Pokémon Dex Data'!T$3:T951,MATCH($E733,'0.0.1 Pokémon Dex Data'!$B$3:$B951,0)),0)</f>
        <v>217</v>
      </c>
      <c r="K733" s="260" t="n">
        <f aca="false" t="array" ref="K733:K733">ROUND(INDEX('0.0.1 Pokémon Dex Data'!$S$3:$S951,MATCH($E733,'0.0.1 Pokémon Dex Data'!$B$3:$B951,0))*INDEX('0.0.1 Pokémon Dex Data'!U$3:U951,MATCH($E733,'0.0.1 Pokémon Dex Data'!$B$3:$B951,0)),0)</f>
        <v>188</v>
      </c>
      <c r="L733" s="260" t="n">
        <f aca="false" t="array" ref="L733:L733">ROUND(INDEX('0.0.1 Pokémon Dex Data'!$S$3:$S951,MATCH($E733,'0.0.1 Pokémon Dex Data'!$B$3:$B951,0))*INDEX('0.0.1 Pokémon Dex Data'!V$3:V951,MATCH($E733,'0.0.1 Pokémon Dex Data'!$B$3:$B951,0)),0)</f>
        <v>151</v>
      </c>
      <c r="M733" s="260" t="n">
        <f aca="false" t="array" ref="M733:M733">INDEX('0.0.1 Pokémon Dex Data'!$J$3:$J951,MATCH(E733,'0.0.1 Pokémon Dex Data'!$B$3:$B951,0))</f>
        <v>1</v>
      </c>
      <c r="O733" s="490"/>
      <c r="Q733" s="367" t="n">
        <f aca="false">IF('Reverse Search'!$F$4="All (including temporary formes)",1,IF('Reverse Search'!$F$4="Base Pokémon and permanent formes only",IF(F733&lt;=1,1,0),IF(F733=0,1,0)))</f>
        <v>1</v>
      </c>
      <c r="R733" s="0" t="n">
        <f aca="false">IF('Reverse Search'!$C$7="Disable",1,IF('Reverse Search'!$D$9="Disable",1,IF(OR('Reverse Search'!$F$9=H733,'Reverse Search'!$F$9=I733),1,0)))</f>
        <v>1</v>
      </c>
      <c r="S733" s="0" t="n">
        <f aca="false">IF('Reverse Search'!$C$7="Disable",1,IF('Reverse Search'!$D$10="Disable",1,IF(OR('Reverse Search'!$F$10=H733,'Reverse Search'!$F$10=I733),1,0)))</f>
        <v>1</v>
      </c>
      <c r="T733" s="0" t="n">
        <f aca="false">INDEX($B$4:$B$22,MATCH(H733,$A$4:$A$22,0))</f>
        <v>1</v>
      </c>
      <c r="U733" s="0" t="n">
        <f aca="false">IF(ISBLANK(I733),1,INDEX($B$4:$B$22,MATCH(I733,$A$4:$A$22,0)))</f>
        <v>0.714</v>
      </c>
      <c r="V733" s="367" t="n">
        <f aca="false">IF('Reverse Search'!$C$7="Disable",1,IF('Reverse Search'!$D$11="Disable",1,IF('Reverse Search'!$E$11="Neutral to:",IF(ROUND(T733*U733,2)&lt;=1,1,0),IF(ROUND(T733*U733,2)&lt;1,1,0))))</f>
        <v>1</v>
      </c>
      <c r="W733" s="0" t="n">
        <f aca="false">IF('Reverse Search'!$N$7="Disable",1,IF('Reverse Search'!$I$9="Disable",1,IF('Reverse Search'!$K$9="≥",IF(J733&gt;='Reverse Search'!$L$9,1,0),IF('Reverse Search'!$K$9="≤",IF(J733&lt;='Reverse Search'!$L$9,1,0),IF(J733='Reverse Search'!$L$9,1,0)))))</f>
        <v>1</v>
      </c>
      <c r="X733" s="0" t="n">
        <f aca="false">IF('Reverse Search'!$N$7="Disable",1,IF('Reverse Search'!$I$10="Disable",1,IF('Reverse Search'!$K$10="≥",IF(K733&gt;='Reverse Search'!$L$10,1,0),IF('Reverse Search'!$K$10="≤",IF(K733&lt;='Reverse Search'!$L$10,1,0),IF(K733='Reverse Search'!$L$10,1,0)))))</f>
        <v>1</v>
      </c>
      <c r="Y733" s="367" t="n">
        <f aca="false">IF('Reverse Search'!$N$7="Disable",1,IF('Reverse Search'!$I$11="Disable",1,IF('Reverse Search'!$K$11="≥",IF(L733&gt;='Reverse Search'!$L$11,1,0),IF('Reverse Search'!$K$11="≤",IF(L733&lt;='Reverse Search'!$L$11,1,0),IF(L733='Reverse Search'!$L$11,1,0)))))</f>
        <v>1</v>
      </c>
      <c r="Z733" s="0" t="n">
        <f aca="true">IF('Reverse Search'!$C$14="Disable",1,IF('Reverse Search'!$D$16="Disable",1,IF($C$2=3,IF($M733=0,0,COUNTIF(INDIRECT("'0.0.2 Pokémon Learnset (Core)'!$D$"&amp;MATCH($E733,'0.0.2 Pokémon Learnset (Core)'!$A$1:$A951,0)&amp;":$FK$"&amp;MATCH($E733,'0.0.2 Pokémon Learnset (Core)'!$A$1:$A951,0)),'Reverse Search'!$E$21)),IF($C$2=2,COUNTIF(INDIRECT("'0.1.1 Pokémon GO Moves'!$B$"&amp;MATCH($E733,'0.1.1 Pokémon GO Moves'!$A$1:$A951,0)&amp;":$R$"&amp;MATCH($E733,'0.1.1 Pokémon GO Moves'!$A$1:$A951,0)),'Reverse Search'!$E$21),COUNTIF(INDIRECT("'0.1.1 Pokémon GO Moves'!$B$"&amp;MATCH($E733,'0.1.1 Pokémon GO Moves'!$A$1:$A951,0)&amp;":$L$"&amp;MATCH($E733,'0.1.1 Pokémon GO Moves'!$A$1:$A951,0)),'Reverse Search'!$E$21)))))</f>
        <v>1</v>
      </c>
      <c r="AA733" s="0" t="n">
        <f aca="true">IF('Reverse Search'!$C$14="Disable",1,IF('Reverse Search'!$I$16="Disable",1,IF($D$2=3,IF($M733=0,0,COUNTIF(INDIRECT("'0.0.2 Pokémon Learnset (Core)'!$D$"&amp;MATCH($E733,'0.0.2 Pokémon Learnset (Core)'!$A$1:$A951,0)&amp;":$FK$"&amp;MATCH($E733,'0.0.2 Pokémon Learnset (Core)'!$A$1:$A951,0)),'Reverse Search'!$J$21)),IF($D$2=2,COUNTIF(INDIRECT("'0.1.1 Pokémon GO Moves'!$B$"&amp;MATCH($E733,'0.1.1 Pokémon GO Moves'!$A$1:$A951,0)&amp;":$R$"&amp;MATCH($E733,'0.1.1 Pokémon GO Moves'!$A$1:$A951,0)),'Reverse Search'!$J$21),COUNTIF(INDIRECT("'0.1.1 Pokémon GO Moves'!$B$"&amp;MATCH($E733,'0.1.1 Pokémon GO Moves'!$A$1:$A951,0)&amp;":$L$"&amp;MATCH($E733,'0.1.1 Pokémon GO Moves'!$A$1:$A951,0)),'Reverse Search'!$J$21)))))</f>
        <v>0</v>
      </c>
      <c r="AB733" s="490"/>
      <c r="AC733" s="260" t="n">
        <f aca="false">IF((Q733+R733+S733+V733+W733+X733+Y733+IF(Z733&gt;=1,1,0)+IF(AA733&gt;=1,1,0))=9,G733&amp;", ",)</f>
        <v>0</v>
      </c>
    </row>
    <row r="734" customFormat="false" ht="15.75" hidden="false" customHeight="false" outlineLevel="0" collapsed="false">
      <c r="A734" s="260"/>
      <c r="B734" s="358"/>
      <c r="C734" s="260"/>
      <c r="D734" s="358"/>
      <c r="E734" s="260" t="n">
        <v>733</v>
      </c>
      <c r="F734" s="260" t="n">
        <f aca="false" t="array" ref="F734:F734">INDEX('0.0.1 Pokémon Dex Data'!$H$3:$H951,MATCH(E734,'0.0.1 Pokémon Dex Data'!$B$3:$B951,0))</f>
        <v>0</v>
      </c>
      <c r="G734" s="0" t="str">
        <f aca="false" t="array" ref="G734:G734">INDEX('0.0.1 Pokémon Dex Data'!$E$3:$E951,MATCH(E734,'0.0.1 Pokémon Dex Data'!$B$3:$B951,0))</f>
        <v>Deino</v>
      </c>
      <c r="H734" s="0" t="str">
        <f aca="false" t="array" ref="H734:H734">INDEX('0.0.1 Pokémon Dex Data'!$Q$3:$Q951,MATCH(E734,'0.0.1 Pokémon Dex Data'!$B$3:$B951,0))</f>
        <v>Dark</v>
      </c>
      <c r="I734" s="0" t="str">
        <f aca="false" t="array" ref="I734:I734">INDEX('0.0.1 Pokémon Dex Data'!$R$3:$R951,MATCH(E734,'0.0.1 Pokémon Dex Data'!$B$3:$B951,0))</f>
        <v>Dragon</v>
      </c>
      <c r="J734" s="260" t="n">
        <f aca="false" t="array" ref="J734:J734">ROUND(INDEX('0.0.1 Pokémon Dex Data'!$S$3:$S951,MATCH($E734,'0.0.1 Pokémon Dex Data'!$B$3:$B951,0))*INDEX('0.0.1 Pokémon Dex Data'!T$3:T951,MATCH($E734,'0.0.1 Pokémon Dex Data'!$B$3:$B951,0)),0)</f>
        <v>116</v>
      </c>
      <c r="K734" s="260" t="n">
        <f aca="false" t="array" ref="K734:K734">ROUND(INDEX('0.0.1 Pokémon Dex Data'!$S$3:$S951,MATCH($E734,'0.0.1 Pokémon Dex Data'!$B$3:$B951,0))*INDEX('0.0.1 Pokémon Dex Data'!U$3:U951,MATCH($E734,'0.0.1 Pokémon Dex Data'!$B$3:$B951,0)),0)</f>
        <v>93</v>
      </c>
      <c r="L734" s="260" t="n">
        <f aca="false" t="array" ref="L734:L734">ROUND(INDEX('0.0.1 Pokémon Dex Data'!$S$3:$S951,MATCH($E734,'0.0.1 Pokémon Dex Data'!$B$3:$B951,0))*INDEX('0.0.1 Pokémon Dex Data'!V$3:V951,MATCH($E734,'0.0.1 Pokémon Dex Data'!$B$3:$B951,0)),0)</f>
        <v>141</v>
      </c>
      <c r="M734" s="260" t="n">
        <f aca="false" t="array" ref="M734:M734">INDEX('0.0.1 Pokémon Dex Data'!$J$3:$J951,MATCH(E734,'0.0.1 Pokémon Dex Data'!$B$3:$B951,0))</f>
        <v>0</v>
      </c>
      <c r="O734" s="490"/>
      <c r="Q734" s="367" t="n">
        <f aca="false">IF('Reverse Search'!$F$4="All (including temporary formes)",1,IF('Reverse Search'!$F$4="Base Pokémon and permanent formes only",IF(F734&lt;=1,1,0),IF(F734=0,1,0)))</f>
        <v>1</v>
      </c>
      <c r="R734" s="0" t="n">
        <f aca="false">IF('Reverse Search'!$C$7="Disable",1,IF('Reverse Search'!$D$9="Disable",1,IF(OR('Reverse Search'!$F$9=H734,'Reverse Search'!$F$9=I734),1,0)))</f>
        <v>1</v>
      </c>
      <c r="S734" s="0" t="n">
        <f aca="false">IF('Reverse Search'!$C$7="Disable",1,IF('Reverse Search'!$D$10="Disable",1,IF(OR('Reverse Search'!$F$10=H734,'Reverse Search'!$F$10=I734),1,0)))</f>
        <v>1</v>
      </c>
      <c r="T734" s="0" t="n">
        <f aca="false">INDEX($B$4:$B$22,MATCH(H734,$A$4:$A$22,0))</f>
        <v>1</v>
      </c>
      <c r="U734" s="0" t="n">
        <f aca="false">IF(ISBLANK(I734),1,INDEX($B$4:$B$22,MATCH(I734,$A$4:$A$22,0)))</f>
        <v>1</v>
      </c>
      <c r="V734" s="367" t="n">
        <f aca="false">IF('Reverse Search'!$C$7="Disable",1,IF('Reverse Search'!$D$11="Disable",1,IF('Reverse Search'!$E$11="Neutral to:",IF(ROUND(T734*U734,2)&lt;=1,1,0),IF(ROUND(T734*U734,2)&lt;1,1,0))))</f>
        <v>1</v>
      </c>
      <c r="W734" s="0" t="n">
        <f aca="false">IF('Reverse Search'!$N$7="Disable",1,IF('Reverse Search'!$I$9="Disable",1,IF('Reverse Search'!$K$9="≥",IF(J734&gt;='Reverse Search'!$L$9,1,0),IF('Reverse Search'!$K$9="≤",IF(J734&lt;='Reverse Search'!$L$9,1,0),IF(J734='Reverse Search'!$L$9,1,0)))))</f>
        <v>1</v>
      </c>
      <c r="X734" s="0" t="n">
        <f aca="false">IF('Reverse Search'!$N$7="Disable",1,IF('Reverse Search'!$I$10="Disable",1,IF('Reverse Search'!$K$10="≥",IF(K734&gt;='Reverse Search'!$L$10,1,0),IF('Reverse Search'!$K$10="≤",IF(K734&lt;='Reverse Search'!$L$10,1,0),IF(K734='Reverse Search'!$L$10,1,0)))))</f>
        <v>1</v>
      </c>
      <c r="Y734" s="367" t="n">
        <f aca="false">IF('Reverse Search'!$N$7="Disable",1,IF('Reverse Search'!$I$11="Disable",1,IF('Reverse Search'!$K$11="≥",IF(L734&gt;='Reverse Search'!$L$11,1,0),IF('Reverse Search'!$K$11="≤",IF(L734&lt;='Reverse Search'!$L$11,1,0),IF(L734='Reverse Search'!$L$11,1,0)))))</f>
        <v>1</v>
      </c>
      <c r="Z734" s="0" t="n">
        <f aca="true">IF('Reverse Search'!$C$14="Disable",1,IF('Reverse Search'!$D$16="Disable",1,IF($C$2=3,IF($M734=0,0,COUNTIF(INDIRECT("'0.0.2 Pokémon Learnset (Core)'!$D$"&amp;MATCH($E734,'0.0.2 Pokémon Learnset (Core)'!$A$1:$A951,0)&amp;":$FK$"&amp;MATCH($E734,'0.0.2 Pokémon Learnset (Core)'!$A$1:$A951,0)),'Reverse Search'!$E$21)),IF($C$2=2,COUNTIF(INDIRECT("'0.1.1 Pokémon GO Moves'!$B$"&amp;MATCH($E734,'0.1.1 Pokémon GO Moves'!$A$1:$A951,0)&amp;":$R$"&amp;MATCH($E734,'0.1.1 Pokémon GO Moves'!$A$1:$A951,0)),'Reverse Search'!$E$21),COUNTIF(INDIRECT("'0.1.1 Pokémon GO Moves'!$B$"&amp;MATCH($E734,'0.1.1 Pokémon GO Moves'!$A$1:$A951,0)&amp;":$L$"&amp;MATCH($E734,'0.1.1 Pokémon GO Moves'!$A$1:$A951,0)),'Reverse Search'!$E$21)))))</f>
        <v>1</v>
      </c>
      <c r="AA734" s="0" t="n">
        <f aca="true">IF('Reverse Search'!$C$14="Disable",1,IF('Reverse Search'!$I$16="Disable",1,IF($D$2=3,IF($M734=0,0,COUNTIF(INDIRECT("'0.0.2 Pokémon Learnset (Core)'!$D$"&amp;MATCH($E734,'0.0.2 Pokémon Learnset (Core)'!$A$1:$A951,0)&amp;":$FK$"&amp;MATCH($E734,'0.0.2 Pokémon Learnset (Core)'!$A$1:$A951,0)),'Reverse Search'!$J$21)),IF($D$2=2,COUNTIF(INDIRECT("'0.1.1 Pokémon GO Moves'!$B$"&amp;MATCH($E734,'0.1.1 Pokémon GO Moves'!$A$1:$A951,0)&amp;":$R$"&amp;MATCH($E734,'0.1.1 Pokémon GO Moves'!$A$1:$A951,0)),'Reverse Search'!$J$21),COUNTIF(INDIRECT("'0.1.1 Pokémon GO Moves'!$B$"&amp;MATCH($E734,'0.1.1 Pokémon GO Moves'!$A$1:$A951,0)&amp;":$L$"&amp;MATCH($E734,'0.1.1 Pokémon GO Moves'!$A$1:$A951,0)),'Reverse Search'!$J$21)))))</f>
        <v>0</v>
      </c>
      <c r="AB734" s="490"/>
      <c r="AC734" s="260" t="n">
        <f aca="false">IF((Q734+R734+S734+V734+W734+X734+Y734+IF(Z734&gt;=1,1,0)+IF(AA734&gt;=1,1,0))=9,G734&amp;", ",)</f>
        <v>0</v>
      </c>
    </row>
    <row r="735" customFormat="false" ht="15.75" hidden="false" customHeight="false" outlineLevel="0" collapsed="false">
      <c r="A735" s="260"/>
      <c r="B735" s="358"/>
      <c r="C735" s="260"/>
      <c r="D735" s="358"/>
      <c r="E735" s="260" t="n">
        <v>734</v>
      </c>
      <c r="F735" s="260" t="n">
        <f aca="false" t="array" ref="F735:F735">INDEX('0.0.1 Pokémon Dex Data'!$H$3:$H951,MATCH(E735,'0.0.1 Pokémon Dex Data'!$B$3:$B951,0))</f>
        <v>0</v>
      </c>
      <c r="G735" s="0" t="str">
        <f aca="false" t="array" ref="G735:G735">INDEX('0.0.1 Pokémon Dex Data'!$E$3:$E951,MATCH(E735,'0.0.1 Pokémon Dex Data'!$B$3:$B951,0))</f>
        <v>Zweilous</v>
      </c>
      <c r="H735" s="0" t="str">
        <f aca="false" t="array" ref="H735:H735">INDEX('0.0.1 Pokémon Dex Data'!$Q$3:$Q951,MATCH(E735,'0.0.1 Pokémon Dex Data'!$B$3:$B951,0))</f>
        <v>Dark</v>
      </c>
      <c r="I735" s="0" t="str">
        <f aca="false" t="array" ref="I735:I735">INDEX('0.0.1 Pokémon Dex Data'!$R$3:$R951,MATCH(E735,'0.0.1 Pokémon Dex Data'!$B$3:$B951,0))</f>
        <v>Dragon</v>
      </c>
      <c r="J735" s="260" t="n">
        <f aca="false" t="array" ref="J735:J735">ROUND(INDEX('0.0.1 Pokémon Dex Data'!$S$3:$S951,MATCH($E735,'0.0.1 Pokémon Dex Data'!$B$3:$B951,0))*INDEX('0.0.1 Pokémon Dex Data'!T$3:T951,MATCH($E735,'0.0.1 Pokémon Dex Data'!$B$3:$B951,0)),0)</f>
        <v>159</v>
      </c>
      <c r="K735" s="260" t="n">
        <f aca="false" t="array" ref="K735:K735">ROUND(INDEX('0.0.1 Pokémon Dex Data'!$S$3:$S951,MATCH($E735,'0.0.1 Pokémon Dex Data'!$B$3:$B951,0))*INDEX('0.0.1 Pokémon Dex Data'!U$3:U951,MATCH($E735,'0.0.1 Pokémon Dex Data'!$B$3:$B951,0)),0)</f>
        <v>135</v>
      </c>
      <c r="L735" s="260" t="n">
        <f aca="false" t="array" ref="L735:L735">ROUND(INDEX('0.0.1 Pokémon Dex Data'!$S$3:$S951,MATCH($E735,'0.0.1 Pokémon Dex Data'!$B$3:$B951,0))*INDEX('0.0.1 Pokémon Dex Data'!V$3:V951,MATCH($E735,'0.0.1 Pokémon Dex Data'!$B$3:$B951,0)),0)</f>
        <v>176</v>
      </c>
      <c r="M735" s="260" t="n">
        <f aca="false" t="array" ref="M735:M735">INDEX('0.0.1 Pokémon Dex Data'!$J$3:$J951,MATCH(E735,'0.0.1 Pokémon Dex Data'!$B$3:$B951,0))</f>
        <v>0</v>
      </c>
      <c r="O735" s="490"/>
      <c r="Q735" s="367" t="n">
        <f aca="false">IF('Reverse Search'!$F$4="All (including temporary formes)",1,IF('Reverse Search'!$F$4="Base Pokémon and permanent formes only",IF(F735&lt;=1,1,0),IF(F735=0,1,0)))</f>
        <v>1</v>
      </c>
      <c r="R735" s="0" t="n">
        <f aca="false">IF('Reverse Search'!$C$7="Disable",1,IF('Reverse Search'!$D$9="Disable",1,IF(OR('Reverse Search'!$F$9=H735,'Reverse Search'!$F$9=I735),1,0)))</f>
        <v>1</v>
      </c>
      <c r="S735" s="0" t="n">
        <f aca="false">IF('Reverse Search'!$C$7="Disable",1,IF('Reverse Search'!$D$10="Disable",1,IF(OR('Reverse Search'!$F$10=H735,'Reverse Search'!$F$10=I735),1,0)))</f>
        <v>1</v>
      </c>
      <c r="T735" s="0" t="n">
        <f aca="false">INDEX($B$4:$B$22,MATCH(H735,$A$4:$A$22,0))</f>
        <v>1</v>
      </c>
      <c r="U735" s="0" t="n">
        <f aca="false">IF(ISBLANK(I735),1,INDEX($B$4:$B$22,MATCH(I735,$A$4:$A$22,0)))</f>
        <v>1</v>
      </c>
      <c r="V735" s="367" t="n">
        <f aca="false">IF('Reverse Search'!$C$7="Disable",1,IF('Reverse Search'!$D$11="Disable",1,IF('Reverse Search'!$E$11="Neutral to:",IF(ROUND(T735*U735,2)&lt;=1,1,0),IF(ROUND(T735*U735,2)&lt;1,1,0))))</f>
        <v>1</v>
      </c>
      <c r="W735" s="0" t="n">
        <f aca="false">IF('Reverse Search'!$N$7="Disable",1,IF('Reverse Search'!$I$9="Disable",1,IF('Reverse Search'!$K$9="≥",IF(J735&gt;='Reverse Search'!$L$9,1,0),IF('Reverse Search'!$K$9="≤",IF(J735&lt;='Reverse Search'!$L$9,1,0),IF(J735='Reverse Search'!$L$9,1,0)))))</f>
        <v>1</v>
      </c>
      <c r="X735" s="0" t="n">
        <f aca="false">IF('Reverse Search'!$N$7="Disable",1,IF('Reverse Search'!$I$10="Disable",1,IF('Reverse Search'!$K$10="≥",IF(K735&gt;='Reverse Search'!$L$10,1,0),IF('Reverse Search'!$K$10="≤",IF(K735&lt;='Reverse Search'!$L$10,1,0),IF(K735='Reverse Search'!$L$10,1,0)))))</f>
        <v>1</v>
      </c>
      <c r="Y735" s="367" t="n">
        <f aca="false">IF('Reverse Search'!$N$7="Disable",1,IF('Reverse Search'!$I$11="Disable",1,IF('Reverse Search'!$K$11="≥",IF(L735&gt;='Reverse Search'!$L$11,1,0),IF('Reverse Search'!$K$11="≤",IF(L735&lt;='Reverse Search'!$L$11,1,0),IF(L735='Reverse Search'!$L$11,1,0)))))</f>
        <v>1</v>
      </c>
      <c r="Z735" s="0" t="n">
        <f aca="true">IF('Reverse Search'!$C$14="Disable",1,IF('Reverse Search'!$D$16="Disable",1,IF($C$2=3,IF($M735=0,0,COUNTIF(INDIRECT("'0.0.2 Pokémon Learnset (Core)'!$D$"&amp;MATCH($E735,'0.0.2 Pokémon Learnset (Core)'!$A$1:$A951,0)&amp;":$FK$"&amp;MATCH($E735,'0.0.2 Pokémon Learnset (Core)'!$A$1:$A951,0)),'Reverse Search'!$E$21)),IF($C$2=2,COUNTIF(INDIRECT("'0.1.1 Pokémon GO Moves'!$B$"&amp;MATCH($E735,'0.1.1 Pokémon GO Moves'!$A$1:$A951,0)&amp;":$R$"&amp;MATCH($E735,'0.1.1 Pokémon GO Moves'!$A$1:$A951,0)),'Reverse Search'!$E$21),COUNTIF(INDIRECT("'0.1.1 Pokémon GO Moves'!$B$"&amp;MATCH($E735,'0.1.1 Pokémon GO Moves'!$A$1:$A951,0)&amp;":$L$"&amp;MATCH($E735,'0.1.1 Pokémon GO Moves'!$A$1:$A951,0)),'Reverse Search'!$E$21)))))</f>
        <v>1</v>
      </c>
      <c r="AA735" s="0" t="n">
        <f aca="true">IF('Reverse Search'!$C$14="Disable",1,IF('Reverse Search'!$I$16="Disable",1,IF($D$2=3,IF($M735=0,0,COUNTIF(INDIRECT("'0.0.2 Pokémon Learnset (Core)'!$D$"&amp;MATCH($E735,'0.0.2 Pokémon Learnset (Core)'!$A$1:$A951,0)&amp;":$FK$"&amp;MATCH($E735,'0.0.2 Pokémon Learnset (Core)'!$A$1:$A951,0)),'Reverse Search'!$J$21)),IF($D$2=2,COUNTIF(INDIRECT("'0.1.1 Pokémon GO Moves'!$B$"&amp;MATCH($E735,'0.1.1 Pokémon GO Moves'!$A$1:$A951,0)&amp;":$R$"&amp;MATCH($E735,'0.1.1 Pokémon GO Moves'!$A$1:$A951,0)),'Reverse Search'!$J$21),COUNTIF(INDIRECT("'0.1.1 Pokémon GO Moves'!$B$"&amp;MATCH($E735,'0.1.1 Pokémon GO Moves'!$A$1:$A951,0)&amp;":$L$"&amp;MATCH($E735,'0.1.1 Pokémon GO Moves'!$A$1:$A951,0)),'Reverse Search'!$J$21)))))</f>
        <v>0</v>
      </c>
      <c r="AB735" s="490"/>
      <c r="AC735" s="260" t="n">
        <f aca="false">IF((Q735+R735+S735+V735+W735+X735+Y735+IF(Z735&gt;=1,1,0)+IF(AA735&gt;=1,1,0))=9,G735&amp;", ",)</f>
        <v>0</v>
      </c>
    </row>
    <row r="736" customFormat="false" ht="15.75" hidden="false" customHeight="false" outlineLevel="0" collapsed="false">
      <c r="A736" s="260"/>
      <c r="B736" s="358"/>
      <c r="C736" s="260"/>
      <c r="D736" s="358"/>
      <c r="E736" s="260" t="n">
        <v>735</v>
      </c>
      <c r="F736" s="260" t="n">
        <f aca="false" t="array" ref="F736:F736">INDEX('0.0.1 Pokémon Dex Data'!$H$3:$H951,MATCH(E736,'0.0.1 Pokémon Dex Data'!$B$3:$B951,0))</f>
        <v>0</v>
      </c>
      <c r="G736" s="0" t="str">
        <f aca="false" t="array" ref="G736:G736">INDEX('0.0.1 Pokémon Dex Data'!$E$3:$E951,MATCH(E736,'0.0.1 Pokémon Dex Data'!$B$3:$B951,0))</f>
        <v>Hydreigon</v>
      </c>
      <c r="H736" s="0" t="str">
        <f aca="false" t="array" ref="H736:H736">INDEX('0.0.1 Pokémon Dex Data'!$Q$3:$Q951,MATCH(E736,'0.0.1 Pokémon Dex Data'!$B$3:$B951,0))</f>
        <v>Dark</v>
      </c>
      <c r="I736" s="0" t="str">
        <f aca="false" t="array" ref="I736:I736">INDEX('0.0.1 Pokémon Dex Data'!$R$3:$R951,MATCH(E736,'0.0.1 Pokémon Dex Data'!$B$3:$B951,0))</f>
        <v>Dragon</v>
      </c>
      <c r="J736" s="260" t="n">
        <f aca="false" t="array" ref="J736:J736">ROUND(INDEX('0.0.1 Pokémon Dex Data'!$S$3:$S951,MATCH($E736,'0.0.1 Pokémon Dex Data'!$B$3:$B951,0))*INDEX('0.0.1 Pokémon Dex Data'!T$3:T951,MATCH($E736,'0.0.1 Pokémon Dex Data'!$B$3:$B951,0)),0)</f>
        <v>256</v>
      </c>
      <c r="K736" s="260" t="n">
        <f aca="false" t="array" ref="K736:K736">ROUND(INDEX('0.0.1 Pokémon Dex Data'!$S$3:$S951,MATCH($E736,'0.0.1 Pokémon Dex Data'!$B$3:$B951,0))*INDEX('0.0.1 Pokémon Dex Data'!U$3:U951,MATCH($E736,'0.0.1 Pokémon Dex Data'!$B$3:$B951,0)),0)</f>
        <v>188</v>
      </c>
      <c r="L736" s="260" t="n">
        <f aca="false" t="array" ref="L736:L736">ROUND(INDEX('0.0.1 Pokémon Dex Data'!$S$3:$S951,MATCH($E736,'0.0.1 Pokémon Dex Data'!$B$3:$B951,0))*INDEX('0.0.1 Pokémon Dex Data'!V$3:V951,MATCH($E736,'0.0.1 Pokémon Dex Data'!$B$3:$B951,0)),0)</f>
        <v>211</v>
      </c>
      <c r="M736" s="260" t="n">
        <f aca="false" t="array" ref="M736:M736">INDEX('0.0.1 Pokémon Dex Data'!$J$3:$J951,MATCH(E736,'0.0.1 Pokémon Dex Data'!$B$3:$B951,0))</f>
        <v>1</v>
      </c>
      <c r="O736" s="490"/>
      <c r="Q736" s="367" t="n">
        <f aca="false">IF('Reverse Search'!$F$4="All (including temporary formes)",1,IF('Reverse Search'!$F$4="Base Pokémon and permanent formes only",IF(F736&lt;=1,1,0),IF(F736=0,1,0)))</f>
        <v>1</v>
      </c>
      <c r="R736" s="0" t="n">
        <f aca="false">IF('Reverse Search'!$C$7="Disable",1,IF('Reverse Search'!$D$9="Disable",1,IF(OR('Reverse Search'!$F$9=H736,'Reverse Search'!$F$9=I736),1,0)))</f>
        <v>1</v>
      </c>
      <c r="S736" s="0" t="n">
        <f aca="false">IF('Reverse Search'!$C$7="Disable",1,IF('Reverse Search'!$D$10="Disable",1,IF(OR('Reverse Search'!$F$10=H736,'Reverse Search'!$F$10=I736),1,0)))</f>
        <v>1</v>
      </c>
      <c r="T736" s="0" t="n">
        <f aca="false">INDEX($B$4:$B$22,MATCH(H736,$A$4:$A$22,0))</f>
        <v>1</v>
      </c>
      <c r="U736" s="0" t="n">
        <f aca="false">IF(ISBLANK(I736),1,INDEX($B$4:$B$22,MATCH(I736,$A$4:$A$22,0)))</f>
        <v>1</v>
      </c>
      <c r="V736" s="367" t="n">
        <f aca="false">IF('Reverse Search'!$C$7="Disable",1,IF('Reverse Search'!$D$11="Disable",1,IF('Reverse Search'!$E$11="Neutral to:",IF(ROUND(T736*U736,2)&lt;=1,1,0),IF(ROUND(T736*U736,2)&lt;1,1,0))))</f>
        <v>1</v>
      </c>
      <c r="W736" s="0" t="n">
        <f aca="false">IF('Reverse Search'!$N$7="Disable",1,IF('Reverse Search'!$I$9="Disable",1,IF('Reverse Search'!$K$9="≥",IF(J736&gt;='Reverse Search'!$L$9,1,0),IF('Reverse Search'!$K$9="≤",IF(J736&lt;='Reverse Search'!$L$9,1,0),IF(J736='Reverse Search'!$L$9,1,0)))))</f>
        <v>1</v>
      </c>
      <c r="X736" s="0" t="n">
        <f aca="false">IF('Reverse Search'!$N$7="Disable",1,IF('Reverse Search'!$I$10="Disable",1,IF('Reverse Search'!$K$10="≥",IF(K736&gt;='Reverse Search'!$L$10,1,0),IF('Reverse Search'!$K$10="≤",IF(K736&lt;='Reverse Search'!$L$10,1,0),IF(K736='Reverse Search'!$L$10,1,0)))))</f>
        <v>1</v>
      </c>
      <c r="Y736" s="367" t="n">
        <f aca="false">IF('Reverse Search'!$N$7="Disable",1,IF('Reverse Search'!$I$11="Disable",1,IF('Reverse Search'!$K$11="≥",IF(L736&gt;='Reverse Search'!$L$11,1,0),IF('Reverse Search'!$K$11="≤",IF(L736&lt;='Reverse Search'!$L$11,1,0),IF(L736='Reverse Search'!$L$11,1,0)))))</f>
        <v>1</v>
      </c>
      <c r="Z736" s="0" t="n">
        <f aca="true">IF('Reverse Search'!$C$14="Disable",1,IF('Reverse Search'!$D$16="Disable",1,IF($C$2=3,IF($M736=0,0,COUNTIF(INDIRECT("'0.0.2 Pokémon Learnset (Core)'!$D$"&amp;MATCH($E736,'0.0.2 Pokémon Learnset (Core)'!$A$1:$A951,0)&amp;":$FK$"&amp;MATCH($E736,'0.0.2 Pokémon Learnset (Core)'!$A$1:$A951,0)),'Reverse Search'!$E$21)),IF($C$2=2,COUNTIF(INDIRECT("'0.1.1 Pokémon GO Moves'!$B$"&amp;MATCH($E736,'0.1.1 Pokémon GO Moves'!$A$1:$A951,0)&amp;":$R$"&amp;MATCH($E736,'0.1.1 Pokémon GO Moves'!$A$1:$A951,0)),'Reverse Search'!$E$21),COUNTIF(INDIRECT("'0.1.1 Pokémon GO Moves'!$B$"&amp;MATCH($E736,'0.1.1 Pokémon GO Moves'!$A$1:$A951,0)&amp;":$L$"&amp;MATCH($E736,'0.1.1 Pokémon GO Moves'!$A$1:$A951,0)),'Reverse Search'!$E$21)))))</f>
        <v>1</v>
      </c>
      <c r="AA736" s="0" t="n">
        <f aca="true">IF('Reverse Search'!$C$14="Disable",1,IF('Reverse Search'!$I$16="Disable",1,IF($D$2=3,IF($M736=0,0,COUNTIF(INDIRECT("'0.0.2 Pokémon Learnset (Core)'!$D$"&amp;MATCH($E736,'0.0.2 Pokémon Learnset (Core)'!$A$1:$A951,0)&amp;":$FK$"&amp;MATCH($E736,'0.0.2 Pokémon Learnset (Core)'!$A$1:$A951,0)),'Reverse Search'!$J$21)),IF($D$2=2,COUNTIF(INDIRECT("'0.1.1 Pokémon GO Moves'!$B$"&amp;MATCH($E736,'0.1.1 Pokémon GO Moves'!$A$1:$A951,0)&amp;":$R$"&amp;MATCH($E736,'0.1.1 Pokémon GO Moves'!$A$1:$A951,0)),'Reverse Search'!$J$21),COUNTIF(INDIRECT("'0.1.1 Pokémon GO Moves'!$B$"&amp;MATCH($E736,'0.1.1 Pokémon GO Moves'!$A$1:$A951,0)&amp;":$L$"&amp;MATCH($E736,'0.1.1 Pokémon GO Moves'!$A$1:$A951,0)),'Reverse Search'!$J$21)))))</f>
        <v>0</v>
      </c>
      <c r="AB736" s="490"/>
      <c r="AC736" s="260" t="n">
        <f aca="false">IF((Q736+R736+S736+V736+W736+X736+Y736+IF(Z736&gt;=1,1,0)+IF(AA736&gt;=1,1,0))=9,G736&amp;", ",)</f>
        <v>0</v>
      </c>
    </row>
    <row r="737" customFormat="false" ht="15.75" hidden="false" customHeight="false" outlineLevel="0" collapsed="false">
      <c r="A737" s="260"/>
      <c r="B737" s="358"/>
      <c r="C737" s="260"/>
      <c r="D737" s="358"/>
      <c r="E737" s="260" t="n">
        <v>736</v>
      </c>
      <c r="F737" s="260" t="n">
        <f aca="false" t="array" ref="F737:F737">INDEX('0.0.1 Pokémon Dex Data'!$H$3:$H951,MATCH(E737,'0.0.1 Pokémon Dex Data'!$B$3:$B951,0))</f>
        <v>0</v>
      </c>
      <c r="G737" s="0" t="str">
        <f aca="false" t="array" ref="G737:G737">INDEX('0.0.1 Pokémon Dex Data'!$E$3:$E951,MATCH(E737,'0.0.1 Pokémon Dex Data'!$B$3:$B951,0))</f>
        <v>Larvesta</v>
      </c>
      <c r="H737" s="0" t="str">
        <f aca="false" t="array" ref="H737:H737">INDEX('0.0.1 Pokémon Dex Data'!$Q$3:$Q951,MATCH(E737,'0.0.1 Pokémon Dex Data'!$B$3:$B951,0))</f>
        <v>Bug</v>
      </c>
      <c r="I737" s="0" t="str">
        <f aca="false" t="array" ref="I737:I737">INDEX('0.0.1 Pokémon Dex Data'!$R$3:$R951,MATCH(E737,'0.0.1 Pokémon Dex Data'!$B$3:$B951,0))</f>
        <v>Fire</v>
      </c>
      <c r="J737" s="260" t="n">
        <f aca="false" t="array" ref="J737:J737">ROUND(INDEX('0.0.1 Pokémon Dex Data'!$S$3:$S951,MATCH($E737,'0.0.1 Pokémon Dex Data'!$B$3:$B951,0))*INDEX('0.0.1 Pokémon Dex Data'!T$3:T951,MATCH($E737,'0.0.1 Pokémon Dex Data'!$B$3:$B951,0)),0)</f>
        <v>156</v>
      </c>
      <c r="K737" s="260" t="n">
        <f aca="false" t="array" ref="K737:K737">ROUND(INDEX('0.0.1 Pokémon Dex Data'!$S$3:$S951,MATCH($E737,'0.0.1 Pokémon Dex Data'!$B$3:$B951,0))*INDEX('0.0.1 Pokémon Dex Data'!U$3:U951,MATCH($E737,'0.0.1 Pokémon Dex Data'!$B$3:$B951,0)),0)</f>
        <v>107</v>
      </c>
      <c r="L737" s="260" t="n">
        <f aca="false" t="array" ref="L737:L737">ROUND(INDEX('0.0.1 Pokémon Dex Data'!$S$3:$S951,MATCH($E737,'0.0.1 Pokémon Dex Data'!$B$3:$B951,0))*INDEX('0.0.1 Pokémon Dex Data'!V$3:V951,MATCH($E737,'0.0.1 Pokémon Dex Data'!$B$3:$B951,0)),0)</f>
        <v>146</v>
      </c>
      <c r="M737" s="260" t="n">
        <f aca="false" t="array" ref="M737:M737">INDEX('0.0.1 Pokémon Dex Data'!$J$3:$J951,MATCH(E737,'0.0.1 Pokémon Dex Data'!$B$3:$B951,0))</f>
        <v>0</v>
      </c>
      <c r="O737" s="490"/>
      <c r="Q737" s="367" t="n">
        <f aca="false">IF('Reverse Search'!$F$4="All (including temporary formes)",1,IF('Reverse Search'!$F$4="Base Pokémon and permanent formes only",IF(F737&lt;=1,1,0),IF(F737=0,1,0)))</f>
        <v>1</v>
      </c>
      <c r="R737" s="0" t="n">
        <f aca="false">IF('Reverse Search'!$C$7="Disable",1,IF('Reverse Search'!$D$9="Disable",1,IF(OR('Reverse Search'!$F$9=H737,'Reverse Search'!$F$9=I737),1,0)))</f>
        <v>1</v>
      </c>
      <c r="S737" s="0" t="n">
        <f aca="false">IF('Reverse Search'!$C$7="Disable",1,IF('Reverse Search'!$D$10="Disable",1,IF(OR('Reverse Search'!$F$10=H737,'Reverse Search'!$F$10=I737),1,0)))</f>
        <v>1</v>
      </c>
      <c r="T737" s="0" t="n">
        <f aca="false">INDEX($B$4:$B$22,MATCH(H737,$A$4:$A$22,0))</f>
        <v>1</v>
      </c>
      <c r="U737" s="0" t="n">
        <f aca="false">IF(ISBLANK(I737),1,INDEX($B$4:$B$22,MATCH(I737,$A$4:$A$22,0)))</f>
        <v>1</v>
      </c>
      <c r="V737" s="367" t="n">
        <f aca="false">IF('Reverse Search'!$C$7="Disable",1,IF('Reverse Search'!$D$11="Disable",1,IF('Reverse Search'!$E$11="Neutral to:",IF(ROUND(T737*U737,2)&lt;=1,1,0),IF(ROUND(T737*U737,2)&lt;1,1,0))))</f>
        <v>1</v>
      </c>
      <c r="W737" s="0" t="n">
        <f aca="false">IF('Reverse Search'!$N$7="Disable",1,IF('Reverse Search'!$I$9="Disable",1,IF('Reverse Search'!$K$9="≥",IF(J737&gt;='Reverse Search'!$L$9,1,0),IF('Reverse Search'!$K$9="≤",IF(J737&lt;='Reverse Search'!$L$9,1,0),IF(J737='Reverse Search'!$L$9,1,0)))))</f>
        <v>1</v>
      </c>
      <c r="X737" s="0" t="n">
        <f aca="false">IF('Reverse Search'!$N$7="Disable",1,IF('Reverse Search'!$I$10="Disable",1,IF('Reverse Search'!$K$10="≥",IF(K737&gt;='Reverse Search'!$L$10,1,0),IF('Reverse Search'!$K$10="≤",IF(K737&lt;='Reverse Search'!$L$10,1,0),IF(K737='Reverse Search'!$L$10,1,0)))))</f>
        <v>1</v>
      </c>
      <c r="Y737" s="367" t="n">
        <f aca="false">IF('Reverse Search'!$N$7="Disable",1,IF('Reverse Search'!$I$11="Disable",1,IF('Reverse Search'!$K$11="≥",IF(L737&gt;='Reverse Search'!$L$11,1,0),IF('Reverse Search'!$K$11="≤",IF(L737&lt;='Reverse Search'!$L$11,1,0),IF(L737='Reverse Search'!$L$11,1,0)))))</f>
        <v>1</v>
      </c>
      <c r="Z737" s="0" t="n">
        <f aca="true">IF('Reverse Search'!$C$14="Disable",1,IF('Reverse Search'!$D$16="Disable",1,IF($C$2=3,IF($M737=0,0,COUNTIF(INDIRECT("'0.0.2 Pokémon Learnset (Core)'!$D$"&amp;MATCH($E737,'0.0.2 Pokémon Learnset (Core)'!$A$1:$A951,0)&amp;":$FK$"&amp;MATCH($E737,'0.0.2 Pokémon Learnset (Core)'!$A$1:$A951,0)),'Reverse Search'!$E$21)),IF($C$2=2,COUNTIF(INDIRECT("'0.1.1 Pokémon GO Moves'!$B$"&amp;MATCH($E737,'0.1.1 Pokémon GO Moves'!$A$1:$A951,0)&amp;":$R$"&amp;MATCH($E737,'0.1.1 Pokémon GO Moves'!$A$1:$A951,0)),'Reverse Search'!$E$21),COUNTIF(INDIRECT("'0.1.1 Pokémon GO Moves'!$B$"&amp;MATCH($E737,'0.1.1 Pokémon GO Moves'!$A$1:$A951,0)&amp;":$L$"&amp;MATCH($E737,'0.1.1 Pokémon GO Moves'!$A$1:$A951,0)),'Reverse Search'!$E$21)))))</f>
        <v>1</v>
      </c>
      <c r="AA737" s="0" t="n">
        <f aca="true">IF('Reverse Search'!$C$14="Disable",1,IF('Reverse Search'!$I$16="Disable",1,IF($D$2=3,IF($M737=0,0,COUNTIF(INDIRECT("'0.0.2 Pokémon Learnset (Core)'!$D$"&amp;MATCH($E737,'0.0.2 Pokémon Learnset (Core)'!$A$1:$A951,0)&amp;":$FK$"&amp;MATCH($E737,'0.0.2 Pokémon Learnset (Core)'!$A$1:$A951,0)),'Reverse Search'!$J$21)),IF($D$2=2,COUNTIF(INDIRECT("'0.1.1 Pokémon GO Moves'!$B$"&amp;MATCH($E737,'0.1.1 Pokémon GO Moves'!$A$1:$A951,0)&amp;":$R$"&amp;MATCH($E737,'0.1.1 Pokémon GO Moves'!$A$1:$A951,0)),'Reverse Search'!$J$21),COUNTIF(INDIRECT("'0.1.1 Pokémon GO Moves'!$B$"&amp;MATCH($E737,'0.1.1 Pokémon GO Moves'!$A$1:$A951,0)&amp;":$L$"&amp;MATCH($E737,'0.1.1 Pokémon GO Moves'!$A$1:$A951,0)),'Reverse Search'!$J$21)))))</f>
        <v>0</v>
      </c>
      <c r="AB737" s="490"/>
      <c r="AC737" s="260" t="n">
        <f aca="false">IF((Q737+R737+S737+V737+W737+X737+Y737+IF(Z737&gt;=1,1,0)+IF(AA737&gt;=1,1,0))=9,G737&amp;", ",)</f>
        <v>0</v>
      </c>
    </row>
    <row r="738" customFormat="false" ht="15.75" hidden="false" customHeight="false" outlineLevel="0" collapsed="false">
      <c r="A738" s="260"/>
      <c r="B738" s="358"/>
      <c r="C738" s="260"/>
      <c r="D738" s="358"/>
      <c r="E738" s="260" t="n">
        <v>737</v>
      </c>
      <c r="F738" s="260" t="n">
        <f aca="false" t="array" ref="F738:F738">INDEX('0.0.1 Pokémon Dex Data'!$H$3:$H951,MATCH(E738,'0.0.1 Pokémon Dex Data'!$B$3:$B951,0))</f>
        <v>0</v>
      </c>
      <c r="G738" s="0" t="str">
        <f aca="false" t="array" ref="G738:G738">INDEX('0.0.1 Pokémon Dex Data'!$E$3:$E951,MATCH(E738,'0.0.1 Pokémon Dex Data'!$B$3:$B951,0))</f>
        <v>Volcarona</v>
      </c>
      <c r="H738" s="0" t="str">
        <f aca="false" t="array" ref="H738:H738">INDEX('0.0.1 Pokémon Dex Data'!$Q$3:$Q951,MATCH(E738,'0.0.1 Pokémon Dex Data'!$B$3:$B951,0))</f>
        <v>Bug</v>
      </c>
      <c r="I738" s="0" t="str">
        <f aca="false" t="array" ref="I738:I738">INDEX('0.0.1 Pokémon Dex Data'!$R$3:$R951,MATCH(E738,'0.0.1 Pokémon Dex Data'!$B$3:$B951,0))</f>
        <v>Fire</v>
      </c>
      <c r="J738" s="260" t="n">
        <f aca="false" t="array" ref="J738:J738">ROUND(INDEX('0.0.1 Pokémon Dex Data'!$S$3:$S951,MATCH($E738,'0.0.1 Pokémon Dex Data'!$B$3:$B951,0))*INDEX('0.0.1 Pokémon Dex Data'!T$3:T951,MATCH($E738,'0.0.1 Pokémon Dex Data'!$B$3:$B951,0)),0)</f>
        <v>264</v>
      </c>
      <c r="K738" s="260" t="n">
        <f aca="false" t="array" ref="K738:K738">ROUND(INDEX('0.0.1 Pokémon Dex Data'!$S$3:$S951,MATCH($E738,'0.0.1 Pokémon Dex Data'!$B$3:$B951,0))*INDEX('0.0.1 Pokémon Dex Data'!U$3:U951,MATCH($E738,'0.0.1 Pokémon Dex Data'!$B$3:$B951,0)),0)</f>
        <v>189</v>
      </c>
      <c r="L738" s="260" t="n">
        <f aca="false" t="array" ref="L738:L738">ROUND(INDEX('0.0.1 Pokémon Dex Data'!$S$3:$S951,MATCH($E738,'0.0.1 Pokémon Dex Data'!$B$3:$B951,0))*INDEX('0.0.1 Pokémon Dex Data'!V$3:V951,MATCH($E738,'0.0.1 Pokémon Dex Data'!$B$3:$B951,0)),0)</f>
        <v>198</v>
      </c>
      <c r="M738" s="260" t="n">
        <f aca="false" t="array" ref="M738:M738">INDEX('0.0.1 Pokémon Dex Data'!$J$3:$J951,MATCH(E738,'0.0.1 Pokémon Dex Data'!$B$3:$B951,0))</f>
        <v>1</v>
      </c>
      <c r="O738" s="490"/>
      <c r="Q738" s="367" t="n">
        <f aca="false">IF('Reverse Search'!$F$4="All (including temporary formes)",1,IF('Reverse Search'!$F$4="Base Pokémon and permanent formes only",IF(F738&lt;=1,1,0),IF(F738=0,1,0)))</f>
        <v>1</v>
      </c>
      <c r="R738" s="0" t="n">
        <f aca="false">IF('Reverse Search'!$C$7="Disable",1,IF('Reverse Search'!$D$9="Disable",1,IF(OR('Reverse Search'!$F$9=H738,'Reverse Search'!$F$9=I738),1,0)))</f>
        <v>1</v>
      </c>
      <c r="S738" s="0" t="n">
        <f aca="false">IF('Reverse Search'!$C$7="Disable",1,IF('Reverse Search'!$D$10="Disable",1,IF(OR('Reverse Search'!$F$10=H738,'Reverse Search'!$F$10=I738),1,0)))</f>
        <v>1</v>
      </c>
      <c r="T738" s="0" t="n">
        <f aca="false">INDEX($B$4:$B$22,MATCH(H738,$A$4:$A$22,0))</f>
        <v>1</v>
      </c>
      <c r="U738" s="0" t="n">
        <f aca="false">IF(ISBLANK(I738),1,INDEX($B$4:$B$22,MATCH(I738,$A$4:$A$22,0)))</f>
        <v>1</v>
      </c>
      <c r="V738" s="367" t="n">
        <f aca="false">IF('Reverse Search'!$C$7="Disable",1,IF('Reverse Search'!$D$11="Disable",1,IF('Reverse Search'!$E$11="Neutral to:",IF(ROUND(T738*U738,2)&lt;=1,1,0),IF(ROUND(T738*U738,2)&lt;1,1,0))))</f>
        <v>1</v>
      </c>
      <c r="W738" s="0" t="n">
        <f aca="false">IF('Reverse Search'!$N$7="Disable",1,IF('Reverse Search'!$I$9="Disable",1,IF('Reverse Search'!$K$9="≥",IF(J738&gt;='Reverse Search'!$L$9,1,0),IF('Reverse Search'!$K$9="≤",IF(J738&lt;='Reverse Search'!$L$9,1,0),IF(J738='Reverse Search'!$L$9,1,0)))))</f>
        <v>1</v>
      </c>
      <c r="X738" s="0" t="n">
        <f aca="false">IF('Reverse Search'!$N$7="Disable",1,IF('Reverse Search'!$I$10="Disable",1,IF('Reverse Search'!$K$10="≥",IF(K738&gt;='Reverse Search'!$L$10,1,0),IF('Reverse Search'!$K$10="≤",IF(K738&lt;='Reverse Search'!$L$10,1,0),IF(K738='Reverse Search'!$L$10,1,0)))))</f>
        <v>1</v>
      </c>
      <c r="Y738" s="367" t="n">
        <f aca="false">IF('Reverse Search'!$N$7="Disable",1,IF('Reverse Search'!$I$11="Disable",1,IF('Reverse Search'!$K$11="≥",IF(L738&gt;='Reverse Search'!$L$11,1,0),IF('Reverse Search'!$K$11="≤",IF(L738&lt;='Reverse Search'!$L$11,1,0),IF(L738='Reverse Search'!$L$11,1,0)))))</f>
        <v>1</v>
      </c>
      <c r="Z738" s="0" t="n">
        <f aca="true">IF('Reverse Search'!$C$14="Disable",1,IF('Reverse Search'!$D$16="Disable",1,IF($C$2=3,IF($M738=0,0,COUNTIF(INDIRECT("'0.0.2 Pokémon Learnset (Core)'!$D$"&amp;MATCH($E738,'0.0.2 Pokémon Learnset (Core)'!$A$1:$A951,0)&amp;":$FK$"&amp;MATCH($E738,'0.0.2 Pokémon Learnset (Core)'!$A$1:$A951,0)),'Reverse Search'!$E$21)),IF($C$2=2,COUNTIF(INDIRECT("'0.1.1 Pokémon GO Moves'!$B$"&amp;MATCH($E738,'0.1.1 Pokémon GO Moves'!$A$1:$A951,0)&amp;":$R$"&amp;MATCH($E738,'0.1.1 Pokémon GO Moves'!$A$1:$A951,0)),'Reverse Search'!$E$21),COUNTIF(INDIRECT("'0.1.1 Pokémon GO Moves'!$B$"&amp;MATCH($E738,'0.1.1 Pokémon GO Moves'!$A$1:$A951,0)&amp;":$L$"&amp;MATCH($E738,'0.1.1 Pokémon GO Moves'!$A$1:$A951,0)),'Reverse Search'!$E$21)))))</f>
        <v>1</v>
      </c>
      <c r="AA738" s="0" t="n">
        <f aca="true">IF('Reverse Search'!$C$14="Disable",1,IF('Reverse Search'!$I$16="Disable",1,IF($D$2=3,IF($M738=0,0,COUNTIF(INDIRECT("'0.0.2 Pokémon Learnset (Core)'!$D$"&amp;MATCH($E738,'0.0.2 Pokémon Learnset (Core)'!$A$1:$A951,0)&amp;":$FK$"&amp;MATCH($E738,'0.0.2 Pokémon Learnset (Core)'!$A$1:$A951,0)),'Reverse Search'!$J$21)),IF($D$2=2,COUNTIF(INDIRECT("'0.1.1 Pokémon GO Moves'!$B$"&amp;MATCH($E738,'0.1.1 Pokémon GO Moves'!$A$1:$A951,0)&amp;":$R$"&amp;MATCH($E738,'0.1.1 Pokémon GO Moves'!$A$1:$A951,0)),'Reverse Search'!$J$21),COUNTIF(INDIRECT("'0.1.1 Pokémon GO Moves'!$B$"&amp;MATCH($E738,'0.1.1 Pokémon GO Moves'!$A$1:$A951,0)&amp;":$L$"&amp;MATCH($E738,'0.1.1 Pokémon GO Moves'!$A$1:$A951,0)),'Reverse Search'!$J$21)))))</f>
        <v>0</v>
      </c>
      <c r="AB738" s="490"/>
      <c r="AC738" s="260" t="n">
        <f aca="false">IF((Q738+R738+S738+V738+W738+X738+Y738+IF(Z738&gt;=1,1,0)+IF(AA738&gt;=1,1,0))=9,G738&amp;", ",)</f>
        <v>0</v>
      </c>
    </row>
    <row r="739" customFormat="false" ht="15.75" hidden="false" customHeight="false" outlineLevel="0" collapsed="false">
      <c r="A739" s="260"/>
      <c r="B739" s="358"/>
      <c r="C739" s="260"/>
      <c r="D739" s="358"/>
      <c r="E739" s="260" t="n">
        <v>738</v>
      </c>
      <c r="F739" s="260" t="n">
        <f aca="false" t="array" ref="F739:F739">INDEX('0.0.1 Pokémon Dex Data'!$H$3:$H951,MATCH(E739,'0.0.1 Pokémon Dex Data'!$B$3:$B951,0))</f>
        <v>0</v>
      </c>
      <c r="G739" s="0" t="str">
        <f aca="false" t="array" ref="G739:G739">INDEX('0.0.1 Pokémon Dex Data'!$E$3:$E951,MATCH(E739,'0.0.1 Pokémon Dex Data'!$B$3:$B951,0))</f>
        <v>Cobalion</v>
      </c>
      <c r="H739" s="0" t="str">
        <f aca="false" t="array" ref="H739:H739">INDEX('0.0.1 Pokémon Dex Data'!$Q$3:$Q951,MATCH(E739,'0.0.1 Pokémon Dex Data'!$B$3:$B951,0))</f>
        <v>Steel</v>
      </c>
      <c r="I739" s="0" t="str">
        <f aca="false" t="array" ref="I739:I739">INDEX('0.0.1 Pokémon Dex Data'!$R$3:$R951,MATCH(E739,'0.0.1 Pokémon Dex Data'!$B$3:$B951,0))</f>
        <v>Fighting</v>
      </c>
      <c r="J739" s="260" t="n">
        <f aca="false" t="array" ref="J739:J739">ROUND(INDEX('0.0.1 Pokémon Dex Data'!$S$3:$S951,MATCH($E739,'0.0.1 Pokémon Dex Data'!$B$3:$B951,0))*INDEX('0.0.1 Pokémon Dex Data'!T$3:T951,MATCH($E739,'0.0.1 Pokémon Dex Data'!$B$3:$B951,0)),0)</f>
        <v>192</v>
      </c>
      <c r="K739" s="260" t="n">
        <f aca="false" t="array" ref="K739:K739">ROUND(INDEX('0.0.1 Pokémon Dex Data'!$S$3:$S951,MATCH($E739,'0.0.1 Pokémon Dex Data'!$B$3:$B951,0))*INDEX('0.0.1 Pokémon Dex Data'!U$3:U951,MATCH($E739,'0.0.1 Pokémon Dex Data'!$B$3:$B951,0)),0)</f>
        <v>229</v>
      </c>
      <c r="L739" s="260" t="n">
        <f aca="false" t="array" ref="L739:L739">ROUND(INDEX('0.0.1 Pokémon Dex Data'!$S$3:$S951,MATCH($E739,'0.0.1 Pokémon Dex Data'!$B$3:$B951,0))*INDEX('0.0.1 Pokémon Dex Data'!V$3:V951,MATCH($E739,'0.0.1 Pokémon Dex Data'!$B$3:$B951,0)),0)</f>
        <v>209</v>
      </c>
      <c r="M739" s="260" t="n">
        <f aca="false" t="array" ref="M739:M739">INDEX('0.0.1 Pokémon Dex Data'!$J$3:$J951,MATCH(E739,'0.0.1 Pokémon Dex Data'!$B$3:$B951,0))</f>
        <v>1</v>
      </c>
      <c r="O739" s="490"/>
      <c r="Q739" s="367" t="n">
        <f aca="false">IF('Reverse Search'!$F$4="All (including temporary formes)",1,IF('Reverse Search'!$F$4="Base Pokémon and permanent formes only",IF(F739&lt;=1,1,0),IF(F739=0,1,0)))</f>
        <v>1</v>
      </c>
      <c r="R739" s="0" t="n">
        <f aca="false">IF('Reverse Search'!$C$7="Disable",1,IF('Reverse Search'!$D$9="Disable",1,IF(OR('Reverse Search'!$F$9=H739,'Reverse Search'!$F$9=I739),1,0)))</f>
        <v>1</v>
      </c>
      <c r="S739" s="0" t="n">
        <f aca="false">IF('Reverse Search'!$C$7="Disable",1,IF('Reverse Search'!$D$10="Disable",1,IF(OR('Reverse Search'!$F$10=H739,'Reverse Search'!$F$10=I739),1,0)))</f>
        <v>1</v>
      </c>
      <c r="T739" s="0" t="n">
        <f aca="false">INDEX($B$4:$B$22,MATCH(H739,$A$4:$A$22,0))</f>
        <v>0.714</v>
      </c>
      <c r="U739" s="0" t="n">
        <f aca="false">IF(ISBLANK(I739),1,INDEX($B$4:$B$22,MATCH(I739,$A$4:$A$22,0)))</f>
        <v>1</v>
      </c>
      <c r="V739" s="367" t="n">
        <f aca="false">IF('Reverse Search'!$C$7="Disable",1,IF('Reverse Search'!$D$11="Disable",1,IF('Reverse Search'!$E$11="Neutral to:",IF(ROUND(T739*U739,2)&lt;=1,1,0),IF(ROUND(T739*U739,2)&lt;1,1,0))))</f>
        <v>1</v>
      </c>
      <c r="W739" s="0" t="n">
        <f aca="false">IF('Reverse Search'!$N$7="Disable",1,IF('Reverse Search'!$I$9="Disable",1,IF('Reverse Search'!$K$9="≥",IF(J739&gt;='Reverse Search'!$L$9,1,0),IF('Reverse Search'!$K$9="≤",IF(J739&lt;='Reverse Search'!$L$9,1,0),IF(J739='Reverse Search'!$L$9,1,0)))))</f>
        <v>1</v>
      </c>
      <c r="X739" s="0" t="n">
        <f aca="false">IF('Reverse Search'!$N$7="Disable",1,IF('Reverse Search'!$I$10="Disable",1,IF('Reverse Search'!$K$10="≥",IF(K739&gt;='Reverse Search'!$L$10,1,0),IF('Reverse Search'!$K$10="≤",IF(K739&lt;='Reverse Search'!$L$10,1,0),IF(K739='Reverse Search'!$L$10,1,0)))))</f>
        <v>1</v>
      </c>
      <c r="Y739" s="367" t="n">
        <f aca="false">IF('Reverse Search'!$N$7="Disable",1,IF('Reverse Search'!$I$11="Disable",1,IF('Reverse Search'!$K$11="≥",IF(L739&gt;='Reverse Search'!$L$11,1,0),IF('Reverse Search'!$K$11="≤",IF(L739&lt;='Reverse Search'!$L$11,1,0),IF(L739='Reverse Search'!$L$11,1,0)))))</f>
        <v>1</v>
      </c>
      <c r="Z739" s="0" t="n">
        <f aca="true">IF('Reverse Search'!$C$14="Disable",1,IF('Reverse Search'!$D$16="Disable",1,IF($C$2=3,IF($M739=0,0,COUNTIF(INDIRECT("'0.0.2 Pokémon Learnset (Core)'!$D$"&amp;MATCH($E739,'0.0.2 Pokémon Learnset (Core)'!$A$1:$A951,0)&amp;":$FK$"&amp;MATCH($E739,'0.0.2 Pokémon Learnset (Core)'!$A$1:$A951,0)),'Reverse Search'!$E$21)),IF($C$2=2,COUNTIF(INDIRECT("'0.1.1 Pokémon GO Moves'!$B$"&amp;MATCH($E739,'0.1.1 Pokémon GO Moves'!$A$1:$A951,0)&amp;":$R$"&amp;MATCH($E739,'0.1.1 Pokémon GO Moves'!$A$1:$A951,0)),'Reverse Search'!$E$21),COUNTIF(INDIRECT("'0.1.1 Pokémon GO Moves'!$B$"&amp;MATCH($E739,'0.1.1 Pokémon GO Moves'!$A$1:$A951,0)&amp;":$L$"&amp;MATCH($E739,'0.1.1 Pokémon GO Moves'!$A$1:$A951,0)),'Reverse Search'!$E$21)))))</f>
        <v>1</v>
      </c>
      <c r="AA739" s="0" t="n">
        <f aca="true">IF('Reverse Search'!$C$14="Disable",1,IF('Reverse Search'!$I$16="Disable",1,IF($D$2=3,IF($M739=0,0,COUNTIF(INDIRECT("'0.0.2 Pokémon Learnset (Core)'!$D$"&amp;MATCH($E739,'0.0.2 Pokémon Learnset (Core)'!$A$1:$A951,0)&amp;":$FK$"&amp;MATCH($E739,'0.0.2 Pokémon Learnset (Core)'!$A$1:$A951,0)),'Reverse Search'!$J$21)),IF($D$2=2,COUNTIF(INDIRECT("'0.1.1 Pokémon GO Moves'!$B$"&amp;MATCH($E739,'0.1.1 Pokémon GO Moves'!$A$1:$A951,0)&amp;":$R$"&amp;MATCH($E739,'0.1.1 Pokémon GO Moves'!$A$1:$A951,0)),'Reverse Search'!$J$21),COUNTIF(INDIRECT("'0.1.1 Pokémon GO Moves'!$B$"&amp;MATCH($E739,'0.1.1 Pokémon GO Moves'!$A$1:$A951,0)&amp;":$L$"&amp;MATCH($E739,'0.1.1 Pokémon GO Moves'!$A$1:$A951,0)),'Reverse Search'!$J$21)))))</f>
        <v>0</v>
      </c>
      <c r="AB739" s="490"/>
      <c r="AC739" s="260" t="n">
        <f aca="false">IF((Q739+R739+S739+V739+W739+X739+Y739+IF(Z739&gt;=1,1,0)+IF(AA739&gt;=1,1,0))=9,G739&amp;", ",)</f>
        <v>0</v>
      </c>
    </row>
    <row r="740" customFormat="false" ht="15.75" hidden="false" customHeight="false" outlineLevel="0" collapsed="false">
      <c r="A740" s="260"/>
      <c r="B740" s="358"/>
      <c r="C740" s="260"/>
      <c r="D740" s="358"/>
      <c r="E740" s="260" t="n">
        <v>739</v>
      </c>
      <c r="F740" s="260" t="n">
        <f aca="false" t="array" ref="F740:F740">INDEX('0.0.1 Pokémon Dex Data'!$H$3:$H951,MATCH(E740,'0.0.1 Pokémon Dex Data'!$B$3:$B951,0))</f>
        <v>0</v>
      </c>
      <c r="G740" s="0" t="str">
        <f aca="false" t="array" ref="G740:G740">INDEX('0.0.1 Pokémon Dex Data'!$E$3:$E951,MATCH(E740,'0.0.1 Pokémon Dex Data'!$B$3:$B951,0))</f>
        <v>Terrakion</v>
      </c>
      <c r="H740" s="0" t="str">
        <f aca="false" t="array" ref="H740:H740">INDEX('0.0.1 Pokémon Dex Data'!$Q$3:$Q951,MATCH(E740,'0.0.1 Pokémon Dex Data'!$B$3:$B951,0))</f>
        <v>Rock</v>
      </c>
      <c r="I740" s="0" t="str">
        <f aca="false" t="array" ref="I740:I740">INDEX('0.0.1 Pokémon Dex Data'!$R$3:$R951,MATCH(E740,'0.0.1 Pokémon Dex Data'!$B$3:$B951,0))</f>
        <v>Fighting</v>
      </c>
      <c r="J740" s="260" t="n">
        <f aca="false" t="array" ref="J740:J740">ROUND(INDEX('0.0.1 Pokémon Dex Data'!$S$3:$S951,MATCH($E740,'0.0.1 Pokémon Dex Data'!$B$3:$B951,0))*INDEX('0.0.1 Pokémon Dex Data'!T$3:T951,MATCH($E740,'0.0.1 Pokémon Dex Data'!$B$3:$B951,0)),0)</f>
        <v>260</v>
      </c>
      <c r="K740" s="260" t="n">
        <f aca="false" t="array" ref="K740:K740">ROUND(INDEX('0.0.1 Pokémon Dex Data'!$S$3:$S951,MATCH($E740,'0.0.1 Pokémon Dex Data'!$B$3:$B951,0))*INDEX('0.0.1 Pokémon Dex Data'!U$3:U951,MATCH($E740,'0.0.1 Pokémon Dex Data'!$B$3:$B951,0)),0)</f>
        <v>192</v>
      </c>
      <c r="L740" s="260" t="n">
        <f aca="false" t="array" ref="L740:L740">ROUND(INDEX('0.0.1 Pokémon Dex Data'!$S$3:$S951,MATCH($E740,'0.0.1 Pokémon Dex Data'!$B$3:$B951,0))*INDEX('0.0.1 Pokémon Dex Data'!V$3:V951,MATCH($E740,'0.0.1 Pokémon Dex Data'!$B$3:$B951,0)),0)</f>
        <v>209</v>
      </c>
      <c r="M740" s="260" t="n">
        <f aca="false" t="array" ref="M740:M740">INDEX('0.0.1 Pokémon Dex Data'!$J$3:$J951,MATCH(E740,'0.0.1 Pokémon Dex Data'!$B$3:$B951,0))</f>
        <v>1</v>
      </c>
      <c r="O740" s="490"/>
      <c r="Q740" s="367" t="n">
        <f aca="false">IF('Reverse Search'!$F$4="All (including temporary formes)",1,IF('Reverse Search'!$F$4="Base Pokémon and permanent formes only",IF(F740&lt;=1,1,0),IF(F740=0,1,0)))</f>
        <v>1</v>
      </c>
      <c r="R740" s="0" t="n">
        <f aca="false">IF('Reverse Search'!$C$7="Disable",1,IF('Reverse Search'!$D$9="Disable",1,IF(OR('Reverse Search'!$F$9=H740,'Reverse Search'!$F$9=I740),1,0)))</f>
        <v>1</v>
      </c>
      <c r="S740" s="0" t="n">
        <f aca="false">IF('Reverse Search'!$C$7="Disable",1,IF('Reverse Search'!$D$10="Disable",1,IF(OR('Reverse Search'!$F$10=H740,'Reverse Search'!$F$10=I740),1,0)))</f>
        <v>1</v>
      </c>
      <c r="T740" s="0" t="n">
        <f aca="false">INDEX($B$4:$B$22,MATCH(H740,$A$4:$A$22,0))</f>
        <v>0.714</v>
      </c>
      <c r="U740" s="0" t="n">
        <f aca="false">IF(ISBLANK(I740),1,INDEX($B$4:$B$22,MATCH(I740,$A$4:$A$22,0)))</f>
        <v>1</v>
      </c>
      <c r="V740" s="367" t="n">
        <f aca="false">IF('Reverse Search'!$C$7="Disable",1,IF('Reverse Search'!$D$11="Disable",1,IF('Reverse Search'!$E$11="Neutral to:",IF(ROUND(T740*U740,2)&lt;=1,1,0),IF(ROUND(T740*U740,2)&lt;1,1,0))))</f>
        <v>1</v>
      </c>
      <c r="W740" s="0" t="n">
        <f aca="false">IF('Reverse Search'!$N$7="Disable",1,IF('Reverse Search'!$I$9="Disable",1,IF('Reverse Search'!$K$9="≥",IF(J740&gt;='Reverse Search'!$L$9,1,0),IF('Reverse Search'!$K$9="≤",IF(J740&lt;='Reverse Search'!$L$9,1,0),IF(J740='Reverse Search'!$L$9,1,0)))))</f>
        <v>1</v>
      </c>
      <c r="X740" s="0" t="n">
        <f aca="false">IF('Reverse Search'!$N$7="Disable",1,IF('Reverse Search'!$I$10="Disable",1,IF('Reverse Search'!$K$10="≥",IF(K740&gt;='Reverse Search'!$L$10,1,0),IF('Reverse Search'!$K$10="≤",IF(K740&lt;='Reverse Search'!$L$10,1,0),IF(K740='Reverse Search'!$L$10,1,0)))))</f>
        <v>1</v>
      </c>
      <c r="Y740" s="367" t="n">
        <f aca="false">IF('Reverse Search'!$N$7="Disable",1,IF('Reverse Search'!$I$11="Disable",1,IF('Reverse Search'!$K$11="≥",IF(L740&gt;='Reverse Search'!$L$11,1,0),IF('Reverse Search'!$K$11="≤",IF(L740&lt;='Reverse Search'!$L$11,1,0),IF(L740='Reverse Search'!$L$11,1,0)))))</f>
        <v>1</v>
      </c>
      <c r="Z740" s="0" t="n">
        <f aca="true">IF('Reverse Search'!$C$14="Disable",1,IF('Reverse Search'!$D$16="Disable",1,IF($C$2=3,IF($M740=0,0,COUNTIF(INDIRECT("'0.0.2 Pokémon Learnset (Core)'!$D$"&amp;MATCH($E740,'0.0.2 Pokémon Learnset (Core)'!$A$1:$A951,0)&amp;":$FK$"&amp;MATCH($E740,'0.0.2 Pokémon Learnset (Core)'!$A$1:$A951,0)),'Reverse Search'!$E$21)),IF($C$2=2,COUNTIF(INDIRECT("'0.1.1 Pokémon GO Moves'!$B$"&amp;MATCH($E740,'0.1.1 Pokémon GO Moves'!$A$1:$A951,0)&amp;":$R$"&amp;MATCH($E740,'0.1.1 Pokémon GO Moves'!$A$1:$A951,0)),'Reverse Search'!$E$21),COUNTIF(INDIRECT("'0.1.1 Pokémon GO Moves'!$B$"&amp;MATCH($E740,'0.1.1 Pokémon GO Moves'!$A$1:$A951,0)&amp;":$L$"&amp;MATCH($E740,'0.1.1 Pokémon GO Moves'!$A$1:$A951,0)),'Reverse Search'!$E$21)))))</f>
        <v>1</v>
      </c>
      <c r="AA740" s="0" t="n">
        <f aca="true">IF('Reverse Search'!$C$14="Disable",1,IF('Reverse Search'!$I$16="Disable",1,IF($D$2=3,IF($M740=0,0,COUNTIF(INDIRECT("'0.0.2 Pokémon Learnset (Core)'!$D$"&amp;MATCH($E740,'0.0.2 Pokémon Learnset (Core)'!$A$1:$A951,0)&amp;":$FK$"&amp;MATCH($E740,'0.0.2 Pokémon Learnset (Core)'!$A$1:$A951,0)),'Reverse Search'!$J$21)),IF($D$2=2,COUNTIF(INDIRECT("'0.1.1 Pokémon GO Moves'!$B$"&amp;MATCH($E740,'0.1.1 Pokémon GO Moves'!$A$1:$A951,0)&amp;":$R$"&amp;MATCH($E740,'0.1.1 Pokémon GO Moves'!$A$1:$A951,0)),'Reverse Search'!$J$21),COUNTIF(INDIRECT("'0.1.1 Pokémon GO Moves'!$B$"&amp;MATCH($E740,'0.1.1 Pokémon GO Moves'!$A$1:$A951,0)&amp;":$L$"&amp;MATCH($E740,'0.1.1 Pokémon GO Moves'!$A$1:$A951,0)),'Reverse Search'!$J$21)))))</f>
        <v>0</v>
      </c>
      <c r="AB740" s="490"/>
      <c r="AC740" s="260" t="n">
        <f aca="false">IF((Q740+R740+S740+V740+W740+X740+Y740+IF(Z740&gt;=1,1,0)+IF(AA740&gt;=1,1,0))=9,G740&amp;", ",)</f>
        <v>0</v>
      </c>
    </row>
    <row r="741" customFormat="false" ht="15.75" hidden="false" customHeight="false" outlineLevel="0" collapsed="false">
      <c r="A741" s="260"/>
      <c r="B741" s="358"/>
      <c r="C741" s="260"/>
      <c r="D741" s="358"/>
      <c r="E741" s="260" t="n">
        <v>740</v>
      </c>
      <c r="F741" s="260" t="n">
        <f aca="false" t="array" ref="F741:F741">INDEX('0.0.1 Pokémon Dex Data'!$H$3:$H951,MATCH(E741,'0.0.1 Pokémon Dex Data'!$B$3:$B951,0))</f>
        <v>0</v>
      </c>
      <c r="G741" s="0" t="str">
        <f aca="false" t="array" ref="G741:G741">INDEX('0.0.1 Pokémon Dex Data'!$E$3:$E951,MATCH(E741,'0.0.1 Pokémon Dex Data'!$B$3:$B951,0))</f>
        <v>Virizion</v>
      </c>
      <c r="H741" s="0" t="str">
        <f aca="false" t="array" ref="H741:H741">INDEX('0.0.1 Pokémon Dex Data'!$Q$3:$Q951,MATCH(E741,'0.0.1 Pokémon Dex Data'!$B$3:$B951,0))</f>
        <v>Grass</v>
      </c>
      <c r="I741" s="0" t="str">
        <f aca="false" t="array" ref="I741:I741">INDEX('0.0.1 Pokémon Dex Data'!$R$3:$R951,MATCH(E741,'0.0.1 Pokémon Dex Data'!$B$3:$B951,0))</f>
        <v>Fighting</v>
      </c>
      <c r="J741" s="260" t="n">
        <f aca="false" t="array" ref="J741:J741">ROUND(INDEX('0.0.1 Pokémon Dex Data'!$S$3:$S951,MATCH($E741,'0.0.1 Pokémon Dex Data'!$B$3:$B951,0))*INDEX('0.0.1 Pokémon Dex Data'!T$3:T951,MATCH($E741,'0.0.1 Pokémon Dex Data'!$B$3:$B951,0)),0)</f>
        <v>192</v>
      </c>
      <c r="K741" s="260" t="n">
        <f aca="false" t="array" ref="K741:K741">ROUND(INDEX('0.0.1 Pokémon Dex Data'!$S$3:$S951,MATCH($E741,'0.0.1 Pokémon Dex Data'!$B$3:$B951,0))*INDEX('0.0.1 Pokémon Dex Data'!U$3:U951,MATCH($E741,'0.0.1 Pokémon Dex Data'!$B$3:$B951,0)),0)</f>
        <v>229</v>
      </c>
      <c r="L741" s="260" t="n">
        <f aca="false" t="array" ref="L741:L741">ROUND(INDEX('0.0.1 Pokémon Dex Data'!$S$3:$S951,MATCH($E741,'0.0.1 Pokémon Dex Data'!$B$3:$B951,0))*INDEX('0.0.1 Pokémon Dex Data'!V$3:V951,MATCH($E741,'0.0.1 Pokémon Dex Data'!$B$3:$B951,0)),0)</f>
        <v>209</v>
      </c>
      <c r="M741" s="260" t="n">
        <f aca="false" t="array" ref="M741:M741">INDEX('0.0.1 Pokémon Dex Data'!$J$3:$J951,MATCH(E741,'0.0.1 Pokémon Dex Data'!$B$3:$B951,0))</f>
        <v>1</v>
      </c>
      <c r="O741" s="490"/>
      <c r="Q741" s="367" t="n">
        <f aca="false">IF('Reverse Search'!$F$4="All (including temporary formes)",1,IF('Reverse Search'!$F$4="Base Pokémon and permanent formes only",IF(F741&lt;=1,1,0),IF(F741=0,1,0)))</f>
        <v>1</v>
      </c>
      <c r="R741" s="0" t="n">
        <f aca="false">IF('Reverse Search'!$C$7="Disable",1,IF('Reverse Search'!$D$9="Disable",1,IF(OR('Reverse Search'!$F$9=H741,'Reverse Search'!$F$9=I741),1,0)))</f>
        <v>1</v>
      </c>
      <c r="S741" s="0" t="n">
        <f aca="false">IF('Reverse Search'!$C$7="Disable",1,IF('Reverse Search'!$D$10="Disable",1,IF(OR('Reverse Search'!$F$10=H741,'Reverse Search'!$F$10=I741),1,0)))</f>
        <v>1</v>
      </c>
      <c r="T741" s="0" t="n">
        <f aca="false">INDEX($B$4:$B$22,MATCH(H741,$A$4:$A$22,0))</f>
        <v>1</v>
      </c>
      <c r="U741" s="0" t="n">
        <f aca="false">IF(ISBLANK(I741),1,INDEX($B$4:$B$22,MATCH(I741,$A$4:$A$22,0)))</f>
        <v>1</v>
      </c>
      <c r="V741" s="367" t="n">
        <f aca="false">IF('Reverse Search'!$C$7="Disable",1,IF('Reverse Search'!$D$11="Disable",1,IF('Reverse Search'!$E$11="Neutral to:",IF(ROUND(T741*U741,2)&lt;=1,1,0),IF(ROUND(T741*U741,2)&lt;1,1,0))))</f>
        <v>1</v>
      </c>
      <c r="W741" s="0" t="n">
        <f aca="false">IF('Reverse Search'!$N$7="Disable",1,IF('Reverse Search'!$I$9="Disable",1,IF('Reverse Search'!$K$9="≥",IF(J741&gt;='Reverse Search'!$L$9,1,0),IF('Reverse Search'!$K$9="≤",IF(J741&lt;='Reverse Search'!$L$9,1,0),IF(J741='Reverse Search'!$L$9,1,0)))))</f>
        <v>1</v>
      </c>
      <c r="X741" s="0" t="n">
        <f aca="false">IF('Reverse Search'!$N$7="Disable",1,IF('Reverse Search'!$I$10="Disable",1,IF('Reverse Search'!$K$10="≥",IF(K741&gt;='Reverse Search'!$L$10,1,0),IF('Reverse Search'!$K$10="≤",IF(K741&lt;='Reverse Search'!$L$10,1,0),IF(K741='Reverse Search'!$L$10,1,0)))))</f>
        <v>1</v>
      </c>
      <c r="Y741" s="367" t="n">
        <f aca="false">IF('Reverse Search'!$N$7="Disable",1,IF('Reverse Search'!$I$11="Disable",1,IF('Reverse Search'!$K$11="≥",IF(L741&gt;='Reverse Search'!$L$11,1,0),IF('Reverse Search'!$K$11="≤",IF(L741&lt;='Reverse Search'!$L$11,1,0),IF(L741='Reverse Search'!$L$11,1,0)))))</f>
        <v>1</v>
      </c>
      <c r="Z741" s="0" t="n">
        <f aca="true">IF('Reverse Search'!$C$14="Disable",1,IF('Reverse Search'!$D$16="Disable",1,IF($C$2=3,IF($M741=0,0,COUNTIF(INDIRECT("'0.0.2 Pokémon Learnset (Core)'!$D$"&amp;MATCH($E741,'0.0.2 Pokémon Learnset (Core)'!$A$1:$A951,0)&amp;":$FK$"&amp;MATCH($E741,'0.0.2 Pokémon Learnset (Core)'!$A$1:$A951,0)),'Reverse Search'!$E$21)),IF($C$2=2,COUNTIF(INDIRECT("'0.1.1 Pokémon GO Moves'!$B$"&amp;MATCH($E741,'0.1.1 Pokémon GO Moves'!$A$1:$A951,0)&amp;":$R$"&amp;MATCH($E741,'0.1.1 Pokémon GO Moves'!$A$1:$A951,0)),'Reverse Search'!$E$21),COUNTIF(INDIRECT("'0.1.1 Pokémon GO Moves'!$B$"&amp;MATCH($E741,'0.1.1 Pokémon GO Moves'!$A$1:$A951,0)&amp;":$L$"&amp;MATCH($E741,'0.1.1 Pokémon GO Moves'!$A$1:$A951,0)),'Reverse Search'!$E$21)))))</f>
        <v>1</v>
      </c>
      <c r="AA741" s="0" t="n">
        <f aca="true">IF('Reverse Search'!$C$14="Disable",1,IF('Reverse Search'!$I$16="Disable",1,IF($D$2=3,IF($M741=0,0,COUNTIF(INDIRECT("'0.0.2 Pokémon Learnset (Core)'!$D$"&amp;MATCH($E741,'0.0.2 Pokémon Learnset (Core)'!$A$1:$A951,0)&amp;":$FK$"&amp;MATCH($E741,'0.0.2 Pokémon Learnset (Core)'!$A$1:$A951,0)),'Reverse Search'!$J$21)),IF($D$2=2,COUNTIF(INDIRECT("'0.1.1 Pokémon GO Moves'!$B$"&amp;MATCH($E741,'0.1.1 Pokémon GO Moves'!$A$1:$A951,0)&amp;":$R$"&amp;MATCH($E741,'0.1.1 Pokémon GO Moves'!$A$1:$A951,0)),'Reverse Search'!$J$21),COUNTIF(INDIRECT("'0.1.1 Pokémon GO Moves'!$B$"&amp;MATCH($E741,'0.1.1 Pokémon GO Moves'!$A$1:$A951,0)&amp;":$L$"&amp;MATCH($E741,'0.1.1 Pokémon GO Moves'!$A$1:$A951,0)),'Reverse Search'!$J$21)))))</f>
        <v>0</v>
      </c>
      <c r="AB741" s="490"/>
      <c r="AC741" s="260" t="n">
        <f aca="false">IF((Q741+R741+S741+V741+W741+X741+Y741+IF(Z741&gt;=1,1,0)+IF(AA741&gt;=1,1,0))=9,G741&amp;", ",)</f>
        <v>0</v>
      </c>
    </row>
    <row r="742" customFormat="false" ht="15.75" hidden="false" customHeight="false" outlineLevel="0" collapsed="false">
      <c r="A742" s="260"/>
      <c r="B742" s="358"/>
      <c r="C742" s="260"/>
      <c r="D742" s="358"/>
      <c r="E742" s="260" t="n">
        <v>741</v>
      </c>
      <c r="F742" s="260" t="n">
        <f aca="false" t="array" ref="F742:F742">INDEX('0.0.1 Pokémon Dex Data'!$H$3:$H951,MATCH(E742,'0.0.1 Pokémon Dex Data'!$B$3:$B951,0))</f>
        <v>0</v>
      </c>
      <c r="G742" s="0" t="str">
        <f aca="false" t="array" ref="G742:G742">INDEX('0.0.1 Pokémon Dex Data'!$E$3:$E951,MATCH(E742,'0.0.1 Pokémon Dex Data'!$B$3:$B951,0))</f>
        <v>Tornadus</v>
      </c>
      <c r="H742" s="0" t="str">
        <f aca="false" t="array" ref="H742:H742">INDEX('0.0.1 Pokémon Dex Data'!$Q$3:$Q951,MATCH(E742,'0.0.1 Pokémon Dex Data'!$B$3:$B951,0))</f>
        <v>Flying</v>
      </c>
      <c r="I742" s="0" t="n">
        <f aca="false">INDEX('0.0.1 Pokémon Dex Data'!$R$3:$R951,MATCH(E742,'0.0.1 Pokémon Dex Data'!$B$3:$B951,0))</f>
        <v>0</v>
      </c>
      <c r="J742" s="260" t="n">
        <f aca="false" t="array" ref="J742:J742">ROUND(INDEX('0.0.1 Pokémon Dex Data'!$S$3:$S951,MATCH($E742,'0.0.1 Pokémon Dex Data'!$B$3:$B951,0))*INDEX('0.0.1 Pokémon Dex Data'!T$3:T951,MATCH($E742,'0.0.1 Pokémon Dex Data'!$B$3:$B951,0)),0)</f>
        <v>266</v>
      </c>
      <c r="K742" s="260" t="n">
        <f aca="false" t="array" ref="K742:K742">ROUND(INDEX('0.0.1 Pokémon Dex Data'!$S$3:$S951,MATCH($E742,'0.0.1 Pokémon Dex Data'!$B$3:$B951,0))*INDEX('0.0.1 Pokémon Dex Data'!U$3:U951,MATCH($E742,'0.0.1 Pokémon Dex Data'!$B$3:$B951,0)),0)</f>
        <v>164</v>
      </c>
      <c r="L742" s="260" t="n">
        <f aca="false" t="array" ref="L742:L742">ROUND(INDEX('0.0.1 Pokémon Dex Data'!$S$3:$S951,MATCH($E742,'0.0.1 Pokémon Dex Data'!$B$3:$B951,0))*INDEX('0.0.1 Pokémon Dex Data'!V$3:V951,MATCH($E742,'0.0.1 Pokémon Dex Data'!$B$3:$B951,0)),0)</f>
        <v>188</v>
      </c>
      <c r="M742" s="260" t="n">
        <f aca="false" t="array" ref="M742:M742">INDEX('0.0.1 Pokémon Dex Data'!$J$3:$J951,MATCH(E742,'0.0.1 Pokémon Dex Data'!$B$3:$B951,0))</f>
        <v>1</v>
      </c>
      <c r="O742" s="490"/>
      <c r="Q742" s="367" t="n">
        <f aca="false">IF('Reverse Search'!$F$4="All (including temporary formes)",1,IF('Reverse Search'!$F$4="Base Pokémon and permanent formes only",IF(F742&lt;=1,1,0),IF(F742=0,1,0)))</f>
        <v>1</v>
      </c>
      <c r="R742" s="0" t="n">
        <f aca="false">IF('Reverse Search'!$C$7="Disable",1,IF('Reverse Search'!$D$9="Disable",1,IF(OR('Reverse Search'!$F$9=H742,'Reverse Search'!$F$9=I742),1,0)))</f>
        <v>1</v>
      </c>
      <c r="S742" s="0" t="n">
        <f aca="false">IF('Reverse Search'!$C$7="Disable",1,IF('Reverse Search'!$D$10="Disable",1,IF(OR('Reverse Search'!$F$10=H742,'Reverse Search'!$F$10=I742),1,0)))</f>
        <v>1</v>
      </c>
      <c r="T742" s="0" t="n">
        <f aca="false">INDEX($B$4:$B$22,MATCH(H742,$A$4:$A$22,0))</f>
        <v>1</v>
      </c>
      <c r="U742" s="0" t="e">
        <f aca="false">IF(ISBLANK(I742),1,INDEX($B$4:$B$22,MATCH(I742,$A$4:$A$22,0)))</f>
        <v>#N/A</v>
      </c>
      <c r="V742" s="367" t="n">
        <f aca="false">IF('Reverse Search'!$C$7="Disable",1,IF('Reverse Search'!$D$11="Disable",1,IF('Reverse Search'!$E$11="Neutral to:",IF(ROUND(T742*U742,2)&lt;=1,1,0),IF(ROUND(T742*U742,2)&lt;1,1,0))))</f>
        <v>1</v>
      </c>
      <c r="W742" s="0" t="n">
        <f aca="false">IF('Reverse Search'!$N$7="Disable",1,IF('Reverse Search'!$I$9="Disable",1,IF('Reverse Search'!$K$9="≥",IF(J742&gt;='Reverse Search'!$L$9,1,0),IF('Reverse Search'!$K$9="≤",IF(J742&lt;='Reverse Search'!$L$9,1,0),IF(J742='Reverse Search'!$L$9,1,0)))))</f>
        <v>1</v>
      </c>
      <c r="X742" s="0" t="n">
        <f aca="false">IF('Reverse Search'!$N$7="Disable",1,IF('Reverse Search'!$I$10="Disable",1,IF('Reverse Search'!$K$10="≥",IF(K742&gt;='Reverse Search'!$L$10,1,0),IF('Reverse Search'!$K$10="≤",IF(K742&lt;='Reverse Search'!$L$10,1,0),IF(K742='Reverse Search'!$L$10,1,0)))))</f>
        <v>1</v>
      </c>
      <c r="Y742" s="367" t="n">
        <f aca="false">IF('Reverse Search'!$N$7="Disable",1,IF('Reverse Search'!$I$11="Disable",1,IF('Reverse Search'!$K$11="≥",IF(L742&gt;='Reverse Search'!$L$11,1,0),IF('Reverse Search'!$K$11="≤",IF(L742&lt;='Reverse Search'!$L$11,1,0),IF(L742='Reverse Search'!$L$11,1,0)))))</f>
        <v>1</v>
      </c>
      <c r="Z742" s="0" t="n">
        <f aca="true">IF('Reverse Search'!$C$14="Disable",1,IF('Reverse Search'!$D$16="Disable",1,IF($C$2=3,IF($M742=0,0,COUNTIF(INDIRECT("'0.0.2 Pokémon Learnset (Core)'!$D$"&amp;MATCH($E742,'0.0.2 Pokémon Learnset (Core)'!$A$1:$A951,0)&amp;":$FK$"&amp;MATCH($E742,'0.0.2 Pokémon Learnset (Core)'!$A$1:$A951,0)),'Reverse Search'!$E$21)),IF($C$2=2,COUNTIF(INDIRECT("'0.1.1 Pokémon GO Moves'!$B$"&amp;MATCH($E742,'0.1.1 Pokémon GO Moves'!$A$1:$A951,0)&amp;":$R$"&amp;MATCH($E742,'0.1.1 Pokémon GO Moves'!$A$1:$A951,0)),'Reverse Search'!$E$21),COUNTIF(INDIRECT("'0.1.1 Pokémon GO Moves'!$B$"&amp;MATCH($E742,'0.1.1 Pokémon GO Moves'!$A$1:$A951,0)&amp;":$L$"&amp;MATCH($E742,'0.1.1 Pokémon GO Moves'!$A$1:$A951,0)),'Reverse Search'!$E$21)))))</f>
        <v>1</v>
      </c>
      <c r="AA742" s="0" t="n">
        <f aca="true">IF('Reverse Search'!$C$14="Disable",1,IF('Reverse Search'!$I$16="Disable",1,IF($D$2=3,IF($M742=0,0,COUNTIF(INDIRECT("'0.0.2 Pokémon Learnset (Core)'!$D$"&amp;MATCH($E742,'0.0.2 Pokémon Learnset (Core)'!$A$1:$A951,0)&amp;":$FK$"&amp;MATCH($E742,'0.0.2 Pokémon Learnset (Core)'!$A$1:$A951,0)),'Reverse Search'!$J$21)),IF($D$2=2,COUNTIF(INDIRECT("'0.1.1 Pokémon GO Moves'!$B$"&amp;MATCH($E742,'0.1.1 Pokémon GO Moves'!$A$1:$A951,0)&amp;":$R$"&amp;MATCH($E742,'0.1.1 Pokémon GO Moves'!$A$1:$A951,0)),'Reverse Search'!$J$21),COUNTIF(INDIRECT("'0.1.1 Pokémon GO Moves'!$B$"&amp;MATCH($E742,'0.1.1 Pokémon GO Moves'!$A$1:$A951,0)&amp;":$L$"&amp;MATCH($E742,'0.1.1 Pokémon GO Moves'!$A$1:$A951,0)),'Reverse Search'!$J$21)))))</f>
        <v>0</v>
      </c>
      <c r="AB742" s="490"/>
      <c r="AC742" s="260" t="n">
        <f aca="false">IF((Q742+R742+S742+V742+W742+X742+Y742+IF(Z742&gt;=1,1,0)+IF(AA742&gt;=1,1,0))=9,G742&amp;", ",)</f>
        <v>0</v>
      </c>
    </row>
    <row r="743" customFormat="false" ht="15.75" hidden="false" customHeight="false" outlineLevel="0" collapsed="false">
      <c r="A743" s="260"/>
      <c r="B743" s="358"/>
      <c r="C743" s="260"/>
      <c r="D743" s="358"/>
      <c r="E743" s="260" t="n">
        <v>742</v>
      </c>
      <c r="F743" s="260" t="n">
        <f aca="false" t="array" ref="F743:F743">INDEX('0.0.1 Pokémon Dex Data'!$H$3:$H951,MATCH(E743,'0.0.1 Pokémon Dex Data'!$B$3:$B951,0))</f>
        <v>1</v>
      </c>
      <c r="G743" s="0" t="str">
        <f aca="false" t="array" ref="G743:G743">INDEX('0.0.1 Pokémon Dex Data'!$E$3:$E951,MATCH(E743,'0.0.1 Pokémon Dex Data'!$B$3:$B951,0))</f>
        <v>Tornadus-Therian</v>
      </c>
      <c r="H743" s="0" t="str">
        <f aca="false" t="array" ref="H743:H743">INDEX('0.0.1 Pokémon Dex Data'!$Q$3:$Q951,MATCH(E743,'0.0.1 Pokémon Dex Data'!$B$3:$B951,0))</f>
        <v>Flying</v>
      </c>
      <c r="I743" s="0" t="n">
        <f aca="false">INDEX('0.0.1 Pokémon Dex Data'!$R$3:$R951,MATCH(E743,'0.0.1 Pokémon Dex Data'!$B$3:$B951,0))</f>
        <v>0</v>
      </c>
      <c r="J743" s="260" t="n">
        <f aca="false" t="array" ref="J743:J743">ROUND(INDEX('0.0.1 Pokémon Dex Data'!$S$3:$S951,MATCH($E743,'0.0.1 Pokémon Dex Data'!$B$3:$B951,0))*INDEX('0.0.1 Pokémon Dex Data'!T$3:T951,MATCH($E743,'0.0.1 Pokémon Dex Data'!$B$3:$B951,0)),0)</f>
        <v>238</v>
      </c>
      <c r="K743" s="260" t="n">
        <f aca="false" t="array" ref="K743:K743">ROUND(INDEX('0.0.1 Pokémon Dex Data'!$S$3:$S951,MATCH($E743,'0.0.1 Pokémon Dex Data'!$B$3:$B951,0))*INDEX('0.0.1 Pokémon Dex Data'!U$3:U951,MATCH($E743,'0.0.1 Pokémon Dex Data'!$B$3:$B951,0)),0)</f>
        <v>189</v>
      </c>
      <c r="L743" s="260" t="n">
        <f aca="false" t="array" ref="L743:L743">ROUND(INDEX('0.0.1 Pokémon Dex Data'!$S$3:$S951,MATCH($E743,'0.0.1 Pokémon Dex Data'!$B$3:$B951,0))*INDEX('0.0.1 Pokémon Dex Data'!V$3:V951,MATCH($E743,'0.0.1 Pokémon Dex Data'!$B$3:$B951,0)),0)</f>
        <v>188</v>
      </c>
      <c r="M743" s="260" t="n">
        <f aca="false" t="array" ref="M743:M743">INDEX('0.0.1 Pokémon Dex Data'!$J$3:$J951,MATCH(E743,'0.0.1 Pokémon Dex Data'!$B$3:$B951,0))</f>
        <v>1</v>
      </c>
      <c r="O743" s="490"/>
      <c r="Q743" s="367" t="n">
        <f aca="false">IF('Reverse Search'!$F$4="All (including temporary formes)",1,IF('Reverse Search'!$F$4="Base Pokémon and permanent formes only",IF(F743&lt;=1,1,0),IF(F743=0,1,0)))</f>
        <v>0</v>
      </c>
      <c r="R743" s="0" t="n">
        <f aca="false">IF('Reverse Search'!$C$7="Disable",1,IF('Reverse Search'!$D$9="Disable",1,IF(OR('Reverse Search'!$F$9=H743,'Reverse Search'!$F$9=I743),1,0)))</f>
        <v>1</v>
      </c>
      <c r="S743" s="0" t="n">
        <f aca="false">IF('Reverse Search'!$C$7="Disable",1,IF('Reverse Search'!$D$10="Disable",1,IF(OR('Reverse Search'!$F$10=H743,'Reverse Search'!$F$10=I743),1,0)))</f>
        <v>1</v>
      </c>
      <c r="T743" s="0" t="n">
        <f aca="false">INDEX($B$4:$B$22,MATCH(H743,$A$4:$A$22,0))</f>
        <v>1</v>
      </c>
      <c r="U743" s="0" t="e">
        <f aca="false">IF(ISBLANK(I743),1,INDEX($B$4:$B$22,MATCH(I743,$A$4:$A$22,0)))</f>
        <v>#N/A</v>
      </c>
      <c r="V743" s="367" t="n">
        <f aca="false">IF('Reverse Search'!$C$7="Disable",1,IF('Reverse Search'!$D$11="Disable",1,IF('Reverse Search'!$E$11="Neutral to:",IF(ROUND(T743*U743,2)&lt;=1,1,0),IF(ROUND(T743*U743,2)&lt;1,1,0))))</f>
        <v>1</v>
      </c>
      <c r="W743" s="0" t="n">
        <f aca="false">IF('Reverse Search'!$N$7="Disable",1,IF('Reverse Search'!$I$9="Disable",1,IF('Reverse Search'!$K$9="≥",IF(J743&gt;='Reverse Search'!$L$9,1,0),IF('Reverse Search'!$K$9="≤",IF(J743&lt;='Reverse Search'!$L$9,1,0),IF(J743='Reverse Search'!$L$9,1,0)))))</f>
        <v>1</v>
      </c>
      <c r="X743" s="0" t="n">
        <f aca="false">IF('Reverse Search'!$N$7="Disable",1,IF('Reverse Search'!$I$10="Disable",1,IF('Reverse Search'!$K$10="≥",IF(K743&gt;='Reverse Search'!$L$10,1,0),IF('Reverse Search'!$K$10="≤",IF(K743&lt;='Reverse Search'!$L$10,1,0),IF(K743='Reverse Search'!$L$10,1,0)))))</f>
        <v>1</v>
      </c>
      <c r="Y743" s="367" t="n">
        <f aca="false">IF('Reverse Search'!$N$7="Disable",1,IF('Reverse Search'!$I$11="Disable",1,IF('Reverse Search'!$K$11="≥",IF(L743&gt;='Reverse Search'!$L$11,1,0),IF('Reverse Search'!$K$11="≤",IF(L743&lt;='Reverse Search'!$L$11,1,0),IF(L743='Reverse Search'!$L$11,1,0)))))</f>
        <v>1</v>
      </c>
      <c r="Z743" s="0" t="n">
        <f aca="true">IF('Reverse Search'!$C$14="Disable",1,IF('Reverse Search'!$D$16="Disable",1,IF($C$2=3,IF($M743=0,0,COUNTIF(INDIRECT("'0.0.2 Pokémon Learnset (Core)'!$D$"&amp;MATCH($E743,'0.0.2 Pokémon Learnset (Core)'!$A$1:$A951,0)&amp;":$FK$"&amp;MATCH($E743,'0.0.2 Pokémon Learnset (Core)'!$A$1:$A951,0)),'Reverse Search'!$E$21)),IF($C$2=2,COUNTIF(INDIRECT("'0.1.1 Pokémon GO Moves'!$B$"&amp;MATCH($E743,'0.1.1 Pokémon GO Moves'!$A$1:$A951,0)&amp;":$R$"&amp;MATCH($E743,'0.1.1 Pokémon GO Moves'!$A$1:$A951,0)),'Reverse Search'!$E$21),COUNTIF(INDIRECT("'0.1.1 Pokémon GO Moves'!$B$"&amp;MATCH($E743,'0.1.1 Pokémon GO Moves'!$A$1:$A951,0)&amp;":$L$"&amp;MATCH($E743,'0.1.1 Pokémon GO Moves'!$A$1:$A951,0)),'Reverse Search'!$E$21)))))</f>
        <v>1</v>
      </c>
      <c r="AA743" s="0" t="e">
        <f aca="true">IF('Reverse Search'!$C$14="Disable",1,IF('Reverse Search'!$I$16="Disable",1,IF($D$2=3,IF($M743=0,0,COUNTIF(INDIRECT("'0.0.2 Pokémon Learnset (Core)'!$D$"&amp;MATCH($E743,'0.0.2 Pokémon Learnset (Core)'!$A$1:$A951,0)&amp;":$FK$"&amp;MATCH($E743,'0.0.2 Pokémon Learnset (Core)'!$A$1:$A951,0)),'Reverse Search'!$J$21)),IF($D$2=2,COUNTIF(INDIRECT("'0.1.1 Pokémon GO Moves'!$B$"&amp;MATCH($E743,'0.1.1 Pokémon GO Moves'!$A$1:$A951,0)&amp;":$R$"&amp;MATCH($E743,'0.1.1 Pokémon GO Moves'!$A$1:$A951,0)),'Reverse Search'!$J$21),COUNTIF(INDIRECT("'0.1.1 Pokémon GO Moves'!$B$"&amp;MATCH($E743,'0.1.1 Pokémon GO Moves'!$A$1:$A951,0)&amp;":$L$"&amp;MATCH($E743,'0.1.1 Pokémon GO Moves'!$A$1:$A951,0)),'Reverse Search'!$J$21)))))</f>
        <v>#N/A</v>
      </c>
      <c r="AB743" s="490"/>
      <c r="AC743" s="260" t="e">
        <f aca="false">IF((Q743+R743+S743+V743+W743+X743+Y743+IF(Z743&gt;=1,1,0)+IF(AA743&gt;=1,1,0))=9,G743&amp;", ",)</f>
        <v>#N/A</v>
      </c>
    </row>
    <row r="744" customFormat="false" ht="15.75" hidden="false" customHeight="false" outlineLevel="0" collapsed="false">
      <c r="A744" s="260"/>
      <c r="B744" s="358"/>
      <c r="C744" s="260"/>
      <c r="D744" s="358"/>
      <c r="E744" s="260" t="n">
        <v>743</v>
      </c>
      <c r="F744" s="260" t="n">
        <f aca="false" t="array" ref="F744:F744">INDEX('0.0.1 Pokémon Dex Data'!$H$3:$H951,MATCH(E744,'0.0.1 Pokémon Dex Data'!$B$3:$B951,0))</f>
        <v>0</v>
      </c>
      <c r="G744" s="0" t="str">
        <f aca="false" t="array" ref="G744:G744">INDEX('0.0.1 Pokémon Dex Data'!$E$3:$E951,MATCH(E744,'0.0.1 Pokémon Dex Data'!$B$3:$B951,0))</f>
        <v>Thundurus</v>
      </c>
      <c r="H744" s="0" t="str">
        <f aca="false" t="array" ref="H744:H744">INDEX('0.0.1 Pokémon Dex Data'!$Q$3:$Q951,MATCH(E744,'0.0.1 Pokémon Dex Data'!$B$3:$B951,0))</f>
        <v>Electric</v>
      </c>
      <c r="I744" s="0" t="str">
        <f aca="false" t="array" ref="I744:I744">INDEX('0.0.1 Pokémon Dex Data'!$R$3:$R951,MATCH(E744,'0.0.1 Pokémon Dex Data'!$B$3:$B951,0))</f>
        <v>Flying</v>
      </c>
      <c r="J744" s="260" t="n">
        <f aca="false" t="array" ref="J744:J744">ROUND(INDEX('0.0.1 Pokémon Dex Data'!$S$3:$S951,MATCH($E744,'0.0.1 Pokémon Dex Data'!$B$3:$B951,0))*INDEX('0.0.1 Pokémon Dex Data'!T$3:T951,MATCH($E744,'0.0.1 Pokémon Dex Data'!$B$3:$B951,0)),0)</f>
        <v>266</v>
      </c>
      <c r="K744" s="260" t="n">
        <f aca="false" t="array" ref="K744:K744">ROUND(INDEX('0.0.1 Pokémon Dex Data'!$S$3:$S951,MATCH($E744,'0.0.1 Pokémon Dex Data'!$B$3:$B951,0))*INDEX('0.0.1 Pokémon Dex Data'!U$3:U951,MATCH($E744,'0.0.1 Pokémon Dex Data'!$B$3:$B951,0)),0)</f>
        <v>164</v>
      </c>
      <c r="L744" s="260" t="n">
        <f aca="false" t="array" ref="L744:L744">ROUND(INDEX('0.0.1 Pokémon Dex Data'!$S$3:$S951,MATCH($E744,'0.0.1 Pokémon Dex Data'!$B$3:$B951,0))*INDEX('0.0.1 Pokémon Dex Data'!V$3:V951,MATCH($E744,'0.0.1 Pokémon Dex Data'!$B$3:$B951,0)),0)</f>
        <v>188</v>
      </c>
      <c r="M744" s="260" t="n">
        <f aca="false" t="array" ref="M744:M744">INDEX('0.0.1 Pokémon Dex Data'!$J$3:$J951,MATCH(E744,'0.0.1 Pokémon Dex Data'!$B$3:$B951,0))</f>
        <v>1</v>
      </c>
      <c r="O744" s="490"/>
      <c r="Q744" s="367" t="n">
        <f aca="false">IF('Reverse Search'!$F$4="All (including temporary formes)",1,IF('Reverse Search'!$F$4="Base Pokémon and permanent formes only",IF(F744&lt;=1,1,0),IF(F744=0,1,0)))</f>
        <v>1</v>
      </c>
      <c r="R744" s="0" t="n">
        <f aca="false">IF('Reverse Search'!$C$7="Disable",1,IF('Reverse Search'!$D$9="Disable",1,IF(OR('Reverse Search'!$F$9=H744,'Reverse Search'!$F$9=I744),1,0)))</f>
        <v>1</v>
      </c>
      <c r="S744" s="0" t="n">
        <f aca="false">IF('Reverse Search'!$C$7="Disable",1,IF('Reverse Search'!$D$10="Disable",1,IF(OR('Reverse Search'!$F$10=H744,'Reverse Search'!$F$10=I744),1,0)))</f>
        <v>1</v>
      </c>
      <c r="T744" s="0" t="n">
        <f aca="false">INDEX($B$4:$B$22,MATCH(H744,$A$4:$A$22,0))</f>
        <v>1</v>
      </c>
      <c r="U744" s="0" t="n">
        <f aca="false">IF(ISBLANK(I744),1,INDEX($B$4:$B$22,MATCH(I744,$A$4:$A$22,0)))</f>
        <v>1</v>
      </c>
      <c r="V744" s="367" t="n">
        <f aca="false">IF('Reverse Search'!$C$7="Disable",1,IF('Reverse Search'!$D$11="Disable",1,IF('Reverse Search'!$E$11="Neutral to:",IF(ROUND(T744*U744,2)&lt;=1,1,0),IF(ROUND(T744*U744,2)&lt;1,1,0))))</f>
        <v>1</v>
      </c>
      <c r="W744" s="0" t="n">
        <f aca="false">IF('Reverse Search'!$N$7="Disable",1,IF('Reverse Search'!$I$9="Disable",1,IF('Reverse Search'!$K$9="≥",IF(J744&gt;='Reverse Search'!$L$9,1,0),IF('Reverse Search'!$K$9="≤",IF(J744&lt;='Reverse Search'!$L$9,1,0),IF(J744='Reverse Search'!$L$9,1,0)))))</f>
        <v>1</v>
      </c>
      <c r="X744" s="0" t="n">
        <f aca="false">IF('Reverse Search'!$N$7="Disable",1,IF('Reverse Search'!$I$10="Disable",1,IF('Reverse Search'!$K$10="≥",IF(K744&gt;='Reverse Search'!$L$10,1,0),IF('Reverse Search'!$K$10="≤",IF(K744&lt;='Reverse Search'!$L$10,1,0),IF(K744='Reverse Search'!$L$10,1,0)))))</f>
        <v>1</v>
      </c>
      <c r="Y744" s="367" t="n">
        <f aca="false">IF('Reverse Search'!$N$7="Disable",1,IF('Reverse Search'!$I$11="Disable",1,IF('Reverse Search'!$K$11="≥",IF(L744&gt;='Reverse Search'!$L$11,1,0),IF('Reverse Search'!$K$11="≤",IF(L744&lt;='Reverse Search'!$L$11,1,0),IF(L744='Reverse Search'!$L$11,1,0)))))</f>
        <v>1</v>
      </c>
      <c r="Z744" s="0" t="n">
        <f aca="true">IF('Reverse Search'!$C$14="Disable",1,IF('Reverse Search'!$D$16="Disable",1,IF($C$2=3,IF($M744=0,0,COUNTIF(INDIRECT("'0.0.2 Pokémon Learnset (Core)'!$D$"&amp;MATCH($E744,'0.0.2 Pokémon Learnset (Core)'!$A$1:$A951,0)&amp;":$FK$"&amp;MATCH($E744,'0.0.2 Pokémon Learnset (Core)'!$A$1:$A951,0)),'Reverse Search'!$E$21)),IF($C$2=2,COUNTIF(INDIRECT("'0.1.1 Pokémon GO Moves'!$B$"&amp;MATCH($E744,'0.1.1 Pokémon GO Moves'!$A$1:$A951,0)&amp;":$R$"&amp;MATCH($E744,'0.1.1 Pokémon GO Moves'!$A$1:$A951,0)),'Reverse Search'!$E$21),COUNTIF(INDIRECT("'0.1.1 Pokémon GO Moves'!$B$"&amp;MATCH($E744,'0.1.1 Pokémon GO Moves'!$A$1:$A951,0)&amp;":$L$"&amp;MATCH($E744,'0.1.1 Pokémon GO Moves'!$A$1:$A951,0)),'Reverse Search'!$E$21)))))</f>
        <v>1</v>
      </c>
      <c r="AA744" s="0" t="n">
        <f aca="true">IF('Reverse Search'!$C$14="Disable",1,IF('Reverse Search'!$I$16="Disable",1,IF($D$2=3,IF($M744=0,0,COUNTIF(INDIRECT("'0.0.2 Pokémon Learnset (Core)'!$D$"&amp;MATCH($E744,'0.0.2 Pokémon Learnset (Core)'!$A$1:$A951,0)&amp;":$FK$"&amp;MATCH($E744,'0.0.2 Pokémon Learnset (Core)'!$A$1:$A951,0)),'Reverse Search'!$J$21)),IF($D$2=2,COUNTIF(INDIRECT("'0.1.1 Pokémon GO Moves'!$B$"&amp;MATCH($E744,'0.1.1 Pokémon GO Moves'!$A$1:$A951,0)&amp;":$R$"&amp;MATCH($E744,'0.1.1 Pokémon GO Moves'!$A$1:$A951,0)),'Reverse Search'!$J$21),COUNTIF(INDIRECT("'0.1.1 Pokémon GO Moves'!$B$"&amp;MATCH($E744,'0.1.1 Pokémon GO Moves'!$A$1:$A951,0)&amp;":$L$"&amp;MATCH($E744,'0.1.1 Pokémon GO Moves'!$A$1:$A951,0)),'Reverse Search'!$J$21)))))</f>
        <v>0</v>
      </c>
      <c r="AB744" s="490"/>
      <c r="AC744" s="260" t="n">
        <f aca="false">IF((Q744+R744+S744+V744+W744+X744+Y744+IF(Z744&gt;=1,1,0)+IF(AA744&gt;=1,1,0))=9,G744&amp;", ",)</f>
        <v>0</v>
      </c>
    </row>
    <row r="745" customFormat="false" ht="15.75" hidden="false" customHeight="false" outlineLevel="0" collapsed="false">
      <c r="A745" s="260"/>
      <c r="B745" s="358"/>
      <c r="C745" s="260"/>
      <c r="D745" s="358"/>
      <c r="E745" s="260" t="n">
        <v>744</v>
      </c>
      <c r="F745" s="260" t="n">
        <f aca="false" t="array" ref="F745:F745">INDEX('0.0.1 Pokémon Dex Data'!$H$3:$H951,MATCH(E745,'0.0.1 Pokémon Dex Data'!$B$3:$B951,0))</f>
        <v>1</v>
      </c>
      <c r="G745" s="0" t="str">
        <f aca="false" t="array" ref="G745:G745">INDEX('0.0.1 Pokémon Dex Data'!$E$3:$E951,MATCH(E745,'0.0.1 Pokémon Dex Data'!$B$3:$B951,0))</f>
        <v>Thundurus-Therian</v>
      </c>
      <c r="H745" s="0" t="str">
        <f aca="false" t="array" ref="H745:H745">INDEX('0.0.1 Pokémon Dex Data'!$Q$3:$Q951,MATCH(E745,'0.0.1 Pokémon Dex Data'!$B$3:$B951,0))</f>
        <v>Electric</v>
      </c>
      <c r="I745" s="0" t="str">
        <f aca="false" t="array" ref="I745:I745">INDEX('0.0.1 Pokémon Dex Data'!$R$3:$R951,MATCH(E745,'0.0.1 Pokémon Dex Data'!$B$3:$B951,0))</f>
        <v>Flying</v>
      </c>
      <c r="J745" s="260" t="n">
        <f aca="false" t="array" ref="J745:J745">ROUND(INDEX('0.0.1 Pokémon Dex Data'!$S$3:$S951,MATCH($E745,'0.0.1 Pokémon Dex Data'!$B$3:$B951,0))*INDEX('0.0.1 Pokémon Dex Data'!T$3:T951,MATCH($E745,'0.0.1 Pokémon Dex Data'!$B$3:$B951,0)),0)</f>
        <v>295</v>
      </c>
      <c r="K745" s="260" t="n">
        <f aca="false" t="array" ref="K745:K745">ROUND(INDEX('0.0.1 Pokémon Dex Data'!$S$3:$S951,MATCH($E745,'0.0.1 Pokémon Dex Data'!$B$3:$B951,0))*INDEX('0.0.1 Pokémon Dex Data'!U$3:U951,MATCH($E745,'0.0.1 Pokémon Dex Data'!$B$3:$B951,0)),0)</f>
        <v>161</v>
      </c>
      <c r="L745" s="260" t="n">
        <f aca="false" t="array" ref="L745:L745">ROUND(INDEX('0.0.1 Pokémon Dex Data'!$S$3:$S951,MATCH($E745,'0.0.1 Pokémon Dex Data'!$B$3:$B951,0))*INDEX('0.0.1 Pokémon Dex Data'!V$3:V951,MATCH($E745,'0.0.1 Pokémon Dex Data'!$B$3:$B951,0)),0)</f>
        <v>188</v>
      </c>
      <c r="M745" s="260" t="n">
        <f aca="false" t="array" ref="M745:M745">INDEX('0.0.1 Pokémon Dex Data'!$J$3:$J951,MATCH(E745,'0.0.1 Pokémon Dex Data'!$B$3:$B951,0))</f>
        <v>1</v>
      </c>
      <c r="O745" s="490"/>
      <c r="Q745" s="367" t="n">
        <f aca="false">IF('Reverse Search'!$F$4="All (including temporary formes)",1,IF('Reverse Search'!$F$4="Base Pokémon and permanent formes only",IF(F745&lt;=1,1,0),IF(F745=0,1,0)))</f>
        <v>0</v>
      </c>
      <c r="R745" s="0" t="n">
        <f aca="false">IF('Reverse Search'!$C$7="Disable",1,IF('Reverse Search'!$D$9="Disable",1,IF(OR('Reverse Search'!$F$9=H745,'Reverse Search'!$F$9=I745),1,0)))</f>
        <v>1</v>
      </c>
      <c r="S745" s="0" t="n">
        <f aca="false">IF('Reverse Search'!$C$7="Disable",1,IF('Reverse Search'!$D$10="Disable",1,IF(OR('Reverse Search'!$F$10=H745,'Reverse Search'!$F$10=I745),1,0)))</f>
        <v>1</v>
      </c>
      <c r="T745" s="0" t="n">
        <f aca="false">INDEX($B$4:$B$22,MATCH(H745,$A$4:$A$22,0))</f>
        <v>1</v>
      </c>
      <c r="U745" s="0" t="n">
        <f aca="false">IF(ISBLANK(I745),1,INDEX($B$4:$B$22,MATCH(I745,$A$4:$A$22,0)))</f>
        <v>1</v>
      </c>
      <c r="V745" s="367" t="n">
        <f aca="false">IF('Reverse Search'!$C$7="Disable",1,IF('Reverse Search'!$D$11="Disable",1,IF('Reverse Search'!$E$11="Neutral to:",IF(ROUND(T745*U745,2)&lt;=1,1,0),IF(ROUND(T745*U745,2)&lt;1,1,0))))</f>
        <v>1</v>
      </c>
      <c r="W745" s="0" t="n">
        <f aca="false">IF('Reverse Search'!$N$7="Disable",1,IF('Reverse Search'!$I$9="Disable",1,IF('Reverse Search'!$K$9="≥",IF(J745&gt;='Reverse Search'!$L$9,1,0),IF('Reverse Search'!$K$9="≤",IF(J745&lt;='Reverse Search'!$L$9,1,0),IF(J745='Reverse Search'!$L$9,1,0)))))</f>
        <v>1</v>
      </c>
      <c r="X745" s="0" t="n">
        <f aca="false">IF('Reverse Search'!$N$7="Disable",1,IF('Reverse Search'!$I$10="Disable",1,IF('Reverse Search'!$K$10="≥",IF(K745&gt;='Reverse Search'!$L$10,1,0),IF('Reverse Search'!$K$10="≤",IF(K745&lt;='Reverse Search'!$L$10,1,0),IF(K745='Reverse Search'!$L$10,1,0)))))</f>
        <v>1</v>
      </c>
      <c r="Y745" s="367" t="n">
        <f aca="false">IF('Reverse Search'!$N$7="Disable",1,IF('Reverse Search'!$I$11="Disable",1,IF('Reverse Search'!$K$11="≥",IF(L745&gt;='Reverse Search'!$L$11,1,0),IF('Reverse Search'!$K$11="≤",IF(L745&lt;='Reverse Search'!$L$11,1,0),IF(L745='Reverse Search'!$L$11,1,0)))))</f>
        <v>1</v>
      </c>
      <c r="Z745" s="0" t="n">
        <f aca="true">IF('Reverse Search'!$C$14="Disable",1,IF('Reverse Search'!$D$16="Disable",1,IF($C$2=3,IF($M745=0,0,COUNTIF(INDIRECT("'0.0.2 Pokémon Learnset (Core)'!$D$"&amp;MATCH($E745,'0.0.2 Pokémon Learnset (Core)'!$A$1:$A951,0)&amp;":$FK$"&amp;MATCH($E745,'0.0.2 Pokémon Learnset (Core)'!$A$1:$A951,0)),'Reverse Search'!$E$21)),IF($C$2=2,COUNTIF(INDIRECT("'0.1.1 Pokémon GO Moves'!$B$"&amp;MATCH($E745,'0.1.1 Pokémon GO Moves'!$A$1:$A951,0)&amp;":$R$"&amp;MATCH($E745,'0.1.1 Pokémon GO Moves'!$A$1:$A951,0)),'Reverse Search'!$E$21),COUNTIF(INDIRECT("'0.1.1 Pokémon GO Moves'!$B$"&amp;MATCH($E745,'0.1.1 Pokémon GO Moves'!$A$1:$A951,0)&amp;":$L$"&amp;MATCH($E745,'0.1.1 Pokémon GO Moves'!$A$1:$A951,0)),'Reverse Search'!$E$21)))))</f>
        <v>1</v>
      </c>
      <c r="AA745" s="0" t="e">
        <f aca="true">IF('Reverse Search'!$C$14="Disable",1,IF('Reverse Search'!$I$16="Disable",1,IF($D$2=3,IF($M745=0,0,COUNTIF(INDIRECT("'0.0.2 Pokémon Learnset (Core)'!$D$"&amp;MATCH($E745,'0.0.2 Pokémon Learnset (Core)'!$A$1:$A951,0)&amp;":$FK$"&amp;MATCH($E745,'0.0.2 Pokémon Learnset (Core)'!$A$1:$A951,0)),'Reverse Search'!$J$21)),IF($D$2=2,COUNTIF(INDIRECT("'0.1.1 Pokémon GO Moves'!$B$"&amp;MATCH($E745,'0.1.1 Pokémon GO Moves'!$A$1:$A951,0)&amp;":$R$"&amp;MATCH($E745,'0.1.1 Pokémon GO Moves'!$A$1:$A951,0)),'Reverse Search'!$J$21),COUNTIF(INDIRECT("'0.1.1 Pokémon GO Moves'!$B$"&amp;MATCH($E745,'0.1.1 Pokémon GO Moves'!$A$1:$A951,0)&amp;":$L$"&amp;MATCH($E745,'0.1.1 Pokémon GO Moves'!$A$1:$A951,0)),'Reverse Search'!$J$21)))))</f>
        <v>#N/A</v>
      </c>
      <c r="AB745" s="490"/>
      <c r="AC745" s="260" t="e">
        <f aca="false">IF((Q745+R745+S745+V745+W745+X745+Y745+IF(Z745&gt;=1,1,0)+IF(AA745&gt;=1,1,0))=9,G745&amp;", ",)</f>
        <v>#N/A</v>
      </c>
    </row>
    <row r="746" customFormat="false" ht="15.75" hidden="false" customHeight="false" outlineLevel="0" collapsed="false">
      <c r="A746" s="260"/>
      <c r="B746" s="358"/>
      <c r="C746" s="260"/>
      <c r="D746" s="358"/>
      <c r="E746" s="260" t="n">
        <v>745</v>
      </c>
      <c r="F746" s="260" t="n">
        <f aca="false" t="array" ref="F746:F746">INDEX('0.0.1 Pokémon Dex Data'!$H$3:$H951,MATCH(E746,'0.0.1 Pokémon Dex Data'!$B$3:$B951,0))</f>
        <v>0</v>
      </c>
      <c r="G746" s="0" t="str">
        <f aca="false" t="array" ref="G746:G746">INDEX('0.0.1 Pokémon Dex Data'!$E$3:$E951,MATCH(E746,'0.0.1 Pokémon Dex Data'!$B$3:$B951,0))</f>
        <v>Reshiram</v>
      </c>
      <c r="H746" s="0" t="str">
        <f aca="false" t="array" ref="H746:H746">INDEX('0.0.1 Pokémon Dex Data'!$Q$3:$Q951,MATCH(E746,'0.0.1 Pokémon Dex Data'!$B$3:$B951,0))</f>
        <v>Dragon</v>
      </c>
      <c r="I746" s="0" t="str">
        <f aca="false" t="array" ref="I746:I746">INDEX('0.0.1 Pokémon Dex Data'!$R$3:$R951,MATCH(E746,'0.0.1 Pokémon Dex Data'!$B$3:$B951,0))</f>
        <v>Fire</v>
      </c>
      <c r="J746" s="260" t="n">
        <f aca="false" t="array" ref="J746:J746">ROUND(INDEX('0.0.1 Pokémon Dex Data'!$S$3:$S951,MATCH($E746,'0.0.1 Pokémon Dex Data'!$B$3:$B951,0))*INDEX('0.0.1 Pokémon Dex Data'!T$3:T951,MATCH($E746,'0.0.1 Pokémon Dex Data'!$B$3:$B951,0)),0)</f>
        <v>275</v>
      </c>
      <c r="K746" s="260" t="n">
        <f aca="false" t="array" ref="K746:K746">ROUND(INDEX('0.0.1 Pokémon Dex Data'!$S$3:$S951,MATCH($E746,'0.0.1 Pokémon Dex Data'!$B$3:$B951,0))*INDEX('0.0.1 Pokémon Dex Data'!U$3:U951,MATCH($E746,'0.0.1 Pokémon Dex Data'!$B$3:$B951,0)),0)</f>
        <v>211</v>
      </c>
      <c r="L746" s="260" t="n">
        <f aca="false" t="array" ref="L746:L746">ROUND(INDEX('0.0.1 Pokémon Dex Data'!$S$3:$S951,MATCH($E746,'0.0.1 Pokémon Dex Data'!$B$3:$B951,0))*INDEX('0.0.1 Pokémon Dex Data'!V$3:V951,MATCH($E746,'0.0.1 Pokémon Dex Data'!$B$3:$B951,0)),0)</f>
        <v>205</v>
      </c>
      <c r="M746" s="260" t="n">
        <f aca="false" t="array" ref="M746:M746">INDEX('0.0.1 Pokémon Dex Data'!$J$3:$J951,MATCH(E746,'0.0.1 Pokémon Dex Data'!$B$3:$B951,0))</f>
        <v>1</v>
      </c>
      <c r="O746" s="490"/>
      <c r="Q746" s="367" t="n">
        <f aca="false">IF('Reverse Search'!$F$4="All (including temporary formes)",1,IF('Reverse Search'!$F$4="Base Pokémon and permanent formes only",IF(F746&lt;=1,1,0),IF(F746=0,1,0)))</f>
        <v>1</v>
      </c>
      <c r="R746" s="0" t="n">
        <f aca="false">IF('Reverse Search'!$C$7="Disable",1,IF('Reverse Search'!$D$9="Disable",1,IF(OR('Reverse Search'!$F$9=H746,'Reverse Search'!$F$9=I746),1,0)))</f>
        <v>1</v>
      </c>
      <c r="S746" s="0" t="n">
        <f aca="false">IF('Reverse Search'!$C$7="Disable",1,IF('Reverse Search'!$D$10="Disable",1,IF(OR('Reverse Search'!$F$10=H746,'Reverse Search'!$F$10=I746),1,0)))</f>
        <v>1</v>
      </c>
      <c r="T746" s="0" t="n">
        <f aca="false">INDEX($B$4:$B$22,MATCH(H746,$A$4:$A$22,0))</f>
        <v>1</v>
      </c>
      <c r="U746" s="0" t="n">
        <f aca="false">IF(ISBLANK(I746),1,INDEX($B$4:$B$22,MATCH(I746,$A$4:$A$22,0)))</f>
        <v>1</v>
      </c>
      <c r="V746" s="367" t="n">
        <f aca="false">IF('Reverse Search'!$C$7="Disable",1,IF('Reverse Search'!$D$11="Disable",1,IF('Reverse Search'!$E$11="Neutral to:",IF(ROUND(T746*U746,2)&lt;=1,1,0),IF(ROUND(T746*U746,2)&lt;1,1,0))))</f>
        <v>1</v>
      </c>
      <c r="W746" s="0" t="n">
        <f aca="false">IF('Reverse Search'!$N$7="Disable",1,IF('Reverse Search'!$I$9="Disable",1,IF('Reverse Search'!$K$9="≥",IF(J746&gt;='Reverse Search'!$L$9,1,0),IF('Reverse Search'!$K$9="≤",IF(J746&lt;='Reverse Search'!$L$9,1,0),IF(J746='Reverse Search'!$L$9,1,0)))))</f>
        <v>1</v>
      </c>
      <c r="X746" s="0" t="n">
        <f aca="false">IF('Reverse Search'!$N$7="Disable",1,IF('Reverse Search'!$I$10="Disable",1,IF('Reverse Search'!$K$10="≥",IF(K746&gt;='Reverse Search'!$L$10,1,0),IF('Reverse Search'!$K$10="≤",IF(K746&lt;='Reverse Search'!$L$10,1,0),IF(K746='Reverse Search'!$L$10,1,0)))))</f>
        <v>1</v>
      </c>
      <c r="Y746" s="367" t="n">
        <f aca="false">IF('Reverse Search'!$N$7="Disable",1,IF('Reverse Search'!$I$11="Disable",1,IF('Reverse Search'!$K$11="≥",IF(L746&gt;='Reverse Search'!$L$11,1,0),IF('Reverse Search'!$K$11="≤",IF(L746&lt;='Reverse Search'!$L$11,1,0),IF(L746='Reverse Search'!$L$11,1,0)))))</f>
        <v>1</v>
      </c>
      <c r="Z746" s="0" t="n">
        <f aca="true">IF('Reverse Search'!$C$14="Disable",1,IF('Reverse Search'!$D$16="Disable",1,IF($C$2=3,IF($M746=0,0,COUNTIF(INDIRECT("'0.0.2 Pokémon Learnset (Core)'!$D$"&amp;MATCH($E746,'0.0.2 Pokémon Learnset (Core)'!$A$1:$A951,0)&amp;":$FK$"&amp;MATCH($E746,'0.0.2 Pokémon Learnset (Core)'!$A$1:$A951,0)),'Reverse Search'!$E$21)),IF($C$2=2,COUNTIF(INDIRECT("'0.1.1 Pokémon GO Moves'!$B$"&amp;MATCH($E746,'0.1.1 Pokémon GO Moves'!$A$1:$A951,0)&amp;":$R$"&amp;MATCH($E746,'0.1.1 Pokémon GO Moves'!$A$1:$A951,0)),'Reverse Search'!$E$21),COUNTIF(INDIRECT("'0.1.1 Pokémon GO Moves'!$B$"&amp;MATCH($E746,'0.1.1 Pokémon GO Moves'!$A$1:$A951,0)&amp;":$L$"&amp;MATCH($E746,'0.1.1 Pokémon GO Moves'!$A$1:$A951,0)),'Reverse Search'!$E$21)))))</f>
        <v>1</v>
      </c>
      <c r="AA746" s="0" t="n">
        <f aca="true">IF('Reverse Search'!$C$14="Disable",1,IF('Reverse Search'!$I$16="Disable",1,IF($D$2=3,IF($M746=0,0,COUNTIF(INDIRECT("'0.0.2 Pokémon Learnset (Core)'!$D$"&amp;MATCH($E746,'0.0.2 Pokémon Learnset (Core)'!$A$1:$A951,0)&amp;":$FK$"&amp;MATCH($E746,'0.0.2 Pokémon Learnset (Core)'!$A$1:$A951,0)),'Reverse Search'!$J$21)),IF($D$2=2,COUNTIF(INDIRECT("'0.1.1 Pokémon GO Moves'!$B$"&amp;MATCH($E746,'0.1.1 Pokémon GO Moves'!$A$1:$A951,0)&amp;":$R$"&amp;MATCH($E746,'0.1.1 Pokémon GO Moves'!$A$1:$A951,0)),'Reverse Search'!$J$21),COUNTIF(INDIRECT("'0.1.1 Pokémon GO Moves'!$B$"&amp;MATCH($E746,'0.1.1 Pokémon GO Moves'!$A$1:$A951,0)&amp;":$L$"&amp;MATCH($E746,'0.1.1 Pokémon GO Moves'!$A$1:$A951,0)),'Reverse Search'!$J$21)))))</f>
        <v>0</v>
      </c>
      <c r="AB746" s="490"/>
      <c r="AC746" s="260" t="n">
        <f aca="false">IF((Q746+R746+S746+V746+W746+X746+Y746+IF(Z746&gt;=1,1,0)+IF(AA746&gt;=1,1,0))=9,G746&amp;", ",)</f>
        <v>0</v>
      </c>
    </row>
    <row r="747" customFormat="false" ht="15.75" hidden="false" customHeight="false" outlineLevel="0" collapsed="false">
      <c r="A747" s="260"/>
      <c r="B747" s="358"/>
      <c r="C747" s="260"/>
      <c r="D747" s="358"/>
      <c r="E747" s="260" t="n">
        <v>746</v>
      </c>
      <c r="F747" s="260" t="n">
        <f aca="false" t="array" ref="F747:F747">INDEX('0.0.1 Pokémon Dex Data'!$H$3:$H951,MATCH(E747,'0.0.1 Pokémon Dex Data'!$B$3:$B951,0))</f>
        <v>0</v>
      </c>
      <c r="G747" s="0" t="str">
        <f aca="false" t="array" ref="G747:G747">INDEX('0.0.1 Pokémon Dex Data'!$E$3:$E951,MATCH(E747,'0.0.1 Pokémon Dex Data'!$B$3:$B951,0))</f>
        <v>Zekrom</v>
      </c>
      <c r="H747" s="0" t="str">
        <f aca="false" t="array" ref="H747:H747">INDEX('0.0.1 Pokémon Dex Data'!$Q$3:$Q951,MATCH(E747,'0.0.1 Pokémon Dex Data'!$B$3:$B951,0))</f>
        <v>Dragon</v>
      </c>
      <c r="I747" s="0" t="str">
        <f aca="false" t="array" ref="I747:I747">INDEX('0.0.1 Pokémon Dex Data'!$R$3:$R951,MATCH(E747,'0.0.1 Pokémon Dex Data'!$B$3:$B951,0))</f>
        <v>Electric</v>
      </c>
      <c r="J747" s="260" t="n">
        <f aca="false" t="array" ref="J747:J747">ROUND(INDEX('0.0.1 Pokémon Dex Data'!$S$3:$S951,MATCH($E747,'0.0.1 Pokémon Dex Data'!$B$3:$B951,0))*INDEX('0.0.1 Pokémon Dex Data'!T$3:T951,MATCH($E747,'0.0.1 Pokémon Dex Data'!$B$3:$B951,0)),0)</f>
        <v>275</v>
      </c>
      <c r="K747" s="260" t="n">
        <f aca="false" t="array" ref="K747:K747">ROUND(INDEX('0.0.1 Pokémon Dex Data'!$S$3:$S951,MATCH($E747,'0.0.1 Pokémon Dex Data'!$B$3:$B951,0))*INDEX('0.0.1 Pokémon Dex Data'!U$3:U951,MATCH($E747,'0.0.1 Pokémon Dex Data'!$B$3:$B951,0)),0)</f>
        <v>211</v>
      </c>
      <c r="L747" s="260" t="n">
        <f aca="false" t="array" ref="L747:L747">ROUND(INDEX('0.0.1 Pokémon Dex Data'!$S$3:$S951,MATCH($E747,'0.0.1 Pokémon Dex Data'!$B$3:$B951,0))*INDEX('0.0.1 Pokémon Dex Data'!V$3:V951,MATCH($E747,'0.0.1 Pokémon Dex Data'!$B$3:$B951,0)),0)</f>
        <v>205</v>
      </c>
      <c r="M747" s="260" t="n">
        <f aca="false" t="array" ref="M747:M747">INDEX('0.0.1 Pokémon Dex Data'!$J$3:$J951,MATCH(E747,'0.0.1 Pokémon Dex Data'!$B$3:$B951,0))</f>
        <v>1</v>
      </c>
      <c r="O747" s="490"/>
      <c r="Q747" s="367" t="n">
        <f aca="false">IF('Reverse Search'!$F$4="All (including temporary formes)",1,IF('Reverse Search'!$F$4="Base Pokémon and permanent formes only",IF(F747&lt;=1,1,0),IF(F747=0,1,0)))</f>
        <v>1</v>
      </c>
      <c r="R747" s="0" t="n">
        <f aca="false">IF('Reverse Search'!$C$7="Disable",1,IF('Reverse Search'!$D$9="Disable",1,IF(OR('Reverse Search'!$F$9=H747,'Reverse Search'!$F$9=I747),1,0)))</f>
        <v>1</v>
      </c>
      <c r="S747" s="0" t="n">
        <f aca="false">IF('Reverse Search'!$C$7="Disable",1,IF('Reverse Search'!$D$10="Disable",1,IF(OR('Reverse Search'!$F$10=H747,'Reverse Search'!$F$10=I747),1,0)))</f>
        <v>1</v>
      </c>
      <c r="T747" s="0" t="n">
        <f aca="false">INDEX($B$4:$B$22,MATCH(H747,$A$4:$A$22,0))</f>
        <v>1</v>
      </c>
      <c r="U747" s="0" t="n">
        <f aca="false">IF(ISBLANK(I747),1,INDEX($B$4:$B$22,MATCH(I747,$A$4:$A$22,0)))</f>
        <v>1</v>
      </c>
      <c r="V747" s="367" t="n">
        <f aca="false">IF('Reverse Search'!$C$7="Disable",1,IF('Reverse Search'!$D$11="Disable",1,IF('Reverse Search'!$E$11="Neutral to:",IF(ROUND(T747*U747,2)&lt;=1,1,0),IF(ROUND(T747*U747,2)&lt;1,1,0))))</f>
        <v>1</v>
      </c>
      <c r="W747" s="0" t="n">
        <f aca="false">IF('Reverse Search'!$N$7="Disable",1,IF('Reverse Search'!$I$9="Disable",1,IF('Reverse Search'!$K$9="≥",IF(J747&gt;='Reverse Search'!$L$9,1,0),IF('Reverse Search'!$K$9="≤",IF(J747&lt;='Reverse Search'!$L$9,1,0),IF(J747='Reverse Search'!$L$9,1,0)))))</f>
        <v>1</v>
      </c>
      <c r="X747" s="0" t="n">
        <f aca="false">IF('Reverse Search'!$N$7="Disable",1,IF('Reverse Search'!$I$10="Disable",1,IF('Reverse Search'!$K$10="≥",IF(K747&gt;='Reverse Search'!$L$10,1,0),IF('Reverse Search'!$K$10="≤",IF(K747&lt;='Reverse Search'!$L$10,1,0),IF(K747='Reverse Search'!$L$10,1,0)))))</f>
        <v>1</v>
      </c>
      <c r="Y747" s="367" t="n">
        <f aca="false">IF('Reverse Search'!$N$7="Disable",1,IF('Reverse Search'!$I$11="Disable",1,IF('Reverse Search'!$K$11="≥",IF(L747&gt;='Reverse Search'!$L$11,1,0),IF('Reverse Search'!$K$11="≤",IF(L747&lt;='Reverse Search'!$L$11,1,0),IF(L747='Reverse Search'!$L$11,1,0)))))</f>
        <v>1</v>
      </c>
      <c r="Z747" s="0" t="n">
        <f aca="true">IF('Reverse Search'!$C$14="Disable",1,IF('Reverse Search'!$D$16="Disable",1,IF($C$2=3,IF($M747=0,0,COUNTIF(INDIRECT("'0.0.2 Pokémon Learnset (Core)'!$D$"&amp;MATCH($E747,'0.0.2 Pokémon Learnset (Core)'!$A$1:$A951,0)&amp;":$FK$"&amp;MATCH($E747,'0.0.2 Pokémon Learnset (Core)'!$A$1:$A951,0)),'Reverse Search'!$E$21)),IF($C$2=2,COUNTIF(INDIRECT("'0.1.1 Pokémon GO Moves'!$B$"&amp;MATCH($E747,'0.1.1 Pokémon GO Moves'!$A$1:$A951,0)&amp;":$R$"&amp;MATCH($E747,'0.1.1 Pokémon GO Moves'!$A$1:$A951,0)),'Reverse Search'!$E$21),COUNTIF(INDIRECT("'0.1.1 Pokémon GO Moves'!$B$"&amp;MATCH($E747,'0.1.1 Pokémon GO Moves'!$A$1:$A951,0)&amp;":$L$"&amp;MATCH($E747,'0.1.1 Pokémon GO Moves'!$A$1:$A951,0)),'Reverse Search'!$E$21)))))</f>
        <v>1</v>
      </c>
      <c r="AA747" s="0" t="n">
        <f aca="true">IF('Reverse Search'!$C$14="Disable",1,IF('Reverse Search'!$I$16="Disable",1,IF($D$2=3,IF($M747=0,0,COUNTIF(INDIRECT("'0.0.2 Pokémon Learnset (Core)'!$D$"&amp;MATCH($E747,'0.0.2 Pokémon Learnset (Core)'!$A$1:$A951,0)&amp;":$FK$"&amp;MATCH($E747,'0.0.2 Pokémon Learnset (Core)'!$A$1:$A951,0)),'Reverse Search'!$J$21)),IF($D$2=2,COUNTIF(INDIRECT("'0.1.1 Pokémon GO Moves'!$B$"&amp;MATCH($E747,'0.1.1 Pokémon GO Moves'!$A$1:$A951,0)&amp;":$R$"&amp;MATCH($E747,'0.1.1 Pokémon GO Moves'!$A$1:$A951,0)),'Reverse Search'!$J$21),COUNTIF(INDIRECT("'0.1.1 Pokémon GO Moves'!$B$"&amp;MATCH($E747,'0.1.1 Pokémon GO Moves'!$A$1:$A951,0)&amp;":$L$"&amp;MATCH($E747,'0.1.1 Pokémon GO Moves'!$A$1:$A951,0)),'Reverse Search'!$J$21)))))</f>
        <v>0</v>
      </c>
      <c r="AB747" s="490"/>
      <c r="AC747" s="260" t="n">
        <f aca="false">IF((Q747+R747+S747+V747+W747+X747+Y747+IF(Z747&gt;=1,1,0)+IF(AA747&gt;=1,1,0))=9,G747&amp;", ",)</f>
        <v>0</v>
      </c>
    </row>
    <row r="748" customFormat="false" ht="15.75" hidden="false" customHeight="false" outlineLevel="0" collapsed="false">
      <c r="A748" s="260"/>
      <c r="B748" s="358"/>
      <c r="C748" s="260"/>
      <c r="D748" s="358"/>
      <c r="E748" s="260" t="n">
        <v>747</v>
      </c>
      <c r="F748" s="260" t="n">
        <f aca="false" t="array" ref="F748:F748">INDEX('0.0.1 Pokémon Dex Data'!$H$3:$H951,MATCH(E748,'0.0.1 Pokémon Dex Data'!$B$3:$B951,0))</f>
        <v>0</v>
      </c>
      <c r="G748" s="0" t="str">
        <f aca="false" t="array" ref="G748:G748">INDEX('0.0.1 Pokémon Dex Data'!$E$3:$E951,MATCH(E748,'0.0.1 Pokémon Dex Data'!$B$3:$B951,0))</f>
        <v>Landorus</v>
      </c>
      <c r="H748" s="0" t="str">
        <f aca="false" t="array" ref="H748:H748">INDEX('0.0.1 Pokémon Dex Data'!$Q$3:$Q951,MATCH(E748,'0.0.1 Pokémon Dex Data'!$B$3:$B951,0))</f>
        <v>Ground</v>
      </c>
      <c r="I748" s="0" t="str">
        <f aca="false" t="array" ref="I748:I748">INDEX('0.0.1 Pokémon Dex Data'!$R$3:$R951,MATCH(E748,'0.0.1 Pokémon Dex Data'!$B$3:$B951,0))</f>
        <v>Flying</v>
      </c>
      <c r="J748" s="260" t="n">
        <f aca="false" t="array" ref="J748:J748">ROUND(INDEX('0.0.1 Pokémon Dex Data'!$S$3:$S951,MATCH($E748,'0.0.1 Pokémon Dex Data'!$B$3:$B951,0))*INDEX('0.0.1 Pokémon Dex Data'!T$3:T951,MATCH($E748,'0.0.1 Pokémon Dex Data'!$B$3:$B951,0)),0)</f>
        <v>261</v>
      </c>
      <c r="K748" s="260" t="n">
        <f aca="false" t="array" ref="K748:K748">ROUND(INDEX('0.0.1 Pokémon Dex Data'!$S$3:$S951,MATCH($E748,'0.0.1 Pokémon Dex Data'!$B$3:$B951,0))*INDEX('0.0.1 Pokémon Dex Data'!U$3:U951,MATCH($E748,'0.0.1 Pokémon Dex Data'!$B$3:$B951,0)),0)</f>
        <v>182</v>
      </c>
      <c r="L748" s="260" t="n">
        <f aca="false" t="array" ref="L748:L748">ROUND(INDEX('0.0.1 Pokémon Dex Data'!$S$3:$S951,MATCH($E748,'0.0.1 Pokémon Dex Data'!$B$3:$B951,0))*INDEX('0.0.1 Pokémon Dex Data'!V$3:V951,MATCH($E748,'0.0.1 Pokémon Dex Data'!$B$3:$B951,0)),0)</f>
        <v>205</v>
      </c>
      <c r="M748" s="260" t="n">
        <f aca="false" t="array" ref="M748:M748">INDEX('0.0.1 Pokémon Dex Data'!$J$3:$J951,MATCH(E748,'0.0.1 Pokémon Dex Data'!$B$3:$B951,0))</f>
        <v>1</v>
      </c>
      <c r="O748" s="490"/>
      <c r="Q748" s="367" t="n">
        <f aca="false">IF('Reverse Search'!$F$4="All (including temporary formes)",1,IF('Reverse Search'!$F$4="Base Pokémon and permanent formes only",IF(F748&lt;=1,1,0),IF(F748=0,1,0)))</f>
        <v>1</v>
      </c>
      <c r="R748" s="0" t="n">
        <f aca="false">IF('Reverse Search'!$C$7="Disable",1,IF('Reverse Search'!$D$9="Disable",1,IF(OR('Reverse Search'!$F$9=H748,'Reverse Search'!$F$9=I748),1,0)))</f>
        <v>1</v>
      </c>
      <c r="S748" s="0" t="n">
        <f aca="false">IF('Reverse Search'!$C$7="Disable",1,IF('Reverse Search'!$D$10="Disable",1,IF(OR('Reverse Search'!$F$10=H748,'Reverse Search'!$F$10=I748),1,0)))</f>
        <v>1</v>
      </c>
      <c r="T748" s="0" t="n">
        <f aca="false">INDEX($B$4:$B$22,MATCH(H748,$A$4:$A$22,0))</f>
        <v>1</v>
      </c>
      <c r="U748" s="0" t="n">
        <f aca="false">IF(ISBLANK(I748),1,INDEX($B$4:$B$22,MATCH(I748,$A$4:$A$22,0)))</f>
        <v>1</v>
      </c>
      <c r="V748" s="367" t="n">
        <f aca="false">IF('Reverse Search'!$C$7="Disable",1,IF('Reverse Search'!$D$11="Disable",1,IF('Reverse Search'!$E$11="Neutral to:",IF(ROUND(T748*U748,2)&lt;=1,1,0),IF(ROUND(T748*U748,2)&lt;1,1,0))))</f>
        <v>1</v>
      </c>
      <c r="W748" s="0" t="n">
        <f aca="false">IF('Reverse Search'!$N$7="Disable",1,IF('Reverse Search'!$I$9="Disable",1,IF('Reverse Search'!$K$9="≥",IF(J748&gt;='Reverse Search'!$L$9,1,0),IF('Reverse Search'!$K$9="≤",IF(J748&lt;='Reverse Search'!$L$9,1,0),IF(J748='Reverse Search'!$L$9,1,0)))))</f>
        <v>1</v>
      </c>
      <c r="X748" s="0" t="n">
        <f aca="false">IF('Reverse Search'!$N$7="Disable",1,IF('Reverse Search'!$I$10="Disable",1,IF('Reverse Search'!$K$10="≥",IF(K748&gt;='Reverse Search'!$L$10,1,0),IF('Reverse Search'!$K$10="≤",IF(K748&lt;='Reverse Search'!$L$10,1,0),IF(K748='Reverse Search'!$L$10,1,0)))))</f>
        <v>1</v>
      </c>
      <c r="Y748" s="367" t="n">
        <f aca="false">IF('Reverse Search'!$N$7="Disable",1,IF('Reverse Search'!$I$11="Disable",1,IF('Reverse Search'!$K$11="≥",IF(L748&gt;='Reverse Search'!$L$11,1,0),IF('Reverse Search'!$K$11="≤",IF(L748&lt;='Reverse Search'!$L$11,1,0),IF(L748='Reverse Search'!$L$11,1,0)))))</f>
        <v>1</v>
      </c>
      <c r="Z748" s="0" t="n">
        <f aca="true">IF('Reverse Search'!$C$14="Disable",1,IF('Reverse Search'!$D$16="Disable",1,IF($C$2=3,IF($M748=0,0,COUNTIF(INDIRECT("'0.0.2 Pokémon Learnset (Core)'!$D$"&amp;MATCH($E748,'0.0.2 Pokémon Learnset (Core)'!$A$1:$A951,0)&amp;":$FK$"&amp;MATCH($E748,'0.0.2 Pokémon Learnset (Core)'!$A$1:$A951,0)),'Reverse Search'!$E$21)),IF($C$2=2,COUNTIF(INDIRECT("'0.1.1 Pokémon GO Moves'!$B$"&amp;MATCH($E748,'0.1.1 Pokémon GO Moves'!$A$1:$A951,0)&amp;":$R$"&amp;MATCH($E748,'0.1.1 Pokémon GO Moves'!$A$1:$A951,0)),'Reverse Search'!$E$21),COUNTIF(INDIRECT("'0.1.1 Pokémon GO Moves'!$B$"&amp;MATCH($E748,'0.1.1 Pokémon GO Moves'!$A$1:$A951,0)&amp;":$L$"&amp;MATCH($E748,'0.1.1 Pokémon GO Moves'!$A$1:$A951,0)),'Reverse Search'!$E$21)))))</f>
        <v>1</v>
      </c>
      <c r="AA748" s="0" t="n">
        <f aca="true">IF('Reverse Search'!$C$14="Disable",1,IF('Reverse Search'!$I$16="Disable",1,IF($D$2=3,IF($M748=0,0,COUNTIF(INDIRECT("'0.0.2 Pokémon Learnset (Core)'!$D$"&amp;MATCH($E748,'0.0.2 Pokémon Learnset (Core)'!$A$1:$A951,0)&amp;":$FK$"&amp;MATCH($E748,'0.0.2 Pokémon Learnset (Core)'!$A$1:$A951,0)),'Reverse Search'!$J$21)),IF($D$2=2,COUNTIF(INDIRECT("'0.1.1 Pokémon GO Moves'!$B$"&amp;MATCH($E748,'0.1.1 Pokémon GO Moves'!$A$1:$A951,0)&amp;":$R$"&amp;MATCH($E748,'0.1.1 Pokémon GO Moves'!$A$1:$A951,0)),'Reverse Search'!$J$21),COUNTIF(INDIRECT("'0.1.1 Pokémon GO Moves'!$B$"&amp;MATCH($E748,'0.1.1 Pokémon GO Moves'!$A$1:$A951,0)&amp;":$L$"&amp;MATCH($E748,'0.1.1 Pokémon GO Moves'!$A$1:$A951,0)),'Reverse Search'!$J$21)))))</f>
        <v>0</v>
      </c>
      <c r="AB748" s="490"/>
      <c r="AC748" s="260" t="n">
        <f aca="false">IF((Q748+R748+S748+V748+W748+X748+Y748+IF(Z748&gt;=1,1,0)+IF(AA748&gt;=1,1,0))=9,G748&amp;", ",)</f>
        <v>0</v>
      </c>
    </row>
    <row r="749" customFormat="false" ht="15.75" hidden="false" customHeight="false" outlineLevel="0" collapsed="false">
      <c r="A749" s="260"/>
      <c r="B749" s="358"/>
      <c r="C749" s="260"/>
      <c r="D749" s="358"/>
      <c r="E749" s="260" t="n">
        <v>748</v>
      </c>
      <c r="F749" s="260" t="n">
        <f aca="false" t="array" ref="F749:F749">INDEX('0.0.1 Pokémon Dex Data'!$H$3:$H951,MATCH(E749,'0.0.1 Pokémon Dex Data'!$B$3:$B951,0))</f>
        <v>1</v>
      </c>
      <c r="G749" s="0" t="str">
        <f aca="false" t="array" ref="G749:G749">INDEX('0.0.1 Pokémon Dex Data'!$E$3:$E951,MATCH(E749,'0.0.1 Pokémon Dex Data'!$B$3:$B951,0))</f>
        <v>Landorus-Therian</v>
      </c>
      <c r="H749" s="0" t="str">
        <f aca="false" t="array" ref="H749:H749">INDEX('0.0.1 Pokémon Dex Data'!$Q$3:$Q951,MATCH(E749,'0.0.1 Pokémon Dex Data'!$B$3:$B951,0))</f>
        <v>Ground</v>
      </c>
      <c r="I749" s="0" t="str">
        <f aca="false" t="array" ref="I749:I749">INDEX('0.0.1 Pokémon Dex Data'!$R$3:$R951,MATCH(E749,'0.0.1 Pokémon Dex Data'!$B$3:$B951,0))</f>
        <v>Flying</v>
      </c>
      <c r="J749" s="260" t="n">
        <f aca="false" t="array" ref="J749:J749">ROUND(INDEX('0.0.1 Pokémon Dex Data'!$S$3:$S951,MATCH($E749,'0.0.1 Pokémon Dex Data'!$B$3:$B951,0))*INDEX('0.0.1 Pokémon Dex Data'!T$3:T951,MATCH($E749,'0.0.1 Pokémon Dex Data'!$B$3:$B951,0)),0)</f>
        <v>289</v>
      </c>
      <c r="K749" s="260" t="n">
        <f aca="false" t="array" ref="K749:K749">ROUND(INDEX('0.0.1 Pokémon Dex Data'!$S$3:$S951,MATCH($E749,'0.0.1 Pokémon Dex Data'!$B$3:$B951,0))*INDEX('0.0.1 Pokémon Dex Data'!U$3:U951,MATCH($E749,'0.0.1 Pokémon Dex Data'!$B$3:$B951,0)),0)</f>
        <v>179</v>
      </c>
      <c r="L749" s="260" t="n">
        <f aca="false" t="array" ref="L749:L749">ROUND(INDEX('0.0.1 Pokémon Dex Data'!$S$3:$S951,MATCH($E749,'0.0.1 Pokémon Dex Data'!$B$3:$B951,0))*INDEX('0.0.1 Pokémon Dex Data'!V$3:V951,MATCH($E749,'0.0.1 Pokémon Dex Data'!$B$3:$B951,0)),0)</f>
        <v>205</v>
      </c>
      <c r="M749" s="260" t="n">
        <f aca="false" t="array" ref="M749:M749">INDEX('0.0.1 Pokémon Dex Data'!$J$3:$J951,MATCH(E749,'0.0.1 Pokémon Dex Data'!$B$3:$B951,0))</f>
        <v>1</v>
      </c>
      <c r="O749" s="490"/>
      <c r="Q749" s="367" t="n">
        <f aca="false">IF('Reverse Search'!$F$4="All (including temporary formes)",1,IF('Reverse Search'!$F$4="Base Pokémon and permanent formes only",IF(F749&lt;=1,1,0),IF(F749=0,1,0)))</f>
        <v>0</v>
      </c>
      <c r="R749" s="0" t="n">
        <f aca="false">IF('Reverse Search'!$C$7="Disable",1,IF('Reverse Search'!$D$9="Disable",1,IF(OR('Reverse Search'!$F$9=H749,'Reverse Search'!$F$9=I749),1,0)))</f>
        <v>1</v>
      </c>
      <c r="S749" s="0" t="n">
        <f aca="false">IF('Reverse Search'!$C$7="Disable",1,IF('Reverse Search'!$D$10="Disable",1,IF(OR('Reverse Search'!$F$10=H749,'Reverse Search'!$F$10=I749),1,0)))</f>
        <v>1</v>
      </c>
      <c r="T749" s="0" t="n">
        <f aca="false">INDEX($B$4:$B$22,MATCH(H749,$A$4:$A$22,0))</f>
        <v>1</v>
      </c>
      <c r="U749" s="0" t="n">
        <f aca="false">IF(ISBLANK(I749),1,INDEX($B$4:$B$22,MATCH(I749,$A$4:$A$22,0)))</f>
        <v>1</v>
      </c>
      <c r="V749" s="367" t="n">
        <f aca="false">IF('Reverse Search'!$C$7="Disable",1,IF('Reverse Search'!$D$11="Disable",1,IF('Reverse Search'!$E$11="Neutral to:",IF(ROUND(T749*U749,2)&lt;=1,1,0),IF(ROUND(T749*U749,2)&lt;1,1,0))))</f>
        <v>1</v>
      </c>
      <c r="W749" s="0" t="n">
        <f aca="false">IF('Reverse Search'!$N$7="Disable",1,IF('Reverse Search'!$I$9="Disable",1,IF('Reverse Search'!$K$9="≥",IF(J749&gt;='Reverse Search'!$L$9,1,0),IF('Reverse Search'!$K$9="≤",IF(J749&lt;='Reverse Search'!$L$9,1,0),IF(J749='Reverse Search'!$L$9,1,0)))))</f>
        <v>1</v>
      </c>
      <c r="X749" s="0" t="n">
        <f aca="false">IF('Reverse Search'!$N$7="Disable",1,IF('Reverse Search'!$I$10="Disable",1,IF('Reverse Search'!$K$10="≥",IF(K749&gt;='Reverse Search'!$L$10,1,0),IF('Reverse Search'!$K$10="≤",IF(K749&lt;='Reverse Search'!$L$10,1,0),IF(K749='Reverse Search'!$L$10,1,0)))))</f>
        <v>1</v>
      </c>
      <c r="Y749" s="367" t="n">
        <f aca="false">IF('Reverse Search'!$N$7="Disable",1,IF('Reverse Search'!$I$11="Disable",1,IF('Reverse Search'!$K$11="≥",IF(L749&gt;='Reverse Search'!$L$11,1,0),IF('Reverse Search'!$K$11="≤",IF(L749&lt;='Reverse Search'!$L$11,1,0),IF(L749='Reverse Search'!$L$11,1,0)))))</f>
        <v>1</v>
      </c>
      <c r="Z749" s="0" t="n">
        <f aca="true">IF('Reverse Search'!$C$14="Disable",1,IF('Reverse Search'!$D$16="Disable",1,IF($C$2=3,IF($M749=0,0,COUNTIF(INDIRECT("'0.0.2 Pokémon Learnset (Core)'!$D$"&amp;MATCH($E749,'0.0.2 Pokémon Learnset (Core)'!$A$1:$A951,0)&amp;":$FK$"&amp;MATCH($E749,'0.0.2 Pokémon Learnset (Core)'!$A$1:$A951,0)),'Reverse Search'!$E$21)),IF($C$2=2,COUNTIF(INDIRECT("'0.1.1 Pokémon GO Moves'!$B$"&amp;MATCH($E749,'0.1.1 Pokémon GO Moves'!$A$1:$A951,0)&amp;":$R$"&amp;MATCH($E749,'0.1.1 Pokémon GO Moves'!$A$1:$A951,0)),'Reverse Search'!$E$21),COUNTIF(INDIRECT("'0.1.1 Pokémon GO Moves'!$B$"&amp;MATCH($E749,'0.1.1 Pokémon GO Moves'!$A$1:$A951,0)&amp;":$L$"&amp;MATCH($E749,'0.1.1 Pokémon GO Moves'!$A$1:$A951,0)),'Reverse Search'!$E$21)))))</f>
        <v>1</v>
      </c>
      <c r="AA749" s="0" t="e">
        <f aca="true">IF('Reverse Search'!$C$14="Disable",1,IF('Reverse Search'!$I$16="Disable",1,IF($D$2=3,IF($M749=0,0,COUNTIF(INDIRECT("'0.0.2 Pokémon Learnset (Core)'!$D$"&amp;MATCH($E749,'0.0.2 Pokémon Learnset (Core)'!$A$1:$A951,0)&amp;":$FK$"&amp;MATCH($E749,'0.0.2 Pokémon Learnset (Core)'!$A$1:$A951,0)),'Reverse Search'!$J$21)),IF($D$2=2,COUNTIF(INDIRECT("'0.1.1 Pokémon GO Moves'!$B$"&amp;MATCH($E749,'0.1.1 Pokémon GO Moves'!$A$1:$A951,0)&amp;":$R$"&amp;MATCH($E749,'0.1.1 Pokémon GO Moves'!$A$1:$A951,0)),'Reverse Search'!$J$21),COUNTIF(INDIRECT("'0.1.1 Pokémon GO Moves'!$B$"&amp;MATCH($E749,'0.1.1 Pokémon GO Moves'!$A$1:$A951,0)&amp;":$L$"&amp;MATCH($E749,'0.1.1 Pokémon GO Moves'!$A$1:$A951,0)),'Reverse Search'!$J$21)))))</f>
        <v>#N/A</v>
      </c>
      <c r="AB749" s="490"/>
      <c r="AC749" s="260" t="e">
        <f aca="false">IF((Q749+R749+S749+V749+W749+X749+Y749+IF(Z749&gt;=1,1,0)+IF(AA749&gt;=1,1,0))=9,G749&amp;", ",)</f>
        <v>#N/A</v>
      </c>
    </row>
    <row r="750" customFormat="false" ht="15.75" hidden="false" customHeight="false" outlineLevel="0" collapsed="false">
      <c r="A750" s="260"/>
      <c r="B750" s="358"/>
      <c r="C750" s="260"/>
      <c r="D750" s="358"/>
      <c r="E750" s="260" t="n">
        <v>749</v>
      </c>
      <c r="F750" s="260" t="n">
        <f aca="false" t="array" ref="F750:F750">INDEX('0.0.1 Pokémon Dex Data'!$H$3:$H951,MATCH(E750,'0.0.1 Pokémon Dex Data'!$B$3:$B951,0))</f>
        <v>0</v>
      </c>
      <c r="G750" s="0" t="str">
        <f aca="false" t="array" ref="G750:G750">INDEX('0.0.1 Pokémon Dex Data'!$E$3:$E951,MATCH(E750,'0.0.1 Pokémon Dex Data'!$B$3:$B951,0))</f>
        <v>Kyurem</v>
      </c>
      <c r="H750" s="0" t="str">
        <f aca="false" t="array" ref="H750:H750">INDEX('0.0.1 Pokémon Dex Data'!$Q$3:$Q951,MATCH(E750,'0.0.1 Pokémon Dex Data'!$B$3:$B951,0))</f>
        <v>Dragon</v>
      </c>
      <c r="I750" s="0" t="str">
        <f aca="false" t="array" ref="I750:I750">INDEX('0.0.1 Pokémon Dex Data'!$R$3:$R951,MATCH(E750,'0.0.1 Pokémon Dex Data'!$B$3:$B951,0))</f>
        <v>Ice</v>
      </c>
      <c r="J750" s="260" t="n">
        <f aca="false" t="array" ref="J750:J750">ROUND(INDEX('0.0.1 Pokémon Dex Data'!$S$3:$S951,MATCH($E750,'0.0.1 Pokémon Dex Data'!$B$3:$B951,0))*INDEX('0.0.1 Pokémon Dex Data'!T$3:T951,MATCH($E750,'0.0.1 Pokémon Dex Data'!$B$3:$B951,0)),0)</f>
        <v>245</v>
      </c>
      <c r="K750" s="260" t="n">
        <f aca="false" t="array" ref="K750:K750">ROUND(INDEX('0.0.1 Pokémon Dex Data'!$S$3:$S951,MATCH($E750,'0.0.1 Pokémon Dex Data'!$B$3:$B951,0))*INDEX('0.0.1 Pokémon Dex Data'!U$3:U951,MATCH($E750,'0.0.1 Pokémon Dex Data'!$B$3:$B951,0)),0)</f>
        <v>170</v>
      </c>
      <c r="L750" s="260" t="n">
        <f aca="false" t="array" ref="L750:L750">ROUND(INDEX('0.0.1 Pokémon Dex Data'!$S$3:$S951,MATCH($E750,'0.0.1 Pokémon Dex Data'!$B$3:$B951,0))*INDEX('0.0.1 Pokémon Dex Data'!V$3:V951,MATCH($E750,'0.0.1 Pokémon Dex Data'!$B$3:$B951,0)),0)</f>
        <v>244</v>
      </c>
      <c r="M750" s="260" t="n">
        <f aca="false" t="array" ref="M750:M750">INDEX('0.0.1 Pokémon Dex Data'!$J$3:$J951,MATCH(E750,'0.0.1 Pokémon Dex Data'!$B$3:$B951,0))</f>
        <v>1</v>
      </c>
      <c r="O750" s="490"/>
      <c r="Q750" s="367" t="n">
        <f aca="false">IF('Reverse Search'!$F$4="All (including temporary formes)",1,IF('Reverse Search'!$F$4="Base Pokémon and permanent formes only",IF(F750&lt;=1,1,0),IF(F750=0,1,0)))</f>
        <v>1</v>
      </c>
      <c r="R750" s="0" t="n">
        <f aca="false">IF('Reverse Search'!$C$7="Disable",1,IF('Reverse Search'!$D$9="Disable",1,IF(OR('Reverse Search'!$F$9=H750,'Reverse Search'!$F$9=I750),1,0)))</f>
        <v>1</v>
      </c>
      <c r="S750" s="0" t="n">
        <f aca="false">IF('Reverse Search'!$C$7="Disable",1,IF('Reverse Search'!$D$10="Disable",1,IF(OR('Reverse Search'!$F$10=H750,'Reverse Search'!$F$10=I750),1,0)))</f>
        <v>1</v>
      </c>
      <c r="T750" s="0" t="n">
        <f aca="false">INDEX($B$4:$B$22,MATCH(H750,$A$4:$A$22,0))</f>
        <v>1</v>
      </c>
      <c r="U750" s="0" t="n">
        <f aca="false">IF(ISBLANK(I750),1,INDEX($B$4:$B$22,MATCH(I750,$A$4:$A$22,0)))</f>
        <v>1</v>
      </c>
      <c r="V750" s="367" t="n">
        <f aca="false">IF('Reverse Search'!$C$7="Disable",1,IF('Reverse Search'!$D$11="Disable",1,IF('Reverse Search'!$E$11="Neutral to:",IF(ROUND(T750*U750,2)&lt;=1,1,0),IF(ROUND(T750*U750,2)&lt;1,1,0))))</f>
        <v>1</v>
      </c>
      <c r="W750" s="0" t="n">
        <f aca="false">IF('Reverse Search'!$N$7="Disable",1,IF('Reverse Search'!$I$9="Disable",1,IF('Reverse Search'!$K$9="≥",IF(J750&gt;='Reverse Search'!$L$9,1,0),IF('Reverse Search'!$K$9="≤",IF(J750&lt;='Reverse Search'!$L$9,1,0),IF(J750='Reverse Search'!$L$9,1,0)))))</f>
        <v>1</v>
      </c>
      <c r="X750" s="0" t="n">
        <f aca="false">IF('Reverse Search'!$N$7="Disable",1,IF('Reverse Search'!$I$10="Disable",1,IF('Reverse Search'!$K$10="≥",IF(K750&gt;='Reverse Search'!$L$10,1,0),IF('Reverse Search'!$K$10="≤",IF(K750&lt;='Reverse Search'!$L$10,1,0),IF(K750='Reverse Search'!$L$10,1,0)))))</f>
        <v>1</v>
      </c>
      <c r="Y750" s="367" t="n">
        <f aca="false">IF('Reverse Search'!$N$7="Disable",1,IF('Reverse Search'!$I$11="Disable",1,IF('Reverse Search'!$K$11="≥",IF(L750&gt;='Reverse Search'!$L$11,1,0),IF('Reverse Search'!$K$11="≤",IF(L750&lt;='Reverse Search'!$L$11,1,0),IF(L750='Reverse Search'!$L$11,1,0)))))</f>
        <v>1</v>
      </c>
      <c r="Z750" s="0" t="n">
        <f aca="true">IF('Reverse Search'!$C$14="Disable",1,IF('Reverse Search'!$D$16="Disable",1,IF($C$2=3,IF($M750=0,0,COUNTIF(INDIRECT("'0.0.2 Pokémon Learnset (Core)'!$D$"&amp;MATCH($E750,'0.0.2 Pokémon Learnset (Core)'!$A$1:$A951,0)&amp;":$FK$"&amp;MATCH($E750,'0.0.2 Pokémon Learnset (Core)'!$A$1:$A951,0)),'Reverse Search'!$E$21)),IF($C$2=2,COUNTIF(INDIRECT("'0.1.1 Pokémon GO Moves'!$B$"&amp;MATCH($E750,'0.1.1 Pokémon GO Moves'!$A$1:$A951,0)&amp;":$R$"&amp;MATCH($E750,'0.1.1 Pokémon GO Moves'!$A$1:$A951,0)),'Reverse Search'!$E$21),COUNTIF(INDIRECT("'0.1.1 Pokémon GO Moves'!$B$"&amp;MATCH($E750,'0.1.1 Pokémon GO Moves'!$A$1:$A951,0)&amp;":$L$"&amp;MATCH($E750,'0.1.1 Pokémon GO Moves'!$A$1:$A951,0)),'Reverse Search'!$E$21)))))</f>
        <v>1</v>
      </c>
      <c r="AA750" s="0" t="n">
        <f aca="true">IF('Reverse Search'!$C$14="Disable",1,IF('Reverse Search'!$I$16="Disable",1,IF($D$2=3,IF($M750=0,0,COUNTIF(INDIRECT("'0.0.2 Pokémon Learnset (Core)'!$D$"&amp;MATCH($E750,'0.0.2 Pokémon Learnset (Core)'!$A$1:$A951,0)&amp;":$FK$"&amp;MATCH($E750,'0.0.2 Pokémon Learnset (Core)'!$A$1:$A951,0)),'Reverse Search'!$J$21)),IF($D$2=2,COUNTIF(INDIRECT("'0.1.1 Pokémon GO Moves'!$B$"&amp;MATCH($E750,'0.1.1 Pokémon GO Moves'!$A$1:$A951,0)&amp;":$R$"&amp;MATCH($E750,'0.1.1 Pokémon GO Moves'!$A$1:$A951,0)),'Reverse Search'!$J$21),COUNTIF(INDIRECT("'0.1.1 Pokémon GO Moves'!$B$"&amp;MATCH($E750,'0.1.1 Pokémon GO Moves'!$A$1:$A951,0)&amp;":$L$"&amp;MATCH($E750,'0.1.1 Pokémon GO Moves'!$A$1:$A951,0)),'Reverse Search'!$J$21)))))</f>
        <v>0</v>
      </c>
      <c r="AB750" s="490"/>
      <c r="AC750" s="260" t="n">
        <f aca="false">IF((Q750+R750+S750+V750+W750+X750+Y750+IF(Z750&gt;=1,1,0)+IF(AA750&gt;=1,1,0))=9,G750&amp;", ",)</f>
        <v>0</v>
      </c>
    </row>
    <row r="751" customFormat="false" ht="15.75" hidden="false" customHeight="false" outlineLevel="0" collapsed="false">
      <c r="A751" s="260"/>
      <c r="B751" s="358"/>
      <c r="C751" s="260"/>
      <c r="D751" s="358"/>
      <c r="E751" s="260" t="n">
        <v>750</v>
      </c>
      <c r="F751" s="260" t="n">
        <f aca="false" t="array" ref="F751:F751">INDEX('0.0.1 Pokémon Dex Data'!$H$3:$H951,MATCH(E751,'0.0.1 Pokémon Dex Data'!$B$3:$B951,0))</f>
        <v>1</v>
      </c>
      <c r="G751" s="0" t="str">
        <f aca="false" t="array" ref="G751:G751">INDEX('0.0.1 Pokémon Dex Data'!$E$3:$E951,MATCH(E751,'0.0.1 Pokémon Dex Data'!$B$3:$B951,0))</f>
        <v>Kyurem-Black</v>
      </c>
      <c r="H751" s="0" t="str">
        <f aca="false" t="array" ref="H751:H751">INDEX('0.0.1 Pokémon Dex Data'!$Q$3:$Q951,MATCH(E751,'0.0.1 Pokémon Dex Data'!$B$3:$B951,0))</f>
        <v>Dragon</v>
      </c>
      <c r="I751" s="0" t="str">
        <f aca="false" t="array" ref="I751:I751">INDEX('0.0.1 Pokémon Dex Data'!$R$3:$R951,MATCH(E751,'0.0.1 Pokémon Dex Data'!$B$3:$B951,0))</f>
        <v>Ice</v>
      </c>
      <c r="J751" s="260" t="n">
        <f aca="false" t="array" ref="J751:J751">ROUND(INDEX('0.0.1 Pokémon Dex Data'!$S$3:$S951,MATCH($E751,'0.0.1 Pokémon Dex Data'!$B$3:$B951,0))*INDEX('0.0.1 Pokémon Dex Data'!T$3:T951,MATCH($E751,'0.0.1 Pokémon Dex Data'!$B$3:$B951,0)),0)</f>
        <v>310</v>
      </c>
      <c r="K751" s="260" t="n">
        <f aca="false" t="array" ref="K751:K751">ROUND(INDEX('0.0.1 Pokémon Dex Data'!$S$3:$S951,MATCH($E751,'0.0.1 Pokémon Dex Data'!$B$3:$B951,0))*INDEX('0.0.1 Pokémon Dex Data'!U$3:U951,MATCH($E751,'0.0.1 Pokémon Dex Data'!$B$3:$B951,0)),0)</f>
        <v>183</v>
      </c>
      <c r="L751" s="260" t="n">
        <f aca="false" t="array" ref="L751:L751">ROUND(INDEX('0.0.1 Pokémon Dex Data'!$S$3:$S951,MATCH($E751,'0.0.1 Pokémon Dex Data'!$B$3:$B951,0))*INDEX('0.0.1 Pokémon Dex Data'!V$3:V951,MATCH($E751,'0.0.1 Pokémon Dex Data'!$B$3:$B951,0)),0)</f>
        <v>244</v>
      </c>
      <c r="M751" s="260" t="n">
        <f aca="false" t="array" ref="M751:M751">INDEX('0.0.1 Pokémon Dex Data'!$J$3:$J951,MATCH(E751,'0.0.1 Pokémon Dex Data'!$B$3:$B951,0))</f>
        <v>1</v>
      </c>
      <c r="O751" s="490"/>
      <c r="Q751" s="367" t="n">
        <f aca="false">IF('Reverse Search'!$F$4="All (including temporary formes)",1,IF('Reverse Search'!$F$4="Base Pokémon and permanent formes only",IF(F751&lt;=1,1,0),IF(F751=0,1,0)))</f>
        <v>0</v>
      </c>
      <c r="R751" s="0" t="n">
        <f aca="false">IF('Reverse Search'!$C$7="Disable",1,IF('Reverse Search'!$D$9="Disable",1,IF(OR('Reverse Search'!$F$9=H751,'Reverse Search'!$F$9=I751),1,0)))</f>
        <v>1</v>
      </c>
      <c r="S751" s="0" t="n">
        <f aca="false">IF('Reverse Search'!$C$7="Disable",1,IF('Reverse Search'!$D$10="Disable",1,IF(OR('Reverse Search'!$F$10=H751,'Reverse Search'!$F$10=I751),1,0)))</f>
        <v>1</v>
      </c>
      <c r="T751" s="0" t="n">
        <f aca="false">INDEX($B$4:$B$22,MATCH(H751,$A$4:$A$22,0))</f>
        <v>1</v>
      </c>
      <c r="U751" s="0" t="n">
        <f aca="false">IF(ISBLANK(I751),1,INDEX($B$4:$B$22,MATCH(I751,$A$4:$A$22,0)))</f>
        <v>1</v>
      </c>
      <c r="V751" s="367" t="n">
        <f aca="false">IF('Reverse Search'!$C$7="Disable",1,IF('Reverse Search'!$D$11="Disable",1,IF('Reverse Search'!$E$11="Neutral to:",IF(ROUND(T751*U751,2)&lt;=1,1,0),IF(ROUND(T751*U751,2)&lt;1,1,0))))</f>
        <v>1</v>
      </c>
      <c r="W751" s="0" t="n">
        <f aca="false">IF('Reverse Search'!$N$7="Disable",1,IF('Reverse Search'!$I$9="Disable",1,IF('Reverse Search'!$K$9="≥",IF(J751&gt;='Reverse Search'!$L$9,1,0),IF('Reverse Search'!$K$9="≤",IF(J751&lt;='Reverse Search'!$L$9,1,0),IF(J751='Reverse Search'!$L$9,1,0)))))</f>
        <v>1</v>
      </c>
      <c r="X751" s="0" t="n">
        <f aca="false">IF('Reverse Search'!$N$7="Disable",1,IF('Reverse Search'!$I$10="Disable",1,IF('Reverse Search'!$K$10="≥",IF(K751&gt;='Reverse Search'!$L$10,1,0),IF('Reverse Search'!$K$10="≤",IF(K751&lt;='Reverse Search'!$L$10,1,0),IF(K751='Reverse Search'!$L$10,1,0)))))</f>
        <v>1</v>
      </c>
      <c r="Y751" s="367" t="n">
        <f aca="false">IF('Reverse Search'!$N$7="Disable",1,IF('Reverse Search'!$I$11="Disable",1,IF('Reverse Search'!$K$11="≥",IF(L751&gt;='Reverse Search'!$L$11,1,0),IF('Reverse Search'!$K$11="≤",IF(L751&lt;='Reverse Search'!$L$11,1,0),IF(L751='Reverse Search'!$L$11,1,0)))))</f>
        <v>1</v>
      </c>
      <c r="Z751" s="0" t="n">
        <f aca="true">IF('Reverse Search'!$C$14="Disable",1,IF('Reverse Search'!$D$16="Disable",1,IF($C$2=3,IF($M751=0,0,COUNTIF(INDIRECT("'0.0.2 Pokémon Learnset (Core)'!$D$"&amp;MATCH($E751,'0.0.2 Pokémon Learnset (Core)'!$A$1:$A951,0)&amp;":$FK$"&amp;MATCH($E751,'0.0.2 Pokémon Learnset (Core)'!$A$1:$A951,0)),'Reverse Search'!$E$21)),IF($C$2=2,COUNTIF(INDIRECT("'0.1.1 Pokémon GO Moves'!$B$"&amp;MATCH($E751,'0.1.1 Pokémon GO Moves'!$A$1:$A951,0)&amp;":$R$"&amp;MATCH($E751,'0.1.1 Pokémon GO Moves'!$A$1:$A951,0)),'Reverse Search'!$E$21),COUNTIF(INDIRECT("'0.1.1 Pokémon GO Moves'!$B$"&amp;MATCH($E751,'0.1.1 Pokémon GO Moves'!$A$1:$A951,0)&amp;":$L$"&amp;MATCH($E751,'0.1.1 Pokémon GO Moves'!$A$1:$A951,0)),'Reverse Search'!$E$21)))))</f>
        <v>1</v>
      </c>
      <c r="AA751" s="0" t="e">
        <f aca="true">IF('Reverse Search'!$C$14="Disable",1,IF('Reverse Search'!$I$16="Disable",1,IF($D$2=3,IF($M751=0,0,COUNTIF(INDIRECT("'0.0.2 Pokémon Learnset (Core)'!$D$"&amp;MATCH($E751,'0.0.2 Pokémon Learnset (Core)'!$A$1:$A951,0)&amp;":$FK$"&amp;MATCH($E751,'0.0.2 Pokémon Learnset (Core)'!$A$1:$A951,0)),'Reverse Search'!$J$21)),IF($D$2=2,COUNTIF(INDIRECT("'0.1.1 Pokémon GO Moves'!$B$"&amp;MATCH($E751,'0.1.1 Pokémon GO Moves'!$A$1:$A951,0)&amp;":$R$"&amp;MATCH($E751,'0.1.1 Pokémon GO Moves'!$A$1:$A951,0)),'Reverse Search'!$J$21),COUNTIF(INDIRECT("'0.1.1 Pokémon GO Moves'!$B$"&amp;MATCH($E751,'0.1.1 Pokémon GO Moves'!$A$1:$A951,0)&amp;":$L$"&amp;MATCH($E751,'0.1.1 Pokémon GO Moves'!$A$1:$A951,0)),'Reverse Search'!$J$21)))))</f>
        <v>#N/A</v>
      </c>
      <c r="AB751" s="490"/>
      <c r="AC751" s="260" t="e">
        <f aca="false">IF((Q751+R751+S751+V751+W751+X751+Y751+IF(Z751&gt;=1,1,0)+IF(AA751&gt;=1,1,0))=9,G751&amp;", ",)</f>
        <v>#N/A</v>
      </c>
    </row>
    <row r="752" customFormat="false" ht="15.75" hidden="false" customHeight="false" outlineLevel="0" collapsed="false">
      <c r="A752" s="260"/>
      <c r="B752" s="358"/>
      <c r="C752" s="260"/>
      <c r="D752" s="358"/>
      <c r="E752" s="260" t="n">
        <v>751</v>
      </c>
      <c r="F752" s="260" t="n">
        <f aca="false" t="array" ref="F752:F752">INDEX('0.0.1 Pokémon Dex Data'!$H$3:$H951,MATCH(E752,'0.0.1 Pokémon Dex Data'!$B$3:$B951,0))</f>
        <v>1</v>
      </c>
      <c r="G752" s="0" t="str">
        <f aca="false" t="array" ref="G752:G752">INDEX('0.0.1 Pokémon Dex Data'!$E$3:$E951,MATCH(E752,'0.0.1 Pokémon Dex Data'!$B$3:$B951,0))</f>
        <v>Kyurem-White</v>
      </c>
      <c r="H752" s="0" t="str">
        <f aca="false" t="array" ref="H752:H752">INDEX('0.0.1 Pokémon Dex Data'!$Q$3:$Q951,MATCH(E752,'0.0.1 Pokémon Dex Data'!$B$3:$B951,0))</f>
        <v>Dragon</v>
      </c>
      <c r="I752" s="0" t="str">
        <f aca="false" t="array" ref="I752:I752">INDEX('0.0.1 Pokémon Dex Data'!$R$3:$R951,MATCH(E752,'0.0.1 Pokémon Dex Data'!$B$3:$B951,0))</f>
        <v>Ice</v>
      </c>
      <c r="J752" s="260" t="n">
        <f aca="false" t="array" ref="J752:J752">ROUND(INDEX('0.0.1 Pokémon Dex Data'!$S$3:$S951,MATCH($E752,'0.0.1 Pokémon Dex Data'!$B$3:$B951,0))*INDEX('0.0.1 Pokémon Dex Data'!T$3:T951,MATCH($E752,'0.0.1 Pokémon Dex Data'!$B$3:$B951,0)),0)</f>
        <v>310</v>
      </c>
      <c r="K752" s="260" t="n">
        <f aca="false" t="array" ref="K752:K752">ROUND(INDEX('0.0.1 Pokémon Dex Data'!$S$3:$S951,MATCH($E752,'0.0.1 Pokémon Dex Data'!$B$3:$B951,0))*INDEX('0.0.1 Pokémon Dex Data'!U$3:U951,MATCH($E752,'0.0.1 Pokémon Dex Data'!$B$3:$B951,0)),0)</f>
        <v>183</v>
      </c>
      <c r="L752" s="260" t="n">
        <f aca="false" t="array" ref="L752:L752">ROUND(INDEX('0.0.1 Pokémon Dex Data'!$S$3:$S951,MATCH($E752,'0.0.1 Pokémon Dex Data'!$B$3:$B951,0))*INDEX('0.0.1 Pokémon Dex Data'!V$3:V951,MATCH($E752,'0.0.1 Pokémon Dex Data'!$B$3:$B951,0)),0)</f>
        <v>244</v>
      </c>
      <c r="M752" s="260" t="n">
        <f aca="false" t="array" ref="M752:M752">INDEX('0.0.1 Pokémon Dex Data'!$J$3:$J951,MATCH(E752,'0.0.1 Pokémon Dex Data'!$B$3:$B951,0))</f>
        <v>1</v>
      </c>
      <c r="O752" s="490"/>
      <c r="Q752" s="367" t="n">
        <f aca="false">IF('Reverse Search'!$F$4="All (including temporary formes)",1,IF('Reverse Search'!$F$4="Base Pokémon and permanent formes only",IF(F752&lt;=1,1,0),IF(F752=0,1,0)))</f>
        <v>0</v>
      </c>
      <c r="R752" s="0" t="n">
        <f aca="false">IF('Reverse Search'!$C$7="Disable",1,IF('Reverse Search'!$D$9="Disable",1,IF(OR('Reverse Search'!$F$9=H752,'Reverse Search'!$F$9=I752),1,0)))</f>
        <v>1</v>
      </c>
      <c r="S752" s="0" t="n">
        <f aca="false">IF('Reverse Search'!$C$7="Disable",1,IF('Reverse Search'!$D$10="Disable",1,IF(OR('Reverse Search'!$F$10=H752,'Reverse Search'!$F$10=I752),1,0)))</f>
        <v>1</v>
      </c>
      <c r="T752" s="0" t="n">
        <f aca="false">INDEX($B$4:$B$22,MATCH(H752,$A$4:$A$22,0))</f>
        <v>1</v>
      </c>
      <c r="U752" s="0" t="n">
        <f aca="false">IF(ISBLANK(I752),1,INDEX($B$4:$B$22,MATCH(I752,$A$4:$A$22,0)))</f>
        <v>1</v>
      </c>
      <c r="V752" s="367" t="n">
        <f aca="false">IF('Reverse Search'!$C$7="Disable",1,IF('Reverse Search'!$D$11="Disable",1,IF('Reverse Search'!$E$11="Neutral to:",IF(ROUND(T752*U752,2)&lt;=1,1,0),IF(ROUND(T752*U752,2)&lt;1,1,0))))</f>
        <v>1</v>
      </c>
      <c r="W752" s="0" t="n">
        <f aca="false">IF('Reverse Search'!$N$7="Disable",1,IF('Reverse Search'!$I$9="Disable",1,IF('Reverse Search'!$K$9="≥",IF(J752&gt;='Reverse Search'!$L$9,1,0),IF('Reverse Search'!$K$9="≤",IF(J752&lt;='Reverse Search'!$L$9,1,0),IF(J752='Reverse Search'!$L$9,1,0)))))</f>
        <v>1</v>
      </c>
      <c r="X752" s="0" t="n">
        <f aca="false">IF('Reverse Search'!$N$7="Disable",1,IF('Reverse Search'!$I$10="Disable",1,IF('Reverse Search'!$K$10="≥",IF(K752&gt;='Reverse Search'!$L$10,1,0),IF('Reverse Search'!$K$10="≤",IF(K752&lt;='Reverse Search'!$L$10,1,0),IF(K752='Reverse Search'!$L$10,1,0)))))</f>
        <v>1</v>
      </c>
      <c r="Y752" s="367" t="n">
        <f aca="false">IF('Reverse Search'!$N$7="Disable",1,IF('Reverse Search'!$I$11="Disable",1,IF('Reverse Search'!$K$11="≥",IF(L752&gt;='Reverse Search'!$L$11,1,0),IF('Reverse Search'!$K$11="≤",IF(L752&lt;='Reverse Search'!$L$11,1,0),IF(L752='Reverse Search'!$L$11,1,0)))))</f>
        <v>1</v>
      </c>
      <c r="Z752" s="0" t="n">
        <f aca="true">IF('Reverse Search'!$C$14="Disable",1,IF('Reverse Search'!$D$16="Disable",1,IF($C$2=3,IF($M752=0,0,COUNTIF(INDIRECT("'0.0.2 Pokémon Learnset (Core)'!$D$"&amp;MATCH($E752,'0.0.2 Pokémon Learnset (Core)'!$A$1:$A951,0)&amp;":$FK$"&amp;MATCH($E752,'0.0.2 Pokémon Learnset (Core)'!$A$1:$A951,0)),'Reverse Search'!$E$21)),IF($C$2=2,COUNTIF(INDIRECT("'0.1.1 Pokémon GO Moves'!$B$"&amp;MATCH($E752,'0.1.1 Pokémon GO Moves'!$A$1:$A951,0)&amp;":$R$"&amp;MATCH($E752,'0.1.1 Pokémon GO Moves'!$A$1:$A951,0)),'Reverse Search'!$E$21),COUNTIF(INDIRECT("'0.1.1 Pokémon GO Moves'!$B$"&amp;MATCH($E752,'0.1.1 Pokémon GO Moves'!$A$1:$A951,0)&amp;":$L$"&amp;MATCH($E752,'0.1.1 Pokémon GO Moves'!$A$1:$A951,0)),'Reverse Search'!$E$21)))))</f>
        <v>1</v>
      </c>
      <c r="AA752" s="0" t="e">
        <f aca="true">IF('Reverse Search'!$C$14="Disable",1,IF('Reverse Search'!$I$16="Disable",1,IF($D$2=3,IF($M752=0,0,COUNTIF(INDIRECT("'0.0.2 Pokémon Learnset (Core)'!$D$"&amp;MATCH($E752,'0.0.2 Pokémon Learnset (Core)'!$A$1:$A951,0)&amp;":$FK$"&amp;MATCH($E752,'0.0.2 Pokémon Learnset (Core)'!$A$1:$A951,0)),'Reverse Search'!$J$21)),IF($D$2=2,COUNTIF(INDIRECT("'0.1.1 Pokémon GO Moves'!$B$"&amp;MATCH($E752,'0.1.1 Pokémon GO Moves'!$A$1:$A951,0)&amp;":$R$"&amp;MATCH($E752,'0.1.1 Pokémon GO Moves'!$A$1:$A951,0)),'Reverse Search'!$J$21),COUNTIF(INDIRECT("'0.1.1 Pokémon GO Moves'!$B$"&amp;MATCH($E752,'0.1.1 Pokémon GO Moves'!$A$1:$A951,0)&amp;":$L$"&amp;MATCH($E752,'0.1.1 Pokémon GO Moves'!$A$1:$A951,0)),'Reverse Search'!$J$21)))))</f>
        <v>#N/A</v>
      </c>
      <c r="AB752" s="490"/>
      <c r="AC752" s="260" t="e">
        <f aca="false">IF((Q752+R752+S752+V752+W752+X752+Y752+IF(Z752&gt;=1,1,0)+IF(AA752&gt;=1,1,0))=9,G752&amp;", ",)</f>
        <v>#N/A</v>
      </c>
    </row>
    <row r="753" customFormat="false" ht="15.75" hidden="false" customHeight="false" outlineLevel="0" collapsed="false">
      <c r="A753" s="260"/>
      <c r="B753" s="358"/>
      <c r="C753" s="260"/>
      <c r="D753" s="358"/>
      <c r="E753" s="260" t="n">
        <v>752</v>
      </c>
      <c r="F753" s="260" t="n">
        <f aca="false" t="array" ref="F753:F753">INDEX('0.0.1 Pokémon Dex Data'!$H$3:$H951,MATCH(E753,'0.0.1 Pokémon Dex Data'!$B$3:$B951,0))</f>
        <v>0</v>
      </c>
      <c r="G753" s="0" t="str">
        <f aca="false" t="array" ref="G753:G753">INDEX('0.0.1 Pokémon Dex Data'!$E$3:$E951,MATCH(E753,'0.0.1 Pokémon Dex Data'!$B$3:$B951,0))</f>
        <v>Keldeo</v>
      </c>
      <c r="H753" s="0" t="str">
        <f aca="false" t="array" ref="H753:H753">INDEX('0.0.1 Pokémon Dex Data'!$Q$3:$Q951,MATCH(E753,'0.0.1 Pokémon Dex Data'!$B$3:$B951,0))</f>
        <v>Water</v>
      </c>
      <c r="I753" s="0" t="str">
        <f aca="false" t="array" ref="I753:I753">INDEX('0.0.1 Pokémon Dex Data'!$R$3:$R951,MATCH(E753,'0.0.1 Pokémon Dex Data'!$B$3:$B951,0))</f>
        <v>Fighting</v>
      </c>
      <c r="J753" s="260" t="n">
        <f aca="false" t="array" ref="J753:J753">ROUND(INDEX('0.0.1 Pokémon Dex Data'!$S$3:$S951,MATCH($E753,'0.0.1 Pokémon Dex Data'!$B$3:$B951,0))*INDEX('0.0.1 Pokémon Dex Data'!T$3:T951,MATCH($E753,'0.0.1 Pokémon Dex Data'!$B$3:$B951,0)),0)</f>
        <v>260</v>
      </c>
      <c r="K753" s="260" t="n">
        <f aca="false" t="array" ref="K753:K753">ROUND(INDEX('0.0.1 Pokémon Dex Data'!$S$3:$S951,MATCH($E753,'0.0.1 Pokémon Dex Data'!$B$3:$B951,0))*INDEX('0.0.1 Pokémon Dex Data'!U$3:U951,MATCH($E753,'0.0.1 Pokémon Dex Data'!$B$3:$B951,0)),0)</f>
        <v>192</v>
      </c>
      <c r="L753" s="260" t="n">
        <f aca="false" t="array" ref="L753:L753">ROUND(INDEX('0.0.1 Pokémon Dex Data'!$S$3:$S951,MATCH($E753,'0.0.1 Pokémon Dex Data'!$B$3:$B951,0))*INDEX('0.0.1 Pokémon Dex Data'!V$3:V951,MATCH($E753,'0.0.1 Pokémon Dex Data'!$B$3:$B951,0)),0)</f>
        <v>209</v>
      </c>
      <c r="M753" s="260" t="n">
        <f aca="false" t="array" ref="M753:M753">INDEX('0.0.1 Pokémon Dex Data'!$J$3:$J951,MATCH(E753,'0.0.1 Pokémon Dex Data'!$B$3:$B951,0))</f>
        <v>1</v>
      </c>
      <c r="O753" s="490"/>
      <c r="Q753" s="367" t="n">
        <f aca="false">IF('Reverse Search'!$F$4="All (including temporary formes)",1,IF('Reverse Search'!$F$4="Base Pokémon and permanent formes only",IF(F753&lt;=1,1,0),IF(F753=0,1,0)))</f>
        <v>1</v>
      </c>
      <c r="R753" s="0" t="n">
        <f aca="false">IF('Reverse Search'!$C$7="Disable",1,IF('Reverse Search'!$D$9="Disable",1,IF(OR('Reverse Search'!$F$9=H753,'Reverse Search'!$F$9=I753),1,0)))</f>
        <v>1</v>
      </c>
      <c r="S753" s="0" t="n">
        <f aca="false">IF('Reverse Search'!$C$7="Disable",1,IF('Reverse Search'!$D$10="Disable",1,IF(OR('Reverse Search'!$F$10=H753,'Reverse Search'!$F$10=I753),1,0)))</f>
        <v>1</v>
      </c>
      <c r="T753" s="0" t="n">
        <f aca="false">INDEX($B$4:$B$22,MATCH(H753,$A$4:$A$22,0))</f>
        <v>1</v>
      </c>
      <c r="U753" s="0" t="n">
        <f aca="false">IF(ISBLANK(I753),1,INDEX($B$4:$B$22,MATCH(I753,$A$4:$A$22,0)))</f>
        <v>1</v>
      </c>
      <c r="V753" s="367" t="n">
        <f aca="false">IF('Reverse Search'!$C$7="Disable",1,IF('Reverse Search'!$D$11="Disable",1,IF('Reverse Search'!$E$11="Neutral to:",IF(ROUND(T753*U753,2)&lt;=1,1,0),IF(ROUND(T753*U753,2)&lt;1,1,0))))</f>
        <v>1</v>
      </c>
      <c r="W753" s="0" t="n">
        <f aca="false">IF('Reverse Search'!$N$7="Disable",1,IF('Reverse Search'!$I$9="Disable",1,IF('Reverse Search'!$K$9="≥",IF(J753&gt;='Reverse Search'!$L$9,1,0),IF('Reverse Search'!$K$9="≤",IF(J753&lt;='Reverse Search'!$L$9,1,0),IF(J753='Reverse Search'!$L$9,1,0)))))</f>
        <v>1</v>
      </c>
      <c r="X753" s="0" t="n">
        <f aca="false">IF('Reverse Search'!$N$7="Disable",1,IF('Reverse Search'!$I$10="Disable",1,IF('Reverse Search'!$K$10="≥",IF(K753&gt;='Reverse Search'!$L$10,1,0),IF('Reverse Search'!$K$10="≤",IF(K753&lt;='Reverse Search'!$L$10,1,0),IF(K753='Reverse Search'!$L$10,1,0)))))</f>
        <v>1</v>
      </c>
      <c r="Y753" s="367" t="n">
        <f aca="false">IF('Reverse Search'!$N$7="Disable",1,IF('Reverse Search'!$I$11="Disable",1,IF('Reverse Search'!$K$11="≥",IF(L753&gt;='Reverse Search'!$L$11,1,0),IF('Reverse Search'!$K$11="≤",IF(L753&lt;='Reverse Search'!$L$11,1,0),IF(L753='Reverse Search'!$L$11,1,0)))))</f>
        <v>1</v>
      </c>
      <c r="Z753" s="0" t="n">
        <f aca="true">IF('Reverse Search'!$C$14="Disable",1,IF('Reverse Search'!$D$16="Disable",1,IF($C$2=3,IF($M753=0,0,COUNTIF(INDIRECT("'0.0.2 Pokémon Learnset (Core)'!$D$"&amp;MATCH($E753,'0.0.2 Pokémon Learnset (Core)'!$A$1:$A951,0)&amp;":$FK$"&amp;MATCH($E753,'0.0.2 Pokémon Learnset (Core)'!$A$1:$A951,0)),'Reverse Search'!$E$21)),IF($C$2=2,COUNTIF(INDIRECT("'0.1.1 Pokémon GO Moves'!$B$"&amp;MATCH($E753,'0.1.1 Pokémon GO Moves'!$A$1:$A951,0)&amp;":$R$"&amp;MATCH($E753,'0.1.1 Pokémon GO Moves'!$A$1:$A951,0)),'Reverse Search'!$E$21),COUNTIF(INDIRECT("'0.1.1 Pokémon GO Moves'!$B$"&amp;MATCH($E753,'0.1.1 Pokémon GO Moves'!$A$1:$A951,0)&amp;":$L$"&amp;MATCH($E753,'0.1.1 Pokémon GO Moves'!$A$1:$A951,0)),'Reverse Search'!$E$21)))))</f>
        <v>1</v>
      </c>
      <c r="AA753" s="0" t="n">
        <f aca="true">IF('Reverse Search'!$C$14="Disable",1,IF('Reverse Search'!$I$16="Disable",1,IF($D$2=3,IF($M753=0,0,COUNTIF(INDIRECT("'0.0.2 Pokémon Learnset (Core)'!$D$"&amp;MATCH($E753,'0.0.2 Pokémon Learnset (Core)'!$A$1:$A951,0)&amp;":$FK$"&amp;MATCH($E753,'0.0.2 Pokémon Learnset (Core)'!$A$1:$A951,0)),'Reverse Search'!$J$21)),IF($D$2=2,COUNTIF(INDIRECT("'0.1.1 Pokémon GO Moves'!$B$"&amp;MATCH($E753,'0.1.1 Pokémon GO Moves'!$A$1:$A951,0)&amp;":$R$"&amp;MATCH($E753,'0.1.1 Pokémon GO Moves'!$A$1:$A951,0)),'Reverse Search'!$J$21),COUNTIF(INDIRECT("'0.1.1 Pokémon GO Moves'!$B$"&amp;MATCH($E753,'0.1.1 Pokémon GO Moves'!$A$1:$A951,0)&amp;":$L$"&amp;MATCH($E753,'0.1.1 Pokémon GO Moves'!$A$1:$A951,0)),'Reverse Search'!$J$21)))))</f>
        <v>0</v>
      </c>
      <c r="AB753" s="490"/>
      <c r="AC753" s="260" t="n">
        <f aca="false">IF((Q753+R753+S753+V753+W753+X753+Y753+IF(Z753&gt;=1,1,0)+IF(AA753&gt;=1,1,0))=9,G753&amp;", ",)</f>
        <v>0</v>
      </c>
    </row>
    <row r="754" customFormat="false" ht="15.75" hidden="false" customHeight="false" outlineLevel="0" collapsed="false">
      <c r="A754" s="260"/>
      <c r="B754" s="358"/>
      <c r="C754" s="260"/>
      <c r="D754" s="358"/>
      <c r="E754" s="260" t="n">
        <v>753</v>
      </c>
      <c r="F754" s="260" t="n">
        <f aca="false" t="array" ref="F754:F754">INDEX('0.0.1 Pokémon Dex Data'!$H$3:$H951,MATCH(E754,'0.0.1 Pokémon Dex Data'!$B$3:$B951,0))</f>
        <v>0</v>
      </c>
      <c r="G754" s="0" t="str">
        <f aca="false" t="array" ref="G754:G754">INDEX('0.0.1 Pokémon Dex Data'!$E$3:$E951,MATCH(E754,'0.0.1 Pokémon Dex Data'!$B$3:$B951,0))</f>
        <v>Meloetta</v>
      </c>
      <c r="H754" s="0" t="str">
        <f aca="false" t="array" ref="H754:H754">INDEX('0.0.1 Pokémon Dex Data'!$Q$3:$Q951,MATCH(E754,'0.0.1 Pokémon Dex Data'!$B$3:$B951,0))</f>
        <v>Normal</v>
      </c>
      <c r="I754" s="0" t="str">
        <f aca="false" t="array" ref="I754:I754">INDEX('0.0.1 Pokémon Dex Data'!$R$3:$R951,MATCH(E754,'0.0.1 Pokémon Dex Data'!$B$3:$B951,0))</f>
        <v>Psychic</v>
      </c>
      <c r="J754" s="260" t="n">
        <f aca="false" t="array" ref="J754:J754">ROUND(INDEX('0.0.1 Pokémon Dex Data'!$S$3:$S951,MATCH($E754,'0.0.1 Pokémon Dex Data'!$B$3:$B951,0))*INDEX('0.0.1 Pokémon Dex Data'!T$3:T951,MATCH($E754,'0.0.1 Pokémon Dex Data'!$B$3:$B951,0)),0)</f>
        <v>250</v>
      </c>
      <c r="K754" s="260" t="n">
        <f aca="false" t="array" ref="K754:K754">ROUND(INDEX('0.0.1 Pokémon Dex Data'!$S$3:$S951,MATCH($E754,'0.0.1 Pokémon Dex Data'!$B$3:$B951,0))*INDEX('0.0.1 Pokémon Dex Data'!U$3:U951,MATCH($E754,'0.0.1 Pokémon Dex Data'!$B$3:$B951,0)),0)</f>
        <v>225</v>
      </c>
      <c r="L754" s="260" t="n">
        <f aca="false" t="array" ref="L754:L754">ROUND(INDEX('0.0.1 Pokémon Dex Data'!$S$3:$S951,MATCH($E754,'0.0.1 Pokémon Dex Data'!$B$3:$B951,0))*INDEX('0.0.1 Pokémon Dex Data'!V$3:V951,MATCH($E754,'0.0.1 Pokémon Dex Data'!$B$3:$B951,0)),0)</f>
        <v>225</v>
      </c>
      <c r="M754" s="260" t="n">
        <f aca="false" t="array" ref="M754:M754">INDEX('0.0.1 Pokémon Dex Data'!$J$3:$J951,MATCH(E754,'0.0.1 Pokémon Dex Data'!$B$3:$B951,0))</f>
        <v>1</v>
      </c>
      <c r="O754" s="490"/>
      <c r="Q754" s="367" t="n">
        <f aca="false">IF('Reverse Search'!$F$4="All (including temporary formes)",1,IF('Reverse Search'!$F$4="Base Pokémon and permanent formes only",IF(F754&lt;=1,1,0),IF(F754=0,1,0)))</f>
        <v>1</v>
      </c>
      <c r="R754" s="0" t="n">
        <f aca="false">IF('Reverse Search'!$C$7="Disable",1,IF('Reverse Search'!$D$9="Disable",1,IF(OR('Reverse Search'!$F$9=H754,'Reverse Search'!$F$9=I754),1,0)))</f>
        <v>1</v>
      </c>
      <c r="S754" s="0" t="n">
        <f aca="false">IF('Reverse Search'!$C$7="Disable",1,IF('Reverse Search'!$D$10="Disable",1,IF(OR('Reverse Search'!$F$10=H754,'Reverse Search'!$F$10=I754),1,0)))</f>
        <v>1</v>
      </c>
      <c r="T754" s="0" t="n">
        <f aca="false">INDEX($B$4:$B$22,MATCH(H754,$A$4:$A$22,0))</f>
        <v>1</v>
      </c>
      <c r="U754" s="0" t="n">
        <f aca="false">IF(ISBLANK(I754),1,INDEX($B$4:$B$22,MATCH(I754,$A$4:$A$22,0)))</f>
        <v>1</v>
      </c>
      <c r="V754" s="367" t="n">
        <f aca="false">IF('Reverse Search'!$C$7="Disable",1,IF('Reverse Search'!$D$11="Disable",1,IF('Reverse Search'!$E$11="Neutral to:",IF(ROUND(T754*U754,2)&lt;=1,1,0),IF(ROUND(T754*U754,2)&lt;1,1,0))))</f>
        <v>1</v>
      </c>
      <c r="W754" s="0" t="n">
        <f aca="false">IF('Reverse Search'!$N$7="Disable",1,IF('Reverse Search'!$I$9="Disable",1,IF('Reverse Search'!$K$9="≥",IF(J754&gt;='Reverse Search'!$L$9,1,0),IF('Reverse Search'!$K$9="≤",IF(J754&lt;='Reverse Search'!$L$9,1,0),IF(J754='Reverse Search'!$L$9,1,0)))))</f>
        <v>1</v>
      </c>
      <c r="X754" s="0" t="n">
        <f aca="false">IF('Reverse Search'!$N$7="Disable",1,IF('Reverse Search'!$I$10="Disable",1,IF('Reverse Search'!$K$10="≥",IF(K754&gt;='Reverse Search'!$L$10,1,0),IF('Reverse Search'!$K$10="≤",IF(K754&lt;='Reverse Search'!$L$10,1,0),IF(K754='Reverse Search'!$L$10,1,0)))))</f>
        <v>1</v>
      </c>
      <c r="Y754" s="367" t="n">
        <f aca="false">IF('Reverse Search'!$N$7="Disable",1,IF('Reverse Search'!$I$11="Disable",1,IF('Reverse Search'!$K$11="≥",IF(L754&gt;='Reverse Search'!$L$11,1,0),IF('Reverse Search'!$K$11="≤",IF(L754&lt;='Reverse Search'!$L$11,1,0),IF(L754='Reverse Search'!$L$11,1,0)))))</f>
        <v>1</v>
      </c>
      <c r="Z754" s="0" t="n">
        <f aca="true">IF('Reverse Search'!$C$14="Disable",1,IF('Reverse Search'!$D$16="Disable",1,IF($C$2=3,IF($M754=0,0,COUNTIF(INDIRECT("'0.0.2 Pokémon Learnset (Core)'!$D$"&amp;MATCH($E754,'0.0.2 Pokémon Learnset (Core)'!$A$1:$A951,0)&amp;":$FK$"&amp;MATCH($E754,'0.0.2 Pokémon Learnset (Core)'!$A$1:$A951,0)),'Reverse Search'!$E$21)),IF($C$2=2,COUNTIF(INDIRECT("'0.1.1 Pokémon GO Moves'!$B$"&amp;MATCH($E754,'0.1.1 Pokémon GO Moves'!$A$1:$A951,0)&amp;":$R$"&amp;MATCH($E754,'0.1.1 Pokémon GO Moves'!$A$1:$A951,0)),'Reverse Search'!$E$21),COUNTIF(INDIRECT("'0.1.1 Pokémon GO Moves'!$B$"&amp;MATCH($E754,'0.1.1 Pokémon GO Moves'!$A$1:$A951,0)&amp;":$L$"&amp;MATCH($E754,'0.1.1 Pokémon GO Moves'!$A$1:$A951,0)),'Reverse Search'!$E$21)))))</f>
        <v>1</v>
      </c>
      <c r="AA754" s="0" t="n">
        <f aca="true">IF('Reverse Search'!$C$14="Disable",1,IF('Reverse Search'!$I$16="Disable",1,IF($D$2=3,IF($M754=0,0,COUNTIF(INDIRECT("'0.0.2 Pokémon Learnset (Core)'!$D$"&amp;MATCH($E754,'0.0.2 Pokémon Learnset (Core)'!$A$1:$A951,0)&amp;":$FK$"&amp;MATCH($E754,'0.0.2 Pokémon Learnset (Core)'!$A$1:$A951,0)),'Reverse Search'!$J$21)),IF($D$2=2,COUNTIF(INDIRECT("'0.1.1 Pokémon GO Moves'!$B$"&amp;MATCH($E754,'0.1.1 Pokémon GO Moves'!$A$1:$A951,0)&amp;":$R$"&amp;MATCH($E754,'0.1.1 Pokémon GO Moves'!$A$1:$A951,0)),'Reverse Search'!$J$21),COUNTIF(INDIRECT("'0.1.1 Pokémon GO Moves'!$B$"&amp;MATCH($E754,'0.1.1 Pokémon GO Moves'!$A$1:$A951,0)&amp;":$L$"&amp;MATCH($E754,'0.1.1 Pokémon GO Moves'!$A$1:$A951,0)),'Reverse Search'!$J$21)))))</f>
        <v>0</v>
      </c>
      <c r="AB754" s="490"/>
      <c r="AC754" s="260" t="n">
        <f aca="false">IF((Q754+R754+S754+V754+W754+X754+Y754+IF(Z754&gt;=1,1,0)+IF(AA754&gt;=1,1,0))=9,G754&amp;", ",)</f>
        <v>0</v>
      </c>
    </row>
    <row r="755" customFormat="false" ht="15.75" hidden="false" customHeight="false" outlineLevel="0" collapsed="false">
      <c r="A755" s="260"/>
      <c r="B755" s="358"/>
      <c r="C755" s="260"/>
      <c r="D755" s="358"/>
      <c r="E755" s="260" t="n">
        <v>754</v>
      </c>
      <c r="F755" s="260" t="n">
        <f aca="false" t="array" ref="F755:F755">INDEX('0.0.1 Pokémon Dex Data'!$H$3:$H951,MATCH(E755,'0.0.1 Pokémon Dex Data'!$B$3:$B951,0))</f>
        <v>2</v>
      </c>
      <c r="G755" s="0" t="str">
        <f aca="false" t="array" ref="G755:G755">INDEX('0.0.1 Pokémon Dex Data'!$E$3:$E951,MATCH(E755,'0.0.1 Pokémon Dex Data'!$B$3:$B951,0))</f>
        <v>Meloetta-Pirouette</v>
      </c>
      <c r="H755" s="0" t="str">
        <f aca="false" t="array" ref="H755:H755">INDEX('0.0.1 Pokémon Dex Data'!$Q$3:$Q951,MATCH(E755,'0.0.1 Pokémon Dex Data'!$B$3:$B951,0))</f>
        <v>Normal</v>
      </c>
      <c r="I755" s="0" t="str">
        <f aca="false" t="array" ref="I755:I755">INDEX('0.0.1 Pokémon Dex Data'!$R$3:$R951,MATCH(E755,'0.0.1 Pokémon Dex Data'!$B$3:$B951,0))</f>
        <v>Fighting</v>
      </c>
      <c r="J755" s="260" t="n">
        <f aca="false" t="array" ref="J755:J755">ROUND(INDEX('0.0.1 Pokémon Dex Data'!$S$3:$S951,MATCH($E755,'0.0.1 Pokémon Dex Data'!$B$3:$B951,0))*INDEX('0.0.1 Pokémon Dex Data'!T$3:T951,MATCH($E755,'0.0.1 Pokémon Dex Data'!$B$3:$B951,0)),0)</f>
        <v>269</v>
      </c>
      <c r="K755" s="260" t="n">
        <f aca="false" t="array" ref="K755:K755">ROUND(INDEX('0.0.1 Pokémon Dex Data'!$S$3:$S951,MATCH($E755,'0.0.1 Pokémon Dex Data'!$B$3:$B951,0))*INDEX('0.0.1 Pokémon Dex Data'!U$3:U951,MATCH($E755,'0.0.1 Pokémon Dex Data'!$B$3:$B951,0)),0)</f>
        <v>188</v>
      </c>
      <c r="L755" s="260" t="n">
        <f aca="false" t="array" ref="L755:L755">ROUND(INDEX('0.0.1 Pokémon Dex Data'!$S$3:$S951,MATCH($E755,'0.0.1 Pokémon Dex Data'!$B$3:$B951,0))*INDEX('0.0.1 Pokémon Dex Data'!V$3:V951,MATCH($E755,'0.0.1 Pokémon Dex Data'!$B$3:$B951,0)),0)</f>
        <v>225</v>
      </c>
      <c r="M755" s="260" t="n">
        <f aca="false" t="array" ref="M755:M755">INDEX('0.0.1 Pokémon Dex Data'!$J$3:$J951,MATCH(E755,'0.0.1 Pokémon Dex Data'!$B$3:$B951,0))</f>
        <v>1</v>
      </c>
      <c r="O755" s="490"/>
      <c r="Q755" s="367" t="n">
        <f aca="false">IF('Reverse Search'!$F$4="All (including temporary formes)",1,IF('Reverse Search'!$F$4="Base Pokémon and permanent formes only",IF(F755&lt;=1,1,0),IF(F755=0,1,0)))</f>
        <v>0</v>
      </c>
      <c r="R755" s="0" t="n">
        <f aca="false">IF('Reverse Search'!$C$7="Disable",1,IF('Reverse Search'!$D$9="Disable",1,IF(OR('Reverse Search'!$F$9=H755,'Reverse Search'!$F$9=I755),1,0)))</f>
        <v>1</v>
      </c>
      <c r="S755" s="0" t="n">
        <f aca="false">IF('Reverse Search'!$C$7="Disable",1,IF('Reverse Search'!$D$10="Disable",1,IF(OR('Reverse Search'!$F$10=H755,'Reverse Search'!$F$10=I755),1,0)))</f>
        <v>1</v>
      </c>
      <c r="T755" s="0" t="n">
        <f aca="false">INDEX($B$4:$B$22,MATCH(H755,$A$4:$A$22,0))</f>
        <v>1</v>
      </c>
      <c r="U755" s="0" t="n">
        <f aca="false">IF(ISBLANK(I755),1,INDEX($B$4:$B$22,MATCH(I755,$A$4:$A$22,0)))</f>
        <v>1</v>
      </c>
      <c r="V755" s="367" t="n">
        <f aca="false">IF('Reverse Search'!$C$7="Disable",1,IF('Reverse Search'!$D$11="Disable",1,IF('Reverse Search'!$E$11="Neutral to:",IF(ROUND(T755*U755,2)&lt;=1,1,0),IF(ROUND(T755*U755,2)&lt;1,1,0))))</f>
        <v>1</v>
      </c>
      <c r="W755" s="0" t="n">
        <f aca="false">IF('Reverse Search'!$N$7="Disable",1,IF('Reverse Search'!$I$9="Disable",1,IF('Reverse Search'!$K$9="≥",IF(J755&gt;='Reverse Search'!$L$9,1,0),IF('Reverse Search'!$K$9="≤",IF(J755&lt;='Reverse Search'!$L$9,1,0),IF(J755='Reverse Search'!$L$9,1,0)))))</f>
        <v>1</v>
      </c>
      <c r="X755" s="0" t="n">
        <f aca="false">IF('Reverse Search'!$N$7="Disable",1,IF('Reverse Search'!$I$10="Disable",1,IF('Reverse Search'!$K$10="≥",IF(K755&gt;='Reverse Search'!$L$10,1,0),IF('Reverse Search'!$K$10="≤",IF(K755&lt;='Reverse Search'!$L$10,1,0),IF(K755='Reverse Search'!$L$10,1,0)))))</f>
        <v>1</v>
      </c>
      <c r="Y755" s="367" t="n">
        <f aca="false">IF('Reverse Search'!$N$7="Disable",1,IF('Reverse Search'!$I$11="Disable",1,IF('Reverse Search'!$K$11="≥",IF(L755&gt;='Reverse Search'!$L$11,1,0),IF('Reverse Search'!$K$11="≤",IF(L755&lt;='Reverse Search'!$L$11,1,0),IF(L755='Reverse Search'!$L$11,1,0)))))</f>
        <v>1</v>
      </c>
      <c r="Z755" s="0" t="n">
        <f aca="true">IF('Reverse Search'!$C$14="Disable",1,IF('Reverse Search'!$D$16="Disable",1,IF($C$2=3,IF($M755=0,0,COUNTIF(INDIRECT("'0.0.2 Pokémon Learnset (Core)'!$D$"&amp;MATCH($E755,'0.0.2 Pokémon Learnset (Core)'!$A$1:$A951,0)&amp;":$FK$"&amp;MATCH($E755,'0.0.2 Pokémon Learnset (Core)'!$A$1:$A951,0)),'Reverse Search'!$E$21)),IF($C$2=2,COUNTIF(INDIRECT("'0.1.1 Pokémon GO Moves'!$B$"&amp;MATCH($E755,'0.1.1 Pokémon GO Moves'!$A$1:$A951,0)&amp;":$R$"&amp;MATCH($E755,'0.1.1 Pokémon GO Moves'!$A$1:$A951,0)),'Reverse Search'!$E$21),COUNTIF(INDIRECT("'0.1.1 Pokémon GO Moves'!$B$"&amp;MATCH($E755,'0.1.1 Pokémon GO Moves'!$A$1:$A951,0)&amp;":$L$"&amp;MATCH($E755,'0.1.1 Pokémon GO Moves'!$A$1:$A951,0)),'Reverse Search'!$E$21)))))</f>
        <v>1</v>
      </c>
      <c r="AA755" s="0" t="e">
        <f aca="true">IF('Reverse Search'!$C$14="Disable",1,IF('Reverse Search'!$I$16="Disable",1,IF($D$2=3,IF($M755=0,0,COUNTIF(INDIRECT("'0.0.2 Pokémon Learnset (Core)'!$D$"&amp;MATCH($E755,'0.0.2 Pokémon Learnset (Core)'!$A$1:$A951,0)&amp;":$FK$"&amp;MATCH($E755,'0.0.2 Pokémon Learnset (Core)'!$A$1:$A951,0)),'Reverse Search'!$J$21)),IF($D$2=2,COUNTIF(INDIRECT("'0.1.1 Pokémon GO Moves'!$B$"&amp;MATCH($E755,'0.1.1 Pokémon GO Moves'!$A$1:$A951,0)&amp;":$R$"&amp;MATCH($E755,'0.1.1 Pokémon GO Moves'!$A$1:$A951,0)),'Reverse Search'!$J$21),COUNTIF(INDIRECT("'0.1.1 Pokémon GO Moves'!$B$"&amp;MATCH($E755,'0.1.1 Pokémon GO Moves'!$A$1:$A951,0)&amp;":$L$"&amp;MATCH($E755,'0.1.1 Pokémon GO Moves'!$A$1:$A951,0)),'Reverse Search'!$J$21)))))</f>
        <v>#N/A</v>
      </c>
      <c r="AB755" s="490"/>
      <c r="AC755" s="260" t="e">
        <f aca="false">IF((Q755+R755+S755+V755+W755+X755+Y755+IF(Z755&gt;=1,1,0)+IF(AA755&gt;=1,1,0))=9,G755&amp;", ",)</f>
        <v>#N/A</v>
      </c>
    </row>
    <row r="756" customFormat="false" ht="15.75" hidden="false" customHeight="false" outlineLevel="0" collapsed="false">
      <c r="A756" s="260"/>
      <c r="B756" s="358"/>
      <c r="C756" s="260"/>
      <c r="D756" s="358"/>
      <c r="E756" s="260" t="n">
        <v>755</v>
      </c>
      <c r="F756" s="260" t="n">
        <f aca="false" t="array" ref="F756:F756">INDEX('0.0.1 Pokémon Dex Data'!$H$3:$H951,MATCH(E756,'0.0.1 Pokémon Dex Data'!$B$3:$B951,0))</f>
        <v>0</v>
      </c>
      <c r="G756" s="0" t="str">
        <f aca="false" t="array" ref="G756:G756">INDEX('0.0.1 Pokémon Dex Data'!$E$3:$E951,MATCH(E756,'0.0.1 Pokémon Dex Data'!$B$3:$B951,0))</f>
        <v>Genesect</v>
      </c>
      <c r="H756" s="0" t="str">
        <f aca="false" t="array" ref="H756:H756">INDEX('0.0.1 Pokémon Dex Data'!$Q$3:$Q951,MATCH(E756,'0.0.1 Pokémon Dex Data'!$B$3:$B951,0))</f>
        <v>Bug</v>
      </c>
      <c r="I756" s="0" t="str">
        <f aca="false" t="array" ref="I756:I756">INDEX('0.0.1 Pokémon Dex Data'!$R$3:$R951,MATCH(E756,'0.0.1 Pokémon Dex Data'!$B$3:$B951,0))</f>
        <v>Steel</v>
      </c>
      <c r="J756" s="260" t="n">
        <f aca="false" t="array" ref="J756:J756">ROUND(INDEX('0.0.1 Pokémon Dex Data'!$S$3:$S951,MATCH($E756,'0.0.1 Pokémon Dex Data'!$B$3:$B951,0))*INDEX('0.0.1 Pokémon Dex Data'!T$3:T951,MATCH($E756,'0.0.1 Pokémon Dex Data'!$B$3:$B951,0)),0)</f>
        <v>252</v>
      </c>
      <c r="K756" s="260" t="n">
        <f aca="false" t="array" ref="K756:K756">ROUND(INDEX('0.0.1 Pokémon Dex Data'!$S$3:$S951,MATCH($E756,'0.0.1 Pokémon Dex Data'!$B$3:$B951,0))*INDEX('0.0.1 Pokémon Dex Data'!U$3:U951,MATCH($E756,'0.0.1 Pokémon Dex Data'!$B$3:$B951,0)),0)</f>
        <v>199</v>
      </c>
      <c r="L756" s="260" t="n">
        <f aca="false" t="array" ref="L756:L756">ROUND(INDEX('0.0.1 Pokémon Dex Data'!$S$3:$S951,MATCH($E756,'0.0.1 Pokémon Dex Data'!$B$3:$B951,0))*INDEX('0.0.1 Pokémon Dex Data'!V$3:V951,MATCH($E756,'0.0.1 Pokémon Dex Data'!$B$3:$B951,0)),0)</f>
        <v>174</v>
      </c>
      <c r="M756" s="260" t="n">
        <f aca="false" t="array" ref="M756:M756">INDEX('0.0.1 Pokémon Dex Data'!$J$3:$J951,MATCH(E756,'0.0.1 Pokémon Dex Data'!$B$3:$B951,0))</f>
        <v>1</v>
      </c>
      <c r="O756" s="490"/>
      <c r="Q756" s="367" t="n">
        <f aca="false">IF('Reverse Search'!$F$4="All (including temporary formes)",1,IF('Reverse Search'!$F$4="Base Pokémon and permanent formes only",IF(F756&lt;=1,1,0),IF(F756=0,1,0)))</f>
        <v>1</v>
      </c>
      <c r="R756" s="0" t="n">
        <f aca="false">IF('Reverse Search'!$C$7="Disable",1,IF('Reverse Search'!$D$9="Disable",1,IF(OR('Reverse Search'!$F$9=H756,'Reverse Search'!$F$9=I756),1,0)))</f>
        <v>1</v>
      </c>
      <c r="S756" s="0" t="n">
        <f aca="false">IF('Reverse Search'!$C$7="Disable",1,IF('Reverse Search'!$D$10="Disable",1,IF(OR('Reverse Search'!$F$10=H756,'Reverse Search'!$F$10=I756),1,0)))</f>
        <v>1</v>
      </c>
      <c r="T756" s="0" t="n">
        <f aca="false">INDEX($B$4:$B$22,MATCH(H756,$A$4:$A$22,0))</f>
        <v>1</v>
      </c>
      <c r="U756" s="0" t="n">
        <f aca="false">IF(ISBLANK(I756),1,INDEX($B$4:$B$22,MATCH(I756,$A$4:$A$22,0)))</f>
        <v>0.714</v>
      </c>
      <c r="V756" s="367" t="n">
        <f aca="false">IF('Reverse Search'!$C$7="Disable",1,IF('Reverse Search'!$D$11="Disable",1,IF('Reverse Search'!$E$11="Neutral to:",IF(ROUND(T756*U756,2)&lt;=1,1,0),IF(ROUND(T756*U756,2)&lt;1,1,0))))</f>
        <v>1</v>
      </c>
      <c r="W756" s="0" t="n">
        <f aca="false">IF('Reverse Search'!$N$7="Disable",1,IF('Reverse Search'!$I$9="Disable",1,IF('Reverse Search'!$K$9="≥",IF(J756&gt;='Reverse Search'!$L$9,1,0),IF('Reverse Search'!$K$9="≤",IF(J756&lt;='Reverse Search'!$L$9,1,0),IF(J756='Reverse Search'!$L$9,1,0)))))</f>
        <v>1</v>
      </c>
      <c r="X756" s="0" t="n">
        <f aca="false">IF('Reverse Search'!$N$7="Disable",1,IF('Reverse Search'!$I$10="Disable",1,IF('Reverse Search'!$K$10="≥",IF(K756&gt;='Reverse Search'!$L$10,1,0),IF('Reverse Search'!$K$10="≤",IF(K756&lt;='Reverse Search'!$L$10,1,0),IF(K756='Reverse Search'!$L$10,1,0)))))</f>
        <v>1</v>
      </c>
      <c r="Y756" s="367" t="n">
        <f aca="false">IF('Reverse Search'!$N$7="Disable",1,IF('Reverse Search'!$I$11="Disable",1,IF('Reverse Search'!$K$11="≥",IF(L756&gt;='Reverse Search'!$L$11,1,0),IF('Reverse Search'!$K$11="≤",IF(L756&lt;='Reverse Search'!$L$11,1,0),IF(L756='Reverse Search'!$L$11,1,0)))))</f>
        <v>1</v>
      </c>
      <c r="Z756" s="0" t="n">
        <f aca="true">IF('Reverse Search'!$C$14="Disable",1,IF('Reverse Search'!$D$16="Disable",1,IF($C$2=3,IF($M756=0,0,COUNTIF(INDIRECT("'0.0.2 Pokémon Learnset (Core)'!$D$"&amp;MATCH($E756,'0.0.2 Pokémon Learnset (Core)'!$A$1:$A951,0)&amp;":$FK$"&amp;MATCH($E756,'0.0.2 Pokémon Learnset (Core)'!$A$1:$A951,0)),'Reverse Search'!$E$21)),IF($C$2=2,COUNTIF(INDIRECT("'0.1.1 Pokémon GO Moves'!$B$"&amp;MATCH($E756,'0.1.1 Pokémon GO Moves'!$A$1:$A951,0)&amp;":$R$"&amp;MATCH($E756,'0.1.1 Pokémon GO Moves'!$A$1:$A951,0)),'Reverse Search'!$E$21),COUNTIF(INDIRECT("'0.1.1 Pokémon GO Moves'!$B$"&amp;MATCH($E756,'0.1.1 Pokémon GO Moves'!$A$1:$A951,0)&amp;":$L$"&amp;MATCH($E756,'0.1.1 Pokémon GO Moves'!$A$1:$A951,0)),'Reverse Search'!$E$21)))))</f>
        <v>1</v>
      </c>
      <c r="AA756" s="0" t="n">
        <f aca="true">IF('Reverse Search'!$C$14="Disable",1,IF('Reverse Search'!$I$16="Disable",1,IF($D$2=3,IF($M756=0,0,COUNTIF(INDIRECT("'0.0.2 Pokémon Learnset (Core)'!$D$"&amp;MATCH($E756,'0.0.2 Pokémon Learnset (Core)'!$A$1:$A951,0)&amp;":$FK$"&amp;MATCH($E756,'0.0.2 Pokémon Learnset (Core)'!$A$1:$A951,0)),'Reverse Search'!$J$21)),IF($D$2=2,COUNTIF(INDIRECT("'0.1.1 Pokémon GO Moves'!$B$"&amp;MATCH($E756,'0.1.1 Pokémon GO Moves'!$A$1:$A951,0)&amp;":$R$"&amp;MATCH($E756,'0.1.1 Pokémon GO Moves'!$A$1:$A951,0)),'Reverse Search'!$J$21),COUNTIF(INDIRECT("'0.1.1 Pokémon GO Moves'!$B$"&amp;MATCH($E756,'0.1.1 Pokémon GO Moves'!$A$1:$A951,0)&amp;":$L$"&amp;MATCH($E756,'0.1.1 Pokémon GO Moves'!$A$1:$A951,0)),'Reverse Search'!$J$21)))))</f>
        <v>0</v>
      </c>
      <c r="AB756" s="490"/>
      <c r="AC756" s="260" t="n">
        <f aca="false">IF((Q756+R756+S756+V756+W756+X756+Y756+IF(Z756&gt;=1,1,0)+IF(AA756&gt;=1,1,0))=9,G756&amp;", ",)</f>
        <v>0</v>
      </c>
    </row>
    <row r="757" customFormat="false" ht="15.75" hidden="false" customHeight="false" outlineLevel="0" collapsed="false">
      <c r="A757" s="260"/>
      <c r="B757" s="358"/>
      <c r="C757" s="260"/>
      <c r="D757" s="358"/>
      <c r="E757" s="260" t="n">
        <v>756</v>
      </c>
      <c r="F757" s="260" t="n">
        <f aca="false" t="array" ref="F757:F757">INDEX('0.0.1 Pokémon Dex Data'!$H$3:$H951,MATCH(E757,'0.0.1 Pokémon Dex Data'!$B$3:$B951,0))</f>
        <v>0</v>
      </c>
      <c r="G757" s="0" t="str">
        <f aca="false" t="array" ref="G757:G757">INDEX('0.0.1 Pokémon Dex Data'!$E$3:$E951,MATCH(E757,'0.0.1 Pokémon Dex Data'!$B$3:$B951,0))</f>
        <v>Chespin</v>
      </c>
      <c r="H757" s="0" t="str">
        <f aca="false" t="array" ref="H757:H757">INDEX('0.0.1 Pokémon Dex Data'!$Q$3:$Q951,MATCH(E757,'0.0.1 Pokémon Dex Data'!$B$3:$B951,0))</f>
        <v>Grass</v>
      </c>
      <c r="I757" s="0" t="n">
        <f aca="false">INDEX('0.0.1 Pokémon Dex Data'!$R$3:$R951,MATCH(E757,'0.0.1 Pokémon Dex Data'!$B$3:$B951,0))</f>
        <v>0</v>
      </c>
      <c r="J757" s="260" t="n">
        <f aca="false" t="array" ref="J757:J757">ROUND(INDEX('0.0.1 Pokémon Dex Data'!$S$3:$S951,MATCH($E757,'0.0.1 Pokémon Dex Data'!$B$3:$B951,0))*INDEX('0.0.1 Pokémon Dex Data'!T$3:T951,MATCH($E757,'0.0.1 Pokémon Dex Data'!$B$3:$B951,0)),0)</f>
        <v>110</v>
      </c>
      <c r="K757" s="260" t="n">
        <f aca="false" t="array" ref="K757:K757">ROUND(INDEX('0.0.1 Pokémon Dex Data'!$S$3:$S951,MATCH($E757,'0.0.1 Pokémon Dex Data'!$B$3:$B951,0))*INDEX('0.0.1 Pokémon Dex Data'!U$3:U951,MATCH($E757,'0.0.1 Pokémon Dex Data'!$B$3:$B951,0)),0)</f>
        <v>106</v>
      </c>
      <c r="L757" s="260" t="n">
        <f aca="false" t="array" ref="L757:L757">ROUND(INDEX('0.0.1 Pokémon Dex Data'!$S$3:$S951,MATCH($E757,'0.0.1 Pokémon Dex Data'!$B$3:$B951,0))*INDEX('0.0.1 Pokémon Dex Data'!V$3:V951,MATCH($E757,'0.0.1 Pokémon Dex Data'!$B$3:$B951,0)),0)</f>
        <v>148</v>
      </c>
      <c r="M757" s="260" t="n">
        <f aca="false" t="array" ref="M757:M757">INDEX('0.0.1 Pokémon Dex Data'!$J$3:$J951,MATCH(E757,'0.0.1 Pokémon Dex Data'!$B$3:$B951,0))</f>
        <v>0</v>
      </c>
      <c r="O757" s="490"/>
      <c r="Q757" s="367" t="n">
        <f aca="false">IF('Reverse Search'!$F$4="All (including temporary formes)",1,IF('Reverse Search'!$F$4="Base Pokémon and permanent formes only",IF(F757&lt;=1,1,0),IF(F757=0,1,0)))</f>
        <v>1</v>
      </c>
      <c r="R757" s="0" t="n">
        <f aca="false">IF('Reverse Search'!$C$7="Disable",1,IF('Reverse Search'!$D$9="Disable",1,IF(OR('Reverse Search'!$F$9=H757,'Reverse Search'!$F$9=I757),1,0)))</f>
        <v>1</v>
      </c>
      <c r="S757" s="0" t="n">
        <f aca="false">IF('Reverse Search'!$C$7="Disable",1,IF('Reverse Search'!$D$10="Disable",1,IF(OR('Reverse Search'!$F$10=H757,'Reverse Search'!$F$10=I757),1,0)))</f>
        <v>1</v>
      </c>
      <c r="T757" s="0" t="n">
        <f aca="false">INDEX($B$4:$B$22,MATCH(H757,$A$4:$A$22,0))</f>
        <v>1</v>
      </c>
      <c r="U757" s="0" t="e">
        <f aca="false">IF(ISBLANK(I757),1,INDEX($B$4:$B$22,MATCH(I757,$A$4:$A$22,0)))</f>
        <v>#N/A</v>
      </c>
      <c r="V757" s="367" t="n">
        <f aca="false">IF('Reverse Search'!$C$7="Disable",1,IF('Reverse Search'!$D$11="Disable",1,IF('Reverse Search'!$E$11="Neutral to:",IF(ROUND(T757*U757,2)&lt;=1,1,0),IF(ROUND(T757*U757,2)&lt;1,1,0))))</f>
        <v>1</v>
      </c>
      <c r="W757" s="0" t="n">
        <f aca="false">IF('Reverse Search'!$N$7="Disable",1,IF('Reverse Search'!$I$9="Disable",1,IF('Reverse Search'!$K$9="≥",IF(J757&gt;='Reverse Search'!$L$9,1,0),IF('Reverse Search'!$K$9="≤",IF(J757&lt;='Reverse Search'!$L$9,1,0),IF(J757='Reverse Search'!$L$9,1,0)))))</f>
        <v>1</v>
      </c>
      <c r="X757" s="0" t="n">
        <f aca="false">IF('Reverse Search'!$N$7="Disable",1,IF('Reverse Search'!$I$10="Disable",1,IF('Reverse Search'!$K$10="≥",IF(K757&gt;='Reverse Search'!$L$10,1,0),IF('Reverse Search'!$K$10="≤",IF(K757&lt;='Reverse Search'!$L$10,1,0),IF(K757='Reverse Search'!$L$10,1,0)))))</f>
        <v>1</v>
      </c>
      <c r="Y757" s="367" t="n">
        <f aca="false">IF('Reverse Search'!$N$7="Disable",1,IF('Reverse Search'!$I$11="Disable",1,IF('Reverse Search'!$K$11="≥",IF(L757&gt;='Reverse Search'!$L$11,1,0),IF('Reverse Search'!$K$11="≤",IF(L757&lt;='Reverse Search'!$L$11,1,0),IF(L757='Reverse Search'!$L$11,1,0)))))</f>
        <v>1</v>
      </c>
      <c r="Z757" s="0" t="n">
        <f aca="true">IF('Reverse Search'!$C$14="Disable",1,IF('Reverse Search'!$D$16="Disable",1,IF($C$2=3,IF($M757=0,0,COUNTIF(INDIRECT("'0.0.2 Pokémon Learnset (Core)'!$D$"&amp;MATCH($E757,'0.0.2 Pokémon Learnset (Core)'!$A$1:$A951,0)&amp;":$FK$"&amp;MATCH($E757,'0.0.2 Pokémon Learnset (Core)'!$A$1:$A951,0)),'Reverse Search'!$E$21)),IF($C$2=2,COUNTIF(INDIRECT("'0.1.1 Pokémon GO Moves'!$B$"&amp;MATCH($E757,'0.1.1 Pokémon GO Moves'!$A$1:$A951,0)&amp;":$R$"&amp;MATCH($E757,'0.1.1 Pokémon GO Moves'!$A$1:$A951,0)),'Reverse Search'!$E$21),COUNTIF(INDIRECT("'0.1.1 Pokémon GO Moves'!$B$"&amp;MATCH($E757,'0.1.1 Pokémon GO Moves'!$A$1:$A951,0)&amp;":$L$"&amp;MATCH($E757,'0.1.1 Pokémon GO Moves'!$A$1:$A951,0)),'Reverse Search'!$E$21)))))</f>
        <v>1</v>
      </c>
      <c r="AA757" s="0" t="n">
        <f aca="true">IF('Reverse Search'!$C$14="Disable",1,IF('Reverse Search'!$I$16="Disable",1,IF($D$2=3,IF($M757=0,0,COUNTIF(INDIRECT("'0.0.2 Pokémon Learnset (Core)'!$D$"&amp;MATCH($E757,'0.0.2 Pokémon Learnset (Core)'!$A$1:$A951,0)&amp;":$FK$"&amp;MATCH($E757,'0.0.2 Pokémon Learnset (Core)'!$A$1:$A951,0)),'Reverse Search'!$J$21)),IF($D$2=2,COUNTIF(INDIRECT("'0.1.1 Pokémon GO Moves'!$B$"&amp;MATCH($E757,'0.1.1 Pokémon GO Moves'!$A$1:$A951,0)&amp;":$R$"&amp;MATCH($E757,'0.1.1 Pokémon GO Moves'!$A$1:$A951,0)),'Reverse Search'!$J$21),COUNTIF(INDIRECT("'0.1.1 Pokémon GO Moves'!$B$"&amp;MATCH($E757,'0.1.1 Pokémon GO Moves'!$A$1:$A951,0)&amp;":$L$"&amp;MATCH($E757,'0.1.1 Pokémon GO Moves'!$A$1:$A951,0)),'Reverse Search'!$J$21)))))</f>
        <v>0</v>
      </c>
      <c r="AB757" s="490"/>
      <c r="AC757" s="260" t="n">
        <f aca="false">IF((Q757+R757+S757+V757+W757+X757+Y757+IF(Z757&gt;=1,1,0)+IF(AA757&gt;=1,1,0))=9,G757&amp;", ",)</f>
        <v>0</v>
      </c>
    </row>
    <row r="758" customFormat="false" ht="15.75" hidden="false" customHeight="false" outlineLevel="0" collapsed="false">
      <c r="A758" s="260"/>
      <c r="B758" s="358"/>
      <c r="C758" s="260"/>
      <c r="D758" s="358"/>
      <c r="E758" s="260" t="n">
        <v>757</v>
      </c>
      <c r="F758" s="260" t="n">
        <f aca="false" t="array" ref="F758:F758">INDEX('0.0.1 Pokémon Dex Data'!$H$3:$H951,MATCH(E758,'0.0.1 Pokémon Dex Data'!$B$3:$B951,0))</f>
        <v>0</v>
      </c>
      <c r="G758" s="0" t="str">
        <f aca="false" t="array" ref="G758:G758">INDEX('0.0.1 Pokémon Dex Data'!$E$3:$E951,MATCH(E758,'0.0.1 Pokémon Dex Data'!$B$3:$B951,0))</f>
        <v>Quilladin</v>
      </c>
      <c r="H758" s="0" t="str">
        <f aca="false" t="array" ref="H758:H758">INDEX('0.0.1 Pokémon Dex Data'!$Q$3:$Q951,MATCH(E758,'0.0.1 Pokémon Dex Data'!$B$3:$B951,0))</f>
        <v>Grass</v>
      </c>
      <c r="I758" s="0" t="n">
        <f aca="false">INDEX('0.0.1 Pokémon Dex Data'!$R$3:$R951,MATCH(E758,'0.0.1 Pokémon Dex Data'!$B$3:$B951,0))</f>
        <v>0</v>
      </c>
      <c r="J758" s="260" t="n">
        <f aca="false" t="array" ref="J758:J758">ROUND(INDEX('0.0.1 Pokémon Dex Data'!$S$3:$S951,MATCH($E758,'0.0.1 Pokémon Dex Data'!$B$3:$B951,0))*INDEX('0.0.1 Pokémon Dex Data'!T$3:T951,MATCH($E758,'0.0.1 Pokémon Dex Data'!$B$3:$B951,0)),0)</f>
        <v>146</v>
      </c>
      <c r="K758" s="260" t="n">
        <f aca="false" t="array" ref="K758:K758">ROUND(INDEX('0.0.1 Pokémon Dex Data'!$S$3:$S951,MATCH($E758,'0.0.1 Pokémon Dex Data'!$B$3:$B951,0))*INDEX('0.0.1 Pokémon Dex Data'!U$3:U951,MATCH($E758,'0.0.1 Pokémon Dex Data'!$B$3:$B951,0)),0)</f>
        <v>156</v>
      </c>
      <c r="L758" s="260" t="n">
        <f aca="false" t="array" ref="L758:L758">ROUND(INDEX('0.0.1 Pokémon Dex Data'!$S$3:$S951,MATCH($E758,'0.0.1 Pokémon Dex Data'!$B$3:$B951,0))*INDEX('0.0.1 Pokémon Dex Data'!V$3:V951,MATCH($E758,'0.0.1 Pokémon Dex Data'!$B$3:$B951,0)),0)</f>
        <v>156</v>
      </c>
      <c r="M758" s="260" t="n">
        <f aca="false" t="array" ref="M758:M758">INDEX('0.0.1 Pokémon Dex Data'!$J$3:$J951,MATCH(E758,'0.0.1 Pokémon Dex Data'!$B$3:$B951,0))</f>
        <v>0</v>
      </c>
      <c r="O758" s="490"/>
      <c r="Q758" s="367" t="n">
        <f aca="false">IF('Reverse Search'!$F$4="All (including temporary formes)",1,IF('Reverse Search'!$F$4="Base Pokémon and permanent formes only",IF(F758&lt;=1,1,0),IF(F758=0,1,0)))</f>
        <v>1</v>
      </c>
      <c r="R758" s="0" t="n">
        <f aca="false">IF('Reverse Search'!$C$7="Disable",1,IF('Reverse Search'!$D$9="Disable",1,IF(OR('Reverse Search'!$F$9=H758,'Reverse Search'!$F$9=I758),1,0)))</f>
        <v>1</v>
      </c>
      <c r="S758" s="0" t="n">
        <f aca="false">IF('Reverse Search'!$C$7="Disable",1,IF('Reverse Search'!$D$10="Disable",1,IF(OR('Reverse Search'!$F$10=H758,'Reverse Search'!$F$10=I758),1,0)))</f>
        <v>1</v>
      </c>
      <c r="T758" s="0" t="n">
        <f aca="false">INDEX($B$4:$B$22,MATCH(H758,$A$4:$A$22,0))</f>
        <v>1</v>
      </c>
      <c r="U758" s="0" t="e">
        <f aca="false">IF(ISBLANK(I758),1,INDEX($B$4:$B$22,MATCH(I758,$A$4:$A$22,0)))</f>
        <v>#N/A</v>
      </c>
      <c r="V758" s="367" t="n">
        <f aca="false">IF('Reverse Search'!$C$7="Disable",1,IF('Reverse Search'!$D$11="Disable",1,IF('Reverse Search'!$E$11="Neutral to:",IF(ROUND(T758*U758,2)&lt;=1,1,0),IF(ROUND(T758*U758,2)&lt;1,1,0))))</f>
        <v>1</v>
      </c>
      <c r="W758" s="0" t="n">
        <f aca="false">IF('Reverse Search'!$N$7="Disable",1,IF('Reverse Search'!$I$9="Disable",1,IF('Reverse Search'!$K$9="≥",IF(J758&gt;='Reverse Search'!$L$9,1,0),IF('Reverse Search'!$K$9="≤",IF(J758&lt;='Reverse Search'!$L$9,1,0),IF(J758='Reverse Search'!$L$9,1,0)))))</f>
        <v>1</v>
      </c>
      <c r="X758" s="0" t="n">
        <f aca="false">IF('Reverse Search'!$N$7="Disable",1,IF('Reverse Search'!$I$10="Disable",1,IF('Reverse Search'!$K$10="≥",IF(K758&gt;='Reverse Search'!$L$10,1,0),IF('Reverse Search'!$K$10="≤",IF(K758&lt;='Reverse Search'!$L$10,1,0),IF(K758='Reverse Search'!$L$10,1,0)))))</f>
        <v>1</v>
      </c>
      <c r="Y758" s="367" t="n">
        <f aca="false">IF('Reverse Search'!$N$7="Disable",1,IF('Reverse Search'!$I$11="Disable",1,IF('Reverse Search'!$K$11="≥",IF(L758&gt;='Reverse Search'!$L$11,1,0),IF('Reverse Search'!$K$11="≤",IF(L758&lt;='Reverse Search'!$L$11,1,0),IF(L758='Reverse Search'!$L$11,1,0)))))</f>
        <v>1</v>
      </c>
      <c r="Z758" s="0" t="n">
        <f aca="true">IF('Reverse Search'!$C$14="Disable",1,IF('Reverse Search'!$D$16="Disable",1,IF($C$2=3,IF($M758=0,0,COUNTIF(INDIRECT("'0.0.2 Pokémon Learnset (Core)'!$D$"&amp;MATCH($E758,'0.0.2 Pokémon Learnset (Core)'!$A$1:$A951,0)&amp;":$FK$"&amp;MATCH($E758,'0.0.2 Pokémon Learnset (Core)'!$A$1:$A951,0)),'Reverse Search'!$E$21)),IF($C$2=2,COUNTIF(INDIRECT("'0.1.1 Pokémon GO Moves'!$B$"&amp;MATCH($E758,'0.1.1 Pokémon GO Moves'!$A$1:$A951,0)&amp;":$R$"&amp;MATCH($E758,'0.1.1 Pokémon GO Moves'!$A$1:$A951,0)),'Reverse Search'!$E$21),COUNTIF(INDIRECT("'0.1.1 Pokémon GO Moves'!$B$"&amp;MATCH($E758,'0.1.1 Pokémon GO Moves'!$A$1:$A951,0)&amp;":$L$"&amp;MATCH($E758,'0.1.1 Pokémon GO Moves'!$A$1:$A951,0)),'Reverse Search'!$E$21)))))</f>
        <v>1</v>
      </c>
      <c r="AA758" s="0" t="n">
        <f aca="true">IF('Reverse Search'!$C$14="Disable",1,IF('Reverse Search'!$I$16="Disable",1,IF($D$2=3,IF($M758=0,0,COUNTIF(INDIRECT("'0.0.2 Pokémon Learnset (Core)'!$D$"&amp;MATCH($E758,'0.0.2 Pokémon Learnset (Core)'!$A$1:$A951,0)&amp;":$FK$"&amp;MATCH($E758,'0.0.2 Pokémon Learnset (Core)'!$A$1:$A951,0)),'Reverse Search'!$J$21)),IF($D$2=2,COUNTIF(INDIRECT("'0.1.1 Pokémon GO Moves'!$B$"&amp;MATCH($E758,'0.1.1 Pokémon GO Moves'!$A$1:$A951,0)&amp;":$R$"&amp;MATCH($E758,'0.1.1 Pokémon GO Moves'!$A$1:$A951,0)),'Reverse Search'!$J$21),COUNTIF(INDIRECT("'0.1.1 Pokémon GO Moves'!$B$"&amp;MATCH($E758,'0.1.1 Pokémon GO Moves'!$A$1:$A951,0)&amp;":$L$"&amp;MATCH($E758,'0.1.1 Pokémon GO Moves'!$A$1:$A951,0)),'Reverse Search'!$J$21)))))</f>
        <v>0</v>
      </c>
      <c r="AB758" s="490"/>
      <c r="AC758" s="260" t="n">
        <f aca="false">IF((Q758+R758+S758+V758+W758+X758+Y758+IF(Z758&gt;=1,1,0)+IF(AA758&gt;=1,1,0))=9,G758&amp;", ",)</f>
        <v>0</v>
      </c>
    </row>
    <row r="759" customFormat="false" ht="15.75" hidden="false" customHeight="false" outlineLevel="0" collapsed="false">
      <c r="A759" s="260"/>
      <c r="B759" s="358"/>
      <c r="C759" s="260"/>
      <c r="D759" s="358"/>
      <c r="E759" s="260" t="n">
        <v>758</v>
      </c>
      <c r="F759" s="260" t="n">
        <f aca="false" t="array" ref="F759:F759">INDEX('0.0.1 Pokémon Dex Data'!$H$3:$H951,MATCH(E759,'0.0.1 Pokémon Dex Data'!$B$3:$B951,0))</f>
        <v>0</v>
      </c>
      <c r="G759" s="0" t="str">
        <f aca="false" t="array" ref="G759:G759">INDEX('0.0.1 Pokémon Dex Data'!$E$3:$E951,MATCH(E759,'0.0.1 Pokémon Dex Data'!$B$3:$B951,0))</f>
        <v>Chesnaught</v>
      </c>
      <c r="H759" s="0" t="str">
        <f aca="false" t="array" ref="H759:H759">INDEX('0.0.1 Pokémon Dex Data'!$Q$3:$Q951,MATCH(E759,'0.0.1 Pokémon Dex Data'!$B$3:$B951,0))</f>
        <v>Grass</v>
      </c>
      <c r="I759" s="0" t="str">
        <f aca="false" t="array" ref="I759:I759">INDEX('0.0.1 Pokémon Dex Data'!$R$3:$R951,MATCH(E759,'0.0.1 Pokémon Dex Data'!$B$3:$B951,0))</f>
        <v>Fighting</v>
      </c>
      <c r="J759" s="260" t="n">
        <f aca="false" t="array" ref="J759:J759">ROUND(INDEX('0.0.1 Pokémon Dex Data'!$S$3:$S951,MATCH($E759,'0.0.1 Pokémon Dex Data'!$B$3:$B951,0))*INDEX('0.0.1 Pokémon Dex Data'!T$3:T951,MATCH($E759,'0.0.1 Pokémon Dex Data'!$B$3:$B951,0)),0)</f>
        <v>201</v>
      </c>
      <c r="K759" s="260" t="n">
        <f aca="false" t="array" ref="K759:K759">ROUND(INDEX('0.0.1 Pokémon Dex Data'!$S$3:$S951,MATCH($E759,'0.0.1 Pokémon Dex Data'!$B$3:$B951,0))*INDEX('0.0.1 Pokémon Dex Data'!U$3:U951,MATCH($E759,'0.0.1 Pokémon Dex Data'!$B$3:$B951,0)),0)</f>
        <v>204</v>
      </c>
      <c r="L759" s="260" t="n">
        <f aca="false" t="array" ref="L759:L759">ROUND(INDEX('0.0.1 Pokémon Dex Data'!$S$3:$S951,MATCH($E759,'0.0.1 Pokémon Dex Data'!$B$3:$B951,0))*INDEX('0.0.1 Pokémon Dex Data'!V$3:V951,MATCH($E759,'0.0.1 Pokémon Dex Data'!$B$3:$B951,0)),0)</f>
        <v>204</v>
      </c>
      <c r="M759" s="260" t="n">
        <f aca="false" t="array" ref="M759:M759">INDEX('0.0.1 Pokémon Dex Data'!$J$3:$J951,MATCH(E759,'0.0.1 Pokémon Dex Data'!$B$3:$B951,0))</f>
        <v>1</v>
      </c>
      <c r="O759" s="490"/>
      <c r="Q759" s="367" t="n">
        <f aca="false">IF('Reverse Search'!$F$4="All (including temporary formes)",1,IF('Reverse Search'!$F$4="Base Pokémon and permanent formes only",IF(F759&lt;=1,1,0),IF(F759=0,1,0)))</f>
        <v>1</v>
      </c>
      <c r="R759" s="0" t="n">
        <f aca="false">IF('Reverse Search'!$C$7="Disable",1,IF('Reverse Search'!$D$9="Disable",1,IF(OR('Reverse Search'!$F$9=H759,'Reverse Search'!$F$9=I759),1,0)))</f>
        <v>1</v>
      </c>
      <c r="S759" s="0" t="n">
        <f aca="false">IF('Reverse Search'!$C$7="Disable",1,IF('Reverse Search'!$D$10="Disable",1,IF(OR('Reverse Search'!$F$10=H759,'Reverse Search'!$F$10=I759),1,0)))</f>
        <v>1</v>
      </c>
      <c r="T759" s="0" t="n">
        <f aca="false">INDEX($B$4:$B$22,MATCH(H759,$A$4:$A$22,0))</f>
        <v>1</v>
      </c>
      <c r="U759" s="0" t="n">
        <f aca="false">IF(ISBLANK(I759),1,INDEX($B$4:$B$22,MATCH(I759,$A$4:$A$22,0)))</f>
        <v>1</v>
      </c>
      <c r="V759" s="367" t="n">
        <f aca="false">IF('Reverse Search'!$C$7="Disable",1,IF('Reverse Search'!$D$11="Disable",1,IF('Reverse Search'!$E$11="Neutral to:",IF(ROUND(T759*U759,2)&lt;=1,1,0),IF(ROUND(T759*U759,2)&lt;1,1,0))))</f>
        <v>1</v>
      </c>
      <c r="W759" s="0" t="n">
        <f aca="false">IF('Reverse Search'!$N$7="Disable",1,IF('Reverse Search'!$I$9="Disable",1,IF('Reverse Search'!$K$9="≥",IF(J759&gt;='Reverse Search'!$L$9,1,0),IF('Reverse Search'!$K$9="≤",IF(J759&lt;='Reverse Search'!$L$9,1,0),IF(J759='Reverse Search'!$L$9,1,0)))))</f>
        <v>1</v>
      </c>
      <c r="X759" s="0" t="n">
        <f aca="false">IF('Reverse Search'!$N$7="Disable",1,IF('Reverse Search'!$I$10="Disable",1,IF('Reverse Search'!$K$10="≥",IF(K759&gt;='Reverse Search'!$L$10,1,0),IF('Reverse Search'!$K$10="≤",IF(K759&lt;='Reverse Search'!$L$10,1,0),IF(K759='Reverse Search'!$L$10,1,0)))))</f>
        <v>1</v>
      </c>
      <c r="Y759" s="367" t="n">
        <f aca="false">IF('Reverse Search'!$N$7="Disable",1,IF('Reverse Search'!$I$11="Disable",1,IF('Reverse Search'!$K$11="≥",IF(L759&gt;='Reverse Search'!$L$11,1,0),IF('Reverse Search'!$K$11="≤",IF(L759&lt;='Reverse Search'!$L$11,1,0),IF(L759='Reverse Search'!$L$11,1,0)))))</f>
        <v>1</v>
      </c>
      <c r="Z759" s="0" t="n">
        <f aca="true">IF('Reverse Search'!$C$14="Disable",1,IF('Reverse Search'!$D$16="Disable",1,IF($C$2=3,IF($M759=0,0,COUNTIF(INDIRECT("'0.0.2 Pokémon Learnset (Core)'!$D$"&amp;MATCH($E759,'0.0.2 Pokémon Learnset (Core)'!$A$1:$A951,0)&amp;":$FK$"&amp;MATCH($E759,'0.0.2 Pokémon Learnset (Core)'!$A$1:$A951,0)),'Reverse Search'!$E$21)),IF($C$2=2,COUNTIF(INDIRECT("'0.1.1 Pokémon GO Moves'!$B$"&amp;MATCH($E759,'0.1.1 Pokémon GO Moves'!$A$1:$A951,0)&amp;":$R$"&amp;MATCH($E759,'0.1.1 Pokémon GO Moves'!$A$1:$A951,0)),'Reverse Search'!$E$21),COUNTIF(INDIRECT("'0.1.1 Pokémon GO Moves'!$B$"&amp;MATCH($E759,'0.1.1 Pokémon GO Moves'!$A$1:$A951,0)&amp;":$L$"&amp;MATCH($E759,'0.1.1 Pokémon GO Moves'!$A$1:$A951,0)),'Reverse Search'!$E$21)))))</f>
        <v>1</v>
      </c>
      <c r="AA759" s="0" t="n">
        <f aca="true">IF('Reverse Search'!$C$14="Disable",1,IF('Reverse Search'!$I$16="Disable",1,IF($D$2=3,IF($M759=0,0,COUNTIF(INDIRECT("'0.0.2 Pokémon Learnset (Core)'!$D$"&amp;MATCH($E759,'0.0.2 Pokémon Learnset (Core)'!$A$1:$A951,0)&amp;":$FK$"&amp;MATCH($E759,'0.0.2 Pokémon Learnset (Core)'!$A$1:$A951,0)),'Reverse Search'!$J$21)),IF($D$2=2,COUNTIF(INDIRECT("'0.1.1 Pokémon GO Moves'!$B$"&amp;MATCH($E759,'0.1.1 Pokémon GO Moves'!$A$1:$A951,0)&amp;":$R$"&amp;MATCH($E759,'0.1.1 Pokémon GO Moves'!$A$1:$A951,0)),'Reverse Search'!$J$21),COUNTIF(INDIRECT("'0.1.1 Pokémon GO Moves'!$B$"&amp;MATCH($E759,'0.1.1 Pokémon GO Moves'!$A$1:$A951,0)&amp;":$L$"&amp;MATCH($E759,'0.1.1 Pokémon GO Moves'!$A$1:$A951,0)),'Reverse Search'!$J$21)))))</f>
        <v>0</v>
      </c>
      <c r="AB759" s="490"/>
      <c r="AC759" s="260" t="n">
        <f aca="false">IF((Q759+R759+S759+V759+W759+X759+Y759+IF(Z759&gt;=1,1,0)+IF(AA759&gt;=1,1,0))=9,G759&amp;", ",)</f>
        <v>0</v>
      </c>
    </row>
    <row r="760" customFormat="false" ht="15.75" hidden="false" customHeight="false" outlineLevel="0" collapsed="false">
      <c r="A760" s="260"/>
      <c r="B760" s="358"/>
      <c r="C760" s="260"/>
      <c r="D760" s="358"/>
      <c r="E760" s="260" t="n">
        <v>759</v>
      </c>
      <c r="F760" s="260" t="n">
        <f aca="false" t="array" ref="F760:F760">INDEX('0.0.1 Pokémon Dex Data'!$H$3:$H951,MATCH(E760,'0.0.1 Pokémon Dex Data'!$B$3:$B951,0))</f>
        <v>0</v>
      </c>
      <c r="G760" s="0" t="str">
        <f aca="false" t="array" ref="G760:G760">INDEX('0.0.1 Pokémon Dex Data'!$E$3:$E951,MATCH(E760,'0.0.1 Pokémon Dex Data'!$B$3:$B951,0))</f>
        <v>Fennekin</v>
      </c>
      <c r="H760" s="0" t="str">
        <f aca="false" t="array" ref="H760:H760">INDEX('0.0.1 Pokémon Dex Data'!$Q$3:$Q951,MATCH(E760,'0.0.1 Pokémon Dex Data'!$B$3:$B951,0))</f>
        <v>Fire</v>
      </c>
      <c r="I760" s="0" t="n">
        <f aca="false">INDEX('0.0.1 Pokémon Dex Data'!$R$3:$R951,MATCH(E760,'0.0.1 Pokémon Dex Data'!$B$3:$B951,0))</f>
        <v>0</v>
      </c>
      <c r="J760" s="260" t="n">
        <f aca="false" t="array" ref="J760:J760">ROUND(INDEX('0.0.1 Pokémon Dex Data'!$S$3:$S951,MATCH($E760,'0.0.1 Pokémon Dex Data'!$B$3:$B951,0))*INDEX('0.0.1 Pokémon Dex Data'!T$3:T951,MATCH($E760,'0.0.1 Pokémon Dex Data'!$B$3:$B951,0)),0)</f>
        <v>116</v>
      </c>
      <c r="K760" s="260" t="n">
        <f aca="false" t="array" ref="K760:K760">ROUND(INDEX('0.0.1 Pokémon Dex Data'!$S$3:$S951,MATCH($E760,'0.0.1 Pokémon Dex Data'!$B$3:$B951,0))*INDEX('0.0.1 Pokémon Dex Data'!U$3:U951,MATCH($E760,'0.0.1 Pokémon Dex Data'!$B$3:$B951,0)),0)</f>
        <v>102</v>
      </c>
      <c r="L760" s="260" t="n">
        <f aca="false" t="array" ref="L760:L760">ROUND(INDEX('0.0.1 Pokémon Dex Data'!$S$3:$S951,MATCH($E760,'0.0.1 Pokémon Dex Data'!$B$3:$B951,0))*INDEX('0.0.1 Pokémon Dex Data'!V$3:V951,MATCH($E760,'0.0.1 Pokémon Dex Data'!$B$3:$B951,0)),0)</f>
        <v>120</v>
      </c>
      <c r="M760" s="260" t="n">
        <f aca="false" t="array" ref="M760:M760">INDEX('0.0.1 Pokémon Dex Data'!$J$3:$J951,MATCH(E760,'0.0.1 Pokémon Dex Data'!$B$3:$B951,0))</f>
        <v>0</v>
      </c>
      <c r="O760" s="490"/>
      <c r="Q760" s="367" t="n">
        <f aca="false">IF('Reverse Search'!$F$4="All (including temporary formes)",1,IF('Reverse Search'!$F$4="Base Pokémon and permanent formes only",IF(F760&lt;=1,1,0),IF(F760=0,1,0)))</f>
        <v>1</v>
      </c>
      <c r="R760" s="0" t="n">
        <f aca="false">IF('Reverse Search'!$C$7="Disable",1,IF('Reverse Search'!$D$9="Disable",1,IF(OR('Reverse Search'!$F$9=H760,'Reverse Search'!$F$9=I760),1,0)))</f>
        <v>1</v>
      </c>
      <c r="S760" s="0" t="n">
        <f aca="false">IF('Reverse Search'!$C$7="Disable",1,IF('Reverse Search'!$D$10="Disable",1,IF(OR('Reverse Search'!$F$10=H760,'Reverse Search'!$F$10=I760),1,0)))</f>
        <v>1</v>
      </c>
      <c r="T760" s="0" t="n">
        <f aca="false">INDEX($B$4:$B$22,MATCH(H760,$A$4:$A$22,0))</f>
        <v>1</v>
      </c>
      <c r="U760" s="0" t="e">
        <f aca="false">IF(ISBLANK(I760),1,INDEX($B$4:$B$22,MATCH(I760,$A$4:$A$22,0)))</f>
        <v>#N/A</v>
      </c>
      <c r="V760" s="367" t="n">
        <f aca="false">IF('Reverse Search'!$C$7="Disable",1,IF('Reverse Search'!$D$11="Disable",1,IF('Reverse Search'!$E$11="Neutral to:",IF(ROUND(T760*U760,2)&lt;=1,1,0),IF(ROUND(T760*U760,2)&lt;1,1,0))))</f>
        <v>1</v>
      </c>
      <c r="W760" s="0" t="n">
        <f aca="false">IF('Reverse Search'!$N$7="Disable",1,IF('Reverse Search'!$I$9="Disable",1,IF('Reverse Search'!$K$9="≥",IF(J760&gt;='Reverse Search'!$L$9,1,0),IF('Reverse Search'!$K$9="≤",IF(J760&lt;='Reverse Search'!$L$9,1,0),IF(J760='Reverse Search'!$L$9,1,0)))))</f>
        <v>1</v>
      </c>
      <c r="X760" s="0" t="n">
        <f aca="false">IF('Reverse Search'!$N$7="Disable",1,IF('Reverse Search'!$I$10="Disable",1,IF('Reverse Search'!$K$10="≥",IF(K760&gt;='Reverse Search'!$L$10,1,0),IF('Reverse Search'!$K$10="≤",IF(K760&lt;='Reverse Search'!$L$10,1,0),IF(K760='Reverse Search'!$L$10,1,0)))))</f>
        <v>1</v>
      </c>
      <c r="Y760" s="367" t="n">
        <f aca="false">IF('Reverse Search'!$N$7="Disable",1,IF('Reverse Search'!$I$11="Disable",1,IF('Reverse Search'!$K$11="≥",IF(L760&gt;='Reverse Search'!$L$11,1,0),IF('Reverse Search'!$K$11="≤",IF(L760&lt;='Reverse Search'!$L$11,1,0),IF(L760='Reverse Search'!$L$11,1,0)))))</f>
        <v>1</v>
      </c>
      <c r="Z760" s="0" t="n">
        <f aca="true">IF('Reverse Search'!$C$14="Disable",1,IF('Reverse Search'!$D$16="Disable",1,IF($C$2=3,IF($M760=0,0,COUNTIF(INDIRECT("'0.0.2 Pokémon Learnset (Core)'!$D$"&amp;MATCH($E760,'0.0.2 Pokémon Learnset (Core)'!$A$1:$A951,0)&amp;":$FK$"&amp;MATCH($E760,'0.0.2 Pokémon Learnset (Core)'!$A$1:$A951,0)),'Reverse Search'!$E$21)),IF($C$2=2,COUNTIF(INDIRECT("'0.1.1 Pokémon GO Moves'!$B$"&amp;MATCH($E760,'0.1.1 Pokémon GO Moves'!$A$1:$A951,0)&amp;":$R$"&amp;MATCH($E760,'0.1.1 Pokémon GO Moves'!$A$1:$A951,0)),'Reverse Search'!$E$21),COUNTIF(INDIRECT("'0.1.1 Pokémon GO Moves'!$B$"&amp;MATCH($E760,'0.1.1 Pokémon GO Moves'!$A$1:$A951,0)&amp;":$L$"&amp;MATCH($E760,'0.1.1 Pokémon GO Moves'!$A$1:$A951,0)),'Reverse Search'!$E$21)))))</f>
        <v>1</v>
      </c>
      <c r="AA760" s="0" t="n">
        <f aca="true">IF('Reverse Search'!$C$14="Disable",1,IF('Reverse Search'!$I$16="Disable",1,IF($D$2=3,IF($M760=0,0,COUNTIF(INDIRECT("'0.0.2 Pokémon Learnset (Core)'!$D$"&amp;MATCH($E760,'0.0.2 Pokémon Learnset (Core)'!$A$1:$A951,0)&amp;":$FK$"&amp;MATCH($E760,'0.0.2 Pokémon Learnset (Core)'!$A$1:$A951,0)),'Reverse Search'!$J$21)),IF($D$2=2,COUNTIF(INDIRECT("'0.1.1 Pokémon GO Moves'!$B$"&amp;MATCH($E760,'0.1.1 Pokémon GO Moves'!$A$1:$A951,0)&amp;":$R$"&amp;MATCH($E760,'0.1.1 Pokémon GO Moves'!$A$1:$A951,0)),'Reverse Search'!$J$21),COUNTIF(INDIRECT("'0.1.1 Pokémon GO Moves'!$B$"&amp;MATCH($E760,'0.1.1 Pokémon GO Moves'!$A$1:$A951,0)&amp;":$L$"&amp;MATCH($E760,'0.1.1 Pokémon GO Moves'!$A$1:$A951,0)),'Reverse Search'!$J$21)))))</f>
        <v>0</v>
      </c>
      <c r="AB760" s="490"/>
      <c r="AC760" s="260" t="n">
        <f aca="false">IF((Q760+R760+S760+V760+W760+X760+Y760+IF(Z760&gt;=1,1,0)+IF(AA760&gt;=1,1,0))=9,G760&amp;", ",)</f>
        <v>0</v>
      </c>
    </row>
    <row r="761" customFormat="false" ht="15.75" hidden="false" customHeight="false" outlineLevel="0" collapsed="false">
      <c r="A761" s="260"/>
      <c r="B761" s="358"/>
      <c r="C761" s="260"/>
      <c r="D761" s="358"/>
      <c r="E761" s="260" t="n">
        <v>760</v>
      </c>
      <c r="F761" s="260" t="n">
        <f aca="false" t="array" ref="F761:F761">INDEX('0.0.1 Pokémon Dex Data'!$H$3:$H951,MATCH(E761,'0.0.1 Pokémon Dex Data'!$B$3:$B951,0))</f>
        <v>0</v>
      </c>
      <c r="G761" s="0" t="str">
        <f aca="false" t="array" ref="G761:G761">INDEX('0.0.1 Pokémon Dex Data'!$E$3:$E951,MATCH(E761,'0.0.1 Pokémon Dex Data'!$B$3:$B951,0))</f>
        <v>Braixen</v>
      </c>
      <c r="H761" s="0" t="str">
        <f aca="false" t="array" ref="H761:H761">INDEX('0.0.1 Pokémon Dex Data'!$Q$3:$Q951,MATCH(E761,'0.0.1 Pokémon Dex Data'!$B$3:$B951,0))</f>
        <v>Fire</v>
      </c>
      <c r="I761" s="0" t="n">
        <f aca="false">INDEX('0.0.1 Pokémon Dex Data'!$R$3:$R951,MATCH(E761,'0.0.1 Pokémon Dex Data'!$B$3:$B951,0))</f>
        <v>0</v>
      </c>
      <c r="J761" s="260" t="n">
        <f aca="false" t="array" ref="J761:J761">ROUND(INDEX('0.0.1 Pokémon Dex Data'!$S$3:$S951,MATCH($E761,'0.0.1 Pokémon Dex Data'!$B$3:$B951,0))*INDEX('0.0.1 Pokémon Dex Data'!T$3:T951,MATCH($E761,'0.0.1 Pokémon Dex Data'!$B$3:$B951,0)),0)</f>
        <v>171</v>
      </c>
      <c r="K761" s="260" t="n">
        <f aca="false" t="array" ref="K761:K761">ROUND(INDEX('0.0.1 Pokémon Dex Data'!$S$3:$S951,MATCH($E761,'0.0.1 Pokémon Dex Data'!$B$3:$B951,0))*INDEX('0.0.1 Pokémon Dex Data'!U$3:U951,MATCH($E761,'0.0.1 Pokémon Dex Data'!$B$3:$B951,0)),0)</f>
        <v>130</v>
      </c>
      <c r="L761" s="260" t="n">
        <f aca="false" t="array" ref="L761:L761">ROUND(INDEX('0.0.1 Pokémon Dex Data'!$S$3:$S951,MATCH($E761,'0.0.1 Pokémon Dex Data'!$B$3:$B951,0))*INDEX('0.0.1 Pokémon Dex Data'!V$3:V951,MATCH($E761,'0.0.1 Pokémon Dex Data'!$B$3:$B951,0)),0)</f>
        <v>153</v>
      </c>
      <c r="M761" s="260" t="n">
        <f aca="false" t="array" ref="M761:M761">INDEX('0.0.1 Pokémon Dex Data'!$J$3:$J951,MATCH(E761,'0.0.1 Pokémon Dex Data'!$B$3:$B951,0))</f>
        <v>0</v>
      </c>
      <c r="O761" s="490"/>
      <c r="Q761" s="367" t="n">
        <f aca="false">IF('Reverse Search'!$F$4="All (including temporary formes)",1,IF('Reverse Search'!$F$4="Base Pokémon and permanent formes only",IF(F761&lt;=1,1,0),IF(F761=0,1,0)))</f>
        <v>1</v>
      </c>
      <c r="R761" s="0" t="n">
        <f aca="false">IF('Reverse Search'!$C$7="Disable",1,IF('Reverse Search'!$D$9="Disable",1,IF(OR('Reverse Search'!$F$9=H761,'Reverse Search'!$F$9=I761),1,0)))</f>
        <v>1</v>
      </c>
      <c r="S761" s="0" t="n">
        <f aca="false">IF('Reverse Search'!$C$7="Disable",1,IF('Reverse Search'!$D$10="Disable",1,IF(OR('Reverse Search'!$F$10=H761,'Reverse Search'!$F$10=I761),1,0)))</f>
        <v>1</v>
      </c>
      <c r="T761" s="0" t="n">
        <f aca="false">INDEX($B$4:$B$22,MATCH(H761,$A$4:$A$22,0))</f>
        <v>1</v>
      </c>
      <c r="U761" s="0" t="e">
        <f aca="false">IF(ISBLANK(I761),1,INDEX($B$4:$B$22,MATCH(I761,$A$4:$A$22,0)))</f>
        <v>#N/A</v>
      </c>
      <c r="V761" s="367" t="n">
        <f aca="false">IF('Reverse Search'!$C$7="Disable",1,IF('Reverse Search'!$D$11="Disable",1,IF('Reverse Search'!$E$11="Neutral to:",IF(ROUND(T761*U761,2)&lt;=1,1,0),IF(ROUND(T761*U761,2)&lt;1,1,0))))</f>
        <v>1</v>
      </c>
      <c r="W761" s="0" t="n">
        <f aca="false">IF('Reverse Search'!$N$7="Disable",1,IF('Reverse Search'!$I$9="Disable",1,IF('Reverse Search'!$K$9="≥",IF(J761&gt;='Reverse Search'!$L$9,1,0),IF('Reverse Search'!$K$9="≤",IF(J761&lt;='Reverse Search'!$L$9,1,0),IF(J761='Reverse Search'!$L$9,1,0)))))</f>
        <v>1</v>
      </c>
      <c r="X761" s="0" t="n">
        <f aca="false">IF('Reverse Search'!$N$7="Disable",1,IF('Reverse Search'!$I$10="Disable",1,IF('Reverse Search'!$K$10="≥",IF(K761&gt;='Reverse Search'!$L$10,1,0),IF('Reverse Search'!$K$10="≤",IF(K761&lt;='Reverse Search'!$L$10,1,0),IF(K761='Reverse Search'!$L$10,1,0)))))</f>
        <v>1</v>
      </c>
      <c r="Y761" s="367" t="n">
        <f aca="false">IF('Reverse Search'!$N$7="Disable",1,IF('Reverse Search'!$I$11="Disable",1,IF('Reverse Search'!$K$11="≥",IF(L761&gt;='Reverse Search'!$L$11,1,0),IF('Reverse Search'!$K$11="≤",IF(L761&lt;='Reverse Search'!$L$11,1,0),IF(L761='Reverse Search'!$L$11,1,0)))))</f>
        <v>1</v>
      </c>
      <c r="Z761" s="0" t="n">
        <f aca="true">IF('Reverse Search'!$C$14="Disable",1,IF('Reverse Search'!$D$16="Disable",1,IF($C$2=3,IF($M761=0,0,COUNTIF(INDIRECT("'0.0.2 Pokémon Learnset (Core)'!$D$"&amp;MATCH($E761,'0.0.2 Pokémon Learnset (Core)'!$A$1:$A951,0)&amp;":$FK$"&amp;MATCH($E761,'0.0.2 Pokémon Learnset (Core)'!$A$1:$A951,0)),'Reverse Search'!$E$21)),IF($C$2=2,COUNTIF(INDIRECT("'0.1.1 Pokémon GO Moves'!$B$"&amp;MATCH($E761,'0.1.1 Pokémon GO Moves'!$A$1:$A951,0)&amp;":$R$"&amp;MATCH($E761,'0.1.1 Pokémon GO Moves'!$A$1:$A951,0)),'Reverse Search'!$E$21),COUNTIF(INDIRECT("'0.1.1 Pokémon GO Moves'!$B$"&amp;MATCH($E761,'0.1.1 Pokémon GO Moves'!$A$1:$A951,0)&amp;":$L$"&amp;MATCH($E761,'0.1.1 Pokémon GO Moves'!$A$1:$A951,0)),'Reverse Search'!$E$21)))))</f>
        <v>1</v>
      </c>
      <c r="AA761" s="0" t="n">
        <f aca="true">IF('Reverse Search'!$C$14="Disable",1,IF('Reverse Search'!$I$16="Disable",1,IF($D$2=3,IF($M761=0,0,COUNTIF(INDIRECT("'0.0.2 Pokémon Learnset (Core)'!$D$"&amp;MATCH($E761,'0.0.2 Pokémon Learnset (Core)'!$A$1:$A951,0)&amp;":$FK$"&amp;MATCH($E761,'0.0.2 Pokémon Learnset (Core)'!$A$1:$A951,0)),'Reverse Search'!$J$21)),IF($D$2=2,COUNTIF(INDIRECT("'0.1.1 Pokémon GO Moves'!$B$"&amp;MATCH($E761,'0.1.1 Pokémon GO Moves'!$A$1:$A951,0)&amp;":$R$"&amp;MATCH($E761,'0.1.1 Pokémon GO Moves'!$A$1:$A951,0)),'Reverse Search'!$J$21),COUNTIF(INDIRECT("'0.1.1 Pokémon GO Moves'!$B$"&amp;MATCH($E761,'0.1.1 Pokémon GO Moves'!$A$1:$A951,0)&amp;":$L$"&amp;MATCH($E761,'0.1.1 Pokémon GO Moves'!$A$1:$A951,0)),'Reverse Search'!$J$21)))))</f>
        <v>0</v>
      </c>
      <c r="AB761" s="490"/>
      <c r="AC761" s="260" t="n">
        <f aca="false">IF((Q761+R761+S761+V761+W761+X761+Y761+IF(Z761&gt;=1,1,0)+IF(AA761&gt;=1,1,0))=9,G761&amp;", ",)</f>
        <v>0</v>
      </c>
    </row>
    <row r="762" customFormat="false" ht="15.75" hidden="false" customHeight="false" outlineLevel="0" collapsed="false">
      <c r="A762" s="260"/>
      <c r="B762" s="358"/>
      <c r="C762" s="260"/>
      <c r="D762" s="358"/>
      <c r="E762" s="260" t="n">
        <v>761</v>
      </c>
      <c r="F762" s="260" t="n">
        <f aca="false" t="array" ref="F762:F762">INDEX('0.0.1 Pokémon Dex Data'!$H$3:$H951,MATCH(E762,'0.0.1 Pokémon Dex Data'!$B$3:$B951,0))</f>
        <v>0</v>
      </c>
      <c r="G762" s="0" t="str">
        <f aca="false" t="array" ref="G762:G762">INDEX('0.0.1 Pokémon Dex Data'!$E$3:$E951,MATCH(E762,'0.0.1 Pokémon Dex Data'!$B$3:$B951,0))</f>
        <v>Delphox</v>
      </c>
      <c r="H762" s="0" t="str">
        <f aca="false" t="array" ref="H762:H762">INDEX('0.0.1 Pokémon Dex Data'!$Q$3:$Q951,MATCH(E762,'0.0.1 Pokémon Dex Data'!$B$3:$B951,0))</f>
        <v>Fire</v>
      </c>
      <c r="I762" s="0" t="str">
        <f aca="false" t="array" ref="I762:I762">INDEX('0.0.1 Pokémon Dex Data'!$R$3:$R951,MATCH(E762,'0.0.1 Pokémon Dex Data'!$B$3:$B951,0))</f>
        <v>Psychic</v>
      </c>
      <c r="J762" s="260" t="n">
        <f aca="false" t="array" ref="J762:J762">ROUND(INDEX('0.0.1 Pokémon Dex Data'!$S$3:$S951,MATCH($E762,'0.0.1 Pokémon Dex Data'!$B$3:$B951,0))*INDEX('0.0.1 Pokémon Dex Data'!T$3:T951,MATCH($E762,'0.0.1 Pokémon Dex Data'!$B$3:$B951,0)),0)</f>
        <v>230</v>
      </c>
      <c r="K762" s="260" t="n">
        <f aca="false" t="array" ref="K762:K762">ROUND(INDEX('0.0.1 Pokémon Dex Data'!$S$3:$S951,MATCH($E762,'0.0.1 Pokémon Dex Data'!$B$3:$B951,0))*INDEX('0.0.1 Pokémon Dex Data'!U$3:U951,MATCH($E762,'0.0.1 Pokémon Dex Data'!$B$3:$B951,0)),0)</f>
        <v>189</v>
      </c>
      <c r="L762" s="260" t="n">
        <f aca="false" t="array" ref="L762:L762">ROUND(INDEX('0.0.1 Pokémon Dex Data'!$S$3:$S951,MATCH($E762,'0.0.1 Pokémon Dex Data'!$B$3:$B951,0))*INDEX('0.0.1 Pokémon Dex Data'!V$3:V951,MATCH($E762,'0.0.1 Pokémon Dex Data'!$B$3:$B951,0)),0)</f>
        <v>181</v>
      </c>
      <c r="M762" s="260" t="n">
        <f aca="false" t="array" ref="M762:M762">INDEX('0.0.1 Pokémon Dex Data'!$J$3:$J951,MATCH(E762,'0.0.1 Pokémon Dex Data'!$B$3:$B951,0))</f>
        <v>1</v>
      </c>
      <c r="O762" s="490"/>
      <c r="Q762" s="367" t="n">
        <f aca="false">IF('Reverse Search'!$F$4="All (including temporary formes)",1,IF('Reverse Search'!$F$4="Base Pokémon and permanent formes only",IF(F762&lt;=1,1,0),IF(F762=0,1,0)))</f>
        <v>1</v>
      </c>
      <c r="R762" s="0" t="n">
        <f aca="false">IF('Reverse Search'!$C$7="Disable",1,IF('Reverse Search'!$D$9="Disable",1,IF(OR('Reverse Search'!$F$9=H762,'Reverse Search'!$F$9=I762),1,0)))</f>
        <v>1</v>
      </c>
      <c r="S762" s="0" t="n">
        <f aca="false">IF('Reverse Search'!$C$7="Disable",1,IF('Reverse Search'!$D$10="Disable",1,IF(OR('Reverse Search'!$F$10=H762,'Reverse Search'!$F$10=I762),1,0)))</f>
        <v>1</v>
      </c>
      <c r="T762" s="0" t="n">
        <f aca="false">INDEX($B$4:$B$22,MATCH(H762,$A$4:$A$22,0))</f>
        <v>1</v>
      </c>
      <c r="U762" s="0" t="n">
        <f aca="false">IF(ISBLANK(I762),1,INDEX($B$4:$B$22,MATCH(I762,$A$4:$A$22,0)))</f>
        <v>1</v>
      </c>
      <c r="V762" s="367" t="n">
        <f aca="false">IF('Reverse Search'!$C$7="Disable",1,IF('Reverse Search'!$D$11="Disable",1,IF('Reverse Search'!$E$11="Neutral to:",IF(ROUND(T762*U762,2)&lt;=1,1,0),IF(ROUND(T762*U762,2)&lt;1,1,0))))</f>
        <v>1</v>
      </c>
      <c r="W762" s="0" t="n">
        <f aca="false">IF('Reverse Search'!$N$7="Disable",1,IF('Reverse Search'!$I$9="Disable",1,IF('Reverse Search'!$K$9="≥",IF(J762&gt;='Reverse Search'!$L$9,1,0),IF('Reverse Search'!$K$9="≤",IF(J762&lt;='Reverse Search'!$L$9,1,0),IF(J762='Reverse Search'!$L$9,1,0)))))</f>
        <v>1</v>
      </c>
      <c r="X762" s="0" t="n">
        <f aca="false">IF('Reverse Search'!$N$7="Disable",1,IF('Reverse Search'!$I$10="Disable",1,IF('Reverse Search'!$K$10="≥",IF(K762&gt;='Reverse Search'!$L$10,1,0),IF('Reverse Search'!$K$10="≤",IF(K762&lt;='Reverse Search'!$L$10,1,0),IF(K762='Reverse Search'!$L$10,1,0)))))</f>
        <v>1</v>
      </c>
      <c r="Y762" s="367" t="n">
        <f aca="false">IF('Reverse Search'!$N$7="Disable",1,IF('Reverse Search'!$I$11="Disable",1,IF('Reverse Search'!$K$11="≥",IF(L762&gt;='Reverse Search'!$L$11,1,0),IF('Reverse Search'!$K$11="≤",IF(L762&lt;='Reverse Search'!$L$11,1,0),IF(L762='Reverse Search'!$L$11,1,0)))))</f>
        <v>1</v>
      </c>
      <c r="Z762" s="0" t="n">
        <f aca="true">IF('Reverse Search'!$C$14="Disable",1,IF('Reverse Search'!$D$16="Disable",1,IF($C$2=3,IF($M762=0,0,COUNTIF(INDIRECT("'0.0.2 Pokémon Learnset (Core)'!$D$"&amp;MATCH($E762,'0.0.2 Pokémon Learnset (Core)'!$A$1:$A951,0)&amp;":$FK$"&amp;MATCH($E762,'0.0.2 Pokémon Learnset (Core)'!$A$1:$A951,0)),'Reverse Search'!$E$21)),IF($C$2=2,COUNTIF(INDIRECT("'0.1.1 Pokémon GO Moves'!$B$"&amp;MATCH($E762,'0.1.1 Pokémon GO Moves'!$A$1:$A951,0)&amp;":$R$"&amp;MATCH($E762,'0.1.1 Pokémon GO Moves'!$A$1:$A951,0)),'Reverse Search'!$E$21),COUNTIF(INDIRECT("'0.1.1 Pokémon GO Moves'!$B$"&amp;MATCH($E762,'0.1.1 Pokémon GO Moves'!$A$1:$A951,0)&amp;":$L$"&amp;MATCH($E762,'0.1.1 Pokémon GO Moves'!$A$1:$A951,0)),'Reverse Search'!$E$21)))))</f>
        <v>1</v>
      </c>
      <c r="AA762" s="0" t="n">
        <f aca="true">IF('Reverse Search'!$C$14="Disable",1,IF('Reverse Search'!$I$16="Disable",1,IF($D$2=3,IF($M762=0,0,COUNTIF(INDIRECT("'0.0.2 Pokémon Learnset (Core)'!$D$"&amp;MATCH($E762,'0.0.2 Pokémon Learnset (Core)'!$A$1:$A951,0)&amp;":$FK$"&amp;MATCH($E762,'0.0.2 Pokémon Learnset (Core)'!$A$1:$A951,0)),'Reverse Search'!$J$21)),IF($D$2=2,COUNTIF(INDIRECT("'0.1.1 Pokémon GO Moves'!$B$"&amp;MATCH($E762,'0.1.1 Pokémon GO Moves'!$A$1:$A951,0)&amp;":$R$"&amp;MATCH($E762,'0.1.1 Pokémon GO Moves'!$A$1:$A951,0)),'Reverse Search'!$J$21),COUNTIF(INDIRECT("'0.1.1 Pokémon GO Moves'!$B$"&amp;MATCH($E762,'0.1.1 Pokémon GO Moves'!$A$1:$A951,0)&amp;":$L$"&amp;MATCH($E762,'0.1.1 Pokémon GO Moves'!$A$1:$A951,0)),'Reverse Search'!$J$21)))))</f>
        <v>0</v>
      </c>
      <c r="AB762" s="490"/>
      <c r="AC762" s="260" t="n">
        <f aca="false">IF((Q762+R762+S762+V762+W762+X762+Y762+IF(Z762&gt;=1,1,0)+IF(AA762&gt;=1,1,0))=9,G762&amp;", ",)</f>
        <v>0</v>
      </c>
    </row>
    <row r="763" customFormat="false" ht="15.75" hidden="false" customHeight="false" outlineLevel="0" collapsed="false">
      <c r="A763" s="260"/>
      <c r="B763" s="358"/>
      <c r="C763" s="260"/>
      <c r="D763" s="358"/>
      <c r="E763" s="260" t="n">
        <v>762</v>
      </c>
      <c r="F763" s="260" t="n">
        <f aca="false" t="array" ref="F763:F763">INDEX('0.0.1 Pokémon Dex Data'!$H$3:$H951,MATCH(E763,'0.0.1 Pokémon Dex Data'!$B$3:$B951,0))</f>
        <v>0</v>
      </c>
      <c r="G763" s="0" t="str">
        <f aca="false" t="array" ref="G763:G763">INDEX('0.0.1 Pokémon Dex Data'!$E$3:$E951,MATCH(E763,'0.0.1 Pokémon Dex Data'!$B$3:$B951,0))</f>
        <v>Froakie</v>
      </c>
      <c r="H763" s="0" t="str">
        <f aca="false" t="array" ref="H763:H763">INDEX('0.0.1 Pokémon Dex Data'!$Q$3:$Q951,MATCH(E763,'0.0.1 Pokémon Dex Data'!$B$3:$B951,0))</f>
        <v>Water</v>
      </c>
      <c r="I763" s="0" t="n">
        <f aca="false">INDEX('0.0.1 Pokémon Dex Data'!$R$3:$R951,MATCH(E763,'0.0.1 Pokémon Dex Data'!$B$3:$B951,0))</f>
        <v>0</v>
      </c>
      <c r="J763" s="260" t="n">
        <f aca="false" t="array" ref="J763:J763">ROUND(INDEX('0.0.1 Pokémon Dex Data'!$S$3:$S951,MATCH($E763,'0.0.1 Pokémon Dex Data'!$B$3:$B951,0))*INDEX('0.0.1 Pokémon Dex Data'!T$3:T951,MATCH($E763,'0.0.1 Pokémon Dex Data'!$B$3:$B951,0)),0)</f>
        <v>122</v>
      </c>
      <c r="K763" s="260" t="n">
        <f aca="false" t="array" ref="K763:K763">ROUND(INDEX('0.0.1 Pokémon Dex Data'!$S$3:$S951,MATCH($E763,'0.0.1 Pokémon Dex Data'!$B$3:$B951,0))*INDEX('0.0.1 Pokémon Dex Data'!U$3:U951,MATCH($E763,'0.0.1 Pokémon Dex Data'!$B$3:$B951,0)),0)</f>
        <v>85</v>
      </c>
      <c r="L763" s="260" t="n">
        <f aca="false" t="array" ref="L763:L763">ROUND(INDEX('0.0.1 Pokémon Dex Data'!$S$3:$S951,MATCH($E763,'0.0.1 Pokémon Dex Data'!$B$3:$B951,0))*INDEX('0.0.1 Pokémon Dex Data'!V$3:V951,MATCH($E763,'0.0.1 Pokémon Dex Data'!$B$3:$B951,0)),0)</f>
        <v>121</v>
      </c>
      <c r="M763" s="260" t="n">
        <f aca="false" t="array" ref="M763:M763">INDEX('0.0.1 Pokémon Dex Data'!$J$3:$J951,MATCH(E763,'0.0.1 Pokémon Dex Data'!$B$3:$B951,0))</f>
        <v>0</v>
      </c>
      <c r="O763" s="490"/>
      <c r="Q763" s="367" t="n">
        <f aca="false">IF('Reverse Search'!$F$4="All (including temporary formes)",1,IF('Reverse Search'!$F$4="Base Pokémon and permanent formes only",IF(F763&lt;=1,1,0),IF(F763=0,1,0)))</f>
        <v>1</v>
      </c>
      <c r="R763" s="0" t="n">
        <f aca="false">IF('Reverse Search'!$C$7="Disable",1,IF('Reverse Search'!$D$9="Disable",1,IF(OR('Reverse Search'!$F$9=H763,'Reverse Search'!$F$9=I763),1,0)))</f>
        <v>1</v>
      </c>
      <c r="S763" s="0" t="n">
        <f aca="false">IF('Reverse Search'!$C$7="Disable",1,IF('Reverse Search'!$D$10="Disable",1,IF(OR('Reverse Search'!$F$10=H763,'Reverse Search'!$F$10=I763),1,0)))</f>
        <v>1</v>
      </c>
      <c r="T763" s="0" t="n">
        <f aca="false">INDEX($B$4:$B$22,MATCH(H763,$A$4:$A$22,0))</f>
        <v>1</v>
      </c>
      <c r="U763" s="0" t="e">
        <f aca="false">IF(ISBLANK(I763),1,INDEX($B$4:$B$22,MATCH(I763,$A$4:$A$22,0)))</f>
        <v>#N/A</v>
      </c>
      <c r="V763" s="367" t="n">
        <f aca="false">IF('Reverse Search'!$C$7="Disable",1,IF('Reverse Search'!$D$11="Disable",1,IF('Reverse Search'!$E$11="Neutral to:",IF(ROUND(T763*U763,2)&lt;=1,1,0),IF(ROUND(T763*U763,2)&lt;1,1,0))))</f>
        <v>1</v>
      </c>
      <c r="W763" s="0" t="n">
        <f aca="false">IF('Reverse Search'!$N$7="Disable",1,IF('Reverse Search'!$I$9="Disable",1,IF('Reverse Search'!$K$9="≥",IF(J763&gt;='Reverse Search'!$L$9,1,0),IF('Reverse Search'!$K$9="≤",IF(J763&lt;='Reverse Search'!$L$9,1,0),IF(J763='Reverse Search'!$L$9,1,0)))))</f>
        <v>1</v>
      </c>
      <c r="X763" s="0" t="n">
        <f aca="false">IF('Reverse Search'!$N$7="Disable",1,IF('Reverse Search'!$I$10="Disable",1,IF('Reverse Search'!$K$10="≥",IF(K763&gt;='Reverse Search'!$L$10,1,0),IF('Reverse Search'!$K$10="≤",IF(K763&lt;='Reverse Search'!$L$10,1,0),IF(K763='Reverse Search'!$L$10,1,0)))))</f>
        <v>1</v>
      </c>
      <c r="Y763" s="367" t="n">
        <f aca="false">IF('Reverse Search'!$N$7="Disable",1,IF('Reverse Search'!$I$11="Disable",1,IF('Reverse Search'!$K$11="≥",IF(L763&gt;='Reverse Search'!$L$11,1,0),IF('Reverse Search'!$K$11="≤",IF(L763&lt;='Reverse Search'!$L$11,1,0),IF(L763='Reverse Search'!$L$11,1,0)))))</f>
        <v>1</v>
      </c>
      <c r="Z763" s="0" t="n">
        <f aca="true">IF('Reverse Search'!$C$14="Disable",1,IF('Reverse Search'!$D$16="Disable",1,IF($C$2=3,IF($M763=0,0,COUNTIF(INDIRECT("'0.0.2 Pokémon Learnset (Core)'!$D$"&amp;MATCH($E763,'0.0.2 Pokémon Learnset (Core)'!$A$1:$A951,0)&amp;":$FK$"&amp;MATCH($E763,'0.0.2 Pokémon Learnset (Core)'!$A$1:$A951,0)),'Reverse Search'!$E$21)),IF($C$2=2,COUNTIF(INDIRECT("'0.1.1 Pokémon GO Moves'!$B$"&amp;MATCH($E763,'0.1.1 Pokémon GO Moves'!$A$1:$A951,0)&amp;":$R$"&amp;MATCH($E763,'0.1.1 Pokémon GO Moves'!$A$1:$A951,0)),'Reverse Search'!$E$21),COUNTIF(INDIRECT("'0.1.1 Pokémon GO Moves'!$B$"&amp;MATCH($E763,'0.1.1 Pokémon GO Moves'!$A$1:$A951,0)&amp;":$L$"&amp;MATCH($E763,'0.1.1 Pokémon GO Moves'!$A$1:$A951,0)),'Reverse Search'!$E$21)))))</f>
        <v>1</v>
      </c>
      <c r="AA763" s="0" t="n">
        <f aca="true">IF('Reverse Search'!$C$14="Disable",1,IF('Reverse Search'!$I$16="Disable",1,IF($D$2=3,IF($M763=0,0,COUNTIF(INDIRECT("'0.0.2 Pokémon Learnset (Core)'!$D$"&amp;MATCH($E763,'0.0.2 Pokémon Learnset (Core)'!$A$1:$A951,0)&amp;":$FK$"&amp;MATCH($E763,'0.0.2 Pokémon Learnset (Core)'!$A$1:$A951,0)),'Reverse Search'!$J$21)),IF($D$2=2,COUNTIF(INDIRECT("'0.1.1 Pokémon GO Moves'!$B$"&amp;MATCH($E763,'0.1.1 Pokémon GO Moves'!$A$1:$A951,0)&amp;":$R$"&amp;MATCH($E763,'0.1.1 Pokémon GO Moves'!$A$1:$A951,0)),'Reverse Search'!$J$21),COUNTIF(INDIRECT("'0.1.1 Pokémon GO Moves'!$B$"&amp;MATCH($E763,'0.1.1 Pokémon GO Moves'!$A$1:$A951,0)&amp;":$L$"&amp;MATCH($E763,'0.1.1 Pokémon GO Moves'!$A$1:$A951,0)),'Reverse Search'!$J$21)))))</f>
        <v>0</v>
      </c>
      <c r="AB763" s="490"/>
      <c r="AC763" s="260" t="n">
        <f aca="false">IF((Q763+R763+S763+V763+W763+X763+Y763+IF(Z763&gt;=1,1,0)+IF(AA763&gt;=1,1,0))=9,G763&amp;", ",)</f>
        <v>0</v>
      </c>
    </row>
    <row r="764" customFormat="false" ht="15.75" hidden="false" customHeight="false" outlineLevel="0" collapsed="false">
      <c r="A764" s="260"/>
      <c r="B764" s="358"/>
      <c r="C764" s="260"/>
      <c r="D764" s="358"/>
      <c r="E764" s="260" t="n">
        <v>763</v>
      </c>
      <c r="F764" s="260" t="n">
        <f aca="false" t="array" ref="F764:F764">INDEX('0.0.1 Pokémon Dex Data'!$H$3:$H951,MATCH(E764,'0.0.1 Pokémon Dex Data'!$B$3:$B951,0))</f>
        <v>0</v>
      </c>
      <c r="G764" s="0" t="str">
        <f aca="false" t="array" ref="G764:G764">INDEX('0.0.1 Pokémon Dex Data'!$E$3:$E951,MATCH(E764,'0.0.1 Pokémon Dex Data'!$B$3:$B951,0))</f>
        <v>Frogadier</v>
      </c>
      <c r="H764" s="0" t="str">
        <f aca="false" t="array" ref="H764:H764">INDEX('0.0.1 Pokémon Dex Data'!$Q$3:$Q951,MATCH(E764,'0.0.1 Pokémon Dex Data'!$B$3:$B951,0))</f>
        <v>Water</v>
      </c>
      <c r="I764" s="0" t="n">
        <f aca="false">INDEX('0.0.1 Pokémon Dex Data'!$R$3:$R951,MATCH(E764,'0.0.1 Pokémon Dex Data'!$B$3:$B951,0))</f>
        <v>0</v>
      </c>
      <c r="J764" s="260" t="n">
        <f aca="false" t="array" ref="J764:J764">ROUND(INDEX('0.0.1 Pokémon Dex Data'!$S$3:$S951,MATCH($E764,'0.0.1 Pokémon Dex Data'!$B$3:$B951,0))*INDEX('0.0.1 Pokémon Dex Data'!T$3:T951,MATCH($E764,'0.0.1 Pokémon Dex Data'!$B$3:$B951,0)),0)</f>
        <v>168</v>
      </c>
      <c r="K764" s="260" t="n">
        <f aca="false" t="array" ref="K764:K764">ROUND(INDEX('0.0.1 Pokémon Dex Data'!$S$3:$S951,MATCH($E764,'0.0.1 Pokémon Dex Data'!$B$3:$B951,0))*INDEX('0.0.1 Pokémon Dex Data'!U$3:U951,MATCH($E764,'0.0.1 Pokémon Dex Data'!$B$3:$B951,0)),0)</f>
        <v>114</v>
      </c>
      <c r="L764" s="260" t="n">
        <f aca="false" t="array" ref="L764:L764">ROUND(INDEX('0.0.1 Pokémon Dex Data'!$S$3:$S951,MATCH($E764,'0.0.1 Pokémon Dex Data'!$B$3:$B951,0))*INDEX('0.0.1 Pokémon Dex Data'!V$3:V951,MATCH($E764,'0.0.1 Pokémon Dex Data'!$B$3:$B951,0)),0)</f>
        <v>144</v>
      </c>
      <c r="M764" s="260" t="n">
        <f aca="false" t="array" ref="M764:M764">INDEX('0.0.1 Pokémon Dex Data'!$J$3:$J951,MATCH(E764,'0.0.1 Pokémon Dex Data'!$B$3:$B951,0))</f>
        <v>0</v>
      </c>
      <c r="O764" s="490"/>
      <c r="Q764" s="367" t="n">
        <f aca="false">IF('Reverse Search'!$F$4="All (including temporary formes)",1,IF('Reverse Search'!$F$4="Base Pokémon and permanent formes only",IF(F764&lt;=1,1,0),IF(F764=0,1,0)))</f>
        <v>1</v>
      </c>
      <c r="R764" s="0" t="n">
        <f aca="false">IF('Reverse Search'!$C$7="Disable",1,IF('Reverse Search'!$D$9="Disable",1,IF(OR('Reverse Search'!$F$9=H764,'Reverse Search'!$F$9=I764),1,0)))</f>
        <v>1</v>
      </c>
      <c r="S764" s="0" t="n">
        <f aca="false">IF('Reverse Search'!$C$7="Disable",1,IF('Reverse Search'!$D$10="Disable",1,IF(OR('Reverse Search'!$F$10=H764,'Reverse Search'!$F$10=I764),1,0)))</f>
        <v>1</v>
      </c>
      <c r="T764" s="0" t="n">
        <f aca="false">INDEX($B$4:$B$22,MATCH(H764,$A$4:$A$22,0))</f>
        <v>1</v>
      </c>
      <c r="U764" s="0" t="e">
        <f aca="false">IF(ISBLANK(I764),1,INDEX($B$4:$B$22,MATCH(I764,$A$4:$A$22,0)))</f>
        <v>#N/A</v>
      </c>
      <c r="V764" s="367" t="n">
        <f aca="false">IF('Reverse Search'!$C$7="Disable",1,IF('Reverse Search'!$D$11="Disable",1,IF('Reverse Search'!$E$11="Neutral to:",IF(ROUND(T764*U764,2)&lt;=1,1,0),IF(ROUND(T764*U764,2)&lt;1,1,0))))</f>
        <v>1</v>
      </c>
      <c r="W764" s="0" t="n">
        <f aca="false">IF('Reverse Search'!$N$7="Disable",1,IF('Reverse Search'!$I$9="Disable",1,IF('Reverse Search'!$K$9="≥",IF(J764&gt;='Reverse Search'!$L$9,1,0),IF('Reverse Search'!$K$9="≤",IF(J764&lt;='Reverse Search'!$L$9,1,0),IF(J764='Reverse Search'!$L$9,1,0)))))</f>
        <v>1</v>
      </c>
      <c r="X764" s="0" t="n">
        <f aca="false">IF('Reverse Search'!$N$7="Disable",1,IF('Reverse Search'!$I$10="Disable",1,IF('Reverse Search'!$K$10="≥",IF(K764&gt;='Reverse Search'!$L$10,1,0),IF('Reverse Search'!$K$10="≤",IF(K764&lt;='Reverse Search'!$L$10,1,0),IF(K764='Reverse Search'!$L$10,1,0)))))</f>
        <v>1</v>
      </c>
      <c r="Y764" s="367" t="n">
        <f aca="false">IF('Reverse Search'!$N$7="Disable",1,IF('Reverse Search'!$I$11="Disable",1,IF('Reverse Search'!$K$11="≥",IF(L764&gt;='Reverse Search'!$L$11,1,0),IF('Reverse Search'!$K$11="≤",IF(L764&lt;='Reverse Search'!$L$11,1,0),IF(L764='Reverse Search'!$L$11,1,0)))))</f>
        <v>1</v>
      </c>
      <c r="Z764" s="0" t="n">
        <f aca="true">IF('Reverse Search'!$C$14="Disable",1,IF('Reverse Search'!$D$16="Disable",1,IF($C$2=3,IF($M764=0,0,COUNTIF(INDIRECT("'0.0.2 Pokémon Learnset (Core)'!$D$"&amp;MATCH($E764,'0.0.2 Pokémon Learnset (Core)'!$A$1:$A951,0)&amp;":$FK$"&amp;MATCH($E764,'0.0.2 Pokémon Learnset (Core)'!$A$1:$A951,0)),'Reverse Search'!$E$21)),IF($C$2=2,COUNTIF(INDIRECT("'0.1.1 Pokémon GO Moves'!$B$"&amp;MATCH($E764,'0.1.1 Pokémon GO Moves'!$A$1:$A951,0)&amp;":$R$"&amp;MATCH($E764,'0.1.1 Pokémon GO Moves'!$A$1:$A951,0)),'Reverse Search'!$E$21),COUNTIF(INDIRECT("'0.1.1 Pokémon GO Moves'!$B$"&amp;MATCH($E764,'0.1.1 Pokémon GO Moves'!$A$1:$A951,0)&amp;":$L$"&amp;MATCH($E764,'0.1.1 Pokémon GO Moves'!$A$1:$A951,0)),'Reverse Search'!$E$21)))))</f>
        <v>1</v>
      </c>
      <c r="AA764" s="0" t="n">
        <f aca="true">IF('Reverse Search'!$C$14="Disable",1,IF('Reverse Search'!$I$16="Disable",1,IF($D$2=3,IF($M764=0,0,COUNTIF(INDIRECT("'0.0.2 Pokémon Learnset (Core)'!$D$"&amp;MATCH($E764,'0.0.2 Pokémon Learnset (Core)'!$A$1:$A951,0)&amp;":$FK$"&amp;MATCH($E764,'0.0.2 Pokémon Learnset (Core)'!$A$1:$A951,0)),'Reverse Search'!$J$21)),IF($D$2=2,COUNTIF(INDIRECT("'0.1.1 Pokémon GO Moves'!$B$"&amp;MATCH($E764,'0.1.1 Pokémon GO Moves'!$A$1:$A951,0)&amp;":$R$"&amp;MATCH($E764,'0.1.1 Pokémon GO Moves'!$A$1:$A951,0)),'Reverse Search'!$J$21),COUNTIF(INDIRECT("'0.1.1 Pokémon GO Moves'!$B$"&amp;MATCH($E764,'0.1.1 Pokémon GO Moves'!$A$1:$A951,0)&amp;":$L$"&amp;MATCH($E764,'0.1.1 Pokémon GO Moves'!$A$1:$A951,0)),'Reverse Search'!$J$21)))))</f>
        <v>0</v>
      </c>
      <c r="AB764" s="490"/>
      <c r="AC764" s="260" t="n">
        <f aca="false">IF((Q764+R764+S764+V764+W764+X764+Y764+IF(Z764&gt;=1,1,0)+IF(AA764&gt;=1,1,0))=9,G764&amp;", ",)</f>
        <v>0</v>
      </c>
    </row>
    <row r="765" customFormat="false" ht="15.75" hidden="false" customHeight="false" outlineLevel="0" collapsed="false">
      <c r="A765" s="260"/>
      <c r="B765" s="358"/>
      <c r="C765" s="260"/>
      <c r="D765" s="358"/>
      <c r="E765" s="260" t="n">
        <v>764</v>
      </c>
      <c r="F765" s="260" t="n">
        <f aca="false" t="array" ref="F765:F765">INDEX('0.0.1 Pokémon Dex Data'!$H$3:$H951,MATCH(E765,'0.0.1 Pokémon Dex Data'!$B$3:$B951,0))</f>
        <v>0</v>
      </c>
      <c r="G765" s="0" t="str">
        <f aca="false" t="array" ref="G765:G765">INDEX('0.0.1 Pokémon Dex Data'!$E$3:$E951,MATCH(E765,'0.0.1 Pokémon Dex Data'!$B$3:$B951,0))</f>
        <v>Greninja</v>
      </c>
      <c r="H765" s="0" t="str">
        <f aca="false" t="array" ref="H765:H765">INDEX('0.0.1 Pokémon Dex Data'!$Q$3:$Q951,MATCH(E765,'0.0.1 Pokémon Dex Data'!$B$3:$B951,0))</f>
        <v>Water</v>
      </c>
      <c r="I765" s="0" t="str">
        <f aca="false" t="array" ref="I765:I765">INDEX('0.0.1 Pokémon Dex Data'!$R$3:$R951,MATCH(E765,'0.0.1 Pokémon Dex Data'!$B$3:$B951,0))</f>
        <v>Dark</v>
      </c>
      <c r="J765" s="260" t="n">
        <f aca="false" t="array" ref="J765:J765">ROUND(INDEX('0.0.1 Pokémon Dex Data'!$S$3:$S951,MATCH($E765,'0.0.1 Pokémon Dex Data'!$B$3:$B951,0))*INDEX('0.0.1 Pokémon Dex Data'!T$3:T951,MATCH($E765,'0.0.1 Pokémon Dex Data'!$B$3:$B951,0)),0)</f>
        <v>223</v>
      </c>
      <c r="K765" s="260" t="n">
        <f aca="false" t="array" ref="K765:K765">ROUND(INDEX('0.0.1 Pokémon Dex Data'!$S$3:$S951,MATCH($E765,'0.0.1 Pokémon Dex Data'!$B$3:$B951,0))*INDEX('0.0.1 Pokémon Dex Data'!U$3:U951,MATCH($E765,'0.0.1 Pokémon Dex Data'!$B$3:$B951,0)),0)</f>
        <v>152</v>
      </c>
      <c r="L765" s="260" t="n">
        <f aca="false" t="array" ref="L765:L765">ROUND(INDEX('0.0.1 Pokémon Dex Data'!$S$3:$S951,MATCH($E765,'0.0.1 Pokémon Dex Data'!$B$3:$B951,0))*INDEX('0.0.1 Pokémon Dex Data'!V$3:V951,MATCH($E765,'0.0.1 Pokémon Dex Data'!$B$3:$B951,0)),0)</f>
        <v>176</v>
      </c>
      <c r="M765" s="260" t="n">
        <f aca="false" t="array" ref="M765:M765">INDEX('0.0.1 Pokémon Dex Data'!$J$3:$J951,MATCH(E765,'0.0.1 Pokémon Dex Data'!$B$3:$B951,0))</f>
        <v>1</v>
      </c>
      <c r="O765" s="490"/>
      <c r="Q765" s="367" t="n">
        <f aca="false">IF('Reverse Search'!$F$4="All (including temporary formes)",1,IF('Reverse Search'!$F$4="Base Pokémon and permanent formes only",IF(F765&lt;=1,1,0),IF(F765=0,1,0)))</f>
        <v>1</v>
      </c>
      <c r="R765" s="0" t="n">
        <f aca="false">IF('Reverse Search'!$C$7="Disable",1,IF('Reverse Search'!$D$9="Disable",1,IF(OR('Reverse Search'!$F$9=H765,'Reverse Search'!$F$9=I765),1,0)))</f>
        <v>1</v>
      </c>
      <c r="S765" s="0" t="n">
        <f aca="false">IF('Reverse Search'!$C$7="Disable",1,IF('Reverse Search'!$D$10="Disable",1,IF(OR('Reverse Search'!$F$10=H765,'Reverse Search'!$F$10=I765),1,0)))</f>
        <v>1</v>
      </c>
      <c r="T765" s="0" t="n">
        <f aca="false">INDEX($B$4:$B$22,MATCH(H765,$A$4:$A$22,0))</f>
        <v>1</v>
      </c>
      <c r="U765" s="0" t="n">
        <f aca="false">IF(ISBLANK(I765),1,INDEX($B$4:$B$22,MATCH(I765,$A$4:$A$22,0)))</f>
        <v>1</v>
      </c>
      <c r="V765" s="367" t="n">
        <f aca="false">IF('Reverse Search'!$C$7="Disable",1,IF('Reverse Search'!$D$11="Disable",1,IF('Reverse Search'!$E$11="Neutral to:",IF(ROUND(T765*U765,2)&lt;=1,1,0),IF(ROUND(T765*U765,2)&lt;1,1,0))))</f>
        <v>1</v>
      </c>
      <c r="W765" s="0" t="n">
        <f aca="false">IF('Reverse Search'!$N$7="Disable",1,IF('Reverse Search'!$I$9="Disable",1,IF('Reverse Search'!$K$9="≥",IF(J765&gt;='Reverse Search'!$L$9,1,0),IF('Reverse Search'!$K$9="≤",IF(J765&lt;='Reverse Search'!$L$9,1,0),IF(J765='Reverse Search'!$L$9,1,0)))))</f>
        <v>1</v>
      </c>
      <c r="X765" s="0" t="n">
        <f aca="false">IF('Reverse Search'!$N$7="Disable",1,IF('Reverse Search'!$I$10="Disable",1,IF('Reverse Search'!$K$10="≥",IF(K765&gt;='Reverse Search'!$L$10,1,0),IF('Reverse Search'!$K$10="≤",IF(K765&lt;='Reverse Search'!$L$10,1,0),IF(K765='Reverse Search'!$L$10,1,0)))))</f>
        <v>1</v>
      </c>
      <c r="Y765" s="367" t="n">
        <f aca="false">IF('Reverse Search'!$N$7="Disable",1,IF('Reverse Search'!$I$11="Disable",1,IF('Reverse Search'!$K$11="≥",IF(L765&gt;='Reverse Search'!$L$11,1,0),IF('Reverse Search'!$K$11="≤",IF(L765&lt;='Reverse Search'!$L$11,1,0),IF(L765='Reverse Search'!$L$11,1,0)))))</f>
        <v>1</v>
      </c>
      <c r="Z765" s="0" t="n">
        <f aca="true">IF('Reverse Search'!$C$14="Disable",1,IF('Reverse Search'!$D$16="Disable",1,IF($C$2=3,IF($M765=0,0,COUNTIF(INDIRECT("'0.0.2 Pokémon Learnset (Core)'!$D$"&amp;MATCH($E765,'0.0.2 Pokémon Learnset (Core)'!$A$1:$A951,0)&amp;":$FK$"&amp;MATCH($E765,'0.0.2 Pokémon Learnset (Core)'!$A$1:$A951,0)),'Reverse Search'!$E$21)),IF($C$2=2,COUNTIF(INDIRECT("'0.1.1 Pokémon GO Moves'!$B$"&amp;MATCH($E765,'0.1.1 Pokémon GO Moves'!$A$1:$A951,0)&amp;":$R$"&amp;MATCH($E765,'0.1.1 Pokémon GO Moves'!$A$1:$A951,0)),'Reverse Search'!$E$21),COUNTIF(INDIRECT("'0.1.1 Pokémon GO Moves'!$B$"&amp;MATCH($E765,'0.1.1 Pokémon GO Moves'!$A$1:$A951,0)&amp;":$L$"&amp;MATCH($E765,'0.1.1 Pokémon GO Moves'!$A$1:$A951,0)),'Reverse Search'!$E$21)))))</f>
        <v>1</v>
      </c>
      <c r="AA765" s="0" t="n">
        <f aca="true">IF('Reverse Search'!$C$14="Disable",1,IF('Reverse Search'!$I$16="Disable",1,IF($D$2=3,IF($M765=0,0,COUNTIF(INDIRECT("'0.0.2 Pokémon Learnset (Core)'!$D$"&amp;MATCH($E765,'0.0.2 Pokémon Learnset (Core)'!$A$1:$A951,0)&amp;":$FK$"&amp;MATCH($E765,'0.0.2 Pokémon Learnset (Core)'!$A$1:$A951,0)),'Reverse Search'!$J$21)),IF($D$2=2,COUNTIF(INDIRECT("'0.1.1 Pokémon GO Moves'!$B$"&amp;MATCH($E765,'0.1.1 Pokémon GO Moves'!$A$1:$A951,0)&amp;":$R$"&amp;MATCH($E765,'0.1.1 Pokémon GO Moves'!$A$1:$A951,0)),'Reverse Search'!$J$21),COUNTIF(INDIRECT("'0.1.1 Pokémon GO Moves'!$B$"&amp;MATCH($E765,'0.1.1 Pokémon GO Moves'!$A$1:$A951,0)&amp;":$L$"&amp;MATCH($E765,'0.1.1 Pokémon GO Moves'!$A$1:$A951,0)),'Reverse Search'!$J$21)))))</f>
        <v>0</v>
      </c>
      <c r="AB765" s="490"/>
      <c r="AC765" s="260" t="n">
        <f aca="false">IF((Q765+R765+S765+V765+W765+X765+Y765+IF(Z765&gt;=1,1,0)+IF(AA765&gt;=1,1,0))=9,G765&amp;", ",)</f>
        <v>0</v>
      </c>
    </row>
    <row r="766" customFormat="false" ht="15.75" hidden="false" customHeight="false" outlineLevel="0" collapsed="false">
      <c r="A766" s="260"/>
      <c r="B766" s="358"/>
      <c r="C766" s="260"/>
      <c r="D766" s="358"/>
      <c r="E766" s="260" t="n">
        <v>765</v>
      </c>
      <c r="F766" s="260" t="n">
        <f aca="false" t="array" ref="F766:F766">INDEX('0.0.1 Pokémon Dex Data'!$H$3:$H951,MATCH(E766,'0.0.1 Pokémon Dex Data'!$B$3:$B951,0))</f>
        <v>2</v>
      </c>
      <c r="G766" s="0" t="str">
        <f aca="false" t="array" ref="G766:G766">INDEX('0.0.1 Pokémon Dex Data'!$E$3:$E951,MATCH(E766,'0.0.1 Pokémon Dex Data'!$B$3:$B951,0))</f>
        <v>Greninja-Ash</v>
      </c>
      <c r="H766" s="0" t="str">
        <f aca="false" t="array" ref="H766:H766">INDEX('0.0.1 Pokémon Dex Data'!$Q$3:$Q951,MATCH(E766,'0.0.1 Pokémon Dex Data'!$B$3:$B951,0))</f>
        <v>Water</v>
      </c>
      <c r="I766" s="0" t="str">
        <f aca="false" t="array" ref="I766:I766">INDEX('0.0.1 Pokémon Dex Data'!$R$3:$R951,MATCH(E766,'0.0.1 Pokémon Dex Data'!$B$3:$B951,0))</f>
        <v>Dark</v>
      </c>
      <c r="J766" s="260" t="n">
        <f aca="false" t="array" ref="J766:J766">ROUND(INDEX('0.0.1 Pokémon Dex Data'!$S$3:$S951,MATCH($E766,'0.0.1 Pokémon Dex Data'!$B$3:$B951,0))*INDEX('0.0.1 Pokémon Dex Data'!T$3:T951,MATCH($E766,'0.0.1 Pokémon Dex Data'!$B$3:$B951,0)),0)</f>
        <v>339</v>
      </c>
      <c r="K766" s="260" t="n">
        <f aca="false" t="array" ref="K766:K766">ROUND(INDEX('0.0.1 Pokémon Dex Data'!$S$3:$S951,MATCH($E766,'0.0.1 Pokémon Dex Data'!$B$3:$B951,0))*INDEX('0.0.1 Pokémon Dex Data'!U$3:U951,MATCH($E766,'0.0.1 Pokémon Dex Data'!$B$3:$B951,0)),0)</f>
        <v>155</v>
      </c>
      <c r="L766" s="260" t="n">
        <f aca="false" t="array" ref="L766:L766">ROUND(INDEX('0.0.1 Pokémon Dex Data'!$S$3:$S951,MATCH($E766,'0.0.1 Pokémon Dex Data'!$B$3:$B951,0))*INDEX('0.0.1 Pokémon Dex Data'!V$3:V951,MATCH($E766,'0.0.1 Pokémon Dex Data'!$B$3:$B951,0)),0)</f>
        <v>176</v>
      </c>
      <c r="M766" s="260" t="n">
        <f aca="false" t="array" ref="M766:M766">INDEX('0.0.1 Pokémon Dex Data'!$J$3:$J951,MATCH(E766,'0.0.1 Pokémon Dex Data'!$B$3:$B951,0))</f>
        <v>1</v>
      </c>
      <c r="O766" s="490"/>
      <c r="Q766" s="367" t="n">
        <f aca="false">IF('Reverse Search'!$F$4="All (including temporary formes)",1,IF('Reverse Search'!$F$4="Base Pokémon and permanent formes only",IF(F766&lt;=1,1,0),IF(F766=0,1,0)))</f>
        <v>0</v>
      </c>
      <c r="R766" s="0" t="n">
        <f aca="false">IF('Reverse Search'!$C$7="Disable",1,IF('Reverse Search'!$D$9="Disable",1,IF(OR('Reverse Search'!$F$9=H766,'Reverse Search'!$F$9=I766),1,0)))</f>
        <v>1</v>
      </c>
      <c r="S766" s="0" t="n">
        <f aca="false">IF('Reverse Search'!$C$7="Disable",1,IF('Reverse Search'!$D$10="Disable",1,IF(OR('Reverse Search'!$F$10=H766,'Reverse Search'!$F$10=I766),1,0)))</f>
        <v>1</v>
      </c>
      <c r="T766" s="0" t="n">
        <f aca="false">INDEX($B$4:$B$22,MATCH(H766,$A$4:$A$22,0))</f>
        <v>1</v>
      </c>
      <c r="U766" s="0" t="n">
        <f aca="false">IF(ISBLANK(I766),1,INDEX($B$4:$B$22,MATCH(I766,$A$4:$A$22,0)))</f>
        <v>1</v>
      </c>
      <c r="V766" s="367" t="n">
        <f aca="false">IF('Reverse Search'!$C$7="Disable",1,IF('Reverse Search'!$D$11="Disable",1,IF('Reverse Search'!$E$11="Neutral to:",IF(ROUND(T766*U766,2)&lt;=1,1,0),IF(ROUND(T766*U766,2)&lt;1,1,0))))</f>
        <v>1</v>
      </c>
      <c r="W766" s="0" t="n">
        <f aca="false">IF('Reverse Search'!$N$7="Disable",1,IF('Reverse Search'!$I$9="Disable",1,IF('Reverse Search'!$K$9="≥",IF(J766&gt;='Reverse Search'!$L$9,1,0),IF('Reverse Search'!$K$9="≤",IF(J766&lt;='Reverse Search'!$L$9,1,0),IF(J766='Reverse Search'!$L$9,1,0)))))</f>
        <v>1</v>
      </c>
      <c r="X766" s="0" t="n">
        <f aca="false">IF('Reverse Search'!$N$7="Disable",1,IF('Reverse Search'!$I$10="Disable",1,IF('Reverse Search'!$K$10="≥",IF(K766&gt;='Reverse Search'!$L$10,1,0),IF('Reverse Search'!$K$10="≤",IF(K766&lt;='Reverse Search'!$L$10,1,0),IF(K766='Reverse Search'!$L$10,1,0)))))</f>
        <v>1</v>
      </c>
      <c r="Y766" s="367" t="n">
        <f aca="false">IF('Reverse Search'!$N$7="Disable",1,IF('Reverse Search'!$I$11="Disable",1,IF('Reverse Search'!$K$11="≥",IF(L766&gt;='Reverse Search'!$L$11,1,0),IF('Reverse Search'!$K$11="≤",IF(L766&lt;='Reverse Search'!$L$11,1,0),IF(L766='Reverse Search'!$L$11,1,0)))))</f>
        <v>1</v>
      </c>
      <c r="Z766" s="0" t="n">
        <f aca="true">IF('Reverse Search'!$C$14="Disable",1,IF('Reverse Search'!$D$16="Disable",1,IF($C$2=3,IF($M766=0,0,COUNTIF(INDIRECT("'0.0.2 Pokémon Learnset (Core)'!$D$"&amp;MATCH($E766,'0.0.2 Pokémon Learnset (Core)'!$A$1:$A951,0)&amp;":$FK$"&amp;MATCH($E766,'0.0.2 Pokémon Learnset (Core)'!$A$1:$A951,0)),'Reverse Search'!$E$21)),IF($C$2=2,COUNTIF(INDIRECT("'0.1.1 Pokémon GO Moves'!$B$"&amp;MATCH($E766,'0.1.1 Pokémon GO Moves'!$A$1:$A951,0)&amp;":$R$"&amp;MATCH($E766,'0.1.1 Pokémon GO Moves'!$A$1:$A951,0)),'Reverse Search'!$E$21),COUNTIF(INDIRECT("'0.1.1 Pokémon GO Moves'!$B$"&amp;MATCH($E766,'0.1.1 Pokémon GO Moves'!$A$1:$A951,0)&amp;":$L$"&amp;MATCH($E766,'0.1.1 Pokémon GO Moves'!$A$1:$A951,0)),'Reverse Search'!$E$21)))))</f>
        <v>1</v>
      </c>
      <c r="AA766" s="0" t="e">
        <f aca="true">IF('Reverse Search'!$C$14="Disable",1,IF('Reverse Search'!$I$16="Disable",1,IF($D$2=3,IF($M766=0,0,COUNTIF(INDIRECT("'0.0.2 Pokémon Learnset (Core)'!$D$"&amp;MATCH($E766,'0.0.2 Pokémon Learnset (Core)'!$A$1:$A951,0)&amp;":$FK$"&amp;MATCH($E766,'0.0.2 Pokémon Learnset (Core)'!$A$1:$A951,0)),'Reverse Search'!$J$21)),IF($D$2=2,COUNTIF(INDIRECT("'0.1.1 Pokémon GO Moves'!$B$"&amp;MATCH($E766,'0.1.1 Pokémon GO Moves'!$A$1:$A951,0)&amp;":$R$"&amp;MATCH($E766,'0.1.1 Pokémon GO Moves'!$A$1:$A951,0)),'Reverse Search'!$J$21),COUNTIF(INDIRECT("'0.1.1 Pokémon GO Moves'!$B$"&amp;MATCH($E766,'0.1.1 Pokémon GO Moves'!$A$1:$A951,0)&amp;":$L$"&amp;MATCH($E766,'0.1.1 Pokémon GO Moves'!$A$1:$A951,0)),'Reverse Search'!$J$21)))))</f>
        <v>#N/A</v>
      </c>
      <c r="AB766" s="490"/>
      <c r="AC766" s="260" t="e">
        <f aca="false">IF((Q766+R766+S766+V766+W766+X766+Y766+IF(Z766&gt;=1,1,0)+IF(AA766&gt;=1,1,0))=9,G766&amp;", ",)</f>
        <v>#N/A</v>
      </c>
    </row>
    <row r="767" customFormat="false" ht="15.75" hidden="false" customHeight="false" outlineLevel="0" collapsed="false">
      <c r="A767" s="260"/>
      <c r="B767" s="358"/>
      <c r="C767" s="260"/>
      <c r="D767" s="358"/>
      <c r="E767" s="260" t="n">
        <v>766</v>
      </c>
      <c r="F767" s="260" t="n">
        <f aca="false" t="array" ref="F767:F767">INDEX('0.0.1 Pokémon Dex Data'!$H$3:$H951,MATCH(E767,'0.0.1 Pokémon Dex Data'!$B$3:$B951,0))</f>
        <v>0</v>
      </c>
      <c r="G767" s="0" t="str">
        <f aca="false" t="array" ref="G767:G767">INDEX('0.0.1 Pokémon Dex Data'!$E$3:$E951,MATCH(E767,'0.0.1 Pokémon Dex Data'!$B$3:$B951,0))</f>
        <v>Bunnelby</v>
      </c>
      <c r="H767" s="0" t="str">
        <f aca="false" t="array" ref="H767:H767">INDEX('0.0.1 Pokémon Dex Data'!$Q$3:$Q951,MATCH(E767,'0.0.1 Pokémon Dex Data'!$B$3:$B951,0))</f>
        <v>Normal</v>
      </c>
      <c r="I767" s="0" t="n">
        <f aca="false">INDEX('0.0.1 Pokémon Dex Data'!$R$3:$R951,MATCH(E767,'0.0.1 Pokémon Dex Data'!$B$3:$B951,0))</f>
        <v>0</v>
      </c>
      <c r="J767" s="260" t="n">
        <f aca="false" t="array" ref="J767:J767">ROUND(INDEX('0.0.1 Pokémon Dex Data'!$S$3:$S951,MATCH($E767,'0.0.1 Pokémon Dex Data'!$B$3:$B951,0))*INDEX('0.0.1 Pokémon Dex Data'!T$3:T951,MATCH($E767,'0.0.1 Pokémon Dex Data'!$B$3:$B951,0)),0)</f>
        <v>68</v>
      </c>
      <c r="K767" s="260" t="n">
        <f aca="false" t="array" ref="K767:K767">ROUND(INDEX('0.0.1 Pokémon Dex Data'!$S$3:$S951,MATCH($E767,'0.0.1 Pokémon Dex Data'!$B$3:$B951,0))*INDEX('0.0.1 Pokémon Dex Data'!U$3:U951,MATCH($E767,'0.0.1 Pokémon Dex Data'!$B$3:$B951,0)),0)</f>
        <v>72</v>
      </c>
      <c r="L767" s="260" t="n">
        <f aca="false" t="array" ref="L767:L767">ROUND(INDEX('0.0.1 Pokémon Dex Data'!$S$3:$S951,MATCH($E767,'0.0.1 Pokémon Dex Data'!$B$3:$B951,0))*INDEX('0.0.1 Pokémon Dex Data'!V$3:V951,MATCH($E767,'0.0.1 Pokémon Dex Data'!$B$3:$B951,0)),0)</f>
        <v>116</v>
      </c>
      <c r="M767" s="260" t="n">
        <f aca="false" t="array" ref="M767:M767">INDEX('0.0.1 Pokémon Dex Data'!$J$3:$J951,MATCH(E767,'0.0.1 Pokémon Dex Data'!$B$3:$B951,0))</f>
        <v>0</v>
      </c>
      <c r="O767" s="490"/>
      <c r="Q767" s="367" t="n">
        <f aca="false">IF('Reverse Search'!$F$4="All (including temporary formes)",1,IF('Reverse Search'!$F$4="Base Pokémon and permanent formes only",IF(F767&lt;=1,1,0),IF(F767=0,1,0)))</f>
        <v>1</v>
      </c>
      <c r="R767" s="0" t="n">
        <f aca="false">IF('Reverse Search'!$C$7="Disable",1,IF('Reverse Search'!$D$9="Disable",1,IF(OR('Reverse Search'!$F$9=H767,'Reverse Search'!$F$9=I767),1,0)))</f>
        <v>1</v>
      </c>
      <c r="S767" s="0" t="n">
        <f aca="false">IF('Reverse Search'!$C$7="Disable",1,IF('Reverse Search'!$D$10="Disable",1,IF(OR('Reverse Search'!$F$10=H767,'Reverse Search'!$F$10=I767),1,0)))</f>
        <v>1</v>
      </c>
      <c r="T767" s="0" t="n">
        <f aca="false">INDEX($B$4:$B$22,MATCH(H767,$A$4:$A$22,0))</f>
        <v>1</v>
      </c>
      <c r="U767" s="0" t="e">
        <f aca="false">IF(ISBLANK(I767),1,INDEX($B$4:$B$22,MATCH(I767,$A$4:$A$22,0)))</f>
        <v>#N/A</v>
      </c>
      <c r="V767" s="367" t="n">
        <f aca="false">IF('Reverse Search'!$C$7="Disable",1,IF('Reverse Search'!$D$11="Disable",1,IF('Reverse Search'!$E$11="Neutral to:",IF(ROUND(T767*U767,2)&lt;=1,1,0),IF(ROUND(T767*U767,2)&lt;1,1,0))))</f>
        <v>1</v>
      </c>
      <c r="W767" s="0" t="n">
        <f aca="false">IF('Reverse Search'!$N$7="Disable",1,IF('Reverse Search'!$I$9="Disable",1,IF('Reverse Search'!$K$9="≥",IF(J767&gt;='Reverse Search'!$L$9,1,0),IF('Reverse Search'!$K$9="≤",IF(J767&lt;='Reverse Search'!$L$9,1,0),IF(J767='Reverse Search'!$L$9,1,0)))))</f>
        <v>1</v>
      </c>
      <c r="X767" s="0" t="n">
        <f aca="false">IF('Reverse Search'!$N$7="Disable",1,IF('Reverse Search'!$I$10="Disable",1,IF('Reverse Search'!$K$10="≥",IF(K767&gt;='Reverse Search'!$L$10,1,0),IF('Reverse Search'!$K$10="≤",IF(K767&lt;='Reverse Search'!$L$10,1,0),IF(K767='Reverse Search'!$L$10,1,0)))))</f>
        <v>1</v>
      </c>
      <c r="Y767" s="367" t="n">
        <f aca="false">IF('Reverse Search'!$N$7="Disable",1,IF('Reverse Search'!$I$11="Disable",1,IF('Reverse Search'!$K$11="≥",IF(L767&gt;='Reverse Search'!$L$11,1,0),IF('Reverse Search'!$K$11="≤",IF(L767&lt;='Reverse Search'!$L$11,1,0),IF(L767='Reverse Search'!$L$11,1,0)))))</f>
        <v>1</v>
      </c>
      <c r="Z767" s="0" t="n">
        <f aca="true">IF('Reverse Search'!$C$14="Disable",1,IF('Reverse Search'!$D$16="Disable",1,IF($C$2=3,IF($M767=0,0,COUNTIF(INDIRECT("'0.0.2 Pokémon Learnset (Core)'!$D$"&amp;MATCH($E767,'0.0.2 Pokémon Learnset (Core)'!$A$1:$A951,0)&amp;":$FK$"&amp;MATCH($E767,'0.0.2 Pokémon Learnset (Core)'!$A$1:$A951,0)),'Reverse Search'!$E$21)),IF($C$2=2,COUNTIF(INDIRECT("'0.1.1 Pokémon GO Moves'!$B$"&amp;MATCH($E767,'0.1.1 Pokémon GO Moves'!$A$1:$A951,0)&amp;":$R$"&amp;MATCH($E767,'0.1.1 Pokémon GO Moves'!$A$1:$A951,0)),'Reverse Search'!$E$21),COUNTIF(INDIRECT("'0.1.1 Pokémon GO Moves'!$B$"&amp;MATCH($E767,'0.1.1 Pokémon GO Moves'!$A$1:$A951,0)&amp;":$L$"&amp;MATCH($E767,'0.1.1 Pokémon GO Moves'!$A$1:$A951,0)),'Reverse Search'!$E$21)))))</f>
        <v>1</v>
      </c>
      <c r="AA767" s="0" t="n">
        <f aca="true">IF('Reverse Search'!$C$14="Disable",1,IF('Reverse Search'!$I$16="Disable",1,IF($D$2=3,IF($M767=0,0,COUNTIF(INDIRECT("'0.0.2 Pokémon Learnset (Core)'!$D$"&amp;MATCH($E767,'0.0.2 Pokémon Learnset (Core)'!$A$1:$A951,0)&amp;":$FK$"&amp;MATCH($E767,'0.0.2 Pokémon Learnset (Core)'!$A$1:$A951,0)),'Reverse Search'!$J$21)),IF($D$2=2,COUNTIF(INDIRECT("'0.1.1 Pokémon GO Moves'!$B$"&amp;MATCH($E767,'0.1.1 Pokémon GO Moves'!$A$1:$A951,0)&amp;":$R$"&amp;MATCH($E767,'0.1.1 Pokémon GO Moves'!$A$1:$A951,0)),'Reverse Search'!$J$21),COUNTIF(INDIRECT("'0.1.1 Pokémon GO Moves'!$B$"&amp;MATCH($E767,'0.1.1 Pokémon GO Moves'!$A$1:$A951,0)&amp;":$L$"&amp;MATCH($E767,'0.1.1 Pokémon GO Moves'!$A$1:$A951,0)),'Reverse Search'!$J$21)))))</f>
        <v>0</v>
      </c>
      <c r="AB767" s="490"/>
      <c r="AC767" s="260" t="n">
        <f aca="false">IF((Q767+R767+S767+V767+W767+X767+Y767+IF(Z767&gt;=1,1,0)+IF(AA767&gt;=1,1,0))=9,G767&amp;", ",)</f>
        <v>0</v>
      </c>
    </row>
    <row r="768" customFormat="false" ht="15.75" hidden="false" customHeight="false" outlineLevel="0" collapsed="false">
      <c r="A768" s="260"/>
      <c r="B768" s="358"/>
      <c r="C768" s="260"/>
      <c r="D768" s="358"/>
      <c r="E768" s="260" t="n">
        <v>767</v>
      </c>
      <c r="F768" s="260" t="n">
        <f aca="false" t="array" ref="F768:F768">INDEX('0.0.1 Pokémon Dex Data'!$H$3:$H951,MATCH(E768,'0.0.1 Pokémon Dex Data'!$B$3:$B951,0))</f>
        <v>0</v>
      </c>
      <c r="G768" s="0" t="str">
        <f aca="false" t="array" ref="G768:G768">INDEX('0.0.1 Pokémon Dex Data'!$E$3:$E951,MATCH(E768,'0.0.1 Pokémon Dex Data'!$B$3:$B951,0))</f>
        <v>Diggersby</v>
      </c>
      <c r="H768" s="0" t="str">
        <f aca="false" t="array" ref="H768:H768">INDEX('0.0.1 Pokémon Dex Data'!$Q$3:$Q951,MATCH(E768,'0.0.1 Pokémon Dex Data'!$B$3:$B951,0))</f>
        <v>Normal</v>
      </c>
      <c r="I768" s="0" t="str">
        <f aca="false" t="array" ref="I768:I768">INDEX('0.0.1 Pokémon Dex Data'!$R$3:$R951,MATCH(E768,'0.0.1 Pokémon Dex Data'!$B$3:$B951,0))</f>
        <v>Ground</v>
      </c>
      <c r="J768" s="260" t="n">
        <f aca="false" t="array" ref="J768:J768">ROUND(INDEX('0.0.1 Pokémon Dex Data'!$S$3:$S951,MATCH($E768,'0.0.1 Pokémon Dex Data'!$B$3:$B951,0))*INDEX('0.0.1 Pokémon Dex Data'!T$3:T951,MATCH($E768,'0.0.1 Pokémon Dex Data'!$B$3:$B951,0)),0)</f>
        <v>112</v>
      </c>
      <c r="K768" s="260" t="n">
        <f aca="false" t="array" ref="K768:K768">ROUND(INDEX('0.0.1 Pokémon Dex Data'!$S$3:$S951,MATCH($E768,'0.0.1 Pokémon Dex Data'!$B$3:$B951,0))*INDEX('0.0.1 Pokémon Dex Data'!U$3:U951,MATCH($E768,'0.0.1 Pokémon Dex Data'!$B$3:$B951,0)),0)</f>
        <v>155</v>
      </c>
      <c r="L768" s="260" t="n">
        <f aca="false" t="array" ref="L768:L768">ROUND(INDEX('0.0.1 Pokémon Dex Data'!$S$3:$S951,MATCH($E768,'0.0.1 Pokémon Dex Data'!$B$3:$B951,0))*INDEX('0.0.1 Pokémon Dex Data'!V$3:V951,MATCH($E768,'0.0.1 Pokémon Dex Data'!$B$3:$B951,0)),0)</f>
        <v>198</v>
      </c>
      <c r="M768" s="260" t="n">
        <f aca="false" t="array" ref="M768:M768">INDEX('0.0.1 Pokémon Dex Data'!$J$3:$J951,MATCH(E768,'0.0.1 Pokémon Dex Data'!$B$3:$B951,0))</f>
        <v>1</v>
      </c>
      <c r="O768" s="490"/>
      <c r="Q768" s="367" t="n">
        <f aca="false">IF('Reverse Search'!$F$4="All (including temporary formes)",1,IF('Reverse Search'!$F$4="Base Pokémon and permanent formes only",IF(F768&lt;=1,1,0),IF(F768=0,1,0)))</f>
        <v>1</v>
      </c>
      <c r="R768" s="0" t="n">
        <f aca="false">IF('Reverse Search'!$C$7="Disable",1,IF('Reverse Search'!$D$9="Disable",1,IF(OR('Reverse Search'!$F$9=H768,'Reverse Search'!$F$9=I768),1,0)))</f>
        <v>1</v>
      </c>
      <c r="S768" s="0" t="n">
        <f aca="false">IF('Reverse Search'!$C$7="Disable",1,IF('Reverse Search'!$D$10="Disable",1,IF(OR('Reverse Search'!$F$10=H768,'Reverse Search'!$F$10=I768),1,0)))</f>
        <v>1</v>
      </c>
      <c r="T768" s="0" t="n">
        <f aca="false">INDEX($B$4:$B$22,MATCH(H768,$A$4:$A$22,0))</f>
        <v>1</v>
      </c>
      <c r="U768" s="0" t="n">
        <f aca="false">IF(ISBLANK(I768),1,INDEX($B$4:$B$22,MATCH(I768,$A$4:$A$22,0)))</f>
        <v>1</v>
      </c>
      <c r="V768" s="367" t="n">
        <f aca="false">IF('Reverse Search'!$C$7="Disable",1,IF('Reverse Search'!$D$11="Disable",1,IF('Reverse Search'!$E$11="Neutral to:",IF(ROUND(T768*U768,2)&lt;=1,1,0),IF(ROUND(T768*U768,2)&lt;1,1,0))))</f>
        <v>1</v>
      </c>
      <c r="W768" s="0" t="n">
        <f aca="false">IF('Reverse Search'!$N$7="Disable",1,IF('Reverse Search'!$I$9="Disable",1,IF('Reverse Search'!$K$9="≥",IF(J768&gt;='Reverse Search'!$L$9,1,0),IF('Reverse Search'!$K$9="≤",IF(J768&lt;='Reverse Search'!$L$9,1,0),IF(J768='Reverse Search'!$L$9,1,0)))))</f>
        <v>1</v>
      </c>
      <c r="X768" s="0" t="n">
        <f aca="false">IF('Reverse Search'!$N$7="Disable",1,IF('Reverse Search'!$I$10="Disable",1,IF('Reverse Search'!$K$10="≥",IF(K768&gt;='Reverse Search'!$L$10,1,0),IF('Reverse Search'!$K$10="≤",IF(K768&lt;='Reverse Search'!$L$10,1,0),IF(K768='Reverse Search'!$L$10,1,0)))))</f>
        <v>1</v>
      </c>
      <c r="Y768" s="367" t="n">
        <f aca="false">IF('Reverse Search'!$N$7="Disable",1,IF('Reverse Search'!$I$11="Disable",1,IF('Reverse Search'!$K$11="≥",IF(L768&gt;='Reverse Search'!$L$11,1,0),IF('Reverse Search'!$K$11="≤",IF(L768&lt;='Reverse Search'!$L$11,1,0),IF(L768='Reverse Search'!$L$11,1,0)))))</f>
        <v>1</v>
      </c>
      <c r="Z768" s="0" t="n">
        <f aca="true">IF('Reverse Search'!$C$14="Disable",1,IF('Reverse Search'!$D$16="Disable",1,IF($C$2=3,IF($M768=0,0,COUNTIF(INDIRECT("'0.0.2 Pokémon Learnset (Core)'!$D$"&amp;MATCH($E768,'0.0.2 Pokémon Learnset (Core)'!$A$1:$A951,0)&amp;":$FK$"&amp;MATCH($E768,'0.0.2 Pokémon Learnset (Core)'!$A$1:$A951,0)),'Reverse Search'!$E$21)),IF($C$2=2,COUNTIF(INDIRECT("'0.1.1 Pokémon GO Moves'!$B$"&amp;MATCH($E768,'0.1.1 Pokémon GO Moves'!$A$1:$A951,0)&amp;":$R$"&amp;MATCH($E768,'0.1.1 Pokémon GO Moves'!$A$1:$A951,0)),'Reverse Search'!$E$21),COUNTIF(INDIRECT("'0.1.1 Pokémon GO Moves'!$B$"&amp;MATCH($E768,'0.1.1 Pokémon GO Moves'!$A$1:$A951,0)&amp;":$L$"&amp;MATCH($E768,'0.1.1 Pokémon GO Moves'!$A$1:$A951,0)),'Reverse Search'!$E$21)))))</f>
        <v>1</v>
      </c>
      <c r="AA768" s="0" t="n">
        <f aca="true">IF('Reverse Search'!$C$14="Disable",1,IF('Reverse Search'!$I$16="Disable",1,IF($D$2=3,IF($M768=0,0,COUNTIF(INDIRECT("'0.0.2 Pokémon Learnset (Core)'!$D$"&amp;MATCH($E768,'0.0.2 Pokémon Learnset (Core)'!$A$1:$A951,0)&amp;":$FK$"&amp;MATCH($E768,'0.0.2 Pokémon Learnset (Core)'!$A$1:$A951,0)),'Reverse Search'!$J$21)),IF($D$2=2,COUNTIF(INDIRECT("'0.1.1 Pokémon GO Moves'!$B$"&amp;MATCH($E768,'0.1.1 Pokémon GO Moves'!$A$1:$A951,0)&amp;":$R$"&amp;MATCH($E768,'0.1.1 Pokémon GO Moves'!$A$1:$A951,0)),'Reverse Search'!$J$21),COUNTIF(INDIRECT("'0.1.1 Pokémon GO Moves'!$B$"&amp;MATCH($E768,'0.1.1 Pokémon GO Moves'!$A$1:$A951,0)&amp;":$L$"&amp;MATCH($E768,'0.1.1 Pokémon GO Moves'!$A$1:$A951,0)),'Reverse Search'!$J$21)))))</f>
        <v>0</v>
      </c>
      <c r="AB768" s="490"/>
      <c r="AC768" s="260" t="n">
        <f aca="false">IF((Q768+R768+S768+V768+W768+X768+Y768+IF(Z768&gt;=1,1,0)+IF(AA768&gt;=1,1,0))=9,G768&amp;", ",)</f>
        <v>0</v>
      </c>
    </row>
    <row r="769" customFormat="false" ht="15.75" hidden="false" customHeight="false" outlineLevel="0" collapsed="false">
      <c r="A769" s="260"/>
      <c r="B769" s="358"/>
      <c r="C769" s="260"/>
      <c r="D769" s="358"/>
      <c r="E769" s="260" t="n">
        <v>768</v>
      </c>
      <c r="F769" s="260" t="n">
        <f aca="false" t="array" ref="F769:F769">INDEX('0.0.1 Pokémon Dex Data'!$H$3:$H951,MATCH(E769,'0.0.1 Pokémon Dex Data'!$B$3:$B951,0))</f>
        <v>0</v>
      </c>
      <c r="G769" s="0" t="str">
        <f aca="false" t="array" ref="G769:G769">INDEX('0.0.1 Pokémon Dex Data'!$E$3:$E951,MATCH(E769,'0.0.1 Pokémon Dex Data'!$B$3:$B951,0))</f>
        <v>Fletchling</v>
      </c>
      <c r="H769" s="0" t="str">
        <f aca="false" t="array" ref="H769:H769">INDEX('0.0.1 Pokémon Dex Data'!$Q$3:$Q951,MATCH(E769,'0.0.1 Pokémon Dex Data'!$B$3:$B951,0))</f>
        <v>Normal</v>
      </c>
      <c r="I769" s="0" t="str">
        <f aca="false" t="array" ref="I769:I769">INDEX('0.0.1 Pokémon Dex Data'!$R$3:$R951,MATCH(E769,'0.0.1 Pokémon Dex Data'!$B$3:$B951,0))</f>
        <v>Flying</v>
      </c>
      <c r="J769" s="260" t="n">
        <f aca="false" t="array" ref="J769:J769">ROUND(INDEX('0.0.1 Pokémon Dex Data'!$S$3:$S951,MATCH($E769,'0.0.1 Pokémon Dex Data'!$B$3:$B951,0))*INDEX('0.0.1 Pokémon Dex Data'!T$3:T951,MATCH($E769,'0.0.1 Pokémon Dex Data'!$B$3:$B951,0)),0)</f>
        <v>95</v>
      </c>
      <c r="K769" s="260" t="n">
        <f aca="false" t="array" ref="K769:K769">ROUND(INDEX('0.0.1 Pokémon Dex Data'!$S$3:$S951,MATCH($E769,'0.0.1 Pokémon Dex Data'!$B$3:$B951,0))*INDEX('0.0.1 Pokémon Dex Data'!U$3:U951,MATCH($E769,'0.0.1 Pokémon Dex Data'!$B$3:$B951,0)),0)</f>
        <v>80</v>
      </c>
      <c r="L769" s="260" t="n">
        <f aca="false" t="array" ref="L769:L769">ROUND(INDEX('0.0.1 Pokémon Dex Data'!$S$3:$S951,MATCH($E769,'0.0.1 Pokémon Dex Data'!$B$3:$B951,0))*INDEX('0.0.1 Pokémon Dex Data'!V$3:V951,MATCH($E769,'0.0.1 Pokémon Dex Data'!$B$3:$B951,0)),0)</f>
        <v>128</v>
      </c>
      <c r="M769" s="260" t="n">
        <f aca="false" t="array" ref="M769:M769">INDEX('0.0.1 Pokémon Dex Data'!$J$3:$J951,MATCH(E769,'0.0.1 Pokémon Dex Data'!$B$3:$B951,0))</f>
        <v>0</v>
      </c>
      <c r="O769" s="490"/>
      <c r="Q769" s="367" t="n">
        <f aca="false">IF('Reverse Search'!$F$4="All (including temporary formes)",1,IF('Reverse Search'!$F$4="Base Pokémon and permanent formes only",IF(F769&lt;=1,1,0),IF(F769=0,1,0)))</f>
        <v>1</v>
      </c>
      <c r="R769" s="0" t="n">
        <f aca="false">IF('Reverse Search'!$C$7="Disable",1,IF('Reverse Search'!$D$9="Disable",1,IF(OR('Reverse Search'!$F$9=H769,'Reverse Search'!$F$9=I769),1,0)))</f>
        <v>1</v>
      </c>
      <c r="S769" s="0" t="n">
        <f aca="false">IF('Reverse Search'!$C$7="Disable",1,IF('Reverse Search'!$D$10="Disable",1,IF(OR('Reverse Search'!$F$10=H769,'Reverse Search'!$F$10=I769),1,0)))</f>
        <v>1</v>
      </c>
      <c r="T769" s="0" t="n">
        <f aca="false">INDEX($B$4:$B$22,MATCH(H769,$A$4:$A$22,0))</f>
        <v>1</v>
      </c>
      <c r="U769" s="0" t="n">
        <f aca="false">IF(ISBLANK(I769),1,INDEX($B$4:$B$22,MATCH(I769,$A$4:$A$22,0)))</f>
        <v>1</v>
      </c>
      <c r="V769" s="367" t="n">
        <f aca="false">IF('Reverse Search'!$C$7="Disable",1,IF('Reverse Search'!$D$11="Disable",1,IF('Reverse Search'!$E$11="Neutral to:",IF(ROUND(T769*U769,2)&lt;=1,1,0),IF(ROUND(T769*U769,2)&lt;1,1,0))))</f>
        <v>1</v>
      </c>
      <c r="W769" s="0" t="n">
        <f aca="false">IF('Reverse Search'!$N$7="Disable",1,IF('Reverse Search'!$I$9="Disable",1,IF('Reverse Search'!$K$9="≥",IF(J769&gt;='Reverse Search'!$L$9,1,0),IF('Reverse Search'!$K$9="≤",IF(J769&lt;='Reverse Search'!$L$9,1,0),IF(J769='Reverse Search'!$L$9,1,0)))))</f>
        <v>1</v>
      </c>
      <c r="X769" s="0" t="n">
        <f aca="false">IF('Reverse Search'!$N$7="Disable",1,IF('Reverse Search'!$I$10="Disable",1,IF('Reverse Search'!$K$10="≥",IF(K769&gt;='Reverse Search'!$L$10,1,0),IF('Reverse Search'!$K$10="≤",IF(K769&lt;='Reverse Search'!$L$10,1,0),IF(K769='Reverse Search'!$L$10,1,0)))))</f>
        <v>1</v>
      </c>
      <c r="Y769" s="367" t="n">
        <f aca="false">IF('Reverse Search'!$N$7="Disable",1,IF('Reverse Search'!$I$11="Disable",1,IF('Reverse Search'!$K$11="≥",IF(L769&gt;='Reverse Search'!$L$11,1,0),IF('Reverse Search'!$K$11="≤",IF(L769&lt;='Reverse Search'!$L$11,1,0),IF(L769='Reverse Search'!$L$11,1,0)))))</f>
        <v>1</v>
      </c>
      <c r="Z769" s="0" t="n">
        <f aca="true">IF('Reverse Search'!$C$14="Disable",1,IF('Reverse Search'!$D$16="Disable",1,IF($C$2=3,IF($M769=0,0,COUNTIF(INDIRECT("'0.0.2 Pokémon Learnset (Core)'!$D$"&amp;MATCH($E769,'0.0.2 Pokémon Learnset (Core)'!$A$1:$A951,0)&amp;":$FK$"&amp;MATCH($E769,'0.0.2 Pokémon Learnset (Core)'!$A$1:$A951,0)),'Reverse Search'!$E$21)),IF($C$2=2,COUNTIF(INDIRECT("'0.1.1 Pokémon GO Moves'!$B$"&amp;MATCH($E769,'0.1.1 Pokémon GO Moves'!$A$1:$A951,0)&amp;":$R$"&amp;MATCH($E769,'0.1.1 Pokémon GO Moves'!$A$1:$A951,0)),'Reverse Search'!$E$21),COUNTIF(INDIRECT("'0.1.1 Pokémon GO Moves'!$B$"&amp;MATCH($E769,'0.1.1 Pokémon GO Moves'!$A$1:$A951,0)&amp;":$L$"&amp;MATCH($E769,'0.1.1 Pokémon GO Moves'!$A$1:$A951,0)),'Reverse Search'!$E$21)))))</f>
        <v>1</v>
      </c>
      <c r="AA769" s="0" t="n">
        <f aca="true">IF('Reverse Search'!$C$14="Disable",1,IF('Reverse Search'!$I$16="Disable",1,IF($D$2=3,IF($M769=0,0,COUNTIF(INDIRECT("'0.0.2 Pokémon Learnset (Core)'!$D$"&amp;MATCH($E769,'0.0.2 Pokémon Learnset (Core)'!$A$1:$A951,0)&amp;":$FK$"&amp;MATCH($E769,'0.0.2 Pokémon Learnset (Core)'!$A$1:$A951,0)),'Reverse Search'!$J$21)),IF($D$2=2,COUNTIF(INDIRECT("'0.1.1 Pokémon GO Moves'!$B$"&amp;MATCH($E769,'0.1.1 Pokémon GO Moves'!$A$1:$A951,0)&amp;":$R$"&amp;MATCH($E769,'0.1.1 Pokémon GO Moves'!$A$1:$A951,0)),'Reverse Search'!$J$21),COUNTIF(INDIRECT("'0.1.1 Pokémon GO Moves'!$B$"&amp;MATCH($E769,'0.1.1 Pokémon GO Moves'!$A$1:$A951,0)&amp;":$L$"&amp;MATCH($E769,'0.1.1 Pokémon GO Moves'!$A$1:$A951,0)),'Reverse Search'!$J$21)))))</f>
        <v>0</v>
      </c>
      <c r="AB769" s="490"/>
      <c r="AC769" s="260" t="n">
        <f aca="false">IF((Q769+R769+S769+V769+W769+X769+Y769+IF(Z769&gt;=1,1,0)+IF(AA769&gt;=1,1,0))=9,G769&amp;", ",)</f>
        <v>0</v>
      </c>
    </row>
    <row r="770" customFormat="false" ht="15.75" hidden="false" customHeight="false" outlineLevel="0" collapsed="false">
      <c r="A770" s="260"/>
      <c r="B770" s="358"/>
      <c r="C770" s="260"/>
      <c r="D770" s="358"/>
      <c r="E770" s="260" t="n">
        <v>769</v>
      </c>
      <c r="F770" s="260" t="n">
        <f aca="false" t="array" ref="F770:F770">INDEX('0.0.1 Pokémon Dex Data'!$H$3:$H951,MATCH(E770,'0.0.1 Pokémon Dex Data'!$B$3:$B951,0))</f>
        <v>0</v>
      </c>
      <c r="G770" s="0" t="str">
        <f aca="false" t="array" ref="G770:G770">INDEX('0.0.1 Pokémon Dex Data'!$E$3:$E951,MATCH(E770,'0.0.1 Pokémon Dex Data'!$B$3:$B951,0))</f>
        <v>Fletchinder</v>
      </c>
      <c r="H770" s="0" t="str">
        <f aca="false" t="array" ref="H770:H770">INDEX('0.0.1 Pokémon Dex Data'!$Q$3:$Q951,MATCH(E770,'0.0.1 Pokémon Dex Data'!$B$3:$B951,0))</f>
        <v>Fire</v>
      </c>
      <c r="I770" s="0" t="str">
        <f aca="false" t="array" ref="I770:I770">INDEX('0.0.1 Pokémon Dex Data'!$R$3:$R951,MATCH(E770,'0.0.1 Pokémon Dex Data'!$B$3:$B951,0))</f>
        <v>Flying</v>
      </c>
      <c r="J770" s="260" t="n">
        <f aca="false" t="array" ref="J770:J770">ROUND(INDEX('0.0.1 Pokémon Dex Data'!$S$3:$S951,MATCH($E770,'0.0.1 Pokémon Dex Data'!$B$3:$B951,0))*INDEX('0.0.1 Pokémon Dex Data'!T$3:T951,MATCH($E770,'0.0.1 Pokémon Dex Data'!$B$3:$B951,0)),0)</f>
        <v>145</v>
      </c>
      <c r="K770" s="260" t="n">
        <f aca="false" t="array" ref="K770:K770">ROUND(INDEX('0.0.1 Pokémon Dex Data'!$S$3:$S951,MATCH($E770,'0.0.1 Pokémon Dex Data'!$B$3:$B951,0))*INDEX('0.0.1 Pokémon Dex Data'!U$3:U951,MATCH($E770,'0.0.1 Pokémon Dex Data'!$B$3:$B951,0)),0)</f>
        <v>110</v>
      </c>
      <c r="L770" s="260" t="n">
        <f aca="false" t="array" ref="L770:L770">ROUND(INDEX('0.0.1 Pokémon Dex Data'!$S$3:$S951,MATCH($E770,'0.0.1 Pokémon Dex Data'!$B$3:$B951,0))*INDEX('0.0.1 Pokémon Dex Data'!V$3:V951,MATCH($E770,'0.0.1 Pokémon Dex Data'!$B$3:$B951,0)),0)</f>
        <v>158</v>
      </c>
      <c r="M770" s="260" t="n">
        <f aca="false" t="array" ref="M770:M770">INDEX('0.0.1 Pokémon Dex Data'!$J$3:$J951,MATCH(E770,'0.0.1 Pokémon Dex Data'!$B$3:$B951,0))</f>
        <v>0</v>
      </c>
      <c r="O770" s="490"/>
      <c r="Q770" s="367" t="n">
        <f aca="false">IF('Reverse Search'!$F$4="All (including temporary formes)",1,IF('Reverse Search'!$F$4="Base Pokémon and permanent formes only",IF(F770&lt;=1,1,0),IF(F770=0,1,0)))</f>
        <v>1</v>
      </c>
      <c r="R770" s="0" t="n">
        <f aca="false">IF('Reverse Search'!$C$7="Disable",1,IF('Reverse Search'!$D$9="Disable",1,IF(OR('Reverse Search'!$F$9=H770,'Reverse Search'!$F$9=I770),1,0)))</f>
        <v>1</v>
      </c>
      <c r="S770" s="0" t="n">
        <f aca="false">IF('Reverse Search'!$C$7="Disable",1,IF('Reverse Search'!$D$10="Disable",1,IF(OR('Reverse Search'!$F$10=H770,'Reverse Search'!$F$10=I770),1,0)))</f>
        <v>1</v>
      </c>
      <c r="T770" s="0" t="n">
        <f aca="false">INDEX($B$4:$B$22,MATCH(H770,$A$4:$A$22,0))</f>
        <v>1</v>
      </c>
      <c r="U770" s="0" t="n">
        <f aca="false">IF(ISBLANK(I770),1,INDEX($B$4:$B$22,MATCH(I770,$A$4:$A$22,0)))</f>
        <v>1</v>
      </c>
      <c r="V770" s="367" t="n">
        <f aca="false">IF('Reverse Search'!$C$7="Disable",1,IF('Reverse Search'!$D$11="Disable",1,IF('Reverse Search'!$E$11="Neutral to:",IF(ROUND(T770*U770,2)&lt;=1,1,0),IF(ROUND(T770*U770,2)&lt;1,1,0))))</f>
        <v>1</v>
      </c>
      <c r="W770" s="0" t="n">
        <f aca="false">IF('Reverse Search'!$N$7="Disable",1,IF('Reverse Search'!$I$9="Disable",1,IF('Reverse Search'!$K$9="≥",IF(J770&gt;='Reverse Search'!$L$9,1,0),IF('Reverse Search'!$K$9="≤",IF(J770&lt;='Reverse Search'!$L$9,1,0),IF(J770='Reverse Search'!$L$9,1,0)))))</f>
        <v>1</v>
      </c>
      <c r="X770" s="0" t="n">
        <f aca="false">IF('Reverse Search'!$N$7="Disable",1,IF('Reverse Search'!$I$10="Disable",1,IF('Reverse Search'!$K$10="≥",IF(K770&gt;='Reverse Search'!$L$10,1,0),IF('Reverse Search'!$K$10="≤",IF(K770&lt;='Reverse Search'!$L$10,1,0),IF(K770='Reverse Search'!$L$10,1,0)))))</f>
        <v>1</v>
      </c>
      <c r="Y770" s="367" t="n">
        <f aca="false">IF('Reverse Search'!$N$7="Disable",1,IF('Reverse Search'!$I$11="Disable",1,IF('Reverse Search'!$K$11="≥",IF(L770&gt;='Reverse Search'!$L$11,1,0),IF('Reverse Search'!$K$11="≤",IF(L770&lt;='Reverse Search'!$L$11,1,0),IF(L770='Reverse Search'!$L$11,1,0)))))</f>
        <v>1</v>
      </c>
      <c r="Z770" s="0" t="n">
        <f aca="true">IF('Reverse Search'!$C$14="Disable",1,IF('Reverse Search'!$D$16="Disable",1,IF($C$2=3,IF($M770=0,0,COUNTIF(INDIRECT("'0.0.2 Pokémon Learnset (Core)'!$D$"&amp;MATCH($E770,'0.0.2 Pokémon Learnset (Core)'!$A$1:$A951,0)&amp;":$FK$"&amp;MATCH($E770,'0.0.2 Pokémon Learnset (Core)'!$A$1:$A951,0)),'Reverse Search'!$E$21)),IF($C$2=2,COUNTIF(INDIRECT("'0.1.1 Pokémon GO Moves'!$B$"&amp;MATCH($E770,'0.1.1 Pokémon GO Moves'!$A$1:$A951,0)&amp;":$R$"&amp;MATCH($E770,'0.1.1 Pokémon GO Moves'!$A$1:$A951,0)),'Reverse Search'!$E$21),COUNTIF(INDIRECT("'0.1.1 Pokémon GO Moves'!$B$"&amp;MATCH($E770,'0.1.1 Pokémon GO Moves'!$A$1:$A951,0)&amp;":$L$"&amp;MATCH($E770,'0.1.1 Pokémon GO Moves'!$A$1:$A951,0)),'Reverse Search'!$E$21)))))</f>
        <v>1</v>
      </c>
      <c r="AA770" s="0" t="n">
        <f aca="true">IF('Reverse Search'!$C$14="Disable",1,IF('Reverse Search'!$I$16="Disable",1,IF($D$2=3,IF($M770=0,0,COUNTIF(INDIRECT("'0.0.2 Pokémon Learnset (Core)'!$D$"&amp;MATCH($E770,'0.0.2 Pokémon Learnset (Core)'!$A$1:$A951,0)&amp;":$FK$"&amp;MATCH($E770,'0.0.2 Pokémon Learnset (Core)'!$A$1:$A951,0)),'Reverse Search'!$J$21)),IF($D$2=2,COUNTIF(INDIRECT("'0.1.1 Pokémon GO Moves'!$B$"&amp;MATCH($E770,'0.1.1 Pokémon GO Moves'!$A$1:$A951,0)&amp;":$R$"&amp;MATCH($E770,'0.1.1 Pokémon GO Moves'!$A$1:$A951,0)),'Reverse Search'!$J$21),COUNTIF(INDIRECT("'0.1.1 Pokémon GO Moves'!$B$"&amp;MATCH($E770,'0.1.1 Pokémon GO Moves'!$A$1:$A951,0)&amp;":$L$"&amp;MATCH($E770,'0.1.1 Pokémon GO Moves'!$A$1:$A951,0)),'Reverse Search'!$J$21)))))</f>
        <v>0</v>
      </c>
      <c r="AB770" s="490"/>
      <c r="AC770" s="260" t="n">
        <f aca="false">IF((Q770+R770+S770+V770+W770+X770+Y770+IF(Z770&gt;=1,1,0)+IF(AA770&gt;=1,1,0))=9,G770&amp;", ",)</f>
        <v>0</v>
      </c>
    </row>
    <row r="771" customFormat="false" ht="15.75" hidden="false" customHeight="false" outlineLevel="0" collapsed="false">
      <c r="A771" s="260"/>
      <c r="B771" s="358"/>
      <c r="C771" s="260"/>
      <c r="D771" s="358"/>
      <c r="E771" s="260" t="n">
        <v>770</v>
      </c>
      <c r="F771" s="260" t="n">
        <f aca="false" t="array" ref="F771:F771">INDEX('0.0.1 Pokémon Dex Data'!$H$3:$H951,MATCH(E771,'0.0.1 Pokémon Dex Data'!$B$3:$B951,0))</f>
        <v>0</v>
      </c>
      <c r="G771" s="0" t="str">
        <f aca="false" t="array" ref="G771:G771">INDEX('0.0.1 Pokémon Dex Data'!$E$3:$E951,MATCH(E771,'0.0.1 Pokémon Dex Data'!$B$3:$B951,0))</f>
        <v>Talonflame</v>
      </c>
      <c r="H771" s="0" t="str">
        <f aca="false" t="array" ref="H771:H771">INDEX('0.0.1 Pokémon Dex Data'!$Q$3:$Q951,MATCH(E771,'0.0.1 Pokémon Dex Data'!$B$3:$B951,0))</f>
        <v>Fire</v>
      </c>
      <c r="I771" s="0" t="str">
        <f aca="false" t="array" ref="I771:I771">INDEX('0.0.1 Pokémon Dex Data'!$R$3:$R951,MATCH(E771,'0.0.1 Pokémon Dex Data'!$B$3:$B951,0))</f>
        <v>Flying</v>
      </c>
      <c r="J771" s="260" t="n">
        <f aca="false" t="array" ref="J771:J771">ROUND(INDEX('0.0.1 Pokémon Dex Data'!$S$3:$S951,MATCH($E771,'0.0.1 Pokémon Dex Data'!$B$3:$B951,0))*INDEX('0.0.1 Pokémon Dex Data'!T$3:T951,MATCH($E771,'0.0.1 Pokémon Dex Data'!$B$3:$B951,0)),0)</f>
        <v>176</v>
      </c>
      <c r="K771" s="260" t="n">
        <f aca="false" t="array" ref="K771:K771">ROUND(INDEX('0.0.1 Pokémon Dex Data'!$S$3:$S951,MATCH($E771,'0.0.1 Pokémon Dex Data'!$B$3:$B951,0))*INDEX('0.0.1 Pokémon Dex Data'!U$3:U951,MATCH($E771,'0.0.1 Pokémon Dex Data'!$B$3:$B951,0)),0)</f>
        <v>155</v>
      </c>
      <c r="L771" s="260" t="n">
        <f aca="false" t="array" ref="L771:L771">ROUND(INDEX('0.0.1 Pokémon Dex Data'!$S$3:$S951,MATCH($E771,'0.0.1 Pokémon Dex Data'!$B$3:$B951,0))*INDEX('0.0.1 Pokémon Dex Data'!V$3:V951,MATCH($E771,'0.0.1 Pokémon Dex Data'!$B$3:$B951,0)),0)</f>
        <v>186</v>
      </c>
      <c r="M771" s="260" t="n">
        <f aca="false" t="array" ref="M771:M771">INDEX('0.0.1 Pokémon Dex Data'!$J$3:$J951,MATCH(E771,'0.0.1 Pokémon Dex Data'!$B$3:$B951,0))</f>
        <v>1</v>
      </c>
      <c r="O771" s="490"/>
      <c r="Q771" s="367" t="n">
        <f aca="false">IF('Reverse Search'!$F$4="All (including temporary formes)",1,IF('Reverse Search'!$F$4="Base Pokémon and permanent formes only",IF(F771&lt;=1,1,0),IF(F771=0,1,0)))</f>
        <v>1</v>
      </c>
      <c r="R771" s="0" t="n">
        <f aca="false">IF('Reverse Search'!$C$7="Disable",1,IF('Reverse Search'!$D$9="Disable",1,IF(OR('Reverse Search'!$F$9=H771,'Reverse Search'!$F$9=I771),1,0)))</f>
        <v>1</v>
      </c>
      <c r="S771" s="0" t="n">
        <f aca="false">IF('Reverse Search'!$C$7="Disable",1,IF('Reverse Search'!$D$10="Disable",1,IF(OR('Reverse Search'!$F$10=H771,'Reverse Search'!$F$10=I771),1,0)))</f>
        <v>1</v>
      </c>
      <c r="T771" s="0" t="n">
        <f aca="false">INDEX($B$4:$B$22,MATCH(H771,$A$4:$A$22,0))</f>
        <v>1</v>
      </c>
      <c r="U771" s="0" t="n">
        <f aca="false">IF(ISBLANK(I771),1,INDEX($B$4:$B$22,MATCH(I771,$A$4:$A$22,0)))</f>
        <v>1</v>
      </c>
      <c r="V771" s="367" t="n">
        <f aca="false">IF('Reverse Search'!$C$7="Disable",1,IF('Reverse Search'!$D$11="Disable",1,IF('Reverse Search'!$E$11="Neutral to:",IF(ROUND(T771*U771,2)&lt;=1,1,0),IF(ROUND(T771*U771,2)&lt;1,1,0))))</f>
        <v>1</v>
      </c>
      <c r="W771" s="0" t="n">
        <f aca="false">IF('Reverse Search'!$N$7="Disable",1,IF('Reverse Search'!$I$9="Disable",1,IF('Reverse Search'!$K$9="≥",IF(J771&gt;='Reverse Search'!$L$9,1,0),IF('Reverse Search'!$K$9="≤",IF(J771&lt;='Reverse Search'!$L$9,1,0),IF(J771='Reverse Search'!$L$9,1,0)))))</f>
        <v>1</v>
      </c>
      <c r="X771" s="0" t="n">
        <f aca="false">IF('Reverse Search'!$N$7="Disable",1,IF('Reverse Search'!$I$10="Disable",1,IF('Reverse Search'!$K$10="≥",IF(K771&gt;='Reverse Search'!$L$10,1,0),IF('Reverse Search'!$K$10="≤",IF(K771&lt;='Reverse Search'!$L$10,1,0),IF(K771='Reverse Search'!$L$10,1,0)))))</f>
        <v>1</v>
      </c>
      <c r="Y771" s="367" t="n">
        <f aca="false">IF('Reverse Search'!$N$7="Disable",1,IF('Reverse Search'!$I$11="Disable",1,IF('Reverse Search'!$K$11="≥",IF(L771&gt;='Reverse Search'!$L$11,1,0),IF('Reverse Search'!$K$11="≤",IF(L771&lt;='Reverse Search'!$L$11,1,0),IF(L771='Reverse Search'!$L$11,1,0)))))</f>
        <v>1</v>
      </c>
      <c r="Z771" s="0" t="n">
        <f aca="true">IF('Reverse Search'!$C$14="Disable",1,IF('Reverse Search'!$D$16="Disable",1,IF($C$2=3,IF($M771=0,0,COUNTIF(INDIRECT("'0.0.2 Pokémon Learnset (Core)'!$D$"&amp;MATCH($E771,'0.0.2 Pokémon Learnset (Core)'!$A$1:$A951,0)&amp;":$FK$"&amp;MATCH($E771,'0.0.2 Pokémon Learnset (Core)'!$A$1:$A951,0)),'Reverse Search'!$E$21)),IF($C$2=2,COUNTIF(INDIRECT("'0.1.1 Pokémon GO Moves'!$B$"&amp;MATCH($E771,'0.1.1 Pokémon GO Moves'!$A$1:$A951,0)&amp;":$R$"&amp;MATCH($E771,'0.1.1 Pokémon GO Moves'!$A$1:$A951,0)),'Reverse Search'!$E$21),COUNTIF(INDIRECT("'0.1.1 Pokémon GO Moves'!$B$"&amp;MATCH($E771,'0.1.1 Pokémon GO Moves'!$A$1:$A951,0)&amp;":$L$"&amp;MATCH($E771,'0.1.1 Pokémon GO Moves'!$A$1:$A951,0)),'Reverse Search'!$E$21)))))</f>
        <v>1</v>
      </c>
      <c r="AA771" s="0" t="n">
        <f aca="true">IF('Reverse Search'!$C$14="Disable",1,IF('Reverse Search'!$I$16="Disable",1,IF($D$2=3,IF($M771=0,0,COUNTIF(INDIRECT("'0.0.2 Pokémon Learnset (Core)'!$D$"&amp;MATCH($E771,'0.0.2 Pokémon Learnset (Core)'!$A$1:$A951,0)&amp;":$FK$"&amp;MATCH($E771,'0.0.2 Pokémon Learnset (Core)'!$A$1:$A951,0)),'Reverse Search'!$J$21)),IF($D$2=2,COUNTIF(INDIRECT("'0.1.1 Pokémon GO Moves'!$B$"&amp;MATCH($E771,'0.1.1 Pokémon GO Moves'!$A$1:$A951,0)&amp;":$R$"&amp;MATCH($E771,'0.1.1 Pokémon GO Moves'!$A$1:$A951,0)),'Reverse Search'!$J$21),COUNTIF(INDIRECT("'0.1.1 Pokémon GO Moves'!$B$"&amp;MATCH($E771,'0.1.1 Pokémon GO Moves'!$A$1:$A951,0)&amp;":$L$"&amp;MATCH($E771,'0.1.1 Pokémon GO Moves'!$A$1:$A951,0)),'Reverse Search'!$J$21)))))</f>
        <v>0</v>
      </c>
      <c r="AB771" s="490"/>
      <c r="AC771" s="260" t="n">
        <f aca="false">IF((Q771+R771+S771+V771+W771+X771+Y771+IF(Z771&gt;=1,1,0)+IF(AA771&gt;=1,1,0))=9,G771&amp;", ",)</f>
        <v>0</v>
      </c>
    </row>
    <row r="772" customFormat="false" ht="15.75" hidden="false" customHeight="false" outlineLevel="0" collapsed="false">
      <c r="A772" s="260"/>
      <c r="B772" s="358"/>
      <c r="C772" s="260"/>
      <c r="D772" s="358"/>
      <c r="E772" s="260" t="n">
        <v>771</v>
      </c>
      <c r="F772" s="260" t="n">
        <f aca="false" t="array" ref="F772:F772">INDEX('0.0.1 Pokémon Dex Data'!$H$3:$H951,MATCH(E772,'0.0.1 Pokémon Dex Data'!$B$3:$B951,0))</f>
        <v>0</v>
      </c>
      <c r="G772" s="0" t="str">
        <f aca="false" t="array" ref="G772:G772">INDEX('0.0.1 Pokémon Dex Data'!$E$3:$E951,MATCH(E772,'0.0.1 Pokémon Dex Data'!$B$3:$B951,0))</f>
        <v>Scatterbug</v>
      </c>
      <c r="H772" s="0" t="str">
        <f aca="false" t="array" ref="H772:H772">INDEX('0.0.1 Pokémon Dex Data'!$Q$3:$Q951,MATCH(E772,'0.0.1 Pokémon Dex Data'!$B$3:$B951,0))</f>
        <v>Bug</v>
      </c>
      <c r="I772" s="0" t="n">
        <f aca="false">INDEX('0.0.1 Pokémon Dex Data'!$R$3:$R951,MATCH(E772,'0.0.1 Pokémon Dex Data'!$B$3:$B951,0))</f>
        <v>0</v>
      </c>
      <c r="J772" s="260" t="n">
        <f aca="false" t="array" ref="J772:J772">ROUND(INDEX('0.0.1 Pokémon Dex Data'!$S$3:$S951,MATCH($E772,'0.0.1 Pokémon Dex Data'!$B$3:$B951,0))*INDEX('0.0.1 Pokémon Dex Data'!T$3:T951,MATCH($E772,'0.0.1 Pokémon Dex Data'!$B$3:$B951,0)),0)</f>
        <v>63</v>
      </c>
      <c r="K772" s="260" t="n">
        <f aca="false" t="array" ref="K772:K772">ROUND(INDEX('0.0.1 Pokémon Dex Data'!$S$3:$S951,MATCH($E772,'0.0.1 Pokémon Dex Data'!$B$3:$B951,0))*INDEX('0.0.1 Pokémon Dex Data'!U$3:U951,MATCH($E772,'0.0.1 Pokémon Dex Data'!$B$3:$B951,0)),0)</f>
        <v>63</v>
      </c>
      <c r="L772" s="260" t="n">
        <f aca="false" t="array" ref="L772:L772">ROUND(INDEX('0.0.1 Pokémon Dex Data'!$S$3:$S951,MATCH($E772,'0.0.1 Pokémon Dex Data'!$B$3:$B951,0))*INDEX('0.0.1 Pokémon Dex Data'!V$3:V951,MATCH($E772,'0.0.1 Pokémon Dex Data'!$B$3:$B951,0)),0)</f>
        <v>116</v>
      </c>
      <c r="M772" s="260" t="n">
        <f aca="false" t="array" ref="M772:M772">INDEX('0.0.1 Pokémon Dex Data'!$J$3:$J951,MATCH(E772,'0.0.1 Pokémon Dex Data'!$B$3:$B951,0))</f>
        <v>0</v>
      </c>
      <c r="O772" s="490"/>
      <c r="Q772" s="367" t="n">
        <f aca="false">IF('Reverse Search'!$F$4="All (including temporary formes)",1,IF('Reverse Search'!$F$4="Base Pokémon and permanent formes only",IF(F772&lt;=1,1,0),IF(F772=0,1,0)))</f>
        <v>1</v>
      </c>
      <c r="R772" s="0" t="n">
        <f aca="false">IF('Reverse Search'!$C$7="Disable",1,IF('Reverse Search'!$D$9="Disable",1,IF(OR('Reverse Search'!$F$9=H772,'Reverse Search'!$F$9=I772),1,0)))</f>
        <v>1</v>
      </c>
      <c r="S772" s="0" t="n">
        <f aca="false">IF('Reverse Search'!$C$7="Disable",1,IF('Reverse Search'!$D$10="Disable",1,IF(OR('Reverse Search'!$F$10=H772,'Reverse Search'!$F$10=I772),1,0)))</f>
        <v>1</v>
      </c>
      <c r="T772" s="0" t="n">
        <f aca="false">INDEX($B$4:$B$22,MATCH(H772,$A$4:$A$22,0))</f>
        <v>1</v>
      </c>
      <c r="U772" s="0" t="e">
        <f aca="false">IF(ISBLANK(I772),1,INDEX($B$4:$B$22,MATCH(I772,$A$4:$A$22,0)))</f>
        <v>#N/A</v>
      </c>
      <c r="V772" s="367" t="n">
        <f aca="false">IF('Reverse Search'!$C$7="Disable",1,IF('Reverse Search'!$D$11="Disable",1,IF('Reverse Search'!$E$11="Neutral to:",IF(ROUND(T772*U772,2)&lt;=1,1,0),IF(ROUND(T772*U772,2)&lt;1,1,0))))</f>
        <v>1</v>
      </c>
      <c r="W772" s="0" t="n">
        <f aca="false">IF('Reverse Search'!$N$7="Disable",1,IF('Reverse Search'!$I$9="Disable",1,IF('Reverse Search'!$K$9="≥",IF(J772&gt;='Reverse Search'!$L$9,1,0),IF('Reverse Search'!$K$9="≤",IF(J772&lt;='Reverse Search'!$L$9,1,0),IF(J772='Reverse Search'!$L$9,1,0)))))</f>
        <v>1</v>
      </c>
      <c r="X772" s="0" t="n">
        <f aca="false">IF('Reverse Search'!$N$7="Disable",1,IF('Reverse Search'!$I$10="Disable",1,IF('Reverse Search'!$K$10="≥",IF(K772&gt;='Reverse Search'!$L$10,1,0),IF('Reverse Search'!$K$10="≤",IF(K772&lt;='Reverse Search'!$L$10,1,0),IF(K772='Reverse Search'!$L$10,1,0)))))</f>
        <v>1</v>
      </c>
      <c r="Y772" s="367" t="n">
        <f aca="false">IF('Reverse Search'!$N$7="Disable",1,IF('Reverse Search'!$I$11="Disable",1,IF('Reverse Search'!$K$11="≥",IF(L772&gt;='Reverse Search'!$L$11,1,0),IF('Reverse Search'!$K$11="≤",IF(L772&lt;='Reverse Search'!$L$11,1,0),IF(L772='Reverse Search'!$L$11,1,0)))))</f>
        <v>1</v>
      </c>
      <c r="Z772" s="0" t="n">
        <f aca="true">IF('Reverse Search'!$C$14="Disable",1,IF('Reverse Search'!$D$16="Disable",1,IF($C$2=3,IF($M772=0,0,COUNTIF(INDIRECT("'0.0.2 Pokémon Learnset (Core)'!$D$"&amp;MATCH($E772,'0.0.2 Pokémon Learnset (Core)'!$A$1:$A951,0)&amp;":$FK$"&amp;MATCH($E772,'0.0.2 Pokémon Learnset (Core)'!$A$1:$A951,0)),'Reverse Search'!$E$21)),IF($C$2=2,COUNTIF(INDIRECT("'0.1.1 Pokémon GO Moves'!$B$"&amp;MATCH($E772,'0.1.1 Pokémon GO Moves'!$A$1:$A951,0)&amp;":$R$"&amp;MATCH($E772,'0.1.1 Pokémon GO Moves'!$A$1:$A951,0)),'Reverse Search'!$E$21),COUNTIF(INDIRECT("'0.1.1 Pokémon GO Moves'!$B$"&amp;MATCH($E772,'0.1.1 Pokémon GO Moves'!$A$1:$A951,0)&amp;":$L$"&amp;MATCH($E772,'0.1.1 Pokémon GO Moves'!$A$1:$A951,0)),'Reverse Search'!$E$21)))))</f>
        <v>1</v>
      </c>
      <c r="AA772" s="0" t="n">
        <f aca="true">IF('Reverse Search'!$C$14="Disable",1,IF('Reverse Search'!$I$16="Disable",1,IF($D$2=3,IF($M772=0,0,COUNTIF(INDIRECT("'0.0.2 Pokémon Learnset (Core)'!$D$"&amp;MATCH($E772,'0.0.2 Pokémon Learnset (Core)'!$A$1:$A951,0)&amp;":$FK$"&amp;MATCH($E772,'0.0.2 Pokémon Learnset (Core)'!$A$1:$A951,0)),'Reverse Search'!$J$21)),IF($D$2=2,COUNTIF(INDIRECT("'0.1.1 Pokémon GO Moves'!$B$"&amp;MATCH($E772,'0.1.1 Pokémon GO Moves'!$A$1:$A951,0)&amp;":$R$"&amp;MATCH($E772,'0.1.1 Pokémon GO Moves'!$A$1:$A951,0)),'Reverse Search'!$J$21),COUNTIF(INDIRECT("'0.1.1 Pokémon GO Moves'!$B$"&amp;MATCH($E772,'0.1.1 Pokémon GO Moves'!$A$1:$A951,0)&amp;":$L$"&amp;MATCH($E772,'0.1.1 Pokémon GO Moves'!$A$1:$A951,0)),'Reverse Search'!$J$21)))))</f>
        <v>0</v>
      </c>
      <c r="AB772" s="490"/>
      <c r="AC772" s="260" t="n">
        <f aca="false">IF((Q772+R772+S772+V772+W772+X772+Y772+IF(Z772&gt;=1,1,0)+IF(AA772&gt;=1,1,0))=9,G772&amp;", ",)</f>
        <v>0</v>
      </c>
    </row>
    <row r="773" customFormat="false" ht="15.75" hidden="false" customHeight="false" outlineLevel="0" collapsed="false">
      <c r="A773" s="260"/>
      <c r="B773" s="358"/>
      <c r="C773" s="260"/>
      <c r="D773" s="358"/>
      <c r="E773" s="260" t="n">
        <v>772</v>
      </c>
      <c r="F773" s="260" t="n">
        <f aca="false" t="array" ref="F773:F773">INDEX('0.0.1 Pokémon Dex Data'!$H$3:$H951,MATCH(E773,'0.0.1 Pokémon Dex Data'!$B$3:$B951,0))</f>
        <v>0</v>
      </c>
      <c r="G773" s="0" t="str">
        <f aca="false" t="array" ref="G773:G773">INDEX('0.0.1 Pokémon Dex Data'!$E$3:$E951,MATCH(E773,'0.0.1 Pokémon Dex Data'!$B$3:$B951,0))</f>
        <v>Spewpa</v>
      </c>
      <c r="H773" s="0" t="str">
        <f aca="false" t="array" ref="H773:H773">INDEX('0.0.1 Pokémon Dex Data'!$Q$3:$Q951,MATCH(E773,'0.0.1 Pokémon Dex Data'!$B$3:$B951,0))</f>
        <v>Bug</v>
      </c>
      <c r="I773" s="0" t="n">
        <f aca="false">INDEX('0.0.1 Pokémon Dex Data'!$R$3:$R951,MATCH(E773,'0.0.1 Pokémon Dex Data'!$B$3:$B951,0))</f>
        <v>0</v>
      </c>
      <c r="J773" s="260" t="n">
        <f aca="false" t="array" ref="J773:J773">ROUND(INDEX('0.0.1 Pokémon Dex Data'!$S$3:$S951,MATCH($E773,'0.0.1 Pokémon Dex Data'!$B$3:$B951,0))*INDEX('0.0.1 Pokémon Dex Data'!T$3:T951,MATCH($E773,'0.0.1 Pokémon Dex Data'!$B$3:$B951,0)),0)</f>
        <v>48</v>
      </c>
      <c r="K773" s="260" t="n">
        <f aca="false" t="array" ref="K773:K773">ROUND(INDEX('0.0.1 Pokémon Dex Data'!$S$3:$S951,MATCH($E773,'0.0.1 Pokémon Dex Data'!$B$3:$B951,0))*INDEX('0.0.1 Pokémon Dex Data'!U$3:U951,MATCH($E773,'0.0.1 Pokémon Dex Data'!$B$3:$B951,0)),0)</f>
        <v>89</v>
      </c>
      <c r="L773" s="260" t="n">
        <f aca="false" t="array" ref="L773:L773">ROUND(INDEX('0.0.1 Pokémon Dex Data'!$S$3:$S951,MATCH($E773,'0.0.1 Pokémon Dex Data'!$B$3:$B951,0))*INDEX('0.0.1 Pokémon Dex Data'!V$3:V951,MATCH($E773,'0.0.1 Pokémon Dex Data'!$B$3:$B951,0)),0)</f>
        <v>128</v>
      </c>
      <c r="M773" s="260" t="n">
        <f aca="false" t="array" ref="M773:M773">INDEX('0.0.1 Pokémon Dex Data'!$J$3:$J951,MATCH(E773,'0.0.1 Pokémon Dex Data'!$B$3:$B951,0))</f>
        <v>0</v>
      </c>
      <c r="O773" s="490"/>
      <c r="Q773" s="367" t="n">
        <f aca="false">IF('Reverse Search'!$F$4="All (including temporary formes)",1,IF('Reverse Search'!$F$4="Base Pokémon and permanent formes only",IF(F773&lt;=1,1,0),IF(F773=0,1,0)))</f>
        <v>1</v>
      </c>
      <c r="R773" s="0" t="n">
        <f aca="false">IF('Reverse Search'!$C$7="Disable",1,IF('Reverse Search'!$D$9="Disable",1,IF(OR('Reverse Search'!$F$9=H773,'Reverse Search'!$F$9=I773),1,0)))</f>
        <v>1</v>
      </c>
      <c r="S773" s="0" t="n">
        <f aca="false">IF('Reverse Search'!$C$7="Disable",1,IF('Reverse Search'!$D$10="Disable",1,IF(OR('Reverse Search'!$F$10=H773,'Reverse Search'!$F$10=I773),1,0)))</f>
        <v>1</v>
      </c>
      <c r="T773" s="0" t="n">
        <f aca="false">INDEX($B$4:$B$22,MATCH(H773,$A$4:$A$22,0))</f>
        <v>1</v>
      </c>
      <c r="U773" s="0" t="e">
        <f aca="false">IF(ISBLANK(I773),1,INDEX($B$4:$B$22,MATCH(I773,$A$4:$A$22,0)))</f>
        <v>#N/A</v>
      </c>
      <c r="V773" s="367" t="n">
        <f aca="false">IF('Reverse Search'!$C$7="Disable",1,IF('Reverse Search'!$D$11="Disable",1,IF('Reverse Search'!$E$11="Neutral to:",IF(ROUND(T773*U773,2)&lt;=1,1,0),IF(ROUND(T773*U773,2)&lt;1,1,0))))</f>
        <v>1</v>
      </c>
      <c r="W773" s="0" t="n">
        <f aca="false">IF('Reverse Search'!$N$7="Disable",1,IF('Reverse Search'!$I$9="Disable",1,IF('Reverse Search'!$K$9="≥",IF(J773&gt;='Reverse Search'!$L$9,1,0),IF('Reverse Search'!$K$9="≤",IF(J773&lt;='Reverse Search'!$L$9,1,0),IF(J773='Reverse Search'!$L$9,1,0)))))</f>
        <v>1</v>
      </c>
      <c r="X773" s="0" t="n">
        <f aca="false">IF('Reverse Search'!$N$7="Disable",1,IF('Reverse Search'!$I$10="Disable",1,IF('Reverse Search'!$K$10="≥",IF(K773&gt;='Reverse Search'!$L$10,1,0),IF('Reverse Search'!$K$10="≤",IF(K773&lt;='Reverse Search'!$L$10,1,0),IF(K773='Reverse Search'!$L$10,1,0)))))</f>
        <v>1</v>
      </c>
      <c r="Y773" s="367" t="n">
        <f aca="false">IF('Reverse Search'!$N$7="Disable",1,IF('Reverse Search'!$I$11="Disable",1,IF('Reverse Search'!$K$11="≥",IF(L773&gt;='Reverse Search'!$L$11,1,0),IF('Reverse Search'!$K$11="≤",IF(L773&lt;='Reverse Search'!$L$11,1,0),IF(L773='Reverse Search'!$L$11,1,0)))))</f>
        <v>1</v>
      </c>
      <c r="Z773" s="0" t="n">
        <f aca="true">IF('Reverse Search'!$C$14="Disable",1,IF('Reverse Search'!$D$16="Disable",1,IF($C$2=3,IF($M773=0,0,COUNTIF(INDIRECT("'0.0.2 Pokémon Learnset (Core)'!$D$"&amp;MATCH($E773,'0.0.2 Pokémon Learnset (Core)'!$A$1:$A951,0)&amp;":$FK$"&amp;MATCH($E773,'0.0.2 Pokémon Learnset (Core)'!$A$1:$A951,0)),'Reverse Search'!$E$21)),IF($C$2=2,COUNTIF(INDIRECT("'0.1.1 Pokémon GO Moves'!$B$"&amp;MATCH($E773,'0.1.1 Pokémon GO Moves'!$A$1:$A951,0)&amp;":$R$"&amp;MATCH($E773,'0.1.1 Pokémon GO Moves'!$A$1:$A951,0)),'Reverse Search'!$E$21),COUNTIF(INDIRECT("'0.1.1 Pokémon GO Moves'!$B$"&amp;MATCH($E773,'0.1.1 Pokémon GO Moves'!$A$1:$A951,0)&amp;":$L$"&amp;MATCH($E773,'0.1.1 Pokémon GO Moves'!$A$1:$A951,0)),'Reverse Search'!$E$21)))))</f>
        <v>1</v>
      </c>
      <c r="AA773" s="0" t="n">
        <f aca="true">IF('Reverse Search'!$C$14="Disable",1,IF('Reverse Search'!$I$16="Disable",1,IF($D$2=3,IF($M773=0,0,COUNTIF(INDIRECT("'0.0.2 Pokémon Learnset (Core)'!$D$"&amp;MATCH($E773,'0.0.2 Pokémon Learnset (Core)'!$A$1:$A951,0)&amp;":$FK$"&amp;MATCH($E773,'0.0.2 Pokémon Learnset (Core)'!$A$1:$A951,0)),'Reverse Search'!$J$21)),IF($D$2=2,COUNTIF(INDIRECT("'0.1.1 Pokémon GO Moves'!$B$"&amp;MATCH($E773,'0.1.1 Pokémon GO Moves'!$A$1:$A951,0)&amp;":$R$"&amp;MATCH($E773,'0.1.1 Pokémon GO Moves'!$A$1:$A951,0)),'Reverse Search'!$J$21),COUNTIF(INDIRECT("'0.1.1 Pokémon GO Moves'!$B$"&amp;MATCH($E773,'0.1.1 Pokémon GO Moves'!$A$1:$A951,0)&amp;":$L$"&amp;MATCH($E773,'0.1.1 Pokémon GO Moves'!$A$1:$A951,0)),'Reverse Search'!$J$21)))))</f>
        <v>0</v>
      </c>
      <c r="AB773" s="490"/>
      <c r="AC773" s="260" t="n">
        <f aca="false">IF((Q773+R773+S773+V773+W773+X773+Y773+IF(Z773&gt;=1,1,0)+IF(AA773&gt;=1,1,0))=9,G773&amp;", ",)</f>
        <v>0</v>
      </c>
    </row>
    <row r="774" customFormat="false" ht="15.75" hidden="false" customHeight="false" outlineLevel="0" collapsed="false">
      <c r="A774" s="260"/>
      <c r="B774" s="358"/>
      <c r="C774" s="260"/>
      <c r="D774" s="358"/>
      <c r="E774" s="260" t="n">
        <v>773</v>
      </c>
      <c r="F774" s="260" t="n">
        <f aca="false" t="array" ref="F774:F774">INDEX('0.0.1 Pokémon Dex Data'!$H$3:$H951,MATCH(E774,'0.0.1 Pokémon Dex Data'!$B$3:$B951,0))</f>
        <v>0</v>
      </c>
      <c r="G774" s="0" t="str">
        <f aca="false" t="array" ref="G774:G774">INDEX('0.0.1 Pokémon Dex Data'!$E$3:$E951,MATCH(E774,'0.0.1 Pokémon Dex Data'!$B$3:$B951,0))</f>
        <v>Vivillon</v>
      </c>
      <c r="H774" s="0" t="str">
        <f aca="false" t="array" ref="H774:H774">INDEX('0.0.1 Pokémon Dex Data'!$Q$3:$Q951,MATCH(E774,'0.0.1 Pokémon Dex Data'!$B$3:$B951,0))</f>
        <v>Bug</v>
      </c>
      <c r="I774" s="0" t="str">
        <f aca="false" t="array" ref="I774:I774">INDEX('0.0.1 Pokémon Dex Data'!$R$3:$R951,MATCH(E774,'0.0.1 Pokémon Dex Data'!$B$3:$B951,0))</f>
        <v>Flying</v>
      </c>
      <c r="J774" s="260" t="n">
        <f aca="false" t="array" ref="J774:J774">ROUND(INDEX('0.0.1 Pokémon Dex Data'!$S$3:$S951,MATCH($E774,'0.0.1 Pokémon Dex Data'!$B$3:$B951,0))*INDEX('0.0.1 Pokémon Dex Data'!T$3:T951,MATCH($E774,'0.0.1 Pokémon Dex Data'!$B$3:$B951,0)),0)</f>
        <v>176</v>
      </c>
      <c r="K774" s="260" t="n">
        <f aca="false" t="array" ref="K774:K774">ROUND(INDEX('0.0.1 Pokémon Dex Data'!$S$3:$S951,MATCH($E774,'0.0.1 Pokémon Dex Data'!$B$3:$B951,0))*INDEX('0.0.1 Pokémon Dex Data'!U$3:U951,MATCH($E774,'0.0.1 Pokémon Dex Data'!$B$3:$B951,0)),0)</f>
        <v>103</v>
      </c>
      <c r="L774" s="260" t="n">
        <f aca="false" t="array" ref="L774:L774">ROUND(INDEX('0.0.1 Pokémon Dex Data'!$S$3:$S951,MATCH($E774,'0.0.1 Pokémon Dex Data'!$B$3:$B951,0))*INDEX('0.0.1 Pokémon Dex Data'!V$3:V951,MATCH($E774,'0.0.1 Pokémon Dex Data'!$B$3:$B951,0)),0)</f>
        <v>190</v>
      </c>
      <c r="M774" s="260" t="n">
        <f aca="false" t="array" ref="M774:M774">INDEX('0.0.1 Pokémon Dex Data'!$J$3:$J951,MATCH(E774,'0.0.1 Pokémon Dex Data'!$B$3:$B951,0))</f>
        <v>1</v>
      </c>
      <c r="O774" s="490"/>
      <c r="Q774" s="367" t="n">
        <f aca="false">IF('Reverse Search'!$F$4="All (including temporary formes)",1,IF('Reverse Search'!$F$4="Base Pokémon and permanent formes only",IF(F774&lt;=1,1,0),IF(F774=0,1,0)))</f>
        <v>1</v>
      </c>
      <c r="R774" s="0" t="n">
        <f aca="false">IF('Reverse Search'!$C$7="Disable",1,IF('Reverse Search'!$D$9="Disable",1,IF(OR('Reverse Search'!$F$9=H774,'Reverse Search'!$F$9=I774),1,0)))</f>
        <v>1</v>
      </c>
      <c r="S774" s="0" t="n">
        <f aca="false">IF('Reverse Search'!$C$7="Disable",1,IF('Reverse Search'!$D$10="Disable",1,IF(OR('Reverse Search'!$F$10=H774,'Reverse Search'!$F$10=I774),1,0)))</f>
        <v>1</v>
      </c>
      <c r="T774" s="0" t="n">
        <f aca="false">INDEX($B$4:$B$22,MATCH(H774,$A$4:$A$22,0))</f>
        <v>1</v>
      </c>
      <c r="U774" s="0" t="n">
        <f aca="false">IF(ISBLANK(I774),1,INDEX($B$4:$B$22,MATCH(I774,$A$4:$A$22,0)))</f>
        <v>1</v>
      </c>
      <c r="V774" s="367" t="n">
        <f aca="false">IF('Reverse Search'!$C$7="Disable",1,IF('Reverse Search'!$D$11="Disable",1,IF('Reverse Search'!$E$11="Neutral to:",IF(ROUND(T774*U774,2)&lt;=1,1,0),IF(ROUND(T774*U774,2)&lt;1,1,0))))</f>
        <v>1</v>
      </c>
      <c r="W774" s="0" t="n">
        <f aca="false">IF('Reverse Search'!$N$7="Disable",1,IF('Reverse Search'!$I$9="Disable",1,IF('Reverse Search'!$K$9="≥",IF(J774&gt;='Reverse Search'!$L$9,1,0),IF('Reverse Search'!$K$9="≤",IF(J774&lt;='Reverse Search'!$L$9,1,0),IF(J774='Reverse Search'!$L$9,1,0)))))</f>
        <v>1</v>
      </c>
      <c r="X774" s="0" t="n">
        <f aca="false">IF('Reverse Search'!$N$7="Disable",1,IF('Reverse Search'!$I$10="Disable",1,IF('Reverse Search'!$K$10="≥",IF(K774&gt;='Reverse Search'!$L$10,1,0),IF('Reverse Search'!$K$10="≤",IF(K774&lt;='Reverse Search'!$L$10,1,0),IF(K774='Reverse Search'!$L$10,1,0)))))</f>
        <v>1</v>
      </c>
      <c r="Y774" s="367" t="n">
        <f aca="false">IF('Reverse Search'!$N$7="Disable",1,IF('Reverse Search'!$I$11="Disable",1,IF('Reverse Search'!$K$11="≥",IF(L774&gt;='Reverse Search'!$L$11,1,0),IF('Reverse Search'!$K$11="≤",IF(L774&lt;='Reverse Search'!$L$11,1,0),IF(L774='Reverse Search'!$L$11,1,0)))))</f>
        <v>1</v>
      </c>
      <c r="Z774" s="0" t="n">
        <f aca="true">IF('Reverse Search'!$C$14="Disable",1,IF('Reverse Search'!$D$16="Disable",1,IF($C$2=3,IF($M774=0,0,COUNTIF(INDIRECT("'0.0.2 Pokémon Learnset (Core)'!$D$"&amp;MATCH($E774,'0.0.2 Pokémon Learnset (Core)'!$A$1:$A951,0)&amp;":$FK$"&amp;MATCH($E774,'0.0.2 Pokémon Learnset (Core)'!$A$1:$A951,0)),'Reverse Search'!$E$21)),IF($C$2=2,COUNTIF(INDIRECT("'0.1.1 Pokémon GO Moves'!$B$"&amp;MATCH($E774,'0.1.1 Pokémon GO Moves'!$A$1:$A951,0)&amp;":$R$"&amp;MATCH($E774,'0.1.1 Pokémon GO Moves'!$A$1:$A951,0)),'Reverse Search'!$E$21),COUNTIF(INDIRECT("'0.1.1 Pokémon GO Moves'!$B$"&amp;MATCH($E774,'0.1.1 Pokémon GO Moves'!$A$1:$A951,0)&amp;":$L$"&amp;MATCH($E774,'0.1.1 Pokémon GO Moves'!$A$1:$A951,0)),'Reverse Search'!$E$21)))))</f>
        <v>1</v>
      </c>
      <c r="AA774" s="0" t="n">
        <f aca="true">IF('Reverse Search'!$C$14="Disable",1,IF('Reverse Search'!$I$16="Disable",1,IF($D$2=3,IF($M774=0,0,COUNTIF(INDIRECT("'0.0.2 Pokémon Learnset (Core)'!$D$"&amp;MATCH($E774,'0.0.2 Pokémon Learnset (Core)'!$A$1:$A951,0)&amp;":$FK$"&amp;MATCH($E774,'0.0.2 Pokémon Learnset (Core)'!$A$1:$A951,0)),'Reverse Search'!$J$21)),IF($D$2=2,COUNTIF(INDIRECT("'0.1.1 Pokémon GO Moves'!$B$"&amp;MATCH($E774,'0.1.1 Pokémon GO Moves'!$A$1:$A951,0)&amp;":$R$"&amp;MATCH($E774,'0.1.1 Pokémon GO Moves'!$A$1:$A951,0)),'Reverse Search'!$J$21),COUNTIF(INDIRECT("'0.1.1 Pokémon GO Moves'!$B$"&amp;MATCH($E774,'0.1.1 Pokémon GO Moves'!$A$1:$A951,0)&amp;":$L$"&amp;MATCH($E774,'0.1.1 Pokémon GO Moves'!$A$1:$A951,0)),'Reverse Search'!$J$21)))))</f>
        <v>0</v>
      </c>
      <c r="AB774" s="490"/>
      <c r="AC774" s="260" t="n">
        <f aca="false">IF((Q774+R774+S774+V774+W774+X774+Y774+IF(Z774&gt;=1,1,0)+IF(AA774&gt;=1,1,0))=9,G774&amp;", ",)</f>
        <v>0</v>
      </c>
    </row>
    <row r="775" customFormat="false" ht="15.75" hidden="false" customHeight="false" outlineLevel="0" collapsed="false">
      <c r="A775" s="260"/>
      <c r="B775" s="358"/>
      <c r="C775" s="260"/>
      <c r="D775" s="358"/>
      <c r="E775" s="260" t="n">
        <v>774</v>
      </c>
      <c r="F775" s="260" t="n">
        <f aca="false" t="array" ref="F775:F775">INDEX('0.0.1 Pokémon Dex Data'!$H$3:$H951,MATCH(E775,'0.0.1 Pokémon Dex Data'!$B$3:$B951,0))</f>
        <v>0</v>
      </c>
      <c r="G775" s="0" t="str">
        <f aca="false" t="array" ref="G775:G775">INDEX('0.0.1 Pokémon Dex Data'!$E$3:$E951,MATCH(E775,'0.0.1 Pokémon Dex Data'!$B$3:$B951,0))</f>
        <v>Litleo</v>
      </c>
      <c r="H775" s="0" t="str">
        <f aca="false" t="array" ref="H775:H775">INDEX('0.0.1 Pokémon Dex Data'!$Q$3:$Q951,MATCH(E775,'0.0.1 Pokémon Dex Data'!$B$3:$B951,0))</f>
        <v>Fire</v>
      </c>
      <c r="I775" s="0" t="str">
        <f aca="false" t="array" ref="I775:I775">INDEX('0.0.1 Pokémon Dex Data'!$R$3:$R951,MATCH(E775,'0.0.1 Pokémon Dex Data'!$B$3:$B951,0))</f>
        <v>Normal</v>
      </c>
      <c r="J775" s="260" t="n">
        <f aca="false" t="array" ref="J775:J775">ROUND(INDEX('0.0.1 Pokémon Dex Data'!$S$3:$S951,MATCH($E775,'0.0.1 Pokémon Dex Data'!$B$3:$B951,0))*INDEX('0.0.1 Pokémon Dex Data'!T$3:T951,MATCH($E775,'0.0.1 Pokémon Dex Data'!$B$3:$B951,0)),0)</f>
        <v>139</v>
      </c>
      <c r="K775" s="260" t="n">
        <f aca="false" t="array" ref="K775:K775">ROUND(INDEX('0.0.1 Pokémon Dex Data'!$S$3:$S951,MATCH($E775,'0.0.1 Pokémon Dex Data'!$B$3:$B951,0))*INDEX('0.0.1 Pokémon Dex Data'!U$3:U951,MATCH($E775,'0.0.1 Pokémon Dex Data'!$B$3:$B951,0)),0)</f>
        <v>112</v>
      </c>
      <c r="L775" s="260" t="n">
        <f aca="false" t="array" ref="L775:L775">ROUND(INDEX('0.0.1 Pokémon Dex Data'!$S$3:$S951,MATCH($E775,'0.0.1 Pokémon Dex Data'!$B$3:$B951,0))*INDEX('0.0.1 Pokémon Dex Data'!V$3:V951,MATCH($E775,'0.0.1 Pokémon Dex Data'!$B$3:$B951,0)),0)</f>
        <v>158</v>
      </c>
      <c r="M775" s="260" t="n">
        <f aca="false" t="array" ref="M775:M775">INDEX('0.0.1 Pokémon Dex Data'!$J$3:$J951,MATCH(E775,'0.0.1 Pokémon Dex Data'!$B$3:$B951,0))</f>
        <v>0</v>
      </c>
      <c r="O775" s="490"/>
      <c r="Q775" s="367" t="n">
        <f aca="false">IF('Reverse Search'!$F$4="All (including temporary formes)",1,IF('Reverse Search'!$F$4="Base Pokémon and permanent formes only",IF(F775&lt;=1,1,0),IF(F775=0,1,0)))</f>
        <v>1</v>
      </c>
      <c r="R775" s="0" t="n">
        <f aca="false">IF('Reverse Search'!$C$7="Disable",1,IF('Reverse Search'!$D$9="Disable",1,IF(OR('Reverse Search'!$F$9=H775,'Reverse Search'!$F$9=I775),1,0)))</f>
        <v>1</v>
      </c>
      <c r="S775" s="0" t="n">
        <f aca="false">IF('Reverse Search'!$C$7="Disable",1,IF('Reverse Search'!$D$10="Disable",1,IF(OR('Reverse Search'!$F$10=H775,'Reverse Search'!$F$10=I775),1,0)))</f>
        <v>1</v>
      </c>
      <c r="T775" s="0" t="n">
        <f aca="false">INDEX($B$4:$B$22,MATCH(H775,$A$4:$A$22,0))</f>
        <v>1</v>
      </c>
      <c r="U775" s="0" t="n">
        <f aca="false">IF(ISBLANK(I775),1,INDEX($B$4:$B$22,MATCH(I775,$A$4:$A$22,0)))</f>
        <v>1</v>
      </c>
      <c r="V775" s="367" t="n">
        <f aca="false">IF('Reverse Search'!$C$7="Disable",1,IF('Reverse Search'!$D$11="Disable",1,IF('Reverse Search'!$E$11="Neutral to:",IF(ROUND(T775*U775,2)&lt;=1,1,0),IF(ROUND(T775*U775,2)&lt;1,1,0))))</f>
        <v>1</v>
      </c>
      <c r="W775" s="0" t="n">
        <f aca="false">IF('Reverse Search'!$N$7="Disable",1,IF('Reverse Search'!$I$9="Disable",1,IF('Reverse Search'!$K$9="≥",IF(J775&gt;='Reverse Search'!$L$9,1,0),IF('Reverse Search'!$K$9="≤",IF(J775&lt;='Reverse Search'!$L$9,1,0),IF(J775='Reverse Search'!$L$9,1,0)))))</f>
        <v>1</v>
      </c>
      <c r="X775" s="0" t="n">
        <f aca="false">IF('Reverse Search'!$N$7="Disable",1,IF('Reverse Search'!$I$10="Disable",1,IF('Reverse Search'!$K$10="≥",IF(K775&gt;='Reverse Search'!$L$10,1,0),IF('Reverse Search'!$K$10="≤",IF(K775&lt;='Reverse Search'!$L$10,1,0),IF(K775='Reverse Search'!$L$10,1,0)))))</f>
        <v>1</v>
      </c>
      <c r="Y775" s="367" t="n">
        <f aca="false">IF('Reverse Search'!$N$7="Disable",1,IF('Reverse Search'!$I$11="Disable",1,IF('Reverse Search'!$K$11="≥",IF(L775&gt;='Reverse Search'!$L$11,1,0),IF('Reverse Search'!$K$11="≤",IF(L775&lt;='Reverse Search'!$L$11,1,0),IF(L775='Reverse Search'!$L$11,1,0)))))</f>
        <v>1</v>
      </c>
      <c r="Z775" s="0" t="n">
        <f aca="true">IF('Reverse Search'!$C$14="Disable",1,IF('Reverse Search'!$D$16="Disable",1,IF($C$2=3,IF($M775=0,0,COUNTIF(INDIRECT("'0.0.2 Pokémon Learnset (Core)'!$D$"&amp;MATCH($E775,'0.0.2 Pokémon Learnset (Core)'!$A$1:$A951,0)&amp;":$FK$"&amp;MATCH($E775,'0.0.2 Pokémon Learnset (Core)'!$A$1:$A951,0)),'Reverse Search'!$E$21)),IF($C$2=2,COUNTIF(INDIRECT("'0.1.1 Pokémon GO Moves'!$B$"&amp;MATCH($E775,'0.1.1 Pokémon GO Moves'!$A$1:$A951,0)&amp;":$R$"&amp;MATCH($E775,'0.1.1 Pokémon GO Moves'!$A$1:$A951,0)),'Reverse Search'!$E$21),COUNTIF(INDIRECT("'0.1.1 Pokémon GO Moves'!$B$"&amp;MATCH($E775,'0.1.1 Pokémon GO Moves'!$A$1:$A951,0)&amp;":$L$"&amp;MATCH($E775,'0.1.1 Pokémon GO Moves'!$A$1:$A951,0)),'Reverse Search'!$E$21)))))</f>
        <v>1</v>
      </c>
      <c r="AA775" s="0" t="n">
        <f aca="true">IF('Reverse Search'!$C$14="Disable",1,IF('Reverse Search'!$I$16="Disable",1,IF($D$2=3,IF($M775=0,0,COUNTIF(INDIRECT("'0.0.2 Pokémon Learnset (Core)'!$D$"&amp;MATCH($E775,'0.0.2 Pokémon Learnset (Core)'!$A$1:$A951,0)&amp;":$FK$"&amp;MATCH($E775,'0.0.2 Pokémon Learnset (Core)'!$A$1:$A951,0)),'Reverse Search'!$J$21)),IF($D$2=2,COUNTIF(INDIRECT("'0.1.1 Pokémon GO Moves'!$B$"&amp;MATCH($E775,'0.1.1 Pokémon GO Moves'!$A$1:$A951,0)&amp;":$R$"&amp;MATCH($E775,'0.1.1 Pokémon GO Moves'!$A$1:$A951,0)),'Reverse Search'!$J$21),COUNTIF(INDIRECT("'0.1.1 Pokémon GO Moves'!$B$"&amp;MATCH($E775,'0.1.1 Pokémon GO Moves'!$A$1:$A951,0)&amp;":$L$"&amp;MATCH($E775,'0.1.1 Pokémon GO Moves'!$A$1:$A951,0)),'Reverse Search'!$J$21)))))</f>
        <v>0</v>
      </c>
      <c r="AB775" s="490"/>
      <c r="AC775" s="260" t="n">
        <f aca="false">IF((Q775+R775+S775+V775+W775+X775+Y775+IF(Z775&gt;=1,1,0)+IF(AA775&gt;=1,1,0))=9,G775&amp;", ",)</f>
        <v>0</v>
      </c>
    </row>
    <row r="776" customFormat="false" ht="15.75" hidden="false" customHeight="false" outlineLevel="0" collapsed="false">
      <c r="A776" s="260"/>
      <c r="B776" s="358"/>
      <c r="C776" s="260"/>
      <c r="D776" s="358"/>
      <c r="E776" s="260" t="n">
        <v>775</v>
      </c>
      <c r="F776" s="260" t="n">
        <f aca="false" t="array" ref="F776:F776">INDEX('0.0.1 Pokémon Dex Data'!$H$3:$H951,MATCH(E776,'0.0.1 Pokémon Dex Data'!$B$3:$B951,0))</f>
        <v>0</v>
      </c>
      <c r="G776" s="0" t="str">
        <f aca="false" t="array" ref="G776:G776">INDEX('0.0.1 Pokémon Dex Data'!$E$3:$E951,MATCH(E776,'0.0.1 Pokémon Dex Data'!$B$3:$B951,0))</f>
        <v>Pyroar</v>
      </c>
      <c r="H776" s="0" t="str">
        <f aca="false" t="array" ref="H776:H776">INDEX('0.0.1 Pokémon Dex Data'!$Q$3:$Q951,MATCH(E776,'0.0.1 Pokémon Dex Data'!$B$3:$B951,0))</f>
        <v>Fire</v>
      </c>
      <c r="I776" s="0" t="str">
        <f aca="false" t="array" ref="I776:I776">INDEX('0.0.1 Pokémon Dex Data'!$R$3:$R951,MATCH(E776,'0.0.1 Pokémon Dex Data'!$B$3:$B951,0))</f>
        <v>Normal</v>
      </c>
      <c r="J776" s="260" t="n">
        <f aca="false" t="array" ref="J776:J776">ROUND(INDEX('0.0.1 Pokémon Dex Data'!$S$3:$S951,MATCH($E776,'0.0.1 Pokémon Dex Data'!$B$3:$B951,0))*INDEX('0.0.1 Pokémon Dex Data'!T$3:T951,MATCH($E776,'0.0.1 Pokémon Dex Data'!$B$3:$B951,0)),0)</f>
        <v>221</v>
      </c>
      <c r="K776" s="260" t="n">
        <f aca="false" t="array" ref="K776:K776">ROUND(INDEX('0.0.1 Pokémon Dex Data'!$S$3:$S951,MATCH($E776,'0.0.1 Pokémon Dex Data'!$B$3:$B951,0))*INDEX('0.0.1 Pokémon Dex Data'!U$3:U951,MATCH($E776,'0.0.1 Pokémon Dex Data'!$B$3:$B951,0)),0)</f>
        <v>149</v>
      </c>
      <c r="L776" s="260" t="n">
        <f aca="false" t="array" ref="L776:L776">ROUND(INDEX('0.0.1 Pokémon Dex Data'!$S$3:$S951,MATCH($E776,'0.0.1 Pokémon Dex Data'!$B$3:$B951,0))*INDEX('0.0.1 Pokémon Dex Data'!V$3:V951,MATCH($E776,'0.0.1 Pokémon Dex Data'!$B$3:$B951,0)),0)</f>
        <v>200</v>
      </c>
      <c r="M776" s="260" t="n">
        <f aca="false" t="array" ref="M776:M776">INDEX('0.0.1 Pokémon Dex Data'!$J$3:$J951,MATCH(E776,'0.0.1 Pokémon Dex Data'!$B$3:$B951,0))</f>
        <v>1</v>
      </c>
      <c r="O776" s="490"/>
      <c r="Q776" s="367" t="n">
        <f aca="false">IF('Reverse Search'!$F$4="All (including temporary formes)",1,IF('Reverse Search'!$F$4="Base Pokémon and permanent formes only",IF(F776&lt;=1,1,0),IF(F776=0,1,0)))</f>
        <v>1</v>
      </c>
      <c r="R776" s="0" t="n">
        <f aca="false">IF('Reverse Search'!$C$7="Disable",1,IF('Reverse Search'!$D$9="Disable",1,IF(OR('Reverse Search'!$F$9=H776,'Reverse Search'!$F$9=I776),1,0)))</f>
        <v>1</v>
      </c>
      <c r="S776" s="0" t="n">
        <f aca="false">IF('Reverse Search'!$C$7="Disable",1,IF('Reverse Search'!$D$10="Disable",1,IF(OR('Reverse Search'!$F$10=H776,'Reverse Search'!$F$10=I776),1,0)))</f>
        <v>1</v>
      </c>
      <c r="T776" s="0" t="n">
        <f aca="false">INDEX($B$4:$B$22,MATCH(H776,$A$4:$A$22,0))</f>
        <v>1</v>
      </c>
      <c r="U776" s="0" t="n">
        <f aca="false">IF(ISBLANK(I776),1,INDEX($B$4:$B$22,MATCH(I776,$A$4:$A$22,0)))</f>
        <v>1</v>
      </c>
      <c r="V776" s="367" t="n">
        <f aca="false">IF('Reverse Search'!$C$7="Disable",1,IF('Reverse Search'!$D$11="Disable",1,IF('Reverse Search'!$E$11="Neutral to:",IF(ROUND(T776*U776,2)&lt;=1,1,0),IF(ROUND(T776*U776,2)&lt;1,1,0))))</f>
        <v>1</v>
      </c>
      <c r="W776" s="0" t="n">
        <f aca="false">IF('Reverse Search'!$N$7="Disable",1,IF('Reverse Search'!$I$9="Disable",1,IF('Reverse Search'!$K$9="≥",IF(J776&gt;='Reverse Search'!$L$9,1,0),IF('Reverse Search'!$K$9="≤",IF(J776&lt;='Reverse Search'!$L$9,1,0),IF(J776='Reverse Search'!$L$9,1,0)))))</f>
        <v>1</v>
      </c>
      <c r="X776" s="0" t="n">
        <f aca="false">IF('Reverse Search'!$N$7="Disable",1,IF('Reverse Search'!$I$10="Disable",1,IF('Reverse Search'!$K$10="≥",IF(K776&gt;='Reverse Search'!$L$10,1,0),IF('Reverse Search'!$K$10="≤",IF(K776&lt;='Reverse Search'!$L$10,1,0),IF(K776='Reverse Search'!$L$10,1,0)))))</f>
        <v>1</v>
      </c>
      <c r="Y776" s="367" t="n">
        <f aca="false">IF('Reverse Search'!$N$7="Disable",1,IF('Reverse Search'!$I$11="Disable",1,IF('Reverse Search'!$K$11="≥",IF(L776&gt;='Reverse Search'!$L$11,1,0),IF('Reverse Search'!$K$11="≤",IF(L776&lt;='Reverse Search'!$L$11,1,0),IF(L776='Reverse Search'!$L$11,1,0)))))</f>
        <v>1</v>
      </c>
      <c r="Z776" s="0" t="n">
        <f aca="true">IF('Reverse Search'!$C$14="Disable",1,IF('Reverse Search'!$D$16="Disable",1,IF($C$2=3,IF($M776=0,0,COUNTIF(INDIRECT("'0.0.2 Pokémon Learnset (Core)'!$D$"&amp;MATCH($E776,'0.0.2 Pokémon Learnset (Core)'!$A$1:$A951,0)&amp;":$FK$"&amp;MATCH($E776,'0.0.2 Pokémon Learnset (Core)'!$A$1:$A951,0)),'Reverse Search'!$E$21)),IF($C$2=2,COUNTIF(INDIRECT("'0.1.1 Pokémon GO Moves'!$B$"&amp;MATCH($E776,'0.1.1 Pokémon GO Moves'!$A$1:$A951,0)&amp;":$R$"&amp;MATCH($E776,'0.1.1 Pokémon GO Moves'!$A$1:$A951,0)),'Reverse Search'!$E$21),COUNTIF(INDIRECT("'0.1.1 Pokémon GO Moves'!$B$"&amp;MATCH($E776,'0.1.1 Pokémon GO Moves'!$A$1:$A951,0)&amp;":$L$"&amp;MATCH($E776,'0.1.1 Pokémon GO Moves'!$A$1:$A951,0)),'Reverse Search'!$E$21)))))</f>
        <v>1</v>
      </c>
      <c r="AA776" s="0" t="n">
        <f aca="true">IF('Reverse Search'!$C$14="Disable",1,IF('Reverse Search'!$I$16="Disable",1,IF($D$2=3,IF($M776=0,0,COUNTIF(INDIRECT("'0.0.2 Pokémon Learnset (Core)'!$D$"&amp;MATCH($E776,'0.0.2 Pokémon Learnset (Core)'!$A$1:$A951,0)&amp;":$FK$"&amp;MATCH($E776,'0.0.2 Pokémon Learnset (Core)'!$A$1:$A951,0)),'Reverse Search'!$J$21)),IF($D$2=2,COUNTIF(INDIRECT("'0.1.1 Pokémon GO Moves'!$B$"&amp;MATCH($E776,'0.1.1 Pokémon GO Moves'!$A$1:$A951,0)&amp;":$R$"&amp;MATCH($E776,'0.1.1 Pokémon GO Moves'!$A$1:$A951,0)),'Reverse Search'!$J$21),COUNTIF(INDIRECT("'0.1.1 Pokémon GO Moves'!$B$"&amp;MATCH($E776,'0.1.1 Pokémon GO Moves'!$A$1:$A951,0)&amp;":$L$"&amp;MATCH($E776,'0.1.1 Pokémon GO Moves'!$A$1:$A951,0)),'Reverse Search'!$J$21)))))</f>
        <v>0</v>
      </c>
      <c r="AB776" s="490"/>
      <c r="AC776" s="260" t="n">
        <f aca="false">IF((Q776+R776+S776+V776+W776+X776+Y776+IF(Z776&gt;=1,1,0)+IF(AA776&gt;=1,1,0))=9,G776&amp;", ",)</f>
        <v>0</v>
      </c>
    </row>
    <row r="777" customFormat="false" ht="15.75" hidden="false" customHeight="false" outlineLevel="0" collapsed="false">
      <c r="A777" s="260"/>
      <c r="B777" s="358"/>
      <c r="C777" s="260"/>
      <c r="D777" s="358"/>
      <c r="E777" s="260" t="n">
        <v>776</v>
      </c>
      <c r="F777" s="260" t="n">
        <f aca="false" t="array" ref="F777:F777">INDEX('0.0.1 Pokémon Dex Data'!$H$3:$H951,MATCH(E777,'0.0.1 Pokémon Dex Data'!$B$3:$B951,0))</f>
        <v>0</v>
      </c>
      <c r="G777" s="0" t="str">
        <f aca="false" t="array" ref="G777:G777">INDEX('0.0.1 Pokémon Dex Data'!$E$3:$E951,MATCH(E777,'0.0.1 Pokémon Dex Data'!$B$3:$B951,0))</f>
        <v>Flabébé</v>
      </c>
      <c r="H777" s="0" t="str">
        <f aca="false" t="array" ref="H777:H777">INDEX('0.0.1 Pokémon Dex Data'!$Q$3:$Q951,MATCH(E777,'0.0.1 Pokémon Dex Data'!$B$3:$B951,0))</f>
        <v>Fairy</v>
      </c>
      <c r="I777" s="0" t="n">
        <f aca="false">INDEX('0.0.1 Pokémon Dex Data'!$R$3:$R951,MATCH(E777,'0.0.1 Pokémon Dex Data'!$B$3:$B951,0))</f>
        <v>0</v>
      </c>
      <c r="J777" s="260" t="n">
        <f aca="false" t="array" ref="J777:J777">ROUND(INDEX('0.0.1 Pokémon Dex Data'!$S$3:$S951,MATCH($E777,'0.0.1 Pokémon Dex Data'!$B$3:$B951,0))*INDEX('0.0.1 Pokémon Dex Data'!T$3:T951,MATCH($E777,'0.0.1 Pokémon Dex Data'!$B$3:$B951,0)),0)</f>
        <v>108</v>
      </c>
      <c r="K777" s="260" t="n">
        <f aca="false" t="array" ref="K777:K777">ROUND(INDEX('0.0.1 Pokémon Dex Data'!$S$3:$S951,MATCH($E777,'0.0.1 Pokémon Dex Data'!$B$3:$B951,0))*INDEX('0.0.1 Pokémon Dex Data'!U$3:U951,MATCH($E777,'0.0.1 Pokémon Dex Data'!$B$3:$B951,0)),0)</f>
        <v>120</v>
      </c>
      <c r="L777" s="260" t="n">
        <f aca="false" t="array" ref="L777:L777">ROUND(INDEX('0.0.1 Pokémon Dex Data'!$S$3:$S951,MATCH($E777,'0.0.1 Pokémon Dex Data'!$B$3:$B951,0))*INDEX('0.0.1 Pokémon Dex Data'!V$3:V951,MATCH($E777,'0.0.1 Pokémon Dex Data'!$B$3:$B951,0)),0)</f>
        <v>127</v>
      </c>
      <c r="M777" s="260" t="n">
        <f aca="false" t="array" ref="M777:M777">INDEX('0.0.1 Pokémon Dex Data'!$J$3:$J951,MATCH(E777,'0.0.1 Pokémon Dex Data'!$B$3:$B951,0))</f>
        <v>0</v>
      </c>
      <c r="O777" s="490"/>
      <c r="Q777" s="367" t="n">
        <f aca="false">IF('Reverse Search'!$F$4="All (including temporary formes)",1,IF('Reverse Search'!$F$4="Base Pokémon and permanent formes only",IF(F777&lt;=1,1,0),IF(F777=0,1,0)))</f>
        <v>1</v>
      </c>
      <c r="R777" s="0" t="n">
        <f aca="false">IF('Reverse Search'!$C$7="Disable",1,IF('Reverse Search'!$D$9="Disable",1,IF(OR('Reverse Search'!$F$9=H777,'Reverse Search'!$F$9=I777),1,0)))</f>
        <v>1</v>
      </c>
      <c r="S777" s="0" t="n">
        <f aca="false">IF('Reverse Search'!$C$7="Disable",1,IF('Reverse Search'!$D$10="Disable",1,IF(OR('Reverse Search'!$F$10=H777,'Reverse Search'!$F$10=I777),1,0)))</f>
        <v>1</v>
      </c>
      <c r="T777" s="0" t="n">
        <f aca="false">INDEX($B$4:$B$22,MATCH(H777,$A$4:$A$22,0))</f>
        <v>1</v>
      </c>
      <c r="U777" s="0" t="e">
        <f aca="false">IF(ISBLANK(I777),1,INDEX($B$4:$B$22,MATCH(I777,$A$4:$A$22,0)))</f>
        <v>#N/A</v>
      </c>
      <c r="V777" s="367" t="n">
        <f aca="false">IF('Reverse Search'!$C$7="Disable",1,IF('Reverse Search'!$D$11="Disable",1,IF('Reverse Search'!$E$11="Neutral to:",IF(ROUND(T777*U777,2)&lt;=1,1,0),IF(ROUND(T777*U777,2)&lt;1,1,0))))</f>
        <v>1</v>
      </c>
      <c r="W777" s="0" t="n">
        <f aca="false">IF('Reverse Search'!$N$7="Disable",1,IF('Reverse Search'!$I$9="Disable",1,IF('Reverse Search'!$K$9="≥",IF(J777&gt;='Reverse Search'!$L$9,1,0),IF('Reverse Search'!$K$9="≤",IF(J777&lt;='Reverse Search'!$L$9,1,0),IF(J777='Reverse Search'!$L$9,1,0)))))</f>
        <v>1</v>
      </c>
      <c r="X777" s="0" t="n">
        <f aca="false">IF('Reverse Search'!$N$7="Disable",1,IF('Reverse Search'!$I$10="Disable",1,IF('Reverse Search'!$K$10="≥",IF(K777&gt;='Reverse Search'!$L$10,1,0),IF('Reverse Search'!$K$10="≤",IF(K777&lt;='Reverse Search'!$L$10,1,0),IF(K777='Reverse Search'!$L$10,1,0)))))</f>
        <v>1</v>
      </c>
      <c r="Y777" s="367" t="n">
        <f aca="false">IF('Reverse Search'!$N$7="Disable",1,IF('Reverse Search'!$I$11="Disable",1,IF('Reverse Search'!$K$11="≥",IF(L777&gt;='Reverse Search'!$L$11,1,0),IF('Reverse Search'!$K$11="≤",IF(L777&lt;='Reverse Search'!$L$11,1,0),IF(L777='Reverse Search'!$L$11,1,0)))))</f>
        <v>1</v>
      </c>
      <c r="Z777" s="0" t="n">
        <f aca="true">IF('Reverse Search'!$C$14="Disable",1,IF('Reverse Search'!$D$16="Disable",1,IF($C$2=3,IF($M777=0,0,COUNTIF(INDIRECT("'0.0.2 Pokémon Learnset (Core)'!$D$"&amp;MATCH($E777,'0.0.2 Pokémon Learnset (Core)'!$A$1:$A951,0)&amp;":$FK$"&amp;MATCH($E777,'0.0.2 Pokémon Learnset (Core)'!$A$1:$A951,0)),'Reverse Search'!$E$21)),IF($C$2=2,COUNTIF(INDIRECT("'0.1.1 Pokémon GO Moves'!$B$"&amp;MATCH($E777,'0.1.1 Pokémon GO Moves'!$A$1:$A951,0)&amp;":$R$"&amp;MATCH($E777,'0.1.1 Pokémon GO Moves'!$A$1:$A951,0)),'Reverse Search'!$E$21),COUNTIF(INDIRECT("'0.1.1 Pokémon GO Moves'!$B$"&amp;MATCH($E777,'0.1.1 Pokémon GO Moves'!$A$1:$A951,0)&amp;":$L$"&amp;MATCH($E777,'0.1.1 Pokémon GO Moves'!$A$1:$A951,0)),'Reverse Search'!$E$21)))))</f>
        <v>1</v>
      </c>
      <c r="AA777" s="0" t="n">
        <f aca="true">IF('Reverse Search'!$C$14="Disable",1,IF('Reverse Search'!$I$16="Disable",1,IF($D$2=3,IF($M777=0,0,COUNTIF(INDIRECT("'0.0.2 Pokémon Learnset (Core)'!$D$"&amp;MATCH($E777,'0.0.2 Pokémon Learnset (Core)'!$A$1:$A951,0)&amp;":$FK$"&amp;MATCH($E777,'0.0.2 Pokémon Learnset (Core)'!$A$1:$A951,0)),'Reverse Search'!$J$21)),IF($D$2=2,COUNTIF(INDIRECT("'0.1.1 Pokémon GO Moves'!$B$"&amp;MATCH($E777,'0.1.1 Pokémon GO Moves'!$A$1:$A951,0)&amp;":$R$"&amp;MATCH($E777,'0.1.1 Pokémon GO Moves'!$A$1:$A951,0)),'Reverse Search'!$J$21),COUNTIF(INDIRECT("'0.1.1 Pokémon GO Moves'!$B$"&amp;MATCH($E777,'0.1.1 Pokémon GO Moves'!$A$1:$A951,0)&amp;":$L$"&amp;MATCH($E777,'0.1.1 Pokémon GO Moves'!$A$1:$A951,0)),'Reverse Search'!$J$21)))))</f>
        <v>0</v>
      </c>
      <c r="AB777" s="490"/>
      <c r="AC777" s="260" t="n">
        <f aca="false">IF((Q777+R777+S777+V777+W777+X777+Y777+IF(Z777&gt;=1,1,0)+IF(AA777&gt;=1,1,0))=9,G777&amp;", ",)</f>
        <v>0</v>
      </c>
    </row>
    <row r="778" customFormat="false" ht="15.75" hidden="false" customHeight="false" outlineLevel="0" collapsed="false">
      <c r="A778" s="260"/>
      <c r="B778" s="358"/>
      <c r="C778" s="260"/>
      <c r="D778" s="358"/>
      <c r="E778" s="260" t="n">
        <v>777</v>
      </c>
      <c r="F778" s="260" t="n">
        <f aca="false" t="array" ref="F778:F778">INDEX('0.0.1 Pokémon Dex Data'!$H$3:$H951,MATCH(E778,'0.0.1 Pokémon Dex Data'!$B$3:$B951,0))</f>
        <v>0</v>
      </c>
      <c r="G778" s="0" t="str">
        <f aca="false" t="array" ref="G778:G778">INDEX('0.0.1 Pokémon Dex Data'!$E$3:$E951,MATCH(E778,'0.0.1 Pokémon Dex Data'!$B$3:$B951,0))</f>
        <v>Floette</v>
      </c>
      <c r="H778" s="0" t="str">
        <f aca="false" t="array" ref="H778:H778">INDEX('0.0.1 Pokémon Dex Data'!$Q$3:$Q951,MATCH(E778,'0.0.1 Pokémon Dex Data'!$B$3:$B951,0))</f>
        <v>Fairy</v>
      </c>
      <c r="I778" s="0" t="n">
        <f aca="false">INDEX('0.0.1 Pokémon Dex Data'!$R$3:$R951,MATCH(E778,'0.0.1 Pokémon Dex Data'!$B$3:$B951,0))</f>
        <v>0</v>
      </c>
      <c r="J778" s="260" t="n">
        <f aca="false" t="array" ref="J778:J778">ROUND(INDEX('0.0.1 Pokémon Dex Data'!$S$3:$S951,MATCH($E778,'0.0.1 Pokémon Dex Data'!$B$3:$B951,0))*INDEX('0.0.1 Pokémon Dex Data'!T$3:T951,MATCH($E778,'0.0.1 Pokémon Dex Data'!$B$3:$B951,0)),0)</f>
        <v>136</v>
      </c>
      <c r="K778" s="260" t="n">
        <f aca="false" t="array" ref="K778:K778">ROUND(INDEX('0.0.1 Pokémon Dex Data'!$S$3:$S951,MATCH($E778,'0.0.1 Pokémon Dex Data'!$B$3:$B951,0))*INDEX('0.0.1 Pokémon Dex Data'!U$3:U951,MATCH($E778,'0.0.1 Pokémon Dex Data'!$B$3:$B951,0)),0)</f>
        <v>151</v>
      </c>
      <c r="L778" s="260" t="n">
        <f aca="false" t="array" ref="L778:L778">ROUND(INDEX('0.0.1 Pokémon Dex Data'!$S$3:$S951,MATCH($E778,'0.0.1 Pokémon Dex Data'!$B$3:$B951,0))*INDEX('0.0.1 Pokémon Dex Data'!V$3:V951,MATCH($E778,'0.0.1 Pokémon Dex Data'!$B$3:$B951,0)),0)</f>
        <v>144</v>
      </c>
      <c r="M778" s="260" t="n">
        <f aca="false" t="array" ref="M778:M778">INDEX('0.0.1 Pokémon Dex Data'!$J$3:$J951,MATCH(E778,'0.0.1 Pokémon Dex Data'!$B$3:$B951,0))</f>
        <v>0</v>
      </c>
      <c r="O778" s="490"/>
      <c r="Q778" s="367" t="n">
        <f aca="false">IF('Reverse Search'!$F$4="All (including temporary formes)",1,IF('Reverse Search'!$F$4="Base Pokémon and permanent formes only",IF(F778&lt;=1,1,0),IF(F778=0,1,0)))</f>
        <v>1</v>
      </c>
      <c r="R778" s="0" t="n">
        <f aca="false">IF('Reverse Search'!$C$7="Disable",1,IF('Reverse Search'!$D$9="Disable",1,IF(OR('Reverse Search'!$F$9=H778,'Reverse Search'!$F$9=I778),1,0)))</f>
        <v>1</v>
      </c>
      <c r="S778" s="0" t="n">
        <f aca="false">IF('Reverse Search'!$C$7="Disable",1,IF('Reverse Search'!$D$10="Disable",1,IF(OR('Reverse Search'!$F$10=H778,'Reverse Search'!$F$10=I778),1,0)))</f>
        <v>1</v>
      </c>
      <c r="T778" s="0" t="n">
        <f aca="false">INDEX($B$4:$B$22,MATCH(H778,$A$4:$A$22,0))</f>
        <v>1</v>
      </c>
      <c r="U778" s="0" t="e">
        <f aca="false">IF(ISBLANK(I778),1,INDEX($B$4:$B$22,MATCH(I778,$A$4:$A$22,0)))</f>
        <v>#N/A</v>
      </c>
      <c r="V778" s="367" t="n">
        <f aca="false">IF('Reverse Search'!$C$7="Disable",1,IF('Reverse Search'!$D$11="Disable",1,IF('Reverse Search'!$E$11="Neutral to:",IF(ROUND(T778*U778,2)&lt;=1,1,0),IF(ROUND(T778*U778,2)&lt;1,1,0))))</f>
        <v>1</v>
      </c>
      <c r="W778" s="0" t="n">
        <f aca="false">IF('Reverse Search'!$N$7="Disable",1,IF('Reverse Search'!$I$9="Disable",1,IF('Reverse Search'!$K$9="≥",IF(J778&gt;='Reverse Search'!$L$9,1,0),IF('Reverse Search'!$K$9="≤",IF(J778&lt;='Reverse Search'!$L$9,1,0),IF(J778='Reverse Search'!$L$9,1,0)))))</f>
        <v>1</v>
      </c>
      <c r="X778" s="0" t="n">
        <f aca="false">IF('Reverse Search'!$N$7="Disable",1,IF('Reverse Search'!$I$10="Disable",1,IF('Reverse Search'!$K$10="≥",IF(K778&gt;='Reverse Search'!$L$10,1,0),IF('Reverse Search'!$K$10="≤",IF(K778&lt;='Reverse Search'!$L$10,1,0),IF(K778='Reverse Search'!$L$10,1,0)))))</f>
        <v>1</v>
      </c>
      <c r="Y778" s="367" t="n">
        <f aca="false">IF('Reverse Search'!$N$7="Disable",1,IF('Reverse Search'!$I$11="Disable",1,IF('Reverse Search'!$K$11="≥",IF(L778&gt;='Reverse Search'!$L$11,1,0),IF('Reverse Search'!$K$11="≤",IF(L778&lt;='Reverse Search'!$L$11,1,0),IF(L778='Reverse Search'!$L$11,1,0)))))</f>
        <v>1</v>
      </c>
      <c r="Z778" s="0" t="n">
        <f aca="true">IF('Reverse Search'!$C$14="Disable",1,IF('Reverse Search'!$D$16="Disable",1,IF($C$2=3,IF($M778=0,0,COUNTIF(INDIRECT("'0.0.2 Pokémon Learnset (Core)'!$D$"&amp;MATCH($E778,'0.0.2 Pokémon Learnset (Core)'!$A$1:$A951,0)&amp;":$FK$"&amp;MATCH($E778,'0.0.2 Pokémon Learnset (Core)'!$A$1:$A951,0)),'Reverse Search'!$E$21)),IF($C$2=2,COUNTIF(INDIRECT("'0.1.1 Pokémon GO Moves'!$B$"&amp;MATCH($E778,'0.1.1 Pokémon GO Moves'!$A$1:$A951,0)&amp;":$R$"&amp;MATCH($E778,'0.1.1 Pokémon GO Moves'!$A$1:$A951,0)),'Reverse Search'!$E$21),COUNTIF(INDIRECT("'0.1.1 Pokémon GO Moves'!$B$"&amp;MATCH($E778,'0.1.1 Pokémon GO Moves'!$A$1:$A951,0)&amp;":$L$"&amp;MATCH($E778,'0.1.1 Pokémon GO Moves'!$A$1:$A951,0)),'Reverse Search'!$E$21)))))</f>
        <v>1</v>
      </c>
      <c r="AA778" s="0" t="n">
        <f aca="true">IF('Reverse Search'!$C$14="Disable",1,IF('Reverse Search'!$I$16="Disable",1,IF($D$2=3,IF($M778=0,0,COUNTIF(INDIRECT("'0.0.2 Pokémon Learnset (Core)'!$D$"&amp;MATCH($E778,'0.0.2 Pokémon Learnset (Core)'!$A$1:$A951,0)&amp;":$FK$"&amp;MATCH($E778,'0.0.2 Pokémon Learnset (Core)'!$A$1:$A951,0)),'Reverse Search'!$J$21)),IF($D$2=2,COUNTIF(INDIRECT("'0.1.1 Pokémon GO Moves'!$B$"&amp;MATCH($E778,'0.1.1 Pokémon GO Moves'!$A$1:$A951,0)&amp;":$R$"&amp;MATCH($E778,'0.1.1 Pokémon GO Moves'!$A$1:$A951,0)),'Reverse Search'!$J$21),COUNTIF(INDIRECT("'0.1.1 Pokémon GO Moves'!$B$"&amp;MATCH($E778,'0.1.1 Pokémon GO Moves'!$A$1:$A951,0)&amp;":$L$"&amp;MATCH($E778,'0.1.1 Pokémon GO Moves'!$A$1:$A951,0)),'Reverse Search'!$J$21)))))</f>
        <v>0</v>
      </c>
      <c r="AB778" s="490"/>
      <c r="AC778" s="260" t="n">
        <f aca="false">IF((Q778+R778+S778+V778+W778+X778+Y778+IF(Z778&gt;=1,1,0)+IF(AA778&gt;=1,1,0))=9,G778&amp;", ",)</f>
        <v>0</v>
      </c>
    </row>
    <row r="779" customFormat="false" ht="15.75" hidden="false" customHeight="false" outlineLevel="0" collapsed="false">
      <c r="A779" s="260"/>
      <c r="B779" s="358"/>
      <c r="C779" s="260"/>
      <c r="D779" s="358"/>
      <c r="E779" s="260" t="n">
        <v>778</v>
      </c>
      <c r="F779" s="260" t="n">
        <f aca="false" t="array" ref="F779:F779">INDEX('0.0.1 Pokémon Dex Data'!$H$3:$H951,MATCH(E779,'0.0.1 Pokémon Dex Data'!$B$3:$B951,0))</f>
        <v>1</v>
      </c>
      <c r="G779" s="0" t="str">
        <f aca="false" t="array" ref="G779:G779">INDEX('0.0.1 Pokémon Dex Data'!$E$3:$E951,MATCH(E779,'0.0.1 Pokémon Dex Data'!$B$3:$B951,0))</f>
        <v>Floette-Eternal</v>
      </c>
      <c r="H779" s="0" t="str">
        <f aca="false" t="array" ref="H779:H779">INDEX('0.0.1 Pokémon Dex Data'!$Q$3:$Q951,MATCH(E779,'0.0.1 Pokémon Dex Data'!$B$3:$B951,0))</f>
        <v>Fairy</v>
      </c>
      <c r="I779" s="0" t="n">
        <f aca="false">INDEX('0.0.1 Pokémon Dex Data'!$R$3:$R951,MATCH(E779,'0.0.1 Pokémon Dex Data'!$B$3:$B951,0))</f>
        <v>0</v>
      </c>
      <c r="J779" s="260" t="n">
        <f aca="false" t="array" ref="J779:J779">ROUND(INDEX('0.0.1 Pokémon Dex Data'!$S$3:$S951,MATCH($E779,'0.0.1 Pokémon Dex Data'!$B$3:$B951,0))*INDEX('0.0.1 Pokémon Dex Data'!T$3:T951,MATCH($E779,'0.0.1 Pokémon Dex Data'!$B$3:$B951,0)),0)</f>
        <v>243</v>
      </c>
      <c r="K779" s="260" t="n">
        <f aca="false" t="array" ref="K779:K779">ROUND(INDEX('0.0.1 Pokémon Dex Data'!$S$3:$S951,MATCH($E779,'0.0.1 Pokémon Dex Data'!$B$3:$B951,0))*INDEX('0.0.1 Pokémon Dex Data'!U$3:U951,MATCH($E779,'0.0.1 Pokémon Dex Data'!$B$3:$B951,0)),0)</f>
        <v>217</v>
      </c>
      <c r="L779" s="260" t="n">
        <f aca="false" t="array" ref="L779:L779">ROUND(INDEX('0.0.1 Pokémon Dex Data'!$S$3:$S951,MATCH($E779,'0.0.1 Pokémon Dex Data'!$B$3:$B951,0))*INDEX('0.0.1 Pokémon Dex Data'!V$3:V951,MATCH($E779,'0.0.1 Pokémon Dex Data'!$B$3:$B951,0)),0)</f>
        <v>179</v>
      </c>
      <c r="M779" s="260" t="n">
        <f aca="false" t="array" ref="M779:M779">INDEX('0.0.1 Pokémon Dex Data'!$J$3:$J951,MATCH(E779,'0.0.1 Pokémon Dex Data'!$B$3:$B951,0))</f>
        <v>0</v>
      </c>
      <c r="O779" s="490"/>
      <c r="Q779" s="367" t="n">
        <f aca="false">IF('Reverse Search'!$F$4="All (including temporary formes)",1,IF('Reverse Search'!$F$4="Base Pokémon and permanent formes only",IF(F779&lt;=1,1,0),IF(F779=0,1,0)))</f>
        <v>0</v>
      </c>
      <c r="R779" s="0" t="n">
        <f aca="false">IF('Reverse Search'!$C$7="Disable",1,IF('Reverse Search'!$D$9="Disable",1,IF(OR('Reverse Search'!$F$9=H779,'Reverse Search'!$F$9=I779),1,0)))</f>
        <v>1</v>
      </c>
      <c r="S779" s="0" t="n">
        <f aca="false">IF('Reverse Search'!$C$7="Disable",1,IF('Reverse Search'!$D$10="Disable",1,IF(OR('Reverse Search'!$F$10=H779,'Reverse Search'!$F$10=I779),1,0)))</f>
        <v>1</v>
      </c>
      <c r="T779" s="0" t="n">
        <f aca="false">INDEX($B$4:$B$22,MATCH(H779,$A$4:$A$22,0))</f>
        <v>1</v>
      </c>
      <c r="U779" s="0" t="e">
        <f aca="false">IF(ISBLANK(I779),1,INDEX($B$4:$B$22,MATCH(I779,$A$4:$A$22,0)))</f>
        <v>#N/A</v>
      </c>
      <c r="V779" s="367" t="n">
        <f aca="false">IF('Reverse Search'!$C$7="Disable",1,IF('Reverse Search'!$D$11="Disable",1,IF('Reverse Search'!$E$11="Neutral to:",IF(ROUND(T779*U779,2)&lt;=1,1,0),IF(ROUND(T779*U779,2)&lt;1,1,0))))</f>
        <v>1</v>
      </c>
      <c r="W779" s="0" t="n">
        <f aca="false">IF('Reverse Search'!$N$7="Disable",1,IF('Reverse Search'!$I$9="Disable",1,IF('Reverse Search'!$K$9="≥",IF(J779&gt;='Reverse Search'!$L$9,1,0),IF('Reverse Search'!$K$9="≤",IF(J779&lt;='Reverse Search'!$L$9,1,0),IF(J779='Reverse Search'!$L$9,1,0)))))</f>
        <v>1</v>
      </c>
      <c r="X779" s="0" t="n">
        <f aca="false">IF('Reverse Search'!$N$7="Disable",1,IF('Reverse Search'!$I$10="Disable",1,IF('Reverse Search'!$K$10="≥",IF(K779&gt;='Reverse Search'!$L$10,1,0),IF('Reverse Search'!$K$10="≤",IF(K779&lt;='Reverse Search'!$L$10,1,0),IF(K779='Reverse Search'!$L$10,1,0)))))</f>
        <v>1</v>
      </c>
      <c r="Y779" s="367" t="n">
        <f aca="false">IF('Reverse Search'!$N$7="Disable",1,IF('Reverse Search'!$I$11="Disable",1,IF('Reverse Search'!$K$11="≥",IF(L779&gt;='Reverse Search'!$L$11,1,0),IF('Reverse Search'!$K$11="≤",IF(L779&lt;='Reverse Search'!$L$11,1,0),IF(L779='Reverse Search'!$L$11,1,0)))))</f>
        <v>1</v>
      </c>
      <c r="Z779" s="0" t="n">
        <f aca="true">IF('Reverse Search'!$C$14="Disable",1,IF('Reverse Search'!$D$16="Disable",1,IF($C$2=3,IF($M779=0,0,COUNTIF(INDIRECT("'0.0.2 Pokémon Learnset (Core)'!$D$"&amp;MATCH($E779,'0.0.2 Pokémon Learnset (Core)'!$A$1:$A951,0)&amp;":$FK$"&amp;MATCH($E779,'0.0.2 Pokémon Learnset (Core)'!$A$1:$A951,0)),'Reverse Search'!$E$21)),IF($C$2=2,COUNTIF(INDIRECT("'0.1.1 Pokémon GO Moves'!$B$"&amp;MATCH($E779,'0.1.1 Pokémon GO Moves'!$A$1:$A951,0)&amp;":$R$"&amp;MATCH($E779,'0.1.1 Pokémon GO Moves'!$A$1:$A951,0)),'Reverse Search'!$E$21),COUNTIF(INDIRECT("'0.1.1 Pokémon GO Moves'!$B$"&amp;MATCH($E779,'0.1.1 Pokémon GO Moves'!$A$1:$A951,0)&amp;":$L$"&amp;MATCH($E779,'0.1.1 Pokémon GO Moves'!$A$1:$A951,0)),'Reverse Search'!$E$21)))))</f>
        <v>1</v>
      </c>
      <c r="AA779" s="0" t="e">
        <f aca="true">IF('Reverse Search'!$C$14="Disable",1,IF('Reverse Search'!$I$16="Disable",1,IF($D$2=3,IF($M779=0,0,COUNTIF(INDIRECT("'0.0.2 Pokémon Learnset (Core)'!$D$"&amp;MATCH($E779,'0.0.2 Pokémon Learnset (Core)'!$A$1:$A951,0)&amp;":$FK$"&amp;MATCH($E779,'0.0.2 Pokémon Learnset (Core)'!$A$1:$A951,0)),'Reverse Search'!$J$21)),IF($D$2=2,COUNTIF(INDIRECT("'0.1.1 Pokémon GO Moves'!$B$"&amp;MATCH($E779,'0.1.1 Pokémon GO Moves'!$A$1:$A951,0)&amp;":$R$"&amp;MATCH($E779,'0.1.1 Pokémon GO Moves'!$A$1:$A951,0)),'Reverse Search'!$J$21),COUNTIF(INDIRECT("'0.1.1 Pokémon GO Moves'!$B$"&amp;MATCH($E779,'0.1.1 Pokémon GO Moves'!$A$1:$A951,0)&amp;":$L$"&amp;MATCH($E779,'0.1.1 Pokémon GO Moves'!$A$1:$A951,0)),'Reverse Search'!$J$21)))))</f>
        <v>#N/A</v>
      </c>
      <c r="AB779" s="490"/>
      <c r="AC779" s="260" t="e">
        <f aca="false">IF((Q779+R779+S779+V779+W779+X779+Y779+IF(Z779&gt;=1,1,0)+IF(AA779&gt;=1,1,0))=9,G779&amp;", ",)</f>
        <v>#N/A</v>
      </c>
    </row>
    <row r="780" customFormat="false" ht="15.75" hidden="false" customHeight="false" outlineLevel="0" collapsed="false">
      <c r="A780" s="260"/>
      <c r="B780" s="358"/>
      <c r="C780" s="260"/>
      <c r="D780" s="358"/>
      <c r="E780" s="260" t="n">
        <v>779</v>
      </c>
      <c r="F780" s="260" t="n">
        <f aca="false" t="array" ref="F780:F780">INDEX('0.0.1 Pokémon Dex Data'!$H$3:$H951,MATCH(E780,'0.0.1 Pokémon Dex Data'!$B$3:$B951,0))</f>
        <v>0</v>
      </c>
      <c r="G780" s="0" t="str">
        <f aca="false" t="array" ref="G780:G780">INDEX('0.0.1 Pokémon Dex Data'!$E$3:$E951,MATCH(E780,'0.0.1 Pokémon Dex Data'!$B$3:$B951,0))</f>
        <v>Florges</v>
      </c>
      <c r="H780" s="0" t="str">
        <f aca="false" t="array" ref="H780:H780">INDEX('0.0.1 Pokémon Dex Data'!$Q$3:$Q951,MATCH(E780,'0.0.1 Pokémon Dex Data'!$B$3:$B951,0))</f>
        <v>Fairy</v>
      </c>
      <c r="I780" s="0" t="n">
        <f aca="false">INDEX('0.0.1 Pokémon Dex Data'!$R$3:$R951,MATCH(E780,'0.0.1 Pokémon Dex Data'!$B$3:$B951,0))</f>
        <v>0</v>
      </c>
      <c r="J780" s="260" t="n">
        <f aca="false" t="array" ref="J780:J780">ROUND(INDEX('0.0.1 Pokémon Dex Data'!$S$3:$S951,MATCH($E780,'0.0.1 Pokémon Dex Data'!$B$3:$B951,0))*INDEX('0.0.1 Pokémon Dex Data'!T$3:T951,MATCH($E780,'0.0.1 Pokémon Dex Data'!$B$3:$B951,0)),0)</f>
        <v>212</v>
      </c>
      <c r="K780" s="260" t="n">
        <f aca="false" t="array" ref="K780:K780">ROUND(INDEX('0.0.1 Pokémon Dex Data'!$S$3:$S951,MATCH($E780,'0.0.1 Pokémon Dex Data'!$B$3:$B951,0))*INDEX('0.0.1 Pokémon Dex Data'!U$3:U951,MATCH($E780,'0.0.1 Pokémon Dex Data'!$B$3:$B951,0)),0)</f>
        <v>244</v>
      </c>
      <c r="L780" s="260" t="n">
        <f aca="false" t="array" ref="L780:L780">ROUND(INDEX('0.0.1 Pokémon Dex Data'!$S$3:$S951,MATCH($E780,'0.0.1 Pokémon Dex Data'!$B$3:$B951,0))*INDEX('0.0.1 Pokémon Dex Data'!V$3:V951,MATCH($E780,'0.0.1 Pokémon Dex Data'!$B$3:$B951,0)),0)</f>
        <v>186</v>
      </c>
      <c r="M780" s="260" t="n">
        <f aca="false" t="array" ref="M780:M780">INDEX('0.0.1 Pokémon Dex Data'!$J$3:$J951,MATCH(E780,'0.0.1 Pokémon Dex Data'!$B$3:$B951,0))</f>
        <v>1</v>
      </c>
      <c r="O780" s="490"/>
      <c r="Q780" s="367" t="n">
        <f aca="false">IF('Reverse Search'!$F$4="All (including temporary formes)",1,IF('Reverse Search'!$F$4="Base Pokémon and permanent formes only",IF(F780&lt;=1,1,0),IF(F780=0,1,0)))</f>
        <v>1</v>
      </c>
      <c r="R780" s="0" t="n">
        <f aca="false">IF('Reverse Search'!$C$7="Disable",1,IF('Reverse Search'!$D$9="Disable",1,IF(OR('Reverse Search'!$F$9=H780,'Reverse Search'!$F$9=I780),1,0)))</f>
        <v>1</v>
      </c>
      <c r="S780" s="0" t="n">
        <f aca="false">IF('Reverse Search'!$C$7="Disable",1,IF('Reverse Search'!$D$10="Disable",1,IF(OR('Reverse Search'!$F$10=H780,'Reverse Search'!$F$10=I780),1,0)))</f>
        <v>1</v>
      </c>
      <c r="T780" s="0" t="n">
        <f aca="false">INDEX($B$4:$B$22,MATCH(H780,$A$4:$A$22,0))</f>
        <v>1</v>
      </c>
      <c r="U780" s="0" t="e">
        <f aca="false">IF(ISBLANK(I780),1,INDEX($B$4:$B$22,MATCH(I780,$A$4:$A$22,0)))</f>
        <v>#N/A</v>
      </c>
      <c r="V780" s="367" t="n">
        <f aca="false">IF('Reverse Search'!$C$7="Disable",1,IF('Reverse Search'!$D$11="Disable",1,IF('Reverse Search'!$E$11="Neutral to:",IF(ROUND(T780*U780,2)&lt;=1,1,0),IF(ROUND(T780*U780,2)&lt;1,1,0))))</f>
        <v>1</v>
      </c>
      <c r="W780" s="0" t="n">
        <f aca="false">IF('Reverse Search'!$N$7="Disable",1,IF('Reverse Search'!$I$9="Disable",1,IF('Reverse Search'!$K$9="≥",IF(J780&gt;='Reverse Search'!$L$9,1,0),IF('Reverse Search'!$K$9="≤",IF(J780&lt;='Reverse Search'!$L$9,1,0),IF(J780='Reverse Search'!$L$9,1,0)))))</f>
        <v>1</v>
      </c>
      <c r="X780" s="0" t="n">
        <f aca="false">IF('Reverse Search'!$N$7="Disable",1,IF('Reverse Search'!$I$10="Disable",1,IF('Reverse Search'!$K$10="≥",IF(K780&gt;='Reverse Search'!$L$10,1,0),IF('Reverse Search'!$K$10="≤",IF(K780&lt;='Reverse Search'!$L$10,1,0),IF(K780='Reverse Search'!$L$10,1,0)))))</f>
        <v>1</v>
      </c>
      <c r="Y780" s="367" t="n">
        <f aca="false">IF('Reverse Search'!$N$7="Disable",1,IF('Reverse Search'!$I$11="Disable",1,IF('Reverse Search'!$K$11="≥",IF(L780&gt;='Reverse Search'!$L$11,1,0),IF('Reverse Search'!$K$11="≤",IF(L780&lt;='Reverse Search'!$L$11,1,0),IF(L780='Reverse Search'!$L$11,1,0)))))</f>
        <v>1</v>
      </c>
      <c r="Z780" s="0" t="n">
        <f aca="true">IF('Reverse Search'!$C$14="Disable",1,IF('Reverse Search'!$D$16="Disable",1,IF($C$2=3,IF($M780=0,0,COUNTIF(INDIRECT("'0.0.2 Pokémon Learnset (Core)'!$D$"&amp;MATCH($E780,'0.0.2 Pokémon Learnset (Core)'!$A$1:$A951,0)&amp;":$FK$"&amp;MATCH($E780,'0.0.2 Pokémon Learnset (Core)'!$A$1:$A951,0)),'Reverse Search'!$E$21)),IF($C$2=2,COUNTIF(INDIRECT("'0.1.1 Pokémon GO Moves'!$B$"&amp;MATCH($E780,'0.1.1 Pokémon GO Moves'!$A$1:$A951,0)&amp;":$R$"&amp;MATCH($E780,'0.1.1 Pokémon GO Moves'!$A$1:$A951,0)),'Reverse Search'!$E$21),COUNTIF(INDIRECT("'0.1.1 Pokémon GO Moves'!$B$"&amp;MATCH($E780,'0.1.1 Pokémon GO Moves'!$A$1:$A951,0)&amp;":$L$"&amp;MATCH($E780,'0.1.1 Pokémon GO Moves'!$A$1:$A951,0)),'Reverse Search'!$E$21)))))</f>
        <v>1</v>
      </c>
      <c r="AA780" s="0" t="n">
        <f aca="true">IF('Reverse Search'!$C$14="Disable",1,IF('Reverse Search'!$I$16="Disable",1,IF($D$2=3,IF($M780=0,0,COUNTIF(INDIRECT("'0.0.2 Pokémon Learnset (Core)'!$D$"&amp;MATCH($E780,'0.0.2 Pokémon Learnset (Core)'!$A$1:$A951,0)&amp;":$FK$"&amp;MATCH($E780,'0.0.2 Pokémon Learnset (Core)'!$A$1:$A951,0)),'Reverse Search'!$J$21)),IF($D$2=2,COUNTIF(INDIRECT("'0.1.1 Pokémon GO Moves'!$B$"&amp;MATCH($E780,'0.1.1 Pokémon GO Moves'!$A$1:$A951,0)&amp;":$R$"&amp;MATCH($E780,'0.1.1 Pokémon GO Moves'!$A$1:$A951,0)),'Reverse Search'!$J$21),COUNTIF(INDIRECT("'0.1.1 Pokémon GO Moves'!$B$"&amp;MATCH($E780,'0.1.1 Pokémon GO Moves'!$A$1:$A951,0)&amp;":$L$"&amp;MATCH($E780,'0.1.1 Pokémon GO Moves'!$A$1:$A951,0)),'Reverse Search'!$J$21)))))</f>
        <v>0</v>
      </c>
      <c r="AB780" s="490"/>
      <c r="AC780" s="260" t="n">
        <f aca="false">IF((Q780+R780+S780+V780+W780+X780+Y780+IF(Z780&gt;=1,1,0)+IF(AA780&gt;=1,1,0))=9,G780&amp;", ",)</f>
        <v>0</v>
      </c>
    </row>
    <row r="781" customFormat="false" ht="15.75" hidden="false" customHeight="false" outlineLevel="0" collapsed="false">
      <c r="A781" s="260"/>
      <c r="B781" s="358"/>
      <c r="C781" s="260"/>
      <c r="D781" s="358"/>
      <c r="E781" s="260" t="n">
        <v>780</v>
      </c>
      <c r="F781" s="260" t="n">
        <f aca="false" t="array" ref="F781:F781">INDEX('0.0.1 Pokémon Dex Data'!$H$3:$H951,MATCH(E781,'0.0.1 Pokémon Dex Data'!$B$3:$B951,0))</f>
        <v>0</v>
      </c>
      <c r="G781" s="0" t="str">
        <f aca="false" t="array" ref="G781:G781">INDEX('0.0.1 Pokémon Dex Data'!$E$3:$E951,MATCH(E781,'0.0.1 Pokémon Dex Data'!$B$3:$B951,0))</f>
        <v>Skiddo</v>
      </c>
      <c r="H781" s="0" t="str">
        <f aca="false" t="array" ref="H781:H781">INDEX('0.0.1 Pokémon Dex Data'!$Q$3:$Q951,MATCH(E781,'0.0.1 Pokémon Dex Data'!$B$3:$B951,0))</f>
        <v>Grass</v>
      </c>
      <c r="I781" s="0" t="n">
        <f aca="false">INDEX('0.0.1 Pokémon Dex Data'!$R$3:$R951,MATCH(E781,'0.0.1 Pokémon Dex Data'!$B$3:$B951,0))</f>
        <v>0</v>
      </c>
      <c r="J781" s="260" t="n">
        <f aca="false" t="array" ref="J781:J781">ROUND(INDEX('0.0.1 Pokémon Dex Data'!$S$3:$S951,MATCH($E781,'0.0.1 Pokémon Dex Data'!$B$3:$B951,0))*INDEX('0.0.1 Pokémon Dex Data'!T$3:T951,MATCH($E781,'0.0.1 Pokémon Dex Data'!$B$3:$B951,0)),0)</f>
        <v>123</v>
      </c>
      <c r="K781" s="260" t="n">
        <f aca="false" t="array" ref="K781:K781">ROUND(INDEX('0.0.1 Pokémon Dex Data'!$S$3:$S951,MATCH($E781,'0.0.1 Pokémon Dex Data'!$B$3:$B951,0))*INDEX('0.0.1 Pokémon Dex Data'!U$3:U951,MATCH($E781,'0.0.1 Pokémon Dex Data'!$B$3:$B951,0)),0)</f>
        <v>102</v>
      </c>
      <c r="L781" s="260" t="n">
        <f aca="false" t="array" ref="L781:L781">ROUND(INDEX('0.0.1 Pokémon Dex Data'!$S$3:$S951,MATCH($E781,'0.0.1 Pokémon Dex Data'!$B$3:$B951,0))*INDEX('0.0.1 Pokémon Dex Data'!V$3:V951,MATCH($E781,'0.0.1 Pokémon Dex Data'!$B$3:$B951,0)),0)</f>
        <v>165</v>
      </c>
      <c r="M781" s="260" t="n">
        <f aca="false" t="array" ref="M781:M781">INDEX('0.0.1 Pokémon Dex Data'!$J$3:$J951,MATCH(E781,'0.0.1 Pokémon Dex Data'!$B$3:$B951,0))</f>
        <v>0</v>
      </c>
      <c r="O781" s="490"/>
      <c r="Q781" s="367" t="n">
        <f aca="false">IF('Reverse Search'!$F$4="All (including temporary formes)",1,IF('Reverse Search'!$F$4="Base Pokémon and permanent formes only",IF(F781&lt;=1,1,0),IF(F781=0,1,0)))</f>
        <v>1</v>
      </c>
      <c r="R781" s="0" t="n">
        <f aca="false">IF('Reverse Search'!$C$7="Disable",1,IF('Reverse Search'!$D$9="Disable",1,IF(OR('Reverse Search'!$F$9=H781,'Reverse Search'!$F$9=I781),1,0)))</f>
        <v>1</v>
      </c>
      <c r="S781" s="0" t="n">
        <f aca="false">IF('Reverse Search'!$C$7="Disable",1,IF('Reverse Search'!$D$10="Disable",1,IF(OR('Reverse Search'!$F$10=H781,'Reverse Search'!$F$10=I781),1,0)))</f>
        <v>1</v>
      </c>
      <c r="T781" s="0" t="n">
        <f aca="false">INDEX($B$4:$B$22,MATCH(H781,$A$4:$A$22,0))</f>
        <v>1</v>
      </c>
      <c r="U781" s="0" t="e">
        <f aca="false">IF(ISBLANK(I781),1,INDEX($B$4:$B$22,MATCH(I781,$A$4:$A$22,0)))</f>
        <v>#N/A</v>
      </c>
      <c r="V781" s="367" t="n">
        <f aca="false">IF('Reverse Search'!$C$7="Disable",1,IF('Reverse Search'!$D$11="Disable",1,IF('Reverse Search'!$E$11="Neutral to:",IF(ROUND(T781*U781,2)&lt;=1,1,0),IF(ROUND(T781*U781,2)&lt;1,1,0))))</f>
        <v>1</v>
      </c>
      <c r="W781" s="0" t="n">
        <f aca="false">IF('Reverse Search'!$N$7="Disable",1,IF('Reverse Search'!$I$9="Disable",1,IF('Reverse Search'!$K$9="≥",IF(J781&gt;='Reverse Search'!$L$9,1,0),IF('Reverse Search'!$K$9="≤",IF(J781&lt;='Reverse Search'!$L$9,1,0),IF(J781='Reverse Search'!$L$9,1,0)))))</f>
        <v>1</v>
      </c>
      <c r="X781" s="0" t="n">
        <f aca="false">IF('Reverse Search'!$N$7="Disable",1,IF('Reverse Search'!$I$10="Disable",1,IF('Reverse Search'!$K$10="≥",IF(K781&gt;='Reverse Search'!$L$10,1,0),IF('Reverse Search'!$K$10="≤",IF(K781&lt;='Reverse Search'!$L$10,1,0),IF(K781='Reverse Search'!$L$10,1,0)))))</f>
        <v>1</v>
      </c>
      <c r="Y781" s="367" t="n">
        <f aca="false">IF('Reverse Search'!$N$7="Disable",1,IF('Reverse Search'!$I$11="Disable",1,IF('Reverse Search'!$K$11="≥",IF(L781&gt;='Reverse Search'!$L$11,1,0),IF('Reverse Search'!$K$11="≤",IF(L781&lt;='Reverse Search'!$L$11,1,0),IF(L781='Reverse Search'!$L$11,1,0)))))</f>
        <v>1</v>
      </c>
      <c r="Z781" s="0" t="n">
        <f aca="true">IF('Reverse Search'!$C$14="Disable",1,IF('Reverse Search'!$D$16="Disable",1,IF($C$2=3,IF($M781=0,0,COUNTIF(INDIRECT("'0.0.2 Pokémon Learnset (Core)'!$D$"&amp;MATCH($E781,'0.0.2 Pokémon Learnset (Core)'!$A$1:$A951,0)&amp;":$FK$"&amp;MATCH($E781,'0.0.2 Pokémon Learnset (Core)'!$A$1:$A951,0)),'Reverse Search'!$E$21)),IF($C$2=2,COUNTIF(INDIRECT("'0.1.1 Pokémon GO Moves'!$B$"&amp;MATCH($E781,'0.1.1 Pokémon GO Moves'!$A$1:$A951,0)&amp;":$R$"&amp;MATCH($E781,'0.1.1 Pokémon GO Moves'!$A$1:$A951,0)),'Reverse Search'!$E$21),COUNTIF(INDIRECT("'0.1.1 Pokémon GO Moves'!$B$"&amp;MATCH($E781,'0.1.1 Pokémon GO Moves'!$A$1:$A951,0)&amp;":$L$"&amp;MATCH($E781,'0.1.1 Pokémon GO Moves'!$A$1:$A951,0)),'Reverse Search'!$E$21)))))</f>
        <v>1</v>
      </c>
      <c r="AA781" s="0" t="n">
        <f aca="true">IF('Reverse Search'!$C$14="Disable",1,IF('Reverse Search'!$I$16="Disable",1,IF($D$2=3,IF($M781=0,0,COUNTIF(INDIRECT("'0.0.2 Pokémon Learnset (Core)'!$D$"&amp;MATCH($E781,'0.0.2 Pokémon Learnset (Core)'!$A$1:$A951,0)&amp;":$FK$"&amp;MATCH($E781,'0.0.2 Pokémon Learnset (Core)'!$A$1:$A951,0)),'Reverse Search'!$J$21)),IF($D$2=2,COUNTIF(INDIRECT("'0.1.1 Pokémon GO Moves'!$B$"&amp;MATCH($E781,'0.1.1 Pokémon GO Moves'!$A$1:$A951,0)&amp;":$R$"&amp;MATCH($E781,'0.1.1 Pokémon GO Moves'!$A$1:$A951,0)),'Reverse Search'!$J$21),COUNTIF(INDIRECT("'0.1.1 Pokémon GO Moves'!$B$"&amp;MATCH($E781,'0.1.1 Pokémon GO Moves'!$A$1:$A951,0)&amp;":$L$"&amp;MATCH($E781,'0.1.1 Pokémon GO Moves'!$A$1:$A951,0)),'Reverse Search'!$J$21)))))</f>
        <v>0</v>
      </c>
      <c r="AB781" s="490"/>
      <c r="AC781" s="260" t="n">
        <f aca="false">IF((Q781+R781+S781+V781+W781+X781+Y781+IF(Z781&gt;=1,1,0)+IF(AA781&gt;=1,1,0))=9,G781&amp;", ",)</f>
        <v>0</v>
      </c>
    </row>
    <row r="782" customFormat="false" ht="15.75" hidden="false" customHeight="false" outlineLevel="0" collapsed="false">
      <c r="A782" s="260"/>
      <c r="B782" s="358"/>
      <c r="C782" s="260"/>
      <c r="D782" s="358"/>
      <c r="E782" s="260" t="n">
        <v>781</v>
      </c>
      <c r="F782" s="260" t="n">
        <f aca="false" t="array" ref="F782:F782">INDEX('0.0.1 Pokémon Dex Data'!$H$3:$H951,MATCH(E782,'0.0.1 Pokémon Dex Data'!$B$3:$B951,0))</f>
        <v>0</v>
      </c>
      <c r="G782" s="0" t="str">
        <f aca="false" t="array" ref="G782:G782">INDEX('0.0.1 Pokémon Dex Data'!$E$3:$E951,MATCH(E782,'0.0.1 Pokémon Dex Data'!$B$3:$B951,0))</f>
        <v>Gogoat</v>
      </c>
      <c r="H782" s="0" t="str">
        <f aca="false" t="array" ref="H782:H782">INDEX('0.0.1 Pokémon Dex Data'!$Q$3:$Q951,MATCH(E782,'0.0.1 Pokémon Dex Data'!$B$3:$B951,0))</f>
        <v>Grass</v>
      </c>
      <c r="I782" s="0" t="n">
        <f aca="false">INDEX('0.0.1 Pokémon Dex Data'!$R$3:$R951,MATCH(E782,'0.0.1 Pokémon Dex Data'!$B$3:$B951,0))</f>
        <v>0</v>
      </c>
      <c r="J782" s="260" t="n">
        <f aca="false" t="array" ref="J782:J782">ROUND(INDEX('0.0.1 Pokémon Dex Data'!$S$3:$S951,MATCH($E782,'0.0.1 Pokémon Dex Data'!$B$3:$B951,0))*INDEX('0.0.1 Pokémon Dex Data'!T$3:T951,MATCH($E782,'0.0.1 Pokémon Dex Data'!$B$3:$B951,0)),0)</f>
        <v>196</v>
      </c>
      <c r="K782" s="260" t="n">
        <f aca="false" t="array" ref="K782:K782">ROUND(INDEX('0.0.1 Pokémon Dex Data'!$S$3:$S951,MATCH($E782,'0.0.1 Pokémon Dex Data'!$B$3:$B951,0))*INDEX('0.0.1 Pokémon Dex Data'!U$3:U951,MATCH($E782,'0.0.1 Pokémon Dex Data'!$B$3:$B951,0)),0)</f>
        <v>146</v>
      </c>
      <c r="L782" s="260" t="n">
        <f aca="false" t="array" ref="L782:L782">ROUND(INDEX('0.0.1 Pokémon Dex Data'!$S$3:$S951,MATCH($E782,'0.0.1 Pokémon Dex Data'!$B$3:$B951,0))*INDEX('0.0.1 Pokémon Dex Data'!V$3:V951,MATCH($E782,'0.0.1 Pokémon Dex Data'!$B$3:$B951,0)),0)</f>
        <v>265</v>
      </c>
      <c r="M782" s="260" t="n">
        <f aca="false" t="array" ref="M782:M782">INDEX('0.0.1 Pokémon Dex Data'!$J$3:$J951,MATCH(E782,'0.0.1 Pokémon Dex Data'!$B$3:$B951,0))</f>
        <v>1</v>
      </c>
      <c r="O782" s="490"/>
      <c r="Q782" s="367" t="n">
        <f aca="false">IF('Reverse Search'!$F$4="All (including temporary formes)",1,IF('Reverse Search'!$F$4="Base Pokémon and permanent formes only",IF(F782&lt;=1,1,0),IF(F782=0,1,0)))</f>
        <v>1</v>
      </c>
      <c r="R782" s="0" t="n">
        <f aca="false">IF('Reverse Search'!$C$7="Disable",1,IF('Reverse Search'!$D$9="Disable",1,IF(OR('Reverse Search'!$F$9=H782,'Reverse Search'!$F$9=I782),1,0)))</f>
        <v>1</v>
      </c>
      <c r="S782" s="0" t="n">
        <f aca="false">IF('Reverse Search'!$C$7="Disable",1,IF('Reverse Search'!$D$10="Disable",1,IF(OR('Reverse Search'!$F$10=H782,'Reverse Search'!$F$10=I782),1,0)))</f>
        <v>1</v>
      </c>
      <c r="T782" s="0" t="n">
        <f aca="false">INDEX($B$4:$B$22,MATCH(H782,$A$4:$A$22,0))</f>
        <v>1</v>
      </c>
      <c r="U782" s="0" t="e">
        <f aca="false">IF(ISBLANK(I782),1,INDEX($B$4:$B$22,MATCH(I782,$A$4:$A$22,0)))</f>
        <v>#N/A</v>
      </c>
      <c r="V782" s="367" t="n">
        <f aca="false">IF('Reverse Search'!$C$7="Disable",1,IF('Reverse Search'!$D$11="Disable",1,IF('Reverse Search'!$E$11="Neutral to:",IF(ROUND(T782*U782,2)&lt;=1,1,0),IF(ROUND(T782*U782,2)&lt;1,1,0))))</f>
        <v>1</v>
      </c>
      <c r="W782" s="0" t="n">
        <f aca="false">IF('Reverse Search'!$N$7="Disable",1,IF('Reverse Search'!$I$9="Disable",1,IF('Reverse Search'!$K$9="≥",IF(J782&gt;='Reverse Search'!$L$9,1,0),IF('Reverse Search'!$K$9="≤",IF(J782&lt;='Reverse Search'!$L$9,1,0),IF(J782='Reverse Search'!$L$9,1,0)))))</f>
        <v>1</v>
      </c>
      <c r="X782" s="0" t="n">
        <f aca="false">IF('Reverse Search'!$N$7="Disable",1,IF('Reverse Search'!$I$10="Disable",1,IF('Reverse Search'!$K$10="≥",IF(K782&gt;='Reverse Search'!$L$10,1,0),IF('Reverse Search'!$K$10="≤",IF(K782&lt;='Reverse Search'!$L$10,1,0),IF(K782='Reverse Search'!$L$10,1,0)))))</f>
        <v>1</v>
      </c>
      <c r="Y782" s="367" t="n">
        <f aca="false">IF('Reverse Search'!$N$7="Disable",1,IF('Reverse Search'!$I$11="Disable",1,IF('Reverse Search'!$K$11="≥",IF(L782&gt;='Reverse Search'!$L$11,1,0),IF('Reverse Search'!$K$11="≤",IF(L782&lt;='Reverse Search'!$L$11,1,0),IF(L782='Reverse Search'!$L$11,1,0)))))</f>
        <v>1</v>
      </c>
      <c r="Z782" s="0" t="n">
        <f aca="true">IF('Reverse Search'!$C$14="Disable",1,IF('Reverse Search'!$D$16="Disable",1,IF($C$2=3,IF($M782=0,0,COUNTIF(INDIRECT("'0.0.2 Pokémon Learnset (Core)'!$D$"&amp;MATCH($E782,'0.0.2 Pokémon Learnset (Core)'!$A$1:$A951,0)&amp;":$FK$"&amp;MATCH($E782,'0.0.2 Pokémon Learnset (Core)'!$A$1:$A951,0)),'Reverse Search'!$E$21)),IF($C$2=2,COUNTIF(INDIRECT("'0.1.1 Pokémon GO Moves'!$B$"&amp;MATCH($E782,'0.1.1 Pokémon GO Moves'!$A$1:$A951,0)&amp;":$R$"&amp;MATCH($E782,'0.1.1 Pokémon GO Moves'!$A$1:$A951,0)),'Reverse Search'!$E$21),COUNTIF(INDIRECT("'0.1.1 Pokémon GO Moves'!$B$"&amp;MATCH($E782,'0.1.1 Pokémon GO Moves'!$A$1:$A951,0)&amp;":$L$"&amp;MATCH($E782,'0.1.1 Pokémon GO Moves'!$A$1:$A951,0)),'Reverse Search'!$E$21)))))</f>
        <v>1</v>
      </c>
      <c r="AA782" s="0" t="n">
        <f aca="true">IF('Reverse Search'!$C$14="Disable",1,IF('Reverse Search'!$I$16="Disable",1,IF($D$2=3,IF($M782=0,0,COUNTIF(INDIRECT("'0.0.2 Pokémon Learnset (Core)'!$D$"&amp;MATCH($E782,'0.0.2 Pokémon Learnset (Core)'!$A$1:$A951,0)&amp;":$FK$"&amp;MATCH($E782,'0.0.2 Pokémon Learnset (Core)'!$A$1:$A951,0)),'Reverse Search'!$J$21)),IF($D$2=2,COUNTIF(INDIRECT("'0.1.1 Pokémon GO Moves'!$B$"&amp;MATCH($E782,'0.1.1 Pokémon GO Moves'!$A$1:$A951,0)&amp;":$R$"&amp;MATCH($E782,'0.1.1 Pokémon GO Moves'!$A$1:$A951,0)),'Reverse Search'!$J$21),COUNTIF(INDIRECT("'0.1.1 Pokémon GO Moves'!$B$"&amp;MATCH($E782,'0.1.1 Pokémon GO Moves'!$A$1:$A951,0)&amp;":$L$"&amp;MATCH($E782,'0.1.1 Pokémon GO Moves'!$A$1:$A951,0)),'Reverse Search'!$J$21)))))</f>
        <v>0</v>
      </c>
      <c r="AB782" s="490"/>
      <c r="AC782" s="260" t="n">
        <f aca="false">IF((Q782+R782+S782+V782+W782+X782+Y782+IF(Z782&gt;=1,1,0)+IF(AA782&gt;=1,1,0))=9,G782&amp;", ",)</f>
        <v>0</v>
      </c>
    </row>
    <row r="783" customFormat="false" ht="15.75" hidden="false" customHeight="false" outlineLevel="0" collapsed="false">
      <c r="A783" s="260"/>
      <c r="B783" s="358"/>
      <c r="C783" s="260"/>
      <c r="D783" s="358"/>
      <c r="E783" s="260" t="n">
        <v>782</v>
      </c>
      <c r="F783" s="260" t="n">
        <f aca="false" t="array" ref="F783:F783">INDEX('0.0.1 Pokémon Dex Data'!$H$3:$H951,MATCH(E783,'0.0.1 Pokémon Dex Data'!$B$3:$B951,0))</f>
        <v>0</v>
      </c>
      <c r="G783" s="0" t="str">
        <f aca="false" t="array" ref="G783:G783">INDEX('0.0.1 Pokémon Dex Data'!$E$3:$E951,MATCH(E783,'0.0.1 Pokémon Dex Data'!$B$3:$B951,0))</f>
        <v>Pancham</v>
      </c>
      <c r="H783" s="0" t="str">
        <f aca="false" t="array" ref="H783:H783">INDEX('0.0.1 Pokémon Dex Data'!$Q$3:$Q951,MATCH(E783,'0.0.1 Pokémon Dex Data'!$B$3:$B951,0))</f>
        <v>Fighting</v>
      </c>
      <c r="I783" s="0" t="n">
        <f aca="false">INDEX('0.0.1 Pokémon Dex Data'!$R$3:$R951,MATCH(E783,'0.0.1 Pokémon Dex Data'!$B$3:$B951,0))</f>
        <v>0</v>
      </c>
      <c r="J783" s="260" t="n">
        <f aca="false" t="array" ref="J783:J783">ROUND(INDEX('0.0.1 Pokémon Dex Data'!$S$3:$S951,MATCH($E783,'0.0.1 Pokémon Dex Data'!$B$3:$B951,0))*INDEX('0.0.1 Pokémon Dex Data'!T$3:T951,MATCH($E783,'0.0.1 Pokémon Dex Data'!$B$3:$B951,0)),0)</f>
        <v>145</v>
      </c>
      <c r="K783" s="260" t="n">
        <f aca="false" t="array" ref="K783:K783">ROUND(INDEX('0.0.1 Pokémon Dex Data'!$S$3:$S951,MATCH($E783,'0.0.1 Pokémon Dex Data'!$B$3:$B951,0))*INDEX('0.0.1 Pokémon Dex Data'!U$3:U951,MATCH($E783,'0.0.1 Pokémon Dex Data'!$B$3:$B951,0)),0)</f>
        <v>107</v>
      </c>
      <c r="L783" s="260" t="n">
        <f aca="false" t="array" ref="L783:L783">ROUND(INDEX('0.0.1 Pokémon Dex Data'!$S$3:$S951,MATCH($E783,'0.0.1 Pokémon Dex Data'!$B$3:$B951,0))*INDEX('0.0.1 Pokémon Dex Data'!V$3:V951,MATCH($E783,'0.0.1 Pokémon Dex Data'!$B$3:$B951,0)),0)</f>
        <v>167</v>
      </c>
      <c r="M783" s="260" t="n">
        <f aca="false" t="array" ref="M783:M783">INDEX('0.0.1 Pokémon Dex Data'!$J$3:$J951,MATCH(E783,'0.0.1 Pokémon Dex Data'!$B$3:$B951,0))</f>
        <v>0</v>
      </c>
      <c r="O783" s="490"/>
      <c r="Q783" s="367" t="n">
        <f aca="false">IF('Reverse Search'!$F$4="All (including temporary formes)",1,IF('Reverse Search'!$F$4="Base Pokémon and permanent formes only",IF(F783&lt;=1,1,0),IF(F783=0,1,0)))</f>
        <v>1</v>
      </c>
      <c r="R783" s="0" t="n">
        <f aca="false">IF('Reverse Search'!$C$7="Disable",1,IF('Reverse Search'!$D$9="Disable",1,IF(OR('Reverse Search'!$F$9=H783,'Reverse Search'!$F$9=I783),1,0)))</f>
        <v>1</v>
      </c>
      <c r="S783" s="0" t="n">
        <f aca="false">IF('Reverse Search'!$C$7="Disable",1,IF('Reverse Search'!$D$10="Disable",1,IF(OR('Reverse Search'!$F$10=H783,'Reverse Search'!$F$10=I783),1,0)))</f>
        <v>1</v>
      </c>
      <c r="T783" s="0" t="n">
        <f aca="false">INDEX($B$4:$B$22,MATCH(H783,$A$4:$A$22,0))</f>
        <v>1</v>
      </c>
      <c r="U783" s="0" t="e">
        <f aca="false">IF(ISBLANK(I783),1,INDEX($B$4:$B$22,MATCH(I783,$A$4:$A$22,0)))</f>
        <v>#N/A</v>
      </c>
      <c r="V783" s="367" t="n">
        <f aca="false">IF('Reverse Search'!$C$7="Disable",1,IF('Reverse Search'!$D$11="Disable",1,IF('Reverse Search'!$E$11="Neutral to:",IF(ROUND(T783*U783,2)&lt;=1,1,0),IF(ROUND(T783*U783,2)&lt;1,1,0))))</f>
        <v>1</v>
      </c>
      <c r="W783" s="0" t="n">
        <f aca="false">IF('Reverse Search'!$N$7="Disable",1,IF('Reverse Search'!$I$9="Disable",1,IF('Reverse Search'!$K$9="≥",IF(J783&gt;='Reverse Search'!$L$9,1,0),IF('Reverse Search'!$K$9="≤",IF(J783&lt;='Reverse Search'!$L$9,1,0),IF(J783='Reverse Search'!$L$9,1,0)))))</f>
        <v>1</v>
      </c>
      <c r="X783" s="0" t="n">
        <f aca="false">IF('Reverse Search'!$N$7="Disable",1,IF('Reverse Search'!$I$10="Disable",1,IF('Reverse Search'!$K$10="≥",IF(K783&gt;='Reverse Search'!$L$10,1,0),IF('Reverse Search'!$K$10="≤",IF(K783&lt;='Reverse Search'!$L$10,1,0),IF(K783='Reverse Search'!$L$10,1,0)))))</f>
        <v>1</v>
      </c>
      <c r="Y783" s="367" t="n">
        <f aca="false">IF('Reverse Search'!$N$7="Disable",1,IF('Reverse Search'!$I$11="Disable",1,IF('Reverse Search'!$K$11="≥",IF(L783&gt;='Reverse Search'!$L$11,1,0),IF('Reverse Search'!$K$11="≤",IF(L783&lt;='Reverse Search'!$L$11,1,0),IF(L783='Reverse Search'!$L$11,1,0)))))</f>
        <v>1</v>
      </c>
      <c r="Z783" s="0" t="n">
        <f aca="true">IF('Reverse Search'!$C$14="Disable",1,IF('Reverse Search'!$D$16="Disable",1,IF($C$2=3,IF($M783=0,0,COUNTIF(INDIRECT("'0.0.2 Pokémon Learnset (Core)'!$D$"&amp;MATCH($E783,'0.0.2 Pokémon Learnset (Core)'!$A$1:$A951,0)&amp;":$FK$"&amp;MATCH($E783,'0.0.2 Pokémon Learnset (Core)'!$A$1:$A951,0)),'Reverse Search'!$E$21)),IF($C$2=2,COUNTIF(INDIRECT("'0.1.1 Pokémon GO Moves'!$B$"&amp;MATCH($E783,'0.1.1 Pokémon GO Moves'!$A$1:$A951,0)&amp;":$R$"&amp;MATCH($E783,'0.1.1 Pokémon GO Moves'!$A$1:$A951,0)),'Reverse Search'!$E$21),COUNTIF(INDIRECT("'0.1.1 Pokémon GO Moves'!$B$"&amp;MATCH($E783,'0.1.1 Pokémon GO Moves'!$A$1:$A951,0)&amp;":$L$"&amp;MATCH($E783,'0.1.1 Pokémon GO Moves'!$A$1:$A951,0)),'Reverse Search'!$E$21)))))</f>
        <v>1</v>
      </c>
      <c r="AA783" s="0" t="n">
        <f aca="true">IF('Reverse Search'!$C$14="Disable",1,IF('Reverse Search'!$I$16="Disable",1,IF($D$2=3,IF($M783=0,0,COUNTIF(INDIRECT("'0.0.2 Pokémon Learnset (Core)'!$D$"&amp;MATCH($E783,'0.0.2 Pokémon Learnset (Core)'!$A$1:$A951,0)&amp;":$FK$"&amp;MATCH($E783,'0.0.2 Pokémon Learnset (Core)'!$A$1:$A951,0)),'Reverse Search'!$J$21)),IF($D$2=2,COUNTIF(INDIRECT("'0.1.1 Pokémon GO Moves'!$B$"&amp;MATCH($E783,'0.1.1 Pokémon GO Moves'!$A$1:$A951,0)&amp;":$R$"&amp;MATCH($E783,'0.1.1 Pokémon GO Moves'!$A$1:$A951,0)),'Reverse Search'!$J$21),COUNTIF(INDIRECT("'0.1.1 Pokémon GO Moves'!$B$"&amp;MATCH($E783,'0.1.1 Pokémon GO Moves'!$A$1:$A951,0)&amp;":$L$"&amp;MATCH($E783,'0.1.1 Pokémon GO Moves'!$A$1:$A951,0)),'Reverse Search'!$J$21)))))</f>
        <v>0</v>
      </c>
      <c r="AB783" s="490"/>
      <c r="AC783" s="260" t="n">
        <f aca="false">IF((Q783+R783+S783+V783+W783+X783+Y783+IF(Z783&gt;=1,1,0)+IF(AA783&gt;=1,1,0))=9,G783&amp;", ",)</f>
        <v>0</v>
      </c>
    </row>
    <row r="784" customFormat="false" ht="15.75" hidden="false" customHeight="false" outlineLevel="0" collapsed="false">
      <c r="A784" s="260"/>
      <c r="B784" s="358"/>
      <c r="C784" s="260"/>
      <c r="D784" s="358"/>
      <c r="E784" s="260" t="n">
        <v>783</v>
      </c>
      <c r="F784" s="260" t="n">
        <f aca="false" t="array" ref="F784:F784">INDEX('0.0.1 Pokémon Dex Data'!$H$3:$H951,MATCH(E784,'0.0.1 Pokémon Dex Data'!$B$3:$B951,0))</f>
        <v>0</v>
      </c>
      <c r="G784" s="0" t="str">
        <f aca="false" t="array" ref="G784:G784">INDEX('0.0.1 Pokémon Dex Data'!$E$3:$E951,MATCH(E784,'0.0.1 Pokémon Dex Data'!$B$3:$B951,0))</f>
        <v>Pangoro</v>
      </c>
      <c r="H784" s="0" t="str">
        <f aca="false" t="array" ref="H784:H784">INDEX('0.0.1 Pokémon Dex Data'!$Q$3:$Q951,MATCH(E784,'0.0.1 Pokémon Dex Data'!$B$3:$B951,0))</f>
        <v>Fighting</v>
      </c>
      <c r="I784" s="0" t="str">
        <f aca="false" t="array" ref="I784:I784">INDEX('0.0.1 Pokémon Dex Data'!$R$3:$R951,MATCH(E784,'0.0.1 Pokémon Dex Data'!$B$3:$B951,0))</f>
        <v>Dark</v>
      </c>
      <c r="J784" s="260" t="n">
        <f aca="false" t="array" ref="J784:J784">ROUND(INDEX('0.0.1 Pokémon Dex Data'!$S$3:$S951,MATCH($E784,'0.0.1 Pokémon Dex Data'!$B$3:$B951,0))*INDEX('0.0.1 Pokémon Dex Data'!T$3:T951,MATCH($E784,'0.0.1 Pokémon Dex Data'!$B$3:$B951,0)),0)</f>
        <v>226</v>
      </c>
      <c r="K784" s="260" t="n">
        <f aca="false" t="array" ref="K784:K784">ROUND(INDEX('0.0.1 Pokémon Dex Data'!$S$3:$S951,MATCH($E784,'0.0.1 Pokémon Dex Data'!$B$3:$B951,0))*INDEX('0.0.1 Pokémon Dex Data'!U$3:U951,MATCH($E784,'0.0.1 Pokémon Dex Data'!$B$3:$B951,0)),0)</f>
        <v>146</v>
      </c>
      <c r="L784" s="260" t="n">
        <f aca="false" t="array" ref="L784:L784">ROUND(INDEX('0.0.1 Pokémon Dex Data'!$S$3:$S951,MATCH($E784,'0.0.1 Pokémon Dex Data'!$B$3:$B951,0))*INDEX('0.0.1 Pokémon Dex Data'!V$3:V951,MATCH($E784,'0.0.1 Pokémon Dex Data'!$B$3:$B951,0)),0)</f>
        <v>216</v>
      </c>
      <c r="M784" s="260" t="n">
        <f aca="false" t="array" ref="M784:M784">INDEX('0.0.1 Pokémon Dex Data'!$J$3:$J951,MATCH(E784,'0.0.1 Pokémon Dex Data'!$B$3:$B951,0))</f>
        <v>1</v>
      </c>
      <c r="O784" s="490"/>
      <c r="Q784" s="367" t="n">
        <f aca="false">IF('Reverse Search'!$F$4="All (including temporary formes)",1,IF('Reverse Search'!$F$4="Base Pokémon and permanent formes only",IF(F784&lt;=1,1,0),IF(F784=0,1,0)))</f>
        <v>1</v>
      </c>
      <c r="R784" s="0" t="n">
        <f aca="false">IF('Reverse Search'!$C$7="Disable",1,IF('Reverse Search'!$D$9="Disable",1,IF(OR('Reverse Search'!$F$9=H784,'Reverse Search'!$F$9=I784),1,0)))</f>
        <v>1</v>
      </c>
      <c r="S784" s="0" t="n">
        <f aca="false">IF('Reverse Search'!$C$7="Disable",1,IF('Reverse Search'!$D$10="Disable",1,IF(OR('Reverse Search'!$F$10=H784,'Reverse Search'!$F$10=I784),1,0)))</f>
        <v>1</v>
      </c>
      <c r="T784" s="0" t="n">
        <f aca="false">INDEX($B$4:$B$22,MATCH(H784,$A$4:$A$22,0))</f>
        <v>1</v>
      </c>
      <c r="U784" s="0" t="n">
        <f aca="false">IF(ISBLANK(I784),1,INDEX($B$4:$B$22,MATCH(I784,$A$4:$A$22,0)))</f>
        <v>1</v>
      </c>
      <c r="V784" s="367" t="n">
        <f aca="false">IF('Reverse Search'!$C$7="Disable",1,IF('Reverse Search'!$D$11="Disable",1,IF('Reverse Search'!$E$11="Neutral to:",IF(ROUND(T784*U784,2)&lt;=1,1,0),IF(ROUND(T784*U784,2)&lt;1,1,0))))</f>
        <v>1</v>
      </c>
      <c r="W784" s="0" t="n">
        <f aca="false">IF('Reverse Search'!$N$7="Disable",1,IF('Reverse Search'!$I$9="Disable",1,IF('Reverse Search'!$K$9="≥",IF(J784&gt;='Reverse Search'!$L$9,1,0),IF('Reverse Search'!$K$9="≤",IF(J784&lt;='Reverse Search'!$L$9,1,0),IF(J784='Reverse Search'!$L$9,1,0)))))</f>
        <v>1</v>
      </c>
      <c r="X784" s="0" t="n">
        <f aca="false">IF('Reverse Search'!$N$7="Disable",1,IF('Reverse Search'!$I$10="Disable",1,IF('Reverse Search'!$K$10="≥",IF(K784&gt;='Reverse Search'!$L$10,1,0),IF('Reverse Search'!$K$10="≤",IF(K784&lt;='Reverse Search'!$L$10,1,0),IF(K784='Reverse Search'!$L$10,1,0)))))</f>
        <v>1</v>
      </c>
      <c r="Y784" s="367" t="n">
        <f aca="false">IF('Reverse Search'!$N$7="Disable",1,IF('Reverse Search'!$I$11="Disable",1,IF('Reverse Search'!$K$11="≥",IF(L784&gt;='Reverse Search'!$L$11,1,0),IF('Reverse Search'!$K$11="≤",IF(L784&lt;='Reverse Search'!$L$11,1,0),IF(L784='Reverse Search'!$L$11,1,0)))))</f>
        <v>1</v>
      </c>
      <c r="Z784" s="0" t="n">
        <f aca="true">IF('Reverse Search'!$C$14="Disable",1,IF('Reverse Search'!$D$16="Disable",1,IF($C$2=3,IF($M784=0,0,COUNTIF(INDIRECT("'0.0.2 Pokémon Learnset (Core)'!$D$"&amp;MATCH($E784,'0.0.2 Pokémon Learnset (Core)'!$A$1:$A951,0)&amp;":$FK$"&amp;MATCH($E784,'0.0.2 Pokémon Learnset (Core)'!$A$1:$A951,0)),'Reverse Search'!$E$21)),IF($C$2=2,COUNTIF(INDIRECT("'0.1.1 Pokémon GO Moves'!$B$"&amp;MATCH($E784,'0.1.1 Pokémon GO Moves'!$A$1:$A951,0)&amp;":$R$"&amp;MATCH($E784,'0.1.1 Pokémon GO Moves'!$A$1:$A951,0)),'Reverse Search'!$E$21),COUNTIF(INDIRECT("'0.1.1 Pokémon GO Moves'!$B$"&amp;MATCH($E784,'0.1.1 Pokémon GO Moves'!$A$1:$A951,0)&amp;":$L$"&amp;MATCH($E784,'0.1.1 Pokémon GO Moves'!$A$1:$A951,0)),'Reverse Search'!$E$21)))))</f>
        <v>1</v>
      </c>
      <c r="AA784" s="0" t="n">
        <f aca="true">IF('Reverse Search'!$C$14="Disable",1,IF('Reverse Search'!$I$16="Disable",1,IF($D$2=3,IF($M784=0,0,COUNTIF(INDIRECT("'0.0.2 Pokémon Learnset (Core)'!$D$"&amp;MATCH($E784,'0.0.2 Pokémon Learnset (Core)'!$A$1:$A951,0)&amp;":$FK$"&amp;MATCH($E784,'0.0.2 Pokémon Learnset (Core)'!$A$1:$A951,0)),'Reverse Search'!$J$21)),IF($D$2=2,COUNTIF(INDIRECT("'0.1.1 Pokémon GO Moves'!$B$"&amp;MATCH($E784,'0.1.1 Pokémon GO Moves'!$A$1:$A951,0)&amp;":$R$"&amp;MATCH($E784,'0.1.1 Pokémon GO Moves'!$A$1:$A951,0)),'Reverse Search'!$J$21),COUNTIF(INDIRECT("'0.1.1 Pokémon GO Moves'!$B$"&amp;MATCH($E784,'0.1.1 Pokémon GO Moves'!$A$1:$A951,0)&amp;":$L$"&amp;MATCH($E784,'0.1.1 Pokémon GO Moves'!$A$1:$A951,0)),'Reverse Search'!$J$21)))))</f>
        <v>0</v>
      </c>
      <c r="AB784" s="490"/>
      <c r="AC784" s="260" t="n">
        <f aca="false">IF((Q784+R784+S784+V784+W784+X784+Y784+IF(Z784&gt;=1,1,0)+IF(AA784&gt;=1,1,0))=9,G784&amp;", ",)</f>
        <v>0</v>
      </c>
    </row>
    <row r="785" customFormat="false" ht="15.75" hidden="false" customHeight="false" outlineLevel="0" collapsed="false">
      <c r="A785" s="260"/>
      <c r="B785" s="358"/>
      <c r="C785" s="260"/>
      <c r="D785" s="358"/>
      <c r="E785" s="260" t="n">
        <v>784</v>
      </c>
      <c r="F785" s="260" t="n">
        <f aca="false" t="array" ref="F785:F785">INDEX('0.0.1 Pokémon Dex Data'!$H$3:$H951,MATCH(E785,'0.0.1 Pokémon Dex Data'!$B$3:$B951,0))</f>
        <v>0</v>
      </c>
      <c r="G785" s="0" t="str">
        <f aca="false" t="array" ref="G785:G785">INDEX('0.0.1 Pokémon Dex Data'!$E$3:$E951,MATCH(E785,'0.0.1 Pokémon Dex Data'!$B$3:$B951,0))</f>
        <v>Furfrou</v>
      </c>
      <c r="H785" s="0" t="str">
        <f aca="false" t="array" ref="H785:H785">INDEX('0.0.1 Pokémon Dex Data'!$Q$3:$Q951,MATCH(E785,'0.0.1 Pokémon Dex Data'!$B$3:$B951,0))</f>
        <v>Normal</v>
      </c>
      <c r="I785" s="0" t="n">
        <f aca="false">INDEX('0.0.1 Pokémon Dex Data'!$R$3:$R951,MATCH(E785,'0.0.1 Pokémon Dex Data'!$B$3:$B951,0))</f>
        <v>0</v>
      </c>
      <c r="J785" s="260" t="n">
        <f aca="false" t="array" ref="J785:J785">ROUND(INDEX('0.0.1 Pokémon Dex Data'!$S$3:$S951,MATCH($E785,'0.0.1 Pokémon Dex Data'!$B$3:$B951,0))*INDEX('0.0.1 Pokémon Dex Data'!T$3:T951,MATCH($E785,'0.0.1 Pokémon Dex Data'!$B$3:$B951,0)),0)</f>
        <v>164</v>
      </c>
      <c r="K785" s="260" t="n">
        <f aca="false" t="array" ref="K785:K785">ROUND(INDEX('0.0.1 Pokémon Dex Data'!$S$3:$S951,MATCH($E785,'0.0.1 Pokémon Dex Data'!$B$3:$B951,0))*INDEX('0.0.1 Pokémon Dex Data'!U$3:U951,MATCH($E785,'0.0.1 Pokémon Dex Data'!$B$3:$B951,0)),0)</f>
        <v>167</v>
      </c>
      <c r="L785" s="260" t="n">
        <f aca="false" t="array" ref="L785:L785">ROUND(INDEX('0.0.1 Pokémon Dex Data'!$S$3:$S951,MATCH($E785,'0.0.1 Pokémon Dex Data'!$B$3:$B951,0))*INDEX('0.0.1 Pokémon Dex Data'!V$3:V951,MATCH($E785,'0.0.1 Pokémon Dex Data'!$B$3:$B951,0)),0)</f>
        <v>181</v>
      </c>
      <c r="M785" s="260" t="n">
        <f aca="false" t="array" ref="M785:M785">INDEX('0.0.1 Pokémon Dex Data'!$J$3:$J951,MATCH(E785,'0.0.1 Pokémon Dex Data'!$B$3:$B951,0))</f>
        <v>1</v>
      </c>
      <c r="O785" s="490"/>
      <c r="Q785" s="367" t="n">
        <f aca="false">IF('Reverse Search'!$F$4="All (including temporary formes)",1,IF('Reverse Search'!$F$4="Base Pokémon and permanent formes only",IF(F785&lt;=1,1,0),IF(F785=0,1,0)))</f>
        <v>1</v>
      </c>
      <c r="R785" s="0" t="n">
        <f aca="false">IF('Reverse Search'!$C$7="Disable",1,IF('Reverse Search'!$D$9="Disable",1,IF(OR('Reverse Search'!$F$9=H785,'Reverse Search'!$F$9=I785),1,0)))</f>
        <v>1</v>
      </c>
      <c r="S785" s="0" t="n">
        <f aca="false">IF('Reverse Search'!$C$7="Disable",1,IF('Reverse Search'!$D$10="Disable",1,IF(OR('Reverse Search'!$F$10=H785,'Reverse Search'!$F$10=I785),1,0)))</f>
        <v>1</v>
      </c>
      <c r="T785" s="0" t="n">
        <f aca="false">INDEX($B$4:$B$22,MATCH(H785,$A$4:$A$22,0))</f>
        <v>1</v>
      </c>
      <c r="U785" s="0" t="e">
        <f aca="false">IF(ISBLANK(I785),1,INDEX($B$4:$B$22,MATCH(I785,$A$4:$A$22,0)))</f>
        <v>#N/A</v>
      </c>
      <c r="V785" s="367" t="n">
        <f aca="false">IF('Reverse Search'!$C$7="Disable",1,IF('Reverse Search'!$D$11="Disable",1,IF('Reverse Search'!$E$11="Neutral to:",IF(ROUND(T785*U785,2)&lt;=1,1,0),IF(ROUND(T785*U785,2)&lt;1,1,0))))</f>
        <v>1</v>
      </c>
      <c r="W785" s="0" t="n">
        <f aca="false">IF('Reverse Search'!$N$7="Disable",1,IF('Reverse Search'!$I$9="Disable",1,IF('Reverse Search'!$K$9="≥",IF(J785&gt;='Reverse Search'!$L$9,1,0),IF('Reverse Search'!$K$9="≤",IF(J785&lt;='Reverse Search'!$L$9,1,0),IF(J785='Reverse Search'!$L$9,1,0)))))</f>
        <v>1</v>
      </c>
      <c r="X785" s="0" t="n">
        <f aca="false">IF('Reverse Search'!$N$7="Disable",1,IF('Reverse Search'!$I$10="Disable",1,IF('Reverse Search'!$K$10="≥",IF(K785&gt;='Reverse Search'!$L$10,1,0),IF('Reverse Search'!$K$10="≤",IF(K785&lt;='Reverse Search'!$L$10,1,0),IF(K785='Reverse Search'!$L$10,1,0)))))</f>
        <v>1</v>
      </c>
      <c r="Y785" s="367" t="n">
        <f aca="false">IF('Reverse Search'!$N$7="Disable",1,IF('Reverse Search'!$I$11="Disable",1,IF('Reverse Search'!$K$11="≥",IF(L785&gt;='Reverse Search'!$L$11,1,0),IF('Reverse Search'!$K$11="≤",IF(L785&lt;='Reverse Search'!$L$11,1,0),IF(L785='Reverse Search'!$L$11,1,0)))))</f>
        <v>1</v>
      </c>
      <c r="Z785" s="0" t="n">
        <f aca="true">IF('Reverse Search'!$C$14="Disable",1,IF('Reverse Search'!$D$16="Disable",1,IF($C$2=3,IF($M785=0,0,COUNTIF(INDIRECT("'0.0.2 Pokémon Learnset (Core)'!$D$"&amp;MATCH($E785,'0.0.2 Pokémon Learnset (Core)'!$A$1:$A951,0)&amp;":$FK$"&amp;MATCH($E785,'0.0.2 Pokémon Learnset (Core)'!$A$1:$A951,0)),'Reverse Search'!$E$21)),IF($C$2=2,COUNTIF(INDIRECT("'0.1.1 Pokémon GO Moves'!$B$"&amp;MATCH($E785,'0.1.1 Pokémon GO Moves'!$A$1:$A951,0)&amp;":$R$"&amp;MATCH($E785,'0.1.1 Pokémon GO Moves'!$A$1:$A951,0)),'Reverse Search'!$E$21),COUNTIF(INDIRECT("'0.1.1 Pokémon GO Moves'!$B$"&amp;MATCH($E785,'0.1.1 Pokémon GO Moves'!$A$1:$A951,0)&amp;":$L$"&amp;MATCH($E785,'0.1.1 Pokémon GO Moves'!$A$1:$A951,0)),'Reverse Search'!$E$21)))))</f>
        <v>1</v>
      </c>
      <c r="AA785" s="0" t="n">
        <f aca="true">IF('Reverse Search'!$C$14="Disable",1,IF('Reverse Search'!$I$16="Disable",1,IF($D$2=3,IF($M785=0,0,COUNTIF(INDIRECT("'0.0.2 Pokémon Learnset (Core)'!$D$"&amp;MATCH($E785,'0.0.2 Pokémon Learnset (Core)'!$A$1:$A951,0)&amp;":$FK$"&amp;MATCH($E785,'0.0.2 Pokémon Learnset (Core)'!$A$1:$A951,0)),'Reverse Search'!$J$21)),IF($D$2=2,COUNTIF(INDIRECT("'0.1.1 Pokémon GO Moves'!$B$"&amp;MATCH($E785,'0.1.1 Pokémon GO Moves'!$A$1:$A951,0)&amp;":$R$"&amp;MATCH($E785,'0.1.1 Pokémon GO Moves'!$A$1:$A951,0)),'Reverse Search'!$J$21),COUNTIF(INDIRECT("'0.1.1 Pokémon GO Moves'!$B$"&amp;MATCH($E785,'0.1.1 Pokémon GO Moves'!$A$1:$A951,0)&amp;":$L$"&amp;MATCH($E785,'0.1.1 Pokémon GO Moves'!$A$1:$A951,0)),'Reverse Search'!$J$21)))))</f>
        <v>0</v>
      </c>
      <c r="AB785" s="490"/>
      <c r="AC785" s="260" t="n">
        <f aca="false">IF((Q785+R785+S785+V785+W785+X785+Y785+IF(Z785&gt;=1,1,0)+IF(AA785&gt;=1,1,0))=9,G785&amp;", ",)</f>
        <v>0</v>
      </c>
    </row>
    <row r="786" customFormat="false" ht="15.75" hidden="false" customHeight="false" outlineLevel="0" collapsed="false">
      <c r="A786" s="260"/>
      <c r="B786" s="358"/>
      <c r="C786" s="260"/>
      <c r="D786" s="358"/>
      <c r="E786" s="260" t="n">
        <v>785</v>
      </c>
      <c r="F786" s="260" t="n">
        <f aca="false" t="array" ref="F786:F786">INDEX('0.0.1 Pokémon Dex Data'!$H$3:$H951,MATCH(E786,'0.0.1 Pokémon Dex Data'!$B$3:$B951,0))</f>
        <v>0</v>
      </c>
      <c r="G786" s="0" t="str">
        <f aca="false" t="array" ref="G786:G786">INDEX('0.0.1 Pokémon Dex Data'!$E$3:$E951,MATCH(E786,'0.0.1 Pokémon Dex Data'!$B$3:$B951,0))</f>
        <v>Espurr</v>
      </c>
      <c r="H786" s="0" t="str">
        <f aca="false" t="array" ref="H786:H786">INDEX('0.0.1 Pokémon Dex Data'!$Q$3:$Q951,MATCH(E786,'0.0.1 Pokémon Dex Data'!$B$3:$B951,0))</f>
        <v>Psychic</v>
      </c>
      <c r="I786" s="0" t="n">
        <f aca="false">INDEX('0.0.1 Pokémon Dex Data'!$R$3:$R951,MATCH(E786,'0.0.1 Pokémon Dex Data'!$B$3:$B951,0))</f>
        <v>0</v>
      </c>
      <c r="J786" s="260" t="n">
        <f aca="false" t="array" ref="J786:J786">ROUND(INDEX('0.0.1 Pokémon Dex Data'!$S$3:$S951,MATCH($E786,'0.0.1 Pokémon Dex Data'!$B$3:$B951,0))*INDEX('0.0.1 Pokémon Dex Data'!T$3:T951,MATCH($E786,'0.0.1 Pokémon Dex Data'!$B$3:$B951,0)),0)</f>
        <v>120</v>
      </c>
      <c r="K786" s="260" t="n">
        <f aca="false" t="array" ref="K786:K786">ROUND(INDEX('0.0.1 Pokémon Dex Data'!$S$3:$S951,MATCH($E786,'0.0.1 Pokémon Dex Data'!$B$3:$B951,0))*INDEX('0.0.1 Pokémon Dex Data'!U$3:U951,MATCH($E786,'0.0.1 Pokémon Dex Data'!$B$3:$B951,0)),0)</f>
        <v>114</v>
      </c>
      <c r="L786" s="260" t="n">
        <f aca="false" t="array" ref="L786:L786">ROUND(INDEX('0.0.1 Pokémon Dex Data'!$S$3:$S951,MATCH($E786,'0.0.1 Pokémon Dex Data'!$B$3:$B951,0))*INDEX('0.0.1 Pokémon Dex Data'!V$3:V951,MATCH($E786,'0.0.1 Pokémon Dex Data'!$B$3:$B951,0)),0)</f>
        <v>158</v>
      </c>
      <c r="M786" s="260" t="n">
        <f aca="false" t="array" ref="M786:M786">INDEX('0.0.1 Pokémon Dex Data'!$J$3:$J951,MATCH(E786,'0.0.1 Pokémon Dex Data'!$B$3:$B951,0))</f>
        <v>0</v>
      </c>
      <c r="O786" s="490"/>
      <c r="Q786" s="367" t="n">
        <f aca="false">IF('Reverse Search'!$F$4="All (including temporary formes)",1,IF('Reverse Search'!$F$4="Base Pokémon and permanent formes only",IF(F786&lt;=1,1,0),IF(F786=0,1,0)))</f>
        <v>1</v>
      </c>
      <c r="R786" s="0" t="n">
        <f aca="false">IF('Reverse Search'!$C$7="Disable",1,IF('Reverse Search'!$D$9="Disable",1,IF(OR('Reverse Search'!$F$9=H786,'Reverse Search'!$F$9=I786),1,0)))</f>
        <v>1</v>
      </c>
      <c r="S786" s="0" t="n">
        <f aca="false">IF('Reverse Search'!$C$7="Disable",1,IF('Reverse Search'!$D$10="Disable",1,IF(OR('Reverse Search'!$F$10=H786,'Reverse Search'!$F$10=I786),1,0)))</f>
        <v>1</v>
      </c>
      <c r="T786" s="0" t="n">
        <f aca="false">INDEX($B$4:$B$22,MATCH(H786,$A$4:$A$22,0))</f>
        <v>1</v>
      </c>
      <c r="U786" s="0" t="e">
        <f aca="false">IF(ISBLANK(I786),1,INDEX($B$4:$B$22,MATCH(I786,$A$4:$A$22,0)))</f>
        <v>#N/A</v>
      </c>
      <c r="V786" s="367" t="n">
        <f aca="false">IF('Reverse Search'!$C$7="Disable",1,IF('Reverse Search'!$D$11="Disable",1,IF('Reverse Search'!$E$11="Neutral to:",IF(ROUND(T786*U786,2)&lt;=1,1,0),IF(ROUND(T786*U786,2)&lt;1,1,0))))</f>
        <v>1</v>
      </c>
      <c r="W786" s="0" t="n">
        <f aca="false">IF('Reverse Search'!$N$7="Disable",1,IF('Reverse Search'!$I$9="Disable",1,IF('Reverse Search'!$K$9="≥",IF(J786&gt;='Reverse Search'!$L$9,1,0),IF('Reverse Search'!$K$9="≤",IF(J786&lt;='Reverse Search'!$L$9,1,0),IF(J786='Reverse Search'!$L$9,1,0)))))</f>
        <v>1</v>
      </c>
      <c r="X786" s="0" t="n">
        <f aca="false">IF('Reverse Search'!$N$7="Disable",1,IF('Reverse Search'!$I$10="Disable",1,IF('Reverse Search'!$K$10="≥",IF(K786&gt;='Reverse Search'!$L$10,1,0),IF('Reverse Search'!$K$10="≤",IF(K786&lt;='Reverse Search'!$L$10,1,0),IF(K786='Reverse Search'!$L$10,1,0)))))</f>
        <v>1</v>
      </c>
      <c r="Y786" s="367" t="n">
        <f aca="false">IF('Reverse Search'!$N$7="Disable",1,IF('Reverse Search'!$I$11="Disable",1,IF('Reverse Search'!$K$11="≥",IF(L786&gt;='Reverse Search'!$L$11,1,0),IF('Reverse Search'!$K$11="≤",IF(L786&lt;='Reverse Search'!$L$11,1,0),IF(L786='Reverse Search'!$L$11,1,0)))))</f>
        <v>1</v>
      </c>
      <c r="Z786" s="0" t="n">
        <f aca="true">IF('Reverse Search'!$C$14="Disable",1,IF('Reverse Search'!$D$16="Disable",1,IF($C$2=3,IF($M786=0,0,COUNTIF(INDIRECT("'0.0.2 Pokémon Learnset (Core)'!$D$"&amp;MATCH($E786,'0.0.2 Pokémon Learnset (Core)'!$A$1:$A951,0)&amp;":$FK$"&amp;MATCH($E786,'0.0.2 Pokémon Learnset (Core)'!$A$1:$A951,0)),'Reverse Search'!$E$21)),IF($C$2=2,COUNTIF(INDIRECT("'0.1.1 Pokémon GO Moves'!$B$"&amp;MATCH($E786,'0.1.1 Pokémon GO Moves'!$A$1:$A951,0)&amp;":$R$"&amp;MATCH($E786,'0.1.1 Pokémon GO Moves'!$A$1:$A951,0)),'Reverse Search'!$E$21),COUNTIF(INDIRECT("'0.1.1 Pokémon GO Moves'!$B$"&amp;MATCH($E786,'0.1.1 Pokémon GO Moves'!$A$1:$A951,0)&amp;":$L$"&amp;MATCH($E786,'0.1.1 Pokémon GO Moves'!$A$1:$A951,0)),'Reverse Search'!$E$21)))))</f>
        <v>1</v>
      </c>
      <c r="AA786" s="0" t="n">
        <f aca="true">IF('Reverse Search'!$C$14="Disable",1,IF('Reverse Search'!$I$16="Disable",1,IF($D$2=3,IF($M786=0,0,COUNTIF(INDIRECT("'0.0.2 Pokémon Learnset (Core)'!$D$"&amp;MATCH($E786,'0.0.2 Pokémon Learnset (Core)'!$A$1:$A951,0)&amp;":$FK$"&amp;MATCH($E786,'0.0.2 Pokémon Learnset (Core)'!$A$1:$A951,0)),'Reverse Search'!$J$21)),IF($D$2=2,COUNTIF(INDIRECT("'0.1.1 Pokémon GO Moves'!$B$"&amp;MATCH($E786,'0.1.1 Pokémon GO Moves'!$A$1:$A951,0)&amp;":$R$"&amp;MATCH($E786,'0.1.1 Pokémon GO Moves'!$A$1:$A951,0)),'Reverse Search'!$J$21),COUNTIF(INDIRECT("'0.1.1 Pokémon GO Moves'!$B$"&amp;MATCH($E786,'0.1.1 Pokémon GO Moves'!$A$1:$A951,0)&amp;":$L$"&amp;MATCH($E786,'0.1.1 Pokémon GO Moves'!$A$1:$A951,0)),'Reverse Search'!$J$21)))))</f>
        <v>0</v>
      </c>
      <c r="AB786" s="490"/>
      <c r="AC786" s="260" t="n">
        <f aca="false">IF((Q786+R786+S786+V786+W786+X786+Y786+IF(Z786&gt;=1,1,0)+IF(AA786&gt;=1,1,0))=9,G786&amp;", ",)</f>
        <v>0</v>
      </c>
    </row>
    <row r="787" customFormat="false" ht="15.75" hidden="false" customHeight="false" outlineLevel="0" collapsed="false">
      <c r="A787" s="260"/>
      <c r="B787" s="358"/>
      <c r="C787" s="260"/>
      <c r="D787" s="358"/>
      <c r="E787" s="260" t="n">
        <v>786</v>
      </c>
      <c r="F787" s="260" t="n">
        <f aca="false" t="array" ref="F787:F787">INDEX('0.0.1 Pokémon Dex Data'!$H$3:$H951,MATCH(E787,'0.0.1 Pokémon Dex Data'!$B$3:$B951,0))</f>
        <v>0</v>
      </c>
      <c r="G787" s="0" t="str">
        <f aca="false" t="array" ref="G787:G787">INDEX('0.0.1 Pokémon Dex Data'!$E$3:$E951,MATCH(E787,'0.0.1 Pokémon Dex Data'!$B$3:$B951,0))</f>
        <v>Meowstic</v>
      </c>
      <c r="H787" s="0" t="str">
        <f aca="false" t="array" ref="H787:H787">INDEX('0.0.1 Pokémon Dex Data'!$Q$3:$Q951,MATCH(E787,'0.0.1 Pokémon Dex Data'!$B$3:$B951,0))</f>
        <v>Psychic</v>
      </c>
      <c r="I787" s="0" t="n">
        <f aca="false">INDEX('0.0.1 Pokémon Dex Data'!$R$3:$R951,MATCH(E787,'0.0.1 Pokémon Dex Data'!$B$3:$B951,0))</f>
        <v>0</v>
      </c>
      <c r="J787" s="260" t="n">
        <f aca="false" t="array" ref="J787:J787">ROUND(INDEX('0.0.1 Pokémon Dex Data'!$S$3:$S951,MATCH($E787,'0.0.1 Pokémon Dex Data'!$B$3:$B951,0))*INDEX('0.0.1 Pokémon Dex Data'!T$3:T951,MATCH($E787,'0.0.1 Pokémon Dex Data'!$B$3:$B951,0)),0)</f>
        <v>166</v>
      </c>
      <c r="K787" s="260" t="n">
        <f aca="false" t="array" ref="K787:K787">ROUND(INDEX('0.0.1 Pokémon Dex Data'!$S$3:$S951,MATCH($E787,'0.0.1 Pokémon Dex Data'!$B$3:$B951,0))*INDEX('0.0.1 Pokémon Dex Data'!U$3:U951,MATCH($E787,'0.0.1 Pokémon Dex Data'!$B$3:$B951,0)),0)</f>
        <v>167</v>
      </c>
      <c r="L787" s="260" t="n">
        <f aca="false" t="array" ref="L787:L787">ROUND(INDEX('0.0.1 Pokémon Dex Data'!$S$3:$S951,MATCH($E787,'0.0.1 Pokémon Dex Data'!$B$3:$B951,0))*INDEX('0.0.1 Pokémon Dex Data'!V$3:V951,MATCH($E787,'0.0.1 Pokémon Dex Data'!$B$3:$B951,0)),0)</f>
        <v>179</v>
      </c>
      <c r="M787" s="260" t="n">
        <f aca="false" t="array" ref="M787:M787">INDEX('0.0.1 Pokémon Dex Data'!$J$3:$J951,MATCH(E787,'0.0.1 Pokémon Dex Data'!$B$3:$B951,0))</f>
        <v>1</v>
      </c>
      <c r="O787" s="490"/>
      <c r="Q787" s="367" t="n">
        <f aca="false">IF('Reverse Search'!$F$4="All (including temporary formes)",1,IF('Reverse Search'!$F$4="Base Pokémon and permanent formes only",IF(F787&lt;=1,1,0),IF(F787=0,1,0)))</f>
        <v>1</v>
      </c>
      <c r="R787" s="0" t="n">
        <f aca="false">IF('Reverse Search'!$C$7="Disable",1,IF('Reverse Search'!$D$9="Disable",1,IF(OR('Reverse Search'!$F$9=H787,'Reverse Search'!$F$9=I787),1,0)))</f>
        <v>1</v>
      </c>
      <c r="S787" s="0" t="n">
        <f aca="false">IF('Reverse Search'!$C$7="Disable",1,IF('Reverse Search'!$D$10="Disable",1,IF(OR('Reverse Search'!$F$10=H787,'Reverse Search'!$F$10=I787),1,0)))</f>
        <v>1</v>
      </c>
      <c r="T787" s="0" t="n">
        <f aca="false">INDEX($B$4:$B$22,MATCH(H787,$A$4:$A$22,0))</f>
        <v>1</v>
      </c>
      <c r="U787" s="0" t="e">
        <f aca="false">IF(ISBLANK(I787),1,INDEX($B$4:$B$22,MATCH(I787,$A$4:$A$22,0)))</f>
        <v>#N/A</v>
      </c>
      <c r="V787" s="367" t="n">
        <f aca="false">IF('Reverse Search'!$C$7="Disable",1,IF('Reverse Search'!$D$11="Disable",1,IF('Reverse Search'!$E$11="Neutral to:",IF(ROUND(T787*U787,2)&lt;=1,1,0),IF(ROUND(T787*U787,2)&lt;1,1,0))))</f>
        <v>1</v>
      </c>
      <c r="W787" s="0" t="n">
        <f aca="false">IF('Reverse Search'!$N$7="Disable",1,IF('Reverse Search'!$I$9="Disable",1,IF('Reverse Search'!$K$9="≥",IF(J787&gt;='Reverse Search'!$L$9,1,0),IF('Reverse Search'!$K$9="≤",IF(J787&lt;='Reverse Search'!$L$9,1,0),IF(J787='Reverse Search'!$L$9,1,0)))))</f>
        <v>1</v>
      </c>
      <c r="X787" s="0" t="n">
        <f aca="false">IF('Reverse Search'!$N$7="Disable",1,IF('Reverse Search'!$I$10="Disable",1,IF('Reverse Search'!$K$10="≥",IF(K787&gt;='Reverse Search'!$L$10,1,0),IF('Reverse Search'!$K$10="≤",IF(K787&lt;='Reverse Search'!$L$10,1,0),IF(K787='Reverse Search'!$L$10,1,0)))))</f>
        <v>1</v>
      </c>
      <c r="Y787" s="367" t="n">
        <f aca="false">IF('Reverse Search'!$N$7="Disable",1,IF('Reverse Search'!$I$11="Disable",1,IF('Reverse Search'!$K$11="≥",IF(L787&gt;='Reverse Search'!$L$11,1,0),IF('Reverse Search'!$K$11="≤",IF(L787&lt;='Reverse Search'!$L$11,1,0),IF(L787='Reverse Search'!$L$11,1,0)))))</f>
        <v>1</v>
      </c>
      <c r="Z787" s="0" t="n">
        <f aca="true">IF('Reverse Search'!$C$14="Disable",1,IF('Reverse Search'!$D$16="Disable",1,IF($C$2=3,IF($M787=0,0,COUNTIF(INDIRECT("'0.0.2 Pokémon Learnset (Core)'!$D$"&amp;MATCH($E787,'0.0.2 Pokémon Learnset (Core)'!$A$1:$A951,0)&amp;":$FK$"&amp;MATCH($E787,'0.0.2 Pokémon Learnset (Core)'!$A$1:$A951,0)),'Reverse Search'!$E$21)),IF($C$2=2,COUNTIF(INDIRECT("'0.1.1 Pokémon GO Moves'!$B$"&amp;MATCH($E787,'0.1.1 Pokémon GO Moves'!$A$1:$A951,0)&amp;":$R$"&amp;MATCH($E787,'0.1.1 Pokémon GO Moves'!$A$1:$A951,0)),'Reverse Search'!$E$21),COUNTIF(INDIRECT("'0.1.1 Pokémon GO Moves'!$B$"&amp;MATCH($E787,'0.1.1 Pokémon GO Moves'!$A$1:$A951,0)&amp;":$L$"&amp;MATCH($E787,'0.1.1 Pokémon GO Moves'!$A$1:$A951,0)),'Reverse Search'!$E$21)))))</f>
        <v>1</v>
      </c>
      <c r="AA787" s="0" t="n">
        <f aca="true">IF('Reverse Search'!$C$14="Disable",1,IF('Reverse Search'!$I$16="Disable",1,IF($D$2=3,IF($M787=0,0,COUNTIF(INDIRECT("'0.0.2 Pokémon Learnset (Core)'!$D$"&amp;MATCH($E787,'0.0.2 Pokémon Learnset (Core)'!$A$1:$A951,0)&amp;":$FK$"&amp;MATCH($E787,'0.0.2 Pokémon Learnset (Core)'!$A$1:$A951,0)),'Reverse Search'!$J$21)),IF($D$2=2,COUNTIF(INDIRECT("'0.1.1 Pokémon GO Moves'!$B$"&amp;MATCH($E787,'0.1.1 Pokémon GO Moves'!$A$1:$A951,0)&amp;":$R$"&amp;MATCH($E787,'0.1.1 Pokémon GO Moves'!$A$1:$A951,0)),'Reverse Search'!$J$21),COUNTIF(INDIRECT("'0.1.1 Pokémon GO Moves'!$B$"&amp;MATCH($E787,'0.1.1 Pokémon GO Moves'!$A$1:$A951,0)&amp;":$L$"&amp;MATCH($E787,'0.1.1 Pokémon GO Moves'!$A$1:$A951,0)),'Reverse Search'!$J$21)))))</f>
        <v>0</v>
      </c>
      <c r="AB787" s="490"/>
      <c r="AC787" s="260" t="n">
        <f aca="false">IF((Q787+R787+S787+V787+W787+X787+Y787+IF(Z787&gt;=1,1,0)+IF(AA787&gt;=1,1,0))=9,G787&amp;", ",)</f>
        <v>0</v>
      </c>
    </row>
    <row r="788" customFormat="false" ht="15.75" hidden="false" customHeight="false" outlineLevel="0" collapsed="false">
      <c r="A788" s="260"/>
      <c r="B788" s="358"/>
      <c r="C788" s="260"/>
      <c r="D788" s="358"/>
      <c r="E788" s="260" t="n">
        <v>787</v>
      </c>
      <c r="F788" s="260" t="n">
        <f aca="false" t="array" ref="F788:F788">INDEX('0.0.1 Pokémon Dex Data'!$H$3:$H951,MATCH(E788,'0.0.1 Pokémon Dex Data'!$B$3:$B951,0))</f>
        <v>0</v>
      </c>
      <c r="G788" s="0" t="str">
        <f aca="false" t="array" ref="G788:G788">INDEX('0.0.1 Pokémon Dex Data'!$E$3:$E951,MATCH(E788,'0.0.1 Pokémon Dex Data'!$B$3:$B951,0))</f>
        <v>Honedge</v>
      </c>
      <c r="H788" s="0" t="str">
        <f aca="false" t="array" ref="H788:H788">INDEX('0.0.1 Pokémon Dex Data'!$Q$3:$Q951,MATCH(E788,'0.0.1 Pokémon Dex Data'!$B$3:$B951,0))</f>
        <v>Steel</v>
      </c>
      <c r="I788" s="0" t="str">
        <f aca="false" t="array" ref="I788:I788">INDEX('0.0.1 Pokémon Dex Data'!$R$3:$R951,MATCH(E788,'0.0.1 Pokémon Dex Data'!$B$3:$B951,0))</f>
        <v>Ghost</v>
      </c>
      <c r="J788" s="260" t="n">
        <f aca="false" t="array" ref="J788:J788">ROUND(INDEX('0.0.1 Pokémon Dex Data'!$S$3:$S951,MATCH($E788,'0.0.1 Pokémon Dex Data'!$B$3:$B951,0))*INDEX('0.0.1 Pokémon Dex Data'!T$3:T951,MATCH($E788,'0.0.1 Pokémon Dex Data'!$B$3:$B951,0)),0)</f>
        <v>135</v>
      </c>
      <c r="K788" s="260" t="n">
        <f aca="false" t="array" ref="K788:K788">ROUND(INDEX('0.0.1 Pokémon Dex Data'!$S$3:$S951,MATCH($E788,'0.0.1 Pokémon Dex Data'!$B$3:$B951,0))*INDEX('0.0.1 Pokémon Dex Data'!U$3:U951,MATCH($E788,'0.0.1 Pokémon Dex Data'!$B$3:$B951,0)),0)</f>
        <v>139</v>
      </c>
      <c r="L788" s="260" t="n">
        <f aca="false" t="array" ref="L788:L788">ROUND(INDEX('0.0.1 Pokémon Dex Data'!$S$3:$S951,MATCH($E788,'0.0.1 Pokémon Dex Data'!$B$3:$B951,0))*INDEX('0.0.1 Pokémon Dex Data'!V$3:V951,MATCH($E788,'0.0.1 Pokémon Dex Data'!$B$3:$B951,0)),0)</f>
        <v>128</v>
      </c>
      <c r="M788" s="260" t="n">
        <f aca="false" t="array" ref="M788:M788">INDEX('0.0.1 Pokémon Dex Data'!$J$3:$J951,MATCH(E788,'0.0.1 Pokémon Dex Data'!$B$3:$B951,0))</f>
        <v>0</v>
      </c>
      <c r="O788" s="490"/>
      <c r="Q788" s="367" t="n">
        <f aca="false">IF('Reverse Search'!$F$4="All (including temporary formes)",1,IF('Reverse Search'!$F$4="Base Pokémon and permanent formes only",IF(F788&lt;=1,1,0),IF(F788=0,1,0)))</f>
        <v>1</v>
      </c>
      <c r="R788" s="0" t="n">
        <f aca="false">IF('Reverse Search'!$C$7="Disable",1,IF('Reverse Search'!$D$9="Disable",1,IF(OR('Reverse Search'!$F$9=H788,'Reverse Search'!$F$9=I788),1,0)))</f>
        <v>1</v>
      </c>
      <c r="S788" s="0" t="n">
        <f aca="false">IF('Reverse Search'!$C$7="Disable",1,IF('Reverse Search'!$D$10="Disable",1,IF(OR('Reverse Search'!$F$10=H788,'Reverse Search'!$F$10=I788),1,0)))</f>
        <v>1</v>
      </c>
      <c r="T788" s="0" t="n">
        <f aca="false">INDEX($B$4:$B$22,MATCH(H788,$A$4:$A$22,0))</f>
        <v>0.714</v>
      </c>
      <c r="U788" s="0" t="n">
        <f aca="false">IF(ISBLANK(I788),1,INDEX($B$4:$B$22,MATCH(I788,$A$4:$A$22,0)))</f>
        <v>0.51</v>
      </c>
      <c r="V788" s="367" t="n">
        <f aca="false">IF('Reverse Search'!$C$7="Disable",1,IF('Reverse Search'!$D$11="Disable",1,IF('Reverse Search'!$E$11="Neutral to:",IF(ROUND(T788*U788,2)&lt;=1,1,0),IF(ROUND(T788*U788,2)&lt;1,1,0))))</f>
        <v>1</v>
      </c>
      <c r="W788" s="0" t="n">
        <f aca="false">IF('Reverse Search'!$N$7="Disable",1,IF('Reverse Search'!$I$9="Disable",1,IF('Reverse Search'!$K$9="≥",IF(J788&gt;='Reverse Search'!$L$9,1,0),IF('Reverse Search'!$K$9="≤",IF(J788&lt;='Reverse Search'!$L$9,1,0),IF(J788='Reverse Search'!$L$9,1,0)))))</f>
        <v>1</v>
      </c>
      <c r="X788" s="0" t="n">
        <f aca="false">IF('Reverse Search'!$N$7="Disable",1,IF('Reverse Search'!$I$10="Disable",1,IF('Reverse Search'!$K$10="≥",IF(K788&gt;='Reverse Search'!$L$10,1,0),IF('Reverse Search'!$K$10="≤",IF(K788&lt;='Reverse Search'!$L$10,1,0),IF(K788='Reverse Search'!$L$10,1,0)))))</f>
        <v>1</v>
      </c>
      <c r="Y788" s="367" t="n">
        <f aca="false">IF('Reverse Search'!$N$7="Disable",1,IF('Reverse Search'!$I$11="Disable",1,IF('Reverse Search'!$K$11="≥",IF(L788&gt;='Reverse Search'!$L$11,1,0),IF('Reverse Search'!$K$11="≤",IF(L788&lt;='Reverse Search'!$L$11,1,0),IF(L788='Reverse Search'!$L$11,1,0)))))</f>
        <v>1</v>
      </c>
      <c r="Z788" s="0" t="n">
        <f aca="true">IF('Reverse Search'!$C$14="Disable",1,IF('Reverse Search'!$D$16="Disable",1,IF($C$2=3,IF($M788=0,0,COUNTIF(INDIRECT("'0.0.2 Pokémon Learnset (Core)'!$D$"&amp;MATCH($E788,'0.0.2 Pokémon Learnset (Core)'!$A$1:$A951,0)&amp;":$FK$"&amp;MATCH($E788,'0.0.2 Pokémon Learnset (Core)'!$A$1:$A951,0)),'Reverse Search'!$E$21)),IF($C$2=2,COUNTIF(INDIRECT("'0.1.1 Pokémon GO Moves'!$B$"&amp;MATCH($E788,'0.1.1 Pokémon GO Moves'!$A$1:$A951,0)&amp;":$R$"&amp;MATCH($E788,'0.1.1 Pokémon GO Moves'!$A$1:$A951,0)),'Reverse Search'!$E$21),COUNTIF(INDIRECT("'0.1.1 Pokémon GO Moves'!$B$"&amp;MATCH($E788,'0.1.1 Pokémon GO Moves'!$A$1:$A951,0)&amp;":$L$"&amp;MATCH($E788,'0.1.1 Pokémon GO Moves'!$A$1:$A951,0)),'Reverse Search'!$E$21)))))</f>
        <v>1</v>
      </c>
      <c r="AA788" s="0" t="n">
        <f aca="true">IF('Reverse Search'!$C$14="Disable",1,IF('Reverse Search'!$I$16="Disable",1,IF($D$2=3,IF($M788=0,0,COUNTIF(INDIRECT("'0.0.2 Pokémon Learnset (Core)'!$D$"&amp;MATCH($E788,'0.0.2 Pokémon Learnset (Core)'!$A$1:$A951,0)&amp;":$FK$"&amp;MATCH($E788,'0.0.2 Pokémon Learnset (Core)'!$A$1:$A951,0)),'Reverse Search'!$J$21)),IF($D$2=2,COUNTIF(INDIRECT("'0.1.1 Pokémon GO Moves'!$B$"&amp;MATCH($E788,'0.1.1 Pokémon GO Moves'!$A$1:$A951,0)&amp;":$R$"&amp;MATCH($E788,'0.1.1 Pokémon GO Moves'!$A$1:$A951,0)),'Reverse Search'!$J$21),COUNTIF(INDIRECT("'0.1.1 Pokémon GO Moves'!$B$"&amp;MATCH($E788,'0.1.1 Pokémon GO Moves'!$A$1:$A951,0)&amp;":$L$"&amp;MATCH($E788,'0.1.1 Pokémon GO Moves'!$A$1:$A951,0)),'Reverse Search'!$J$21)))))</f>
        <v>0</v>
      </c>
      <c r="AB788" s="490"/>
      <c r="AC788" s="260" t="n">
        <f aca="false">IF((Q788+R788+S788+V788+W788+X788+Y788+IF(Z788&gt;=1,1,0)+IF(AA788&gt;=1,1,0))=9,G788&amp;", ",)</f>
        <v>0</v>
      </c>
    </row>
    <row r="789" customFormat="false" ht="15.75" hidden="false" customHeight="false" outlineLevel="0" collapsed="false">
      <c r="A789" s="260"/>
      <c r="B789" s="358"/>
      <c r="C789" s="260"/>
      <c r="D789" s="358"/>
      <c r="E789" s="260" t="n">
        <v>788</v>
      </c>
      <c r="F789" s="260" t="n">
        <f aca="false" t="array" ref="F789:F789">INDEX('0.0.1 Pokémon Dex Data'!$H$3:$H951,MATCH(E789,'0.0.1 Pokémon Dex Data'!$B$3:$B951,0))</f>
        <v>0</v>
      </c>
      <c r="G789" s="0" t="str">
        <f aca="false" t="array" ref="G789:G789">INDEX('0.0.1 Pokémon Dex Data'!$E$3:$E951,MATCH(E789,'0.0.1 Pokémon Dex Data'!$B$3:$B951,0))</f>
        <v>Doublade</v>
      </c>
      <c r="H789" s="0" t="str">
        <f aca="false" t="array" ref="H789:H789">INDEX('0.0.1 Pokémon Dex Data'!$Q$3:$Q951,MATCH(E789,'0.0.1 Pokémon Dex Data'!$B$3:$B951,0))</f>
        <v>Steel</v>
      </c>
      <c r="I789" s="0" t="str">
        <f aca="false" t="array" ref="I789:I789">INDEX('0.0.1 Pokémon Dex Data'!$R$3:$R951,MATCH(E789,'0.0.1 Pokémon Dex Data'!$B$3:$B951,0))</f>
        <v>Ghost</v>
      </c>
      <c r="J789" s="260" t="n">
        <f aca="false" t="array" ref="J789:J789">ROUND(INDEX('0.0.1 Pokémon Dex Data'!$S$3:$S951,MATCH($E789,'0.0.1 Pokémon Dex Data'!$B$3:$B951,0))*INDEX('0.0.1 Pokémon Dex Data'!T$3:T951,MATCH($E789,'0.0.1 Pokémon Dex Data'!$B$3:$B951,0)),0)</f>
        <v>188</v>
      </c>
      <c r="K789" s="260" t="n">
        <f aca="false" t="array" ref="K789:K789">ROUND(INDEX('0.0.1 Pokémon Dex Data'!$S$3:$S951,MATCH($E789,'0.0.1 Pokémon Dex Data'!$B$3:$B951,0))*INDEX('0.0.1 Pokémon Dex Data'!U$3:U951,MATCH($E789,'0.0.1 Pokémon Dex Data'!$B$3:$B951,0)),0)</f>
        <v>206</v>
      </c>
      <c r="L789" s="260" t="n">
        <f aca="false" t="array" ref="L789:L789">ROUND(INDEX('0.0.1 Pokémon Dex Data'!$S$3:$S951,MATCH($E789,'0.0.1 Pokémon Dex Data'!$B$3:$B951,0))*INDEX('0.0.1 Pokémon Dex Data'!V$3:V951,MATCH($E789,'0.0.1 Pokémon Dex Data'!$B$3:$B951,0)),0)</f>
        <v>153</v>
      </c>
      <c r="M789" s="260" t="n">
        <f aca="false" t="array" ref="M789:M789">INDEX('0.0.1 Pokémon Dex Data'!$J$3:$J951,MATCH(E789,'0.0.1 Pokémon Dex Data'!$B$3:$B951,0))</f>
        <v>0</v>
      </c>
      <c r="O789" s="490"/>
      <c r="Q789" s="367" t="n">
        <f aca="false">IF('Reverse Search'!$F$4="All (including temporary formes)",1,IF('Reverse Search'!$F$4="Base Pokémon and permanent formes only",IF(F789&lt;=1,1,0),IF(F789=0,1,0)))</f>
        <v>1</v>
      </c>
      <c r="R789" s="0" t="n">
        <f aca="false">IF('Reverse Search'!$C$7="Disable",1,IF('Reverse Search'!$D$9="Disable",1,IF(OR('Reverse Search'!$F$9=H789,'Reverse Search'!$F$9=I789),1,0)))</f>
        <v>1</v>
      </c>
      <c r="S789" s="0" t="n">
        <f aca="false">IF('Reverse Search'!$C$7="Disable",1,IF('Reverse Search'!$D$10="Disable",1,IF(OR('Reverse Search'!$F$10=H789,'Reverse Search'!$F$10=I789),1,0)))</f>
        <v>1</v>
      </c>
      <c r="T789" s="0" t="n">
        <f aca="false">INDEX($B$4:$B$22,MATCH(H789,$A$4:$A$22,0))</f>
        <v>0.714</v>
      </c>
      <c r="U789" s="0" t="n">
        <f aca="false">IF(ISBLANK(I789),1,INDEX($B$4:$B$22,MATCH(I789,$A$4:$A$22,0)))</f>
        <v>0.51</v>
      </c>
      <c r="V789" s="367" t="n">
        <f aca="false">IF('Reverse Search'!$C$7="Disable",1,IF('Reverse Search'!$D$11="Disable",1,IF('Reverse Search'!$E$11="Neutral to:",IF(ROUND(T789*U789,2)&lt;=1,1,0),IF(ROUND(T789*U789,2)&lt;1,1,0))))</f>
        <v>1</v>
      </c>
      <c r="W789" s="0" t="n">
        <f aca="false">IF('Reverse Search'!$N$7="Disable",1,IF('Reverse Search'!$I$9="Disable",1,IF('Reverse Search'!$K$9="≥",IF(J789&gt;='Reverse Search'!$L$9,1,0),IF('Reverse Search'!$K$9="≤",IF(J789&lt;='Reverse Search'!$L$9,1,0),IF(J789='Reverse Search'!$L$9,1,0)))))</f>
        <v>1</v>
      </c>
      <c r="X789" s="0" t="n">
        <f aca="false">IF('Reverse Search'!$N$7="Disable",1,IF('Reverse Search'!$I$10="Disable",1,IF('Reverse Search'!$K$10="≥",IF(K789&gt;='Reverse Search'!$L$10,1,0),IF('Reverse Search'!$K$10="≤",IF(K789&lt;='Reverse Search'!$L$10,1,0),IF(K789='Reverse Search'!$L$10,1,0)))))</f>
        <v>1</v>
      </c>
      <c r="Y789" s="367" t="n">
        <f aca="false">IF('Reverse Search'!$N$7="Disable",1,IF('Reverse Search'!$I$11="Disable",1,IF('Reverse Search'!$K$11="≥",IF(L789&gt;='Reverse Search'!$L$11,1,0),IF('Reverse Search'!$K$11="≤",IF(L789&lt;='Reverse Search'!$L$11,1,0),IF(L789='Reverse Search'!$L$11,1,0)))))</f>
        <v>1</v>
      </c>
      <c r="Z789" s="0" t="n">
        <f aca="true">IF('Reverse Search'!$C$14="Disable",1,IF('Reverse Search'!$D$16="Disable",1,IF($C$2=3,IF($M789=0,0,COUNTIF(INDIRECT("'0.0.2 Pokémon Learnset (Core)'!$D$"&amp;MATCH($E789,'0.0.2 Pokémon Learnset (Core)'!$A$1:$A951,0)&amp;":$FK$"&amp;MATCH($E789,'0.0.2 Pokémon Learnset (Core)'!$A$1:$A951,0)),'Reverse Search'!$E$21)),IF($C$2=2,COUNTIF(INDIRECT("'0.1.1 Pokémon GO Moves'!$B$"&amp;MATCH($E789,'0.1.1 Pokémon GO Moves'!$A$1:$A951,0)&amp;":$R$"&amp;MATCH($E789,'0.1.1 Pokémon GO Moves'!$A$1:$A951,0)),'Reverse Search'!$E$21),COUNTIF(INDIRECT("'0.1.1 Pokémon GO Moves'!$B$"&amp;MATCH($E789,'0.1.1 Pokémon GO Moves'!$A$1:$A951,0)&amp;":$L$"&amp;MATCH($E789,'0.1.1 Pokémon GO Moves'!$A$1:$A951,0)),'Reverse Search'!$E$21)))))</f>
        <v>1</v>
      </c>
      <c r="AA789" s="0" t="n">
        <f aca="true">IF('Reverse Search'!$C$14="Disable",1,IF('Reverse Search'!$I$16="Disable",1,IF($D$2=3,IF($M789=0,0,COUNTIF(INDIRECT("'0.0.2 Pokémon Learnset (Core)'!$D$"&amp;MATCH($E789,'0.0.2 Pokémon Learnset (Core)'!$A$1:$A951,0)&amp;":$FK$"&amp;MATCH($E789,'0.0.2 Pokémon Learnset (Core)'!$A$1:$A951,0)),'Reverse Search'!$J$21)),IF($D$2=2,COUNTIF(INDIRECT("'0.1.1 Pokémon GO Moves'!$B$"&amp;MATCH($E789,'0.1.1 Pokémon GO Moves'!$A$1:$A951,0)&amp;":$R$"&amp;MATCH($E789,'0.1.1 Pokémon GO Moves'!$A$1:$A951,0)),'Reverse Search'!$J$21),COUNTIF(INDIRECT("'0.1.1 Pokémon GO Moves'!$B$"&amp;MATCH($E789,'0.1.1 Pokémon GO Moves'!$A$1:$A951,0)&amp;":$L$"&amp;MATCH($E789,'0.1.1 Pokémon GO Moves'!$A$1:$A951,0)),'Reverse Search'!$J$21)))))</f>
        <v>0</v>
      </c>
      <c r="AB789" s="490"/>
      <c r="AC789" s="260" t="n">
        <f aca="false">IF((Q789+R789+S789+V789+W789+X789+Y789+IF(Z789&gt;=1,1,0)+IF(AA789&gt;=1,1,0))=9,G789&amp;", ",)</f>
        <v>0</v>
      </c>
    </row>
    <row r="790" customFormat="false" ht="15.75" hidden="false" customHeight="false" outlineLevel="0" collapsed="false">
      <c r="A790" s="260"/>
      <c r="B790" s="358"/>
      <c r="C790" s="260"/>
      <c r="D790" s="358"/>
      <c r="E790" s="260" t="n">
        <v>789</v>
      </c>
      <c r="F790" s="260" t="n">
        <f aca="false" t="array" ref="F790:F790">INDEX('0.0.1 Pokémon Dex Data'!$H$3:$H951,MATCH(E790,'0.0.1 Pokémon Dex Data'!$B$3:$B951,0))</f>
        <v>0</v>
      </c>
      <c r="G790" s="0" t="str">
        <f aca="false" t="array" ref="G790:G790">INDEX('0.0.1 Pokémon Dex Data'!$E$3:$E951,MATCH(E790,'0.0.1 Pokémon Dex Data'!$B$3:$B951,0))</f>
        <v>Aegislash</v>
      </c>
      <c r="H790" s="0" t="str">
        <f aca="false" t="array" ref="H790:H790">INDEX('0.0.1 Pokémon Dex Data'!$Q$3:$Q951,MATCH(E790,'0.0.1 Pokémon Dex Data'!$B$3:$B951,0))</f>
        <v>Steel</v>
      </c>
      <c r="I790" s="0" t="str">
        <f aca="false" t="array" ref="I790:I790">INDEX('0.0.1 Pokémon Dex Data'!$R$3:$R951,MATCH(E790,'0.0.1 Pokémon Dex Data'!$B$3:$B951,0))</f>
        <v>Ghost</v>
      </c>
      <c r="J790" s="260" t="n">
        <f aca="false" t="array" ref="J790:J790">ROUND(INDEX('0.0.1 Pokémon Dex Data'!$S$3:$S951,MATCH($E790,'0.0.1 Pokémon Dex Data'!$B$3:$B951,0))*INDEX('0.0.1 Pokémon Dex Data'!T$3:T951,MATCH($E790,'0.0.1 Pokémon Dex Data'!$B$3:$B951,0)),0)</f>
        <v>97</v>
      </c>
      <c r="K790" s="260" t="n">
        <f aca="false" t="array" ref="K790:K790">ROUND(INDEX('0.0.1 Pokémon Dex Data'!$S$3:$S951,MATCH($E790,'0.0.1 Pokémon Dex Data'!$B$3:$B951,0))*INDEX('0.0.1 Pokémon Dex Data'!U$3:U951,MATCH($E790,'0.0.1 Pokémon Dex Data'!$B$3:$B951,0)),0)</f>
        <v>291</v>
      </c>
      <c r="L790" s="260" t="n">
        <f aca="false" t="array" ref="L790:L790">ROUND(INDEX('0.0.1 Pokémon Dex Data'!$S$3:$S951,MATCH($E790,'0.0.1 Pokémon Dex Data'!$B$3:$B951,0))*INDEX('0.0.1 Pokémon Dex Data'!V$3:V951,MATCH($E790,'0.0.1 Pokémon Dex Data'!$B$3:$B951,0)),0)</f>
        <v>155</v>
      </c>
      <c r="M790" s="260" t="n">
        <f aca="false" t="array" ref="M790:M790">INDEX('0.0.1 Pokémon Dex Data'!$J$3:$J951,MATCH(E790,'0.0.1 Pokémon Dex Data'!$B$3:$B951,0))</f>
        <v>1</v>
      </c>
      <c r="O790" s="490"/>
      <c r="Q790" s="367" t="n">
        <f aca="false">IF('Reverse Search'!$F$4="All (including temporary formes)",1,IF('Reverse Search'!$F$4="Base Pokémon and permanent formes only",IF(F790&lt;=1,1,0),IF(F790=0,1,0)))</f>
        <v>1</v>
      </c>
      <c r="R790" s="0" t="n">
        <f aca="false">IF('Reverse Search'!$C$7="Disable",1,IF('Reverse Search'!$D$9="Disable",1,IF(OR('Reverse Search'!$F$9=H790,'Reverse Search'!$F$9=I790),1,0)))</f>
        <v>1</v>
      </c>
      <c r="S790" s="0" t="n">
        <f aca="false">IF('Reverse Search'!$C$7="Disable",1,IF('Reverse Search'!$D$10="Disable",1,IF(OR('Reverse Search'!$F$10=H790,'Reverse Search'!$F$10=I790),1,0)))</f>
        <v>1</v>
      </c>
      <c r="T790" s="0" t="n">
        <f aca="false">INDEX($B$4:$B$22,MATCH(H790,$A$4:$A$22,0))</f>
        <v>0.714</v>
      </c>
      <c r="U790" s="0" t="n">
        <f aca="false">IF(ISBLANK(I790),1,INDEX($B$4:$B$22,MATCH(I790,$A$4:$A$22,0)))</f>
        <v>0.51</v>
      </c>
      <c r="V790" s="367" t="n">
        <f aca="false">IF('Reverse Search'!$C$7="Disable",1,IF('Reverse Search'!$D$11="Disable",1,IF('Reverse Search'!$E$11="Neutral to:",IF(ROUND(T790*U790,2)&lt;=1,1,0),IF(ROUND(T790*U790,2)&lt;1,1,0))))</f>
        <v>1</v>
      </c>
      <c r="W790" s="0" t="n">
        <f aca="false">IF('Reverse Search'!$N$7="Disable",1,IF('Reverse Search'!$I$9="Disable",1,IF('Reverse Search'!$K$9="≥",IF(J790&gt;='Reverse Search'!$L$9,1,0),IF('Reverse Search'!$K$9="≤",IF(J790&lt;='Reverse Search'!$L$9,1,0),IF(J790='Reverse Search'!$L$9,1,0)))))</f>
        <v>1</v>
      </c>
      <c r="X790" s="0" t="n">
        <f aca="false">IF('Reverse Search'!$N$7="Disable",1,IF('Reverse Search'!$I$10="Disable",1,IF('Reverse Search'!$K$10="≥",IF(K790&gt;='Reverse Search'!$L$10,1,0),IF('Reverse Search'!$K$10="≤",IF(K790&lt;='Reverse Search'!$L$10,1,0),IF(K790='Reverse Search'!$L$10,1,0)))))</f>
        <v>1</v>
      </c>
      <c r="Y790" s="367" t="n">
        <f aca="false">IF('Reverse Search'!$N$7="Disable",1,IF('Reverse Search'!$I$11="Disable",1,IF('Reverse Search'!$K$11="≥",IF(L790&gt;='Reverse Search'!$L$11,1,0),IF('Reverse Search'!$K$11="≤",IF(L790&lt;='Reverse Search'!$L$11,1,0),IF(L790='Reverse Search'!$L$11,1,0)))))</f>
        <v>1</v>
      </c>
      <c r="Z790" s="0" t="n">
        <f aca="true">IF('Reverse Search'!$C$14="Disable",1,IF('Reverse Search'!$D$16="Disable",1,IF($C$2=3,IF($M790=0,0,COUNTIF(INDIRECT("'0.0.2 Pokémon Learnset (Core)'!$D$"&amp;MATCH($E790,'0.0.2 Pokémon Learnset (Core)'!$A$1:$A951,0)&amp;":$FK$"&amp;MATCH($E790,'0.0.2 Pokémon Learnset (Core)'!$A$1:$A951,0)),'Reverse Search'!$E$21)),IF($C$2=2,COUNTIF(INDIRECT("'0.1.1 Pokémon GO Moves'!$B$"&amp;MATCH($E790,'0.1.1 Pokémon GO Moves'!$A$1:$A951,0)&amp;":$R$"&amp;MATCH($E790,'0.1.1 Pokémon GO Moves'!$A$1:$A951,0)),'Reverse Search'!$E$21),COUNTIF(INDIRECT("'0.1.1 Pokémon GO Moves'!$B$"&amp;MATCH($E790,'0.1.1 Pokémon GO Moves'!$A$1:$A951,0)&amp;":$L$"&amp;MATCH($E790,'0.1.1 Pokémon GO Moves'!$A$1:$A951,0)),'Reverse Search'!$E$21)))))</f>
        <v>1</v>
      </c>
      <c r="AA790" s="0" t="n">
        <f aca="true">IF('Reverse Search'!$C$14="Disable",1,IF('Reverse Search'!$I$16="Disable",1,IF($D$2=3,IF($M790=0,0,COUNTIF(INDIRECT("'0.0.2 Pokémon Learnset (Core)'!$D$"&amp;MATCH($E790,'0.0.2 Pokémon Learnset (Core)'!$A$1:$A951,0)&amp;":$FK$"&amp;MATCH($E790,'0.0.2 Pokémon Learnset (Core)'!$A$1:$A951,0)),'Reverse Search'!$J$21)),IF($D$2=2,COUNTIF(INDIRECT("'0.1.1 Pokémon GO Moves'!$B$"&amp;MATCH($E790,'0.1.1 Pokémon GO Moves'!$A$1:$A951,0)&amp;":$R$"&amp;MATCH($E790,'0.1.1 Pokémon GO Moves'!$A$1:$A951,0)),'Reverse Search'!$J$21),COUNTIF(INDIRECT("'0.1.1 Pokémon GO Moves'!$B$"&amp;MATCH($E790,'0.1.1 Pokémon GO Moves'!$A$1:$A951,0)&amp;":$L$"&amp;MATCH($E790,'0.1.1 Pokémon GO Moves'!$A$1:$A951,0)),'Reverse Search'!$J$21)))))</f>
        <v>0</v>
      </c>
      <c r="AB790" s="490"/>
      <c r="AC790" s="260" t="n">
        <f aca="false">IF((Q790+R790+S790+V790+W790+X790+Y790+IF(Z790&gt;=1,1,0)+IF(AA790&gt;=1,1,0))=9,G790&amp;", ",)</f>
        <v>0</v>
      </c>
    </row>
    <row r="791" customFormat="false" ht="15.75" hidden="false" customHeight="false" outlineLevel="0" collapsed="false">
      <c r="A791" s="260"/>
      <c r="B791" s="358"/>
      <c r="C791" s="260"/>
      <c r="D791" s="358"/>
      <c r="E791" s="260" t="n">
        <v>790</v>
      </c>
      <c r="F791" s="260" t="n">
        <f aca="false" t="array" ref="F791:F791">INDEX('0.0.1 Pokémon Dex Data'!$H$3:$H951,MATCH(E791,'0.0.1 Pokémon Dex Data'!$B$3:$B951,0))</f>
        <v>2</v>
      </c>
      <c r="G791" s="0" t="str">
        <f aca="false" t="array" ref="G791:G791">INDEX('0.0.1 Pokémon Dex Data'!$E$3:$E951,MATCH(E791,'0.0.1 Pokémon Dex Data'!$B$3:$B951,0))</f>
        <v>Aegislash-Blade</v>
      </c>
      <c r="H791" s="0" t="str">
        <f aca="false" t="array" ref="H791:H791">INDEX('0.0.1 Pokémon Dex Data'!$Q$3:$Q951,MATCH(E791,'0.0.1 Pokémon Dex Data'!$B$3:$B951,0))</f>
        <v>Steel</v>
      </c>
      <c r="I791" s="0" t="str">
        <f aca="false" t="array" ref="I791:I791">INDEX('0.0.1 Pokémon Dex Data'!$R$3:$R951,MATCH(E791,'0.0.1 Pokémon Dex Data'!$B$3:$B951,0))</f>
        <v>Ghost</v>
      </c>
      <c r="J791" s="260" t="n">
        <f aca="false" t="array" ref="J791:J791">ROUND(INDEX('0.0.1 Pokémon Dex Data'!$S$3:$S951,MATCH($E791,'0.0.1 Pokémon Dex Data'!$B$3:$B951,0))*INDEX('0.0.1 Pokémon Dex Data'!T$3:T951,MATCH($E791,'0.0.1 Pokémon Dex Data'!$B$3:$B951,0)),0)</f>
        <v>291</v>
      </c>
      <c r="K791" s="260" t="n">
        <f aca="false" t="array" ref="K791:K791">ROUND(INDEX('0.0.1 Pokémon Dex Data'!$S$3:$S951,MATCH($E791,'0.0.1 Pokémon Dex Data'!$B$3:$B951,0))*INDEX('0.0.1 Pokémon Dex Data'!U$3:U951,MATCH($E791,'0.0.1 Pokémon Dex Data'!$B$3:$B951,0)),0)</f>
        <v>97</v>
      </c>
      <c r="L791" s="260" t="n">
        <f aca="false" t="array" ref="L791:L791">ROUND(INDEX('0.0.1 Pokémon Dex Data'!$S$3:$S951,MATCH($E791,'0.0.1 Pokémon Dex Data'!$B$3:$B951,0))*INDEX('0.0.1 Pokémon Dex Data'!V$3:V951,MATCH($E791,'0.0.1 Pokémon Dex Data'!$B$3:$B951,0)),0)</f>
        <v>155</v>
      </c>
      <c r="M791" s="260" t="n">
        <f aca="false" t="array" ref="M791:M791">INDEX('0.0.1 Pokémon Dex Data'!$J$3:$J951,MATCH(E791,'0.0.1 Pokémon Dex Data'!$B$3:$B951,0))</f>
        <v>1</v>
      </c>
      <c r="O791" s="490"/>
      <c r="Q791" s="367" t="n">
        <f aca="false">IF('Reverse Search'!$F$4="All (including temporary formes)",1,IF('Reverse Search'!$F$4="Base Pokémon and permanent formes only",IF(F791&lt;=1,1,0),IF(F791=0,1,0)))</f>
        <v>0</v>
      </c>
      <c r="R791" s="0" t="n">
        <f aca="false">IF('Reverse Search'!$C$7="Disable",1,IF('Reverse Search'!$D$9="Disable",1,IF(OR('Reverse Search'!$F$9=H791,'Reverse Search'!$F$9=I791),1,0)))</f>
        <v>1</v>
      </c>
      <c r="S791" s="0" t="n">
        <f aca="false">IF('Reverse Search'!$C$7="Disable",1,IF('Reverse Search'!$D$10="Disable",1,IF(OR('Reverse Search'!$F$10=H791,'Reverse Search'!$F$10=I791),1,0)))</f>
        <v>1</v>
      </c>
      <c r="T791" s="0" t="n">
        <f aca="false">INDEX($B$4:$B$22,MATCH(H791,$A$4:$A$22,0))</f>
        <v>0.714</v>
      </c>
      <c r="U791" s="0" t="n">
        <f aca="false">IF(ISBLANK(I791),1,INDEX($B$4:$B$22,MATCH(I791,$A$4:$A$22,0)))</f>
        <v>0.51</v>
      </c>
      <c r="V791" s="367" t="n">
        <f aca="false">IF('Reverse Search'!$C$7="Disable",1,IF('Reverse Search'!$D$11="Disable",1,IF('Reverse Search'!$E$11="Neutral to:",IF(ROUND(T791*U791,2)&lt;=1,1,0),IF(ROUND(T791*U791,2)&lt;1,1,0))))</f>
        <v>1</v>
      </c>
      <c r="W791" s="0" t="n">
        <f aca="false">IF('Reverse Search'!$N$7="Disable",1,IF('Reverse Search'!$I$9="Disable",1,IF('Reverse Search'!$K$9="≥",IF(J791&gt;='Reverse Search'!$L$9,1,0),IF('Reverse Search'!$K$9="≤",IF(J791&lt;='Reverse Search'!$L$9,1,0),IF(J791='Reverse Search'!$L$9,1,0)))))</f>
        <v>1</v>
      </c>
      <c r="X791" s="0" t="n">
        <f aca="false">IF('Reverse Search'!$N$7="Disable",1,IF('Reverse Search'!$I$10="Disable",1,IF('Reverse Search'!$K$10="≥",IF(K791&gt;='Reverse Search'!$L$10,1,0),IF('Reverse Search'!$K$10="≤",IF(K791&lt;='Reverse Search'!$L$10,1,0),IF(K791='Reverse Search'!$L$10,1,0)))))</f>
        <v>1</v>
      </c>
      <c r="Y791" s="367" t="n">
        <f aca="false">IF('Reverse Search'!$N$7="Disable",1,IF('Reverse Search'!$I$11="Disable",1,IF('Reverse Search'!$K$11="≥",IF(L791&gt;='Reverse Search'!$L$11,1,0),IF('Reverse Search'!$K$11="≤",IF(L791&lt;='Reverse Search'!$L$11,1,0),IF(L791='Reverse Search'!$L$11,1,0)))))</f>
        <v>1</v>
      </c>
      <c r="Z791" s="0" t="n">
        <f aca="true">IF('Reverse Search'!$C$14="Disable",1,IF('Reverse Search'!$D$16="Disable",1,IF($C$2=3,IF($M791=0,0,COUNTIF(INDIRECT("'0.0.2 Pokémon Learnset (Core)'!$D$"&amp;MATCH($E791,'0.0.2 Pokémon Learnset (Core)'!$A$1:$A951,0)&amp;":$FK$"&amp;MATCH($E791,'0.0.2 Pokémon Learnset (Core)'!$A$1:$A951,0)),'Reverse Search'!$E$21)),IF($C$2=2,COUNTIF(INDIRECT("'0.1.1 Pokémon GO Moves'!$B$"&amp;MATCH($E791,'0.1.1 Pokémon GO Moves'!$A$1:$A951,0)&amp;":$R$"&amp;MATCH($E791,'0.1.1 Pokémon GO Moves'!$A$1:$A951,0)),'Reverse Search'!$E$21),COUNTIF(INDIRECT("'0.1.1 Pokémon GO Moves'!$B$"&amp;MATCH($E791,'0.1.1 Pokémon GO Moves'!$A$1:$A951,0)&amp;":$L$"&amp;MATCH($E791,'0.1.1 Pokémon GO Moves'!$A$1:$A951,0)),'Reverse Search'!$E$21)))))</f>
        <v>1</v>
      </c>
      <c r="AA791" s="0" t="e">
        <f aca="true">IF('Reverse Search'!$C$14="Disable",1,IF('Reverse Search'!$I$16="Disable",1,IF($D$2=3,IF($M791=0,0,COUNTIF(INDIRECT("'0.0.2 Pokémon Learnset (Core)'!$D$"&amp;MATCH($E791,'0.0.2 Pokémon Learnset (Core)'!$A$1:$A951,0)&amp;":$FK$"&amp;MATCH($E791,'0.0.2 Pokémon Learnset (Core)'!$A$1:$A951,0)),'Reverse Search'!$J$21)),IF($D$2=2,COUNTIF(INDIRECT("'0.1.1 Pokémon GO Moves'!$B$"&amp;MATCH($E791,'0.1.1 Pokémon GO Moves'!$A$1:$A951,0)&amp;":$R$"&amp;MATCH($E791,'0.1.1 Pokémon GO Moves'!$A$1:$A951,0)),'Reverse Search'!$J$21),COUNTIF(INDIRECT("'0.1.1 Pokémon GO Moves'!$B$"&amp;MATCH($E791,'0.1.1 Pokémon GO Moves'!$A$1:$A951,0)&amp;":$L$"&amp;MATCH($E791,'0.1.1 Pokémon GO Moves'!$A$1:$A951,0)),'Reverse Search'!$J$21)))))</f>
        <v>#N/A</v>
      </c>
      <c r="AB791" s="490"/>
      <c r="AC791" s="260" t="e">
        <f aca="false">IF((Q791+R791+S791+V791+W791+X791+Y791+IF(Z791&gt;=1,1,0)+IF(AA791&gt;=1,1,0))=9,G791&amp;", ",)</f>
        <v>#N/A</v>
      </c>
    </row>
    <row r="792" customFormat="false" ht="15.75" hidden="false" customHeight="false" outlineLevel="0" collapsed="false">
      <c r="A792" s="260"/>
      <c r="B792" s="358"/>
      <c r="C792" s="260"/>
      <c r="D792" s="358"/>
      <c r="E792" s="260" t="n">
        <v>791</v>
      </c>
      <c r="F792" s="260" t="n">
        <f aca="false" t="array" ref="F792:F792">INDEX('0.0.1 Pokémon Dex Data'!$H$3:$H951,MATCH(E792,'0.0.1 Pokémon Dex Data'!$B$3:$B951,0))</f>
        <v>0</v>
      </c>
      <c r="G792" s="0" t="str">
        <f aca="false" t="array" ref="G792:G792">INDEX('0.0.1 Pokémon Dex Data'!$E$3:$E951,MATCH(E792,'0.0.1 Pokémon Dex Data'!$B$3:$B951,0))</f>
        <v>Spritzee</v>
      </c>
      <c r="H792" s="0" t="str">
        <f aca="false" t="array" ref="H792:H792">INDEX('0.0.1 Pokémon Dex Data'!$Q$3:$Q951,MATCH(E792,'0.0.1 Pokémon Dex Data'!$B$3:$B951,0))</f>
        <v>Fairy</v>
      </c>
      <c r="I792" s="0" t="n">
        <f aca="false">INDEX('0.0.1 Pokémon Dex Data'!$R$3:$R951,MATCH(E792,'0.0.1 Pokémon Dex Data'!$B$3:$B951,0))</f>
        <v>0</v>
      </c>
      <c r="J792" s="260" t="n">
        <f aca="false" t="array" ref="J792:J792">ROUND(INDEX('0.0.1 Pokémon Dex Data'!$S$3:$S951,MATCH($E792,'0.0.1 Pokémon Dex Data'!$B$3:$B951,0))*INDEX('0.0.1 Pokémon Dex Data'!T$3:T951,MATCH($E792,'0.0.1 Pokémon Dex Data'!$B$3:$B951,0)),0)</f>
        <v>110</v>
      </c>
      <c r="K792" s="260" t="n">
        <f aca="false" t="array" ref="K792:K792">ROUND(INDEX('0.0.1 Pokémon Dex Data'!$S$3:$S951,MATCH($E792,'0.0.1 Pokémon Dex Data'!$B$3:$B951,0))*INDEX('0.0.1 Pokémon Dex Data'!U$3:U951,MATCH($E792,'0.0.1 Pokémon Dex Data'!$B$3:$B951,0)),0)</f>
        <v>113</v>
      </c>
      <c r="L792" s="260" t="n">
        <f aca="false" t="array" ref="L792:L792">ROUND(INDEX('0.0.1 Pokémon Dex Data'!$S$3:$S951,MATCH($E792,'0.0.1 Pokémon Dex Data'!$B$3:$B951,0))*INDEX('0.0.1 Pokémon Dex Data'!V$3:V951,MATCH($E792,'0.0.1 Pokémon Dex Data'!$B$3:$B951,0)),0)</f>
        <v>186</v>
      </c>
      <c r="M792" s="260" t="n">
        <f aca="false" t="array" ref="M792:M792">INDEX('0.0.1 Pokémon Dex Data'!$J$3:$J951,MATCH(E792,'0.0.1 Pokémon Dex Data'!$B$3:$B951,0))</f>
        <v>0</v>
      </c>
      <c r="O792" s="490"/>
      <c r="Q792" s="367" t="n">
        <f aca="false">IF('Reverse Search'!$F$4="All (including temporary formes)",1,IF('Reverse Search'!$F$4="Base Pokémon and permanent formes only",IF(F792&lt;=1,1,0),IF(F792=0,1,0)))</f>
        <v>1</v>
      </c>
      <c r="R792" s="0" t="n">
        <f aca="false">IF('Reverse Search'!$C$7="Disable",1,IF('Reverse Search'!$D$9="Disable",1,IF(OR('Reverse Search'!$F$9=H792,'Reverse Search'!$F$9=I792),1,0)))</f>
        <v>1</v>
      </c>
      <c r="S792" s="0" t="n">
        <f aca="false">IF('Reverse Search'!$C$7="Disable",1,IF('Reverse Search'!$D$10="Disable",1,IF(OR('Reverse Search'!$F$10=H792,'Reverse Search'!$F$10=I792),1,0)))</f>
        <v>1</v>
      </c>
      <c r="T792" s="0" t="n">
        <f aca="false">INDEX($B$4:$B$22,MATCH(H792,$A$4:$A$22,0))</f>
        <v>1</v>
      </c>
      <c r="U792" s="0" t="e">
        <f aca="false">IF(ISBLANK(I792),1,INDEX($B$4:$B$22,MATCH(I792,$A$4:$A$22,0)))</f>
        <v>#N/A</v>
      </c>
      <c r="V792" s="367" t="n">
        <f aca="false">IF('Reverse Search'!$C$7="Disable",1,IF('Reverse Search'!$D$11="Disable",1,IF('Reverse Search'!$E$11="Neutral to:",IF(ROUND(T792*U792,2)&lt;=1,1,0),IF(ROUND(T792*U792,2)&lt;1,1,0))))</f>
        <v>1</v>
      </c>
      <c r="W792" s="0" t="n">
        <f aca="false">IF('Reverse Search'!$N$7="Disable",1,IF('Reverse Search'!$I$9="Disable",1,IF('Reverse Search'!$K$9="≥",IF(J792&gt;='Reverse Search'!$L$9,1,0),IF('Reverse Search'!$K$9="≤",IF(J792&lt;='Reverse Search'!$L$9,1,0),IF(J792='Reverse Search'!$L$9,1,0)))))</f>
        <v>1</v>
      </c>
      <c r="X792" s="0" t="n">
        <f aca="false">IF('Reverse Search'!$N$7="Disable",1,IF('Reverse Search'!$I$10="Disable",1,IF('Reverse Search'!$K$10="≥",IF(K792&gt;='Reverse Search'!$L$10,1,0),IF('Reverse Search'!$K$10="≤",IF(K792&lt;='Reverse Search'!$L$10,1,0),IF(K792='Reverse Search'!$L$10,1,0)))))</f>
        <v>1</v>
      </c>
      <c r="Y792" s="367" t="n">
        <f aca="false">IF('Reverse Search'!$N$7="Disable",1,IF('Reverse Search'!$I$11="Disable",1,IF('Reverse Search'!$K$11="≥",IF(L792&gt;='Reverse Search'!$L$11,1,0),IF('Reverse Search'!$K$11="≤",IF(L792&lt;='Reverse Search'!$L$11,1,0),IF(L792='Reverse Search'!$L$11,1,0)))))</f>
        <v>1</v>
      </c>
      <c r="Z792" s="0" t="n">
        <f aca="true">IF('Reverse Search'!$C$14="Disable",1,IF('Reverse Search'!$D$16="Disable",1,IF($C$2=3,IF($M792=0,0,COUNTIF(INDIRECT("'0.0.2 Pokémon Learnset (Core)'!$D$"&amp;MATCH($E792,'0.0.2 Pokémon Learnset (Core)'!$A$1:$A951,0)&amp;":$FK$"&amp;MATCH($E792,'0.0.2 Pokémon Learnset (Core)'!$A$1:$A951,0)),'Reverse Search'!$E$21)),IF($C$2=2,COUNTIF(INDIRECT("'0.1.1 Pokémon GO Moves'!$B$"&amp;MATCH($E792,'0.1.1 Pokémon GO Moves'!$A$1:$A951,0)&amp;":$R$"&amp;MATCH($E792,'0.1.1 Pokémon GO Moves'!$A$1:$A951,0)),'Reverse Search'!$E$21),COUNTIF(INDIRECT("'0.1.1 Pokémon GO Moves'!$B$"&amp;MATCH($E792,'0.1.1 Pokémon GO Moves'!$A$1:$A951,0)&amp;":$L$"&amp;MATCH($E792,'0.1.1 Pokémon GO Moves'!$A$1:$A951,0)),'Reverse Search'!$E$21)))))</f>
        <v>1</v>
      </c>
      <c r="AA792" s="0" t="n">
        <f aca="true">IF('Reverse Search'!$C$14="Disable",1,IF('Reverse Search'!$I$16="Disable",1,IF($D$2=3,IF($M792=0,0,COUNTIF(INDIRECT("'0.0.2 Pokémon Learnset (Core)'!$D$"&amp;MATCH($E792,'0.0.2 Pokémon Learnset (Core)'!$A$1:$A951,0)&amp;":$FK$"&amp;MATCH($E792,'0.0.2 Pokémon Learnset (Core)'!$A$1:$A951,0)),'Reverse Search'!$J$21)),IF($D$2=2,COUNTIF(INDIRECT("'0.1.1 Pokémon GO Moves'!$B$"&amp;MATCH($E792,'0.1.1 Pokémon GO Moves'!$A$1:$A951,0)&amp;":$R$"&amp;MATCH($E792,'0.1.1 Pokémon GO Moves'!$A$1:$A951,0)),'Reverse Search'!$J$21),COUNTIF(INDIRECT("'0.1.1 Pokémon GO Moves'!$B$"&amp;MATCH($E792,'0.1.1 Pokémon GO Moves'!$A$1:$A951,0)&amp;":$L$"&amp;MATCH($E792,'0.1.1 Pokémon GO Moves'!$A$1:$A951,0)),'Reverse Search'!$J$21)))))</f>
        <v>0</v>
      </c>
      <c r="AB792" s="490"/>
      <c r="AC792" s="260" t="n">
        <f aca="false">IF((Q792+R792+S792+V792+W792+X792+Y792+IF(Z792&gt;=1,1,0)+IF(AA792&gt;=1,1,0))=9,G792&amp;", ",)</f>
        <v>0</v>
      </c>
    </row>
    <row r="793" customFormat="false" ht="15.75" hidden="false" customHeight="false" outlineLevel="0" collapsed="false">
      <c r="A793" s="260"/>
      <c r="B793" s="358"/>
      <c r="C793" s="260"/>
      <c r="D793" s="358"/>
      <c r="E793" s="260" t="n">
        <v>792</v>
      </c>
      <c r="F793" s="260" t="n">
        <f aca="false" t="array" ref="F793:F793">INDEX('0.0.1 Pokémon Dex Data'!$H$3:$H951,MATCH(E793,'0.0.1 Pokémon Dex Data'!$B$3:$B951,0))</f>
        <v>0</v>
      </c>
      <c r="G793" s="0" t="str">
        <f aca="false" t="array" ref="G793:G793">INDEX('0.0.1 Pokémon Dex Data'!$E$3:$E951,MATCH(E793,'0.0.1 Pokémon Dex Data'!$B$3:$B951,0))</f>
        <v>Aromatisse</v>
      </c>
      <c r="H793" s="0" t="str">
        <f aca="false" t="array" ref="H793:H793">INDEX('0.0.1 Pokémon Dex Data'!$Q$3:$Q951,MATCH(E793,'0.0.1 Pokémon Dex Data'!$B$3:$B951,0))</f>
        <v>Fairy</v>
      </c>
      <c r="I793" s="0" t="n">
        <f aca="false">INDEX('0.0.1 Pokémon Dex Data'!$R$3:$R951,MATCH(E793,'0.0.1 Pokémon Dex Data'!$B$3:$B951,0))</f>
        <v>0</v>
      </c>
      <c r="J793" s="260" t="n">
        <f aca="false" t="array" ref="J793:J793">ROUND(INDEX('0.0.1 Pokémon Dex Data'!$S$3:$S951,MATCH($E793,'0.0.1 Pokémon Dex Data'!$B$3:$B951,0))*INDEX('0.0.1 Pokémon Dex Data'!T$3:T951,MATCH($E793,'0.0.1 Pokémon Dex Data'!$B$3:$B951,0)),0)</f>
        <v>173</v>
      </c>
      <c r="K793" s="260" t="n">
        <f aca="false" t="array" ref="K793:K793">ROUND(INDEX('0.0.1 Pokémon Dex Data'!$S$3:$S951,MATCH($E793,'0.0.1 Pokémon Dex Data'!$B$3:$B951,0))*INDEX('0.0.1 Pokémon Dex Data'!U$3:U951,MATCH($E793,'0.0.1 Pokémon Dex Data'!$B$3:$B951,0)),0)</f>
        <v>150</v>
      </c>
      <c r="L793" s="260" t="n">
        <f aca="false" t="array" ref="L793:L793">ROUND(INDEX('0.0.1 Pokémon Dex Data'!$S$3:$S951,MATCH($E793,'0.0.1 Pokémon Dex Data'!$B$3:$B951,0))*INDEX('0.0.1 Pokémon Dex Data'!V$3:V951,MATCH($E793,'0.0.1 Pokémon Dex Data'!$B$3:$B951,0)),0)</f>
        <v>226</v>
      </c>
      <c r="M793" s="260" t="n">
        <f aca="false" t="array" ref="M793:M793">INDEX('0.0.1 Pokémon Dex Data'!$J$3:$J951,MATCH(E793,'0.0.1 Pokémon Dex Data'!$B$3:$B951,0))</f>
        <v>1</v>
      </c>
      <c r="O793" s="490"/>
      <c r="Q793" s="367" t="n">
        <f aca="false">IF('Reverse Search'!$F$4="All (including temporary formes)",1,IF('Reverse Search'!$F$4="Base Pokémon and permanent formes only",IF(F793&lt;=1,1,0),IF(F793=0,1,0)))</f>
        <v>1</v>
      </c>
      <c r="R793" s="0" t="n">
        <f aca="false">IF('Reverse Search'!$C$7="Disable",1,IF('Reverse Search'!$D$9="Disable",1,IF(OR('Reverse Search'!$F$9=H793,'Reverse Search'!$F$9=I793),1,0)))</f>
        <v>1</v>
      </c>
      <c r="S793" s="0" t="n">
        <f aca="false">IF('Reverse Search'!$C$7="Disable",1,IF('Reverse Search'!$D$10="Disable",1,IF(OR('Reverse Search'!$F$10=H793,'Reverse Search'!$F$10=I793),1,0)))</f>
        <v>1</v>
      </c>
      <c r="T793" s="0" t="n">
        <f aca="false">INDEX($B$4:$B$22,MATCH(H793,$A$4:$A$22,0))</f>
        <v>1</v>
      </c>
      <c r="U793" s="0" t="e">
        <f aca="false">IF(ISBLANK(I793),1,INDEX($B$4:$B$22,MATCH(I793,$A$4:$A$22,0)))</f>
        <v>#N/A</v>
      </c>
      <c r="V793" s="367" t="n">
        <f aca="false">IF('Reverse Search'!$C$7="Disable",1,IF('Reverse Search'!$D$11="Disable",1,IF('Reverse Search'!$E$11="Neutral to:",IF(ROUND(T793*U793,2)&lt;=1,1,0),IF(ROUND(T793*U793,2)&lt;1,1,0))))</f>
        <v>1</v>
      </c>
      <c r="W793" s="0" t="n">
        <f aca="false">IF('Reverse Search'!$N$7="Disable",1,IF('Reverse Search'!$I$9="Disable",1,IF('Reverse Search'!$K$9="≥",IF(J793&gt;='Reverse Search'!$L$9,1,0),IF('Reverse Search'!$K$9="≤",IF(J793&lt;='Reverse Search'!$L$9,1,0),IF(J793='Reverse Search'!$L$9,1,0)))))</f>
        <v>1</v>
      </c>
      <c r="X793" s="0" t="n">
        <f aca="false">IF('Reverse Search'!$N$7="Disable",1,IF('Reverse Search'!$I$10="Disable",1,IF('Reverse Search'!$K$10="≥",IF(K793&gt;='Reverse Search'!$L$10,1,0),IF('Reverse Search'!$K$10="≤",IF(K793&lt;='Reverse Search'!$L$10,1,0),IF(K793='Reverse Search'!$L$10,1,0)))))</f>
        <v>1</v>
      </c>
      <c r="Y793" s="367" t="n">
        <f aca="false">IF('Reverse Search'!$N$7="Disable",1,IF('Reverse Search'!$I$11="Disable",1,IF('Reverse Search'!$K$11="≥",IF(L793&gt;='Reverse Search'!$L$11,1,0),IF('Reverse Search'!$K$11="≤",IF(L793&lt;='Reverse Search'!$L$11,1,0),IF(L793='Reverse Search'!$L$11,1,0)))))</f>
        <v>1</v>
      </c>
      <c r="Z793" s="0" t="n">
        <f aca="true">IF('Reverse Search'!$C$14="Disable",1,IF('Reverse Search'!$D$16="Disable",1,IF($C$2=3,IF($M793=0,0,COUNTIF(INDIRECT("'0.0.2 Pokémon Learnset (Core)'!$D$"&amp;MATCH($E793,'0.0.2 Pokémon Learnset (Core)'!$A$1:$A951,0)&amp;":$FK$"&amp;MATCH($E793,'0.0.2 Pokémon Learnset (Core)'!$A$1:$A951,0)),'Reverse Search'!$E$21)),IF($C$2=2,COUNTIF(INDIRECT("'0.1.1 Pokémon GO Moves'!$B$"&amp;MATCH($E793,'0.1.1 Pokémon GO Moves'!$A$1:$A951,0)&amp;":$R$"&amp;MATCH($E793,'0.1.1 Pokémon GO Moves'!$A$1:$A951,0)),'Reverse Search'!$E$21),COUNTIF(INDIRECT("'0.1.1 Pokémon GO Moves'!$B$"&amp;MATCH($E793,'0.1.1 Pokémon GO Moves'!$A$1:$A951,0)&amp;":$L$"&amp;MATCH($E793,'0.1.1 Pokémon GO Moves'!$A$1:$A951,0)),'Reverse Search'!$E$21)))))</f>
        <v>1</v>
      </c>
      <c r="AA793" s="0" t="n">
        <f aca="true">IF('Reverse Search'!$C$14="Disable",1,IF('Reverse Search'!$I$16="Disable",1,IF($D$2=3,IF($M793=0,0,COUNTIF(INDIRECT("'0.0.2 Pokémon Learnset (Core)'!$D$"&amp;MATCH($E793,'0.0.2 Pokémon Learnset (Core)'!$A$1:$A951,0)&amp;":$FK$"&amp;MATCH($E793,'0.0.2 Pokémon Learnset (Core)'!$A$1:$A951,0)),'Reverse Search'!$J$21)),IF($D$2=2,COUNTIF(INDIRECT("'0.1.1 Pokémon GO Moves'!$B$"&amp;MATCH($E793,'0.1.1 Pokémon GO Moves'!$A$1:$A951,0)&amp;":$R$"&amp;MATCH($E793,'0.1.1 Pokémon GO Moves'!$A$1:$A951,0)),'Reverse Search'!$J$21),COUNTIF(INDIRECT("'0.1.1 Pokémon GO Moves'!$B$"&amp;MATCH($E793,'0.1.1 Pokémon GO Moves'!$A$1:$A951,0)&amp;":$L$"&amp;MATCH($E793,'0.1.1 Pokémon GO Moves'!$A$1:$A951,0)),'Reverse Search'!$J$21)))))</f>
        <v>0</v>
      </c>
      <c r="AB793" s="490"/>
      <c r="AC793" s="260" t="n">
        <f aca="false">IF((Q793+R793+S793+V793+W793+X793+Y793+IF(Z793&gt;=1,1,0)+IF(AA793&gt;=1,1,0))=9,G793&amp;", ",)</f>
        <v>0</v>
      </c>
    </row>
    <row r="794" customFormat="false" ht="15.75" hidden="false" customHeight="false" outlineLevel="0" collapsed="false">
      <c r="A794" s="260"/>
      <c r="B794" s="358"/>
      <c r="C794" s="260"/>
      <c r="D794" s="358"/>
      <c r="E794" s="260" t="n">
        <v>793</v>
      </c>
      <c r="F794" s="260" t="n">
        <f aca="false" t="array" ref="F794:F794">INDEX('0.0.1 Pokémon Dex Data'!$H$3:$H951,MATCH(E794,'0.0.1 Pokémon Dex Data'!$B$3:$B951,0))</f>
        <v>0</v>
      </c>
      <c r="G794" s="0" t="str">
        <f aca="false" t="array" ref="G794:G794">INDEX('0.0.1 Pokémon Dex Data'!$E$3:$E951,MATCH(E794,'0.0.1 Pokémon Dex Data'!$B$3:$B951,0))</f>
        <v>Swirlix</v>
      </c>
      <c r="H794" s="0" t="str">
        <f aca="false" t="array" ref="H794:H794">INDEX('0.0.1 Pokémon Dex Data'!$Q$3:$Q951,MATCH(E794,'0.0.1 Pokémon Dex Data'!$B$3:$B951,0))</f>
        <v>Fairy</v>
      </c>
      <c r="I794" s="0" t="n">
        <f aca="false">INDEX('0.0.1 Pokémon Dex Data'!$R$3:$R951,MATCH(E794,'0.0.1 Pokémon Dex Data'!$B$3:$B951,0))</f>
        <v>0</v>
      </c>
      <c r="J794" s="260" t="n">
        <f aca="false" t="array" ref="J794:J794">ROUND(INDEX('0.0.1 Pokémon Dex Data'!$S$3:$S951,MATCH($E794,'0.0.1 Pokémon Dex Data'!$B$3:$B951,0))*INDEX('0.0.1 Pokémon Dex Data'!T$3:T951,MATCH($E794,'0.0.1 Pokémon Dex Data'!$B$3:$B951,0)),0)</f>
        <v>109</v>
      </c>
      <c r="K794" s="260" t="n">
        <f aca="false" t="array" ref="K794:K794">ROUND(INDEX('0.0.1 Pokémon Dex Data'!$S$3:$S951,MATCH($E794,'0.0.1 Pokémon Dex Data'!$B$3:$B951,0))*INDEX('0.0.1 Pokémon Dex Data'!U$3:U951,MATCH($E794,'0.0.1 Pokémon Dex Data'!$B$3:$B951,0)),0)</f>
        <v>119</v>
      </c>
      <c r="L794" s="260" t="n">
        <f aca="false" t="array" ref="L794:L794">ROUND(INDEX('0.0.1 Pokémon Dex Data'!$S$3:$S951,MATCH($E794,'0.0.1 Pokémon Dex Data'!$B$3:$B951,0))*INDEX('0.0.1 Pokémon Dex Data'!V$3:V951,MATCH($E794,'0.0.1 Pokémon Dex Data'!$B$3:$B951,0)),0)</f>
        <v>158</v>
      </c>
      <c r="M794" s="260" t="n">
        <f aca="false" t="array" ref="M794:M794">INDEX('0.0.1 Pokémon Dex Data'!$J$3:$J951,MATCH(E794,'0.0.1 Pokémon Dex Data'!$B$3:$B951,0))</f>
        <v>0</v>
      </c>
      <c r="O794" s="490"/>
      <c r="Q794" s="367" t="n">
        <f aca="false">IF('Reverse Search'!$F$4="All (including temporary formes)",1,IF('Reverse Search'!$F$4="Base Pokémon and permanent formes only",IF(F794&lt;=1,1,0),IF(F794=0,1,0)))</f>
        <v>1</v>
      </c>
      <c r="R794" s="0" t="n">
        <f aca="false">IF('Reverse Search'!$C$7="Disable",1,IF('Reverse Search'!$D$9="Disable",1,IF(OR('Reverse Search'!$F$9=H794,'Reverse Search'!$F$9=I794),1,0)))</f>
        <v>1</v>
      </c>
      <c r="S794" s="0" t="n">
        <f aca="false">IF('Reverse Search'!$C$7="Disable",1,IF('Reverse Search'!$D$10="Disable",1,IF(OR('Reverse Search'!$F$10=H794,'Reverse Search'!$F$10=I794),1,0)))</f>
        <v>1</v>
      </c>
      <c r="T794" s="0" t="n">
        <f aca="false">INDEX($B$4:$B$22,MATCH(H794,$A$4:$A$22,0))</f>
        <v>1</v>
      </c>
      <c r="U794" s="0" t="e">
        <f aca="false">IF(ISBLANK(I794),1,INDEX($B$4:$B$22,MATCH(I794,$A$4:$A$22,0)))</f>
        <v>#N/A</v>
      </c>
      <c r="V794" s="367" t="n">
        <f aca="false">IF('Reverse Search'!$C$7="Disable",1,IF('Reverse Search'!$D$11="Disable",1,IF('Reverse Search'!$E$11="Neutral to:",IF(ROUND(T794*U794,2)&lt;=1,1,0),IF(ROUND(T794*U794,2)&lt;1,1,0))))</f>
        <v>1</v>
      </c>
      <c r="W794" s="0" t="n">
        <f aca="false">IF('Reverse Search'!$N$7="Disable",1,IF('Reverse Search'!$I$9="Disable",1,IF('Reverse Search'!$K$9="≥",IF(J794&gt;='Reverse Search'!$L$9,1,0),IF('Reverse Search'!$K$9="≤",IF(J794&lt;='Reverse Search'!$L$9,1,0),IF(J794='Reverse Search'!$L$9,1,0)))))</f>
        <v>1</v>
      </c>
      <c r="X794" s="0" t="n">
        <f aca="false">IF('Reverse Search'!$N$7="Disable",1,IF('Reverse Search'!$I$10="Disable",1,IF('Reverse Search'!$K$10="≥",IF(K794&gt;='Reverse Search'!$L$10,1,0),IF('Reverse Search'!$K$10="≤",IF(K794&lt;='Reverse Search'!$L$10,1,0),IF(K794='Reverse Search'!$L$10,1,0)))))</f>
        <v>1</v>
      </c>
      <c r="Y794" s="367" t="n">
        <f aca="false">IF('Reverse Search'!$N$7="Disable",1,IF('Reverse Search'!$I$11="Disable",1,IF('Reverse Search'!$K$11="≥",IF(L794&gt;='Reverse Search'!$L$11,1,0),IF('Reverse Search'!$K$11="≤",IF(L794&lt;='Reverse Search'!$L$11,1,0),IF(L794='Reverse Search'!$L$11,1,0)))))</f>
        <v>1</v>
      </c>
      <c r="Z794" s="0" t="n">
        <f aca="true">IF('Reverse Search'!$C$14="Disable",1,IF('Reverse Search'!$D$16="Disable",1,IF($C$2=3,IF($M794=0,0,COUNTIF(INDIRECT("'0.0.2 Pokémon Learnset (Core)'!$D$"&amp;MATCH($E794,'0.0.2 Pokémon Learnset (Core)'!$A$1:$A951,0)&amp;":$FK$"&amp;MATCH($E794,'0.0.2 Pokémon Learnset (Core)'!$A$1:$A951,0)),'Reverse Search'!$E$21)),IF($C$2=2,COUNTIF(INDIRECT("'0.1.1 Pokémon GO Moves'!$B$"&amp;MATCH($E794,'0.1.1 Pokémon GO Moves'!$A$1:$A951,0)&amp;":$R$"&amp;MATCH($E794,'0.1.1 Pokémon GO Moves'!$A$1:$A951,0)),'Reverse Search'!$E$21),COUNTIF(INDIRECT("'0.1.1 Pokémon GO Moves'!$B$"&amp;MATCH($E794,'0.1.1 Pokémon GO Moves'!$A$1:$A951,0)&amp;":$L$"&amp;MATCH($E794,'0.1.1 Pokémon GO Moves'!$A$1:$A951,0)),'Reverse Search'!$E$21)))))</f>
        <v>1</v>
      </c>
      <c r="AA794" s="0" t="n">
        <f aca="true">IF('Reverse Search'!$C$14="Disable",1,IF('Reverse Search'!$I$16="Disable",1,IF($D$2=3,IF($M794=0,0,COUNTIF(INDIRECT("'0.0.2 Pokémon Learnset (Core)'!$D$"&amp;MATCH($E794,'0.0.2 Pokémon Learnset (Core)'!$A$1:$A951,0)&amp;":$FK$"&amp;MATCH($E794,'0.0.2 Pokémon Learnset (Core)'!$A$1:$A951,0)),'Reverse Search'!$J$21)),IF($D$2=2,COUNTIF(INDIRECT("'0.1.1 Pokémon GO Moves'!$B$"&amp;MATCH($E794,'0.1.1 Pokémon GO Moves'!$A$1:$A951,0)&amp;":$R$"&amp;MATCH($E794,'0.1.1 Pokémon GO Moves'!$A$1:$A951,0)),'Reverse Search'!$J$21),COUNTIF(INDIRECT("'0.1.1 Pokémon GO Moves'!$B$"&amp;MATCH($E794,'0.1.1 Pokémon GO Moves'!$A$1:$A951,0)&amp;":$L$"&amp;MATCH($E794,'0.1.1 Pokémon GO Moves'!$A$1:$A951,0)),'Reverse Search'!$J$21)))))</f>
        <v>0</v>
      </c>
      <c r="AB794" s="490"/>
      <c r="AC794" s="260" t="n">
        <f aca="false">IF((Q794+R794+S794+V794+W794+X794+Y794+IF(Z794&gt;=1,1,0)+IF(AA794&gt;=1,1,0))=9,G794&amp;", ",)</f>
        <v>0</v>
      </c>
    </row>
    <row r="795" customFormat="false" ht="15.75" hidden="false" customHeight="false" outlineLevel="0" collapsed="false">
      <c r="A795" s="260"/>
      <c r="B795" s="358"/>
      <c r="C795" s="260"/>
      <c r="D795" s="358"/>
      <c r="E795" s="260" t="n">
        <v>794</v>
      </c>
      <c r="F795" s="260" t="n">
        <f aca="false" t="array" ref="F795:F795">INDEX('0.0.1 Pokémon Dex Data'!$H$3:$H951,MATCH(E795,'0.0.1 Pokémon Dex Data'!$B$3:$B951,0))</f>
        <v>0</v>
      </c>
      <c r="G795" s="0" t="str">
        <f aca="false" t="array" ref="G795:G795">INDEX('0.0.1 Pokémon Dex Data'!$E$3:$E951,MATCH(E795,'0.0.1 Pokémon Dex Data'!$B$3:$B951,0))</f>
        <v>Slurpuff</v>
      </c>
      <c r="H795" s="0" t="str">
        <f aca="false" t="array" ref="H795:H795">INDEX('0.0.1 Pokémon Dex Data'!$Q$3:$Q951,MATCH(E795,'0.0.1 Pokémon Dex Data'!$B$3:$B951,0))</f>
        <v>Fairy</v>
      </c>
      <c r="I795" s="0" t="n">
        <f aca="false">INDEX('0.0.1 Pokémon Dex Data'!$R$3:$R951,MATCH(E795,'0.0.1 Pokémon Dex Data'!$B$3:$B951,0))</f>
        <v>0</v>
      </c>
      <c r="J795" s="260" t="n">
        <f aca="false" t="array" ref="J795:J795">ROUND(INDEX('0.0.1 Pokémon Dex Data'!$S$3:$S951,MATCH($E795,'0.0.1 Pokémon Dex Data'!$B$3:$B951,0))*INDEX('0.0.1 Pokémon Dex Data'!T$3:T951,MATCH($E795,'0.0.1 Pokémon Dex Data'!$B$3:$B951,0)),0)</f>
        <v>168</v>
      </c>
      <c r="K795" s="260" t="n">
        <f aca="false" t="array" ref="K795:K795">ROUND(INDEX('0.0.1 Pokémon Dex Data'!$S$3:$S951,MATCH($E795,'0.0.1 Pokémon Dex Data'!$B$3:$B951,0))*INDEX('0.0.1 Pokémon Dex Data'!U$3:U951,MATCH($E795,'0.0.1 Pokémon Dex Data'!$B$3:$B951,0)),0)</f>
        <v>163</v>
      </c>
      <c r="L795" s="260" t="n">
        <f aca="false" t="array" ref="L795:L795">ROUND(INDEX('0.0.1 Pokémon Dex Data'!$S$3:$S951,MATCH($E795,'0.0.1 Pokémon Dex Data'!$B$3:$B951,0))*INDEX('0.0.1 Pokémon Dex Data'!V$3:V951,MATCH($E795,'0.0.1 Pokémon Dex Data'!$B$3:$B951,0)),0)</f>
        <v>193</v>
      </c>
      <c r="M795" s="260" t="n">
        <f aca="false" t="array" ref="M795:M795">INDEX('0.0.1 Pokémon Dex Data'!$J$3:$J951,MATCH(E795,'0.0.1 Pokémon Dex Data'!$B$3:$B951,0))</f>
        <v>1</v>
      </c>
      <c r="O795" s="490"/>
      <c r="Q795" s="367" t="n">
        <f aca="false">IF('Reverse Search'!$F$4="All (including temporary formes)",1,IF('Reverse Search'!$F$4="Base Pokémon and permanent formes only",IF(F795&lt;=1,1,0),IF(F795=0,1,0)))</f>
        <v>1</v>
      </c>
      <c r="R795" s="0" t="n">
        <f aca="false">IF('Reverse Search'!$C$7="Disable",1,IF('Reverse Search'!$D$9="Disable",1,IF(OR('Reverse Search'!$F$9=H795,'Reverse Search'!$F$9=I795),1,0)))</f>
        <v>1</v>
      </c>
      <c r="S795" s="0" t="n">
        <f aca="false">IF('Reverse Search'!$C$7="Disable",1,IF('Reverse Search'!$D$10="Disable",1,IF(OR('Reverse Search'!$F$10=H795,'Reverse Search'!$F$10=I795),1,0)))</f>
        <v>1</v>
      </c>
      <c r="T795" s="0" t="n">
        <f aca="false">INDEX($B$4:$B$22,MATCH(H795,$A$4:$A$22,0))</f>
        <v>1</v>
      </c>
      <c r="U795" s="0" t="e">
        <f aca="false">IF(ISBLANK(I795),1,INDEX($B$4:$B$22,MATCH(I795,$A$4:$A$22,0)))</f>
        <v>#N/A</v>
      </c>
      <c r="V795" s="367" t="n">
        <f aca="false">IF('Reverse Search'!$C$7="Disable",1,IF('Reverse Search'!$D$11="Disable",1,IF('Reverse Search'!$E$11="Neutral to:",IF(ROUND(T795*U795,2)&lt;=1,1,0),IF(ROUND(T795*U795,2)&lt;1,1,0))))</f>
        <v>1</v>
      </c>
      <c r="W795" s="0" t="n">
        <f aca="false">IF('Reverse Search'!$N$7="Disable",1,IF('Reverse Search'!$I$9="Disable",1,IF('Reverse Search'!$K$9="≥",IF(J795&gt;='Reverse Search'!$L$9,1,0),IF('Reverse Search'!$K$9="≤",IF(J795&lt;='Reverse Search'!$L$9,1,0),IF(J795='Reverse Search'!$L$9,1,0)))))</f>
        <v>1</v>
      </c>
      <c r="X795" s="0" t="n">
        <f aca="false">IF('Reverse Search'!$N$7="Disable",1,IF('Reverse Search'!$I$10="Disable",1,IF('Reverse Search'!$K$10="≥",IF(K795&gt;='Reverse Search'!$L$10,1,0),IF('Reverse Search'!$K$10="≤",IF(K795&lt;='Reverse Search'!$L$10,1,0),IF(K795='Reverse Search'!$L$10,1,0)))))</f>
        <v>1</v>
      </c>
      <c r="Y795" s="367" t="n">
        <f aca="false">IF('Reverse Search'!$N$7="Disable",1,IF('Reverse Search'!$I$11="Disable",1,IF('Reverse Search'!$K$11="≥",IF(L795&gt;='Reverse Search'!$L$11,1,0),IF('Reverse Search'!$K$11="≤",IF(L795&lt;='Reverse Search'!$L$11,1,0),IF(L795='Reverse Search'!$L$11,1,0)))))</f>
        <v>1</v>
      </c>
      <c r="Z795" s="0" t="n">
        <f aca="true">IF('Reverse Search'!$C$14="Disable",1,IF('Reverse Search'!$D$16="Disable",1,IF($C$2=3,IF($M795=0,0,COUNTIF(INDIRECT("'0.0.2 Pokémon Learnset (Core)'!$D$"&amp;MATCH($E795,'0.0.2 Pokémon Learnset (Core)'!$A$1:$A951,0)&amp;":$FK$"&amp;MATCH($E795,'0.0.2 Pokémon Learnset (Core)'!$A$1:$A951,0)),'Reverse Search'!$E$21)),IF($C$2=2,COUNTIF(INDIRECT("'0.1.1 Pokémon GO Moves'!$B$"&amp;MATCH($E795,'0.1.1 Pokémon GO Moves'!$A$1:$A951,0)&amp;":$R$"&amp;MATCH($E795,'0.1.1 Pokémon GO Moves'!$A$1:$A951,0)),'Reverse Search'!$E$21),COUNTIF(INDIRECT("'0.1.1 Pokémon GO Moves'!$B$"&amp;MATCH($E795,'0.1.1 Pokémon GO Moves'!$A$1:$A951,0)&amp;":$L$"&amp;MATCH($E795,'0.1.1 Pokémon GO Moves'!$A$1:$A951,0)),'Reverse Search'!$E$21)))))</f>
        <v>1</v>
      </c>
      <c r="AA795" s="0" t="n">
        <f aca="true">IF('Reverse Search'!$C$14="Disable",1,IF('Reverse Search'!$I$16="Disable",1,IF($D$2=3,IF($M795=0,0,COUNTIF(INDIRECT("'0.0.2 Pokémon Learnset (Core)'!$D$"&amp;MATCH($E795,'0.0.2 Pokémon Learnset (Core)'!$A$1:$A951,0)&amp;":$FK$"&amp;MATCH($E795,'0.0.2 Pokémon Learnset (Core)'!$A$1:$A951,0)),'Reverse Search'!$J$21)),IF($D$2=2,COUNTIF(INDIRECT("'0.1.1 Pokémon GO Moves'!$B$"&amp;MATCH($E795,'0.1.1 Pokémon GO Moves'!$A$1:$A951,0)&amp;":$R$"&amp;MATCH($E795,'0.1.1 Pokémon GO Moves'!$A$1:$A951,0)),'Reverse Search'!$J$21),COUNTIF(INDIRECT("'0.1.1 Pokémon GO Moves'!$B$"&amp;MATCH($E795,'0.1.1 Pokémon GO Moves'!$A$1:$A951,0)&amp;":$L$"&amp;MATCH($E795,'0.1.1 Pokémon GO Moves'!$A$1:$A951,0)),'Reverse Search'!$J$21)))))</f>
        <v>0</v>
      </c>
      <c r="AB795" s="490"/>
      <c r="AC795" s="260" t="n">
        <f aca="false">IF((Q795+R795+S795+V795+W795+X795+Y795+IF(Z795&gt;=1,1,0)+IF(AA795&gt;=1,1,0))=9,G795&amp;", ",)</f>
        <v>0</v>
      </c>
    </row>
    <row r="796" customFormat="false" ht="15.75" hidden="false" customHeight="false" outlineLevel="0" collapsed="false">
      <c r="A796" s="260"/>
      <c r="B796" s="358"/>
      <c r="C796" s="260"/>
      <c r="D796" s="358"/>
      <c r="E796" s="260" t="n">
        <v>795</v>
      </c>
      <c r="F796" s="260" t="n">
        <f aca="false" t="array" ref="F796:F796">INDEX('0.0.1 Pokémon Dex Data'!$H$3:$H951,MATCH(E796,'0.0.1 Pokémon Dex Data'!$B$3:$B951,0))</f>
        <v>0</v>
      </c>
      <c r="G796" s="0" t="str">
        <f aca="false" t="array" ref="G796:G796">INDEX('0.0.1 Pokémon Dex Data'!$E$3:$E951,MATCH(E796,'0.0.1 Pokémon Dex Data'!$B$3:$B951,0))</f>
        <v>Inkay</v>
      </c>
      <c r="H796" s="0" t="str">
        <f aca="false" t="array" ref="H796:H796">INDEX('0.0.1 Pokémon Dex Data'!$Q$3:$Q951,MATCH(E796,'0.0.1 Pokémon Dex Data'!$B$3:$B951,0))</f>
        <v>Dark</v>
      </c>
      <c r="I796" s="0" t="str">
        <f aca="false" t="array" ref="I796:I796">INDEX('0.0.1 Pokémon Dex Data'!$R$3:$R951,MATCH(E796,'0.0.1 Pokémon Dex Data'!$B$3:$B951,0))</f>
        <v>Psychic</v>
      </c>
      <c r="J796" s="260" t="n">
        <f aca="false" t="array" ref="J796:J796">ROUND(INDEX('0.0.1 Pokémon Dex Data'!$S$3:$S951,MATCH($E796,'0.0.1 Pokémon Dex Data'!$B$3:$B951,0))*INDEX('0.0.1 Pokémon Dex Data'!T$3:T951,MATCH($E796,'0.0.1 Pokémon Dex Data'!$B$3:$B951,0)),0)</f>
        <v>98</v>
      </c>
      <c r="K796" s="260" t="n">
        <f aca="false" t="array" ref="K796:K796">ROUND(INDEX('0.0.1 Pokémon Dex Data'!$S$3:$S951,MATCH($E796,'0.0.1 Pokémon Dex Data'!$B$3:$B951,0))*INDEX('0.0.1 Pokémon Dex Data'!U$3:U951,MATCH($E796,'0.0.1 Pokémon Dex Data'!$B$3:$B951,0)),0)</f>
        <v>95</v>
      </c>
      <c r="L796" s="260" t="n">
        <f aca="false" t="array" ref="L796:L796">ROUND(INDEX('0.0.1 Pokémon Dex Data'!$S$3:$S951,MATCH($E796,'0.0.1 Pokémon Dex Data'!$B$3:$B951,0))*INDEX('0.0.1 Pokémon Dex Data'!V$3:V951,MATCH($E796,'0.0.1 Pokémon Dex Data'!$B$3:$B951,0)),0)</f>
        <v>142</v>
      </c>
      <c r="M796" s="260" t="n">
        <f aca="false" t="array" ref="M796:M796">INDEX('0.0.1 Pokémon Dex Data'!$J$3:$J951,MATCH(E796,'0.0.1 Pokémon Dex Data'!$B$3:$B951,0))</f>
        <v>0</v>
      </c>
      <c r="O796" s="490"/>
      <c r="Q796" s="367" t="n">
        <f aca="false">IF('Reverse Search'!$F$4="All (including temporary formes)",1,IF('Reverse Search'!$F$4="Base Pokémon and permanent formes only",IF(F796&lt;=1,1,0),IF(F796=0,1,0)))</f>
        <v>1</v>
      </c>
      <c r="R796" s="0" t="n">
        <f aca="false">IF('Reverse Search'!$C$7="Disable",1,IF('Reverse Search'!$D$9="Disable",1,IF(OR('Reverse Search'!$F$9=H796,'Reverse Search'!$F$9=I796),1,0)))</f>
        <v>1</v>
      </c>
      <c r="S796" s="0" t="n">
        <f aca="false">IF('Reverse Search'!$C$7="Disable",1,IF('Reverse Search'!$D$10="Disable",1,IF(OR('Reverse Search'!$F$10=H796,'Reverse Search'!$F$10=I796),1,0)))</f>
        <v>1</v>
      </c>
      <c r="T796" s="0" t="n">
        <f aca="false">INDEX($B$4:$B$22,MATCH(H796,$A$4:$A$22,0))</f>
        <v>1</v>
      </c>
      <c r="U796" s="0" t="n">
        <f aca="false">IF(ISBLANK(I796),1,INDEX($B$4:$B$22,MATCH(I796,$A$4:$A$22,0)))</f>
        <v>1</v>
      </c>
      <c r="V796" s="367" t="n">
        <f aca="false">IF('Reverse Search'!$C$7="Disable",1,IF('Reverse Search'!$D$11="Disable",1,IF('Reverse Search'!$E$11="Neutral to:",IF(ROUND(T796*U796,2)&lt;=1,1,0),IF(ROUND(T796*U796,2)&lt;1,1,0))))</f>
        <v>1</v>
      </c>
      <c r="W796" s="0" t="n">
        <f aca="false">IF('Reverse Search'!$N$7="Disable",1,IF('Reverse Search'!$I$9="Disable",1,IF('Reverse Search'!$K$9="≥",IF(J796&gt;='Reverse Search'!$L$9,1,0),IF('Reverse Search'!$K$9="≤",IF(J796&lt;='Reverse Search'!$L$9,1,0),IF(J796='Reverse Search'!$L$9,1,0)))))</f>
        <v>1</v>
      </c>
      <c r="X796" s="0" t="n">
        <f aca="false">IF('Reverse Search'!$N$7="Disable",1,IF('Reverse Search'!$I$10="Disable",1,IF('Reverse Search'!$K$10="≥",IF(K796&gt;='Reverse Search'!$L$10,1,0),IF('Reverse Search'!$K$10="≤",IF(K796&lt;='Reverse Search'!$L$10,1,0),IF(K796='Reverse Search'!$L$10,1,0)))))</f>
        <v>1</v>
      </c>
      <c r="Y796" s="367" t="n">
        <f aca="false">IF('Reverse Search'!$N$7="Disable",1,IF('Reverse Search'!$I$11="Disable",1,IF('Reverse Search'!$K$11="≥",IF(L796&gt;='Reverse Search'!$L$11,1,0),IF('Reverse Search'!$K$11="≤",IF(L796&lt;='Reverse Search'!$L$11,1,0),IF(L796='Reverse Search'!$L$11,1,0)))))</f>
        <v>1</v>
      </c>
      <c r="Z796" s="0" t="n">
        <f aca="true">IF('Reverse Search'!$C$14="Disable",1,IF('Reverse Search'!$D$16="Disable",1,IF($C$2=3,IF($M796=0,0,COUNTIF(INDIRECT("'0.0.2 Pokémon Learnset (Core)'!$D$"&amp;MATCH($E796,'0.0.2 Pokémon Learnset (Core)'!$A$1:$A951,0)&amp;":$FK$"&amp;MATCH($E796,'0.0.2 Pokémon Learnset (Core)'!$A$1:$A951,0)),'Reverse Search'!$E$21)),IF($C$2=2,COUNTIF(INDIRECT("'0.1.1 Pokémon GO Moves'!$B$"&amp;MATCH($E796,'0.1.1 Pokémon GO Moves'!$A$1:$A951,0)&amp;":$R$"&amp;MATCH($E796,'0.1.1 Pokémon GO Moves'!$A$1:$A951,0)),'Reverse Search'!$E$21),COUNTIF(INDIRECT("'0.1.1 Pokémon GO Moves'!$B$"&amp;MATCH($E796,'0.1.1 Pokémon GO Moves'!$A$1:$A951,0)&amp;":$L$"&amp;MATCH($E796,'0.1.1 Pokémon GO Moves'!$A$1:$A951,0)),'Reverse Search'!$E$21)))))</f>
        <v>1</v>
      </c>
      <c r="AA796" s="0" t="n">
        <f aca="true">IF('Reverse Search'!$C$14="Disable",1,IF('Reverse Search'!$I$16="Disable",1,IF($D$2=3,IF($M796=0,0,COUNTIF(INDIRECT("'0.0.2 Pokémon Learnset (Core)'!$D$"&amp;MATCH($E796,'0.0.2 Pokémon Learnset (Core)'!$A$1:$A951,0)&amp;":$FK$"&amp;MATCH($E796,'0.0.2 Pokémon Learnset (Core)'!$A$1:$A951,0)),'Reverse Search'!$J$21)),IF($D$2=2,COUNTIF(INDIRECT("'0.1.1 Pokémon GO Moves'!$B$"&amp;MATCH($E796,'0.1.1 Pokémon GO Moves'!$A$1:$A951,0)&amp;":$R$"&amp;MATCH($E796,'0.1.1 Pokémon GO Moves'!$A$1:$A951,0)),'Reverse Search'!$J$21),COUNTIF(INDIRECT("'0.1.1 Pokémon GO Moves'!$B$"&amp;MATCH($E796,'0.1.1 Pokémon GO Moves'!$A$1:$A951,0)&amp;":$L$"&amp;MATCH($E796,'0.1.1 Pokémon GO Moves'!$A$1:$A951,0)),'Reverse Search'!$J$21)))))</f>
        <v>0</v>
      </c>
      <c r="AB796" s="490"/>
      <c r="AC796" s="260" t="n">
        <f aca="false">IF((Q796+R796+S796+V796+W796+X796+Y796+IF(Z796&gt;=1,1,0)+IF(AA796&gt;=1,1,0))=9,G796&amp;", ",)</f>
        <v>0</v>
      </c>
    </row>
    <row r="797" customFormat="false" ht="15.75" hidden="false" customHeight="false" outlineLevel="0" collapsed="false">
      <c r="A797" s="260"/>
      <c r="B797" s="358"/>
      <c r="C797" s="260"/>
      <c r="D797" s="358"/>
      <c r="E797" s="260" t="n">
        <v>796</v>
      </c>
      <c r="F797" s="260" t="n">
        <f aca="false" t="array" ref="F797:F797">INDEX('0.0.1 Pokémon Dex Data'!$H$3:$H951,MATCH(E797,'0.0.1 Pokémon Dex Data'!$B$3:$B951,0))</f>
        <v>0</v>
      </c>
      <c r="G797" s="0" t="str">
        <f aca="false" t="array" ref="G797:G797">INDEX('0.0.1 Pokémon Dex Data'!$E$3:$E951,MATCH(E797,'0.0.1 Pokémon Dex Data'!$B$3:$B951,0))</f>
        <v>Malamar</v>
      </c>
      <c r="H797" s="0" t="str">
        <f aca="false" t="array" ref="H797:H797">INDEX('0.0.1 Pokémon Dex Data'!$Q$3:$Q951,MATCH(E797,'0.0.1 Pokémon Dex Data'!$B$3:$B951,0))</f>
        <v>Dark</v>
      </c>
      <c r="I797" s="0" t="str">
        <f aca="false" t="array" ref="I797:I797">INDEX('0.0.1 Pokémon Dex Data'!$R$3:$R951,MATCH(E797,'0.0.1 Pokémon Dex Data'!$B$3:$B951,0))</f>
        <v>Psychic</v>
      </c>
      <c r="J797" s="260" t="n">
        <f aca="false" t="array" ref="J797:J797">ROUND(INDEX('0.0.1 Pokémon Dex Data'!$S$3:$S951,MATCH($E797,'0.0.1 Pokémon Dex Data'!$B$3:$B951,0))*INDEX('0.0.1 Pokémon Dex Data'!T$3:T951,MATCH($E797,'0.0.1 Pokémon Dex Data'!$B$3:$B951,0)),0)</f>
        <v>177</v>
      </c>
      <c r="K797" s="260" t="n">
        <f aca="false" t="array" ref="K797:K797">ROUND(INDEX('0.0.1 Pokémon Dex Data'!$S$3:$S951,MATCH($E797,'0.0.1 Pokémon Dex Data'!$B$3:$B951,0))*INDEX('0.0.1 Pokémon Dex Data'!U$3:U951,MATCH($E797,'0.0.1 Pokémon Dex Data'!$B$3:$B951,0)),0)</f>
        <v>165</v>
      </c>
      <c r="L797" s="260" t="n">
        <f aca="false" t="array" ref="L797:L797">ROUND(INDEX('0.0.1 Pokémon Dex Data'!$S$3:$S951,MATCH($E797,'0.0.1 Pokémon Dex Data'!$B$3:$B951,0))*INDEX('0.0.1 Pokémon Dex Data'!V$3:V951,MATCH($E797,'0.0.1 Pokémon Dex Data'!$B$3:$B951,0)),0)</f>
        <v>200</v>
      </c>
      <c r="M797" s="260" t="n">
        <f aca="false" t="array" ref="M797:M797">INDEX('0.0.1 Pokémon Dex Data'!$J$3:$J951,MATCH(E797,'0.0.1 Pokémon Dex Data'!$B$3:$B951,0))</f>
        <v>1</v>
      </c>
      <c r="O797" s="490"/>
      <c r="Q797" s="367" t="n">
        <f aca="false">IF('Reverse Search'!$F$4="All (including temporary formes)",1,IF('Reverse Search'!$F$4="Base Pokémon and permanent formes only",IF(F797&lt;=1,1,0),IF(F797=0,1,0)))</f>
        <v>1</v>
      </c>
      <c r="R797" s="0" t="n">
        <f aca="false">IF('Reverse Search'!$C$7="Disable",1,IF('Reverse Search'!$D$9="Disable",1,IF(OR('Reverse Search'!$F$9=H797,'Reverse Search'!$F$9=I797),1,0)))</f>
        <v>1</v>
      </c>
      <c r="S797" s="0" t="n">
        <f aca="false">IF('Reverse Search'!$C$7="Disable",1,IF('Reverse Search'!$D$10="Disable",1,IF(OR('Reverse Search'!$F$10=H797,'Reverse Search'!$F$10=I797),1,0)))</f>
        <v>1</v>
      </c>
      <c r="T797" s="0" t="n">
        <f aca="false">INDEX($B$4:$B$22,MATCH(H797,$A$4:$A$22,0))</f>
        <v>1</v>
      </c>
      <c r="U797" s="0" t="n">
        <f aca="false">IF(ISBLANK(I797),1,INDEX($B$4:$B$22,MATCH(I797,$A$4:$A$22,0)))</f>
        <v>1</v>
      </c>
      <c r="V797" s="367" t="n">
        <f aca="false">IF('Reverse Search'!$C$7="Disable",1,IF('Reverse Search'!$D$11="Disable",1,IF('Reverse Search'!$E$11="Neutral to:",IF(ROUND(T797*U797,2)&lt;=1,1,0),IF(ROUND(T797*U797,2)&lt;1,1,0))))</f>
        <v>1</v>
      </c>
      <c r="W797" s="0" t="n">
        <f aca="false">IF('Reverse Search'!$N$7="Disable",1,IF('Reverse Search'!$I$9="Disable",1,IF('Reverse Search'!$K$9="≥",IF(J797&gt;='Reverse Search'!$L$9,1,0),IF('Reverse Search'!$K$9="≤",IF(J797&lt;='Reverse Search'!$L$9,1,0),IF(J797='Reverse Search'!$L$9,1,0)))))</f>
        <v>1</v>
      </c>
      <c r="X797" s="0" t="n">
        <f aca="false">IF('Reverse Search'!$N$7="Disable",1,IF('Reverse Search'!$I$10="Disable",1,IF('Reverse Search'!$K$10="≥",IF(K797&gt;='Reverse Search'!$L$10,1,0),IF('Reverse Search'!$K$10="≤",IF(K797&lt;='Reverse Search'!$L$10,1,0),IF(K797='Reverse Search'!$L$10,1,0)))))</f>
        <v>1</v>
      </c>
      <c r="Y797" s="367" t="n">
        <f aca="false">IF('Reverse Search'!$N$7="Disable",1,IF('Reverse Search'!$I$11="Disable",1,IF('Reverse Search'!$K$11="≥",IF(L797&gt;='Reverse Search'!$L$11,1,0),IF('Reverse Search'!$K$11="≤",IF(L797&lt;='Reverse Search'!$L$11,1,0),IF(L797='Reverse Search'!$L$11,1,0)))))</f>
        <v>1</v>
      </c>
      <c r="Z797" s="0" t="n">
        <f aca="true">IF('Reverse Search'!$C$14="Disable",1,IF('Reverse Search'!$D$16="Disable",1,IF($C$2=3,IF($M797=0,0,COUNTIF(INDIRECT("'0.0.2 Pokémon Learnset (Core)'!$D$"&amp;MATCH($E797,'0.0.2 Pokémon Learnset (Core)'!$A$1:$A951,0)&amp;":$FK$"&amp;MATCH($E797,'0.0.2 Pokémon Learnset (Core)'!$A$1:$A951,0)),'Reverse Search'!$E$21)),IF($C$2=2,COUNTIF(INDIRECT("'0.1.1 Pokémon GO Moves'!$B$"&amp;MATCH($E797,'0.1.1 Pokémon GO Moves'!$A$1:$A951,0)&amp;":$R$"&amp;MATCH($E797,'0.1.1 Pokémon GO Moves'!$A$1:$A951,0)),'Reverse Search'!$E$21),COUNTIF(INDIRECT("'0.1.1 Pokémon GO Moves'!$B$"&amp;MATCH($E797,'0.1.1 Pokémon GO Moves'!$A$1:$A951,0)&amp;":$L$"&amp;MATCH($E797,'0.1.1 Pokémon GO Moves'!$A$1:$A951,0)),'Reverse Search'!$E$21)))))</f>
        <v>1</v>
      </c>
      <c r="AA797" s="0" t="n">
        <f aca="true">IF('Reverse Search'!$C$14="Disable",1,IF('Reverse Search'!$I$16="Disable",1,IF($D$2=3,IF($M797=0,0,COUNTIF(INDIRECT("'0.0.2 Pokémon Learnset (Core)'!$D$"&amp;MATCH($E797,'0.0.2 Pokémon Learnset (Core)'!$A$1:$A951,0)&amp;":$FK$"&amp;MATCH($E797,'0.0.2 Pokémon Learnset (Core)'!$A$1:$A951,0)),'Reverse Search'!$J$21)),IF($D$2=2,COUNTIF(INDIRECT("'0.1.1 Pokémon GO Moves'!$B$"&amp;MATCH($E797,'0.1.1 Pokémon GO Moves'!$A$1:$A951,0)&amp;":$R$"&amp;MATCH($E797,'0.1.1 Pokémon GO Moves'!$A$1:$A951,0)),'Reverse Search'!$J$21),COUNTIF(INDIRECT("'0.1.1 Pokémon GO Moves'!$B$"&amp;MATCH($E797,'0.1.1 Pokémon GO Moves'!$A$1:$A951,0)&amp;":$L$"&amp;MATCH($E797,'0.1.1 Pokémon GO Moves'!$A$1:$A951,0)),'Reverse Search'!$J$21)))))</f>
        <v>0</v>
      </c>
      <c r="AB797" s="490"/>
      <c r="AC797" s="260" t="n">
        <f aca="false">IF((Q797+R797+S797+V797+W797+X797+Y797+IF(Z797&gt;=1,1,0)+IF(AA797&gt;=1,1,0))=9,G797&amp;", ",)</f>
        <v>0</v>
      </c>
    </row>
    <row r="798" customFormat="false" ht="15.75" hidden="false" customHeight="false" outlineLevel="0" collapsed="false">
      <c r="A798" s="260"/>
      <c r="B798" s="358"/>
      <c r="C798" s="260"/>
      <c r="D798" s="358"/>
      <c r="E798" s="260" t="n">
        <v>797</v>
      </c>
      <c r="F798" s="260" t="n">
        <f aca="false" t="array" ref="F798:F798">INDEX('0.0.1 Pokémon Dex Data'!$H$3:$H951,MATCH(E798,'0.0.1 Pokémon Dex Data'!$B$3:$B951,0))</f>
        <v>0</v>
      </c>
      <c r="G798" s="0" t="str">
        <f aca="false" t="array" ref="G798:G798">INDEX('0.0.1 Pokémon Dex Data'!$E$3:$E951,MATCH(E798,'0.0.1 Pokémon Dex Data'!$B$3:$B951,0))</f>
        <v>Binacle</v>
      </c>
      <c r="H798" s="0" t="str">
        <f aca="false" t="array" ref="H798:H798">INDEX('0.0.1 Pokémon Dex Data'!$Q$3:$Q951,MATCH(E798,'0.0.1 Pokémon Dex Data'!$B$3:$B951,0))</f>
        <v>Rock</v>
      </c>
      <c r="I798" s="0" t="str">
        <f aca="false" t="array" ref="I798:I798">INDEX('0.0.1 Pokémon Dex Data'!$R$3:$R951,MATCH(E798,'0.0.1 Pokémon Dex Data'!$B$3:$B951,0))</f>
        <v>Water</v>
      </c>
      <c r="J798" s="260" t="n">
        <f aca="false" t="array" ref="J798:J798">ROUND(INDEX('0.0.1 Pokémon Dex Data'!$S$3:$S951,MATCH($E798,'0.0.1 Pokémon Dex Data'!$B$3:$B951,0))*INDEX('0.0.1 Pokémon Dex Data'!T$3:T951,MATCH($E798,'0.0.1 Pokémon Dex Data'!$B$3:$B951,0)),0)</f>
        <v>96</v>
      </c>
      <c r="K798" s="260" t="n">
        <f aca="false" t="array" ref="K798:K798">ROUND(INDEX('0.0.1 Pokémon Dex Data'!$S$3:$S951,MATCH($E798,'0.0.1 Pokémon Dex Data'!$B$3:$B951,0))*INDEX('0.0.1 Pokémon Dex Data'!U$3:U951,MATCH($E798,'0.0.1 Pokémon Dex Data'!$B$3:$B951,0)),0)</f>
        <v>120</v>
      </c>
      <c r="L798" s="260" t="n">
        <f aca="false" t="array" ref="L798:L798">ROUND(INDEX('0.0.1 Pokémon Dex Data'!$S$3:$S951,MATCH($E798,'0.0.1 Pokémon Dex Data'!$B$3:$B951,0))*INDEX('0.0.1 Pokémon Dex Data'!V$3:V951,MATCH($E798,'0.0.1 Pokémon Dex Data'!$B$3:$B951,0)),0)</f>
        <v>123</v>
      </c>
      <c r="M798" s="260" t="n">
        <f aca="false" t="array" ref="M798:M798">INDEX('0.0.1 Pokémon Dex Data'!$J$3:$J951,MATCH(E798,'0.0.1 Pokémon Dex Data'!$B$3:$B951,0))</f>
        <v>0</v>
      </c>
      <c r="O798" s="490"/>
      <c r="Q798" s="367" t="n">
        <f aca="false">IF('Reverse Search'!$F$4="All (including temporary formes)",1,IF('Reverse Search'!$F$4="Base Pokémon and permanent formes only",IF(F798&lt;=1,1,0),IF(F798=0,1,0)))</f>
        <v>1</v>
      </c>
      <c r="R798" s="0" t="n">
        <f aca="false">IF('Reverse Search'!$C$7="Disable",1,IF('Reverse Search'!$D$9="Disable",1,IF(OR('Reverse Search'!$F$9=H798,'Reverse Search'!$F$9=I798),1,0)))</f>
        <v>1</v>
      </c>
      <c r="S798" s="0" t="n">
        <f aca="false">IF('Reverse Search'!$C$7="Disable",1,IF('Reverse Search'!$D$10="Disable",1,IF(OR('Reverse Search'!$F$10=H798,'Reverse Search'!$F$10=I798),1,0)))</f>
        <v>1</v>
      </c>
      <c r="T798" s="0" t="n">
        <f aca="false">INDEX($B$4:$B$22,MATCH(H798,$A$4:$A$22,0))</f>
        <v>0.714</v>
      </c>
      <c r="U798" s="0" t="n">
        <f aca="false">IF(ISBLANK(I798),1,INDEX($B$4:$B$22,MATCH(I798,$A$4:$A$22,0)))</f>
        <v>1</v>
      </c>
      <c r="V798" s="367" t="n">
        <f aca="false">IF('Reverse Search'!$C$7="Disable",1,IF('Reverse Search'!$D$11="Disable",1,IF('Reverse Search'!$E$11="Neutral to:",IF(ROUND(T798*U798,2)&lt;=1,1,0),IF(ROUND(T798*U798,2)&lt;1,1,0))))</f>
        <v>1</v>
      </c>
      <c r="W798" s="0" t="n">
        <f aca="false">IF('Reverse Search'!$N$7="Disable",1,IF('Reverse Search'!$I$9="Disable",1,IF('Reverse Search'!$K$9="≥",IF(J798&gt;='Reverse Search'!$L$9,1,0),IF('Reverse Search'!$K$9="≤",IF(J798&lt;='Reverse Search'!$L$9,1,0),IF(J798='Reverse Search'!$L$9,1,0)))))</f>
        <v>1</v>
      </c>
      <c r="X798" s="0" t="n">
        <f aca="false">IF('Reverse Search'!$N$7="Disable",1,IF('Reverse Search'!$I$10="Disable",1,IF('Reverse Search'!$K$10="≥",IF(K798&gt;='Reverse Search'!$L$10,1,0),IF('Reverse Search'!$K$10="≤",IF(K798&lt;='Reverse Search'!$L$10,1,0),IF(K798='Reverse Search'!$L$10,1,0)))))</f>
        <v>1</v>
      </c>
      <c r="Y798" s="367" t="n">
        <f aca="false">IF('Reverse Search'!$N$7="Disable",1,IF('Reverse Search'!$I$11="Disable",1,IF('Reverse Search'!$K$11="≥",IF(L798&gt;='Reverse Search'!$L$11,1,0),IF('Reverse Search'!$K$11="≤",IF(L798&lt;='Reverse Search'!$L$11,1,0),IF(L798='Reverse Search'!$L$11,1,0)))))</f>
        <v>1</v>
      </c>
      <c r="Z798" s="0" t="n">
        <f aca="true">IF('Reverse Search'!$C$14="Disable",1,IF('Reverse Search'!$D$16="Disable",1,IF($C$2=3,IF($M798=0,0,COUNTIF(INDIRECT("'0.0.2 Pokémon Learnset (Core)'!$D$"&amp;MATCH($E798,'0.0.2 Pokémon Learnset (Core)'!$A$1:$A951,0)&amp;":$FK$"&amp;MATCH($E798,'0.0.2 Pokémon Learnset (Core)'!$A$1:$A951,0)),'Reverse Search'!$E$21)),IF($C$2=2,COUNTIF(INDIRECT("'0.1.1 Pokémon GO Moves'!$B$"&amp;MATCH($E798,'0.1.1 Pokémon GO Moves'!$A$1:$A951,0)&amp;":$R$"&amp;MATCH($E798,'0.1.1 Pokémon GO Moves'!$A$1:$A951,0)),'Reverse Search'!$E$21),COUNTIF(INDIRECT("'0.1.1 Pokémon GO Moves'!$B$"&amp;MATCH($E798,'0.1.1 Pokémon GO Moves'!$A$1:$A951,0)&amp;":$L$"&amp;MATCH($E798,'0.1.1 Pokémon GO Moves'!$A$1:$A951,0)),'Reverse Search'!$E$21)))))</f>
        <v>1</v>
      </c>
      <c r="AA798" s="0" t="n">
        <f aca="true">IF('Reverse Search'!$C$14="Disable",1,IF('Reverse Search'!$I$16="Disable",1,IF($D$2=3,IF($M798=0,0,COUNTIF(INDIRECT("'0.0.2 Pokémon Learnset (Core)'!$D$"&amp;MATCH($E798,'0.0.2 Pokémon Learnset (Core)'!$A$1:$A951,0)&amp;":$FK$"&amp;MATCH($E798,'0.0.2 Pokémon Learnset (Core)'!$A$1:$A951,0)),'Reverse Search'!$J$21)),IF($D$2=2,COUNTIF(INDIRECT("'0.1.1 Pokémon GO Moves'!$B$"&amp;MATCH($E798,'0.1.1 Pokémon GO Moves'!$A$1:$A951,0)&amp;":$R$"&amp;MATCH($E798,'0.1.1 Pokémon GO Moves'!$A$1:$A951,0)),'Reverse Search'!$J$21),COUNTIF(INDIRECT("'0.1.1 Pokémon GO Moves'!$B$"&amp;MATCH($E798,'0.1.1 Pokémon GO Moves'!$A$1:$A951,0)&amp;":$L$"&amp;MATCH($E798,'0.1.1 Pokémon GO Moves'!$A$1:$A951,0)),'Reverse Search'!$J$21)))))</f>
        <v>0</v>
      </c>
      <c r="AB798" s="490"/>
      <c r="AC798" s="260" t="n">
        <f aca="false">IF((Q798+R798+S798+V798+W798+X798+Y798+IF(Z798&gt;=1,1,0)+IF(AA798&gt;=1,1,0))=9,G798&amp;", ",)</f>
        <v>0</v>
      </c>
    </row>
    <row r="799" customFormat="false" ht="15.75" hidden="false" customHeight="false" outlineLevel="0" collapsed="false">
      <c r="A799" s="260"/>
      <c r="B799" s="358"/>
      <c r="C799" s="260"/>
      <c r="D799" s="358"/>
      <c r="E799" s="260" t="n">
        <v>798</v>
      </c>
      <c r="F799" s="260" t="n">
        <f aca="false" t="array" ref="F799:F799">INDEX('0.0.1 Pokémon Dex Data'!$H$3:$H951,MATCH(E799,'0.0.1 Pokémon Dex Data'!$B$3:$B951,0))</f>
        <v>0</v>
      </c>
      <c r="G799" s="0" t="str">
        <f aca="false" t="array" ref="G799:G799">INDEX('0.0.1 Pokémon Dex Data'!$E$3:$E951,MATCH(E799,'0.0.1 Pokémon Dex Data'!$B$3:$B951,0))</f>
        <v>Barbaracle</v>
      </c>
      <c r="H799" s="0" t="str">
        <f aca="false" t="array" ref="H799:H799">INDEX('0.0.1 Pokémon Dex Data'!$Q$3:$Q951,MATCH(E799,'0.0.1 Pokémon Dex Data'!$B$3:$B951,0))</f>
        <v>Rock</v>
      </c>
      <c r="I799" s="0" t="str">
        <f aca="false" t="array" ref="I799:I799">INDEX('0.0.1 Pokémon Dex Data'!$R$3:$R951,MATCH(E799,'0.0.1 Pokémon Dex Data'!$B$3:$B951,0))</f>
        <v>Water</v>
      </c>
      <c r="J799" s="260" t="n">
        <f aca="false" t="array" ref="J799:J799">ROUND(INDEX('0.0.1 Pokémon Dex Data'!$S$3:$S951,MATCH($E799,'0.0.1 Pokémon Dex Data'!$B$3:$B951,0))*INDEX('0.0.1 Pokémon Dex Data'!T$3:T951,MATCH($E799,'0.0.1 Pokémon Dex Data'!$B$3:$B951,0)),0)</f>
        <v>194</v>
      </c>
      <c r="K799" s="260" t="n">
        <f aca="false" t="array" ref="K799:K799">ROUND(INDEX('0.0.1 Pokémon Dex Data'!$S$3:$S951,MATCH($E799,'0.0.1 Pokémon Dex Data'!$B$3:$B951,0))*INDEX('0.0.1 Pokémon Dex Data'!U$3:U951,MATCH($E799,'0.0.1 Pokémon Dex Data'!$B$3:$B951,0)),0)</f>
        <v>205</v>
      </c>
      <c r="L799" s="260" t="n">
        <f aca="false" t="array" ref="L799:L799">ROUND(INDEX('0.0.1 Pokémon Dex Data'!$S$3:$S951,MATCH($E799,'0.0.1 Pokémon Dex Data'!$B$3:$B951,0))*INDEX('0.0.1 Pokémon Dex Data'!V$3:V951,MATCH($E799,'0.0.1 Pokémon Dex Data'!$B$3:$B951,0)),0)</f>
        <v>176</v>
      </c>
      <c r="M799" s="260" t="n">
        <f aca="false" t="array" ref="M799:M799">INDEX('0.0.1 Pokémon Dex Data'!$J$3:$J951,MATCH(E799,'0.0.1 Pokémon Dex Data'!$B$3:$B951,0))</f>
        <v>1</v>
      </c>
      <c r="O799" s="490"/>
      <c r="Q799" s="367" t="n">
        <f aca="false">IF('Reverse Search'!$F$4="All (including temporary formes)",1,IF('Reverse Search'!$F$4="Base Pokémon and permanent formes only",IF(F799&lt;=1,1,0),IF(F799=0,1,0)))</f>
        <v>1</v>
      </c>
      <c r="R799" s="0" t="n">
        <f aca="false">IF('Reverse Search'!$C$7="Disable",1,IF('Reverse Search'!$D$9="Disable",1,IF(OR('Reverse Search'!$F$9=H799,'Reverse Search'!$F$9=I799),1,0)))</f>
        <v>1</v>
      </c>
      <c r="S799" s="0" t="n">
        <f aca="false">IF('Reverse Search'!$C$7="Disable",1,IF('Reverse Search'!$D$10="Disable",1,IF(OR('Reverse Search'!$F$10=H799,'Reverse Search'!$F$10=I799),1,0)))</f>
        <v>1</v>
      </c>
      <c r="T799" s="0" t="n">
        <f aca="false">INDEX($B$4:$B$22,MATCH(H799,$A$4:$A$22,0))</f>
        <v>0.714</v>
      </c>
      <c r="U799" s="0" t="n">
        <f aca="false">IF(ISBLANK(I799),1,INDEX($B$4:$B$22,MATCH(I799,$A$4:$A$22,0)))</f>
        <v>1</v>
      </c>
      <c r="V799" s="367" t="n">
        <f aca="false">IF('Reverse Search'!$C$7="Disable",1,IF('Reverse Search'!$D$11="Disable",1,IF('Reverse Search'!$E$11="Neutral to:",IF(ROUND(T799*U799,2)&lt;=1,1,0),IF(ROUND(T799*U799,2)&lt;1,1,0))))</f>
        <v>1</v>
      </c>
      <c r="W799" s="0" t="n">
        <f aca="false">IF('Reverse Search'!$N$7="Disable",1,IF('Reverse Search'!$I$9="Disable",1,IF('Reverse Search'!$K$9="≥",IF(J799&gt;='Reverse Search'!$L$9,1,0),IF('Reverse Search'!$K$9="≤",IF(J799&lt;='Reverse Search'!$L$9,1,0),IF(J799='Reverse Search'!$L$9,1,0)))))</f>
        <v>1</v>
      </c>
      <c r="X799" s="0" t="n">
        <f aca="false">IF('Reverse Search'!$N$7="Disable",1,IF('Reverse Search'!$I$10="Disable",1,IF('Reverse Search'!$K$10="≥",IF(K799&gt;='Reverse Search'!$L$10,1,0),IF('Reverse Search'!$K$10="≤",IF(K799&lt;='Reverse Search'!$L$10,1,0),IF(K799='Reverse Search'!$L$10,1,0)))))</f>
        <v>1</v>
      </c>
      <c r="Y799" s="367" t="n">
        <f aca="false">IF('Reverse Search'!$N$7="Disable",1,IF('Reverse Search'!$I$11="Disable",1,IF('Reverse Search'!$K$11="≥",IF(L799&gt;='Reverse Search'!$L$11,1,0),IF('Reverse Search'!$K$11="≤",IF(L799&lt;='Reverse Search'!$L$11,1,0),IF(L799='Reverse Search'!$L$11,1,0)))))</f>
        <v>1</v>
      </c>
      <c r="Z799" s="0" t="n">
        <f aca="true">IF('Reverse Search'!$C$14="Disable",1,IF('Reverse Search'!$D$16="Disable",1,IF($C$2=3,IF($M799=0,0,COUNTIF(INDIRECT("'0.0.2 Pokémon Learnset (Core)'!$D$"&amp;MATCH($E799,'0.0.2 Pokémon Learnset (Core)'!$A$1:$A951,0)&amp;":$FK$"&amp;MATCH($E799,'0.0.2 Pokémon Learnset (Core)'!$A$1:$A951,0)),'Reverse Search'!$E$21)),IF($C$2=2,COUNTIF(INDIRECT("'0.1.1 Pokémon GO Moves'!$B$"&amp;MATCH($E799,'0.1.1 Pokémon GO Moves'!$A$1:$A951,0)&amp;":$R$"&amp;MATCH($E799,'0.1.1 Pokémon GO Moves'!$A$1:$A951,0)),'Reverse Search'!$E$21),COUNTIF(INDIRECT("'0.1.1 Pokémon GO Moves'!$B$"&amp;MATCH($E799,'0.1.1 Pokémon GO Moves'!$A$1:$A951,0)&amp;":$L$"&amp;MATCH($E799,'0.1.1 Pokémon GO Moves'!$A$1:$A951,0)),'Reverse Search'!$E$21)))))</f>
        <v>1</v>
      </c>
      <c r="AA799" s="0" t="n">
        <f aca="true">IF('Reverse Search'!$C$14="Disable",1,IF('Reverse Search'!$I$16="Disable",1,IF($D$2=3,IF($M799=0,0,COUNTIF(INDIRECT("'0.0.2 Pokémon Learnset (Core)'!$D$"&amp;MATCH($E799,'0.0.2 Pokémon Learnset (Core)'!$A$1:$A951,0)&amp;":$FK$"&amp;MATCH($E799,'0.0.2 Pokémon Learnset (Core)'!$A$1:$A951,0)),'Reverse Search'!$J$21)),IF($D$2=2,COUNTIF(INDIRECT("'0.1.1 Pokémon GO Moves'!$B$"&amp;MATCH($E799,'0.1.1 Pokémon GO Moves'!$A$1:$A951,0)&amp;":$R$"&amp;MATCH($E799,'0.1.1 Pokémon GO Moves'!$A$1:$A951,0)),'Reverse Search'!$J$21),COUNTIF(INDIRECT("'0.1.1 Pokémon GO Moves'!$B$"&amp;MATCH($E799,'0.1.1 Pokémon GO Moves'!$A$1:$A951,0)&amp;":$L$"&amp;MATCH($E799,'0.1.1 Pokémon GO Moves'!$A$1:$A951,0)),'Reverse Search'!$J$21)))))</f>
        <v>0</v>
      </c>
      <c r="AB799" s="490"/>
      <c r="AC799" s="260" t="n">
        <f aca="false">IF((Q799+R799+S799+V799+W799+X799+Y799+IF(Z799&gt;=1,1,0)+IF(AA799&gt;=1,1,0))=9,G799&amp;", ",)</f>
        <v>0</v>
      </c>
    </row>
    <row r="800" customFormat="false" ht="15.75" hidden="false" customHeight="false" outlineLevel="0" collapsed="false">
      <c r="A800" s="260"/>
      <c r="B800" s="358"/>
      <c r="C800" s="260"/>
      <c r="D800" s="358"/>
      <c r="E800" s="260" t="n">
        <v>799</v>
      </c>
      <c r="F800" s="260" t="n">
        <f aca="false" t="array" ref="F800:F800">INDEX('0.0.1 Pokémon Dex Data'!$H$3:$H951,MATCH(E800,'0.0.1 Pokémon Dex Data'!$B$3:$B951,0))</f>
        <v>0</v>
      </c>
      <c r="G800" s="0" t="str">
        <f aca="false" t="array" ref="G800:G800">INDEX('0.0.1 Pokémon Dex Data'!$E$3:$E951,MATCH(E800,'0.0.1 Pokémon Dex Data'!$B$3:$B951,0))</f>
        <v>Skrelp</v>
      </c>
      <c r="H800" s="0" t="str">
        <f aca="false" t="array" ref="H800:H800">INDEX('0.0.1 Pokémon Dex Data'!$Q$3:$Q951,MATCH(E800,'0.0.1 Pokémon Dex Data'!$B$3:$B951,0))</f>
        <v>Poison</v>
      </c>
      <c r="I800" s="0" t="str">
        <f aca="false" t="array" ref="I800:I800">INDEX('0.0.1 Pokémon Dex Data'!$R$3:$R951,MATCH(E800,'0.0.1 Pokémon Dex Data'!$B$3:$B951,0))</f>
        <v>Water</v>
      </c>
      <c r="J800" s="260" t="n">
        <f aca="false" t="array" ref="J800:J800">ROUND(INDEX('0.0.1 Pokémon Dex Data'!$S$3:$S951,MATCH($E800,'0.0.1 Pokémon Dex Data'!$B$3:$B951,0))*INDEX('0.0.1 Pokémon Dex Data'!T$3:T951,MATCH($E800,'0.0.1 Pokémon Dex Data'!$B$3:$B951,0)),0)</f>
        <v>109</v>
      </c>
      <c r="K800" s="260" t="n">
        <f aca="false" t="array" ref="K800:K800">ROUND(INDEX('0.0.1 Pokémon Dex Data'!$S$3:$S951,MATCH($E800,'0.0.1 Pokémon Dex Data'!$B$3:$B951,0))*INDEX('0.0.1 Pokémon Dex Data'!U$3:U951,MATCH($E800,'0.0.1 Pokémon Dex Data'!$B$3:$B951,0)),0)</f>
        <v>109</v>
      </c>
      <c r="L800" s="260" t="n">
        <f aca="false" t="array" ref="L800:L800">ROUND(INDEX('0.0.1 Pokémon Dex Data'!$S$3:$S951,MATCH($E800,'0.0.1 Pokémon Dex Data'!$B$3:$B951,0))*INDEX('0.0.1 Pokémon Dex Data'!V$3:V951,MATCH($E800,'0.0.1 Pokémon Dex Data'!$B$3:$B951,0)),0)</f>
        <v>137</v>
      </c>
      <c r="M800" s="260" t="n">
        <f aca="false" t="array" ref="M800:M800">INDEX('0.0.1 Pokémon Dex Data'!$J$3:$J951,MATCH(E800,'0.0.1 Pokémon Dex Data'!$B$3:$B951,0))</f>
        <v>0</v>
      </c>
      <c r="O800" s="490"/>
      <c r="Q800" s="367" t="n">
        <f aca="false">IF('Reverse Search'!$F$4="All (including temporary formes)",1,IF('Reverse Search'!$F$4="Base Pokémon and permanent formes only",IF(F800&lt;=1,1,0),IF(F800=0,1,0)))</f>
        <v>1</v>
      </c>
      <c r="R800" s="0" t="n">
        <f aca="false">IF('Reverse Search'!$C$7="Disable",1,IF('Reverse Search'!$D$9="Disable",1,IF(OR('Reverse Search'!$F$9=H800,'Reverse Search'!$F$9=I800),1,0)))</f>
        <v>1</v>
      </c>
      <c r="S800" s="0" t="n">
        <f aca="false">IF('Reverse Search'!$C$7="Disable",1,IF('Reverse Search'!$D$10="Disable",1,IF(OR('Reverse Search'!$F$10=H800,'Reverse Search'!$F$10=I800),1,0)))</f>
        <v>1</v>
      </c>
      <c r="T800" s="0" t="n">
        <f aca="false">INDEX($B$4:$B$22,MATCH(H800,$A$4:$A$22,0))</f>
        <v>1</v>
      </c>
      <c r="U800" s="0" t="n">
        <f aca="false">IF(ISBLANK(I800),1,INDEX($B$4:$B$22,MATCH(I800,$A$4:$A$22,0)))</f>
        <v>1</v>
      </c>
      <c r="V800" s="367" t="n">
        <f aca="false">IF('Reverse Search'!$C$7="Disable",1,IF('Reverse Search'!$D$11="Disable",1,IF('Reverse Search'!$E$11="Neutral to:",IF(ROUND(T800*U800,2)&lt;=1,1,0),IF(ROUND(T800*U800,2)&lt;1,1,0))))</f>
        <v>1</v>
      </c>
      <c r="W800" s="0" t="n">
        <f aca="false">IF('Reverse Search'!$N$7="Disable",1,IF('Reverse Search'!$I$9="Disable",1,IF('Reverse Search'!$K$9="≥",IF(J800&gt;='Reverse Search'!$L$9,1,0),IF('Reverse Search'!$K$9="≤",IF(J800&lt;='Reverse Search'!$L$9,1,0),IF(J800='Reverse Search'!$L$9,1,0)))))</f>
        <v>1</v>
      </c>
      <c r="X800" s="0" t="n">
        <f aca="false">IF('Reverse Search'!$N$7="Disable",1,IF('Reverse Search'!$I$10="Disable",1,IF('Reverse Search'!$K$10="≥",IF(K800&gt;='Reverse Search'!$L$10,1,0),IF('Reverse Search'!$K$10="≤",IF(K800&lt;='Reverse Search'!$L$10,1,0),IF(K800='Reverse Search'!$L$10,1,0)))))</f>
        <v>1</v>
      </c>
      <c r="Y800" s="367" t="n">
        <f aca="false">IF('Reverse Search'!$N$7="Disable",1,IF('Reverse Search'!$I$11="Disable",1,IF('Reverse Search'!$K$11="≥",IF(L800&gt;='Reverse Search'!$L$11,1,0),IF('Reverse Search'!$K$11="≤",IF(L800&lt;='Reverse Search'!$L$11,1,0),IF(L800='Reverse Search'!$L$11,1,0)))))</f>
        <v>1</v>
      </c>
      <c r="Z800" s="0" t="n">
        <f aca="true">IF('Reverse Search'!$C$14="Disable",1,IF('Reverse Search'!$D$16="Disable",1,IF($C$2=3,IF($M800=0,0,COUNTIF(INDIRECT("'0.0.2 Pokémon Learnset (Core)'!$D$"&amp;MATCH($E800,'0.0.2 Pokémon Learnset (Core)'!$A$1:$A951,0)&amp;":$FK$"&amp;MATCH($E800,'0.0.2 Pokémon Learnset (Core)'!$A$1:$A951,0)),'Reverse Search'!$E$21)),IF($C$2=2,COUNTIF(INDIRECT("'0.1.1 Pokémon GO Moves'!$B$"&amp;MATCH($E800,'0.1.1 Pokémon GO Moves'!$A$1:$A951,0)&amp;":$R$"&amp;MATCH($E800,'0.1.1 Pokémon GO Moves'!$A$1:$A951,0)),'Reverse Search'!$E$21),COUNTIF(INDIRECT("'0.1.1 Pokémon GO Moves'!$B$"&amp;MATCH($E800,'0.1.1 Pokémon GO Moves'!$A$1:$A951,0)&amp;":$L$"&amp;MATCH($E800,'0.1.1 Pokémon GO Moves'!$A$1:$A951,0)),'Reverse Search'!$E$21)))))</f>
        <v>1</v>
      </c>
      <c r="AA800" s="0" t="n">
        <f aca="true">IF('Reverse Search'!$C$14="Disable",1,IF('Reverse Search'!$I$16="Disable",1,IF($D$2=3,IF($M800=0,0,COUNTIF(INDIRECT("'0.0.2 Pokémon Learnset (Core)'!$D$"&amp;MATCH($E800,'0.0.2 Pokémon Learnset (Core)'!$A$1:$A951,0)&amp;":$FK$"&amp;MATCH($E800,'0.0.2 Pokémon Learnset (Core)'!$A$1:$A951,0)),'Reverse Search'!$J$21)),IF($D$2=2,COUNTIF(INDIRECT("'0.1.1 Pokémon GO Moves'!$B$"&amp;MATCH($E800,'0.1.1 Pokémon GO Moves'!$A$1:$A951,0)&amp;":$R$"&amp;MATCH($E800,'0.1.1 Pokémon GO Moves'!$A$1:$A951,0)),'Reverse Search'!$J$21),COUNTIF(INDIRECT("'0.1.1 Pokémon GO Moves'!$B$"&amp;MATCH($E800,'0.1.1 Pokémon GO Moves'!$A$1:$A951,0)&amp;":$L$"&amp;MATCH($E800,'0.1.1 Pokémon GO Moves'!$A$1:$A951,0)),'Reverse Search'!$J$21)))))</f>
        <v>0</v>
      </c>
      <c r="AB800" s="490"/>
      <c r="AC800" s="260" t="n">
        <f aca="false">IF((Q800+R800+S800+V800+W800+X800+Y800+IF(Z800&gt;=1,1,0)+IF(AA800&gt;=1,1,0))=9,G800&amp;", ",)</f>
        <v>0</v>
      </c>
    </row>
    <row r="801" customFormat="false" ht="15.75" hidden="false" customHeight="false" outlineLevel="0" collapsed="false">
      <c r="A801" s="260"/>
      <c r="B801" s="358"/>
      <c r="C801" s="260"/>
      <c r="D801" s="358"/>
      <c r="E801" s="260" t="n">
        <v>800</v>
      </c>
      <c r="F801" s="260" t="n">
        <f aca="false" t="array" ref="F801:F801">INDEX('0.0.1 Pokémon Dex Data'!$H$3:$H951,MATCH(E801,'0.0.1 Pokémon Dex Data'!$B$3:$B951,0))</f>
        <v>0</v>
      </c>
      <c r="G801" s="0" t="str">
        <f aca="false" t="array" ref="G801:G801">INDEX('0.0.1 Pokémon Dex Data'!$E$3:$E951,MATCH(E801,'0.0.1 Pokémon Dex Data'!$B$3:$B951,0))</f>
        <v>Dragalge</v>
      </c>
      <c r="H801" s="0" t="str">
        <f aca="false" t="array" ref="H801:H801">INDEX('0.0.1 Pokémon Dex Data'!$Q$3:$Q951,MATCH(E801,'0.0.1 Pokémon Dex Data'!$B$3:$B951,0))</f>
        <v>Poison</v>
      </c>
      <c r="I801" s="0" t="str">
        <f aca="false" t="array" ref="I801:I801">INDEX('0.0.1 Pokémon Dex Data'!$R$3:$R951,MATCH(E801,'0.0.1 Pokémon Dex Data'!$B$3:$B951,0))</f>
        <v>Dragon</v>
      </c>
      <c r="J801" s="260" t="n">
        <f aca="false" t="array" ref="J801:J801">ROUND(INDEX('0.0.1 Pokémon Dex Data'!$S$3:$S951,MATCH($E801,'0.0.1 Pokémon Dex Data'!$B$3:$B951,0))*INDEX('0.0.1 Pokémon Dex Data'!T$3:T951,MATCH($E801,'0.0.1 Pokémon Dex Data'!$B$3:$B951,0)),0)</f>
        <v>177</v>
      </c>
      <c r="K801" s="260" t="n">
        <f aca="false" t="array" ref="K801:K801">ROUND(INDEX('0.0.1 Pokémon Dex Data'!$S$3:$S951,MATCH($E801,'0.0.1 Pokémon Dex Data'!$B$3:$B951,0))*INDEX('0.0.1 Pokémon Dex Data'!U$3:U951,MATCH($E801,'0.0.1 Pokémon Dex Data'!$B$3:$B951,0)),0)</f>
        <v>207</v>
      </c>
      <c r="L801" s="260" t="n">
        <f aca="false" t="array" ref="L801:L801">ROUND(INDEX('0.0.1 Pokémon Dex Data'!$S$3:$S951,MATCH($E801,'0.0.1 Pokémon Dex Data'!$B$3:$B951,0))*INDEX('0.0.1 Pokémon Dex Data'!V$3:V951,MATCH($E801,'0.0.1 Pokémon Dex Data'!$B$3:$B951,0)),0)</f>
        <v>163</v>
      </c>
      <c r="M801" s="260" t="n">
        <f aca="false" t="array" ref="M801:M801">INDEX('0.0.1 Pokémon Dex Data'!$J$3:$J951,MATCH(E801,'0.0.1 Pokémon Dex Data'!$B$3:$B951,0))</f>
        <v>1</v>
      </c>
      <c r="O801" s="490"/>
      <c r="Q801" s="367" t="n">
        <f aca="false">IF('Reverse Search'!$F$4="All (including temporary formes)",1,IF('Reverse Search'!$F$4="Base Pokémon and permanent formes only",IF(F801&lt;=1,1,0),IF(F801=0,1,0)))</f>
        <v>1</v>
      </c>
      <c r="R801" s="0" t="n">
        <f aca="false">IF('Reverse Search'!$C$7="Disable",1,IF('Reverse Search'!$D$9="Disable",1,IF(OR('Reverse Search'!$F$9=H801,'Reverse Search'!$F$9=I801),1,0)))</f>
        <v>1</v>
      </c>
      <c r="S801" s="0" t="n">
        <f aca="false">IF('Reverse Search'!$C$7="Disable",1,IF('Reverse Search'!$D$10="Disable",1,IF(OR('Reverse Search'!$F$10=H801,'Reverse Search'!$F$10=I801),1,0)))</f>
        <v>1</v>
      </c>
      <c r="T801" s="0" t="n">
        <f aca="false">INDEX($B$4:$B$22,MATCH(H801,$A$4:$A$22,0))</f>
        <v>1</v>
      </c>
      <c r="U801" s="0" t="n">
        <f aca="false">IF(ISBLANK(I801),1,INDEX($B$4:$B$22,MATCH(I801,$A$4:$A$22,0)))</f>
        <v>1</v>
      </c>
      <c r="V801" s="367" t="n">
        <f aca="false">IF('Reverse Search'!$C$7="Disable",1,IF('Reverse Search'!$D$11="Disable",1,IF('Reverse Search'!$E$11="Neutral to:",IF(ROUND(T801*U801,2)&lt;=1,1,0),IF(ROUND(T801*U801,2)&lt;1,1,0))))</f>
        <v>1</v>
      </c>
      <c r="W801" s="0" t="n">
        <f aca="false">IF('Reverse Search'!$N$7="Disable",1,IF('Reverse Search'!$I$9="Disable",1,IF('Reverse Search'!$K$9="≥",IF(J801&gt;='Reverse Search'!$L$9,1,0),IF('Reverse Search'!$K$9="≤",IF(J801&lt;='Reverse Search'!$L$9,1,0),IF(J801='Reverse Search'!$L$9,1,0)))))</f>
        <v>1</v>
      </c>
      <c r="X801" s="0" t="n">
        <f aca="false">IF('Reverse Search'!$N$7="Disable",1,IF('Reverse Search'!$I$10="Disable",1,IF('Reverse Search'!$K$10="≥",IF(K801&gt;='Reverse Search'!$L$10,1,0),IF('Reverse Search'!$K$10="≤",IF(K801&lt;='Reverse Search'!$L$10,1,0),IF(K801='Reverse Search'!$L$10,1,0)))))</f>
        <v>1</v>
      </c>
      <c r="Y801" s="367" t="n">
        <f aca="false">IF('Reverse Search'!$N$7="Disable",1,IF('Reverse Search'!$I$11="Disable",1,IF('Reverse Search'!$K$11="≥",IF(L801&gt;='Reverse Search'!$L$11,1,0),IF('Reverse Search'!$K$11="≤",IF(L801&lt;='Reverse Search'!$L$11,1,0),IF(L801='Reverse Search'!$L$11,1,0)))))</f>
        <v>1</v>
      </c>
      <c r="Z801" s="0" t="n">
        <f aca="true">IF('Reverse Search'!$C$14="Disable",1,IF('Reverse Search'!$D$16="Disable",1,IF($C$2=3,IF($M801=0,0,COUNTIF(INDIRECT("'0.0.2 Pokémon Learnset (Core)'!$D$"&amp;MATCH($E801,'0.0.2 Pokémon Learnset (Core)'!$A$1:$A951,0)&amp;":$FK$"&amp;MATCH($E801,'0.0.2 Pokémon Learnset (Core)'!$A$1:$A951,0)),'Reverse Search'!$E$21)),IF($C$2=2,COUNTIF(INDIRECT("'0.1.1 Pokémon GO Moves'!$B$"&amp;MATCH($E801,'0.1.1 Pokémon GO Moves'!$A$1:$A951,0)&amp;":$R$"&amp;MATCH($E801,'0.1.1 Pokémon GO Moves'!$A$1:$A951,0)),'Reverse Search'!$E$21),COUNTIF(INDIRECT("'0.1.1 Pokémon GO Moves'!$B$"&amp;MATCH($E801,'0.1.1 Pokémon GO Moves'!$A$1:$A951,0)&amp;":$L$"&amp;MATCH($E801,'0.1.1 Pokémon GO Moves'!$A$1:$A951,0)),'Reverse Search'!$E$21)))))</f>
        <v>1</v>
      </c>
      <c r="AA801" s="0" t="n">
        <f aca="true">IF('Reverse Search'!$C$14="Disable",1,IF('Reverse Search'!$I$16="Disable",1,IF($D$2=3,IF($M801=0,0,COUNTIF(INDIRECT("'0.0.2 Pokémon Learnset (Core)'!$D$"&amp;MATCH($E801,'0.0.2 Pokémon Learnset (Core)'!$A$1:$A951,0)&amp;":$FK$"&amp;MATCH($E801,'0.0.2 Pokémon Learnset (Core)'!$A$1:$A951,0)),'Reverse Search'!$J$21)),IF($D$2=2,COUNTIF(INDIRECT("'0.1.1 Pokémon GO Moves'!$B$"&amp;MATCH($E801,'0.1.1 Pokémon GO Moves'!$A$1:$A951,0)&amp;":$R$"&amp;MATCH($E801,'0.1.1 Pokémon GO Moves'!$A$1:$A951,0)),'Reverse Search'!$J$21),COUNTIF(INDIRECT("'0.1.1 Pokémon GO Moves'!$B$"&amp;MATCH($E801,'0.1.1 Pokémon GO Moves'!$A$1:$A951,0)&amp;":$L$"&amp;MATCH($E801,'0.1.1 Pokémon GO Moves'!$A$1:$A951,0)),'Reverse Search'!$J$21)))))</f>
        <v>0</v>
      </c>
      <c r="AB801" s="490"/>
      <c r="AC801" s="260" t="n">
        <f aca="false">IF((Q801+R801+S801+V801+W801+X801+Y801+IF(Z801&gt;=1,1,0)+IF(AA801&gt;=1,1,0))=9,G801&amp;", ",)</f>
        <v>0</v>
      </c>
    </row>
    <row r="802" customFormat="false" ht="15.75" hidden="false" customHeight="false" outlineLevel="0" collapsed="false">
      <c r="A802" s="260"/>
      <c r="B802" s="358"/>
      <c r="C802" s="260"/>
      <c r="D802" s="358"/>
      <c r="E802" s="260" t="n">
        <v>801</v>
      </c>
      <c r="F802" s="260" t="n">
        <f aca="false" t="array" ref="F802:F802">INDEX('0.0.1 Pokémon Dex Data'!$H$3:$H951,MATCH(E802,'0.0.1 Pokémon Dex Data'!$B$3:$B951,0))</f>
        <v>0</v>
      </c>
      <c r="G802" s="0" t="str">
        <f aca="false" t="array" ref="G802:G802">INDEX('0.0.1 Pokémon Dex Data'!$E$3:$E951,MATCH(E802,'0.0.1 Pokémon Dex Data'!$B$3:$B951,0))</f>
        <v>Clauncher</v>
      </c>
      <c r="H802" s="0" t="str">
        <f aca="false" t="array" ref="H802:H802">INDEX('0.0.1 Pokémon Dex Data'!$Q$3:$Q951,MATCH(E802,'0.0.1 Pokémon Dex Data'!$B$3:$B951,0))</f>
        <v>Water</v>
      </c>
      <c r="I802" s="0" t="n">
        <f aca="false">INDEX('0.0.1 Pokémon Dex Data'!$R$3:$R951,MATCH(E802,'0.0.1 Pokémon Dex Data'!$B$3:$B951,0))</f>
        <v>0</v>
      </c>
      <c r="J802" s="260" t="n">
        <f aca="false" t="array" ref="J802:J802">ROUND(INDEX('0.0.1 Pokémon Dex Data'!$S$3:$S951,MATCH($E802,'0.0.1 Pokémon Dex Data'!$B$3:$B951,0))*INDEX('0.0.1 Pokémon Dex Data'!T$3:T951,MATCH($E802,'0.0.1 Pokémon Dex Data'!$B$3:$B951,0)),0)</f>
        <v>108</v>
      </c>
      <c r="K802" s="260" t="n">
        <f aca="false" t="array" ref="K802:K802">ROUND(INDEX('0.0.1 Pokémon Dex Data'!$S$3:$S951,MATCH($E802,'0.0.1 Pokémon Dex Data'!$B$3:$B951,0))*INDEX('0.0.1 Pokémon Dex Data'!U$3:U951,MATCH($E802,'0.0.1 Pokémon Dex Data'!$B$3:$B951,0)),0)</f>
        <v>117</v>
      </c>
      <c r="L802" s="260" t="n">
        <f aca="false" t="array" ref="L802:L802">ROUND(INDEX('0.0.1 Pokémon Dex Data'!$S$3:$S951,MATCH($E802,'0.0.1 Pokémon Dex Data'!$B$3:$B951,0))*INDEX('0.0.1 Pokémon Dex Data'!V$3:V951,MATCH($E802,'0.0.1 Pokémon Dex Data'!$B$3:$B951,0)),0)</f>
        <v>137</v>
      </c>
      <c r="M802" s="260" t="n">
        <f aca="false" t="array" ref="M802:M802">INDEX('0.0.1 Pokémon Dex Data'!$J$3:$J951,MATCH(E802,'0.0.1 Pokémon Dex Data'!$B$3:$B951,0))</f>
        <v>0</v>
      </c>
      <c r="O802" s="490"/>
      <c r="Q802" s="367" t="n">
        <f aca="false">IF('Reverse Search'!$F$4="All (including temporary formes)",1,IF('Reverse Search'!$F$4="Base Pokémon and permanent formes only",IF(F802&lt;=1,1,0),IF(F802=0,1,0)))</f>
        <v>1</v>
      </c>
      <c r="R802" s="0" t="n">
        <f aca="false">IF('Reverse Search'!$C$7="Disable",1,IF('Reverse Search'!$D$9="Disable",1,IF(OR('Reverse Search'!$F$9=H802,'Reverse Search'!$F$9=I802),1,0)))</f>
        <v>1</v>
      </c>
      <c r="S802" s="0" t="n">
        <f aca="false">IF('Reverse Search'!$C$7="Disable",1,IF('Reverse Search'!$D$10="Disable",1,IF(OR('Reverse Search'!$F$10=H802,'Reverse Search'!$F$10=I802),1,0)))</f>
        <v>1</v>
      </c>
      <c r="T802" s="0" t="n">
        <f aca="false">INDEX($B$4:$B$22,MATCH(H802,$A$4:$A$22,0))</f>
        <v>1</v>
      </c>
      <c r="U802" s="0" t="e">
        <f aca="false">IF(ISBLANK(I802),1,INDEX($B$4:$B$22,MATCH(I802,$A$4:$A$22,0)))</f>
        <v>#N/A</v>
      </c>
      <c r="V802" s="367" t="n">
        <f aca="false">IF('Reverse Search'!$C$7="Disable",1,IF('Reverse Search'!$D$11="Disable",1,IF('Reverse Search'!$E$11="Neutral to:",IF(ROUND(T802*U802,2)&lt;=1,1,0),IF(ROUND(T802*U802,2)&lt;1,1,0))))</f>
        <v>1</v>
      </c>
      <c r="W802" s="0" t="n">
        <f aca="false">IF('Reverse Search'!$N$7="Disable",1,IF('Reverse Search'!$I$9="Disable",1,IF('Reverse Search'!$K$9="≥",IF(J802&gt;='Reverse Search'!$L$9,1,0),IF('Reverse Search'!$K$9="≤",IF(J802&lt;='Reverse Search'!$L$9,1,0),IF(J802='Reverse Search'!$L$9,1,0)))))</f>
        <v>1</v>
      </c>
      <c r="X802" s="0" t="n">
        <f aca="false">IF('Reverse Search'!$N$7="Disable",1,IF('Reverse Search'!$I$10="Disable",1,IF('Reverse Search'!$K$10="≥",IF(K802&gt;='Reverse Search'!$L$10,1,0),IF('Reverse Search'!$K$10="≤",IF(K802&lt;='Reverse Search'!$L$10,1,0),IF(K802='Reverse Search'!$L$10,1,0)))))</f>
        <v>1</v>
      </c>
      <c r="Y802" s="367" t="n">
        <f aca="false">IF('Reverse Search'!$N$7="Disable",1,IF('Reverse Search'!$I$11="Disable",1,IF('Reverse Search'!$K$11="≥",IF(L802&gt;='Reverse Search'!$L$11,1,0),IF('Reverse Search'!$K$11="≤",IF(L802&lt;='Reverse Search'!$L$11,1,0),IF(L802='Reverse Search'!$L$11,1,0)))))</f>
        <v>1</v>
      </c>
      <c r="Z802" s="0" t="n">
        <f aca="true">IF('Reverse Search'!$C$14="Disable",1,IF('Reverse Search'!$D$16="Disable",1,IF($C$2=3,IF($M802=0,0,COUNTIF(INDIRECT("'0.0.2 Pokémon Learnset (Core)'!$D$"&amp;MATCH($E802,'0.0.2 Pokémon Learnset (Core)'!$A$1:$A951,0)&amp;":$FK$"&amp;MATCH($E802,'0.0.2 Pokémon Learnset (Core)'!$A$1:$A951,0)),'Reverse Search'!$E$21)),IF($C$2=2,COUNTIF(INDIRECT("'0.1.1 Pokémon GO Moves'!$B$"&amp;MATCH($E802,'0.1.1 Pokémon GO Moves'!$A$1:$A951,0)&amp;":$R$"&amp;MATCH($E802,'0.1.1 Pokémon GO Moves'!$A$1:$A951,0)),'Reverse Search'!$E$21),COUNTIF(INDIRECT("'0.1.1 Pokémon GO Moves'!$B$"&amp;MATCH($E802,'0.1.1 Pokémon GO Moves'!$A$1:$A951,0)&amp;":$L$"&amp;MATCH($E802,'0.1.1 Pokémon GO Moves'!$A$1:$A951,0)),'Reverse Search'!$E$21)))))</f>
        <v>1</v>
      </c>
      <c r="AA802" s="0" t="n">
        <f aca="true">IF('Reverse Search'!$C$14="Disable",1,IF('Reverse Search'!$I$16="Disable",1,IF($D$2=3,IF($M802=0,0,COUNTIF(INDIRECT("'0.0.2 Pokémon Learnset (Core)'!$D$"&amp;MATCH($E802,'0.0.2 Pokémon Learnset (Core)'!$A$1:$A951,0)&amp;":$FK$"&amp;MATCH($E802,'0.0.2 Pokémon Learnset (Core)'!$A$1:$A951,0)),'Reverse Search'!$J$21)),IF($D$2=2,COUNTIF(INDIRECT("'0.1.1 Pokémon GO Moves'!$B$"&amp;MATCH($E802,'0.1.1 Pokémon GO Moves'!$A$1:$A951,0)&amp;":$R$"&amp;MATCH($E802,'0.1.1 Pokémon GO Moves'!$A$1:$A951,0)),'Reverse Search'!$J$21),COUNTIF(INDIRECT("'0.1.1 Pokémon GO Moves'!$B$"&amp;MATCH($E802,'0.1.1 Pokémon GO Moves'!$A$1:$A951,0)&amp;":$L$"&amp;MATCH($E802,'0.1.1 Pokémon GO Moves'!$A$1:$A951,0)),'Reverse Search'!$J$21)))))</f>
        <v>0</v>
      </c>
      <c r="AB802" s="490"/>
      <c r="AC802" s="260" t="n">
        <f aca="false">IF((Q802+R802+S802+V802+W802+X802+Y802+IF(Z802&gt;=1,1,0)+IF(AA802&gt;=1,1,0))=9,G802&amp;", ",)</f>
        <v>0</v>
      </c>
    </row>
    <row r="803" customFormat="false" ht="15.75" hidden="false" customHeight="false" outlineLevel="0" collapsed="false">
      <c r="A803" s="260"/>
      <c r="B803" s="358"/>
      <c r="C803" s="260"/>
      <c r="D803" s="358"/>
      <c r="E803" s="260" t="n">
        <v>802</v>
      </c>
      <c r="F803" s="260" t="n">
        <f aca="false" t="array" ref="F803:F803">INDEX('0.0.1 Pokémon Dex Data'!$H$3:$H951,MATCH(E803,'0.0.1 Pokémon Dex Data'!$B$3:$B951,0))</f>
        <v>0</v>
      </c>
      <c r="G803" s="0" t="str">
        <f aca="false" t="array" ref="G803:G803">INDEX('0.0.1 Pokémon Dex Data'!$E$3:$E951,MATCH(E803,'0.0.1 Pokémon Dex Data'!$B$3:$B951,0))</f>
        <v>Clawitzer</v>
      </c>
      <c r="H803" s="0" t="str">
        <f aca="false" t="array" ref="H803:H803">INDEX('0.0.1 Pokémon Dex Data'!$Q$3:$Q951,MATCH(E803,'0.0.1 Pokémon Dex Data'!$B$3:$B951,0))</f>
        <v>Water</v>
      </c>
      <c r="I803" s="0" t="n">
        <f aca="false">INDEX('0.0.1 Pokémon Dex Data'!$R$3:$R951,MATCH(E803,'0.0.1 Pokémon Dex Data'!$B$3:$B951,0))</f>
        <v>0</v>
      </c>
      <c r="J803" s="260" t="n">
        <f aca="false" t="array" ref="J803:J803">ROUND(INDEX('0.0.1 Pokémon Dex Data'!$S$3:$S951,MATCH($E803,'0.0.1 Pokémon Dex Data'!$B$3:$B951,0))*INDEX('0.0.1 Pokémon Dex Data'!T$3:T951,MATCH($E803,'0.0.1 Pokémon Dex Data'!$B$3:$B951,0)),0)</f>
        <v>223</v>
      </c>
      <c r="K803" s="260" t="n">
        <f aca="false" t="array" ref="K803:K803">ROUND(INDEX('0.0.1 Pokémon Dex Data'!$S$3:$S951,MATCH($E803,'0.0.1 Pokémon Dex Data'!$B$3:$B951,0))*INDEX('0.0.1 Pokémon Dex Data'!U$3:U951,MATCH($E803,'0.0.1 Pokémon Dex Data'!$B$3:$B951,0)),0)</f>
        <v>173</v>
      </c>
      <c r="L803" s="260" t="n">
        <f aca="false" t="array" ref="L803:L803">ROUND(INDEX('0.0.1 Pokémon Dex Data'!$S$3:$S951,MATCH($E803,'0.0.1 Pokémon Dex Data'!$B$3:$B951,0))*INDEX('0.0.1 Pokémon Dex Data'!V$3:V951,MATCH($E803,'0.0.1 Pokémon Dex Data'!$B$3:$B951,0)),0)</f>
        <v>174</v>
      </c>
      <c r="M803" s="260" t="n">
        <f aca="false" t="array" ref="M803:M803">INDEX('0.0.1 Pokémon Dex Data'!$J$3:$J951,MATCH(E803,'0.0.1 Pokémon Dex Data'!$B$3:$B951,0))</f>
        <v>1</v>
      </c>
      <c r="O803" s="490"/>
      <c r="Q803" s="367" t="n">
        <f aca="false">IF('Reverse Search'!$F$4="All (including temporary formes)",1,IF('Reverse Search'!$F$4="Base Pokémon and permanent formes only",IF(F803&lt;=1,1,0),IF(F803=0,1,0)))</f>
        <v>1</v>
      </c>
      <c r="R803" s="0" t="n">
        <f aca="false">IF('Reverse Search'!$C$7="Disable",1,IF('Reverse Search'!$D$9="Disable",1,IF(OR('Reverse Search'!$F$9=H803,'Reverse Search'!$F$9=I803),1,0)))</f>
        <v>1</v>
      </c>
      <c r="S803" s="0" t="n">
        <f aca="false">IF('Reverse Search'!$C$7="Disable",1,IF('Reverse Search'!$D$10="Disable",1,IF(OR('Reverse Search'!$F$10=H803,'Reverse Search'!$F$10=I803),1,0)))</f>
        <v>1</v>
      </c>
      <c r="T803" s="0" t="n">
        <f aca="false">INDEX($B$4:$B$22,MATCH(H803,$A$4:$A$22,0))</f>
        <v>1</v>
      </c>
      <c r="U803" s="0" t="e">
        <f aca="false">IF(ISBLANK(I803),1,INDEX($B$4:$B$22,MATCH(I803,$A$4:$A$22,0)))</f>
        <v>#N/A</v>
      </c>
      <c r="V803" s="367" t="n">
        <f aca="false">IF('Reverse Search'!$C$7="Disable",1,IF('Reverse Search'!$D$11="Disable",1,IF('Reverse Search'!$E$11="Neutral to:",IF(ROUND(T803*U803,2)&lt;=1,1,0),IF(ROUND(T803*U803,2)&lt;1,1,0))))</f>
        <v>1</v>
      </c>
      <c r="W803" s="0" t="n">
        <f aca="false">IF('Reverse Search'!$N$7="Disable",1,IF('Reverse Search'!$I$9="Disable",1,IF('Reverse Search'!$K$9="≥",IF(J803&gt;='Reverse Search'!$L$9,1,0),IF('Reverse Search'!$K$9="≤",IF(J803&lt;='Reverse Search'!$L$9,1,0),IF(J803='Reverse Search'!$L$9,1,0)))))</f>
        <v>1</v>
      </c>
      <c r="X803" s="0" t="n">
        <f aca="false">IF('Reverse Search'!$N$7="Disable",1,IF('Reverse Search'!$I$10="Disable",1,IF('Reverse Search'!$K$10="≥",IF(K803&gt;='Reverse Search'!$L$10,1,0),IF('Reverse Search'!$K$10="≤",IF(K803&lt;='Reverse Search'!$L$10,1,0),IF(K803='Reverse Search'!$L$10,1,0)))))</f>
        <v>1</v>
      </c>
      <c r="Y803" s="367" t="n">
        <f aca="false">IF('Reverse Search'!$N$7="Disable",1,IF('Reverse Search'!$I$11="Disable",1,IF('Reverse Search'!$K$11="≥",IF(L803&gt;='Reverse Search'!$L$11,1,0),IF('Reverse Search'!$K$11="≤",IF(L803&lt;='Reverse Search'!$L$11,1,0),IF(L803='Reverse Search'!$L$11,1,0)))))</f>
        <v>1</v>
      </c>
      <c r="Z803" s="0" t="n">
        <f aca="true">IF('Reverse Search'!$C$14="Disable",1,IF('Reverse Search'!$D$16="Disable",1,IF($C$2=3,IF($M803=0,0,COUNTIF(INDIRECT("'0.0.2 Pokémon Learnset (Core)'!$D$"&amp;MATCH($E803,'0.0.2 Pokémon Learnset (Core)'!$A$1:$A951,0)&amp;":$FK$"&amp;MATCH($E803,'0.0.2 Pokémon Learnset (Core)'!$A$1:$A951,0)),'Reverse Search'!$E$21)),IF($C$2=2,COUNTIF(INDIRECT("'0.1.1 Pokémon GO Moves'!$B$"&amp;MATCH($E803,'0.1.1 Pokémon GO Moves'!$A$1:$A951,0)&amp;":$R$"&amp;MATCH($E803,'0.1.1 Pokémon GO Moves'!$A$1:$A951,0)),'Reverse Search'!$E$21),COUNTIF(INDIRECT("'0.1.1 Pokémon GO Moves'!$B$"&amp;MATCH($E803,'0.1.1 Pokémon GO Moves'!$A$1:$A951,0)&amp;":$L$"&amp;MATCH($E803,'0.1.1 Pokémon GO Moves'!$A$1:$A951,0)),'Reverse Search'!$E$21)))))</f>
        <v>1</v>
      </c>
      <c r="AA803" s="0" t="n">
        <f aca="true">IF('Reverse Search'!$C$14="Disable",1,IF('Reverse Search'!$I$16="Disable",1,IF($D$2=3,IF($M803=0,0,COUNTIF(INDIRECT("'0.0.2 Pokémon Learnset (Core)'!$D$"&amp;MATCH($E803,'0.0.2 Pokémon Learnset (Core)'!$A$1:$A951,0)&amp;":$FK$"&amp;MATCH($E803,'0.0.2 Pokémon Learnset (Core)'!$A$1:$A951,0)),'Reverse Search'!$J$21)),IF($D$2=2,COUNTIF(INDIRECT("'0.1.1 Pokémon GO Moves'!$B$"&amp;MATCH($E803,'0.1.1 Pokémon GO Moves'!$A$1:$A951,0)&amp;":$R$"&amp;MATCH($E803,'0.1.1 Pokémon GO Moves'!$A$1:$A951,0)),'Reverse Search'!$J$21),COUNTIF(INDIRECT("'0.1.1 Pokémon GO Moves'!$B$"&amp;MATCH($E803,'0.1.1 Pokémon GO Moves'!$A$1:$A951,0)&amp;":$L$"&amp;MATCH($E803,'0.1.1 Pokémon GO Moves'!$A$1:$A951,0)),'Reverse Search'!$J$21)))))</f>
        <v>0</v>
      </c>
      <c r="AB803" s="490"/>
      <c r="AC803" s="260" t="n">
        <f aca="false">IF((Q803+R803+S803+V803+W803+X803+Y803+IF(Z803&gt;=1,1,0)+IF(AA803&gt;=1,1,0))=9,G803&amp;", ",)</f>
        <v>0</v>
      </c>
    </row>
    <row r="804" customFormat="false" ht="15.75" hidden="false" customHeight="false" outlineLevel="0" collapsed="false">
      <c r="A804" s="260"/>
      <c r="B804" s="358"/>
      <c r="C804" s="260"/>
      <c r="D804" s="358"/>
      <c r="E804" s="260" t="n">
        <v>803</v>
      </c>
      <c r="F804" s="260" t="n">
        <f aca="false" t="array" ref="F804:F804">INDEX('0.0.1 Pokémon Dex Data'!$H$3:$H951,MATCH(E804,'0.0.1 Pokémon Dex Data'!$B$3:$B951,0))</f>
        <v>0</v>
      </c>
      <c r="G804" s="0" t="str">
        <f aca="false" t="array" ref="G804:G804">INDEX('0.0.1 Pokémon Dex Data'!$E$3:$E951,MATCH(E804,'0.0.1 Pokémon Dex Data'!$B$3:$B951,0))</f>
        <v>Helioptile</v>
      </c>
      <c r="H804" s="0" t="str">
        <f aca="false" t="array" ref="H804:H804">INDEX('0.0.1 Pokémon Dex Data'!$Q$3:$Q951,MATCH(E804,'0.0.1 Pokémon Dex Data'!$B$3:$B951,0))</f>
        <v>Electric</v>
      </c>
      <c r="I804" s="0" t="str">
        <f aca="false" t="array" ref="I804:I804">INDEX('0.0.1 Pokémon Dex Data'!$R$3:$R951,MATCH(E804,'0.0.1 Pokémon Dex Data'!$B$3:$B951,0))</f>
        <v>Normal</v>
      </c>
      <c r="J804" s="260" t="n">
        <f aca="false" t="array" ref="J804:J804">ROUND(INDEX('0.0.1 Pokémon Dex Data'!$S$3:$S951,MATCH($E804,'0.0.1 Pokémon Dex Data'!$B$3:$B951,0))*INDEX('0.0.1 Pokémon Dex Data'!T$3:T951,MATCH($E804,'0.0.1 Pokémon Dex Data'!$B$3:$B951,0)),0)</f>
        <v>115</v>
      </c>
      <c r="K804" s="260" t="n">
        <f aca="false" t="array" ref="K804:K804">ROUND(INDEX('0.0.1 Pokémon Dex Data'!$S$3:$S951,MATCH($E804,'0.0.1 Pokémon Dex Data'!$B$3:$B951,0))*INDEX('0.0.1 Pokémon Dex Data'!U$3:U951,MATCH($E804,'0.0.1 Pokémon Dex Data'!$B$3:$B951,0)),0)</f>
        <v>78</v>
      </c>
      <c r="L804" s="260" t="n">
        <f aca="false" t="array" ref="L804:L804">ROUND(INDEX('0.0.1 Pokémon Dex Data'!$S$3:$S951,MATCH($E804,'0.0.1 Pokémon Dex Data'!$B$3:$B951,0))*INDEX('0.0.1 Pokémon Dex Data'!V$3:V951,MATCH($E804,'0.0.1 Pokémon Dex Data'!$B$3:$B951,0)),0)</f>
        <v>127</v>
      </c>
      <c r="M804" s="260" t="n">
        <f aca="false" t="array" ref="M804:M804">INDEX('0.0.1 Pokémon Dex Data'!$J$3:$J951,MATCH(E804,'0.0.1 Pokémon Dex Data'!$B$3:$B951,0))</f>
        <v>0</v>
      </c>
      <c r="O804" s="490"/>
      <c r="Q804" s="367" t="n">
        <f aca="false">IF('Reverse Search'!$F$4="All (including temporary formes)",1,IF('Reverse Search'!$F$4="Base Pokémon and permanent formes only",IF(F804&lt;=1,1,0),IF(F804=0,1,0)))</f>
        <v>1</v>
      </c>
      <c r="R804" s="0" t="n">
        <f aca="false">IF('Reverse Search'!$C$7="Disable",1,IF('Reverse Search'!$D$9="Disable",1,IF(OR('Reverse Search'!$F$9=H804,'Reverse Search'!$F$9=I804),1,0)))</f>
        <v>1</v>
      </c>
      <c r="S804" s="0" t="n">
        <f aca="false">IF('Reverse Search'!$C$7="Disable",1,IF('Reverse Search'!$D$10="Disable",1,IF(OR('Reverse Search'!$F$10=H804,'Reverse Search'!$F$10=I804),1,0)))</f>
        <v>1</v>
      </c>
      <c r="T804" s="0" t="n">
        <f aca="false">INDEX($B$4:$B$22,MATCH(H804,$A$4:$A$22,0))</f>
        <v>1</v>
      </c>
      <c r="U804" s="0" t="n">
        <f aca="false">IF(ISBLANK(I804),1,INDEX($B$4:$B$22,MATCH(I804,$A$4:$A$22,0)))</f>
        <v>1</v>
      </c>
      <c r="V804" s="367" t="n">
        <f aca="false">IF('Reverse Search'!$C$7="Disable",1,IF('Reverse Search'!$D$11="Disable",1,IF('Reverse Search'!$E$11="Neutral to:",IF(ROUND(T804*U804,2)&lt;=1,1,0),IF(ROUND(T804*U804,2)&lt;1,1,0))))</f>
        <v>1</v>
      </c>
      <c r="W804" s="0" t="n">
        <f aca="false">IF('Reverse Search'!$N$7="Disable",1,IF('Reverse Search'!$I$9="Disable",1,IF('Reverse Search'!$K$9="≥",IF(J804&gt;='Reverse Search'!$L$9,1,0),IF('Reverse Search'!$K$9="≤",IF(J804&lt;='Reverse Search'!$L$9,1,0),IF(J804='Reverse Search'!$L$9,1,0)))))</f>
        <v>1</v>
      </c>
      <c r="X804" s="0" t="n">
        <f aca="false">IF('Reverse Search'!$N$7="Disable",1,IF('Reverse Search'!$I$10="Disable",1,IF('Reverse Search'!$K$10="≥",IF(K804&gt;='Reverse Search'!$L$10,1,0),IF('Reverse Search'!$K$10="≤",IF(K804&lt;='Reverse Search'!$L$10,1,0),IF(K804='Reverse Search'!$L$10,1,0)))))</f>
        <v>1</v>
      </c>
      <c r="Y804" s="367" t="n">
        <f aca="false">IF('Reverse Search'!$N$7="Disable",1,IF('Reverse Search'!$I$11="Disable",1,IF('Reverse Search'!$K$11="≥",IF(L804&gt;='Reverse Search'!$L$11,1,0),IF('Reverse Search'!$K$11="≤",IF(L804&lt;='Reverse Search'!$L$11,1,0),IF(L804='Reverse Search'!$L$11,1,0)))))</f>
        <v>1</v>
      </c>
      <c r="Z804" s="0" t="n">
        <f aca="true">IF('Reverse Search'!$C$14="Disable",1,IF('Reverse Search'!$D$16="Disable",1,IF($C$2=3,IF($M804=0,0,COUNTIF(INDIRECT("'0.0.2 Pokémon Learnset (Core)'!$D$"&amp;MATCH($E804,'0.0.2 Pokémon Learnset (Core)'!$A$1:$A951,0)&amp;":$FK$"&amp;MATCH($E804,'0.0.2 Pokémon Learnset (Core)'!$A$1:$A951,0)),'Reverse Search'!$E$21)),IF($C$2=2,COUNTIF(INDIRECT("'0.1.1 Pokémon GO Moves'!$B$"&amp;MATCH($E804,'0.1.1 Pokémon GO Moves'!$A$1:$A951,0)&amp;":$R$"&amp;MATCH($E804,'0.1.1 Pokémon GO Moves'!$A$1:$A951,0)),'Reverse Search'!$E$21),COUNTIF(INDIRECT("'0.1.1 Pokémon GO Moves'!$B$"&amp;MATCH($E804,'0.1.1 Pokémon GO Moves'!$A$1:$A951,0)&amp;":$L$"&amp;MATCH($E804,'0.1.1 Pokémon GO Moves'!$A$1:$A951,0)),'Reverse Search'!$E$21)))))</f>
        <v>1</v>
      </c>
      <c r="AA804" s="0" t="n">
        <f aca="true">IF('Reverse Search'!$C$14="Disable",1,IF('Reverse Search'!$I$16="Disable",1,IF($D$2=3,IF($M804=0,0,COUNTIF(INDIRECT("'0.0.2 Pokémon Learnset (Core)'!$D$"&amp;MATCH($E804,'0.0.2 Pokémon Learnset (Core)'!$A$1:$A951,0)&amp;":$FK$"&amp;MATCH($E804,'0.0.2 Pokémon Learnset (Core)'!$A$1:$A951,0)),'Reverse Search'!$J$21)),IF($D$2=2,COUNTIF(INDIRECT("'0.1.1 Pokémon GO Moves'!$B$"&amp;MATCH($E804,'0.1.1 Pokémon GO Moves'!$A$1:$A951,0)&amp;":$R$"&amp;MATCH($E804,'0.1.1 Pokémon GO Moves'!$A$1:$A951,0)),'Reverse Search'!$J$21),COUNTIF(INDIRECT("'0.1.1 Pokémon GO Moves'!$B$"&amp;MATCH($E804,'0.1.1 Pokémon GO Moves'!$A$1:$A951,0)&amp;":$L$"&amp;MATCH($E804,'0.1.1 Pokémon GO Moves'!$A$1:$A951,0)),'Reverse Search'!$J$21)))))</f>
        <v>0</v>
      </c>
      <c r="AB804" s="490"/>
      <c r="AC804" s="260" t="n">
        <f aca="false">IF((Q804+R804+S804+V804+W804+X804+Y804+IF(Z804&gt;=1,1,0)+IF(AA804&gt;=1,1,0))=9,G804&amp;", ",)</f>
        <v>0</v>
      </c>
    </row>
    <row r="805" customFormat="false" ht="15.75" hidden="false" customHeight="false" outlineLevel="0" collapsed="false">
      <c r="A805" s="260"/>
      <c r="B805" s="358"/>
      <c r="C805" s="260"/>
      <c r="D805" s="358"/>
      <c r="E805" s="260" t="n">
        <v>804</v>
      </c>
      <c r="F805" s="260" t="n">
        <f aca="false" t="array" ref="F805:F805">INDEX('0.0.1 Pokémon Dex Data'!$H$3:$H951,MATCH(E805,'0.0.1 Pokémon Dex Data'!$B$3:$B951,0))</f>
        <v>0</v>
      </c>
      <c r="G805" s="0" t="str">
        <f aca="false" t="array" ref="G805:G805">INDEX('0.0.1 Pokémon Dex Data'!$E$3:$E951,MATCH(E805,'0.0.1 Pokémon Dex Data'!$B$3:$B951,0))</f>
        <v>Heliolisk</v>
      </c>
      <c r="H805" s="0" t="str">
        <f aca="false" t="array" ref="H805:H805">INDEX('0.0.1 Pokémon Dex Data'!$Q$3:$Q951,MATCH(E805,'0.0.1 Pokémon Dex Data'!$B$3:$B951,0))</f>
        <v>Electric</v>
      </c>
      <c r="I805" s="0" t="str">
        <f aca="false" t="array" ref="I805:I805">INDEX('0.0.1 Pokémon Dex Data'!$R$3:$R951,MATCH(E805,'0.0.1 Pokémon Dex Data'!$B$3:$B951,0))</f>
        <v>Normal</v>
      </c>
      <c r="J805" s="260" t="n">
        <f aca="false" t="array" ref="J805:J805">ROUND(INDEX('0.0.1 Pokémon Dex Data'!$S$3:$S951,MATCH($E805,'0.0.1 Pokémon Dex Data'!$B$3:$B951,0))*INDEX('0.0.1 Pokémon Dex Data'!T$3:T951,MATCH($E805,'0.0.1 Pokémon Dex Data'!$B$3:$B951,0)),0)</f>
        <v>219</v>
      </c>
      <c r="K805" s="260" t="n">
        <f aca="false" t="array" ref="K805:K805">ROUND(INDEX('0.0.1 Pokémon Dex Data'!$S$3:$S951,MATCH($E805,'0.0.1 Pokémon Dex Data'!$B$3:$B951,0))*INDEX('0.0.1 Pokémon Dex Data'!U$3:U951,MATCH($E805,'0.0.1 Pokémon Dex Data'!$B$3:$B951,0)),0)</f>
        <v>168</v>
      </c>
      <c r="L805" s="260" t="n">
        <f aca="false" t="array" ref="L805:L805">ROUND(INDEX('0.0.1 Pokémon Dex Data'!$S$3:$S951,MATCH($E805,'0.0.1 Pokémon Dex Data'!$B$3:$B951,0))*INDEX('0.0.1 Pokémon Dex Data'!V$3:V951,MATCH($E805,'0.0.1 Pokémon Dex Data'!$B$3:$B951,0)),0)</f>
        <v>158</v>
      </c>
      <c r="M805" s="260" t="n">
        <f aca="false" t="array" ref="M805:M805">INDEX('0.0.1 Pokémon Dex Data'!$J$3:$J951,MATCH(E805,'0.0.1 Pokémon Dex Data'!$B$3:$B951,0))</f>
        <v>1</v>
      </c>
      <c r="O805" s="490"/>
      <c r="Q805" s="367" t="n">
        <f aca="false">IF('Reverse Search'!$F$4="All (including temporary formes)",1,IF('Reverse Search'!$F$4="Base Pokémon and permanent formes only",IF(F805&lt;=1,1,0),IF(F805=0,1,0)))</f>
        <v>1</v>
      </c>
      <c r="R805" s="0" t="n">
        <f aca="false">IF('Reverse Search'!$C$7="Disable",1,IF('Reverse Search'!$D$9="Disable",1,IF(OR('Reverse Search'!$F$9=H805,'Reverse Search'!$F$9=I805),1,0)))</f>
        <v>1</v>
      </c>
      <c r="S805" s="0" t="n">
        <f aca="false">IF('Reverse Search'!$C$7="Disable",1,IF('Reverse Search'!$D$10="Disable",1,IF(OR('Reverse Search'!$F$10=H805,'Reverse Search'!$F$10=I805),1,0)))</f>
        <v>1</v>
      </c>
      <c r="T805" s="0" t="n">
        <f aca="false">INDEX($B$4:$B$22,MATCH(H805,$A$4:$A$22,0))</f>
        <v>1</v>
      </c>
      <c r="U805" s="0" t="n">
        <f aca="false">IF(ISBLANK(I805),1,INDEX($B$4:$B$22,MATCH(I805,$A$4:$A$22,0)))</f>
        <v>1</v>
      </c>
      <c r="V805" s="367" t="n">
        <f aca="false">IF('Reverse Search'!$C$7="Disable",1,IF('Reverse Search'!$D$11="Disable",1,IF('Reverse Search'!$E$11="Neutral to:",IF(ROUND(T805*U805,2)&lt;=1,1,0),IF(ROUND(T805*U805,2)&lt;1,1,0))))</f>
        <v>1</v>
      </c>
      <c r="W805" s="0" t="n">
        <f aca="false">IF('Reverse Search'!$N$7="Disable",1,IF('Reverse Search'!$I$9="Disable",1,IF('Reverse Search'!$K$9="≥",IF(J805&gt;='Reverse Search'!$L$9,1,0),IF('Reverse Search'!$K$9="≤",IF(J805&lt;='Reverse Search'!$L$9,1,0),IF(J805='Reverse Search'!$L$9,1,0)))))</f>
        <v>1</v>
      </c>
      <c r="X805" s="0" t="n">
        <f aca="false">IF('Reverse Search'!$N$7="Disable",1,IF('Reverse Search'!$I$10="Disable",1,IF('Reverse Search'!$K$10="≥",IF(K805&gt;='Reverse Search'!$L$10,1,0),IF('Reverse Search'!$K$10="≤",IF(K805&lt;='Reverse Search'!$L$10,1,0),IF(K805='Reverse Search'!$L$10,1,0)))))</f>
        <v>1</v>
      </c>
      <c r="Y805" s="367" t="n">
        <f aca="false">IF('Reverse Search'!$N$7="Disable",1,IF('Reverse Search'!$I$11="Disable",1,IF('Reverse Search'!$K$11="≥",IF(L805&gt;='Reverse Search'!$L$11,1,0),IF('Reverse Search'!$K$11="≤",IF(L805&lt;='Reverse Search'!$L$11,1,0),IF(L805='Reverse Search'!$L$11,1,0)))))</f>
        <v>1</v>
      </c>
      <c r="Z805" s="0" t="n">
        <f aca="true">IF('Reverse Search'!$C$14="Disable",1,IF('Reverse Search'!$D$16="Disable",1,IF($C$2=3,IF($M805=0,0,COUNTIF(INDIRECT("'0.0.2 Pokémon Learnset (Core)'!$D$"&amp;MATCH($E805,'0.0.2 Pokémon Learnset (Core)'!$A$1:$A951,0)&amp;":$FK$"&amp;MATCH($E805,'0.0.2 Pokémon Learnset (Core)'!$A$1:$A951,0)),'Reverse Search'!$E$21)),IF($C$2=2,COUNTIF(INDIRECT("'0.1.1 Pokémon GO Moves'!$B$"&amp;MATCH($E805,'0.1.1 Pokémon GO Moves'!$A$1:$A951,0)&amp;":$R$"&amp;MATCH($E805,'0.1.1 Pokémon GO Moves'!$A$1:$A951,0)),'Reverse Search'!$E$21),COUNTIF(INDIRECT("'0.1.1 Pokémon GO Moves'!$B$"&amp;MATCH($E805,'0.1.1 Pokémon GO Moves'!$A$1:$A951,0)&amp;":$L$"&amp;MATCH($E805,'0.1.1 Pokémon GO Moves'!$A$1:$A951,0)),'Reverse Search'!$E$21)))))</f>
        <v>1</v>
      </c>
      <c r="AA805" s="0" t="n">
        <f aca="true">IF('Reverse Search'!$C$14="Disable",1,IF('Reverse Search'!$I$16="Disable",1,IF($D$2=3,IF($M805=0,0,COUNTIF(INDIRECT("'0.0.2 Pokémon Learnset (Core)'!$D$"&amp;MATCH($E805,'0.0.2 Pokémon Learnset (Core)'!$A$1:$A951,0)&amp;":$FK$"&amp;MATCH($E805,'0.0.2 Pokémon Learnset (Core)'!$A$1:$A951,0)),'Reverse Search'!$J$21)),IF($D$2=2,COUNTIF(INDIRECT("'0.1.1 Pokémon GO Moves'!$B$"&amp;MATCH($E805,'0.1.1 Pokémon GO Moves'!$A$1:$A951,0)&amp;":$R$"&amp;MATCH($E805,'0.1.1 Pokémon GO Moves'!$A$1:$A951,0)),'Reverse Search'!$J$21),COUNTIF(INDIRECT("'0.1.1 Pokémon GO Moves'!$B$"&amp;MATCH($E805,'0.1.1 Pokémon GO Moves'!$A$1:$A951,0)&amp;":$L$"&amp;MATCH($E805,'0.1.1 Pokémon GO Moves'!$A$1:$A951,0)),'Reverse Search'!$J$21)))))</f>
        <v>0</v>
      </c>
      <c r="AB805" s="490"/>
      <c r="AC805" s="260" t="n">
        <f aca="false">IF((Q805+R805+S805+V805+W805+X805+Y805+IF(Z805&gt;=1,1,0)+IF(AA805&gt;=1,1,0))=9,G805&amp;", ",)</f>
        <v>0</v>
      </c>
    </row>
    <row r="806" customFormat="false" ht="15.75" hidden="false" customHeight="false" outlineLevel="0" collapsed="false">
      <c r="A806" s="260"/>
      <c r="B806" s="358"/>
      <c r="C806" s="260"/>
      <c r="D806" s="358"/>
      <c r="E806" s="260" t="n">
        <v>805</v>
      </c>
      <c r="F806" s="260" t="n">
        <f aca="false" t="array" ref="F806:F806">INDEX('0.0.1 Pokémon Dex Data'!$H$3:$H951,MATCH(E806,'0.0.1 Pokémon Dex Data'!$B$3:$B951,0))</f>
        <v>0</v>
      </c>
      <c r="G806" s="0" t="str">
        <f aca="false" t="array" ref="G806:G806">INDEX('0.0.1 Pokémon Dex Data'!$E$3:$E951,MATCH(E806,'0.0.1 Pokémon Dex Data'!$B$3:$B951,0))</f>
        <v>Tyrunt</v>
      </c>
      <c r="H806" s="0" t="str">
        <f aca="false" t="array" ref="H806:H806">INDEX('0.0.1 Pokémon Dex Data'!$Q$3:$Q951,MATCH(E806,'0.0.1 Pokémon Dex Data'!$B$3:$B951,0))</f>
        <v>Rock</v>
      </c>
      <c r="I806" s="0" t="str">
        <f aca="false" t="array" ref="I806:I806">INDEX('0.0.1 Pokémon Dex Data'!$R$3:$R951,MATCH(E806,'0.0.1 Pokémon Dex Data'!$B$3:$B951,0))</f>
        <v>Dragon</v>
      </c>
      <c r="J806" s="260" t="n">
        <f aca="false" t="array" ref="J806:J806">ROUND(INDEX('0.0.1 Pokémon Dex Data'!$S$3:$S951,MATCH($E806,'0.0.1 Pokémon Dex Data'!$B$3:$B951,0))*INDEX('0.0.1 Pokémon Dex Data'!T$3:T951,MATCH($E806,'0.0.1 Pokémon Dex Data'!$B$3:$B951,0)),0)</f>
        <v>158</v>
      </c>
      <c r="K806" s="260" t="n">
        <f aca="false" t="array" ref="K806:K806">ROUND(INDEX('0.0.1 Pokémon Dex Data'!$S$3:$S951,MATCH($E806,'0.0.1 Pokémon Dex Data'!$B$3:$B951,0))*INDEX('0.0.1 Pokémon Dex Data'!U$3:U951,MATCH($E806,'0.0.1 Pokémon Dex Data'!$B$3:$B951,0)),0)</f>
        <v>123</v>
      </c>
      <c r="L806" s="260" t="n">
        <f aca="false" t="array" ref="L806:L806">ROUND(INDEX('0.0.1 Pokémon Dex Data'!$S$3:$S951,MATCH($E806,'0.0.1 Pokémon Dex Data'!$B$3:$B951,0))*INDEX('0.0.1 Pokémon Dex Data'!V$3:V951,MATCH($E806,'0.0.1 Pokémon Dex Data'!$B$3:$B951,0)),0)</f>
        <v>151</v>
      </c>
      <c r="M806" s="260" t="n">
        <f aca="false" t="array" ref="M806:M806">INDEX('0.0.1 Pokémon Dex Data'!$J$3:$J951,MATCH(E806,'0.0.1 Pokémon Dex Data'!$B$3:$B951,0))</f>
        <v>0</v>
      </c>
      <c r="O806" s="490"/>
      <c r="Q806" s="367" t="n">
        <f aca="false">IF('Reverse Search'!$F$4="All (including temporary formes)",1,IF('Reverse Search'!$F$4="Base Pokémon and permanent formes only",IF(F806&lt;=1,1,0),IF(F806=0,1,0)))</f>
        <v>1</v>
      </c>
      <c r="R806" s="0" t="n">
        <f aca="false">IF('Reverse Search'!$C$7="Disable",1,IF('Reverse Search'!$D$9="Disable",1,IF(OR('Reverse Search'!$F$9=H806,'Reverse Search'!$F$9=I806),1,0)))</f>
        <v>1</v>
      </c>
      <c r="S806" s="0" t="n">
        <f aca="false">IF('Reverse Search'!$C$7="Disable",1,IF('Reverse Search'!$D$10="Disable",1,IF(OR('Reverse Search'!$F$10=H806,'Reverse Search'!$F$10=I806),1,0)))</f>
        <v>1</v>
      </c>
      <c r="T806" s="0" t="n">
        <f aca="false">INDEX($B$4:$B$22,MATCH(H806,$A$4:$A$22,0))</f>
        <v>0.714</v>
      </c>
      <c r="U806" s="0" t="n">
        <f aca="false">IF(ISBLANK(I806),1,INDEX($B$4:$B$22,MATCH(I806,$A$4:$A$22,0)))</f>
        <v>1</v>
      </c>
      <c r="V806" s="367" t="n">
        <f aca="false">IF('Reverse Search'!$C$7="Disable",1,IF('Reverse Search'!$D$11="Disable",1,IF('Reverse Search'!$E$11="Neutral to:",IF(ROUND(T806*U806,2)&lt;=1,1,0),IF(ROUND(T806*U806,2)&lt;1,1,0))))</f>
        <v>1</v>
      </c>
      <c r="W806" s="0" t="n">
        <f aca="false">IF('Reverse Search'!$N$7="Disable",1,IF('Reverse Search'!$I$9="Disable",1,IF('Reverse Search'!$K$9="≥",IF(J806&gt;='Reverse Search'!$L$9,1,0),IF('Reverse Search'!$K$9="≤",IF(J806&lt;='Reverse Search'!$L$9,1,0),IF(J806='Reverse Search'!$L$9,1,0)))))</f>
        <v>1</v>
      </c>
      <c r="X806" s="0" t="n">
        <f aca="false">IF('Reverse Search'!$N$7="Disable",1,IF('Reverse Search'!$I$10="Disable",1,IF('Reverse Search'!$K$10="≥",IF(K806&gt;='Reverse Search'!$L$10,1,0),IF('Reverse Search'!$K$10="≤",IF(K806&lt;='Reverse Search'!$L$10,1,0),IF(K806='Reverse Search'!$L$10,1,0)))))</f>
        <v>1</v>
      </c>
      <c r="Y806" s="367" t="n">
        <f aca="false">IF('Reverse Search'!$N$7="Disable",1,IF('Reverse Search'!$I$11="Disable",1,IF('Reverse Search'!$K$11="≥",IF(L806&gt;='Reverse Search'!$L$11,1,0),IF('Reverse Search'!$K$11="≤",IF(L806&lt;='Reverse Search'!$L$11,1,0),IF(L806='Reverse Search'!$L$11,1,0)))))</f>
        <v>1</v>
      </c>
      <c r="Z806" s="0" t="n">
        <f aca="true">IF('Reverse Search'!$C$14="Disable",1,IF('Reverse Search'!$D$16="Disable",1,IF($C$2=3,IF($M806=0,0,COUNTIF(INDIRECT("'0.0.2 Pokémon Learnset (Core)'!$D$"&amp;MATCH($E806,'0.0.2 Pokémon Learnset (Core)'!$A$1:$A951,0)&amp;":$FK$"&amp;MATCH($E806,'0.0.2 Pokémon Learnset (Core)'!$A$1:$A951,0)),'Reverse Search'!$E$21)),IF($C$2=2,COUNTIF(INDIRECT("'0.1.1 Pokémon GO Moves'!$B$"&amp;MATCH($E806,'0.1.1 Pokémon GO Moves'!$A$1:$A951,0)&amp;":$R$"&amp;MATCH($E806,'0.1.1 Pokémon GO Moves'!$A$1:$A951,0)),'Reverse Search'!$E$21),COUNTIF(INDIRECT("'0.1.1 Pokémon GO Moves'!$B$"&amp;MATCH($E806,'0.1.1 Pokémon GO Moves'!$A$1:$A951,0)&amp;":$L$"&amp;MATCH($E806,'0.1.1 Pokémon GO Moves'!$A$1:$A951,0)),'Reverse Search'!$E$21)))))</f>
        <v>1</v>
      </c>
      <c r="AA806" s="0" t="n">
        <f aca="true">IF('Reverse Search'!$C$14="Disable",1,IF('Reverse Search'!$I$16="Disable",1,IF($D$2=3,IF($M806=0,0,COUNTIF(INDIRECT("'0.0.2 Pokémon Learnset (Core)'!$D$"&amp;MATCH($E806,'0.0.2 Pokémon Learnset (Core)'!$A$1:$A951,0)&amp;":$FK$"&amp;MATCH($E806,'0.0.2 Pokémon Learnset (Core)'!$A$1:$A951,0)),'Reverse Search'!$J$21)),IF($D$2=2,COUNTIF(INDIRECT("'0.1.1 Pokémon GO Moves'!$B$"&amp;MATCH($E806,'0.1.1 Pokémon GO Moves'!$A$1:$A951,0)&amp;":$R$"&amp;MATCH($E806,'0.1.1 Pokémon GO Moves'!$A$1:$A951,0)),'Reverse Search'!$J$21),COUNTIF(INDIRECT("'0.1.1 Pokémon GO Moves'!$B$"&amp;MATCH($E806,'0.1.1 Pokémon GO Moves'!$A$1:$A951,0)&amp;":$L$"&amp;MATCH($E806,'0.1.1 Pokémon GO Moves'!$A$1:$A951,0)),'Reverse Search'!$J$21)))))</f>
        <v>0</v>
      </c>
      <c r="AB806" s="490"/>
      <c r="AC806" s="260" t="n">
        <f aca="false">IF((Q806+R806+S806+V806+W806+X806+Y806+IF(Z806&gt;=1,1,0)+IF(AA806&gt;=1,1,0))=9,G806&amp;", ",)</f>
        <v>0</v>
      </c>
    </row>
    <row r="807" customFormat="false" ht="15.75" hidden="false" customHeight="false" outlineLevel="0" collapsed="false">
      <c r="A807" s="260"/>
      <c r="B807" s="358"/>
      <c r="C807" s="260"/>
      <c r="D807" s="358"/>
      <c r="E807" s="260" t="n">
        <v>806</v>
      </c>
      <c r="F807" s="260" t="n">
        <f aca="false" t="array" ref="F807:F807">INDEX('0.0.1 Pokémon Dex Data'!$H$3:$H951,MATCH(E807,'0.0.1 Pokémon Dex Data'!$B$3:$B951,0))</f>
        <v>0</v>
      </c>
      <c r="G807" s="0" t="str">
        <f aca="false" t="array" ref="G807:G807">INDEX('0.0.1 Pokémon Dex Data'!$E$3:$E951,MATCH(E807,'0.0.1 Pokémon Dex Data'!$B$3:$B951,0))</f>
        <v>Tyrantrum</v>
      </c>
      <c r="H807" s="0" t="str">
        <f aca="false" t="array" ref="H807:H807">INDEX('0.0.1 Pokémon Dex Data'!$Q$3:$Q951,MATCH(E807,'0.0.1 Pokémon Dex Data'!$B$3:$B951,0))</f>
        <v>Rock</v>
      </c>
      <c r="I807" s="0" t="str">
        <f aca="false" t="array" ref="I807:I807">INDEX('0.0.1 Pokémon Dex Data'!$R$3:$R951,MATCH(E807,'0.0.1 Pokémon Dex Data'!$B$3:$B951,0))</f>
        <v>Dragon</v>
      </c>
      <c r="J807" s="260" t="n">
        <f aca="false" t="array" ref="J807:J807">ROUND(INDEX('0.0.1 Pokémon Dex Data'!$S$3:$S951,MATCH($E807,'0.0.1 Pokémon Dex Data'!$B$3:$B951,0))*INDEX('0.0.1 Pokémon Dex Data'!T$3:T951,MATCH($E807,'0.0.1 Pokémon Dex Data'!$B$3:$B951,0)),0)</f>
        <v>227</v>
      </c>
      <c r="K807" s="260" t="n">
        <f aca="false" t="array" ref="K807:K807">ROUND(INDEX('0.0.1 Pokémon Dex Data'!$S$3:$S951,MATCH($E807,'0.0.1 Pokémon Dex Data'!$B$3:$B951,0))*INDEX('0.0.1 Pokémon Dex Data'!U$3:U951,MATCH($E807,'0.0.1 Pokémon Dex Data'!$B$3:$B951,0)),0)</f>
        <v>191</v>
      </c>
      <c r="L807" s="260" t="n">
        <f aca="false" t="array" ref="L807:L807">ROUND(INDEX('0.0.1 Pokémon Dex Data'!$S$3:$S951,MATCH($E807,'0.0.1 Pokémon Dex Data'!$B$3:$B951,0))*INDEX('0.0.1 Pokémon Dex Data'!V$3:V951,MATCH($E807,'0.0.1 Pokémon Dex Data'!$B$3:$B951,0)),0)</f>
        <v>193</v>
      </c>
      <c r="M807" s="260" t="n">
        <f aca="false" t="array" ref="M807:M807">INDEX('0.0.1 Pokémon Dex Data'!$J$3:$J951,MATCH(E807,'0.0.1 Pokémon Dex Data'!$B$3:$B951,0))</f>
        <v>1</v>
      </c>
      <c r="O807" s="490"/>
      <c r="Q807" s="367" t="n">
        <f aca="false">IF('Reverse Search'!$F$4="All (including temporary formes)",1,IF('Reverse Search'!$F$4="Base Pokémon and permanent formes only",IF(F807&lt;=1,1,0),IF(F807=0,1,0)))</f>
        <v>1</v>
      </c>
      <c r="R807" s="0" t="n">
        <f aca="false">IF('Reverse Search'!$C$7="Disable",1,IF('Reverse Search'!$D$9="Disable",1,IF(OR('Reverse Search'!$F$9=H807,'Reverse Search'!$F$9=I807),1,0)))</f>
        <v>1</v>
      </c>
      <c r="S807" s="0" t="n">
        <f aca="false">IF('Reverse Search'!$C$7="Disable",1,IF('Reverse Search'!$D$10="Disable",1,IF(OR('Reverse Search'!$F$10=H807,'Reverse Search'!$F$10=I807),1,0)))</f>
        <v>1</v>
      </c>
      <c r="T807" s="0" t="n">
        <f aca="false">INDEX($B$4:$B$22,MATCH(H807,$A$4:$A$22,0))</f>
        <v>0.714</v>
      </c>
      <c r="U807" s="0" t="n">
        <f aca="false">IF(ISBLANK(I807),1,INDEX($B$4:$B$22,MATCH(I807,$A$4:$A$22,0)))</f>
        <v>1</v>
      </c>
      <c r="V807" s="367" t="n">
        <f aca="false">IF('Reverse Search'!$C$7="Disable",1,IF('Reverse Search'!$D$11="Disable",1,IF('Reverse Search'!$E$11="Neutral to:",IF(ROUND(T807*U807,2)&lt;=1,1,0),IF(ROUND(T807*U807,2)&lt;1,1,0))))</f>
        <v>1</v>
      </c>
      <c r="W807" s="0" t="n">
        <f aca="false">IF('Reverse Search'!$N$7="Disable",1,IF('Reverse Search'!$I$9="Disable",1,IF('Reverse Search'!$K$9="≥",IF(J807&gt;='Reverse Search'!$L$9,1,0),IF('Reverse Search'!$K$9="≤",IF(J807&lt;='Reverse Search'!$L$9,1,0),IF(J807='Reverse Search'!$L$9,1,0)))))</f>
        <v>1</v>
      </c>
      <c r="X807" s="0" t="n">
        <f aca="false">IF('Reverse Search'!$N$7="Disable",1,IF('Reverse Search'!$I$10="Disable",1,IF('Reverse Search'!$K$10="≥",IF(K807&gt;='Reverse Search'!$L$10,1,0),IF('Reverse Search'!$K$10="≤",IF(K807&lt;='Reverse Search'!$L$10,1,0),IF(K807='Reverse Search'!$L$10,1,0)))))</f>
        <v>1</v>
      </c>
      <c r="Y807" s="367" t="n">
        <f aca="false">IF('Reverse Search'!$N$7="Disable",1,IF('Reverse Search'!$I$11="Disable",1,IF('Reverse Search'!$K$11="≥",IF(L807&gt;='Reverse Search'!$L$11,1,0),IF('Reverse Search'!$K$11="≤",IF(L807&lt;='Reverse Search'!$L$11,1,0),IF(L807='Reverse Search'!$L$11,1,0)))))</f>
        <v>1</v>
      </c>
      <c r="Z807" s="0" t="n">
        <f aca="true">IF('Reverse Search'!$C$14="Disable",1,IF('Reverse Search'!$D$16="Disable",1,IF($C$2=3,IF($M807=0,0,COUNTIF(INDIRECT("'0.0.2 Pokémon Learnset (Core)'!$D$"&amp;MATCH($E807,'0.0.2 Pokémon Learnset (Core)'!$A$1:$A951,0)&amp;":$FK$"&amp;MATCH($E807,'0.0.2 Pokémon Learnset (Core)'!$A$1:$A951,0)),'Reverse Search'!$E$21)),IF($C$2=2,COUNTIF(INDIRECT("'0.1.1 Pokémon GO Moves'!$B$"&amp;MATCH($E807,'0.1.1 Pokémon GO Moves'!$A$1:$A951,0)&amp;":$R$"&amp;MATCH($E807,'0.1.1 Pokémon GO Moves'!$A$1:$A951,0)),'Reverse Search'!$E$21),COUNTIF(INDIRECT("'0.1.1 Pokémon GO Moves'!$B$"&amp;MATCH($E807,'0.1.1 Pokémon GO Moves'!$A$1:$A951,0)&amp;":$L$"&amp;MATCH($E807,'0.1.1 Pokémon GO Moves'!$A$1:$A951,0)),'Reverse Search'!$E$21)))))</f>
        <v>1</v>
      </c>
      <c r="AA807" s="0" t="n">
        <f aca="true">IF('Reverse Search'!$C$14="Disable",1,IF('Reverse Search'!$I$16="Disable",1,IF($D$2=3,IF($M807=0,0,COUNTIF(INDIRECT("'0.0.2 Pokémon Learnset (Core)'!$D$"&amp;MATCH($E807,'0.0.2 Pokémon Learnset (Core)'!$A$1:$A951,0)&amp;":$FK$"&amp;MATCH($E807,'0.0.2 Pokémon Learnset (Core)'!$A$1:$A951,0)),'Reverse Search'!$J$21)),IF($D$2=2,COUNTIF(INDIRECT("'0.1.1 Pokémon GO Moves'!$B$"&amp;MATCH($E807,'0.1.1 Pokémon GO Moves'!$A$1:$A951,0)&amp;":$R$"&amp;MATCH($E807,'0.1.1 Pokémon GO Moves'!$A$1:$A951,0)),'Reverse Search'!$J$21),COUNTIF(INDIRECT("'0.1.1 Pokémon GO Moves'!$B$"&amp;MATCH($E807,'0.1.1 Pokémon GO Moves'!$A$1:$A951,0)&amp;":$L$"&amp;MATCH($E807,'0.1.1 Pokémon GO Moves'!$A$1:$A951,0)),'Reverse Search'!$J$21)))))</f>
        <v>0</v>
      </c>
      <c r="AB807" s="490"/>
      <c r="AC807" s="260" t="n">
        <f aca="false">IF((Q807+R807+S807+V807+W807+X807+Y807+IF(Z807&gt;=1,1,0)+IF(AA807&gt;=1,1,0))=9,G807&amp;", ",)</f>
        <v>0</v>
      </c>
    </row>
    <row r="808" customFormat="false" ht="15.75" hidden="false" customHeight="false" outlineLevel="0" collapsed="false">
      <c r="A808" s="260"/>
      <c r="B808" s="358"/>
      <c r="C808" s="260"/>
      <c r="D808" s="358"/>
      <c r="E808" s="260" t="n">
        <v>807</v>
      </c>
      <c r="F808" s="260" t="n">
        <f aca="false" t="array" ref="F808:F808">INDEX('0.0.1 Pokémon Dex Data'!$H$3:$H951,MATCH(E808,'0.0.1 Pokémon Dex Data'!$B$3:$B951,0))</f>
        <v>0</v>
      </c>
      <c r="G808" s="0" t="str">
        <f aca="false" t="array" ref="G808:G808">INDEX('0.0.1 Pokémon Dex Data'!$E$3:$E951,MATCH(E808,'0.0.1 Pokémon Dex Data'!$B$3:$B951,0))</f>
        <v>Amaura</v>
      </c>
      <c r="H808" s="0" t="str">
        <f aca="false" t="array" ref="H808:H808">INDEX('0.0.1 Pokémon Dex Data'!$Q$3:$Q951,MATCH(E808,'0.0.1 Pokémon Dex Data'!$B$3:$B951,0))</f>
        <v>Rock</v>
      </c>
      <c r="I808" s="0" t="str">
        <f aca="false" t="array" ref="I808:I808">INDEX('0.0.1 Pokémon Dex Data'!$R$3:$R951,MATCH(E808,'0.0.1 Pokémon Dex Data'!$B$3:$B951,0))</f>
        <v>Ice</v>
      </c>
      <c r="J808" s="260" t="n">
        <f aca="false" t="array" ref="J808:J808">ROUND(INDEX('0.0.1 Pokémon Dex Data'!$S$3:$S951,MATCH($E808,'0.0.1 Pokémon Dex Data'!$B$3:$B951,0))*INDEX('0.0.1 Pokémon Dex Data'!T$3:T951,MATCH($E808,'0.0.1 Pokémon Dex Data'!$B$3:$B951,0)),0)</f>
        <v>124</v>
      </c>
      <c r="K808" s="260" t="n">
        <f aca="false" t="array" ref="K808:K808">ROUND(INDEX('0.0.1 Pokémon Dex Data'!$S$3:$S951,MATCH($E808,'0.0.1 Pokémon Dex Data'!$B$3:$B951,0))*INDEX('0.0.1 Pokémon Dex Data'!U$3:U951,MATCH($E808,'0.0.1 Pokémon Dex Data'!$B$3:$B951,0)),0)</f>
        <v>109</v>
      </c>
      <c r="L808" s="260" t="n">
        <f aca="false" t="array" ref="L808:L808">ROUND(INDEX('0.0.1 Pokémon Dex Data'!$S$3:$S951,MATCH($E808,'0.0.1 Pokémon Dex Data'!$B$3:$B951,0))*INDEX('0.0.1 Pokémon Dex Data'!V$3:V951,MATCH($E808,'0.0.1 Pokémon Dex Data'!$B$3:$B951,0)),0)</f>
        <v>184</v>
      </c>
      <c r="M808" s="260" t="n">
        <f aca="false" t="array" ref="M808:M808">INDEX('0.0.1 Pokémon Dex Data'!$J$3:$J951,MATCH(E808,'0.0.1 Pokémon Dex Data'!$B$3:$B951,0))</f>
        <v>0</v>
      </c>
      <c r="O808" s="490"/>
      <c r="Q808" s="367" t="n">
        <f aca="false">IF('Reverse Search'!$F$4="All (including temporary formes)",1,IF('Reverse Search'!$F$4="Base Pokémon and permanent formes only",IF(F808&lt;=1,1,0),IF(F808=0,1,0)))</f>
        <v>1</v>
      </c>
      <c r="R808" s="0" t="n">
        <f aca="false">IF('Reverse Search'!$C$7="Disable",1,IF('Reverse Search'!$D$9="Disable",1,IF(OR('Reverse Search'!$F$9=H808,'Reverse Search'!$F$9=I808),1,0)))</f>
        <v>1</v>
      </c>
      <c r="S808" s="0" t="n">
        <f aca="false">IF('Reverse Search'!$C$7="Disable",1,IF('Reverse Search'!$D$10="Disable",1,IF(OR('Reverse Search'!$F$10=H808,'Reverse Search'!$F$10=I808),1,0)))</f>
        <v>1</v>
      </c>
      <c r="T808" s="0" t="n">
        <f aca="false">INDEX($B$4:$B$22,MATCH(H808,$A$4:$A$22,0))</f>
        <v>0.714</v>
      </c>
      <c r="U808" s="0" t="n">
        <f aca="false">IF(ISBLANK(I808),1,INDEX($B$4:$B$22,MATCH(I808,$A$4:$A$22,0)))</f>
        <v>1</v>
      </c>
      <c r="V808" s="367" t="n">
        <f aca="false">IF('Reverse Search'!$C$7="Disable",1,IF('Reverse Search'!$D$11="Disable",1,IF('Reverse Search'!$E$11="Neutral to:",IF(ROUND(T808*U808,2)&lt;=1,1,0),IF(ROUND(T808*U808,2)&lt;1,1,0))))</f>
        <v>1</v>
      </c>
      <c r="W808" s="0" t="n">
        <f aca="false">IF('Reverse Search'!$N$7="Disable",1,IF('Reverse Search'!$I$9="Disable",1,IF('Reverse Search'!$K$9="≥",IF(J808&gt;='Reverse Search'!$L$9,1,0),IF('Reverse Search'!$K$9="≤",IF(J808&lt;='Reverse Search'!$L$9,1,0),IF(J808='Reverse Search'!$L$9,1,0)))))</f>
        <v>1</v>
      </c>
      <c r="X808" s="0" t="n">
        <f aca="false">IF('Reverse Search'!$N$7="Disable",1,IF('Reverse Search'!$I$10="Disable",1,IF('Reverse Search'!$K$10="≥",IF(K808&gt;='Reverse Search'!$L$10,1,0),IF('Reverse Search'!$K$10="≤",IF(K808&lt;='Reverse Search'!$L$10,1,0),IF(K808='Reverse Search'!$L$10,1,0)))))</f>
        <v>1</v>
      </c>
      <c r="Y808" s="367" t="n">
        <f aca="false">IF('Reverse Search'!$N$7="Disable",1,IF('Reverse Search'!$I$11="Disable",1,IF('Reverse Search'!$K$11="≥",IF(L808&gt;='Reverse Search'!$L$11,1,0),IF('Reverse Search'!$K$11="≤",IF(L808&lt;='Reverse Search'!$L$11,1,0),IF(L808='Reverse Search'!$L$11,1,0)))))</f>
        <v>1</v>
      </c>
      <c r="Z808" s="0" t="n">
        <f aca="true">IF('Reverse Search'!$C$14="Disable",1,IF('Reverse Search'!$D$16="Disable",1,IF($C$2=3,IF($M808=0,0,COUNTIF(INDIRECT("'0.0.2 Pokémon Learnset (Core)'!$D$"&amp;MATCH($E808,'0.0.2 Pokémon Learnset (Core)'!$A$1:$A951,0)&amp;":$FK$"&amp;MATCH($E808,'0.0.2 Pokémon Learnset (Core)'!$A$1:$A951,0)),'Reverse Search'!$E$21)),IF($C$2=2,COUNTIF(INDIRECT("'0.1.1 Pokémon GO Moves'!$B$"&amp;MATCH($E808,'0.1.1 Pokémon GO Moves'!$A$1:$A951,0)&amp;":$R$"&amp;MATCH($E808,'0.1.1 Pokémon GO Moves'!$A$1:$A951,0)),'Reverse Search'!$E$21),COUNTIF(INDIRECT("'0.1.1 Pokémon GO Moves'!$B$"&amp;MATCH($E808,'0.1.1 Pokémon GO Moves'!$A$1:$A951,0)&amp;":$L$"&amp;MATCH($E808,'0.1.1 Pokémon GO Moves'!$A$1:$A951,0)),'Reverse Search'!$E$21)))))</f>
        <v>1</v>
      </c>
      <c r="AA808" s="0" t="n">
        <f aca="true">IF('Reverse Search'!$C$14="Disable",1,IF('Reverse Search'!$I$16="Disable",1,IF($D$2=3,IF($M808=0,0,COUNTIF(INDIRECT("'0.0.2 Pokémon Learnset (Core)'!$D$"&amp;MATCH($E808,'0.0.2 Pokémon Learnset (Core)'!$A$1:$A951,0)&amp;":$FK$"&amp;MATCH($E808,'0.0.2 Pokémon Learnset (Core)'!$A$1:$A951,0)),'Reverse Search'!$J$21)),IF($D$2=2,COUNTIF(INDIRECT("'0.1.1 Pokémon GO Moves'!$B$"&amp;MATCH($E808,'0.1.1 Pokémon GO Moves'!$A$1:$A951,0)&amp;":$R$"&amp;MATCH($E808,'0.1.1 Pokémon GO Moves'!$A$1:$A951,0)),'Reverse Search'!$J$21),COUNTIF(INDIRECT("'0.1.1 Pokémon GO Moves'!$B$"&amp;MATCH($E808,'0.1.1 Pokémon GO Moves'!$A$1:$A951,0)&amp;":$L$"&amp;MATCH($E808,'0.1.1 Pokémon GO Moves'!$A$1:$A951,0)),'Reverse Search'!$J$21)))))</f>
        <v>0</v>
      </c>
      <c r="AB808" s="490"/>
      <c r="AC808" s="260" t="n">
        <f aca="false">IF((Q808+R808+S808+V808+W808+X808+Y808+IF(Z808&gt;=1,1,0)+IF(AA808&gt;=1,1,0))=9,G808&amp;", ",)</f>
        <v>0</v>
      </c>
    </row>
    <row r="809" customFormat="false" ht="15.75" hidden="false" customHeight="false" outlineLevel="0" collapsed="false">
      <c r="A809" s="260"/>
      <c r="B809" s="358"/>
      <c r="C809" s="260"/>
      <c r="D809" s="358"/>
      <c r="E809" s="260" t="n">
        <v>808</v>
      </c>
      <c r="F809" s="260" t="n">
        <f aca="false" t="array" ref="F809:F809">INDEX('0.0.1 Pokémon Dex Data'!$H$3:$H951,MATCH(E809,'0.0.1 Pokémon Dex Data'!$B$3:$B951,0))</f>
        <v>0</v>
      </c>
      <c r="G809" s="0" t="str">
        <f aca="false" t="array" ref="G809:G809">INDEX('0.0.1 Pokémon Dex Data'!$E$3:$E951,MATCH(E809,'0.0.1 Pokémon Dex Data'!$B$3:$B951,0))</f>
        <v>Aurorus</v>
      </c>
      <c r="H809" s="0" t="str">
        <f aca="false" t="array" ref="H809:H809">INDEX('0.0.1 Pokémon Dex Data'!$Q$3:$Q951,MATCH(E809,'0.0.1 Pokémon Dex Data'!$B$3:$B951,0))</f>
        <v>Rock</v>
      </c>
      <c r="I809" s="0" t="str">
        <f aca="false" t="array" ref="I809:I809">INDEX('0.0.1 Pokémon Dex Data'!$R$3:$R951,MATCH(E809,'0.0.1 Pokémon Dex Data'!$B$3:$B951,0))</f>
        <v>Ice</v>
      </c>
      <c r="J809" s="260" t="n">
        <f aca="false" t="array" ref="J809:J809">ROUND(INDEX('0.0.1 Pokémon Dex Data'!$S$3:$S951,MATCH($E809,'0.0.1 Pokémon Dex Data'!$B$3:$B951,0))*INDEX('0.0.1 Pokémon Dex Data'!T$3:T951,MATCH($E809,'0.0.1 Pokémon Dex Data'!$B$3:$B951,0)),0)</f>
        <v>186</v>
      </c>
      <c r="K809" s="260" t="n">
        <f aca="false" t="array" ref="K809:K809">ROUND(INDEX('0.0.1 Pokémon Dex Data'!$S$3:$S951,MATCH($E809,'0.0.1 Pokémon Dex Data'!$B$3:$B951,0))*INDEX('0.0.1 Pokémon Dex Data'!U$3:U951,MATCH($E809,'0.0.1 Pokémon Dex Data'!$B$3:$B951,0)),0)</f>
        <v>163</v>
      </c>
      <c r="L809" s="260" t="n">
        <f aca="false" t="array" ref="L809:L809">ROUND(INDEX('0.0.1 Pokémon Dex Data'!$S$3:$S951,MATCH($E809,'0.0.1 Pokémon Dex Data'!$B$3:$B951,0))*INDEX('0.0.1 Pokémon Dex Data'!V$3:V951,MATCH($E809,'0.0.1 Pokémon Dex Data'!$B$3:$B951,0)),0)</f>
        <v>265</v>
      </c>
      <c r="M809" s="260" t="n">
        <f aca="false" t="array" ref="M809:M809">INDEX('0.0.1 Pokémon Dex Data'!$J$3:$J951,MATCH(E809,'0.0.1 Pokémon Dex Data'!$B$3:$B951,0))</f>
        <v>1</v>
      </c>
      <c r="O809" s="490"/>
      <c r="Q809" s="367" t="n">
        <f aca="false">IF('Reverse Search'!$F$4="All (including temporary formes)",1,IF('Reverse Search'!$F$4="Base Pokémon and permanent formes only",IF(F809&lt;=1,1,0),IF(F809=0,1,0)))</f>
        <v>1</v>
      </c>
      <c r="R809" s="0" t="n">
        <f aca="false">IF('Reverse Search'!$C$7="Disable",1,IF('Reverse Search'!$D$9="Disable",1,IF(OR('Reverse Search'!$F$9=H809,'Reverse Search'!$F$9=I809),1,0)))</f>
        <v>1</v>
      </c>
      <c r="S809" s="0" t="n">
        <f aca="false">IF('Reverse Search'!$C$7="Disable",1,IF('Reverse Search'!$D$10="Disable",1,IF(OR('Reverse Search'!$F$10=H809,'Reverse Search'!$F$10=I809),1,0)))</f>
        <v>1</v>
      </c>
      <c r="T809" s="0" t="n">
        <f aca="false">INDEX($B$4:$B$22,MATCH(H809,$A$4:$A$22,0))</f>
        <v>0.714</v>
      </c>
      <c r="U809" s="0" t="n">
        <f aca="false">IF(ISBLANK(I809),1,INDEX($B$4:$B$22,MATCH(I809,$A$4:$A$22,0)))</f>
        <v>1</v>
      </c>
      <c r="V809" s="367" t="n">
        <f aca="false">IF('Reverse Search'!$C$7="Disable",1,IF('Reverse Search'!$D$11="Disable",1,IF('Reverse Search'!$E$11="Neutral to:",IF(ROUND(T809*U809,2)&lt;=1,1,0),IF(ROUND(T809*U809,2)&lt;1,1,0))))</f>
        <v>1</v>
      </c>
      <c r="W809" s="0" t="n">
        <f aca="false">IF('Reverse Search'!$N$7="Disable",1,IF('Reverse Search'!$I$9="Disable",1,IF('Reverse Search'!$K$9="≥",IF(J809&gt;='Reverse Search'!$L$9,1,0),IF('Reverse Search'!$K$9="≤",IF(J809&lt;='Reverse Search'!$L$9,1,0),IF(J809='Reverse Search'!$L$9,1,0)))))</f>
        <v>1</v>
      </c>
      <c r="X809" s="0" t="n">
        <f aca="false">IF('Reverse Search'!$N$7="Disable",1,IF('Reverse Search'!$I$10="Disable",1,IF('Reverse Search'!$K$10="≥",IF(K809&gt;='Reverse Search'!$L$10,1,0),IF('Reverse Search'!$K$10="≤",IF(K809&lt;='Reverse Search'!$L$10,1,0),IF(K809='Reverse Search'!$L$10,1,0)))))</f>
        <v>1</v>
      </c>
      <c r="Y809" s="367" t="n">
        <f aca="false">IF('Reverse Search'!$N$7="Disable",1,IF('Reverse Search'!$I$11="Disable",1,IF('Reverse Search'!$K$11="≥",IF(L809&gt;='Reverse Search'!$L$11,1,0),IF('Reverse Search'!$K$11="≤",IF(L809&lt;='Reverse Search'!$L$11,1,0),IF(L809='Reverse Search'!$L$11,1,0)))))</f>
        <v>1</v>
      </c>
      <c r="Z809" s="0" t="n">
        <f aca="true">IF('Reverse Search'!$C$14="Disable",1,IF('Reverse Search'!$D$16="Disable",1,IF($C$2=3,IF($M809=0,0,COUNTIF(INDIRECT("'0.0.2 Pokémon Learnset (Core)'!$D$"&amp;MATCH($E809,'0.0.2 Pokémon Learnset (Core)'!$A$1:$A951,0)&amp;":$FK$"&amp;MATCH($E809,'0.0.2 Pokémon Learnset (Core)'!$A$1:$A951,0)),'Reverse Search'!$E$21)),IF($C$2=2,COUNTIF(INDIRECT("'0.1.1 Pokémon GO Moves'!$B$"&amp;MATCH($E809,'0.1.1 Pokémon GO Moves'!$A$1:$A951,0)&amp;":$R$"&amp;MATCH($E809,'0.1.1 Pokémon GO Moves'!$A$1:$A951,0)),'Reverse Search'!$E$21),COUNTIF(INDIRECT("'0.1.1 Pokémon GO Moves'!$B$"&amp;MATCH($E809,'0.1.1 Pokémon GO Moves'!$A$1:$A951,0)&amp;":$L$"&amp;MATCH($E809,'0.1.1 Pokémon GO Moves'!$A$1:$A951,0)),'Reverse Search'!$E$21)))))</f>
        <v>1</v>
      </c>
      <c r="AA809" s="0" t="n">
        <f aca="true">IF('Reverse Search'!$C$14="Disable",1,IF('Reverse Search'!$I$16="Disable",1,IF($D$2=3,IF($M809=0,0,COUNTIF(INDIRECT("'0.0.2 Pokémon Learnset (Core)'!$D$"&amp;MATCH($E809,'0.0.2 Pokémon Learnset (Core)'!$A$1:$A951,0)&amp;":$FK$"&amp;MATCH($E809,'0.0.2 Pokémon Learnset (Core)'!$A$1:$A951,0)),'Reverse Search'!$J$21)),IF($D$2=2,COUNTIF(INDIRECT("'0.1.1 Pokémon GO Moves'!$B$"&amp;MATCH($E809,'0.1.1 Pokémon GO Moves'!$A$1:$A951,0)&amp;":$R$"&amp;MATCH($E809,'0.1.1 Pokémon GO Moves'!$A$1:$A951,0)),'Reverse Search'!$J$21),COUNTIF(INDIRECT("'0.1.1 Pokémon GO Moves'!$B$"&amp;MATCH($E809,'0.1.1 Pokémon GO Moves'!$A$1:$A951,0)&amp;":$L$"&amp;MATCH($E809,'0.1.1 Pokémon GO Moves'!$A$1:$A951,0)),'Reverse Search'!$J$21)))))</f>
        <v>0</v>
      </c>
      <c r="AB809" s="490"/>
      <c r="AC809" s="260" t="n">
        <f aca="false">IF((Q809+R809+S809+V809+W809+X809+Y809+IF(Z809&gt;=1,1,0)+IF(AA809&gt;=1,1,0))=9,G809&amp;", ",)</f>
        <v>0</v>
      </c>
    </row>
    <row r="810" customFormat="false" ht="15.75" hidden="false" customHeight="false" outlineLevel="0" collapsed="false">
      <c r="A810" s="260"/>
      <c r="B810" s="358"/>
      <c r="C810" s="260"/>
      <c r="D810" s="358"/>
      <c r="E810" s="260" t="n">
        <v>809</v>
      </c>
      <c r="F810" s="260" t="n">
        <f aca="false" t="array" ref="F810:F810">INDEX('0.0.1 Pokémon Dex Data'!$H$3:$H951,MATCH(E810,'0.0.1 Pokémon Dex Data'!$B$3:$B951,0))</f>
        <v>0</v>
      </c>
      <c r="G810" s="0" t="str">
        <f aca="false" t="array" ref="G810:G810">INDEX('0.0.1 Pokémon Dex Data'!$E$3:$E951,MATCH(E810,'0.0.1 Pokémon Dex Data'!$B$3:$B951,0))</f>
        <v>Sylveon</v>
      </c>
      <c r="H810" s="0" t="str">
        <f aca="false" t="array" ref="H810:H810">INDEX('0.0.1 Pokémon Dex Data'!$Q$3:$Q951,MATCH(E810,'0.0.1 Pokémon Dex Data'!$B$3:$B951,0))</f>
        <v>Fairy</v>
      </c>
      <c r="I810" s="0" t="n">
        <f aca="false">INDEX('0.0.1 Pokémon Dex Data'!$R$3:$R951,MATCH(E810,'0.0.1 Pokémon Dex Data'!$B$3:$B951,0))</f>
        <v>0</v>
      </c>
      <c r="J810" s="260" t="n">
        <f aca="false" t="array" ref="J810:J810">ROUND(INDEX('0.0.1 Pokémon Dex Data'!$S$3:$S951,MATCH($E810,'0.0.1 Pokémon Dex Data'!$B$3:$B951,0))*INDEX('0.0.1 Pokémon Dex Data'!T$3:T951,MATCH($E810,'0.0.1 Pokémon Dex Data'!$B$3:$B951,0)),0)</f>
        <v>203</v>
      </c>
      <c r="K810" s="260" t="n">
        <f aca="false" t="array" ref="K810:K810">ROUND(INDEX('0.0.1 Pokémon Dex Data'!$S$3:$S951,MATCH($E810,'0.0.1 Pokémon Dex Data'!$B$3:$B951,0))*INDEX('0.0.1 Pokémon Dex Data'!U$3:U951,MATCH($E810,'0.0.1 Pokémon Dex Data'!$B$3:$B951,0)),0)</f>
        <v>205</v>
      </c>
      <c r="L810" s="260" t="n">
        <f aca="false" t="array" ref="L810:L810">ROUND(INDEX('0.0.1 Pokémon Dex Data'!$S$3:$S951,MATCH($E810,'0.0.1 Pokémon Dex Data'!$B$3:$B951,0))*INDEX('0.0.1 Pokémon Dex Data'!V$3:V951,MATCH($E810,'0.0.1 Pokémon Dex Data'!$B$3:$B951,0)),0)</f>
        <v>216</v>
      </c>
      <c r="M810" s="260" t="n">
        <f aca="false" t="array" ref="M810:M810">INDEX('0.0.1 Pokémon Dex Data'!$J$3:$J951,MATCH(E810,'0.0.1 Pokémon Dex Data'!$B$3:$B951,0))</f>
        <v>1</v>
      </c>
      <c r="O810" s="490"/>
      <c r="Q810" s="367" t="n">
        <f aca="false">IF('Reverse Search'!$F$4="All (including temporary formes)",1,IF('Reverse Search'!$F$4="Base Pokémon and permanent formes only",IF(F810&lt;=1,1,0),IF(F810=0,1,0)))</f>
        <v>1</v>
      </c>
      <c r="R810" s="0" t="n">
        <f aca="false">IF('Reverse Search'!$C$7="Disable",1,IF('Reverse Search'!$D$9="Disable",1,IF(OR('Reverse Search'!$F$9=H810,'Reverse Search'!$F$9=I810),1,0)))</f>
        <v>1</v>
      </c>
      <c r="S810" s="0" t="n">
        <f aca="false">IF('Reverse Search'!$C$7="Disable",1,IF('Reverse Search'!$D$10="Disable",1,IF(OR('Reverse Search'!$F$10=H810,'Reverse Search'!$F$10=I810),1,0)))</f>
        <v>1</v>
      </c>
      <c r="T810" s="0" t="n">
        <f aca="false">INDEX($B$4:$B$22,MATCH(H810,$A$4:$A$22,0))</f>
        <v>1</v>
      </c>
      <c r="U810" s="0" t="e">
        <f aca="false">IF(ISBLANK(I810),1,INDEX($B$4:$B$22,MATCH(I810,$A$4:$A$22,0)))</f>
        <v>#N/A</v>
      </c>
      <c r="V810" s="367" t="n">
        <f aca="false">IF('Reverse Search'!$C$7="Disable",1,IF('Reverse Search'!$D$11="Disable",1,IF('Reverse Search'!$E$11="Neutral to:",IF(ROUND(T810*U810,2)&lt;=1,1,0),IF(ROUND(T810*U810,2)&lt;1,1,0))))</f>
        <v>1</v>
      </c>
      <c r="W810" s="0" t="n">
        <f aca="false">IF('Reverse Search'!$N$7="Disable",1,IF('Reverse Search'!$I$9="Disable",1,IF('Reverse Search'!$K$9="≥",IF(J810&gt;='Reverse Search'!$L$9,1,0),IF('Reverse Search'!$K$9="≤",IF(J810&lt;='Reverse Search'!$L$9,1,0),IF(J810='Reverse Search'!$L$9,1,0)))))</f>
        <v>1</v>
      </c>
      <c r="X810" s="0" t="n">
        <f aca="false">IF('Reverse Search'!$N$7="Disable",1,IF('Reverse Search'!$I$10="Disable",1,IF('Reverse Search'!$K$10="≥",IF(K810&gt;='Reverse Search'!$L$10,1,0),IF('Reverse Search'!$K$10="≤",IF(K810&lt;='Reverse Search'!$L$10,1,0),IF(K810='Reverse Search'!$L$10,1,0)))))</f>
        <v>1</v>
      </c>
      <c r="Y810" s="367" t="n">
        <f aca="false">IF('Reverse Search'!$N$7="Disable",1,IF('Reverse Search'!$I$11="Disable",1,IF('Reverse Search'!$K$11="≥",IF(L810&gt;='Reverse Search'!$L$11,1,0),IF('Reverse Search'!$K$11="≤",IF(L810&lt;='Reverse Search'!$L$11,1,0),IF(L810='Reverse Search'!$L$11,1,0)))))</f>
        <v>1</v>
      </c>
      <c r="Z810" s="0" t="n">
        <f aca="true">IF('Reverse Search'!$C$14="Disable",1,IF('Reverse Search'!$D$16="Disable",1,IF($C$2=3,IF($M810=0,0,COUNTIF(INDIRECT("'0.0.2 Pokémon Learnset (Core)'!$D$"&amp;MATCH($E810,'0.0.2 Pokémon Learnset (Core)'!$A$1:$A951,0)&amp;":$FK$"&amp;MATCH($E810,'0.0.2 Pokémon Learnset (Core)'!$A$1:$A951,0)),'Reverse Search'!$E$21)),IF($C$2=2,COUNTIF(INDIRECT("'0.1.1 Pokémon GO Moves'!$B$"&amp;MATCH($E810,'0.1.1 Pokémon GO Moves'!$A$1:$A951,0)&amp;":$R$"&amp;MATCH($E810,'0.1.1 Pokémon GO Moves'!$A$1:$A951,0)),'Reverse Search'!$E$21),COUNTIF(INDIRECT("'0.1.1 Pokémon GO Moves'!$B$"&amp;MATCH($E810,'0.1.1 Pokémon GO Moves'!$A$1:$A951,0)&amp;":$L$"&amp;MATCH($E810,'0.1.1 Pokémon GO Moves'!$A$1:$A951,0)),'Reverse Search'!$E$21)))))</f>
        <v>1</v>
      </c>
      <c r="AA810" s="0" t="n">
        <f aca="true">IF('Reverse Search'!$C$14="Disable",1,IF('Reverse Search'!$I$16="Disable",1,IF($D$2=3,IF($M810=0,0,COUNTIF(INDIRECT("'0.0.2 Pokémon Learnset (Core)'!$D$"&amp;MATCH($E810,'0.0.2 Pokémon Learnset (Core)'!$A$1:$A951,0)&amp;":$FK$"&amp;MATCH($E810,'0.0.2 Pokémon Learnset (Core)'!$A$1:$A951,0)),'Reverse Search'!$J$21)),IF($D$2=2,COUNTIF(INDIRECT("'0.1.1 Pokémon GO Moves'!$B$"&amp;MATCH($E810,'0.1.1 Pokémon GO Moves'!$A$1:$A951,0)&amp;":$R$"&amp;MATCH($E810,'0.1.1 Pokémon GO Moves'!$A$1:$A951,0)),'Reverse Search'!$J$21),COUNTIF(INDIRECT("'0.1.1 Pokémon GO Moves'!$B$"&amp;MATCH($E810,'0.1.1 Pokémon GO Moves'!$A$1:$A951,0)&amp;":$L$"&amp;MATCH($E810,'0.1.1 Pokémon GO Moves'!$A$1:$A951,0)),'Reverse Search'!$J$21)))))</f>
        <v>0</v>
      </c>
      <c r="AB810" s="490"/>
      <c r="AC810" s="260" t="n">
        <f aca="false">IF((Q810+R810+S810+V810+W810+X810+Y810+IF(Z810&gt;=1,1,0)+IF(AA810&gt;=1,1,0))=9,G810&amp;", ",)</f>
        <v>0</v>
      </c>
    </row>
    <row r="811" customFormat="false" ht="15.75" hidden="false" customHeight="false" outlineLevel="0" collapsed="false">
      <c r="A811" s="260"/>
      <c r="B811" s="358"/>
      <c r="C811" s="260"/>
      <c r="D811" s="358"/>
      <c r="E811" s="260" t="n">
        <v>810</v>
      </c>
      <c r="F811" s="260" t="n">
        <f aca="false" t="array" ref="F811:F811">INDEX('0.0.1 Pokémon Dex Data'!$H$3:$H951,MATCH(E811,'0.0.1 Pokémon Dex Data'!$B$3:$B951,0))</f>
        <v>0</v>
      </c>
      <c r="G811" s="0" t="str">
        <f aca="false" t="array" ref="G811:G811">INDEX('0.0.1 Pokémon Dex Data'!$E$3:$E951,MATCH(E811,'0.0.1 Pokémon Dex Data'!$B$3:$B951,0))</f>
        <v>Hawlucha</v>
      </c>
      <c r="H811" s="0" t="str">
        <f aca="false" t="array" ref="H811:H811">INDEX('0.0.1 Pokémon Dex Data'!$Q$3:$Q951,MATCH(E811,'0.0.1 Pokémon Dex Data'!$B$3:$B951,0))</f>
        <v>Fighting</v>
      </c>
      <c r="I811" s="0" t="str">
        <f aca="false" t="array" ref="I811:I811">INDEX('0.0.1 Pokémon Dex Data'!$R$3:$R951,MATCH(E811,'0.0.1 Pokémon Dex Data'!$B$3:$B951,0))</f>
        <v>Flying</v>
      </c>
      <c r="J811" s="260" t="n">
        <f aca="false" t="array" ref="J811:J811">ROUND(INDEX('0.0.1 Pokémon Dex Data'!$S$3:$S951,MATCH($E811,'0.0.1 Pokémon Dex Data'!$B$3:$B951,0))*INDEX('0.0.1 Pokémon Dex Data'!T$3:T951,MATCH($E811,'0.0.1 Pokémon Dex Data'!$B$3:$B951,0)),0)</f>
        <v>195</v>
      </c>
      <c r="K811" s="260" t="n">
        <f aca="false" t="array" ref="K811:K811">ROUND(INDEX('0.0.1 Pokémon Dex Data'!$S$3:$S951,MATCH($E811,'0.0.1 Pokémon Dex Data'!$B$3:$B951,0))*INDEX('0.0.1 Pokémon Dex Data'!U$3:U951,MATCH($E811,'0.0.1 Pokémon Dex Data'!$B$3:$B951,0)),0)</f>
        <v>156</v>
      </c>
      <c r="L811" s="260" t="n">
        <f aca="false" t="array" ref="L811:L811">ROUND(INDEX('0.0.1 Pokémon Dex Data'!$S$3:$S951,MATCH($E811,'0.0.1 Pokémon Dex Data'!$B$3:$B951,0))*INDEX('0.0.1 Pokémon Dex Data'!V$3:V951,MATCH($E811,'0.0.1 Pokémon Dex Data'!$B$3:$B951,0)),0)</f>
        <v>186</v>
      </c>
      <c r="M811" s="260" t="n">
        <f aca="false" t="array" ref="M811:M811">INDEX('0.0.1 Pokémon Dex Data'!$J$3:$J951,MATCH(E811,'0.0.1 Pokémon Dex Data'!$B$3:$B951,0))</f>
        <v>1</v>
      </c>
      <c r="O811" s="490"/>
      <c r="Q811" s="367" t="n">
        <f aca="false">IF('Reverse Search'!$F$4="All (including temporary formes)",1,IF('Reverse Search'!$F$4="Base Pokémon and permanent formes only",IF(F811&lt;=1,1,0),IF(F811=0,1,0)))</f>
        <v>1</v>
      </c>
      <c r="R811" s="0" t="n">
        <f aca="false">IF('Reverse Search'!$C$7="Disable",1,IF('Reverse Search'!$D$9="Disable",1,IF(OR('Reverse Search'!$F$9=H811,'Reverse Search'!$F$9=I811),1,0)))</f>
        <v>1</v>
      </c>
      <c r="S811" s="0" t="n">
        <f aca="false">IF('Reverse Search'!$C$7="Disable",1,IF('Reverse Search'!$D$10="Disable",1,IF(OR('Reverse Search'!$F$10=H811,'Reverse Search'!$F$10=I811),1,0)))</f>
        <v>1</v>
      </c>
      <c r="T811" s="0" t="n">
        <f aca="false">INDEX($B$4:$B$22,MATCH(H811,$A$4:$A$22,0))</f>
        <v>1</v>
      </c>
      <c r="U811" s="0" t="n">
        <f aca="false">IF(ISBLANK(I811),1,INDEX($B$4:$B$22,MATCH(I811,$A$4:$A$22,0)))</f>
        <v>1</v>
      </c>
      <c r="V811" s="367" t="n">
        <f aca="false">IF('Reverse Search'!$C$7="Disable",1,IF('Reverse Search'!$D$11="Disable",1,IF('Reverse Search'!$E$11="Neutral to:",IF(ROUND(T811*U811,2)&lt;=1,1,0),IF(ROUND(T811*U811,2)&lt;1,1,0))))</f>
        <v>1</v>
      </c>
      <c r="W811" s="0" t="n">
        <f aca="false">IF('Reverse Search'!$N$7="Disable",1,IF('Reverse Search'!$I$9="Disable",1,IF('Reverse Search'!$K$9="≥",IF(J811&gt;='Reverse Search'!$L$9,1,0),IF('Reverse Search'!$K$9="≤",IF(J811&lt;='Reverse Search'!$L$9,1,0),IF(J811='Reverse Search'!$L$9,1,0)))))</f>
        <v>1</v>
      </c>
      <c r="X811" s="0" t="n">
        <f aca="false">IF('Reverse Search'!$N$7="Disable",1,IF('Reverse Search'!$I$10="Disable",1,IF('Reverse Search'!$K$10="≥",IF(K811&gt;='Reverse Search'!$L$10,1,0),IF('Reverse Search'!$K$10="≤",IF(K811&lt;='Reverse Search'!$L$10,1,0),IF(K811='Reverse Search'!$L$10,1,0)))))</f>
        <v>1</v>
      </c>
      <c r="Y811" s="367" t="n">
        <f aca="false">IF('Reverse Search'!$N$7="Disable",1,IF('Reverse Search'!$I$11="Disable",1,IF('Reverse Search'!$K$11="≥",IF(L811&gt;='Reverse Search'!$L$11,1,0),IF('Reverse Search'!$K$11="≤",IF(L811&lt;='Reverse Search'!$L$11,1,0),IF(L811='Reverse Search'!$L$11,1,0)))))</f>
        <v>1</v>
      </c>
      <c r="Z811" s="0" t="n">
        <f aca="true">IF('Reverse Search'!$C$14="Disable",1,IF('Reverse Search'!$D$16="Disable",1,IF($C$2=3,IF($M811=0,0,COUNTIF(INDIRECT("'0.0.2 Pokémon Learnset (Core)'!$D$"&amp;MATCH($E811,'0.0.2 Pokémon Learnset (Core)'!$A$1:$A951,0)&amp;":$FK$"&amp;MATCH($E811,'0.0.2 Pokémon Learnset (Core)'!$A$1:$A951,0)),'Reverse Search'!$E$21)),IF($C$2=2,COUNTIF(INDIRECT("'0.1.1 Pokémon GO Moves'!$B$"&amp;MATCH($E811,'0.1.1 Pokémon GO Moves'!$A$1:$A951,0)&amp;":$R$"&amp;MATCH($E811,'0.1.1 Pokémon GO Moves'!$A$1:$A951,0)),'Reverse Search'!$E$21),COUNTIF(INDIRECT("'0.1.1 Pokémon GO Moves'!$B$"&amp;MATCH($E811,'0.1.1 Pokémon GO Moves'!$A$1:$A951,0)&amp;":$L$"&amp;MATCH($E811,'0.1.1 Pokémon GO Moves'!$A$1:$A951,0)),'Reverse Search'!$E$21)))))</f>
        <v>1</v>
      </c>
      <c r="AA811" s="0" t="n">
        <f aca="true">IF('Reverse Search'!$C$14="Disable",1,IF('Reverse Search'!$I$16="Disable",1,IF($D$2=3,IF($M811=0,0,COUNTIF(INDIRECT("'0.0.2 Pokémon Learnset (Core)'!$D$"&amp;MATCH($E811,'0.0.2 Pokémon Learnset (Core)'!$A$1:$A951,0)&amp;":$FK$"&amp;MATCH($E811,'0.0.2 Pokémon Learnset (Core)'!$A$1:$A951,0)),'Reverse Search'!$J$21)),IF($D$2=2,COUNTIF(INDIRECT("'0.1.1 Pokémon GO Moves'!$B$"&amp;MATCH($E811,'0.1.1 Pokémon GO Moves'!$A$1:$A951,0)&amp;":$R$"&amp;MATCH($E811,'0.1.1 Pokémon GO Moves'!$A$1:$A951,0)),'Reverse Search'!$J$21),COUNTIF(INDIRECT("'0.1.1 Pokémon GO Moves'!$B$"&amp;MATCH($E811,'0.1.1 Pokémon GO Moves'!$A$1:$A951,0)&amp;":$L$"&amp;MATCH($E811,'0.1.1 Pokémon GO Moves'!$A$1:$A951,0)),'Reverse Search'!$J$21)))))</f>
        <v>0</v>
      </c>
      <c r="AB811" s="490"/>
      <c r="AC811" s="260" t="n">
        <f aca="false">IF((Q811+R811+S811+V811+W811+X811+Y811+IF(Z811&gt;=1,1,0)+IF(AA811&gt;=1,1,0))=9,G811&amp;", ",)</f>
        <v>0</v>
      </c>
    </row>
    <row r="812" customFormat="false" ht="15.75" hidden="false" customHeight="false" outlineLevel="0" collapsed="false">
      <c r="A812" s="260"/>
      <c r="B812" s="358"/>
      <c r="C812" s="260"/>
      <c r="D812" s="358"/>
      <c r="E812" s="260" t="n">
        <v>811</v>
      </c>
      <c r="F812" s="260" t="n">
        <f aca="false" t="array" ref="F812:F812">INDEX('0.0.1 Pokémon Dex Data'!$H$3:$H951,MATCH(E812,'0.0.1 Pokémon Dex Data'!$B$3:$B951,0))</f>
        <v>0</v>
      </c>
      <c r="G812" s="0" t="str">
        <f aca="false" t="array" ref="G812:G812">INDEX('0.0.1 Pokémon Dex Data'!$E$3:$E951,MATCH(E812,'0.0.1 Pokémon Dex Data'!$B$3:$B951,0))</f>
        <v>Dedenne</v>
      </c>
      <c r="H812" s="0" t="str">
        <f aca="false" t="array" ref="H812:H812">INDEX('0.0.1 Pokémon Dex Data'!$Q$3:$Q951,MATCH(E812,'0.0.1 Pokémon Dex Data'!$B$3:$B951,0))</f>
        <v>Electric</v>
      </c>
      <c r="I812" s="0" t="str">
        <f aca="false" t="array" ref="I812:I812">INDEX('0.0.1 Pokémon Dex Data'!$R$3:$R951,MATCH(E812,'0.0.1 Pokémon Dex Data'!$B$3:$B951,0))</f>
        <v>Fairy</v>
      </c>
      <c r="J812" s="260" t="n">
        <f aca="false" t="array" ref="J812:J812">ROUND(INDEX('0.0.1 Pokémon Dex Data'!$S$3:$S951,MATCH($E812,'0.0.1 Pokémon Dex Data'!$B$3:$B951,0))*INDEX('0.0.1 Pokémon Dex Data'!T$3:T951,MATCH($E812,'0.0.1 Pokémon Dex Data'!$B$3:$B951,0)),0)</f>
        <v>164</v>
      </c>
      <c r="K812" s="260" t="n">
        <f aca="false" t="array" ref="K812:K812">ROUND(INDEX('0.0.1 Pokémon Dex Data'!$S$3:$S951,MATCH($E812,'0.0.1 Pokémon Dex Data'!$B$3:$B951,0))*INDEX('0.0.1 Pokémon Dex Data'!U$3:U951,MATCH($E812,'0.0.1 Pokémon Dex Data'!$B$3:$B951,0)),0)</f>
        <v>134</v>
      </c>
      <c r="L812" s="260" t="n">
        <f aca="false" t="array" ref="L812:L812">ROUND(INDEX('0.0.1 Pokémon Dex Data'!$S$3:$S951,MATCH($E812,'0.0.1 Pokémon Dex Data'!$B$3:$B951,0))*INDEX('0.0.1 Pokémon Dex Data'!V$3:V951,MATCH($E812,'0.0.1 Pokémon Dex Data'!$B$3:$B951,0)),0)</f>
        <v>167</v>
      </c>
      <c r="M812" s="260" t="n">
        <f aca="false" t="array" ref="M812:M812">INDEX('0.0.1 Pokémon Dex Data'!$J$3:$J951,MATCH(E812,'0.0.1 Pokémon Dex Data'!$B$3:$B951,0))</f>
        <v>1</v>
      </c>
      <c r="O812" s="490"/>
      <c r="Q812" s="367" t="n">
        <f aca="false">IF('Reverse Search'!$F$4="All (including temporary formes)",1,IF('Reverse Search'!$F$4="Base Pokémon and permanent formes only",IF(F812&lt;=1,1,0),IF(F812=0,1,0)))</f>
        <v>1</v>
      </c>
      <c r="R812" s="0" t="n">
        <f aca="false">IF('Reverse Search'!$C$7="Disable",1,IF('Reverse Search'!$D$9="Disable",1,IF(OR('Reverse Search'!$F$9=H812,'Reverse Search'!$F$9=I812),1,0)))</f>
        <v>1</v>
      </c>
      <c r="S812" s="0" t="n">
        <f aca="false">IF('Reverse Search'!$C$7="Disable",1,IF('Reverse Search'!$D$10="Disable",1,IF(OR('Reverse Search'!$F$10=H812,'Reverse Search'!$F$10=I812),1,0)))</f>
        <v>1</v>
      </c>
      <c r="T812" s="0" t="n">
        <f aca="false">INDEX($B$4:$B$22,MATCH(H812,$A$4:$A$22,0))</f>
        <v>1</v>
      </c>
      <c r="U812" s="0" t="n">
        <f aca="false">IF(ISBLANK(I812),1,INDEX($B$4:$B$22,MATCH(I812,$A$4:$A$22,0)))</f>
        <v>1</v>
      </c>
      <c r="V812" s="367" t="n">
        <f aca="false">IF('Reverse Search'!$C$7="Disable",1,IF('Reverse Search'!$D$11="Disable",1,IF('Reverse Search'!$E$11="Neutral to:",IF(ROUND(T812*U812,2)&lt;=1,1,0),IF(ROUND(T812*U812,2)&lt;1,1,0))))</f>
        <v>1</v>
      </c>
      <c r="W812" s="0" t="n">
        <f aca="false">IF('Reverse Search'!$N$7="Disable",1,IF('Reverse Search'!$I$9="Disable",1,IF('Reverse Search'!$K$9="≥",IF(J812&gt;='Reverse Search'!$L$9,1,0),IF('Reverse Search'!$K$9="≤",IF(J812&lt;='Reverse Search'!$L$9,1,0),IF(J812='Reverse Search'!$L$9,1,0)))))</f>
        <v>1</v>
      </c>
      <c r="X812" s="0" t="n">
        <f aca="false">IF('Reverse Search'!$N$7="Disable",1,IF('Reverse Search'!$I$10="Disable",1,IF('Reverse Search'!$K$10="≥",IF(K812&gt;='Reverse Search'!$L$10,1,0),IF('Reverse Search'!$K$10="≤",IF(K812&lt;='Reverse Search'!$L$10,1,0),IF(K812='Reverse Search'!$L$10,1,0)))))</f>
        <v>1</v>
      </c>
      <c r="Y812" s="367" t="n">
        <f aca="false">IF('Reverse Search'!$N$7="Disable",1,IF('Reverse Search'!$I$11="Disable",1,IF('Reverse Search'!$K$11="≥",IF(L812&gt;='Reverse Search'!$L$11,1,0),IF('Reverse Search'!$K$11="≤",IF(L812&lt;='Reverse Search'!$L$11,1,0),IF(L812='Reverse Search'!$L$11,1,0)))))</f>
        <v>1</v>
      </c>
      <c r="Z812" s="0" t="n">
        <f aca="true">IF('Reverse Search'!$C$14="Disable",1,IF('Reverse Search'!$D$16="Disable",1,IF($C$2=3,IF($M812=0,0,COUNTIF(INDIRECT("'0.0.2 Pokémon Learnset (Core)'!$D$"&amp;MATCH($E812,'0.0.2 Pokémon Learnset (Core)'!$A$1:$A951,0)&amp;":$FK$"&amp;MATCH($E812,'0.0.2 Pokémon Learnset (Core)'!$A$1:$A951,0)),'Reverse Search'!$E$21)),IF($C$2=2,COUNTIF(INDIRECT("'0.1.1 Pokémon GO Moves'!$B$"&amp;MATCH($E812,'0.1.1 Pokémon GO Moves'!$A$1:$A951,0)&amp;":$R$"&amp;MATCH($E812,'0.1.1 Pokémon GO Moves'!$A$1:$A951,0)),'Reverse Search'!$E$21),COUNTIF(INDIRECT("'0.1.1 Pokémon GO Moves'!$B$"&amp;MATCH($E812,'0.1.1 Pokémon GO Moves'!$A$1:$A951,0)&amp;":$L$"&amp;MATCH($E812,'0.1.1 Pokémon GO Moves'!$A$1:$A951,0)),'Reverse Search'!$E$21)))))</f>
        <v>1</v>
      </c>
      <c r="AA812" s="0" t="n">
        <f aca="true">IF('Reverse Search'!$C$14="Disable",1,IF('Reverse Search'!$I$16="Disable",1,IF($D$2=3,IF($M812=0,0,COUNTIF(INDIRECT("'0.0.2 Pokémon Learnset (Core)'!$D$"&amp;MATCH($E812,'0.0.2 Pokémon Learnset (Core)'!$A$1:$A951,0)&amp;":$FK$"&amp;MATCH($E812,'0.0.2 Pokémon Learnset (Core)'!$A$1:$A951,0)),'Reverse Search'!$J$21)),IF($D$2=2,COUNTIF(INDIRECT("'0.1.1 Pokémon GO Moves'!$B$"&amp;MATCH($E812,'0.1.1 Pokémon GO Moves'!$A$1:$A951,0)&amp;":$R$"&amp;MATCH($E812,'0.1.1 Pokémon GO Moves'!$A$1:$A951,0)),'Reverse Search'!$J$21),COUNTIF(INDIRECT("'0.1.1 Pokémon GO Moves'!$B$"&amp;MATCH($E812,'0.1.1 Pokémon GO Moves'!$A$1:$A951,0)&amp;":$L$"&amp;MATCH($E812,'0.1.1 Pokémon GO Moves'!$A$1:$A951,0)),'Reverse Search'!$J$21)))))</f>
        <v>0</v>
      </c>
      <c r="AB812" s="490"/>
      <c r="AC812" s="260" t="n">
        <f aca="false">IF((Q812+R812+S812+V812+W812+X812+Y812+IF(Z812&gt;=1,1,0)+IF(AA812&gt;=1,1,0))=9,G812&amp;", ",)</f>
        <v>0</v>
      </c>
    </row>
    <row r="813" customFormat="false" ht="15.75" hidden="false" customHeight="false" outlineLevel="0" collapsed="false">
      <c r="A813" s="260"/>
      <c r="B813" s="358"/>
      <c r="C813" s="260"/>
      <c r="D813" s="358"/>
      <c r="E813" s="260" t="n">
        <v>812</v>
      </c>
      <c r="F813" s="260" t="n">
        <f aca="false" t="array" ref="F813:F813">INDEX('0.0.1 Pokémon Dex Data'!$H$3:$H951,MATCH(E813,'0.0.1 Pokémon Dex Data'!$B$3:$B951,0))</f>
        <v>0</v>
      </c>
      <c r="G813" s="0" t="str">
        <f aca="false" t="array" ref="G813:G813">INDEX('0.0.1 Pokémon Dex Data'!$E$3:$E951,MATCH(E813,'0.0.1 Pokémon Dex Data'!$B$3:$B951,0))</f>
        <v>Carbink</v>
      </c>
      <c r="H813" s="0" t="str">
        <f aca="false" t="array" ref="H813:H813">INDEX('0.0.1 Pokémon Dex Data'!$Q$3:$Q951,MATCH(E813,'0.0.1 Pokémon Dex Data'!$B$3:$B951,0))</f>
        <v>Rock</v>
      </c>
      <c r="I813" s="0" t="str">
        <f aca="false" t="array" ref="I813:I813">INDEX('0.0.1 Pokémon Dex Data'!$R$3:$R951,MATCH(E813,'0.0.1 Pokémon Dex Data'!$B$3:$B951,0))</f>
        <v>Fairy</v>
      </c>
      <c r="J813" s="260" t="n">
        <f aca="false" t="array" ref="J813:J813">ROUND(INDEX('0.0.1 Pokémon Dex Data'!$S$3:$S951,MATCH($E813,'0.0.1 Pokémon Dex Data'!$B$3:$B951,0))*INDEX('0.0.1 Pokémon Dex Data'!T$3:T951,MATCH($E813,'0.0.1 Pokémon Dex Data'!$B$3:$B951,0)),0)</f>
        <v>95</v>
      </c>
      <c r="K813" s="260" t="n">
        <f aca="false" t="array" ref="K813:K813">ROUND(INDEX('0.0.1 Pokémon Dex Data'!$S$3:$S951,MATCH($E813,'0.0.1 Pokémon Dex Data'!$B$3:$B951,0))*INDEX('0.0.1 Pokémon Dex Data'!U$3:U951,MATCH($E813,'0.0.1 Pokémon Dex Data'!$B$3:$B951,0)),0)</f>
        <v>285</v>
      </c>
      <c r="L813" s="260" t="n">
        <f aca="false" t="array" ref="L813:L813">ROUND(INDEX('0.0.1 Pokémon Dex Data'!$S$3:$S951,MATCH($E813,'0.0.1 Pokémon Dex Data'!$B$3:$B951,0))*INDEX('0.0.1 Pokémon Dex Data'!V$3:V951,MATCH($E813,'0.0.1 Pokémon Dex Data'!$B$3:$B951,0)),0)</f>
        <v>137</v>
      </c>
      <c r="M813" s="260" t="n">
        <f aca="false" t="array" ref="M813:M813">INDEX('0.0.1 Pokémon Dex Data'!$J$3:$J951,MATCH(E813,'0.0.1 Pokémon Dex Data'!$B$3:$B951,0))</f>
        <v>1</v>
      </c>
      <c r="O813" s="490"/>
      <c r="Q813" s="367" t="n">
        <f aca="false">IF('Reverse Search'!$F$4="All (including temporary formes)",1,IF('Reverse Search'!$F$4="Base Pokémon and permanent formes only",IF(F813&lt;=1,1,0),IF(F813=0,1,0)))</f>
        <v>1</v>
      </c>
      <c r="R813" s="0" t="n">
        <f aca="false">IF('Reverse Search'!$C$7="Disable",1,IF('Reverse Search'!$D$9="Disable",1,IF(OR('Reverse Search'!$F$9=H813,'Reverse Search'!$F$9=I813),1,0)))</f>
        <v>1</v>
      </c>
      <c r="S813" s="0" t="n">
        <f aca="false">IF('Reverse Search'!$C$7="Disable",1,IF('Reverse Search'!$D$10="Disable",1,IF(OR('Reverse Search'!$F$10=H813,'Reverse Search'!$F$10=I813),1,0)))</f>
        <v>1</v>
      </c>
      <c r="T813" s="0" t="n">
        <f aca="false">INDEX($B$4:$B$22,MATCH(H813,$A$4:$A$22,0))</f>
        <v>0.714</v>
      </c>
      <c r="U813" s="0" t="n">
        <f aca="false">IF(ISBLANK(I813),1,INDEX($B$4:$B$22,MATCH(I813,$A$4:$A$22,0)))</f>
        <v>1</v>
      </c>
      <c r="V813" s="367" t="n">
        <f aca="false">IF('Reverse Search'!$C$7="Disable",1,IF('Reverse Search'!$D$11="Disable",1,IF('Reverse Search'!$E$11="Neutral to:",IF(ROUND(T813*U813,2)&lt;=1,1,0),IF(ROUND(T813*U813,2)&lt;1,1,0))))</f>
        <v>1</v>
      </c>
      <c r="W813" s="0" t="n">
        <f aca="false">IF('Reverse Search'!$N$7="Disable",1,IF('Reverse Search'!$I$9="Disable",1,IF('Reverse Search'!$K$9="≥",IF(J813&gt;='Reverse Search'!$L$9,1,0),IF('Reverse Search'!$K$9="≤",IF(J813&lt;='Reverse Search'!$L$9,1,0),IF(J813='Reverse Search'!$L$9,1,0)))))</f>
        <v>1</v>
      </c>
      <c r="X813" s="0" t="n">
        <f aca="false">IF('Reverse Search'!$N$7="Disable",1,IF('Reverse Search'!$I$10="Disable",1,IF('Reverse Search'!$K$10="≥",IF(K813&gt;='Reverse Search'!$L$10,1,0),IF('Reverse Search'!$K$10="≤",IF(K813&lt;='Reverse Search'!$L$10,1,0),IF(K813='Reverse Search'!$L$10,1,0)))))</f>
        <v>1</v>
      </c>
      <c r="Y813" s="367" t="n">
        <f aca="false">IF('Reverse Search'!$N$7="Disable",1,IF('Reverse Search'!$I$11="Disable",1,IF('Reverse Search'!$K$11="≥",IF(L813&gt;='Reverse Search'!$L$11,1,0),IF('Reverse Search'!$K$11="≤",IF(L813&lt;='Reverse Search'!$L$11,1,0),IF(L813='Reverse Search'!$L$11,1,0)))))</f>
        <v>1</v>
      </c>
      <c r="Z813" s="0" t="n">
        <f aca="true">IF('Reverse Search'!$C$14="Disable",1,IF('Reverse Search'!$D$16="Disable",1,IF($C$2=3,IF($M813=0,0,COUNTIF(INDIRECT("'0.0.2 Pokémon Learnset (Core)'!$D$"&amp;MATCH($E813,'0.0.2 Pokémon Learnset (Core)'!$A$1:$A951,0)&amp;":$FK$"&amp;MATCH($E813,'0.0.2 Pokémon Learnset (Core)'!$A$1:$A951,0)),'Reverse Search'!$E$21)),IF($C$2=2,COUNTIF(INDIRECT("'0.1.1 Pokémon GO Moves'!$B$"&amp;MATCH($E813,'0.1.1 Pokémon GO Moves'!$A$1:$A951,0)&amp;":$R$"&amp;MATCH($E813,'0.1.1 Pokémon GO Moves'!$A$1:$A951,0)),'Reverse Search'!$E$21),COUNTIF(INDIRECT("'0.1.1 Pokémon GO Moves'!$B$"&amp;MATCH($E813,'0.1.1 Pokémon GO Moves'!$A$1:$A951,0)&amp;":$L$"&amp;MATCH($E813,'0.1.1 Pokémon GO Moves'!$A$1:$A951,0)),'Reverse Search'!$E$21)))))</f>
        <v>1</v>
      </c>
      <c r="AA813" s="0" t="n">
        <f aca="true">IF('Reverse Search'!$C$14="Disable",1,IF('Reverse Search'!$I$16="Disable",1,IF($D$2=3,IF($M813=0,0,COUNTIF(INDIRECT("'0.0.2 Pokémon Learnset (Core)'!$D$"&amp;MATCH($E813,'0.0.2 Pokémon Learnset (Core)'!$A$1:$A951,0)&amp;":$FK$"&amp;MATCH($E813,'0.0.2 Pokémon Learnset (Core)'!$A$1:$A951,0)),'Reverse Search'!$J$21)),IF($D$2=2,COUNTIF(INDIRECT("'0.1.1 Pokémon GO Moves'!$B$"&amp;MATCH($E813,'0.1.1 Pokémon GO Moves'!$A$1:$A951,0)&amp;":$R$"&amp;MATCH($E813,'0.1.1 Pokémon GO Moves'!$A$1:$A951,0)),'Reverse Search'!$J$21),COUNTIF(INDIRECT("'0.1.1 Pokémon GO Moves'!$B$"&amp;MATCH($E813,'0.1.1 Pokémon GO Moves'!$A$1:$A951,0)&amp;":$L$"&amp;MATCH($E813,'0.1.1 Pokémon GO Moves'!$A$1:$A951,0)),'Reverse Search'!$J$21)))))</f>
        <v>0</v>
      </c>
      <c r="AB813" s="490"/>
      <c r="AC813" s="260" t="n">
        <f aca="false">IF((Q813+R813+S813+V813+W813+X813+Y813+IF(Z813&gt;=1,1,0)+IF(AA813&gt;=1,1,0))=9,G813&amp;", ",)</f>
        <v>0</v>
      </c>
    </row>
    <row r="814" customFormat="false" ht="15.75" hidden="false" customHeight="false" outlineLevel="0" collapsed="false">
      <c r="A814" s="260"/>
      <c r="B814" s="358"/>
      <c r="C814" s="260"/>
      <c r="D814" s="358"/>
      <c r="E814" s="260" t="n">
        <v>813</v>
      </c>
      <c r="F814" s="260" t="n">
        <f aca="false" t="array" ref="F814:F814">INDEX('0.0.1 Pokémon Dex Data'!$H$3:$H951,MATCH(E814,'0.0.1 Pokémon Dex Data'!$B$3:$B951,0))</f>
        <v>0</v>
      </c>
      <c r="G814" s="0" t="str">
        <f aca="false" t="array" ref="G814:G814">INDEX('0.0.1 Pokémon Dex Data'!$E$3:$E951,MATCH(E814,'0.0.1 Pokémon Dex Data'!$B$3:$B951,0))</f>
        <v>Goomy</v>
      </c>
      <c r="H814" s="0" t="str">
        <f aca="false" t="array" ref="H814:H814">INDEX('0.0.1 Pokémon Dex Data'!$Q$3:$Q951,MATCH(E814,'0.0.1 Pokémon Dex Data'!$B$3:$B951,0))</f>
        <v>Dragon</v>
      </c>
      <c r="I814" s="0" t="n">
        <f aca="false">INDEX('0.0.1 Pokémon Dex Data'!$R$3:$R951,MATCH(E814,'0.0.1 Pokémon Dex Data'!$B$3:$B951,0))</f>
        <v>0</v>
      </c>
      <c r="J814" s="260" t="n">
        <f aca="false" t="array" ref="J814:J814">ROUND(INDEX('0.0.1 Pokémon Dex Data'!$S$3:$S951,MATCH($E814,'0.0.1 Pokémon Dex Data'!$B$3:$B951,0))*INDEX('0.0.1 Pokémon Dex Data'!T$3:T951,MATCH($E814,'0.0.1 Pokémon Dex Data'!$B$3:$B951,0)),0)</f>
        <v>101</v>
      </c>
      <c r="K814" s="260" t="n">
        <f aca="false" t="array" ref="K814:K814">ROUND(INDEX('0.0.1 Pokémon Dex Data'!$S$3:$S951,MATCH($E814,'0.0.1 Pokémon Dex Data'!$B$3:$B951,0))*INDEX('0.0.1 Pokémon Dex Data'!U$3:U951,MATCH($E814,'0.0.1 Pokémon Dex Data'!$B$3:$B951,0)),0)</f>
        <v>112</v>
      </c>
      <c r="L814" s="260" t="n">
        <f aca="false" t="array" ref="L814:L814">ROUND(INDEX('0.0.1 Pokémon Dex Data'!$S$3:$S951,MATCH($E814,'0.0.1 Pokémon Dex Data'!$B$3:$B951,0))*INDEX('0.0.1 Pokémon Dex Data'!V$3:V951,MATCH($E814,'0.0.1 Pokémon Dex Data'!$B$3:$B951,0)),0)</f>
        <v>128</v>
      </c>
      <c r="M814" s="260" t="n">
        <f aca="false" t="array" ref="M814:M814">INDEX('0.0.1 Pokémon Dex Data'!$J$3:$J951,MATCH(E814,'0.0.1 Pokémon Dex Data'!$B$3:$B951,0))</f>
        <v>0</v>
      </c>
      <c r="O814" s="490"/>
      <c r="Q814" s="367" t="n">
        <f aca="false">IF('Reverse Search'!$F$4="All (including temporary formes)",1,IF('Reverse Search'!$F$4="Base Pokémon and permanent formes only",IF(F814&lt;=1,1,0),IF(F814=0,1,0)))</f>
        <v>1</v>
      </c>
      <c r="R814" s="0" t="n">
        <f aca="false">IF('Reverse Search'!$C$7="Disable",1,IF('Reverse Search'!$D$9="Disable",1,IF(OR('Reverse Search'!$F$9=H814,'Reverse Search'!$F$9=I814),1,0)))</f>
        <v>1</v>
      </c>
      <c r="S814" s="0" t="n">
        <f aca="false">IF('Reverse Search'!$C$7="Disable",1,IF('Reverse Search'!$D$10="Disable",1,IF(OR('Reverse Search'!$F$10=H814,'Reverse Search'!$F$10=I814),1,0)))</f>
        <v>1</v>
      </c>
      <c r="T814" s="0" t="n">
        <f aca="false">INDEX($B$4:$B$22,MATCH(H814,$A$4:$A$22,0))</f>
        <v>1</v>
      </c>
      <c r="U814" s="0" t="e">
        <f aca="false">IF(ISBLANK(I814),1,INDEX($B$4:$B$22,MATCH(I814,$A$4:$A$22,0)))</f>
        <v>#N/A</v>
      </c>
      <c r="V814" s="367" t="n">
        <f aca="false">IF('Reverse Search'!$C$7="Disable",1,IF('Reverse Search'!$D$11="Disable",1,IF('Reverse Search'!$E$11="Neutral to:",IF(ROUND(T814*U814,2)&lt;=1,1,0),IF(ROUND(T814*U814,2)&lt;1,1,0))))</f>
        <v>1</v>
      </c>
      <c r="W814" s="0" t="n">
        <f aca="false">IF('Reverse Search'!$N$7="Disable",1,IF('Reverse Search'!$I$9="Disable",1,IF('Reverse Search'!$K$9="≥",IF(J814&gt;='Reverse Search'!$L$9,1,0),IF('Reverse Search'!$K$9="≤",IF(J814&lt;='Reverse Search'!$L$9,1,0),IF(J814='Reverse Search'!$L$9,1,0)))))</f>
        <v>1</v>
      </c>
      <c r="X814" s="0" t="n">
        <f aca="false">IF('Reverse Search'!$N$7="Disable",1,IF('Reverse Search'!$I$10="Disable",1,IF('Reverse Search'!$K$10="≥",IF(K814&gt;='Reverse Search'!$L$10,1,0),IF('Reverse Search'!$K$10="≤",IF(K814&lt;='Reverse Search'!$L$10,1,0),IF(K814='Reverse Search'!$L$10,1,0)))))</f>
        <v>1</v>
      </c>
      <c r="Y814" s="367" t="n">
        <f aca="false">IF('Reverse Search'!$N$7="Disable",1,IF('Reverse Search'!$I$11="Disable",1,IF('Reverse Search'!$K$11="≥",IF(L814&gt;='Reverse Search'!$L$11,1,0),IF('Reverse Search'!$K$11="≤",IF(L814&lt;='Reverse Search'!$L$11,1,0),IF(L814='Reverse Search'!$L$11,1,0)))))</f>
        <v>1</v>
      </c>
      <c r="Z814" s="0" t="n">
        <f aca="true">IF('Reverse Search'!$C$14="Disable",1,IF('Reverse Search'!$D$16="Disable",1,IF($C$2=3,IF($M814=0,0,COUNTIF(INDIRECT("'0.0.2 Pokémon Learnset (Core)'!$D$"&amp;MATCH($E814,'0.0.2 Pokémon Learnset (Core)'!$A$1:$A951,0)&amp;":$FK$"&amp;MATCH($E814,'0.0.2 Pokémon Learnset (Core)'!$A$1:$A951,0)),'Reverse Search'!$E$21)),IF($C$2=2,COUNTIF(INDIRECT("'0.1.1 Pokémon GO Moves'!$B$"&amp;MATCH($E814,'0.1.1 Pokémon GO Moves'!$A$1:$A951,0)&amp;":$R$"&amp;MATCH($E814,'0.1.1 Pokémon GO Moves'!$A$1:$A951,0)),'Reverse Search'!$E$21),COUNTIF(INDIRECT("'0.1.1 Pokémon GO Moves'!$B$"&amp;MATCH($E814,'0.1.1 Pokémon GO Moves'!$A$1:$A951,0)&amp;":$L$"&amp;MATCH($E814,'0.1.1 Pokémon GO Moves'!$A$1:$A951,0)),'Reverse Search'!$E$21)))))</f>
        <v>1</v>
      </c>
      <c r="AA814" s="0" t="n">
        <f aca="true">IF('Reverse Search'!$C$14="Disable",1,IF('Reverse Search'!$I$16="Disable",1,IF($D$2=3,IF($M814=0,0,COUNTIF(INDIRECT("'0.0.2 Pokémon Learnset (Core)'!$D$"&amp;MATCH($E814,'0.0.2 Pokémon Learnset (Core)'!$A$1:$A951,0)&amp;":$FK$"&amp;MATCH($E814,'0.0.2 Pokémon Learnset (Core)'!$A$1:$A951,0)),'Reverse Search'!$J$21)),IF($D$2=2,COUNTIF(INDIRECT("'0.1.1 Pokémon GO Moves'!$B$"&amp;MATCH($E814,'0.1.1 Pokémon GO Moves'!$A$1:$A951,0)&amp;":$R$"&amp;MATCH($E814,'0.1.1 Pokémon GO Moves'!$A$1:$A951,0)),'Reverse Search'!$J$21),COUNTIF(INDIRECT("'0.1.1 Pokémon GO Moves'!$B$"&amp;MATCH($E814,'0.1.1 Pokémon GO Moves'!$A$1:$A951,0)&amp;":$L$"&amp;MATCH($E814,'0.1.1 Pokémon GO Moves'!$A$1:$A951,0)),'Reverse Search'!$J$21)))))</f>
        <v>0</v>
      </c>
      <c r="AB814" s="490"/>
      <c r="AC814" s="260" t="n">
        <f aca="false">IF((Q814+R814+S814+V814+W814+X814+Y814+IF(Z814&gt;=1,1,0)+IF(AA814&gt;=1,1,0))=9,G814&amp;", ",)</f>
        <v>0</v>
      </c>
    </row>
    <row r="815" customFormat="false" ht="15.75" hidden="false" customHeight="false" outlineLevel="0" collapsed="false">
      <c r="A815" s="260"/>
      <c r="B815" s="358"/>
      <c r="C815" s="260"/>
      <c r="D815" s="358"/>
      <c r="E815" s="260" t="n">
        <v>814</v>
      </c>
      <c r="F815" s="260" t="n">
        <f aca="false" t="array" ref="F815:F815">INDEX('0.0.1 Pokémon Dex Data'!$H$3:$H951,MATCH(E815,'0.0.1 Pokémon Dex Data'!$B$3:$B951,0))</f>
        <v>0</v>
      </c>
      <c r="G815" s="0" t="str">
        <f aca="false" t="array" ref="G815:G815">INDEX('0.0.1 Pokémon Dex Data'!$E$3:$E951,MATCH(E815,'0.0.1 Pokémon Dex Data'!$B$3:$B951,0))</f>
        <v>Sliggoo</v>
      </c>
      <c r="H815" s="0" t="str">
        <f aca="false" t="array" ref="H815:H815">INDEX('0.0.1 Pokémon Dex Data'!$Q$3:$Q951,MATCH(E815,'0.0.1 Pokémon Dex Data'!$B$3:$B951,0))</f>
        <v>Dragon</v>
      </c>
      <c r="I815" s="0" t="n">
        <f aca="false">INDEX('0.0.1 Pokémon Dex Data'!$R$3:$R951,MATCH(E815,'0.0.1 Pokémon Dex Data'!$B$3:$B951,0))</f>
        <v>0</v>
      </c>
      <c r="J815" s="260" t="n">
        <f aca="false" t="array" ref="J815:J815">ROUND(INDEX('0.0.1 Pokémon Dex Data'!$S$3:$S951,MATCH($E815,'0.0.1 Pokémon Dex Data'!$B$3:$B951,0))*INDEX('0.0.1 Pokémon Dex Data'!T$3:T951,MATCH($E815,'0.0.1 Pokémon Dex Data'!$B$3:$B951,0)),0)</f>
        <v>159</v>
      </c>
      <c r="K815" s="260" t="n">
        <f aca="false" t="array" ref="K815:K815">ROUND(INDEX('0.0.1 Pokémon Dex Data'!$S$3:$S951,MATCH($E815,'0.0.1 Pokémon Dex Data'!$B$3:$B951,0))*INDEX('0.0.1 Pokémon Dex Data'!U$3:U951,MATCH($E815,'0.0.1 Pokémon Dex Data'!$B$3:$B951,0)),0)</f>
        <v>176</v>
      </c>
      <c r="L815" s="260" t="n">
        <f aca="false" t="array" ref="L815:L815">ROUND(INDEX('0.0.1 Pokémon Dex Data'!$S$3:$S951,MATCH($E815,'0.0.1 Pokémon Dex Data'!$B$3:$B951,0))*INDEX('0.0.1 Pokémon Dex Data'!V$3:V951,MATCH($E815,'0.0.1 Pokémon Dex Data'!$B$3:$B951,0)),0)</f>
        <v>169</v>
      </c>
      <c r="M815" s="260" t="n">
        <f aca="false" t="array" ref="M815:M815">INDEX('0.0.1 Pokémon Dex Data'!$J$3:$J951,MATCH(E815,'0.0.1 Pokémon Dex Data'!$B$3:$B951,0))</f>
        <v>0</v>
      </c>
      <c r="O815" s="490"/>
      <c r="Q815" s="367" t="n">
        <f aca="false">IF('Reverse Search'!$F$4="All (including temporary formes)",1,IF('Reverse Search'!$F$4="Base Pokémon and permanent formes only",IF(F815&lt;=1,1,0),IF(F815=0,1,0)))</f>
        <v>1</v>
      </c>
      <c r="R815" s="0" t="n">
        <f aca="false">IF('Reverse Search'!$C$7="Disable",1,IF('Reverse Search'!$D$9="Disable",1,IF(OR('Reverse Search'!$F$9=H815,'Reverse Search'!$F$9=I815),1,0)))</f>
        <v>1</v>
      </c>
      <c r="S815" s="0" t="n">
        <f aca="false">IF('Reverse Search'!$C$7="Disable",1,IF('Reverse Search'!$D$10="Disable",1,IF(OR('Reverse Search'!$F$10=H815,'Reverse Search'!$F$10=I815),1,0)))</f>
        <v>1</v>
      </c>
      <c r="T815" s="0" t="n">
        <f aca="false">INDEX($B$4:$B$22,MATCH(H815,$A$4:$A$22,0))</f>
        <v>1</v>
      </c>
      <c r="U815" s="0" t="e">
        <f aca="false">IF(ISBLANK(I815),1,INDEX($B$4:$B$22,MATCH(I815,$A$4:$A$22,0)))</f>
        <v>#N/A</v>
      </c>
      <c r="V815" s="367" t="n">
        <f aca="false">IF('Reverse Search'!$C$7="Disable",1,IF('Reverse Search'!$D$11="Disable",1,IF('Reverse Search'!$E$11="Neutral to:",IF(ROUND(T815*U815,2)&lt;=1,1,0),IF(ROUND(T815*U815,2)&lt;1,1,0))))</f>
        <v>1</v>
      </c>
      <c r="W815" s="0" t="n">
        <f aca="false">IF('Reverse Search'!$N$7="Disable",1,IF('Reverse Search'!$I$9="Disable",1,IF('Reverse Search'!$K$9="≥",IF(J815&gt;='Reverse Search'!$L$9,1,0),IF('Reverse Search'!$K$9="≤",IF(J815&lt;='Reverse Search'!$L$9,1,0),IF(J815='Reverse Search'!$L$9,1,0)))))</f>
        <v>1</v>
      </c>
      <c r="X815" s="0" t="n">
        <f aca="false">IF('Reverse Search'!$N$7="Disable",1,IF('Reverse Search'!$I$10="Disable",1,IF('Reverse Search'!$K$10="≥",IF(K815&gt;='Reverse Search'!$L$10,1,0),IF('Reverse Search'!$K$10="≤",IF(K815&lt;='Reverse Search'!$L$10,1,0),IF(K815='Reverse Search'!$L$10,1,0)))))</f>
        <v>1</v>
      </c>
      <c r="Y815" s="367" t="n">
        <f aca="false">IF('Reverse Search'!$N$7="Disable",1,IF('Reverse Search'!$I$11="Disable",1,IF('Reverse Search'!$K$11="≥",IF(L815&gt;='Reverse Search'!$L$11,1,0),IF('Reverse Search'!$K$11="≤",IF(L815&lt;='Reverse Search'!$L$11,1,0),IF(L815='Reverse Search'!$L$11,1,0)))))</f>
        <v>1</v>
      </c>
      <c r="Z815" s="0" t="n">
        <f aca="true">IF('Reverse Search'!$C$14="Disable",1,IF('Reverse Search'!$D$16="Disable",1,IF($C$2=3,IF($M815=0,0,COUNTIF(INDIRECT("'0.0.2 Pokémon Learnset (Core)'!$D$"&amp;MATCH($E815,'0.0.2 Pokémon Learnset (Core)'!$A$1:$A951,0)&amp;":$FK$"&amp;MATCH($E815,'0.0.2 Pokémon Learnset (Core)'!$A$1:$A951,0)),'Reverse Search'!$E$21)),IF($C$2=2,COUNTIF(INDIRECT("'0.1.1 Pokémon GO Moves'!$B$"&amp;MATCH($E815,'0.1.1 Pokémon GO Moves'!$A$1:$A951,0)&amp;":$R$"&amp;MATCH($E815,'0.1.1 Pokémon GO Moves'!$A$1:$A951,0)),'Reverse Search'!$E$21),COUNTIF(INDIRECT("'0.1.1 Pokémon GO Moves'!$B$"&amp;MATCH($E815,'0.1.1 Pokémon GO Moves'!$A$1:$A951,0)&amp;":$L$"&amp;MATCH($E815,'0.1.1 Pokémon GO Moves'!$A$1:$A951,0)),'Reverse Search'!$E$21)))))</f>
        <v>1</v>
      </c>
      <c r="AA815" s="0" t="n">
        <f aca="true">IF('Reverse Search'!$C$14="Disable",1,IF('Reverse Search'!$I$16="Disable",1,IF($D$2=3,IF($M815=0,0,COUNTIF(INDIRECT("'0.0.2 Pokémon Learnset (Core)'!$D$"&amp;MATCH($E815,'0.0.2 Pokémon Learnset (Core)'!$A$1:$A951,0)&amp;":$FK$"&amp;MATCH($E815,'0.0.2 Pokémon Learnset (Core)'!$A$1:$A951,0)),'Reverse Search'!$J$21)),IF($D$2=2,COUNTIF(INDIRECT("'0.1.1 Pokémon GO Moves'!$B$"&amp;MATCH($E815,'0.1.1 Pokémon GO Moves'!$A$1:$A951,0)&amp;":$R$"&amp;MATCH($E815,'0.1.1 Pokémon GO Moves'!$A$1:$A951,0)),'Reverse Search'!$J$21),COUNTIF(INDIRECT("'0.1.1 Pokémon GO Moves'!$B$"&amp;MATCH($E815,'0.1.1 Pokémon GO Moves'!$A$1:$A951,0)&amp;":$L$"&amp;MATCH($E815,'0.1.1 Pokémon GO Moves'!$A$1:$A951,0)),'Reverse Search'!$J$21)))))</f>
        <v>0</v>
      </c>
      <c r="AB815" s="490"/>
      <c r="AC815" s="260" t="n">
        <f aca="false">IF((Q815+R815+S815+V815+W815+X815+Y815+IF(Z815&gt;=1,1,0)+IF(AA815&gt;=1,1,0))=9,G815&amp;", ",)</f>
        <v>0</v>
      </c>
    </row>
    <row r="816" customFormat="false" ht="15.75" hidden="false" customHeight="false" outlineLevel="0" collapsed="false">
      <c r="A816" s="260"/>
      <c r="B816" s="358"/>
      <c r="C816" s="260"/>
      <c r="D816" s="358"/>
      <c r="E816" s="260" t="n">
        <v>815</v>
      </c>
      <c r="F816" s="260" t="n">
        <f aca="false" t="array" ref="F816:F816">INDEX('0.0.1 Pokémon Dex Data'!$H$3:$H951,MATCH(E816,'0.0.1 Pokémon Dex Data'!$B$3:$B951,0))</f>
        <v>0</v>
      </c>
      <c r="G816" s="0" t="str">
        <f aca="false" t="array" ref="G816:G816">INDEX('0.0.1 Pokémon Dex Data'!$E$3:$E951,MATCH(E816,'0.0.1 Pokémon Dex Data'!$B$3:$B951,0))</f>
        <v>Goodra</v>
      </c>
      <c r="H816" s="0" t="str">
        <f aca="false" t="array" ref="H816:H816">INDEX('0.0.1 Pokémon Dex Data'!$Q$3:$Q951,MATCH(E816,'0.0.1 Pokémon Dex Data'!$B$3:$B951,0))</f>
        <v>Dragon</v>
      </c>
      <c r="I816" s="0" t="n">
        <f aca="false">INDEX('0.0.1 Pokémon Dex Data'!$R$3:$R951,MATCH(E816,'0.0.1 Pokémon Dex Data'!$B$3:$B951,0))</f>
        <v>0</v>
      </c>
      <c r="J816" s="260" t="n">
        <f aca="false" t="array" ref="J816:J816">ROUND(INDEX('0.0.1 Pokémon Dex Data'!$S$3:$S951,MATCH($E816,'0.0.1 Pokémon Dex Data'!$B$3:$B951,0))*INDEX('0.0.1 Pokémon Dex Data'!T$3:T951,MATCH($E816,'0.0.1 Pokémon Dex Data'!$B$3:$B951,0)),0)</f>
        <v>220</v>
      </c>
      <c r="K816" s="260" t="n">
        <f aca="false" t="array" ref="K816:K816">ROUND(INDEX('0.0.1 Pokémon Dex Data'!$S$3:$S951,MATCH($E816,'0.0.1 Pokémon Dex Data'!$B$3:$B951,0))*INDEX('0.0.1 Pokémon Dex Data'!U$3:U951,MATCH($E816,'0.0.1 Pokémon Dex Data'!$B$3:$B951,0)),0)</f>
        <v>242</v>
      </c>
      <c r="L816" s="260" t="n">
        <f aca="false" t="array" ref="L816:L816">ROUND(INDEX('0.0.1 Pokémon Dex Data'!$S$3:$S951,MATCH($E816,'0.0.1 Pokémon Dex Data'!$B$3:$B951,0))*INDEX('0.0.1 Pokémon Dex Data'!V$3:V951,MATCH($E816,'0.0.1 Pokémon Dex Data'!$B$3:$B951,0)),0)</f>
        <v>207</v>
      </c>
      <c r="M816" s="260" t="n">
        <f aca="false" t="array" ref="M816:M816">INDEX('0.0.1 Pokémon Dex Data'!$J$3:$J951,MATCH(E816,'0.0.1 Pokémon Dex Data'!$B$3:$B951,0))</f>
        <v>1</v>
      </c>
      <c r="O816" s="490"/>
      <c r="Q816" s="367" t="n">
        <f aca="false">IF('Reverse Search'!$F$4="All (including temporary formes)",1,IF('Reverse Search'!$F$4="Base Pokémon and permanent formes only",IF(F816&lt;=1,1,0),IF(F816=0,1,0)))</f>
        <v>1</v>
      </c>
      <c r="R816" s="0" t="n">
        <f aca="false">IF('Reverse Search'!$C$7="Disable",1,IF('Reverse Search'!$D$9="Disable",1,IF(OR('Reverse Search'!$F$9=H816,'Reverse Search'!$F$9=I816),1,0)))</f>
        <v>1</v>
      </c>
      <c r="S816" s="0" t="n">
        <f aca="false">IF('Reverse Search'!$C$7="Disable",1,IF('Reverse Search'!$D$10="Disable",1,IF(OR('Reverse Search'!$F$10=H816,'Reverse Search'!$F$10=I816),1,0)))</f>
        <v>1</v>
      </c>
      <c r="T816" s="0" t="n">
        <f aca="false">INDEX($B$4:$B$22,MATCH(H816,$A$4:$A$22,0))</f>
        <v>1</v>
      </c>
      <c r="U816" s="0" t="e">
        <f aca="false">IF(ISBLANK(I816),1,INDEX($B$4:$B$22,MATCH(I816,$A$4:$A$22,0)))</f>
        <v>#N/A</v>
      </c>
      <c r="V816" s="367" t="n">
        <f aca="false">IF('Reverse Search'!$C$7="Disable",1,IF('Reverse Search'!$D$11="Disable",1,IF('Reverse Search'!$E$11="Neutral to:",IF(ROUND(T816*U816,2)&lt;=1,1,0),IF(ROUND(T816*U816,2)&lt;1,1,0))))</f>
        <v>1</v>
      </c>
      <c r="W816" s="0" t="n">
        <f aca="false">IF('Reverse Search'!$N$7="Disable",1,IF('Reverse Search'!$I$9="Disable",1,IF('Reverse Search'!$K$9="≥",IF(J816&gt;='Reverse Search'!$L$9,1,0),IF('Reverse Search'!$K$9="≤",IF(J816&lt;='Reverse Search'!$L$9,1,0),IF(J816='Reverse Search'!$L$9,1,0)))))</f>
        <v>1</v>
      </c>
      <c r="X816" s="0" t="n">
        <f aca="false">IF('Reverse Search'!$N$7="Disable",1,IF('Reverse Search'!$I$10="Disable",1,IF('Reverse Search'!$K$10="≥",IF(K816&gt;='Reverse Search'!$L$10,1,0),IF('Reverse Search'!$K$10="≤",IF(K816&lt;='Reverse Search'!$L$10,1,0),IF(K816='Reverse Search'!$L$10,1,0)))))</f>
        <v>1</v>
      </c>
      <c r="Y816" s="367" t="n">
        <f aca="false">IF('Reverse Search'!$N$7="Disable",1,IF('Reverse Search'!$I$11="Disable",1,IF('Reverse Search'!$K$11="≥",IF(L816&gt;='Reverse Search'!$L$11,1,0),IF('Reverse Search'!$K$11="≤",IF(L816&lt;='Reverse Search'!$L$11,1,0),IF(L816='Reverse Search'!$L$11,1,0)))))</f>
        <v>1</v>
      </c>
      <c r="Z816" s="0" t="n">
        <f aca="true">IF('Reverse Search'!$C$14="Disable",1,IF('Reverse Search'!$D$16="Disable",1,IF($C$2=3,IF($M816=0,0,COUNTIF(INDIRECT("'0.0.2 Pokémon Learnset (Core)'!$D$"&amp;MATCH($E816,'0.0.2 Pokémon Learnset (Core)'!$A$1:$A951,0)&amp;":$FK$"&amp;MATCH($E816,'0.0.2 Pokémon Learnset (Core)'!$A$1:$A951,0)),'Reverse Search'!$E$21)),IF($C$2=2,COUNTIF(INDIRECT("'0.1.1 Pokémon GO Moves'!$B$"&amp;MATCH($E816,'0.1.1 Pokémon GO Moves'!$A$1:$A951,0)&amp;":$R$"&amp;MATCH($E816,'0.1.1 Pokémon GO Moves'!$A$1:$A951,0)),'Reverse Search'!$E$21),COUNTIF(INDIRECT("'0.1.1 Pokémon GO Moves'!$B$"&amp;MATCH($E816,'0.1.1 Pokémon GO Moves'!$A$1:$A951,0)&amp;":$L$"&amp;MATCH($E816,'0.1.1 Pokémon GO Moves'!$A$1:$A951,0)),'Reverse Search'!$E$21)))))</f>
        <v>1</v>
      </c>
      <c r="AA816" s="0" t="n">
        <f aca="true">IF('Reverse Search'!$C$14="Disable",1,IF('Reverse Search'!$I$16="Disable",1,IF($D$2=3,IF($M816=0,0,COUNTIF(INDIRECT("'0.0.2 Pokémon Learnset (Core)'!$D$"&amp;MATCH($E816,'0.0.2 Pokémon Learnset (Core)'!$A$1:$A951,0)&amp;":$FK$"&amp;MATCH($E816,'0.0.2 Pokémon Learnset (Core)'!$A$1:$A951,0)),'Reverse Search'!$J$21)),IF($D$2=2,COUNTIF(INDIRECT("'0.1.1 Pokémon GO Moves'!$B$"&amp;MATCH($E816,'0.1.1 Pokémon GO Moves'!$A$1:$A951,0)&amp;":$R$"&amp;MATCH($E816,'0.1.1 Pokémon GO Moves'!$A$1:$A951,0)),'Reverse Search'!$J$21),COUNTIF(INDIRECT("'0.1.1 Pokémon GO Moves'!$B$"&amp;MATCH($E816,'0.1.1 Pokémon GO Moves'!$A$1:$A951,0)&amp;":$L$"&amp;MATCH($E816,'0.1.1 Pokémon GO Moves'!$A$1:$A951,0)),'Reverse Search'!$J$21)))))</f>
        <v>0</v>
      </c>
      <c r="AB816" s="490"/>
      <c r="AC816" s="260" t="n">
        <f aca="false">IF((Q816+R816+S816+V816+W816+X816+Y816+IF(Z816&gt;=1,1,0)+IF(AA816&gt;=1,1,0))=9,G816&amp;", ",)</f>
        <v>0</v>
      </c>
    </row>
    <row r="817" customFormat="false" ht="15.75" hidden="false" customHeight="false" outlineLevel="0" collapsed="false">
      <c r="A817" s="260"/>
      <c r="B817" s="358"/>
      <c r="C817" s="260"/>
      <c r="D817" s="358"/>
      <c r="E817" s="260" t="n">
        <v>816</v>
      </c>
      <c r="F817" s="260" t="n">
        <f aca="false" t="array" ref="F817:F817">INDEX('0.0.1 Pokémon Dex Data'!$H$3:$H951,MATCH(E817,'0.0.1 Pokémon Dex Data'!$B$3:$B951,0))</f>
        <v>0</v>
      </c>
      <c r="G817" s="0" t="str">
        <f aca="false" t="array" ref="G817:G817">INDEX('0.0.1 Pokémon Dex Data'!$E$3:$E951,MATCH(E817,'0.0.1 Pokémon Dex Data'!$B$3:$B951,0))</f>
        <v>Klefki</v>
      </c>
      <c r="H817" s="0" t="str">
        <f aca="false" t="array" ref="H817:H817">INDEX('0.0.1 Pokémon Dex Data'!$Q$3:$Q951,MATCH(E817,'0.0.1 Pokémon Dex Data'!$B$3:$B951,0))</f>
        <v>Steel</v>
      </c>
      <c r="I817" s="0" t="str">
        <f aca="false" t="array" ref="I817:I817">INDEX('0.0.1 Pokémon Dex Data'!$R$3:$R951,MATCH(E817,'0.0.1 Pokémon Dex Data'!$B$3:$B951,0))</f>
        <v>Fairy</v>
      </c>
      <c r="J817" s="260" t="n">
        <f aca="false" t="array" ref="J817:J817">ROUND(INDEX('0.0.1 Pokémon Dex Data'!$S$3:$S951,MATCH($E817,'0.0.1 Pokémon Dex Data'!$B$3:$B951,0))*INDEX('0.0.1 Pokémon Dex Data'!T$3:T951,MATCH($E817,'0.0.1 Pokémon Dex Data'!$B$3:$B951,0)),0)</f>
        <v>162</v>
      </c>
      <c r="K817" s="260" t="n">
        <f aca="false" t="array" ref="K817:K817">ROUND(INDEX('0.0.1 Pokémon Dex Data'!$S$3:$S951,MATCH($E817,'0.0.1 Pokémon Dex Data'!$B$3:$B951,0))*INDEX('0.0.1 Pokémon Dex Data'!U$3:U951,MATCH($E817,'0.0.1 Pokémon Dex Data'!$B$3:$B951,0)),0)</f>
        <v>179</v>
      </c>
      <c r="L817" s="260" t="n">
        <f aca="false" t="array" ref="L817:L817">ROUND(INDEX('0.0.1 Pokémon Dex Data'!$S$3:$S951,MATCH($E817,'0.0.1 Pokémon Dex Data'!$B$3:$B951,0))*INDEX('0.0.1 Pokémon Dex Data'!V$3:V951,MATCH($E817,'0.0.1 Pokémon Dex Data'!$B$3:$B951,0)),0)</f>
        <v>151</v>
      </c>
      <c r="M817" s="260" t="n">
        <f aca="false" t="array" ref="M817:M817">INDEX('0.0.1 Pokémon Dex Data'!$J$3:$J951,MATCH(E817,'0.0.1 Pokémon Dex Data'!$B$3:$B951,0))</f>
        <v>1</v>
      </c>
      <c r="O817" s="490"/>
      <c r="Q817" s="367" t="n">
        <f aca="false">IF('Reverse Search'!$F$4="All (including temporary formes)",1,IF('Reverse Search'!$F$4="Base Pokémon and permanent formes only",IF(F817&lt;=1,1,0),IF(F817=0,1,0)))</f>
        <v>1</v>
      </c>
      <c r="R817" s="0" t="n">
        <f aca="false">IF('Reverse Search'!$C$7="Disable",1,IF('Reverse Search'!$D$9="Disable",1,IF(OR('Reverse Search'!$F$9=H817,'Reverse Search'!$F$9=I817),1,0)))</f>
        <v>1</v>
      </c>
      <c r="S817" s="0" t="n">
        <f aca="false">IF('Reverse Search'!$C$7="Disable",1,IF('Reverse Search'!$D$10="Disable",1,IF(OR('Reverse Search'!$F$10=H817,'Reverse Search'!$F$10=I817),1,0)))</f>
        <v>1</v>
      </c>
      <c r="T817" s="0" t="n">
        <f aca="false">INDEX($B$4:$B$22,MATCH(H817,$A$4:$A$22,0))</f>
        <v>0.714</v>
      </c>
      <c r="U817" s="0" t="n">
        <f aca="false">IF(ISBLANK(I817),1,INDEX($B$4:$B$22,MATCH(I817,$A$4:$A$22,0)))</f>
        <v>1</v>
      </c>
      <c r="V817" s="367" t="n">
        <f aca="false">IF('Reverse Search'!$C$7="Disable",1,IF('Reverse Search'!$D$11="Disable",1,IF('Reverse Search'!$E$11="Neutral to:",IF(ROUND(T817*U817,2)&lt;=1,1,0),IF(ROUND(T817*U817,2)&lt;1,1,0))))</f>
        <v>1</v>
      </c>
      <c r="W817" s="0" t="n">
        <f aca="false">IF('Reverse Search'!$N$7="Disable",1,IF('Reverse Search'!$I$9="Disable",1,IF('Reverse Search'!$K$9="≥",IF(J817&gt;='Reverse Search'!$L$9,1,0),IF('Reverse Search'!$K$9="≤",IF(J817&lt;='Reverse Search'!$L$9,1,0),IF(J817='Reverse Search'!$L$9,1,0)))))</f>
        <v>1</v>
      </c>
      <c r="X817" s="0" t="n">
        <f aca="false">IF('Reverse Search'!$N$7="Disable",1,IF('Reverse Search'!$I$10="Disable",1,IF('Reverse Search'!$K$10="≥",IF(K817&gt;='Reverse Search'!$L$10,1,0),IF('Reverse Search'!$K$10="≤",IF(K817&lt;='Reverse Search'!$L$10,1,0),IF(K817='Reverse Search'!$L$10,1,0)))))</f>
        <v>1</v>
      </c>
      <c r="Y817" s="367" t="n">
        <f aca="false">IF('Reverse Search'!$N$7="Disable",1,IF('Reverse Search'!$I$11="Disable",1,IF('Reverse Search'!$K$11="≥",IF(L817&gt;='Reverse Search'!$L$11,1,0),IF('Reverse Search'!$K$11="≤",IF(L817&lt;='Reverse Search'!$L$11,1,0),IF(L817='Reverse Search'!$L$11,1,0)))))</f>
        <v>1</v>
      </c>
      <c r="Z817" s="0" t="n">
        <f aca="true">IF('Reverse Search'!$C$14="Disable",1,IF('Reverse Search'!$D$16="Disable",1,IF($C$2=3,IF($M817=0,0,COUNTIF(INDIRECT("'0.0.2 Pokémon Learnset (Core)'!$D$"&amp;MATCH($E817,'0.0.2 Pokémon Learnset (Core)'!$A$1:$A951,0)&amp;":$FK$"&amp;MATCH($E817,'0.0.2 Pokémon Learnset (Core)'!$A$1:$A951,0)),'Reverse Search'!$E$21)),IF($C$2=2,COUNTIF(INDIRECT("'0.1.1 Pokémon GO Moves'!$B$"&amp;MATCH($E817,'0.1.1 Pokémon GO Moves'!$A$1:$A951,0)&amp;":$R$"&amp;MATCH($E817,'0.1.1 Pokémon GO Moves'!$A$1:$A951,0)),'Reverse Search'!$E$21),COUNTIF(INDIRECT("'0.1.1 Pokémon GO Moves'!$B$"&amp;MATCH($E817,'0.1.1 Pokémon GO Moves'!$A$1:$A951,0)&amp;":$L$"&amp;MATCH($E817,'0.1.1 Pokémon GO Moves'!$A$1:$A951,0)),'Reverse Search'!$E$21)))))</f>
        <v>1</v>
      </c>
      <c r="AA817" s="0" t="n">
        <f aca="true">IF('Reverse Search'!$C$14="Disable",1,IF('Reverse Search'!$I$16="Disable",1,IF($D$2=3,IF($M817=0,0,COUNTIF(INDIRECT("'0.0.2 Pokémon Learnset (Core)'!$D$"&amp;MATCH($E817,'0.0.2 Pokémon Learnset (Core)'!$A$1:$A951,0)&amp;":$FK$"&amp;MATCH($E817,'0.0.2 Pokémon Learnset (Core)'!$A$1:$A951,0)),'Reverse Search'!$J$21)),IF($D$2=2,COUNTIF(INDIRECT("'0.1.1 Pokémon GO Moves'!$B$"&amp;MATCH($E817,'0.1.1 Pokémon GO Moves'!$A$1:$A951,0)&amp;":$R$"&amp;MATCH($E817,'0.1.1 Pokémon GO Moves'!$A$1:$A951,0)),'Reverse Search'!$J$21),COUNTIF(INDIRECT("'0.1.1 Pokémon GO Moves'!$B$"&amp;MATCH($E817,'0.1.1 Pokémon GO Moves'!$A$1:$A951,0)&amp;":$L$"&amp;MATCH($E817,'0.1.1 Pokémon GO Moves'!$A$1:$A951,0)),'Reverse Search'!$J$21)))))</f>
        <v>0</v>
      </c>
      <c r="AB817" s="490"/>
      <c r="AC817" s="260" t="n">
        <f aca="false">IF((Q817+R817+S817+V817+W817+X817+Y817+IF(Z817&gt;=1,1,0)+IF(AA817&gt;=1,1,0))=9,G817&amp;", ",)</f>
        <v>0</v>
      </c>
    </row>
    <row r="818" customFormat="false" ht="15.75" hidden="false" customHeight="false" outlineLevel="0" collapsed="false">
      <c r="A818" s="260"/>
      <c r="B818" s="358"/>
      <c r="C818" s="260"/>
      <c r="D818" s="358"/>
      <c r="E818" s="260" t="n">
        <v>817</v>
      </c>
      <c r="F818" s="260" t="n">
        <f aca="false" t="array" ref="F818:F818">INDEX('0.0.1 Pokémon Dex Data'!$H$3:$H951,MATCH(E818,'0.0.1 Pokémon Dex Data'!$B$3:$B951,0))</f>
        <v>0</v>
      </c>
      <c r="G818" s="0" t="str">
        <f aca="false" t="array" ref="G818:G818">INDEX('0.0.1 Pokémon Dex Data'!$E$3:$E951,MATCH(E818,'0.0.1 Pokémon Dex Data'!$B$3:$B951,0))</f>
        <v>Phantump</v>
      </c>
      <c r="H818" s="0" t="str">
        <f aca="false" t="array" ref="H818:H818">INDEX('0.0.1 Pokémon Dex Data'!$Q$3:$Q951,MATCH(E818,'0.0.1 Pokémon Dex Data'!$B$3:$B951,0))</f>
        <v>Grass</v>
      </c>
      <c r="I818" s="0" t="str">
        <f aca="false" t="array" ref="I818:I818">INDEX('0.0.1 Pokémon Dex Data'!$R$3:$R951,MATCH(E818,'0.0.1 Pokémon Dex Data'!$B$3:$B951,0))</f>
        <v>Ghost</v>
      </c>
      <c r="J818" s="260" t="n">
        <f aca="false" t="array" ref="J818:J818">ROUND(INDEX('0.0.1 Pokémon Dex Data'!$S$3:$S951,MATCH($E818,'0.0.1 Pokémon Dex Data'!$B$3:$B951,0))*INDEX('0.0.1 Pokémon Dex Data'!T$3:T951,MATCH($E818,'0.0.1 Pokémon Dex Data'!$B$3:$B951,0)),0)</f>
        <v>125</v>
      </c>
      <c r="K818" s="260" t="n">
        <f aca="false" t="array" ref="K818:K818">ROUND(INDEX('0.0.1 Pokémon Dex Data'!$S$3:$S951,MATCH($E818,'0.0.1 Pokémon Dex Data'!$B$3:$B951,0))*INDEX('0.0.1 Pokémon Dex Data'!U$3:U951,MATCH($E818,'0.0.1 Pokémon Dex Data'!$B$3:$B951,0)),0)</f>
        <v>103</v>
      </c>
      <c r="L818" s="260" t="n">
        <f aca="false" t="array" ref="L818:L818">ROUND(INDEX('0.0.1 Pokémon Dex Data'!$S$3:$S951,MATCH($E818,'0.0.1 Pokémon Dex Data'!$B$3:$B951,0))*INDEX('0.0.1 Pokémon Dex Data'!V$3:V951,MATCH($E818,'0.0.1 Pokémon Dex Data'!$B$3:$B951,0)),0)</f>
        <v>125</v>
      </c>
      <c r="M818" s="260" t="n">
        <f aca="false" t="array" ref="M818:M818">INDEX('0.0.1 Pokémon Dex Data'!$J$3:$J951,MATCH(E818,'0.0.1 Pokémon Dex Data'!$B$3:$B951,0))</f>
        <v>0</v>
      </c>
      <c r="O818" s="490"/>
      <c r="Q818" s="367" t="n">
        <f aca="false">IF('Reverse Search'!$F$4="All (including temporary formes)",1,IF('Reverse Search'!$F$4="Base Pokémon and permanent formes only",IF(F818&lt;=1,1,0),IF(F818=0,1,0)))</f>
        <v>1</v>
      </c>
      <c r="R818" s="0" t="n">
        <f aca="false">IF('Reverse Search'!$C$7="Disable",1,IF('Reverse Search'!$D$9="Disable",1,IF(OR('Reverse Search'!$F$9=H818,'Reverse Search'!$F$9=I818),1,0)))</f>
        <v>1</v>
      </c>
      <c r="S818" s="0" t="n">
        <f aca="false">IF('Reverse Search'!$C$7="Disable",1,IF('Reverse Search'!$D$10="Disable",1,IF(OR('Reverse Search'!$F$10=H818,'Reverse Search'!$F$10=I818),1,0)))</f>
        <v>1</v>
      </c>
      <c r="T818" s="0" t="n">
        <f aca="false">INDEX($B$4:$B$22,MATCH(H818,$A$4:$A$22,0))</f>
        <v>1</v>
      </c>
      <c r="U818" s="0" t="n">
        <f aca="false">IF(ISBLANK(I818),1,INDEX($B$4:$B$22,MATCH(I818,$A$4:$A$22,0)))</f>
        <v>0.51</v>
      </c>
      <c r="V818" s="367" t="n">
        <f aca="false">IF('Reverse Search'!$C$7="Disable",1,IF('Reverse Search'!$D$11="Disable",1,IF('Reverse Search'!$E$11="Neutral to:",IF(ROUND(T818*U818,2)&lt;=1,1,0),IF(ROUND(T818*U818,2)&lt;1,1,0))))</f>
        <v>1</v>
      </c>
      <c r="W818" s="0" t="n">
        <f aca="false">IF('Reverse Search'!$N$7="Disable",1,IF('Reverse Search'!$I$9="Disable",1,IF('Reverse Search'!$K$9="≥",IF(J818&gt;='Reverse Search'!$L$9,1,0),IF('Reverse Search'!$K$9="≤",IF(J818&lt;='Reverse Search'!$L$9,1,0),IF(J818='Reverse Search'!$L$9,1,0)))))</f>
        <v>1</v>
      </c>
      <c r="X818" s="0" t="n">
        <f aca="false">IF('Reverse Search'!$N$7="Disable",1,IF('Reverse Search'!$I$10="Disable",1,IF('Reverse Search'!$K$10="≥",IF(K818&gt;='Reverse Search'!$L$10,1,0),IF('Reverse Search'!$K$10="≤",IF(K818&lt;='Reverse Search'!$L$10,1,0),IF(K818='Reverse Search'!$L$10,1,0)))))</f>
        <v>1</v>
      </c>
      <c r="Y818" s="367" t="n">
        <f aca="false">IF('Reverse Search'!$N$7="Disable",1,IF('Reverse Search'!$I$11="Disable",1,IF('Reverse Search'!$K$11="≥",IF(L818&gt;='Reverse Search'!$L$11,1,0),IF('Reverse Search'!$K$11="≤",IF(L818&lt;='Reverse Search'!$L$11,1,0),IF(L818='Reverse Search'!$L$11,1,0)))))</f>
        <v>1</v>
      </c>
      <c r="Z818" s="0" t="n">
        <f aca="true">IF('Reverse Search'!$C$14="Disable",1,IF('Reverse Search'!$D$16="Disable",1,IF($C$2=3,IF($M818=0,0,COUNTIF(INDIRECT("'0.0.2 Pokémon Learnset (Core)'!$D$"&amp;MATCH($E818,'0.0.2 Pokémon Learnset (Core)'!$A$1:$A951,0)&amp;":$FK$"&amp;MATCH($E818,'0.0.2 Pokémon Learnset (Core)'!$A$1:$A951,0)),'Reverse Search'!$E$21)),IF($C$2=2,COUNTIF(INDIRECT("'0.1.1 Pokémon GO Moves'!$B$"&amp;MATCH($E818,'0.1.1 Pokémon GO Moves'!$A$1:$A951,0)&amp;":$R$"&amp;MATCH($E818,'0.1.1 Pokémon GO Moves'!$A$1:$A951,0)),'Reverse Search'!$E$21),COUNTIF(INDIRECT("'0.1.1 Pokémon GO Moves'!$B$"&amp;MATCH($E818,'0.1.1 Pokémon GO Moves'!$A$1:$A951,0)&amp;":$L$"&amp;MATCH($E818,'0.1.1 Pokémon GO Moves'!$A$1:$A951,0)),'Reverse Search'!$E$21)))))</f>
        <v>1</v>
      </c>
      <c r="AA818" s="0" t="n">
        <f aca="true">IF('Reverse Search'!$C$14="Disable",1,IF('Reverse Search'!$I$16="Disable",1,IF($D$2=3,IF($M818=0,0,COUNTIF(INDIRECT("'0.0.2 Pokémon Learnset (Core)'!$D$"&amp;MATCH($E818,'0.0.2 Pokémon Learnset (Core)'!$A$1:$A951,0)&amp;":$FK$"&amp;MATCH($E818,'0.0.2 Pokémon Learnset (Core)'!$A$1:$A951,0)),'Reverse Search'!$J$21)),IF($D$2=2,COUNTIF(INDIRECT("'0.1.1 Pokémon GO Moves'!$B$"&amp;MATCH($E818,'0.1.1 Pokémon GO Moves'!$A$1:$A951,0)&amp;":$R$"&amp;MATCH($E818,'0.1.1 Pokémon GO Moves'!$A$1:$A951,0)),'Reverse Search'!$J$21),COUNTIF(INDIRECT("'0.1.1 Pokémon GO Moves'!$B$"&amp;MATCH($E818,'0.1.1 Pokémon GO Moves'!$A$1:$A951,0)&amp;":$L$"&amp;MATCH($E818,'0.1.1 Pokémon GO Moves'!$A$1:$A951,0)),'Reverse Search'!$J$21)))))</f>
        <v>0</v>
      </c>
      <c r="AB818" s="490"/>
      <c r="AC818" s="260" t="n">
        <f aca="false">IF((Q818+R818+S818+V818+W818+X818+Y818+IF(Z818&gt;=1,1,0)+IF(AA818&gt;=1,1,0))=9,G818&amp;", ",)</f>
        <v>0</v>
      </c>
    </row>
    <row r="819" customFormat="false" ht="15.75" hidden="false" customHeight="false" outlineLevel="0" collapsed="false">
      <c r="A819" s="260"/>
      <c r="B819" s="358"/>
      <c r="C819" s="260"/>
      <c r="D819" s="358"/>
      <c r="E819" s="260" t="n">
        <v>818</v>
      </c>
      <c r="F819" s="260" t="n">
        <f aca="false" t="array" ref="F819:F819">INDEX('0.0.1 Pokémon Dex Data'!$H$3:$H951,MATCH(E819,'0.0.1 Pokémon Dex Data'!$B$3:$B951,0))</f>
        <v>0</v>
      </c>
      <c r="G819" s="0" t="str">
        <f aca="false" t="array" ref="G819:G819">INDEX('0.0.1 Pokémon Dex Data'!$E$3:$E951,MATCH(E819,'0.0.1 Pokémon Dex Data'!$B$3:$B951,0))</f>
        <v>Trevenant</v>
      </c>
      <c r="H819" s="0" t="str">
        <f aca="false" t="array" ref="H819:H819">INDEX('0.0.1 Pokémon Dex Data'!$Q$3:$Q951,MATCH(E819,'0.0.1 Pokémon Dex Data'!$B$3:$B951,0))</f>
        <v>Grass</v>
      </c>
      <c r="I819" s="0" t="str">
        <f aca="false" t="array" ref="I819:I819">INDEX('0.0.1 Pokémon Dex Data'!$R$3:$R951,MATCH(E819,'0.0.1 Pokémon Dex Data'!$B$3:$B951,0))</f>
        <v>Ghost</v>
      </c>
      <c r="J819" s="260" t="n">
        <f aca="false" t="array" ref="J819:J819">ROUND(INDEX('0.0.1 Pokémon Dex Data'!$S$3:$S951,MATCH($E819,'0.0.1 Pokémon Dex Data'!$B$3:$B951,0))*INDEX('0.0.1 Pokémon Dex Data'!T$3:T951,MATCH($E819,'0.0.1 Pokémon Dex Data'!$B$3:$B951,0)),0)</f>
        <v>201</v>
      </c>
      <c r="K819" s="260" t="n">
        <f aca="false" t="array" ref="K819:K819">ROUND(INDEX('0.0.1 Pokémon Dex Data'!$S$3:$S951,MATCH($E819,'0.0.1 Pokémon Dex Data'!$B$3:$B951,0))*INDEX('0.0.1 Pokémon Dex Data'!U$3:U951,MATCH($E819,'0.0.1 Pokémon Dex Data'!$B$3:$B951,0)),0)</f>
        <v>154</v>
      </c>
      <c r="L819" s="260" t="n">
        <f aca="false" t="array" ref="L819:L819">ROUND(INDEX('0.0.1 Pokémon Dex Data'!$S$3:$S951,MATCH($E819,'0.0.1 Pokémon Dex Data'!$B$3:$B951,0))*INDEX('0.0.1 Pokémon Dex Data'!V$3:V951,MATCH($E819,'0.0.1 Pokémon Dex Data'!$B$3:$B951,0)),0)</f>
        <v>198</v>
      </c>
      <c r="M819" s="260" t="n">
        <f aca="false" t="array" ref="M819:M819">INDEX('0.0.1 Pokémon Dex Data'!$J$3:$J951,MATCH(E819,'0.0.1 Pokémon Dex Data'!$B$3:$B951,0))</f>
        <v>1</v>
      </c>
      <c r="O819" s="490"/>
      <c r="Q819" s="367" t="n">
        <f aca="false">IF('Reverse Search'!$F$4="All (including temporary formes)",1,IF('Reverse Search'!$F$4="Base Pokémon and permanent formes only",IF(F819&lt;=1,1,0),IF(F819=0,1,0)))</f>
        <v>1</v>
      </c>
      <c r="R819" s="0" t="n">
        <f aca="false">IF('Reverse Search'!$C$7="Disable",1,IF('Reverse Search'!$D$9="Disable",1,IF(OR('Reverse Search'!$F$9=H819,'Reverse Search'!$F$9=I819),1,0)))</f>
        <v>1</v>
      </c>
      <c r="S819" s="0" t="n">
        <f aca="false">IF('Reverse Search'!$C$7="Disable",1,IF('Reverse Search'!$D$10="Disable",1,IF(OR('Reverse Search'!$F$10=H819,'Reverse Search'!$F$10=I819),1,0)))</f>
        <v>1</v>
      </c>
      <c r="T819" s="0" t="n">
        <f aca="false">INDEX($B$4:$B$22,MATCH(H819,$A$4:$A$22,0))</f>
        <v>1</v>
      </c>
      <c r="U819" s="0" t="n">
        <f aca="false">IF(ISBLANK(I819),1,INDEX($B$4:$B$22,MATCH(I819,$A$4:$A$22,0)))</f>
        <v>0.51</v>
      </c>
      <c r="V819" s="367" t="n">
        <f aca="false">IF('Reverse Search'!$C$7="Disable",1,IF('Reverse Search'!$D$11="Disable",1,IF('Reverse Search'!$E$11="Neutral to:",IF(ROUND(T819*U819,2)&lt;=1,1,0),IF(ROUND(T819*U819,2)&lt;1,1,0))))</f>
        <v>1</v>
      </c>
      <c r="W819" s="0" t="n">
        <f aca="false">IF('Reverse Search'!$N$7="Disable",1,IF('Reverse Search'!$I$9="Disable",1,IF('Reverse Search'!$K$9="≥",IF(J819&gt;='Reverse Search'!$L$9,1,0),IF('Reverse Search'!$K$9="≤",IF(J819&lt;='Reverse Search'!$L$9,1,0),IF(J819='Reverse Search'!$L$9,1,0)))))</f>
        <v>1</v>
      </c>
      <c r="X819" s="0" t="n">
        <f aca="false">IF('Reverse Search'!$N$7="Disable",1,IF('Reverse Search'!$I$10="Disable",1,IF('Reverse Search'!$K$10="≥",IF(K819&gt;='Reverse Search'!$L$10,1,0),IF('Reverse Search'!$K$10="≤",IF(K819&lt;='Reverse Search'!$L$10,1,0),IF(K819='Reverse Search'!$L$10,1,0)))))</f>
        <v>1</v>
      </c>
      <c r="Y819" s="367" t="n">
        <f aca="false">IF('Reverse Search'!$N$7="Disable",1,IF('Reverse Search'!$I$11="Disable",1,IF('Reverse Search'!$K$11="≥",IF(L819&gt;='Reverse Search'!$L$11,1,0),IF('Reverse Search'!$K$11="≤",IF(L819&lt;='Reverse Search'!$L$11,1,0),IF(L819='Reverse Search'!$L$11,1,0)))))</f>
        <v>1</v>
      </c>
      <c r="Z819" s="0" t="n">
        <f aca="true">IF('Reverse Search'!$C$14="Disable",1,IF('Reverse Search'!$D$16="Disable",1,IF($C$2=3,IF($M819=0,0,COUNTIF(INDIRECT("'0.0.2 Pokémon Learnset (Core)'!$D$"&amp;MATCH($E819,'0.0.2 Pokémon Learnset (Core)'!$A$1:$A951,0)&amp;":$FK$"&amp;MATCH($E819,'0.0.2 Pokémon Learnset (Core)'!$A$1:$A951,0)),'Reverse Search'!$E$21)),IF($C$2=2,COUNTIF(INDIRECT("'0.1.1 Pokémon GO Moves'!$B$"&amp;MATCH($E819,'0.1.1 Pokémon GO Moves'!$A$1:$A951,0)&amp;":$R$"&amp;MATCH($E819,'0.1.1 Pokémon GO Moves'!$A$1:$A951,0)),'Reverse Search'!$E$21),COUNTIF(INDIRECT("'0.1.1 Pokémon GO Moves'!$B$"&amp;MATCH($E819,'0.1.1 Pokémon GO Moves'!$A$1:$A951,0)&amp;":$L$"&amp;MATCH($E819,'0.1.1 Pokémon GO Moves'!$A$1:$A951,0)),'Reverse Search'!$E$21)))))</f>
        <v>1</v>
      </c>
      <c r="AA819" s="0" t="n">
        <f aca="true">IF('Reverse Search'!$C$14="Disable",1,IF('Reverse Search'!$I$16="Disable",1,IF($D$2=3,IF($M819=0,0,COUNTIF(INDIRECT("'0.0.2 Pokémon Learnset (Core)'!$D$"&amp;MATCH($E819,'0.0.2 Pokémon Learnset (Core)'!$A$1:$A951,0)&amp;":$FK$"&amp;MATCH($E819,'0.0.2 Pokémon Learnset (Core)'!$A$1:$A951,0)),'Reverse Search'!$J$21)),IF($D$2=2,COUNTIF(INDIRECT("'0.1.1 Pokémon GO Moves'!$B$"&amp;MATCH($E819,'0.1.1 Pokémon GO Moves'!$A$1:$A951,0)&amp;":$R$"&amp;MATCH($E819,'0.1.1 Pokémon GO Moves'!$A$1:$A951,0)),'Reverse Search'!$J$21),COUNTIF(INDIRECT("'0.1.1 Pokémon GO Moves'!$B$"&amp;MATCH($E819,'0.1.1 Pokémon GO Moves'!$A$1:$A951,0)&amp;":$L$"&amp;MATCH($E819,'0.1.1 Pokémon GO Moves'!$A$1:$A951,0)),'Reverse Search'!$J$21)))))</f>
        <v>0</v>
      </c>
      <c r="AB819" s="490"/>
      <c r="AC819" s="260" t="n">
        <f aca="false">IF((Q819+R819+S819+V819+W819+X819+Y819+IF(Z819&gt;=1,1,0)+IF(AA819&gt;=1,1,0))=9,G819&amp;", ",)</f>
        <v>0</v>
      </c>
    </row>
    <row r="820" customFormat="false" ht="15.75" hidden="false" customHeight="false" outlineLevel="0" collapsed="false">
      <c r="A820" s="260"/>
      <c r="B820" s="358"/>
      <c r="C820" s="260"/>
      <c r="D820" s="358"/>
      <c r="E820" s="260" t="n">
        <v>819</v>
      </c>
      <c r="F820" s="260" t="n">
        <f aca="false" t="array" ref="F820:F820">INDEX('0.0.1 Pokémon Dex Data'!$H$3:$H951,MATCH(E820,'0.0.1 Pokémon Dex Data'!$B$3:$B951,0))</f>
        <v>0</v>
      </c>
      <c r="G820" s="0" t="str">
        <f aca="false" t="array" ref="G820:G820">INDEX('0.0.1 Pokémon Dex Data'!$E$3:$E951,MATCH(E820,'0.0.1 Pokémon Dex Data'!$B$3:$B951,0))</f>
        <v>Pumpkaboo-Average</v>
      </c>
      <c r="H820" s="0" t="str">
        <f aca="false" t="array" ref="H820:H820">INDEX('0.0.1 Pokémon Dex Data'!$Q$3:$Q951,MATCH(E820,'0.0.1 Pokémon Dex Data'!$B$3:$B951,0))</f>
        <v>Grass</v>
      </c>
      <c r="I820" s="0" t="str">
        <f aca="false" t="array" ref="I820:I820">INDEX('0.0.1 Pokémon Dex Data'!$R$3:$R951,MATCH(E820,'0.0.1 Pokémon Dex Data'!$B$3:$B951,0))</f>
        <v>Ghost</v>
      </c>
      <c r="J820" s="260" t="n">
        <f aca="false" t="array" ref="J820:J820">ROUND(INDEX('0.0.1 Pokémon Dex Data'!$S$3:$S951,MATCH($E820,'0.0.1 Pokémon Dex Data'!$B$3:$B951,0))*INDEX('0.0.1 Pokémon Dex Data'!T$3:T951,MATCH($E820,'0.0.1 Pokémon Dex Data'!$B$3:$B951,0)),0)</f>
        <v>121</v>
      </c>
      <c r="K820" s="260" t="n">
        <f aca="false" t="array" ref="K820:K820">ROUND(INDEX('0.0.1 Pokémon Dex Data'!$S$3:$S951,MATCH($E820,'0.0.1 Pokémon Dex Data'!$B$3:$B951,0))*INDEX('0.0.1 Pokémon Dex Data'!U$3:U951,MATCH($E820,'0.0.1 Pokémon Dex Data'!$B$3:$B951,0)),0)</f>
        <v>123</v>
      </c>
      <c r="L820" s="260" t="n">
        <f aca="false" t="array" ref="L820:L820">ROUND(INDEX('0.0.1 Pokémon Dex Data'!$S$3:$S951,MATCH($E820,'0.0.1 Pokémon Dex Data'!$B$3:$B951,0))*INDEX('0.0.1 Pokémon Dex Data'!V$3:V951,MATCH($E820,'0.0.1 Pokémon Dex Data'!$B$3:$B951,0)),0)</f>
        <v>135</v>
      </c>
      <c r="M820" s="260" t="n">
        <f aca="false" t="array" ref="M820:M820">INDEX('0.0.1 Pokémon Dex Data'!$J$3:$J951,MATCH(E820,'0.0.1 Pokémon Dex Data'!$B$3:$B951,0))</f>
        <v>0</v>
      </c>
      <c r="O820" s="490"/>
      <c r="Q820" s="367" t="n">
        <f aca="false">IF('Reverse Search'!$F$4="All (including temporary formes)",1,IF('Reverse Search'!$F$4="Base Pokémon and permanent formes only",IF(F820&lt;=1,1,0),IF(F820=0,1,0)))</f>
        <v>1</v>
      </c>
      <c r="R820" s="0" t="n">
        <f aca="false">IF('Reverse Search'!$C$7="Disable",1,IF('Reverse Search'!$D$9="Disable",1,IF(OR('Reverse Search'!$F$9=H820,'Reverse Search'!$F$9=I820),1,0)))</f>
        <v>1</v>
      </c>
      <c r="S820" s="0" t="n">
        <f aca="false">IF('Reverse Search'!$C$7="Disable",1,IF('Reverse Search'!$D$10="Disable",1,IF(OR('Reverse Search'!$F$10=H820,'Reverse Search'!$F$10=I820),1,0)))</f>
        <v>1</v>
      </c>
      <c r="T820" s="0" t="n">
        <f aca="false">INDEX($B$4:$B$22,MATCH(H820,$A$4:$A$22,0))</f>
        <v>1</v>
      </c>
      <c r="U820" s="0" t="n">
        <f aca="false">IF(ISBLANK(I820),1,INDEX($B$4:$B$22,MATCH(I820,$A$4:$A$22,0)))</f>
        <v>0.51</v>
      </c>
      <c r="V820" s="367" t="n">
        <f aca="false">IF('Reverse Search'!$C$7="Disable",1,IF('Reverse Search'!$D$11="Disable",1,IF('Reverse Search'!$E$11="Neutral to:",IF(ROUND(T820*U820,2)&lt;=1,1,0),IF(ROUND(T820*U820,2)&lt;1,1,0))))</f>
        <v>1</v>
      </c>
      <c r="W820" s="0" t="n">
        <f aca="false">IF('Reverse Search'!$N$7="Disable",1,IF('Reverse Search'!$I$9="Disable",1,IF('Reverse Search'!$K$9="≥",IF(J820&gt;='Reverse Search'!$L$9,1,0),IF('Reverse Search'!$K$9="≤",IF(J820&lt;='Reverse Search'!$L$9,1,0),IF(J820='Reverse Search'!$L$9,1,0)))))</f>
        <v>1</v>
      </c>
      <c r="X820" s="0" t="n">
        <f aca="false">IF('Reverse Search'!$N$7="Disable",1,IF('Reverse Search'!$I$10="Disable",1,IF('Reverse Search'!$K$10="≥",IF(K820&gt;='Reverse Search'!$L$10,1,0),IF('Reverse Search'!$K$10="≤",IF(K820&lt;='Reverse Search'!$L$10,1,0),IF(K820='Reverse Search'!$L$10,1,0)))))</f>
        <v>1</v>
      </c>
      <c r="Y820" s="367" t="n">
        <f aca="false">IF('Reverse Search'!$N$7="Disable",1,IF('Reverse Search'!$I$11="Disable",1,IF('Reverse Search'!$K$11="≥",IF(L820&gt;='Reverse Search'!$L$11,1,0),IF('Reverse Search'!$K$11="≤",IF(L820&lt;='Reverse Search'!$L$11,1,0),IF(L820='Reverse Search'!$L$11,1,0)))))</f>
        <v>1</v>
      </c>
      <c r="Z820" s="0" t="n">
        <f aca="true">IF('Reverse Search'!$C$14="Disable",1,IF('Reverse Search'!$D$16="Disable",1,IF($C$2=3,IF($M820=0,0,COUNTIF(INDIRECT("'0.0.2 Pokémon Learnset (Core)'!$D$"&amp;MATCH($E820,'0.0.2 Pokémon Learnset (Core)'!$A$1:$A951,0)&amp;":$FK$"&amp;MATCH($E820,'0.0.2 Pokémon Learnset (Core)'!$A$1:$A951,0)),'Reverse Search'!$E$21)),IF($C$2=2,COUNTIF(INDIRECT("'0.1.1 Pokémon GO Moves'!$B$"&amp;MATCH($E820,'0.1.1 Pokémon GO Moves'!$A$1:$A951,0)&amp;":$R$"&amp;MATCH($E820,'0.1.1 Pokémon GO Moves'!$A$1:$A951,0)),'Reverse Search'!$E$21),COUNTIF(INDIRECT("'0.1.1 Pokémon GO Moves'!$B$"&amp;MATCH($E820,'0.1.1 Pokémon GO Moves'!$A$1:$A951,0)&amp;":$L$"&amp;MATCH($E820,'0.1.1 Pokémon GO Moves'!$A$1:$A951,0)),'Reverse Search'!$E$21)))))</f>
        <v>1</v>
      </c>
      <c r="AA820" s="0" t="n">
        <f aca="true">IF('Reverse Search'!$C$14="Disable",1,IF('Reverse Search'!$I$16="Disable",1,IF($D$2=3,IF($M820=0,0,COUNTIF(INDIRECT("'0.0.2 Pokémon Learnset (Core)'!$D$"&amp;MATCH($E820,'0.0.2 Pokémon Learnset (Core)'!$A$1:$A951,0)&amp;":$FK$"&amp;MATCH($E820,'0.0.2 Pokémon Learnset (Core)'!$A$1:$A951,0)),'Reverse Search'!$J$21)),IF($D$2=2,COUNTIF(INDIRECT("'0.1.1 Pokémon GO Moves'!$B$"&amp;MATCH($E820,'0.1.1 Pokémon GO Moves'!$A$1:$A951,0)&amp;":$R$"&amp;MATCH($E820,'0.1.1 Pokémon GO Moves'!$A$1:$A951,0)),'Reverse Search'!$J$21),COUNTIF(INDIRECT("'0.1.1 Pokémon GO Moves'!$B$"&amp;MATCH($E820,'0.1.1 Pokémon GO Moves'!$A$1:$A951,0)&amp;":$L$"&amp;MATCH($E820,'0.1.1 Pokémon GO Moves'!$A$1:$A951,0)),'Reverse Search'!$J$21)))))</f>
        <v>0</v>
      </c>
      <c r="AB820" s="490"/>
      <c r="AC820" s="260" t="n">
        <f aca="false">IF((Q820+R820+S820+V820+W820+X820+Y820+IF(Z820&gt;=1,1,0)+IF(AA820&gt;=1,1,0))=9,G820&amp;", ",)</f>
        <v>0</v>
      </c>
    </row>
    <row r="821" customFormat="false" ht="15.75" hidden="false" customHeight="false" outlineLevel="0" collapsed="false">
      <c r="A821" s="260"/>
      <c r="B821" s="358"/>
      <c r="C821" s="260"/>
      <c r="D821" s="358"/>
      <c r="E821" s="260" t="n">
        <v>820</v>
      </c>
      <c r="F821" s="260" t="n">
        <f aca="false" t="array" ref="F821:F821">INDEX('0.0.1 Pokémon Dex Data'!$H$3:$H951,MATCH(E821,'0.0.1 Pokémon Dex Data'!$B$3:$B951,0))</f>
        <v>1</v>
      </c>
      <c r="G821" s="0" t="str">
        <f aca="false" t="array" ref="G821:G821">INDEX('0.0.1 Pokémon Dex Data'!$E$3:$E951,MATCH(E821,'0.0.1 Pokémon Dex Data'!$B$3:$B951,0))</f>
        <v>Pumpkaboo-Small</v>
      </c>
      <c r="H821" s="0" t="str">
        <f aca="false" t="array" ref="H821:H821">INDEX('0.0.1 Pokémon Dex Data'!$Q$3:$Q951,MATCH(E821,'0.0.1 Pokémon Dex Data'!$B$3:$B951,0))</f>
        <v>Grass</v>
      </c>
      <c r="I821" s="0" t="str">
        <f aca="false" t="array" ref="I821:I821">INDEX('0.0.1 Pokémon Dex Data'!$R$3:$R951,MATCH(E821,'0.0.1 Pokémon Dex Data'!$B$3:$B951,0))</f>
        <v>Ghost</v>
      </c>
      <c r="J821" s="260" t="n">
        <f aca="false" t="array" ref="J821:J821">ROUND(INDEX('0.0.1 Pokémon Dex Data'!$S$3:$S951,MATCH($E821,'0.0.1 Pokémon Dex Data'!$B$3:$B951,0))*INDEX('0.0.1 Pokémon Dex Data'!T$3:T951,MATCH($E821,'0.0.1 Pokémon Dex Data'!$B$3:$B951,0)),0)</f>
        <v>122</v>
      </c>
      <c r="K821" s="260" t="n">
        <f aca="false" t="array" ref="K821:K821">ROUND(INDEX('0.0.1 Pokémon Dex Data'!$S$3:$S951,MATCH($E821,'0.0.1 Pokémon Dex Data'!$B$3:$B951,0))*INDEX('0.0.1 Pokémon Dex Data'!U$3:U951,MATCH($E821,'0.0.1 Pokémon Dex Data'!$B$3:$B951,0)),0)</f>
        <v>124</v>
      </c>
      <c r="L821" s="260" t="n">
        <f aca="false" t="array" ref="L821:L821">ROUND(INDEX('0.0.1 Pokémon Dex Data'!$S$3:$S951,MATCH($E821,'0.0.1 Pokémon Dex Data'!$B$3:$B951,0))*INDEX('0.0.1 Pokémon Dex Data'!V$3:V951,MATCH($E821,'0.0.1 Pokémon Dex Data'!$B$3:$B951,0)),0)</f>
        <v>127</v>
      </c>
      <c r="M821" s="260" t="n">
        <f aca="false" t="array" ref="M821:M821">INDEX('0.0.1 Pokémon Dex Data'!$J$3:$J951,MATCH(E821,'0.0.1 Pokémon Dex Data'!$B$3:$B951,0))</f>
        <v>0</v>
      </c>
      <c r="O821" s="490"/>
      <c r="Q821" s="367" t="n">
        <f aca="false">IF('Reverse Search'!$F$4="All (including temporary formes)",1,IF('Reverse Search'!$F$4="Base Pokémon and permanent formes only",IF(F821&lt;=1,1,0),IF(F821=0,1,0)))</f>
        <v>0</v>
      </c>
      <c r="R821" s="0" t="n">
        <f aca="false">IF('Reverse Search'!$C$7="Disable",1,IF('Reverse Search'!$D$9="Disable",1,IF(OR('Reverse Search'!$F$9=H821,'Reverse Search'!$F$9=I821),1,0)))</f>
        <v>1</v>
      </c>
      <c r="S821" s="0" t="n">
        <f aca="false">IF('Reverse Search'!$C$7="Disable",1,IF('Reverse Search'!$D$10="Disable",1,IF(OR('Reverse Search'!$F$10=H821,'Reverse Search'!$F$10=I821),1,0)))</f>
        <v>1</v>
      </c>
      <c r="T821" s="0" t="n">
        <f aca="false">INDEX($B$4:$B$22,MATCH(H821,$A$4:$A$22,0))</f>
        <v>1</v>
      </c>
      <c r="U821" s="0" t="n">
        <f aca="false">IF(ISBLANK(I821),1,INDEX($B$4:$B$22,MATCH(I821,$A$4:$A$22,0)))</f>
        <v>0.51</v>
      </c>
      <c r="V821" s="367" t="n">
        <f aca="false">IF('Reverse Search'!$C$7="Disable",1,IF('Reverse Search'!$D$11="Disable",1,IF('Reverse Search'!$E$11="Neutral to:",IF(ROUND(T821*U821,2)&lt;=1,1,0),IF(ROUND(T821*U821,2)&lt;1,1,0))))</f>
        <v>1</v>
      </c>
      <c r="W821" s="0" t="n">
        <f aca="false">IF('Reverse Search'!$N$7="Disable",1,IF('Reverse Search'!$I$9="Disable",1,IF('Reverse Search'!$K$9="≥",IF(J821&gt;='Reverse Search'!$L$9,1,0),IF('Reverse Search'!$K$9="≤",IF(J821&lt;='Reverse Search'!$L$9,1,0),IF(J821='Reverse Search'!$L$9,1,0)))))</f>
        <v>1</v>
      </c>
      <c r="X821" s="0" t="n">
        <f aca="false">IF('Reverse Search'!$N$7="Disable",1,IF('Reverse Search'!$I$10="Disable",1,IF('Reverse Search'!$K$10="≥",IF(K821&gt;='Reverse Search'!$L$10,1,0),IF('Reverse Search'!$K$10="≤",IF(K821&lt;='Reverse Search'!$L$10,1,0),IF(K821='Reverse Search'!$L$10,1,0)))))</f>
        <v>1</v>
      </c>
      <c r="Y821" s="367" t="n">
        <f aca="false">IF('Reverse Search'!$N$7="Disable",1,IF('Reverse Search'!$I$11="Disable",1,IF('Reverse Search'!$K$11="≥",IF(L821&gt;='Reverse Search'!$L$11,1,0),IF('Reverse Search'!$K$11="≤",IF(L821&lt;='Reverse Search'!$L$11,1,0),IF(L821='Reverse Search'!$L$11,1,0)))))</f>
        <v>1</v>
      </c>
      <c r="Z821" s="0" t="n">
        <f aca="true">IF('Reverse Search'!$C$14="Disable",1,IF('Reverse Search'!$D$16="Disable",1,IF($C$2=3,IF($M821=0,0,COUNTIF(INDIRECT("'0.0.2 Pokémon Learnset (Core)'!$D$"&amp;MATCH($E821,'0.0.2 Pokémon Learnset (Core)'!$A$1:$A951,0)&amp;":$FK$"&amp;MATCH($E821,'0.0.2 Pokémon Learnset (Core)'!$A$1:$A951,0)),'Reverse Search'!$E$21)),IF($C$2=2,COUNTIF(INDIRECT("'0.1.1 Pokémon GO Moves'!$B$"&amp;MATCH($E821,'0.1.1 Pokémon GO Moves'!$A$1:$A951,0)&amp;":$R$"&amp;MATCH($E821,'0.1.1 Pokémon GO Moves'!$A$1:$A951,0)),'Reverse Search'!$E$21),COUNTIF(INDIRECT("'0.1.1 Pokémon GO Moves'!$B$"&amp;MATCH($E821,'0.1.1 Pokémon GO Moves'!$A$1:$A951,0)&amp;":$L$"&amp;MATCH($E821,'0.1.1 Pokémon GO Moves'!$A$1:$A951,0)),'Reverse Search'!$E$21)))))</f>
        <v>1</v>
      </c>
      <c r="AA821" s="0" t="e">
        <f aca="true">IF('Reverse Search'!$C$14="Disable",1,IF('Reverse Search'!$I$16="Disable",1,IF($D$2=3,IF($M821=0,0,COUNTIF(INDIRECT("'0.0.2 Pokémon Learnset (Core)'!$D$"&amp;MATCH($E821,'0.0.2 Pokémon Learnset (Core)'!$A$1:$A951,0)&amp;":$FK$"&amp;MATCH($E821,'0.0.2 Pokémon Learnset (Core)'!$A$1:$A951,0)),'Reverse Search'!$J$21)),IF($D$2=2,COUNTIF(INDIRECT("'0.1.1 Pokémon GO Moves'!$B$"&amp;MATCH($E821,'0.1.1 Pokémon GO Moves'!$A$1:$A951,0)&amp;":$R$"&amp;MATCH($E821,'0.1.1 Pokémon GO Moves'!$A$1:$A951,0)),'Reverse Search'!$J$21),COUNTIF(INDIRECT("'0.1.1 Pokémon GO Moves'!$B$"&amp;MATCH($E821,'0.1.1 Pokémon GO Moves'!$A$1:$A951,0)&amp;":$L$"&amp;MATCH($E821,'0.1.1 Pokémon GO Moves'!$A$1:$A951,0)),'Reverse Search'!$J$21)))))</f>
        <v>#N/A</v>
      </c>
      <c r="AB821" s="490"/>
      <c r="AC821" s="260" t="e">
        <f aca="false">IF((Q821+R821+S821+V821+W821+X821+Y821+IF(Z821&gt;=1,1,0)+IF(AA821&gt;=1,1,0))=9,G821&amp;", ",)</f>
        <v>#N/A</v>
      </c>
    </row>
    <row r="822" customFormat="false" ht="15.75" hidden="false" customHeight="false" outlineLevel="0" collapsed="false">
      <c r="A822" s="260"/>
      <c r="B822" s="358"/>
      <c r="C822" s="260"/>
      <c r="D822" s="358"/>
      <c r="E822" s="260" t="n">
        <v>821</v>
      </c>
      <c r="F822" s="260" t="n">
        <f aca="false" t="array" ref="F822:F822">INDEX('0.0.1 Pokémon Dex Data'!$H$3:$H951,MATCH(E822,'0.0.1 Pokémon Dex Data'!$B$3:$B951,0))</f>
        <v>1</v>
      </c>
      <c r="G822" s="0" t="str">
        <f aca="false" t="array" ref="G822:G822">INDEX('0.0.1 Pokémon Dex Data'!$E$3:$E951,MATCH(E822,'0.0.1 Pokémon Dex Data'!$B$3:$B951,0))</f>
        <v>Pumpkaboo-Large</v>
      </c>
      <c r="H822" s="0" t="str">
        <f aca="false" t="array" ref="H822:H822">INDEX('0.0.1 Pokémon Dex Data'!$Q$3:$Q951,MATCH(E822,'0.0.1 Pokémon Dex Data'!$B$3:$B951,0))</f>
        <v>Grass</v>
      </c>
      <c r="I822" s="0" t="str">
        <f aca="false" t="array" ref="I822:I822">INDEX('0.0.1 Pokémon Dex Data'!$R$3:$R951,MATCH(E822,'0.0.1 Pokémon Dex Data'!$B$3:$B951,0))</f>
        <v>Ghost</v>
      </c>
      <c r="J822" s="260" t="n">
        <f aca="false" t="array" ref="J822:J822">ROUND(INDEX('0.0.1 Pokémon Dex Data'!$S$3:$S951,MATCH($E822,'0.0.1 Pokémon Dex Data'!$B$3:$B951,0))*INDEX('0.0.1 Pokémon Dex Data'!T$3:T951,MATCH($E822,'0.0.1 Pokémon Dex Data'!$B$3:$B951,0)),0)</f>
        <v>120</v>
      </c>
      <c r="K822" s="260" t="n">
        <f aca="false" t="array" ref="K822:K822">ROUND(INDEX('0.0.1 Pokémon Dex Data'!$S$3:$S951,MATCH($E822,'0.0.1 Pokémon Dex Data'!$B$3:$B951,0))*INDEX('0.0.1 Pokémon Dex Data'!U$3:U951,MATCH($E822,'0.0.1 Pokémon Dex Data'!$B$3:$B951,0)),0)</f>
        <v>122</v>
      </c>
      <c r="L822" s="260" t="n">
        <f aca="false" t="array" ref="L822:L822">ROUND(INDEX('0.0.1 Pokémon Dex Data'!$S$3:$S951,MATCH($E822,'0.0.1 Pokémon Dex Data'!$B$3:$B951,0))*INDEX('0.0.1 Pokémon Dex Data'!V$3:V951,MATCH($E822,'0.0.1 Pokémon Dex Data'!$B$3:$B951,0)),0)</f>
        <v>144</v>
      </c>
      <c r="M822" s="260" t="n">
        <f aca="false" t="array" ref="M822:M822">INDEX('0.0.1 Pokémon Dex Data'!$J$3:$J951,MATCH(E822,'0.0.1 Pokémon Dex Data'!$B$3:$B951,0))</f>
        <v>0</v>
      </c>
      <c r="O822" s="490"/>
      <c r="Q822" s="367" t="n">
        <f aca="false">IF('Reverse Search'!$F$4="All (including temporary formes)",1,IF('Reverse Search'!$F$4="Base Pokémon and permanent formes only",IF(F822&lt;=1,1,0),IF(F822=0,1,0)))</f>
        <v>0</v>
      </c>
      <c r="R822" s="0" t="n">
        <f aca="false">IF('Reverse Search'!$C$7="Disable",1,IF('Reverse Search'!$D$9="Disable",1,IF(OR('Reverse Search'!$F$9=H822,'Reverse Search'!$F$9=I822),1,0)))</f>
        <v>1</v>
      </c>
      <c r="S822" s="0" t="n">
        <f aca="false">IF('Reverse Search'!$C$7="Disable",1,IF('Reverse Search'!$D$10="Disable",1,IF(OR('Reverse Search'!$F$10=H822,'Reverse Search'!$F$10=I822),1,0)))</f>
        <v>1</v>
      </c>
      <c r="T822" s="0" t="n">
        <f aca="false">INDEX($B$4:$B$22,MATCH(H822,$A$4:$A$22,0))</f>
        <v>1</v>
      </c>
      <c r="U822" s="0" t="n">
        <f aca="false">IF(ISBLANK(I822),1,INDEX($B$4:$B$22,MATCH(I822,$A$4:$A$22,0)))</f>
        <v>0.51</v>
      </c>
      <c r="V822" s="367" t="n">
        <f aca="false">IF('Reverse Search'!$C$7="Disable",1,IF('Reverse Search'!$D$11="Disable",1,IF('Reverse Search'!$E$11="Neutral to:",IF(ROUND(T822*U822,2)&lt;=1,1,0),IF(ROUND(T822*U822,2)&lt;1,1,0))))</f>
        <v>1</v>
      </c>
      <c r="W822" s="0" t="n">
        <f aca="false">IF('Reverse Search'!$N$7="Disable",1,IF('Reverse Search'!$I$9="Disable",1,IF('Reverse Search'!$K$9="≥",IF(J822&gt;='Reverse Search'!$L$9,1,0),IF('Reverse Search'!$K$9="≤",IF(J822&lt;='Reverse Search'!$L$9,1,0),IF(J822='Reverse Search'!$L$9,1,0)))))</f>
        <v>1</v>
      </c>
      <c r="X822" s="0" t="n">
        <f aca="false">IF('Reverse Search'!$N$7="Disable",1,IF('Reverse Search'!$I$10="Disable",1,IF('Reverse Search'!$K$10="≥",IF(K822&gt;='Reverse Search'!$L$10,1,0),IF('Reverse Search'!$K$10="≤",IF(K822&lt;='Reverse Search'!$L$10,1,0),IF(K822='Reverse Search'!$L$10,1,0)))))</f>
        <v>1</v>
      </c>
      <c r="Y822" s="367" t="n">
        <f aca="false">IF('Reverse Search'!$N$7="Disable",1,IF('Reverse Search'!$I$11="Disable",1,IF('Reverse Search'!$K$11="≥",IF(L822&gt;='Reverse Search'!$L$11,1,0),IF('Reverse Search'!$K$11="≤",IF(L822&lt;='Reverse Search'!$L$11,1,0),IF(L822='Reverse Search'!$L$11,1,0)))))</f>
        <v>1</v>
      </c>
      <c r="Z822" s="0" t="n">
        <f aca="true">IF('Reverse Search'!$C$14="Disable",1,IF('Reverse Search'!$D$16="Disable",1,IF($C$2=3,IF($M822=0,0,COUNTIF(INDIRECT("'0.0.2 Pokémon Learnset (Core)'!$D$"&amp;MATCH($E822,'0.0.2 Pokémon Learnset (Core)'!$A$1:$A951,0)&amp;":$FK$"&amp;MATCH($E822,'0.0.2 Pokémon Learnset (Core)'!$A$1:$A951,0)),'Reverse Search'!$E$21)),IF($C$2=2,COUNTIF(INDIRECT("'0.1.1 Pokémon GO Moves'!$B$"&amp;MATCH($E822,'0.1.1 Pokémon GO Moves'!$A$1:$A951,0)&amp;":$R$"&amp;MATCH($E822,'0.1.1 Pokémon GO Moves'!$A$1:$A951,0)),'Reverse Search'!$E$21),COUNTIF(INDIRECT("'0.1.1 Pokémon GO Moves'!$B$"&amp;MATCH($E822,'0.1.1 Pokémon GO Moves'!$A$1:$A951,0)&amp;":$L$"&amp;MATCH($E822,'0.1.1 Pokémon GO Moves'!$A$1:$A951,0)),'Reverse Search'!$E$21)))))</f>
        <v>1</v>
      </c>
      <c r="AA822" s="0" t="e">
        <f aca="true">IF('Reverse Search'!$C$14="Disable",1,IF('Reverse Search'!$I$16="Disable",1,IF($D$2=3,IF($M822=0,0,COUNTIF(INDIRECT("'0.0.2 Pokémon Learnset (Core)'!$D$"&amp;MATCH($E822,'0.0.2 Pokémon Learnset (Core)'!$A$1:$A951,0)&amp;":$FK$"&amp;MATCH($E822,'0.0.2 Pokémon Learnset (Core)'!$A$1:$A951,0)),'Reverse Search'!$J$21)),IF($D$2=2,COUNTIF(INDIRECT("'0.1.1 Pokémon GO Moves'!$B$"&amp;MATCH($E822,'0.1.1 Pokémon GO Moves'!$A$1:$A951,0)&amp;":$R$"&amp;MATCH($E822,'0.1.1 Pokémon GO Moves'!$A$1:$A951,0)),'Reverse Search'!$J$21),COUNTIF(INDIRECT("'0.1.1 Pokémon GO Moves'!$B$"&amp;MATCH($E822,'0.1.1 Pokémon GO Moves'!$A$1:$A951,0)&amp;":$L$"&amp;MATCH($E822,'0.1.1 Pokémon GO Moves'!$A$1:$A951,0)),'Reverse Search'!$J$21)))))</f>
        <v>#N/A</v>
      </c>
      <c r="AB822" s="490"/>
      <c r="AC822" s="260" t="e">
        <f aca="false">IF((Q822+R822+S822+V822+W822+X822+Y822+IF(Z822&gt;=1,1,0)+IF(AA822&gt;=1,1,0))=9,G822&amp;", ",)</f>
        <v>#N/A</v>
      </c>
    </row>
    <row r="823" customFormat="false" ht="15.75" hidden="false" customHeight="false" outlineLevel="0" collapsed="false">
      <c r="A823" s="260"/>
      <c r="B823" s="358"/>
      <c r="C823" s="260"/>
      <c r="D823" s="358"/>
      <c r="E823" s="260" t="n">
        <v>822</v>
      </c>
      <c r="F823" s="260" t="n">
        <f aca="false" t="array" ref="F823:F823">INDEX('0.0.1 Pokémon Dex Data'!$H$3:$H951,MATCH(E823,'0.0.1 Pokémon Dex Data'!$B$3:$B951,0))</f>
        <v>1</v>
      </c>
      <c r="G823" s="0" t="str">
        <f aca="false" t="array" ref="G823:G823">INDEX('0.0.1 Pokémon Dex Data'!$E$3:$E951,MATCH(E823,'0.0.1 Pokémon Dex Data'!$B$3:$B951,0))</f>
        <v>Pumpkaboo-Super</v>
      </c>
      <c r="H823" s="0" t="str">
        <f aca="false" t="array" ref="H823:H823">INDEX('0.0.1 Pokémon Dex Data'!$Q$3:$Q951,MATCH(E823,'0.0.1 Pokémon Dex Data'!$B$3:$B951,0))</f>
        <v>Grass</v>
      </c>
      <c r="I823" s="0" t="str">
        <f aca="false" t="array" ref="I823:I823">INDEX('0.0.1 Pokémon Dex Data'!$R$3:$R951,MATCH(E823,'0.0.1 Pokémon Dex Data'!$B$3:$B951,0))</f>
        <v>Ghost</v>
      </c>
      <c r="J823" s="260" t="n">
        <f aca="false" t="array" ref="J823:J823">ROUND(INDEX('0.0.1 Pokémon Dex Data'!$S$3:$S951,MATCH($E823,'0.0.1 Pokémon Dex Data'!$B$3:$B951,0))*INDEX('0.0.1 Pokémon Dex Data'!T$3:T951,MATCH($E823,'0.0.1 Pokémon Dex Data'!$B$3:$B951,0)),0)</f>
        <v>118</v>
      </c>
      <c r="K823" s="260" t="n">
        <f aca="false" t="array" ref="K823:K823">ROUND(INDEX('0.0.1 Pokémon Dex Data'!$S$3:$S951,MATCH($E823,'0.0.1 Pokémon Dex Data'!$B$3:$B951,0))*INDEX('0.0.1 Pokémon Dex Data'!U$3:U951,MATCH($E823,'0.0.1 Pokémon Dex Data'!$B$3:$B951,0)),0)</f>
        <v>120</v>
      </c>
      <c r="L823" s="260" t="n">
        <f aca="false" t="array" ref="L823:L823">ROUND(INDEX('0.0.1 Pokémon Dex Data'!$S$3:$S951,MATCH($E823,'0.0.1 Pokémon Dex Data'!$B$3:$B951,0))*INDEX('0.0.1 Pokémon Dex Data'!V$3:V951,MATCH($E823,'0.0.1 Pokémon Dex Data'!$B$3:$B951,0)),0)</f>
        <v>153</v>
      </c>
      <c r="M823" s="260" t="n">
        <f aca="false" t="array" ref="M823:M823">INDEX('0.0.1 Pokémon Dex Data'!$J$3:$J951,MATCH(E823,'0.0.1 Pokémon Dex Data'!$B$3:$B951,0))</f>
        <v>0</v>
      </c>
      <c r="O823" s="490"/>
      <c r="Q823" s="367" t="n">
        <f aca="false">IF('Reverse Search'!$F$4="All (including temporary formes)",1,IF('Reverse Search'!$F$4="Base Pokémon and permanent formes only",IF(F823&lt;=1,1,0),IF(F823=0,1,0)))</f>
        <v>0</v>
      </c>
      <c r="R823" s="0" t="n">
        <f aca="false">IF('Reverse Search'!$C$7="Disable",1,IF('Reverse Search'!$D$9="Disable",1,IF(OR('Reverse Search'!$F$9=H823,'Reverse Search'!$F$9=I823),1,0)))</f>
        <v>1</v>
      </c>
      <c r="S823" s="0" t="n">
        <f aca="false">IF('Reverse Search'!$C$7="Disable",1,IF('Reverse Search'!$D$10="Disable",1,IF(OR('Reverse Search'!$F$10=H823,'Reverse Search'!$F$10=I823),1,0)))</f>
        <v>1</v>
      </c>
      <c r="T823" s="0" t="n">
        <f aca="false">INDEX($B$4:$B$22,MATCH(H823,$A$4:$A$22,0))</f>
        <v>1</v>
      </c>
      <c r="U823" s="0" t="n">
        <f aca="false">IF(ISBLANK(I823),1,INDEX($B$4:$B$22,MATCH(I823,$A$4:$A$22,0)))</f>
        <v>0.51</v>
      </c>
      <c r="V823" s="367" t="n">
        <f aca="false">IF('Reverse Search'!$C$7="Disable",1,IF('Reverse Search'!$D$11="Disable",1,IF('Reverse Search'!$E$11="Neutral to:",IF(ROUND(T823*U823,2)&lt;=1,1,0),IF(ROUND(T823*U823,2)&lt;1,1,0))))</f>
        <v>1</v>
      </c>
      <c r="W823" s="0" t="n">
        <f aca="false">IF('Reverse Search'!$N$7="Disable",1,IF('Reverse Search'!$I$9="Disable",1,IF('Reverse Search'!$K$9="≥",IF(J823&gt;='Reverse Search'!$L$9,1,0),IF('Reverse Search'!$K$9="≤",IF(J823&lt;='Reverse Search'!$L$9,1,0),IF(J823='Reverse Search'!$L$9,1,0)))))</f>
        <v>1</v>
      </c>
      <c r="X823" s="0" t="n">
        <f aca="false">IF('Reverse Search'!$N$7="Disable",1,IF('Reverse Search'!$I$10="Disable",1,IF('Reverse Search'!$K$10="≥",IF(K823&gt;='Reverse Search'!$L$10,1,0),IF('Reverse Search'!$K$10="≤",IF(K823&lt;='Reverse Search'!$L$10,1,0),IF(K823='Reverse Search'!$L$10,1,0)))))</f>
        <v>1</v>
      </c>
      <c r="Y823" s="367" t="n">
        <f aca="false">IF('Reverse Search'!$N$7="Disable",1,IF('Reverse Search'!$I$11="Disable",1,IF('Reverse Search'!$K$11="≥",IF(L823&gt;='Reverse Search'!$L$11,1,0),IF('Reverse Search'!$K$11="≤",IF(L823&lt;='Reverse Search'!$L$11,1,0),IF(L823='Reverse Search'!$L$11,1,0)))))</f>
        <v>1</v>
      </c>
      <c r="Z823" s="0" t="n">
        <f aca="true">IF('Reverse Search'!$C$14="Disable",1,IF('Reverse Search'!$D$16="Disable",1,IF($C$2=3,IF($M823=0,0,COUNTIF(INDIRECT("'0.0.2 Pokémon Learnset (Core)'!$D$"&amp;MATCH($E823,'0.0.2 Pokémon Learnset (Core)'!$A$1:$A951,0)&amp;":$FK$"&amp;MATCH($E823,'0.0.2 Pokémon Learnset (Core)'!$A$1:$A951,0)),'Reverse Search'!$E$21)),IF($C$2=2,COUNTIF(INDIRECT("'0.1.1 Pokémon GO Moves'!$B$"&amp;MATCH($E823,'0.1.1 Pokémon GO Moves'!$A$1:$A951,0)&amp;":$R$"&amp;MATCH($E823,'0.1.1 Pokémon GO Moves'!$A$1:$A951,0)),'Reverse Search'!$E$21),COUNTIF(INDIRECT("'0.1.1 Pokémon GO Moves'!$B$"&amp;MATCH($E823,'0.1.1 Pokémon GO Moves'!$A$1:$A951,0)&amp;":$L$"&amp;MATCH($E823,'0.1.1 Pokémon GO Moves'!$A$1:$A951,0)),'Reverse Search'!$E$21)))))</f>
        <v>1</v>
      </c>
      <c r="AA823" s="0" t="e">
        <f aca="true">IF('Reverse Search'!$C$14="Disable",1,IF('Reverse Search'!$I$16="Disable",1,IF($D$2=3,IF($M823=0,0,COUNTIF(INDIRECT("'0.0.2 Pokémon Learnset (Core)'!$D$"&amp;MATCH($E823,'0.0.2 Pokémon Learnset (Core)'!$A$1:$A951,0)&amp;":$FK$"&amp;MATCH($E823,'0.0.2 Pokémon Learnset (Core)'!$A$1:$A951,0)),'Reverse Search'!$J$21)),IF($D$2=2,COUNTIF(INDIRECT("'0.1.1 Pokémon GO Moves'!$B$"&amp;MATCH($E823,'0.1.1 Pokémon GO Moves'!$A$1:$A951,0)&amp;":$R$"&amp;MATCH($E823,'0.1.1 Pokémon GO Moves'!$A$1:$A951,0)),'Reverse Search'!$J$21),COUNTIF(INDIRECT("'0.1.1 Pokémon GO Moves'!$B$"&amp;MATCH($E823,'0.1.1 Pokémon GO Moves'!$A$1:$A951,0)&amp;":$L$"&amp;MATCH($E823,'0.1.1 Pokémon GO Moves'!$A$1:$A951,0)),'Reverse Search'!$J$21)))))</f>
        <v>#N/A</v>
      </c>
      <c r="AB823" s="490"/>
      <c r="AC823" s="260" t="e">
        <f aca="false">IF((Q823+R823+S823+V823+W823+X823+Y823+IF(Z823&gt;=1,1,0)+IF(AA823&gt;=1,1,0))=9,G823&amp;", ",)</f>
        <v>#N/A</v>
      </c>
    </row>
    <row r="824" customFormat="false" ht="15.75" hidden="false" customHeight="false" outlineLevel="0" collapsed="false">
      <c r="A824" s="260"/>
      <c r="B824" s="358"/>
      <c r="C824" s="260"/>
      <c r="D824" s="358"/>
      <c r="E824" s="260" t="n">
        <v>823</v>
      </c>
      <c r="F824" s="260" t="n">
        <f aca="false" t="array" ref="F824:F824">INDEX('0.0.1 Pokémon Dex Data'!$H$3:$H951,MATCH(E824,'0.0.1 Pokémon Dex Data'!$B$3:$B951,0))</f>
        <v>0</v>
      </c>
      <c r="G824" s="0" t="str">
        <f aca="false" t="array" ref="G824:G824">INDEX('0.0.1 Pokémon Dex Data'!$E$3:$E951,MATCH(E824,'0.0.1 Pokémon Dex Data'!$B$3:$B951,0))</f>
        <v>Gourgeist-Average</v>
      </c>
      <c r="H824" s="0" t="str">
        <f aca="false" t="array" ref="H824:H824">INDEX('0.0.1 Pokémon Dex Data'!$Q$3:$Q951,MATCH(E824,'0.0.1 Pokémon Dex Data'!$B$3:$B951,0))</f>
        <v>Grass</v>
      </c>
      <c r="I824" s="0" t="str">
        <f aca="false" t="array" ref="I824:I824">INDEX('0.0.1 Pokémon Dex Data'!$R$3:$R951,MATCH(E824,'0.0.1 Pokémon Dex Data'!$B$3:$B951,0))</f>
        <v>Ghost</v>
      </c>
      <c r="J824" s="260" t="n">
        <f aca="false" t="array" ref="J824:J824">ROUND(INDEX('0.0.1 Pokémon Dex Data'!$S$3:$S951,MATCH($E824,'0.0.1 Pokémon Dex Data'!$B$3:$B951,0))*INDEX('0.0.1 Pokémon Dex Data'!T$3:T951,MATCH($E824,'0.0.1 Pokémon Dex Data'!$B$3:$B951,0)),0)</f>
        <v>175</v>
      </c>
      <c r="K824" s="260" t="n">
        <f aca="false" t="array" ref="K824:K824">ROUND(INDEX('0.0.1 Pokémon Dex Data'!$S$3:$S951,MATCH($E824,'0.0.1 Pokémon Dex Data'!$B$3:$B951,0))*INDEX('0.0.1 Pokémon Dex Data'!U$3:U951,MATCH($E824,'0.0.1 Pokémon Dex Data'!$B$3:$B951,0)),0)</f>
        <v>213</v>
      </c>
      <c r="L824" s="260" t="n">
        <f aca="false" t="array" ref="L824:L824">ROUND(INDEX('0.0.1 Pokémon Dex Data'!$S$3:$S951,MATCH($E824,'0.0.1 Pokémon Dex Data'!$B$3:$B951,0))*INDEX('0.0.1 Pokémon Dex Data'!V$3:V951,MATCH($E824,'0.0.1 Pokémon Dex Data'!$B$3:$B951,0)),0)</f>
        <v>163</v>
      </c>
      <c r="M824" s="260" t="n">
        <f aca="false" t="array" ref="M824:M824">INDEX('0.0.1 Pokémon Dex Data'!$J$3:$J951,MATCH(E824,'0.0.1 Pokémon Dex Data'!$B$3:$B951,0))</f>
        <v>1</v>
      </c>
      <c r="O824" s="490"/>
      <c r="Q824" s="367" t="n">
        <f aca="false">IF('Reverse Search'!$F$4="All (including temporary formes)",1,IF('Reverse Search'!$F$4="Base Pokémon and permanent formes only",IF(F824&lt;=1,1,0),IF(F824=0,1,0)))</f>
        <v>1</v>
      </c>
      <c r="R824" s="0" t="n">
        <f aca="false">IF('Reverse Search'!$C$7="Disable",1,IF('Reverse Search'!$D$9="Disable",1,IF(OR('Reverse Search'!$F$9=H824,'Reverse Search'!$F$9=I824),1,0)))</f>
        <v>1</v>
      </c>
      <c r="S824" s="0" t="n">
        <f aca="false">IF('Reverse Search'!$C$7="Disable",1,IF('Reverse Search'!$D$10="Disable",1,IF(OR('Reverse Search'!$F$10=H824,'Reverse Search'!$F$10=I824),1,0)))</f>
        <v>1</v>
      </c>
      <c r="T824" s="0" t="n">
        <f aca="false">INDEX($B$4:$B$22,MATCH(H824,$A$4:$A$22,0))</f>
        <v>1</v>
      </c>
      <c r="U824" s="0" t="n">
        <f aca="false">IF(ISBLANK(I824),1,INDEX($B$4:$B$22,MATCH(I824,$A$4:$A$22,0)))</f>
        <v>0.51</v>
      </c>
      <c r="V824" s="367" t="n">
        <f aca="false">IF('Reverse Search'!$C$7="Disable",1,IF('Reverse Search'!$D$11="Disable",1,IF('Reverse Search'!$E$11="Neutral to:",IF(ROUND(T824*U824,2)&lt;=1,1,0),IF(ROUND(T824*U824,2)&lt;1,1,0))))</f>
        <v>1</v>
      </c>
      <c r="W824" s="0" t="n">
        <f aca="false">IF('Reverse Search'!$N$7="Disable",1,IF('Reverse Search'!$I$9="Disable",1,IF('Reverse Search'!$K$9="≥",IF(J824&gt;='Reverse Search'!$L$9,1,0),IF('Reverse Search'!$K$9="≤",IF(J824&lt;='Reverse Search'!$L$9,1,0),IF(J824='Reverse Search'!$L$9,1,0)))))</f>
        <v>1</v>
      </c>
      <c r="X824" s="0" t="n">
        <f aca="false">IF('Reverse Search'!$N$7="Disable",1,IF('Reverse Search'!$I$10="Disable",1,IF('Reverse Search'!$K$10="≥",IF(K824&gt;='Reverse Search'!$L$10,1,0),IF('Reverse Search'!$K$10="≤",IF(K824&lt;='Reverse Search'!$L$10,1,0),IF(K824='Reverse Search'!$L$10,1,0)))))</f>
        <v>1</v>
      </c>
      <c r="Y824" s="367" t="n">
        <f aca="false">IF('Reverse Search'!$N$7="Disable",1,IF('Reverse Search'!$I$11="Disable",1,IF('Reverse Search'!$K$11="≥",IF(L824&gt;='Reverse Search'!$L$11,1,0),IF('Reverse Search'!$K$11="≤",IF(L824&lt;='Reverse Search'!$L$11,1,0),IF(L824='Reverse Search'!$L$11,1,0)))))</f>
        <v>1</v>
      </c>
      <c r="Z824" s="0" t="n">
        <f aca="true">IF('Reverse Search'!$C$14="Disable",1,IF('Reverse Search'!$D$16="Disable",1,IF($C$2=3,IF($M824=0,0,COUNTIF(INDIRECT("'0.0.2 Pokémon Learnset (Core)'!$D$"&amp;MATCH($E824,'0.0.2 Pokémon Learnset (Core)'!$A$1:$A951,0)&amp;":$FK$"&amp;MATCH($E824,'0.0.2 Pokémon Learnset (Core)'!$A$1:$A951,0)),'Reverse Search'!$E$21)),IF($C$2=2,COUNTIF(INDIRECT("'0.1.1 Pokémon GO Moves'!$B$"&amp;MATCH($E824,'0.1.1 Pokémon GO Moves'!$A$1:$A951,0)&amp;":$R$"&amp;MATCH($E824,'0.1.1 Pokémon GO Moves'!$A$1:$A951,0)),'Reverse Search'!$E$21),COUNTIF(INDIRECT("'0.1.1 Pokémon GO Moves'!$B$"&amp;MATCH($E824,'0.1.1 Pokémon GO Moves'!$A$1:$A951,0)&amp;":$L$"&amp;MATCH($E824,'0.1.1 Pokémon GO Moves'!$A$1:$A951,0)),'Reverse Search'!$E$21)))))</f>
        <v>1</v>
      </c>
      <c r="AA824" s="0" t="n">
        <f aca="true">IF('Reverse Search'!$C$14="Disable",1,IF('Reverse Search'!$I$16="Disable",1,IF($D$2=3,IF($M824=0,0,COUNTIF(INDIRECT("'0.0.2 Pokémon Learnset (Core)'!$D$"&amp;MATCH($E824,'0.0.2 Pokémon Learnset (Core)'!$A$1:$A951,0)&amp;":$FK$"&amp;MATCH($E824,'0.0.2 Pokémon Learnset (Core)'!$A$1:$A951,0)),'Reverse Search'!$J$21)),IF($D$2=2,COUNTIF(INDIRECT("'0.1.1 Pokémon GO Moves'!$B$"&amp;MATCH($E824,'0.1.1 Pokémon GO Moves'!$A$1:$A951,0)&amp;":$R$"&amp;MATCH($E824,'0.1.1 Pokémon GO Moves'!$A$1:$A951,0)),'Reverse Search'!$J$21),COUNTIF(INDIRECT("'0.1.1 Pokémon GO Moves'!$B$"&amp;MATCH($E824,'0.1.1 Pokémon GO Moves'!$A$1:$A951,0)&amp;":$L$"&amp;MATCH($E824,'0.1.1 Pokémon GO Moves'!$A$1:$A951,0)),'Reverse Search'!$J$21)))))</f>
        <v>0</v>
      </c>
      <c r="AB824" s="490"/>
      <c r="AC824" s="260" t="n">
        <f aca="false">IF((Q824+R824+S824+V824+W824+X824+Y824+IF(Z824&gt;=1,1,0)+IF(AA824&gt;=1,1,0))=9,G824&amp;", ",)</f>
        <v>0</v>
      </c>
    </row>
    <row r="825" customFormat="false" ht="15.75" hidden="false" customHeight="false" outlineLevel="0" collapsed="false">
      <c r="A825" s="260"/>
      <c r="B825" s="358"/>
      <c r="C825" s="260"/>
      <c r="D825" s="358"/>
      <c r="E825" s="260" t="n">
        <v>824</v>
      </c>
      <c r="F825" s="260" t="n">
        <f aca="false" t="array" ref="F825:F825">INDEX('0.0.1 Pokémon Dex Data'!$H$3:$H951,MATCH(E825,'0.0.1 Pokémon Dex Data'!$B$3:$B951,0))</f>
        <v>1</v>
      </c>
      <c r="G825" s="0" t="str">
        <f aca="false" t="array" ref="G825:G825">INDEX('0.0.1 Pokémon Dex Data'!$E$3:$E951,MATCH(E825,'0.0.1 Pokémon Dex Data'!$B$3:$B951,0))</f>
        <v>Gourgeist-Small</v>
      </c>
      <c r="H825" s="0" t="str">
        <f aca="false" t="array" ref="H825:H825">INDEX('0.0.1 Pokémon Dex Data'!$Q$3:$Q951,MATCH(E825,'0.0.1 Pokémon Dex Data'!$B$3:$B951,0))</f>
        <v>Grass</v>
      </c>
      <c r="I825" s="0" t="str">
        <f aca="false" t="array" ref="I825:I825">INDEX('0.0.1 Pokémon Dex Data'!$R$3:$R951,MATCH(E825,'0.0.1 Pokémon Dex Data'!$B$3:$B951,0))</f>
        <v>Ghost</v>
      </c>
      <c r="J825" s="260" t="n">
        <f aca="false" t="array" ref="J825:J825">ROUND(INDEX('0.0.1 Pokémon Dex Data'!$S$3:$S951,MATCH($E825,'0.0.1 Pokémon Dex Data'!$B$3:$B951,0))*INDEX('0.0.1 Pokémon Dex Data'!T$3:T951,MATCH($E825,'0.0.1 Pokémon Dex Data'!$B$3:$B951,0)),0)</f>
        <v>171</v>
      </c>
      <c r="K825" s="260" t="n">
        <f aca="false" t="array" ref="K825:K825">ROUND(INDEX('0.0.1 Pokémon Dex Data'!$S$3:$S951,MATCH($E825,'0.0.1 Pokémon Dex Data'!$B$3:$B951,0))*INDEX('0.0.1 Pokémon Dex Data'!U$3:U951,MATCH($E825,'0.0.1 Pokémon Dex Data'!$B$3:$B951,0)),0)</f>
        <v>219</v>
      </c>
      <c r="L825" s="260" t="n">
        <f aca="false" t="array" ref="L825:L825">ROUND(INDEX('0.0.1 Pokémon Dex Data'!$S$3:$S951,MATCH($E825,'0.0.1 Pokémon Dex Data'!$B$3:$B951,0))*INDEX('0.0.1 Pokémon Dex Data'!V$3:V951,MATCH($E825,'0.0.1 Pokémon Dex Data'!$B$3:$B951,0)),0)</f>
        <v>146</v>
      </c>
      <c r="M825" s="260" t="n">
        <f aca="false" t="array" ref="M825:M825">INDEX('0.0.1 Pokémon Dex Data'!$J$3:$J951,MATCH(E825,'0.0.1 Pokémon Dex Data'!$B$3:$B951,0))</f>
        <v>1</v>
      </c>
      <c r="O825" s="490"/>
      <c r="Q825" s="367" t="n">
        <f aca="false">IF('Reverse Search'!$F$4="All (including temporary formes)",1,IF('Reverse Search'!$F$4="Base Pokémon and permanent formes only",IF(F825&lt;=1,1,0),IF(F825=0,1,0)))</f>
        <v>0</v>
      </c>
      <c r="R825" s="0" t="n">
        <f aca="false">IF('Reverse Search'!$C$7="Disable",1,IF('Reverse Search'!$D$9="Disable",1,IF(OR('Reverse Search'!$F$9=H825,'Reverse Search'!$F$9=I825),1,0)))</f>
        <v>1</v>
      </c>
      <c r="S825" s="0" t="n">
        <f aca="false">IF('Reverse Search'!$C$7="Disable",1,IF('Reverse Search'!$D$10="Disable",1,IF(OR('Reverse Search'!$F$10=H825,'Reverse Search'!$F$10=I825),1,0)))</f>
        <v>1</v>
      </c>
      <c r="T825" s="0" t="n">
        <f aca="false">INDEX($B$4:$B$22,MATCH(H825,$A$4:$A$22,0))</f>
        <v>1</v>
      </c>
      <c r="U825" s="0" t="n">
        <f aca="false">IF(ISBLANK(I825),1,INDEX($B$4:$B$22,MATCH(I825,$A$4:$A$22,0)))</f>
        <v>0.51</v>
      </c>
      <c r="V825" s="367" t="n">
        <f aca="false">IF('Reverse Search'!$C$7="Disable",1,IF('Reverse Search'!$D$11="Disable",1,IF('Reverse Search'!$E$11="Neutral to:",IF(ROUND(T825*U825,2)&lt;=1,1,0),IF(ROUND(T825*U825,2)&lt;1,1,0))))</f>
        <v>1</v>
      </c>
      <c r="W825" s="0" t="n">
        <f aca="false">IF('Reverse Search'!$N$7="Disable",1,IF('Reverse Search'!$I$9="Disable",1,IF('Reverse Search'!$K$9="≥",IF(J825&gt;='Reverse Search'!$L$9,1,0),IF('Reverse Search'!$K$9="≤",IF(J825&lt;='Reverse Search'!$L$9,1,0),IF(J825='Reverse Search'!$L$9,1,0)))))</f>
        <v>1</v>
      </c>
      <c r="X825" s="0" t="n">
        <f aca="false">IF('Reverse Search'!$N$7="Disable",1,IF('Reverse Search'!$I$10="Disable",1,IF('Reverse Search'!$K$10="≥",IF(K825&gt;='Reverse Search'!$L$10,1,0),IF('Reverse Search'!$K$10="≤",IF(K825&lt;='Reverse Search'!$L$10,1,0),IF(K825='Reverse Search'!$L$10,1,0)))))</f>
        <v>1</v>
      </c>
      <c r="Y825" s="367" t="n">
        <f aca="false">IF('Reverse Search'!$N$7="Disable",1,IF('Reverse Search'!$I$11="Disable",1,IF('Reverse Search'!$K$11="≥",IF(L825&gt;='Reverse Search'!$L$11,1,0),IF('Reverse Search'!$K$11="≤",IF(L825&lt;='Reverse Search'!$L$11,1,0),IF(L825='Reverse Search'!$L$11,1,0)))))</f>
        <v>1</v>
      </c>
      <c r="Z825" s="0" t="n">
        <f aca="true">IF('Reverse Search'!$C$14="Disable",1,IF('Reverse Search'!$D$16="Disable",1,IF($C$2=3,IF($M825=0,0,COUNTIF(INDIRECT("'0.0.2 Pokémon Learnset (Core)'!$D$"&amp;MATCH($E825,'0.0.2 Pokémon Learnset (Core)'!$A$1:$A951,0)&amp;":$FK$"&amp;MATCH($E825,'0.0.2 Pokémon Learnset (Core)'!$A$1:$A951,0)),'Reverse Search'!$E$21)),IF($C$2=2,COUNTIF(INDIRECT("'0.1.1 Pokémon GO Moves'!$B$"&amp;MATCH($E825,'0.1.1 Pokémon GO Moves'!$A$1:$A951,0)&amp;":$R$"&amp;MATCH($E825,'0.1.1 Pokémon GO Moves'!$A$1:$A951,0)),'Reverse Search'!$E$21),COUNTIF(INDIRECT("'0.1.1 Pokémon GO Moves'!$B$"&amp;MATCH($E825,'0.1.1 Pokémon GO Moves'!$A$1:$A951,0)&amp;":$L$"&amp;MATCH($E825,'0.1.1 Pokémon GO Moves'!$A$1:$A951,0)),'Reverse Search'!$E$21)))))</f>
        <v>1</v>
      </c>
      <c r="AA825" s="0" t="e">
        <f aca="true">IF('Reverse Search'!$C$14="Disable",1,IF('Reverse Search'!$I$16="Disable",1,IF($D$2=3,IF($M825=0,0,COUNTIF(INDIRECT("'0.0.2 Pokémon Learnset (Core)'!$D$"&amp;MATCH($E825,'0.0.2 Pokémon Learnset (Core)'!$A$1:$A951,0)&amp;":$FK$"&amp;MATCH($E825,'0.0.2 Pokémon Learnset (Core)'!$A$1:$A951,0)),'Reverse Search'!$J$21)),IF($D$2=2,COUNTIF(INDIRECT("'0.1.1 Pokémon GO Moves'!$B$"&amp;MATCH($E825,'0.1.1 Pokémon GO Moves'!$A$1:$A951,0)&amp;":$R$"&amp;MATCH($E825,'0.1.1 Pokémon GO Moves'!$A$1:$A951,0)),'Reverse Search'!$J$21),COUNTIF(INDIRECT("'0.1.1 Pokémon GO Moves'!$B$"&amp;MATCH($E825,'0.1.1 Pokémon GO Moves'!$A$1:$A951,0)&amp;":$L$"&amp;MATCH($E825,'0.1.1 Pokémon GO Moves'!$A$1:$A951,0)),'Reverse Search'!$J$21)))))</f>
        <v>#N/A</v>
      </c>
      <c r="AB825" s="490"/>
      <c r="AC825" s="260" t="e">
        <f aca="false">IF((Q825+R825+S825+V825+W825+X825+Y825+IF(Z825&gt;=1,1,0)+IF(AA825&gt;=1,1,0))=9,G825&amp;", ",)</f>
        <v>#N/A</v>
      </c>
    </row>
    <row r="826" customFormat="false" ht="15.75" hidden="false" customHeight="false" outlineLevel="0" collapsed="false">
      <c r="A826" s="260"/>
      <c r="B826" s="358"/>
      <c r="C826" s="260"/>
      <c r="D826" s="358"/>
      <c r="E826" s="260" t="n">
        <v>825</v>
      </c>
      <c r="F826" s="260" t="n">
        <f aca="false" t="array" ref="F826:F826">INDEX('0.0.1 Pokémon Dex Data'!$H$3:$H951,MATCH(E826,'0.0.1 Pokémon Dex Data'!$B$3:$B951,0))</f>
        <v>1</v>
      </c>
      <c r="G826" s="0" t="str">
        <f aca="false" t="array" ref="G826:G826">INDEX('0.0.1 Pokémon Dex Data'!$E$3:$E951,MATCH(E826,'0.0.1 Pokémon Dex Data'!$B$3:$B951,0))</f>
        <v>Gourgeist-Large</v>
      </c>
      <c r="H826" s="0" t="str">
        <f aca="false" t="array" ref="H826:H826">INDEX('0.0.1 Pokémon Dex Data'!$Q$3:$Q951,MATCH(E826,'0.0.1 Pokémon Dex Data'!$B$3:$B951,0))</f>
        <v>Grass</v>
      </c>
      <c r="I826" s="0" t="str">
        <f aca="false" t="array" ref="I826:I826">INDEX('0.0.1 Pokémon Dex Data'!$R$3:$R951,MATCH(E826,'0.0.1 Pokémon Dex Data'!$B$3:$B951,0))</f>
        <v>Ghost</v>
      </c>
      <c r="J826" s="260" t="n">
        <f aca="false" t="array" ref="J826:J826">ROUND(INDEX('0.0.1 Pokémon Dex Data'!$S$3:$S951,MATCH($E826,'0.0.1 Pokémon Dex Data'!$B$3:$B951,0))*INDEX('0.0.1 Pokémon Dex Data'!T$3:T951,MATCH($E826,'0.0.1 Pokémon Dex Data'!$B$3:$B951,0)),0)</f>
        <v>179</v>
      </c>
      <c r="K826" s="260" t="n">
        <f aca="false" t="array" ref="K826:K826">ROUND(INDEX('0.0.1 Pokémon Dex Data'!$S$3:$S951,MATCH($E826,'0.0.1 Pokémon Dex Data'!$B$3:$B951,0))*INDEX('0.0.1 Pokémon Dex Data'!U$3:U951,MATCH($E826,'0.0.1 Pokémon Dex Data'!$B$3:$B951,0)),0)</f>
        <v>206</v>
      </c>
      <c r="L826" s="260" t="n">
        <f aca="false" t="array" ref="L826:L826">ROUND(INDEX('0.0.1 Pokémon Dex Data'!$S$3:$S951,MATCH($E826,'0.0.1 Pokémon Dex Data'!$B$3:$B951,0))*INDEX('0.0.1 Pokémon Dex Data'!V$3:V951,MATCH($E826,'0.0.1 Pokémon Dex Data'!$B$3:$B951,0)),0)</f>
        <v>181</v>
      </c>
      <c r="M826" s="260" t="n">
        <f aca="false" t="array" ref="M826:M826">INDEX('0.0.1 Pokémon Dex Data'!$J$3:$J951,MATCH(E826,'0.0.1 Pokémon Dex Data'!$B$3:$B951,0))</f>
        <v>1</v>
      </c>
      <c r="O826" s="490"/>
      <c r="Q826" s="367" t="n">
        <f aca="false">IF('Reverse Search'!$F$4="All (including temporary formes)",1,IF('Reverse Search'!$F$4="Base Pokémon and permanent formes only",IF(F826&lt;=1,1,0),IF(F826=0,1,0)))</f>
        <v>0</v>
      </c>
      <c r="R826" s="0" t="n">
        <f aca="false">IF('Reverse Search'!$C$7="Disable",1,IF('Reverse Search'!$D$9="Disable",1,IF(OR('Reverse Search'!$F$9=H826,'Reverse Search'!$F$9=I826),1,0)))</f>
        <v>1</v>
      </c>
      <c r="S826" s="0" t="n">
        <f aca="false">IF('Reverse Search'!$C$7="Disable",1,IF('Reverse Search'!$D$10="Disable",1,IF(OR('Reverse Search'!$F$10=H826,'Reverse Search'!$F$10=I826),1,0)))</f>
        <v>1</v>
      </c>
      <c r="T826" s="0" t="n">
        <f aca="false">INDEX($B$4:$B$22,MATCH(H826,$A$4:$A$22,0))</f>
        <v>1</v>
      </c>
      <c r="U826" s="0" t="n">
        <f aca="false">IF(ISBLANK(I826),1,INDEX($B$4:$B$22,MATCH(I826,$A$4:$A$22,0)))</f>
        <v>0.51</v>
      </c>
      <c r="V826" s="367" t="n">
        <f aca="false">IF('Reverse Search'!$C$7="Disable",1,IF('Reverse Search'!$D$11="Disable",1,IF('Reverse Search'!$E$11="Neutral to:",IF(ROUND(T826*U826,2)&lt;=1,1,0),IF(ROUND(T826*U826,2)&lt;1,1,0))))</f>
        <v>1</v>
      </c>
      <c r="W826" s="0" t="n">
        <f aca="false">IF('Reverse Search'!$N$7="Disable",1,IF('Reverse Search'!$I$9="Disable",1,IF('Reverse Search'!$K$9="≥",IF(J826&gt;='Reverse Search'!$L$9,1,0),IF('Reverse Search'!$K$9="≤",IF(J826&lt;='Reverse Search'!$L$9,1,0),IF(J826='Reverse Search'!$L$9,1,0)))))</f>
        <v>1</v>
      </c>
      <c r="X826" s="0" t="n">
        <f aca="false">IF('Reverse Search'!$N$7="Disable",1,IF('Reverse Search'!$I$10="Disable",1,IF('Reverse Search'!$K$10="≥",IF(K826&gt;='Reverse Search'!$L$10,1,0),IF('Reverse Search'!$K$10="≤",IF(K826&lt;='Reverse Search'!$L$10,1,0),IF(K826='Reverse Search'!$L$10,1,0)))))</f>
        <v>1</v>
      </c>
      <c r="Y826" s="367" t="n">
        <f aca="false">IF('Reverse Search'!$N$7="Disable",1,IF('Reverse Search'!$I$11="Disable",1,IF('Reverse Search'!$K$11="≥",IF(L826&gt;='Reverse Search'!$L$11,1,0),IF('Reverse Search'!$K$11="≤",IF(L826&lt;='Reverse Search'!$L$11,1,0),IF(L826='Reverse Search'!$L$11,1,0)))))</f>
        <v>1</v>
      </c>
      <c r="Z826" s="0" t="n">
        <f aca="true">IF('Reverse Search'!$C$14="Disable",1,IF('Reverse Search'!$D$16="Disable",1,IF($C$2=3,IF($M826=0,0,COUNTIF(INDIRECT("'0.0.2 Pokémon Learnset (Core)'!$D$"&amp;MATCH($E826,'0.0.2 Pokémon Learnset (Core)'!$A$1:$A951,0)&amp;":$FK$"&amp;MATCH($E826,'0.0.2 Pokémon Learnset (Core)'!$A$1:$A951,0)),'Reverse Search'!$E$21)),IF($C$2=2,COUNTIF(INDIRECT("'0.1.1 Pokémon GO Moves'!$B$"&amp;MATCH($E826,'0.1.1 Pokémon GO Moves'!$A$1:$A951,0)&amp;":$R$"&amp;MATCH($E826,'0.1.1 Pokémon GO Moves'!$A$1:$A951,0)),'Reverse Search'!$E$21),COUNTIF(INDIRECT("'0.1.1 Pokémon GO Moves'!$B$"&amp;MATCH($E826,'0.1.1 Pokémon GO Moves'!$A$1:$A951,0)&amp;":$L$"&amp;MATCH($E826,'0.1.1 Pokémon GO Moves'!$A$1:$A951,0)),'Reverse Search'!$E$21)))))</f>
        <v>1</v>
      </c>
      <c r="AA826" s="0" t="e">
        <f aca="true">IF('Reverse Search'!$C$14="Disable",1,IF('Reverse Search'!$I$16="Disable",1,IF($D$2=3,IF($M826=0,0,COUNTIF(INDIRECT("'0.0.2 Pokémon Learnset (Core)'!$D$"&amp;MATCH($E826,'0.0.2 Pokémon Learnset (Core)'!$A$1:$A951,0)&amp;":$FK$"&amp;MATCH($E826,'0.0.2 Pokémon Learnset (Core)'!$A$1:$A951,0)),'Reverse Search'!$J$21)),IF($D$2=2,COUNTIF(INDIRECT("'0.1.1 Pokémon GO Moves'!$B$"&amp;MATCH($E826,'0.1.1 Pokémon GO Moves'!$A$1:$A951,0)&amp;":$R$"&amp;MATCH($E826,'0.1.1 Pokémon GO Moves'!$A$1:$A951,0)),'Reverse Search'!$J$21),COUNTIF(INDIRECT("'0.1.1 Pokémon GO Moves'!$B$"&amp;MATCH($E826,'0.1.1 Pokémon GO Moves'!$A$1:$A951,0)&amp;":$L$"&amp;MATCH($E826,'0.1.1 Pokémon GO Moves'!$A$1:$A951,0)),'Reverse Search'!$J$21)))))</f>
        <v>#N/A</v>
      </c>
      <c r="AB826" s="490"/>
      <c r="AC826" s="260" t="e">
        <f aca="false">IF((Q826+R826+S826+V826+W826+X826+Y826+IF(Z826&gt;=1,1,0)+IF(AA826&gt;=1,1,0))=9,G826&amp;", ",)</f>
        <v>#N/A</v>
      </c>
    </row>
    <row r="827" customFormat="false" ht="15.75" hidden="false" customHeight="false" outlineLevel="0" collapsed="false">
      <c r="A827" s="260"/>
      <c r="B827" s="358"/>
      <c r="C827" s="260"/>
      <c r="D827" s="358"/>
      <c r="E827" s="260" t="n">
        <v>826</v>
      </c>
      <c r="F827" s="260" t="n">
        <f aca="false" t="array" ref="F827:F827">INDEX('0.0.1 Pokémon Dex Data'!$H$3:$H951,MATCH(E827,'0.0.1 Pokémon Dex Data'!$B$3:$B951,0))</f>
        <v>1</v>
      </c>
      <c r="G827" s="0" t="str">
        <f aca="false" t="array" ref="G827:G827">INDEX('0.0.1 Pokémon Dex Data'!$E$3:$E951,MATCH(E827,'0.0.1 Pokémon Dex Data'!$B$3:$B951,0))</f>
        <v>Gourgeist-Super</v>
      </c>
      <c r="H827" s="0" t="str">
        <f aca="false" t="array" ref="H827:H827">INDEX('0.0.1 Pokémon Dex Data'!$Q$3:$Q951,MATCH(E827,'0.0.1 Pokémon Dex Data'!$B$3:$B951,0))</f>
        <v>Grass</v>
      </c>
      <c r="I827" s="0" t="str">
        <f aca="false" t="array" ref="I827:I827">INDEX('0.0.1 Pokémon Dex Data'!$R$3:$R951,MATCH(E827,'0.0.1 Pokémon Dex Data'!$B$3:$B951,0))</f>
        <v>Ghost</v>
      </c>
      <c r="J827" s="260" t="n">
        <f aca="false" t="array" ref="J827:J827">ROUND(INDEX('0.0.1 Pokémon Dex Data'!$S$3:$S951,MATCH($E827,'0.0.1 Pokémon Dex Data'!$B$3:$B951,0))*INDEX('0.0.1 Pokémon Dex Data'!T$3:T951,MATCH($E827,'0.0.1 Pokémon Dex Data'!$B$3:$B951,0)),0)</f>
        <v>182</v>
      </c>
      <c r="K827" s="260" t="n">
        <f aca="false" t="array" ref="K827:K827">ROUND(INDEX('0.0.1 Pokémon Dex Data'!$S$3:$S951,MATCH($E827,'0.0.1 Pokémon Dex Data'!$B$3:$B951,0))*INDEX('0.0.1 Pokémon Dex Data'!U$3:U951,MATCH($E827,'0.0.1 Pokémon Dex Data'!$B$3:$B951,0)),0)</f>
        <v>200</v>
      </c>
      <c r="L827" s="260" t="n">
        <f aca="false" t="array" ref="L827:L827">ROUND(INDEX('0.0.1 Pokémon Dex Data'!$S$3:$S951,MATCH($E827,'0.0.1 Pokémon Dex Data'!$B$3:$B951,0))*INDEX('0.0.1 Pokémon Dex Data'!V$3:V951,MATCH($E827,'0.0.1 Pokémon Dex Data'!$B$3:$B951,0)),0)</f>
        <v>198</v>
      </c>
      <c r="M827" s="260" t="n">
        <f aca="false" t="array" ref="M827:M827">INDEX('0.0.1 Pokémon Dex Data'!$J$3:$J951,MATCH(E827,'0.0.1 Pokémon Dex Data'!$B$3:$B951,0))</f>
        <v>1</v>
      </c>
      <c r="O827" s="490"/>
      <c r="Q827" s="367" t="n">
        <f aca="false">IF('Reverse Search'!$F$4="All (including temporary formes)",1,IF('Reverse Search'!$F$4="Base Pokémon and permanent formes only",IF(F827&lt;=1,1,0),IF(F827=0,1,0)))</f>
        <v>0</v>
      </c>
      <c r="R827" s="0" t="n">
        <f aca="false">IF('Reverse Search'!$C$7="Disable",1,IF('Reverse Search'!$D$9="Disable",1,IF(OR('Reverse Search'!$F$9=H827,'Reverse Search'!$F$9=I827),1,0)))</f>
        <v>1</v>
      </c>
      <c r="S827" s="0" t="n">
        <f aca="false">IF('Reverse Search'!$C$7="Disable",1,IF('Reverse Search'!$D$10="Disable",1,IF(OR('Reverse Search'!$F$10=H827,'Reverse Search'!$F$10=I827),1,0)))</f>
        <v>1</v>
      </c>
      <c r="T827" s="0" t="n">
        <f aca="false">INDEX($B$4:$B$22,MATCH(H827,$A$4:$A$22,0))</f>
        <v>1</v>
      </c>
      <c r="U827" s="0" t="n">
        <f aca="false">IF(ISBLANK(I827),1,INDEX($B$4:$B$22,MATCH(I827,$A$4:$A$22,0)))</f>
        <v>0.51</v>
      </c>
      <c r="V827" s="367" t="n">
        <f aca="false">IF('Reverse Search'!$C$7="Disable",1,IF('Reverse Search'!$D$11="Disable",1,IF('Reverse Search'!$E$11="Neutral to:",IF(ROUND(T827*U827,2)&lt;=1,1,0),IF(ROUND(T827*U827,2)&lt;1,1,0))))</f>
        <v>1</v>
      </c>
      <c r="W827" s="0" t="n">
        <f aca="false">IF('Reverse Search'!$N$7="Disable",1,IF('Reverse Search'!$I$9="Disable",1,IF('Reverse Search'!$K$9="≥",IF(J827&gt;='Reverse Search'!$L$9,1,0),IF('Reverse Search'!$K$9="≤",IF(J827&lt;='Reverse Search'!$L$9,1,0),IF(J827='Reverse Search'!$L$9,1,0)))))</f>
        <v>1</v>
      </c>
      <c r="X827" s="0" t="n">
        <f aca="false">IF('Reverse Search'!$N$7="Disable",1,IF('Reverse Search'!$I$10="Disable",1,IF('Reverse Search'!$K$10="≥",IF(K827&gt;='Reverse Search'!$L$10,1,0),IF('Reverse Search'!$K$10="≤",IF(K827&lt;='Reverse Search'!$L$10,1,0),IF(K827='Reverse Search'!$L$10,1,0)))))</f>
        <v>1</v>
      </c>
      <c r="Y827" s="367" t="n">
        <f aca="false">IF('Reverse Search'!$N$7="Disable",1,IF('Reverse Search'!$I$11="Disable",1,IF('Reverse Search'!$K$11="≥",IF(L827&gt;='Reverse Search'!$L$11,1,0),IF('Reverse Search'!$K$11="≤",IF(L827&lt;='Reverse Search'!$L$11,1,0),IF(L827='Reverse Search'!$L$11,1,0)))))</f>
        <v>1</v>
      </c>
      <c r="Z827" s="0" t="n">
        <f aca="true">IF('Reverse Search'!$C$14="Disable",1,IF('Reverse Search'!$D$16="Disable",1,IF($C$2=3,IF($M827=0,0,COUNTIF(INDIRECT("'0.0.2 Pokémon Learnset (Core)'!$D$"&amp;MATCH($E827,'0.0.2 Pokémon Learnset (Core)'!$A$1:$A951,0)&amp;":$FK$"&amp;MATCH($E827,'0.0.2 Pokémon Learnset (Core)'!$A$1:$A951,0)),'Reverse Search'!$E$21)),IF($C$2=2,COUNTIF(INDIRECT("'0.1.1 Pokémon GO Moves'!$B$"&amp;MATCH($E827,'0.1.1 Pokémon GO Moves'!$A$1:$A951,0)&amp;":$R$"&amp;MATCH($E827,'0.1.1 Pokémon GO Moves'!$A$1:$A951,0)),'Reverse Search'!$E$21),COUNTIF(INDIRECT("'0.1.1 Pokémon GO Moves'!$B$"&amp;MATCH($E827,'0.1.1 Pokémon GO Moves'!$A$1:$A951,0)&amp;":$L$"&amp;MATCH($E827,'0.1.1 Pokémon GO Moves'!$A$1:$A951,0)),'Reverse Search'!$E$21)))))</f>
        <v>1</v>
      </c>
      <c r="AA827" s="0" t="e">
        <f aca="true">IF('Reverse Search'!$C$14="Disable",1,IF('Reverse Search'!$I$16="Disable",1,IF($D$2=3,IF($M827=0,0,COUNTIF(INDIRECT("'0.0.2 Pokémon Learnset (Core)'!$D$"&amp;MATCH($E827,'0.0.2 Pokémon Learnset (Core)'!$A$1:$A951,0)&amp;":$FK$"&amp;MATCH($E827,'0.0.2 Pokémon Learnset (Core)'!$A$1:$A951,0)),'Reverse Search'!$J$21)),IF($D$2=2,COUNTIF(INDIRECT("'0.1.1 Pokémon GO Moves'!$B$"&amp;MATCH($E827,'0.1.1 Pokémon GO Moves'!$A$1:$A951,0)&amp;":$R$"&amp;MATCH($E827,'0.1.1 Pokémon GO Moves'!$A$1:$A951,0)),'Reverse Search'!$J$21),COUNTIF(INDIRECT("'0.1.1 Pokémon GO Moves'!$B$"&amp;MATCH($E827,'0.1.1 Pokémon GO Moves'!$A$1:$A951,0)&amp;":$L$"&amp;MATCH($E827,'0.1.1 Pokémon GO Moves'!$A$1:$A951,0)),'Reverse Search'!$J$21)))))</f>
        <v>#N/A</v>
      </c>
      <c r="AB827" s="490"/>
      <c r="AC827" s="260" t="e">
        <f aca="false">IF((Q827+R827+S827+V827+W827+X827+Y827+IF(Z827&gt;=1,1,0)+IF(AA827&gt;=1,1,0))=9,G827&amp;", ",)</f>
        <v>#N/A</v>
      </c>
    </row>
    <row r="828" customFormat="false" ht="15.75" hidden="false" customHeight="false" outlineLevel="0" collapsed="false">
      <c r="A828" s="260"/>
      <c r="B828" s="358"/>
      <c r="C828" s="260"/>
      <c r="D828" s="358"/>
      <c r="E828" s="260" t="n">
        <v>827</v>
      </c>
      <c r="F828" s="260" t="n">
        <f aca="false" t="array" ref="F828:F828">INDEX('0.0.1 Pokémon Dex Data'!$H$3:$H951,MATCH(E828,'0.0.1 Pokémon Dex Data'!$B$3:$B951,0))</f>
        <v>0</v>
      </c>
      <c r="G828" s="0" t="str">
        <f aca="false" t="array" ref="G828:G828">INDEX('0.0.1 Pokémon Dex Data'!$E$3:$E951,MATCH(E828,'0.0.1 Pokémon Dex Data'!$B$3:$B951,0))</f>
        <v>Bergmite</v>
      </c>
      <c r="H828" s="0" t="str">
        <f aca="false" t="array" ref="H828:H828">INDEX('0.0.1 Pokémon Dex Data'!$Q$3:$Q951,MATCH(E828,'0.0.1 Pokémon Dex Data'!$B$3:$B951,0))</f>
        <v>Ice</v>
      </c>
      <c r="I828" s="0" t="n">
        <f aca="false">INDEX('0.0.1 Pokémon Dex Data'!$R$3:$R951,MATCH(E828,'0.0.1 Pokémon Dex Data'!$B$3:$B951,0))</f>
        <v>0</v>
      </c>
      <c r="J828" s="260" t="n">
        <f aca="false" t="array" ref="J828:J828">ROUND(INDEX('0.0.1 Pokémon Dex Data'!$S$3:$S951,MATCH($E828,'0.0.1 Pokémon Dex Data'!$B$3:$B951,0))*INDEX('0.0.1 Pokémon Dex Data'!T$3:T951,MATCH($E828,'0.0.1 Pokémon Dex Data'!$B$3:$B951,0)),0)</f>
        <v>117</v>
      </c>
      <c r="K828" s="260" t="n">
        <f aca="false" t="array" ref="K828:K828">ROUND(INDEX('0.0.1 Pokémon Dex Data'!$S$3:$S951,MATCH($E828,'0.0.1 Pokémon Dex Data'!$B$3:$B951,0))*INDEX('0.0.1 Pokémon Dex Data'!U$3:U951,MATCH($E828,'0.0.1 Pokémon Dex Data'!$B$3:$B951,0)),0)</f>
        <v>122</v>
      </c>
      <c r="L828" s="260" t="n">
        <f aca="false" t="array" ref="L828:L828">ROUND(INDEX('0.0.1 Pokémon Dex Data'!$S$3:$S951,MATCH($E828,'0.0.1 Pokémon Dex Data'!$B$3:$B951,0))*INDEX('0.0.1 Pokémon Dex Data'!V$3:V951,MATCH($E828,'0.0.1 Pokémon Dex Data'!$B$3:$B951,0)),0)</f>
        <v>148</v>
      </c>
      <c r="M828" s="260" t="n">
        <f aca="false" t="array" ref="M828:M828">INDEX('0.0.1 Pokémon Dex Data'!$J$3:$J951,MATCH(E828,'0.0.1 Pokémon Dex Data'!$B$3:$B951,0))</f>
        <v>0</v>
      </c>
      <c r="O828" s="490"/>
      <c r="Q828" s="367" t="n">
        <f aca="false">IF('Reverse Search'!$F$4="All (including temporary formes)",1,IF('Reverse Search'!$F$4="Base Pokémon and permanent formes only",IF(F828&lt;=1,1,0),IF(F828=0,1,0)))</f>
        <v>1</v>
      </c>
      <c r="R828" s="0" t="n">
        <f aca="false">IF('Reverse Search'!$C$7="Disable",1,IF('Reverse Search'!$D$9="Disable",1,IF(OR('Reverse Search'!$F$9=H828,'Reverse Search'!$F$9=I828),1,0)))</f>
        <v>1</v>
      </c>
      <c r="S828" s="0" t="n">
        <f aca="false">IF('Reverse Search'!$C$7="Disable",1,IF('Reverse Search'!$D$10="Disable",1,IF(OR('Reverse Search'!$F$10=H828,'Reverse Search'!$F$10=I828),1,0)))</f>
        <v>1</v>
      </c>
      <c r="T828" s="0" t="n">
        <f aca="false">INDEX($B$4:$B$22,MATCH(H828,$A$4:$A$22,0))</f>
        <v>1</v>
      </c>
      <c r="U828" s="0" t="e">
        <f aca="false">IF(ISBLANK(I828),1,INDEX($B$4:$B$22,MATCH(I828,$A$4:$A$22,0)))</f>
        <v>#N/A</v>
      </c>
      <c r="V828" s="367" t="n">
        <f aca="false">IF('Reverse Search'!$C$7="Disable",1,IF('Reverse Search'!$D$11="Disable",1,IF('Reverse Search'!$E$11="Neutral to:",IF(ROUND(T828*U828,2)&lt;=1,1,0),IF(ROUND(T828*U828,2)&lt;1,1,0))))</f>
        <v>1</v>
      </c>
      <c r="W828" s="0" t="n">
        <f aca="false">IF('Reverse Search'!$N$7="Disable",1,IF('Reverse Search'!$I$9="Disable",1,IF('Reverse Search'!$K$9="≥",IF(J828&gt;='Reverse Search'!$L$9,1,0),IF('Reverse Search'!$K$9="≤",IF(J828&lt;='Reverse Search'!$L$9,1,0),IF(J828='Reverse Search'!$L$9,1,0)))))</f>
        <v>1</v>
      </c>
      <c r="X828" s="0" t="n">
        <f aca="false">IF('Reverse Search'!$N$7="Disable",1,IF('Reverse Search'!$I$10="Disable",1,IF('Reverse Search'!$K$10="≥",IF(K828&gt;='Reverse Search'!$L$10,1,0),IF('Reverse Search'!$K$10="≤",IF(K828&lt;='Reverse Search'!$L$10,1,0),IF(K828='Reverse Search'!$L$10,1,0)))))</f>
        <v>1</v>
      </c>
      <c r="Y828" s="367" t="n">
        <f aca="false">IF('Reverse Search'!$N$7="Disable",1,IF('Reverse Search'!$I$11="Disable",1,IF('Reverse Search'!$K$11="≥",IF(L828&gt;='Reverse Search'!$L$11,1,0),IF('Reverse Search'!$K$11="≤",IF(L828&lt;='Reverse Search'!$L$11,1,0),IF(L828='Reverse Search'!$L$11,1,0)))))</f>
        <v>1</v>
      </c>
      <c r="Z828" s="0" t="n">
        <f aca="true">IF('Reverse Search'!$C$14="Disable",1,IF('Reverse Search'!$D$16="Disable",1,IF($C$2=3,IF($M828=0,0,COUNTIF(INDIRECT("'0.0.2 Pokémon Learnset (Core)'!$D$"&amp;MATCH($E828,'0.0.2 Pokémon Learnset (Core)'!$A$1:$A951,0)&amp;":$FK$"&amp;MATCH($E828,'0.0.2 Pokémon Learnset (Core)'!$A$1:$A951,0)),'Reverse Search'!$E$21)),IF($C$2=2,COUNTIF(INDIRECT("'0.1.1 Pokémon GO Moves'!$B$"&amp;MATCH($E828,'0.1.1 Pokémon GO Moves'!$A$1:$A951,0)&amp;":$R$"&amp;MATCH($E828,'0.1.1 Pokémon GO Moves'!$A$1:$A951,0)),'Reverse Search'!$E$21),COUNTIF(INDIRECT("'0.1.1 Pokémon GO Moves'!$B$"&amp;MATCH($E828,'0.1.1 Pokémon GO Moves'!$A$1:$A951,0)&amp;":$L$"&amp;MATCH($E828,'0.1.1 Pokémon GO Moves'!$A$1:$A951,0)),'Reverse Search'!$E$21)))))</f>
        <v>1</v>
      </c>
      <c r="AA828" s="0" t="n">
        <f aca="true">IF('Reverse Search'!$C$14="Disable",1,IF('Reverse Search'!$I$16="Disable",1,IF($D$2=3,IF($M828=0,0,COUNTIF(INDIRECT("'0.0.2 Pokémon Learnset (Core)'!$D$"&amp;MATCH($E828,'0.0.2 Pokémon Learnset (Core)'!$A$1:$A951,0)&amp;":$FK$"&amp;MATCH($E828,'0.0.2 Pokémon Learnset (Core)'!$A$1:$A951,0)),'Reverse Search'!$J$21)),IF($D$2=2,COUNTIF(INDIRECT("'0.1.1 Pokémon GO Moves'!$B$"&amp;MATCH($E828,'0.1.1 Pokémon GO Moves'!$A$1:$A951,0)&amp;":$R$"&amp;MATCH($E828,'0.1.1 Pokémon GO Moves'!$A$1:$A951,0)),'Reverse Search'!$J$21),COUNTIF(INDIRECT("'0.1.1 Pokémon GO Moves'!$B$"&amp;MATCH($E828,'0.1.1 Pokémon GO Moves'!$A$1:$A951,0)&amp;":$L$"&amp;MATCH($E828,'0.1.1 Pokémon GO Moves'!$A$1:$A951,0)),'Reverse Search'!$J$21)))))</f>
        <v>0</v>
      </c>
      <c r="AB828" s="490"/>
      <c r="AC828" s="260" t="n">
        <f aca="false">IF((Q828+R828+S828+V828+W828+X828+Y828+IF(Z828&gt;=1,1,0)+IF(AA828&gt;=1,1,0))=9,G828&amp;", ",)</f>
        <v>0</v>
      </c>
    </row>
    <row r="829" customFormat="false" ht="15.75" hidden="false" customHeight="false" outlineLevel="0" collapsed="false">
      <c r="A829" s="260"/>
      <c r="B829" s="358"/>
      <c r="C829" s="260"/>
      <c r="D829" s="358"/>
      <c r="E829" s="260" t="n">
        <v>828</v>
      </c>
      <c r="F829" s="260" t="n">
        <f aca="false" t="array" ref="F829:F829">INDEX('0.0.1 Pokémon Dex Data'!$H$3:$H951,MATCH(E829,'0.0.1 Pokémon Dex Data'!$B$3:$B951,0))</f>
        <v>0</v>
      </c>
      <c r="G829" s="0" t="str">
        <f aca="false" t="array" ref="G829:G829">INDEX('0.0.1 Pokémon Dex Data'!$E$3:$E951,MATCH(E829,'0.0.1 Pokémon Dex Data'!$B$3:$B951,0))</f>
        <v>Avalugg</v>
      </c>
      <c r="H829" s="0" t="str">
        <f aca="false" t="array" ref="H829:H829">INDEX('0.0.1 Pokémon Dex Data'!$Q$3:$Q951,MATCH(E829,'0.0.1 Pokémon Dex Data'!$B$3:$B951,0))</f>
        <v>Ice</v>
      </c>
      <c r="I829" s="0" t="n">
        <f aca="false">INDEX('0.0.1 Pokémon Dex Data'!$R$3:$R951,MATCH(E829,'0.0.1 Pokémon Dex Data'!$B$3:$B951,0))</f>
        <v>0</v>
      </c>
      <c r="J829" s="260" t="n">
        <f aca="false" t="array" ref="J829:J829">ROUND(INDEX('0.0.1 Pokémon Dex Data'!$S$3:$S951,MATCH($E829,'0.0.1 Pokémon Dex Data'!$B$3:$B951,0))*INDEX('0.0.1 Pokémon Dex Data'!T$3:T951,MATCH($E829,'0.0.1 Pokémon Dex Data'!$B$3:$B951,0)),0)</f>
        <v>196</v>
      </c>
      <c r="K829" s="260" t="n">
        <f aca="false" t="array" ref="K829:K829">ROUND(INDEX('0.0.1 Pokémon Dex Data'!$S$3:$S951,MATCH($E829,'0.0.1 Pokémon Dex Data'!$B$3:$B951,0))*INDEX('0.0.1 Pokémon Dex Data'!U$3:U951,MATCH($E829,'0.0.1 Pokémon Dex Data'!$B$3:$B951,0)),0)</f>
        <v>240</v>
      </c>
      <c r="L829" s="260" t="n">
        <f aca="false" t="array" ref="L829:L829">ROUND(INDEX('0.0.1 Pokémon Dex Data'!$S$3:$S951,MATCH($E829,'0.0.1 Pokémon Dex Data'!$B$3:$B951,0))*INDEX('0.0.1 Pokémon Dex Data'!V$3:V951,MATCH($E829,'0.0.1 Pokémon Dex Data'!$B$3:$B951,0)),0)</f>
        <v>216</v>
      </c>
      <c r="M829" s="260" t="n">
        <f aca="false" t="array" ref="M829:M829">INDEX('0.0.1 Pokémon Dex Data'!$J$3:$J951,MATCH(E829,'0.0.1 Pokémon Dex Data'!$B$3:$B951,0))</f>
        <v>1</v>
      </c>
      <c r="O829" s="490"/>
      <c r="Q829" s="367" t="n">
        <f aca="false">IF('Reverse Search'!$F$4="All (including temporary formes)",1,IF('Reverse Search'!$F$4="Base Pokémon and permanent formes only",IF(F829&lt;=1,1,0),IF(F829=0,1,0)))</f>
        <v>1</v>
      </c>
      <c r="R829" s="0" t="n">
        <f aca="false">IF('Reverse Search'!$C$7="Disable",1,IF('Reverse Search'!$D$9="Disable",1,IF(OR('Reverse Search'!$F$9=H829,'Reverse Search'!$F$9=I829),1,0)))</f>
        <v>1</v>
      </c>
      <c r="S829" s="0" t="n">
        <f aca="false">IF('Reverse Search'!$C$7="Disable",1,IF('Reverse Search'!$D$10="Disable",1,IF(OR('Reverse Search'!$F$10=H829,'Reverse Search'!$F$10=I829),1,0)))</f>
        <v>1</v>
      </c>
      <c r="T829" s="0" t="n">
        <f aca="false">INDEX($B$4:$B$22,MATCH(H829,$A$4:$A$22,0))</f>
        <v>1</v>
      </c>
      <c r="U829" s="0" t="e">
        <f aca="false">IF(ISBLANK(I829),1,INDEX($B$4:$B$22,MATCH(I829,$A$4:$A$22,0)))</f>
        <v>#N/A</v>
      </c>
      <c r="V829" s="367" t="n">
        <f aca="false">IF('Reverse Search'!$C$7="Disable",1,IF('Reverse Search'!$D$11="Disable",1,IF('Reverse Search'!$E$11="Neutral to:",IF(ROUND(T829*U829,2)&lt;=1,1,0),IF(ROUND(T829*U829,2)&lt;1,1,0))))</f>
        <v>1</v>
      </c>
      <c r="W829" s="0" t="n">
        <f aca="false">IF('Reverse Search'!$N$7="Disable",1,IF('Reverse Search'!$I$9="Disable",1,IF('Reverse Search'!$K$9="≥",IF(J829&gt;='Reverse Search'!$L$9,1,0),IF('Reverse Search'!$K$9="≤",IF(J829&lt;='Reverse Search'!$L$9,1,0),IF(J829='Reverse Search'!$L$9,1,0)))))</f>
        <v>1</v>
      </c>
      <c r="X829" s="0" t="n">
        <f aca="false">IF('Reverse Search'!$N$7="Disable",1,IF('Reverse Search'!$I$10="Disable",1,IF('Reverse Search'!$K$10="≥",IF(K829&gt;='Reverse Search'!$L$10,1,0),IF('Reverse Search'!$K$10="≤",IF(K829&lt;='Reverse Search'!$L$10,1,0),IF(K829='Reverse Search'!$L$10,1,0)))))</f>
        <v>1</v>
      </c>
      <c r="Y829" s="367" t="n">
        <f aca="false">IF('Reverse Search'!$N$7="Disable",1,IF('Reverse Search'!$I$11="Disable",1,IF('Reverse Search'!$K$11="≥",IF(L829&gt;='Reverse Search'!$L$11,1,0),IF('Reverse Search'!$K$11="≤",IF(L829&lt;='Reverse Search'!$L$11,1,0),IF(L829='Reverse Search'!$L$11,1,0)))))</f>
        <v>1</v>
      </c>
      <c r="Z829" s="0" t="n">
        <f aca="true">IF('Reverse Search'!$C$14="Disable",1,IF('Reverse Search'!$D$16="Disable",1,IF($C$2=3,IF($M829=0,0,COUNTIF(INDIRECT("'0.0.2 Pokémon Learnset (Core)'!$D$"&amp;MATCH($E829,'0.0.2 Pokémon Learnset (Core)'!$A$1:$A951,0)&amp;":$FK$"&amp;MATCH($E829,'0.0.2 Pokémon Learnset (Core)'!$A$1:$A951,0)),'Reverse Search'!$E$21)),IF($C$2=2,COUNTIF(INDIRECT("'0.1.1 Pokémon GO Moves'!$B$"&amp;MATCH($E829,'0.1.1 Pokémon GO Moves'!$A$1:$A951,0)&amp;":$R$"&amp;MATCH($E829,'0.1.1 Pokémon GO Moves'!$A$1:$A951,0)),'Reverse Search'!$E$21),COUNTIF(INDIRECT("'0.1.1 Pokémon GO Moves'!$B$"&amp;MATCH($E829,'0.1.1 Pokémon GO Moves'!$A$1:$A951,0)&amp;":$L$"&amp;MATCH($E829,'0.1.1 Pokémon GO Moves'!$A$1:$A951,0)),'Reverse Search'!$E$21)))))</f>
        <v>1</v>
      </c>
      <c r="AA829" s="0" t="n">
        <f aca="true">IF('Reverse Search'!$C$14="Disable",1,IF('Reverse Search'!$I$16="Disable",1,IF($D$2=3,IF($M829=0,0,COUNTIF(INDIRECT("'0.0.2 Pokémon Learnset (Core)'!$D$"&amp;MATCH($E829,'0.0.2 Pokémon Learnset (Core)'!$A$1:$A951,0)&amp;":$FK$"&amp;MATCH($E829,'0.0.2 Pokémon Learnset (Core)'!$A$1:$A951,0)),'Reverse Search'!$J$21)),IF($D$2=2,COUNTIF(INDIRECT("'0.1.1 Pokémon GO Moves'!$B$"&amp;MATCH($E829,'0.1.1 Pokémon GO Moves'!$A$1:$A951,0)&amp;":$R$"&amp;MATCH($E829,'0.1.1 Pokémon GO Moves'!$A$1:$A951,0)),'Reverse Search'!$J$21),COUNTIF(INDIRECT("'0.1.1 Pokémon GO Moves'!$B$"&amp;MATCH($E829,'0.1.1 Pokémon GO Moves'!$A$1:$A951,0)&amp;":$L$"&amp;MATCH($E829,'0.1.1 Pokémon GO Moves'!$A$1:$A951,0)),'Reverse Search'!$J$21)))))</f>
        <v>0</v>
      </c>
      <c r="AB829" s="490"/>
      <c r="AC829" s="260" t="n">
        <f aca="false">IF((Q829+R829+S829+V829+W829+X829+Y829+IF(Z829&gt;=1,1,0)+IF(AA829&gt;=1,1,0))=9,G829&amp;", ",)</f>
        <v>0</v>
      </c>
    </row>
    <row r="830" customFormat="false" ht="15.75" hidden="false" customHeight="false" outlineLevel="0" collapsed="false">
      <c r="A830" s="260"/>
      <c r="B830" s="358"/>
      <c r="C830" s="260"/>
      <c r="D830" s="358"/>
      <c r="E830" s="260" t="n">
        <v>829</v>
      </c>
      <c r="F830" s="260" t="n">
        <f aca="false" t="array" ref="F830:F830">INDEX('0.0.1 Pokémon Dex Data'!$H$3:$H951,MATCH(E830,'0.0.1 Pokémon Dex Data'!$B$3:$B951,0))</f>
        <v>0</v>
      </c>
      <c r="G830" s="0" t="str">
        <f aca="false" t="array" ref="G830:G830">INDEX('0.0.1 Pokémon Dex Data'!$E$3:$E951,MATCH(E830,'0.0.1 Pokémon Dex Data'!$B$3:$B951,0))</f>
        <v>Noibat</v>
      </c>
      <c r="H830" s="0" t="str">
        <f aca="false" t="array" ref="H830:H830">INDEX('0.0.1 Pokémon Dex Data'!$Q$3:$Q951,MATCH(E830,'0.0.1 Pokémon Dex Data'!$B$3:$B951,0))</f>
        <v>Flying</v>
      </c>
      <c r="I830" s="0" t="str">
        <f aca="false" t="array" ref="I830:I830">INDEX('0.0.1 Pokémon Dex Data'!$R$3:$R951,MATCH(E830,'0.0.1 Pokémon Dex Data'!$B$3:$B951,0))</f>
        <v>Dragon</v>
      </c>
      <c r="J830" s="260" t="n">
        <f aca="false" t="array" ref="J830:J830">ROUND(INDEX('0.0.1 Pokémon Dex Data'!$S$3:$S951,MATCH($E830,'0.0.1 Pokémon Dex Data'!$B$3:$B951,0))*INDEX('0.0.1 Pokémon Dex Data'!T$3:T951,MATCH($E830,'0.0.1 Pokémon Dex Data'!$B$3:$B951,0)),0)</f>
        <v>83</v>
      </c>
      <c r="K830" s="260" t="n">
        <f aca="false" t="array" ref="K830:K830">ROUND(INDEX('0.0.1 Pokémon Dex Data'!$S$3:$S951,MATCH($E830,'0.0.1 Pokémon Dex Data'!$B$3:$B951,0))*INDEX('0.0.1 Pokémon Dex Data'!U$3:U951,MATCH($E830,'0.0.1 Pokémon Dex Data'!$B$3:$B951,0)),0)</f>
        <v>73</v>
      </c>
      <c r="L830" s="260" t="n">
        <f aca="false" t="array" ref="L830:L830">ROUND(INDEX('0.0.1 Pokémon Dex Data'!$S$3:$S951,MATCH($E830,'0.0.1 Pokémon Dex Data'!$B$3:$B951,0))*INDEX('0.0.1 Pokémon Dex Data'!V$3:V951,MATCH($E830,'0.0.1 Pokémon Dex Data'!$B$3:$B951,0)),0)</f>
        <v>120</v>
      </c>
      <c r="M830" s="260" t="n">
        <f aca="false" t="array" ref="M830:M830">INDEX('0.0.1 Pokémon Dex Data'!$J$3:$J951,MATCH(E830,'0.0.1 Pokémon Dex Data'!$B$3:$B951,0))</f>
        <v>0</v>
      </c>
      <c r="O830" s="490"/>
      <c r="Q830" s="367" t="n">
        <f aca="false">IF('Reverse Search'!$F$4="All (including temporary formes)",1,IF('Reverse Search'!$F$4="Base Pokémon and permanent formes only",IF(F830&lt;=1,1,0),IF(F830=0,1,0)))</f>
        <v>1</v>
      </c>
      <c r="R830" s="0" t="n">
        <f aca="false">IF('Reverse Search'!$C$7="Disable",1,IF('Reverse Search'!$D$9="Disable",1,IF(OR('Reverse Search'!$F$9=H830,'Reverse Search'!$F$9=I830),1,0)))</f>
        <v>1</v>
      </c>
      <c r="S830" s="0" t="n">
        <f aca="false">IF('Reverse Search'!$C$7="Disable",1,IF('Reverse Search'!$D$10="Disable",1,IF(OR('Reverse Search'!$F$10=H830,'Reverse Search'!$F$10=I830),1,0)))</f>
        <v>1</v>
      </c>
      <c r="T830" s="0" t="n">
        <f aca="false">INDEX($B$4:$B$22,MATCH(H830,$A$4:$A$22,0))</f>
        <v>1</v>
      </c>
      <c r="U830" s="0" t="n">
        <f aca="false">IF(ISBLANK(I830),1,INDEX($B$4:$B$22,MATCH(I830,$A$4:$A$22,0)))</f>
        <v>1</v>
      </c>
      <c r="V830" s="367" t="n">
        <f aca="false">IF('Reverse Search'!$C$7="Disable",1,IF('Reverse Search'!$D$11="Disable",1,IF('Reverse Search'!$E$11="Neutral to:",IF(ROUND(T830*U830,2)&lt;=1,1,0),IF(ROUND(T830*U830,2)&lt;1,1,0))))</f>
        <v>1</v>
      </c>
      <c r="W830" s="0" t="n">
        <f aca="false">IF('Reverse Search'!$N$7="Disable",1,IF('Reverse Search'!$I$9="Disable",1,IF('Reverse Search'!$K$9="≥",IF(J830&gt;='Reverse Search'!$L$9,1,0),IF('Reverse Search'!$K$9="≤",IF(J830&lt;='Reverse Search'!$L$9,1,0),IF(J830='Reverse Search'!$L$9,1,0)))))</f>
        <v>1</v>
      </c>
      <c r="X830" s="0" t="n">
        <f aca="false">IF('Reverse Search'!$N$7="Disable",1,IF('Reverse Search'!$I$10="Disable",1,IF('Reverse Search'!$K$10="≥",IF(K830&gt;='Reverse Search'!$L$10,1,0),IF('Reverse Search'!$K$10="≤",IF(K830&lt;='Reverse Search'!$L$10,1,0),IF(K830='Reverse Search'!$L$10,1,0)))))</f>
        <v>1</v>
      </c>
      <c r="Y830" s="367" t="n">
        <f aca="false">IF('Reverse Search'!$N$7="Disable",1,IF('Reverse Search'!$I$11="Disable",1,IF('Reverse Search'!$K$11="≥",IF(L830&gt;='Reverse Search'!$L$11,1,0),IF('Reverse Search'!$K$11="≤",IF(L830&lt;='Reverse Search'!$L$11,1,0),IF(L830='Reverse Search'!$L$11,1,0)))))</f>
        <v>1</v>
      </c>
      <c r="Z830" s="0" t="n">
        <f aca="true">IF('Reverse Search'!$C$14="Disable",1,IF('Reverse Search'!$D$16="Disable",1,IF($C$2=3,IF($M830=0,0,COUNTIF(INDIRECT("'0.0.2 Pokémon Learnset (Core)'!$D$"&amp;MATCH($E830,'0.0.2 Pokémon Learnset (Core)'!$A$1:$A951,0)&amp;":$FK$"&amp;MATCH($E830,'0.0.2 Pokémon Learnset (Core)'!$A$1:$A951,0)),'Reverse Search'!$E$21)),IF($C$2=2,COUNTIF(INDIRECT("'0.1.1 Pokémon GO Moves'!$B$"&amp;MATCH($E830,'0.1.1 Pokémon GO Moves'!$A$1:$A951,0)&amp;":$R$"&amp;MATCH($E830,'0.1.1 Pokémon GO Moves'!$A$1:$A951,0)),'Reverse Search'!$E$21),COUNTIF(INDIRECT("'0.1.1 Pokémon GO Moves'!$B$"&amp;MATCH($E830,'0.1.1 Pokémon GO Moves'!$A$1:$A951,0)&amp;":$L$"&amp;MATCH($E830,'0.1.1 Pokémon GO Moves'!$A$1:$A951,0)),'Reverse Search'!$E$21)))))</f>
        <v>1</v>
      </c>
      <c r="AA830" s="0" t="n">
        <f aca="true">IF('Reverse Search'!$C$14="Disable",1,IF('Reverse Search'!$I$16="Disable",1,IF($D$2=3,IF($M830=0,0,COUNTIF(INDIRECT("'0.0.2 Pokémon Learnset (Core)'!$D$"&amp;MATCH($E830,'0.0.2 Pokémon Learnset (Core)'!$A$1:$A951,0)&amp;":$FK$"&amp;MATCH($E830,'0.0.2 Pokémon Learnset (Core)'!$A$1:$A951,0)),'Reverse Search'!$J$21)),IF($D$2=2,COUNTIF(INDIRECT("'0.1.1 Pokémon GO Moves'!$B$"&amp;MATCH($E830,'0.1.1 Pokémon GO Moves'!$A$1:$A951,0)&amp;":$R$"&amp;MATCH($E830,'0.1.1 Pokémon GO Moves'!$A$1:$A951,0)),'Reverse Search'!$J$21),COUNTIF(INDIRECT("'0.1.1 Pokémon GO Moves'!$B$"&amp;MATCH($E830,'0.1.1 Pokémon GO Moves'!$A$1:$A951,0)&amp;":$L$"&amp;MATCH($E830,'0.1.1 Pokémon GO Moves'!$A$1:$A951,0)),'Reverse Search'!$J$21)))))</f>
        <v>0</v>
      </c>
      <c r="AB830" s="490"/>
      <c r="AC830" s="260" t="n">
        <f aca="false">IF((Q830+R830+S830+V830+W830+X830+Y830+IF(Z830&gt;=1,1,0)+IF(AA830&gt;=1,1,0))=9,G830&amp;", ",)</f>
        <v>0</v>
      </c>
    </row>
    <row r="831" customFormat="false" ht="15.75" hidden="false" customHeight="false" outlineLevel="0" collapsed="false">
      <c r="A831" s="260"/>
      <c r="B831" s="358"/>
      <c r="C831" s="260"/>
      <c r="D831" s="358"/>
      <c r="E831" s="260" t="n">
        <v>830</v>
      </c>
      <c r="F831" s="260" t="n">
        <f aca="false" t="array" ref="F831:F831">INDEX('0.0.1 Pokémon Dex Data'!$H$3:$H951,MATCH(E831,'0.0.1 Pokémon Dex Data'!$B$3:$B951,0))</f>
        <v>0</v>
      </c>
      <c r="G831" s="0" t="str">
        <f aca="false" t="array" ref="G831:G831">INDEX('0.0.1 Pokémon Dex Data'!$E$3:$E951,MATCH(E831,'0.0.1 Pokémon Dex Data'!$B$3:$B951,0))</f>
        <v>Noivern</v>
      </c>
      <c r="H831" s="0" t="str">
        <f aca="false" t="array" ref="H831:H831">INDEX('0.0.1 Pokémon Dex Data'!$Q$3:$Q951,MATCH(E831,'0.0.1 Pokémon Dex Data'!$B$3:$B951,0))</f>
        <v>Flying</v>
      </c>
      <c r="I831" s="0" t="str">
        <f aca="false" t="array" ref="I831:I831">INDEX('0.0.1 Pokémon Dex Data'!$R$3:$R951,MATCH(E831,'0.0.1 Pokémon Dex Data'!$B$3:$B951,0))</f>
        <v>Dragon</v>
      </c>
      <c r="J831" s="260" t="n">
        <f aca="false" t="array" ref="J831:J831">ROUND(INDEX('0.0.1 Pokémon Dex Data'!$S$3:$S951,MATCH($E831,'0.0.1 Pokémon Dex Data'!$B$3:$B951,0))*INDEX('0.0.1 Pokémon Dex Data'!T$3:T951,MATCH($E831,'0.0.1 Pokémon Dex Data'!$B$3:$B951,0)),0)</f>
        <v>205</v>
      </c>
      <c r="K831" s="260" t="n">
        <f aca="false" t="array" ref="K831:K831">ROUND(INDEX('0.0.1 Pokémon Dex Data'!$S$3:$S951,MATCH($E831,'0.0.1 Pokémon Dex Data'!$B$3:$B951,0))*INDEX('0.0.1 Pokémon Dex Data'!U$3:U951,MATCH($E831,'0.0.1 Pokémon Dex Data'!$B$3:$B951,0)),0)</f>
        <v>175</v>
      </c>
      <c r="L831" s="260" t="n">
        <f aca="false" t="array" ref="L831:L831">ROUND(INDEX('0.0.1 Pokémon Dex Data'!$S$3:$S951,MATCH($E831,'0.0.1 Pokémon Dex Data'!$B$3:$B951,0))*INDEX('0.0.1 Pokémon Dex Data'!V$3:V951,MATCH($E831,'0.0.1 Pokémon Dex Data'!$B$3:$B951,0)),0)</f>
        <v>198</v>
      </c>
      <c r="M831" s="260" t="n">
        <f aca="false" t="array" ref="M831:M831">INDEX('0.0.1 Pokémon Dex Data'!$J$3:$J951,MATCH(E831,'0.0.1 Pokémon Dex Data'!$B$3:$B951,0))</f>
        <v>1</v>
      </c>
      <c r="O831" s="490"/>
      <c r="Q831" s="367" t="n">
        <f aca="false">IF('Reverse Search'!$F$4="All (including temporary formes)",1,IF('Reverse Search'!$F$4="Base Pokémon and permanent formes only",IF(F831&lt;=1,1,0),IF(F831=0,1,0)))</f>
        <v>1</v>
      </c>
      <c r="R831" s="0" t="n">
        <f aca="false">IF('Reverse Search'!$C$7="Disable",1,IF('Reverse Search'!$D$9="Disable",1,IF(OR('Reverse Search'!$F$9=H831,'Reverse Search'!$F$9=I831),1,0)))</f>
        <v>1</v>
      </c>
      <c r="S831" s="0" t="n">
        <f aca="false">IF('Reverse Search'!$C$7="Disable",1,IF('Reverse Search'!$D$10="Disable",1,IF(OR('Reverse Search'!$F$10=H831,'Reverse Search'!$F$10=I831),1,0)))</f>
        <v>1</v>
      </c>
      <c r="T831" s="0" t="n">
        <f aca="false">INDEX($B$4:$B$22,MATCH(H831,$A$4:$A$22,0))</f>
        <v>1</v>
      </c>
      <c r="U831" s="0" t="n">
        <f aca="false">IF(ISBLANK(I831),1,INDEX($B$4:$B$22,MATCH(I831,$A$4:$A$22,0)))</f>
        <v>1</v>
      </c>
      <c r="V831" s="367" t="n">
        <f aca="false">IF('Reverse Search'!$C$7="Disable",1,IF('Reverse Search'!$D$11="Disable",1,IF('Reverse Search'!$E$11="Neutral to:",IF(ROUND(T831*U831,2)&lt;=1,1,0),IF(ROUND(T831*U831,2)&lt;1,1,0))))</f>
        <v>1</v>
      </c>
      <c r="W831" s="0" t="n">
        <f aca="false">IF('Reverse Search'!$N$7="Disable",1,IF('Reverse Search'!$I$9="Disable",1,IF('Reverse Search'!$K$9="≥",IF(J831&gt;='Reverse Search'!$L$9,1,0),IF('Reverse Search'!$K$9="≤",IF(J831&lt;='Reverse Search'!$L$9,1,0),IF(J831='Reverse Search'!$L$9,1,0)))))</f>
        <v>1</v>
      </c>
      <c r="X831" s="0" t="n">
        <f aca="false">IF('Reverse Search'!$N$7="Disable",1,IF('Reverse Search'!$I$10="Disable",1,IF('Reverse Search'!$K$10="≥",IF(K831&gt;='Reverse Search'!$L$10,1,0),IF('Reverse Search'!$K$10="≤",IF(K831&lt;='Reverse Search'!$L$10,1,0),IF(K831='Reverse Search'!$L$10,1,0)))))</f>
        <v>1</v>
      </c>
      <c r="Y831" s="367" t="n">
        <f aca="false">IF('Reverse Search'!$N$7="Disable",1,IF('Reverse Search'!$I$11="Disable",1,IF('Reverse Search'!$K$11="≥",IF(L831&gt;='Reverse Search'!$L$11,1,0),IF('Reverse Search'!$K$11="≤",IF(L831&lt;='Reverse Search'!$L$11,1,0),IF(L831='Reverse Search'!$L$11,1,0)))))</f>
        <v>1</v>
      </c>
      <c r="Z831" s="0" t="n">
        <f aca="true">IF('Reverse Search'!$C$14="Disable",1,IF('Reverse Search'!$D$16="Disable",1,IF($C$2=3,IF($M831=0,0,COUNTIF(INDIRECT("'0.0.2 Pokémon Learnset (Core)'!$D$"&amp;MATCH($E831,'0.0.2 Pokémon Learnset (Core)'!$A$1:$A951,0)&amp;":$FK$"&amp;MATCH($E831,'0.0.2 Pokémon Learnset (Core)'!$A$1:$A951,0)),'Reverse Search'!$E$21)),IF($C$2=2,COUNTIF(INDIRECT("'0.1.1 Pokémon GO Moves'!$B$"&amp;MATCH($E831,'0.1.1 Pokémon GO Moves'!$A$1:$A951,0)&amp;":$R$"&amp;MATCH($E831,'0.1.1 Pokémon GO Moves'!$A$1:$A951,0)),'Reverse Search'!$E$21),COUNTIF(INDIRECT("'0.1.1 Pokémon GO Moves'!$B$"&amp;MATCH($E831,'0.1.1 Pokémon GO Moves'!$A$1:$A951,0)&amp;":$L$"&amp;MATCH($E831,'0.1.1 Pokémon GO Moves'!$A$1:$A951,0)),'Reverse Search'!$E$21)))))</f>
        <v>1</v>
      </c>
      <c r="AA831" s="0" t="n">
        <f aca="true">IF('Reverse Search'!$C$14="Disable",1,IF('Reverse Search'!$I$16="Disable",1,IF($D$2=3,IF($M831=0,0,COUNTIF(INDIRECT("'0.0.2 Pokémon Learnset (Core)'!$D$"&amp;MATCH($E831,'0.0.2 Pokémon Learnset (Core)'!$A$1:$A951,0)&amp;":$FK$"&amp;MATCH($E831,'0.0.2 Pokémon Learnset (Core)'!$A$1:$A951,0)),'Reverse Search'!$J$21)),IF($D$2=2,COUNTIF(INDIRECT("'0.1.1 Pokémon GO Moves'!$B$"&amp;MATCH($E831,'0.1.1 Pokémon GO Moves'!$A$1:$A951,0)&amp;":$R$"&amp;MATCH($E831,'0.1.1 Pokémon GO Moves'!$A$1:$A951,0)),'Reverse Search'!$J$21),COUNTIF(INDIRECT("'0.1.1 Pokémon GO Moves'!$B$"&amp;MATCH($E831,'0.1.1 Pokémon GO Moves'!$A$1:$A951,0)&amp;":$L$"&amp;MATCH($E831,'0.1.1 Pokémon GO Moves'!$A$1:$A951,0)),'Reverse Search'!$J$21)))))</f>
        <v>0</v>
      </c>
      <c r="AB831" s="490"/>
      <c r="AC831" s="260" t="n">
        <f aca="false">IF((Q831+R831+S831+V831+W831+X831+Y831+IF(Z831&gt;=1,1,0)+IF(AA831&gt;=1,1,0))=9,G831&amp;", ",)</f>
        <v>0</v>
      </c>
    </row>
    <row r="832" customFormat="false" ht="15.75" hidden="false" customHeight="false" outlineLevel="0" collapsed="false">
      <c r="A832" s="260"/>
      <c r="B832" s="358"/>
      <c r="C832" s="260"/>
      <c r="D832" s="358"/>
      <c r="E832" s="260" t="n">
        <v>831</v>
      </c>
      <c r="F832" s="260" t="n">
        <f aca="false" t="array" ref="F832:F832">INDEX('0.0.1 Pokémon Dex Data'!$H$3:$H951,MATCH(E832,'0.0.1 Pokémon Dex Data'!$B$3:$B951,0))</f>
        <v>0</v>
      </c>
      <c r="G832" s="0" t="str">
        <f aca="false" t="array" ref="G832:G832">INDEX('0.0.1 Pokémon Dex Data'!$E$3:$E951,MATCH(E832,'0.0.1 Pokémon Dex Data'!$B$3:$B951,0))</f>
        <v>Xerneas</v>
      </c>
      <c r="H832" s="0" t="str">
        <f aca="false" t="array" ref="H832:H832">INDEX('0.0.1 Pokémon Dex Data'!$Q$3:$Q951,MATCH(E832,'0.0.1 Pokémon Dex Data'!$B$3:$B951,0))</f>
        <v>Fairy</v>
      </c>
      <c r="I832" s="0" t="n">
        <f aca="false">INDEX('0.0.1 Pokémon Dex Data'!$R$3:$R951,MATCH(E832,'0.0.1 Pokémon Dex Data'!$B$3:$B951,0))</f>
        <v>0</v>
      </c>
      <c r="J832" s="260" t="n">
        <f aca="false" t="array" ref="J832:J832">ROUND(INDEX('0.0.1 Pokémon Dex Data'!$S$3:$S951,MATCH($E832,'0.0.1 Pokémon Dex Data'!$B$3:$B951,0))*INDEX('0.0.1 Pokémon Dex Data'!T$3:T951,MATCH($E832,'0.0.1 Pokémon Dex Data'!$B$3:$B951,0)),0)</f>
        <v>250</v>
      </c>
      <c r="K832" s="260" t="n">
        <f aca="false" t="array" ref="K832:K832">ROUND(INDEX('0.0.1 Pokémon Dex Data'!$S$3:$S951,MATCH($E832,'0.0.1 Pokémon Dex Data'!$B$3:$B951,0))*INDEX('0.0.1 Pokémon Dex Data'!U$3:U951,MATCH($E832,'0.0.1 Pokémon Dex Data'!$B$3:$B951,0)),0)</f>
        <v>185</v>
      </c>
      <c r="L832" s="260" t="n">
        <f aca="false" t="array" ref="L832:L832">ROUND(INDEX('0.0.1 Pokémon Dex Data'!$S$3:$S951,MATCH($E832,'0.0.1 Pokémon Dex Data'!$B$3:$B951,0))*INDEX('0.0.1 Pokémon Dex Data'!V$3:V951,MATCH($E832,'0.0.1 Pokémon Dex Data'!$B$3:$B951,0)),0)</f>
        <v>245</v>
      </c>
      <c r="M832" s="260" t="n">
        <f aca="false" t="array" ref="M832:M832">INDEX('0.0.1 Pokémon Dex Data'!$J$3:$J951,MATCH(E832,'0.0.1 Pokémon Dex Data'!$B$3:$B951,0))</f>
        <v>1</v>
      </c>
      <c r="O832" s="490"/>
      <c r="Q832" s="367" t="n">
        <f aca="false">IF('Reverse Search'!$F$4="All (including temporary formes)",1,IF('Reverse Search'!$F$4="Base Pokémon and permanent formes only",IF(F832&lt;=1,1,0),IF(F832=0,1,0)))</f>
        <v>1</v>
      </c>
      <c r="R832" s="0" t="n">
        <f aca="false">IF('Reverse Search'!$C$7="Disable",1,IF('Reverse Search'!$D$9="Disable",1,IF(OR('Reverse Search'!$F$9=H832,'Reverse Search'!$F$9=I832),1,0)))</f>
        <v>1</v>
      </c>
      <c r="S832" s="0" t="n">
        <f aca="false">IF('Reverse Search'!$C$7="Disable",1,IF('Reverse Search'!$D$10="Disable",1,IF(OR('Reverse Search'!$F$10=H832,'Reverse Search'!$F$10=I832),1,0)))</f>
        <v>1</v>
      </c>
      <c r="T832" s="0" t="n">
        <f aca="false">INDEX($B$4:$B$22,MATCH(H832,$A$4:$A$22,0))</f>
        <v>1</v>
      </c>
      <c r="U832" s="0" t="e">
        <f aca="false">IF(ISBLANK(I832),1,INDEX($B$4:$B$22,MATCH(I832,$A$4:$A$22,0)))</f>
        <v>#N/A</v>
      </c>
      <c r="V832" s="367" t="n">
        <f aca="false">IF('Reverse Search'!$C$7="Disable",1,IF('Reverse Search'!$D$11="Disable",1,IF('Reverse Search'!$E$11="Neutral to:",IF(ROUND(T832*U832,2)&lt;=1,1,0),IF(ROUND(T832*U832,2)&lt;1,1,0))))</f>
        <v>1</v>
      </c>
      <c r="W832" s="0" t="n">
        <f aca="false">IF('Reverse Search'!$N$7="Disable",1,IF('Reverse Search'!$I$9="Disable",1,IF('Reverse Search'!$K$9="≥",IF(J832&gt;='Reverse Search'!$L$9,1,0),IF('Reverse Search'!$K$9="≤",IF(J832&lt;='Reverse Search'!$L$9,1,0),IF(J832='Reverse Search'!$L$9,1,0)))))</f>
        <v>1</v>
      </c>
      <c r="X832" s="0" t="n">
        <f aca="false">IF('Reverse Search'!$N$7="Disable",1,IF('Reverse Search'!$I$10="Disable",1,IF('Reverse Search'!$K$10="≥",IF(K832&gt;='Reverse Search'!$L$10,1,0),IF('Reverse Search'!$K$10="≤",IF(K832&lt;='Reverse Search'!$L$10,1,0),IF(K832='Reverse Search'!$L$10,1,0)))))</f>
        <v>1</v>
      </c>
      <c r="Y832" s="367" t="n">
        <f aca="false">IF('Reverse Search'!$N$7="Disable",1,IF('Reverse Search'!$I$11="Disable",1,IF('Reverse Search'!$K$11="≥",IF(L832&gt;='Reverse Search'!$L$11,1,0),IF('Reverse Search'!$K$11="≤",IF(L832&lt;='Reverse Search'!$L$11,1,0),IF(L832='Reverse Search'!$L$11,1,0)))))</f>
        <v>1</v>
      </c>
      <c r="Z832" s="0" t="n">
        <f aca="true">IF('Reverse Search'!$C$14="Disable",1,IF('Reverse Search'!$D$16="Disable",1,IF($C$2=3,IF($M832=0,0,COUNTIF(INDIRECT("'0.0.2 Pokémon Learnset (Core)'!$D$"&amp;MATCH($E832,'0.0.2 Pokémon Learnset (Core)'!$A$1:$A951,0)&amp;":$FK$"&amp;MATCH($E832,'0.0.2 Pokémon Learnset (Core)'!$A$1:$A951,0)),'Reverse Search'!$E$21)),IF($C$2=2,COUNTIF(INDIRECT("'0.1.1 Pokémon GO Moves'!$B$"&amp;MATCH($E832,'0.1.1 Pokémon GO Moves'!$A$1:$A951,0)&amp;":$R$"&amp;MATCH($E832,'0.1.1 Pokémon GO Moves'!$A$1:$A951,0)),'Reverse Search'!$E$21),COUNTIF(INDIRECT("'0.1.1 Pokémon GO Moves'!$B$"&amp;MATCH($E832,'0.1.1 Pokémon GO Moves'!$A$1:$A951,0)&amp;":$L$"&amp;MATCH($E832,'0.1.1 Pokémon GO Moves'!$A$1:$A951,0)),'Reverse Search'!$E$21)))))</f>
        <v>1</v>
      </c>
      <c r="AA832" s="0" t="n">
        <f aca="true">IF('Reverse Search'!$C$14="Disable",1,IF('Reverse Search'!$I$16="Disable",1,IF($D$2=3,IF($M832=0,0,COUNTIF(INDIRECT("'0.0.2 Pokémon Learnset (Core)'!$D$"&amp;MATCH($E832,'0.0.2 Pokémon Learnset (Core)'!$A$1:$A951,0)&amp;":$FK$"&amp;MATCH($E832,'0.0.2 Pokémon Learnset (Core)'!$A$1:$A951,0)),'Reverse Search'!$J$21)),IF($D$2=2,COUNTIF(INDIRECT("'0.1.1 Pokémon GO Moves'!$B$"&amp;MATCH($E832,'0.1.1 Pokémon GO Moves'!$A$1:$A951,0)&amp;":$R$"&amp;MATCH($E832,'0.1.1 Pokémon GO Moves'!$A$1:$A951,0)),'Reverse Search'!$J$21),COUNTIF(INDIRECT("'0.1.1 Pokémon GO Moves'!$B$"&amp;MATCH($E832,'0.1.1 Pokémon GO Moves'!$A$1:$A951,0)&amp;":$L$"&amp;MATCH($E832,'0.1.1 Pokémon GO Moves'!$A$1:$A951,0)),'Reverse Search'!$J$21)))))</f>
        <v>0</v>
      </c>
      <c r="AB832" s="490"/>
      <c r="AC832" s="260" t="n">
        <f aca="false">IF((Q832+R832+S832+V832+W832+X832+Y832+IF(Z832&gt;=1,1,0)+IF(AA832&gt;=1,1,0))=9,G832&amp;", ",)</f>
        <v>0</v>
      </c>
    </row>
    <row r="833" customFormat="false" ht="15.75" hidden="false" customHeight="false" outlineLevel="0" collapsed="false">
      <c r="A833" s="260"/>
      <c r="B833" s="358"/>
      <c r="C833" s="260"/>
      <c r="D833" s="358"/>
      <c r="E833" s="260" t="n">
        <v>832</v>
      </c>
      <c r="F833" s="260" t="n">
        <f aca="false" t="array" ref="F833:F833">INDEX('0.0.1 Pokémon Dex Data'!$H$3:$H951,MATCH(E833,'0.0.1 Pokémon Dex Data'!$B$3:$B951,0))</f>
        <v>0</v>
      </c>
      <c r="G833" s="0" t="str">
        <f aca="false" t="array" ref="G833:G833">INDEX('0.0.1 Pokémon Dex Data'!$E$3:$E951,MATCH(E833,'0.0.1 Pokémon Dex Data'!$B$3:$B951,0))</f>
        <v>Yveltal</v>
      </c>
      <c r="H833" s="0" t="str">
        <f aca="false" t="array" ref="H833:H833">INDEX('0.0.1 Pokémon Dex Data'!$Q$3:$Q951,MATCH(E833,'0.0.1 Pokémon Dex Data'!$B$3:$B951,0))</f>
        <v>Dark</v>
      </c>
      <c r="I833" s="0" t="str">
        <f aca="false" t="array" ref="I833:I833">INDEX('0.0.1 Pokémon Dex Data'!$R$3:$R951,MATCH(E833,'0.0.1 Pokémon Dex Data'!$B$3:$B951,0))</f>
        <v>Flying</v>
      </c>
      <c r="J833" s="260" t="n">
        <f aca="false" t="array" ref="J833:J833">ROUND(INDEX('0.0.1 Pokémon Dex Data'!$S$3:$S951,MATCH($E833,'0.0.1 Pokémon Dex Data'!$B$3:$B951,0))*INDEX('0.0.1 Pokémon Dex Data'!T$3:T951,MATCH($E833,'0.0.1 Pokémon Dex Data'!$B$3:$B951,0)),0)</f>
        <v>250</v>
      </c>
      <c r="K833" s="260" t="n">
        <f aca="false" t="array" ref="K833:K833">ROUND(INDEX('0.0.1 Pokémon Dex Data'!$S$3:$S951,MATCH($E833,'0.0.1 Pokémon Dex Data'!$B$3:$B951,0))*INDEX('0.0.1 Pokémon Dex Data'!U$3:U951,MATCH($E833,'0.0.1 Pokémon Dex Data'!$B$3:$B951,0)),0)</f>
        <v>185</v>
      </c>
      <c r="L833" s="260" t="n">
        <f aca="false" t="array" ref="L833:L833">ROUND(INDEX('0.0.1 Pokémon Dex Data'!$S$3:$S951,MATCH($E833,'0.0.1 Pokémon Dex Data'!$B$3:$B951,0))*INDEX('0.0.1 Pokémon Dex Data'!V$3:V951,MATCH($E833,'0.0.1 Pokémon Dex Data'!$B$3:$B951,0)),0)</f>
        <v>245</v>
      </c>
      <c r="M833" s="260" t="n">
        <f aca="false" t="array" ref="M833:M833">INDEX('0.0.1 Pokémon Dex Data'!$J$3:$J951,MATCH(E833,'0.0.1 Pokémon Dex Data'!$B$3:$B951,0))</f>
        <v>1</v>
      </c>
      <c r="O833" s="490"/>
      <c r="Q833" s="367" t="n">
        <f aca="false">IF('Reverse Search'!$F$4="All (including temporary formes)",1,IF('Reverse Search'!$F$4="Base Pokémon and permanent formes only",IF(F833&lt;=1,1,0),IF(F833=0,1,0)))</f>
        <v>1</v>
      </c>
      <c r="R833" s="0" t="n">
        <f aca="false">IF('Reverse Search'!$C$7="Disable",1,IF('Reverse Search'!$D$9="Disable",1,IF(OR('Reverse Search'!$F$9=H833,'Reverse Search'!$F$9=I833),1,0)))</f>
        <v>1</v>
      </c>
      <c r="S833" s="0" t="n">
        <f aca="false">IF('Reverse Search'!$C$7="Disable",1,IF('Reverse Search'!$D$10="Disable",1,IF(OR('Reverse Search'!$F$10=H833,'Reverse Search'!$F$10=I833),1,0)))</f>
        <v>1</v>
      </c>
      <c r="T833" s="0" t="n">
        <f aca="false">INDEX($B$4:$B$22,MATCH(H833,$A$4:$A$22,0))</f>
        <v>1</v>
      </c>
      <c r="U833" s="0" t="n">
        <f aca="false">IF(ISBLANK(I833),1,INDEX($B$4:$B$22,MATCH(I833,$A$4:$A$22,0)))</f>
        <v>1</v>
      </c>
      <c r="V833" s="367" t="n">
        <f aca="false">IF('Reverse Search'!$C$7="Disable",1,IF('Reverse Search'!$D$11="Disable",1,IF('Reverse Search'!$E$11="Neutral to:",IF(ROUND(T833*U833,2)&lt;=1,1,0),IF(ROUND(T833*U833,2)&lt;1,1,0))))</f>
        <v>1</v>
      </c>
      <c r="W833" s="0" t="n">
        <f aca="false">IF('Reverse Search'!$N$7="Disable",1,IF('Reverse Search'!$I$9="Disable",1,IF('Reverse Search'!$K$9="≥",IF(J833&gt;='Reverse Search'!$L$9,1,0),IF('Reverse Search'!$K$9="≤",IF(J833&lt;='Reverse Search'!$L$9,1,0),IF(J833='Reverse Search'!$L$9,1,0)))))</f>
        <v>1</v>
      </c>
      <c r="X833" s="0" t="n">
        <f aca="false">IF('Reverse Search'!$N$7="Disable",1,IF('Reverse Search'!$I$10="Disable",1,IF('Reverse Search'!$K$10="≥",IF(K833&gt;='Reverse Search'!$L$10,1,0),IF('Reverse Search'!$K$10="≤",IF(K833&lt;='Reverse Search'!$L$10,1,0),IF(K833='Reverse Search'!$L$10,1,0)))))</f>
        <v>1</v>
      </c>
      <c r="Y833" s="367" t="n">
        <f aca="false">IF('Reverse Search'!$N$7="Disable",1,IF('Reverse Search'!$I$11="Disable",1,IF('Reverse Search'!$K$11="≥",IF(L833&gt;='Reverse Search'!$L$11,1,0),IF('Reverse Search'!$K$11="≤",IF(L833&lt;='Reverse Search'!$L$11,1,0),IF(L833='Reverse Search'!$L$11,1,0)))))</f>
        <v>1</v>
      </c>
      <c r="Z833" s="0" t="n">
        <f aca="true">IF('Reverse Search'!$C$14="Disable",1,IF('Reverse Search'!$D$16="Disable",1,IF($C$2=3,IF($M833=0,0,COUNTIF(INDIRECT("'0.0.2 Pokémon Learnset (Core)'!$D$"&amp;MATCH($E833,'0.0.2 Pokémon Learnset (Core)'!$A$1:$A951,0)&amp;":$FK$"&amp;MATCH($E833,'0.0.2 Pokémon Learnset (Core)'!$A$1:$A951,0)),'Reverse Search'!$E$21)),IF($C$2=2,COUNTIF(INDIRECT("'0.1.1 Pokémon GO Moves'!$B$"&amp;MATCH($E833,'0.1.1 Pokémon GO Moves'!$A$1:$A951,0)&amp;":$R$"&amp;MATCH($E833,'0.1.1 Pokémon GO Moves'!$A$1:$A951,0)),'Reverse Search'!$E$21),COUNTIF(INDIRECT("'0.1.1 Pokémon GO Moves'!$B$"&amp;MATCH($E833,'0.1.1 Pokémon GO Moves'!$A$1:$A951,0)&amp;":$L$"&amp;MATCH($E833,'0.1.1 Pokémon GO Moves'!$A$1:$A951,0)),'Reverse Search'!$E$21)))))</f>
        <v>1</v>
      </c>
      <c r="AA833" s="0" t="n">
        <f aca="true">IF('Reverse Search'!$C$14="Disable",1,IF('Reverse Search'!$I$16="Disable",1,IF($D$2=3,IF($M833=0,0,COUNTIF(INDIRECT("'0.0.2 Pokémon Learnset (Core)'!$D$"&amp;MATCH($E833,'0.0.2 Pokémon Learnset (Core)'!$A$1:$A951,0)&amp;":$FK$"&amp;MATCH($E833,'0.0.2 Pokémon Learnset (Core)'!$A$1:$A951,0)),'Reverse Search'!$J$21)),IF($D$2=2,COUNTIF(INDIRECT("'0.1.1 Pokémon GO Moves'!$B$"&amp;MATCH($E833,'0.1.1 Pokémon GO Moves'!$A$1:$A951,0)&amp;":$R$"&amp;MATCH($E833,'0.1.1 Pokémon GO Moves'!$A$1:$A951,0)),'Reverse Search'!$J$21),COUNTIF(INDIRECT("'0.1.1 Pokémon GO Moves'!$B$"&amp;MATCH($E833,'0.1.1 Pokémon GO Moves'!$A$1:$A951,0)&amp;":$L$"&amp;MATCH($E833,'0.1.1 Pokémon GO Moves'!$A$1:$A951,0)),'Reverse Search'!$J$21)))))</f>
        <v>0</v>
      </c>
      <c r="AB833" s="490"/>
      <c r="AC833" s="260" t="n">
        <f aca="false">IF((Q833+R833+S833+V833+W833+X833+Y833+IF(Z833&gt;=1,1,0)+IF(AA833&gt;=1,1,0))=9,G833&amp;", ",)</f>
        <v>0</v>
      </c>
    </row>
    <row r="834" customFormat="false" ht="15.75" hidden="false" customHeight="false" outlineLevel="0" collapsed="false">
      <c r="A834" s="260"/>
      <c r="B834" s="358"/>
      <c r="C834" s="260"/>
      <c r="D834" s="358"/>
      <c r="E834" s="260" t="n">
        <v>833</v>
      </c>
      <c r="F834" s="260" t="n">
        <f aca="false" t="array" ref="F834:F834">INDEX('0.0.1 Pokémon Dex Data'!$H$3:$H951,MATCH(E834,'0.0.1 Pokémon Dex Data'!$B$3:$B951,0))</f>
        <v>0</v>
      </c>
      <c r="G834" s="0" t="str">
        <f aca="false" t="array" ref="G834:G834">INDEX('0.0.1 Pokémon Dex Data'!$E$3:$E951,MATCH(E834,'0.0.1 Pokémon Dex Data'!$B$3:$B951,0))</f>
        <v>Zygarde</v>
      </c>
      <c r="H834" s="0" t="str">
        <f aca="false" t="array" ref="H834:H834">INDEX('0.0.1 Pokémon Dex Data'!$Q$3:$Q951,MATCH(E834,'0.0.1 Pokémon Dex Data'!$B$3:$B951,0))</f>
        <v>Dragon</v>
      </c>
      <c r="I834" s="0" t="str">
        <f aca="false" t="array" ref="I834:I834">INDEX('0.0.1 Pokémon Dex Data'!$R$3:$R951,MATCH(E834,'0.0.1 Pokémon Dex Data'!$B$3:$B951,0))</f>
        <v>Ground</v>
      </c>
      <c r="J834" s="260" t="n">
        <f aca="false" t="array" ref="J834:J834">ROUND(INDEX('0.0.1 Pokémon Dex Data'!$S$3:$S951,MATCH($E834,'0.0.1 Pokémon Dex Data'!$B$3:$B951,0))*INDEX('0.0.1 Pokémon Dex Data'!T$3:T951,MATCH($E834,'0.0.1 Pokémon Dex Data'!$B$3:$B951,0)),0)</f>
        <v>203</v>
      </c>
      <c r="K834" s="260" t="n">
        <f aca="false" t="array" ref="K834:K834">ROUND(INDEX('0.0.1 Pokémon Dex Data'!$S$3:$S951,MATCH($E834,'0.0.1 Pokémon Dex Data'!$B$3:$B951,0))*INDEX('0.0.1 Pokémon Dex Data'!U$3:U951,MATCH($E834,'0.0.1 Pokémon Dex Data'!$B$3:$B951,0)),0)</f>
        <v>232</v>
      </c>
      <c r="L834" s="260" t="n">
        <f aca="false" t="array" ref="L834:L834">ROUND(INDEX('0.0.1 Pokémon Dex Data'!$S$3:$S951,MATCH($E834,'0.0.1 Pokémon Dex Data'!$B$3:$B951,0))*INDEX('0.0.1 Pokémon Dex Data'!V$3:V951,MATCH($E834,'0.0.1 Pokémon Dex Data'!$B$3:$B951,0)),0)</f>
        <v>239</v>
      </c>
      <c r="M834" s="260" t="n">
        <f aca="false" t="array" ref="M834:M834">INDEX('0.0.1 Pokémon Dex Data'!$J$3:$J951,MATCH(E834,'0.0.1 Pokémon Dex Data'!$B$3:$B951,0))</f>
        <v>1</v>
      </c>
      <c r="O834" s="490"/>
      <c r="Q834" s="367" t="n">
        <f aca="false">IF('Reverse Search'!$F$4="All (including temporary formes)",1,IF('Reverse Search'!$F$4="Base Pokémon and permanent formes only",IF(F834&lt;=1,1,0),IF(F834=0,1,0)))</f>
        <v>1</v>
      </c>
      <c r="R834" s="0" t="n">
        <f aca="false">IF('Reverse Search'!$C$7="Disable",1,IF('Reverse Search'!$D$9="Disable",1,IF(OR('Reverse Search'!$F$9=H834,'Reverse Search'!$F$9=I834),1,0)))</f>
        <v>1</v>
      </c>
      <c r="S834" s="0" t="n">
        <f aca="false">IF('Reverse Search'!$C$7="Disable",1,IF('Reverse Search'!$D$10="Disable",1,IF(OR('Reverse Search'!$F$10=H834,'Reverse Search'!$F$10=I834),1,0)))</f>
        <v>1</v>
      </c>
      <c r="T834" s="0" t="n">
        <f aca="false">INDEX($B$4:$B$22,MATCH(H834,$A$4:$A$22,0))</f>
        <v>1</v>
      </c>
      <c r="U834" s="0" t="n">
        <f aca="false">IF(ISBLANK(I834),1,INDEX($B$4:$B$22,MATCH(I834,$A$4:$A$22,0)))</f>
        <v>1</v>
      </c>
      <c r="V834" s="367" t="n">
        <f aca="false">IF('Reverse Search'!$C$7="Disable",1,IF('Reverse Search'!$D$11="Disable",1,IF('Reverse Search'!$E$11="Neutral to:",IF(ROUND(T834*U834,2)&lt;=1,1,0),IF(ROUND(T834*U834,2)&lt;1,1,0))))</f>
        <v>1</v>
      </c>
      <c r="W834" s="0" t="n">
        <f aca="false">IF('Reverse Search'!$N$7="Disable",1,IF('Reverse Search'!$I$9="Disable",1,IF('Reverse Search'!$K$9="≥",IF(J834&gt;='Reverse Search'!$L$9,1,0),IF('Reverse Search'!$K$9="≤",IF(J834&lt;='Reverse Search'!$L$9,1,0),IF(J834='Reverse Search'!$L$9,1,0)))))</f>
        <v>1</v>
      </c>
      <c r="X834" s="0" t="n">
        <f aca="false">IF('Reverse Search'!$N$7="Disable",1,IF('Reverse Search'!$I$10="Disable",1,IF('Reverse Search'!$K$10="≥",IF(K834&gt;='Reverse Search'!$L$10,1,0),IF('Reverse Search'!$K$10="≤",IF(K834&lt;='Reverse Search'!$L$10,1,0),IF(K834='Reverse Search'!$L$10,1,0)))))</f>
        <v>1</v>
      </c>
      <c r="Y834" s="367" t="n">
        <f aca="false">IF('Reverse Search'!$N$7="Disable",1,IF('Reverse Search'!$I$11="Disable",1,IF('Reverse Search'!$K$11="≥",IF(L834&gt;='Reverse Search'!$L$11,1,0),IF('Reverse Search'!$K$11="≤",IF(L834&lt;='Reverse Search'!$L$11,1,0),IF(L834='Reverse Search'!$L$11,1,0)))))</f>
        <v>1</v>
      </c>
      <c r="Z834" s="0" t="n">
        <f aca="true">IF('Reverse Search'!$C$14="Disable",1,IF('Reverse Search'!$D$16="Disable",1,IF($C$2=3,IF($M834=0,0,COUNTIF(INDIRECT("'0.0.2 Pokémon Learnset (Core)'!$D$"&amp;MATCH($E834,'0.0.2 Pokémon Learnset (Core)'!$A$1:$A951,0)&amp;":$FK$"&amp;MATCH($E834,'0.0.2 Pokémon Learnset (Core)'!$A$1:$A951,0)),'Reverse Search'!$E$21)),IF($C$2=2,COUNTIF(INDIRECT("'0.1.1 Pokémon GO Moves'!$B$"&amp;MATCH($E834,'0.1.1 Pokémon GO Moves'!$A$1:$A951,0)&amp;":$R$"&amp;MATCH($E834,'0.1.1 Pokémon GO Moves'!$A$1:$A951,0)),'Reverse Search'!$E$21),COUNTIF(INDIRECT("'0.1.1 Pokémon GO Moves'!$B$"&amp;MATCH($E834,'0.1.1 Pokémon GO Moves'!$A$1:$A951,0)&amp;":$L$"&amp;MATCH($E834,'0.1.1 Pokémon GO Moves'!$A$1:$A951,0)),'Reverse Search'!$E$21)))))</f>
        <v>1</v>
      </c>
      <c r="AA834" s="0" t="n">
        <f aca="true">IF('Reverse Search'!$C$14="Disable",1,IF('Reverse Search'!$I$16="Disable",1,IF($D$2=3,IF($M834=0,0,COUNTIF(INDIRECT("'0.0.2 Pokémon Learnset (Core)'!$D$"&amp;MATCH($E834,'0.0.2 Pokémon Learnset (Core)'!$A$1:$A951,0)&amp;":$FK$"&amp;MATCH($E834,'0.0.2 Pokémon Learnset (Core)'!$A$1:$A951,0)),'Reverse Search'!$J$21)),IF($D$2=2,COUNTIF(INDIRECT("'0.1.1 Pokémon GO Moves'!$B$"&amp;MATCH($E834,'0.1.1 Pokémon GO Moves'!$A$1:$A951,0)&amp;":$R$"&amp;MATCH($E834,'0.1.1 Pokémon GO Moves'!$A$1:$A951,0)),'Reverse Search'!$J$21),COUNTIF(INDIRECT("'0.1.1 Pokémon GO Moves'!$B$"&amp;MATCH($E834,'0.1.1 Pokémon GO Moves'!$A$1:$A951,0)&amp;":$L$"&amp;MATCH($E834,'0.1.1 Pokémon GO Moves'!$A$1:$A951,0)),'Reverse Search'!$J$21)))))</f>
        <v>0</v>
      </c>
      <c r="AB834" s="490"/>
      <c r="AC834" s="260" t="n">
        <f aca="false">IF((Q834+R834+S834+V834+W834+X834+Y834+IF(Z834&gt;=1,1,0)+IF(AA834&gt;=1,1,0))=9,G834&amp;", ",)</f>
        <v>0</v>
      </c>
    </row>
    <row r="835" customFormat="false" ht="15.75" hidden="false" customHeight="false" outlineLevel="0" collapsed="false">
      <c r="A835" s="260"/>
      <c r="B835" s="358"/>
      <c r="C835" s="260"/>
      <c r="D835" s="358"/>
      <c r="E835" s="260" t="n">
        <v>834</v>
      </c>
      <c r="F835" s="260" t="n">
        <f aca="false" t="array" ref="F835:F835">INDEX('0.0.1 Pokémon Dex Data'!$H$3:$H951,MATCH(E835,'0.0.1 Pokémon Dex Data'!$B$3:$B951,0))</f>
        <v>1</v>
      </c>
      <c r="G835" s="0" t="str">
        <f aca="false" t="array" ref="G835:G835">INDEX('0.0.1 Pokémon Dex Data'!$E$3:$E951,MATCH(E835,'0.0.1 Pokémon Dex Data'!$B$3:$B951,0))</f>
        <v>Zygarde-10</v>
      </c>
      <c r="H835" s="0" t="str">
        <f aca="false" t="array" ref="H835:H835">INDEX('0.0.1 Pokémon Dex Data'!$Q$3:$Q951,MATCH(E835,'0.0.1 Pokémon Dex Data'!$B$3:$B951,0))</f>
        <v>Dragon</v>
      </c>
      <c r="I835" s="0" t="str">
        <f aca="false" t="array" ref="I835:I835">INDEX('0.0.1 Pokémon Dex Data'!$R$3:$R951,MATCH(E835,'0.0.1 Pokémon Dex Data'!$B$3:$B951,0))</f>
        <v>Ground</v>
      </c>
      <c r="J835" s="260" t="n">
        <f aca="false" t="array" ref="J835:J835">ROUND(INDEX('0.0.1 Pokémon Dex Data'!$S$3:$S951,MATCH($E835,'0.0.1 Pokémon Dex Data'!$B$3:$B951,0))*INDEX('0.0.1 Pokémon Dex Data'!T$3:T951,MATCH($E835,'0.0.1 Pokémon Dex Data'!$B$3:$B951,0)),0)</f>
        <v>205</v>
      </c>
      <c r="K835" s="260" t="n">
        <f aca="false" t="array" ref="K835:K835">ROUND(INDEX('0.0.1 Pokémon Dex Data'!$S$3:$S951,MATCH($E835,'0.0.1 Pokémon Dex Data'!$B$3:$B951,0))*INDEX('0.0.1 Pokémon Dex Data'!U$3:U951,MATCH($E835,'0.0.1 Pokémon Dex Data'!$B$3:$B951,0)),0)</f>
        <v>173</v>
      </c>
      <c r="L835" s="260" t="n">
        <f aca="false" t="array" ref="L835:L835">ROUND(INDEX('0.0.1 Pokémon Dex Data'!$S$3:$S951,MATCH($E835,'0.0.1 Pokémon Dex Data'!$B$3:$B951,0))*INDEX('0.0.1 Pokémon Dex Data'!V$3:V951,MATCH($E835,'0.0.1 Pokémon Dex Data'!$B$3:$B951,0)),0)</f>
        <v>144</v>
      </c>
      <c r="M835" s="260" t="n">
        <f aca="false" t="array" ref="M835:M835">INDEX('0.0.1 Pokémon Dex Data'!$J$3:$J951,MATCH(E835,'0.0.1 Pokémon Dex Data'!$B$3:$B951,0))</f>
        <v>1</v>
      </c>
      <c r="O835" s="490"/>
      <c r="Q835" s="367" t="n">
        <f aca="false">IF('Reverse Search'!$F$4="All (including temporary formes)",1,IF('Reverse Search'!$F$4="Base Pokémon and permanent formes only",IF(F835&lt;=1,1,0),IF(F835=0,1,0)))</f>
        <v>0</v>
      </c>
      <c r="R835" s="0" t="n">
        <f aca="false">IF('Reverse Search'!$C$7="Disable",1,IF('Reverse Search'!$D$9="Disable",1,IF(OR('Reverse Search'!$F$9=H835,'Reverse Search'!$F$9=I835),1,0)))</f>
        <v>1</v>
      </c>
      <c r="S835" s="0" t="n">
        <f aca="false">IF('Reverse Search'!$C$7="Disable",1,IF('Reverse Search'!$D$10="Disable",1,IF(OR('Reverse Search'!$F$10=H835,'Reverse Search'!$F$10=I835),1,0)))</f>
        <v>1</v>
      </c>
      <c r="T835" s="0" t="n">
        <f aca="false">INDEX($B$4:$B$22,MATCH(H835,$A$4:$A$22,0))</f>
        <v>1</v>
      </c>
      <c r="U835" s="0" t="n">
        <f aca="false">IF(ISBLANK(I835),1,INDEX($B$4:$B$22,MATCH(I835,$A$4:$A$22,0)))</f>
        <v>1</v>
      </c>
      <c r="V835" s="367" t="n">
        <f aca="false">IF('Reverse Search'!$C$7="Disable",1,IF('Reverse Search'!$D$11="Disable",1,IF('Reverse Search'!$E$11="Neutral to:",IF(ROUND(T835*U835,2)&lt;=1,1,0),IF(ROUND(T835*U835,2)&lt;1,1,0))))</f>
        <v>1</v>
      </c>
      <c r="W835" s="0" t="n">
        <f aca="false">IF('Reverse Search'!$N$7="Disable",1,IF('Reverse Search'!$I$9="Disable",1,IF('Reverse Search'!$K$9="≥",IF(J835&gt;='Reverse Search'!$L$9,1,0),IF('Reverse Search'!$K$9="≤",IF(J835&lt;='Reverse Search'!$L$9,1,0),IF(J835='Reverse Search'!$L$9,1,0)))))</f>
        <v>1</v>
      </c>
      <c r="X835" s="0" t="n">
        <f aca="false">IF('Reverse Search'!$N$7="Disable",1,IF('Reverse Search'!$I$10="Disable",1,IF('Reverse Search'!$K$10="≥",IF(K835&gt;='Reverse Search'!$L$10,1,0),IF('Reverse Search'!$K$10="≤",IF(K835&lt;='Reverse Search'!$L$10,1,0),IF(K835='Reverse Search'!$L$10,1,0)))))</f>
        <v>1</v>
      </c>
      <c r="Y835" s="367" t="n">
        <f aca="false">IF('Reverse Search'!$N$7="Disable",1,IF('Reverse Search'!$I$11="Disable",1,IF('Reverse Search'!$K$11="≥",IF(L835&gt;='Reverse Search'!$L$11,1,0),IF('Reverse Search'!$K$11="≤",IF(L835&lt;='Reverse Search'!$L$11,1,0),IF(L835='Reverse Search'!$L$11,1,0)))))</f>
        <v>1</v>
      </c>
      <c r="Z835" s="0" t="n">
        <f aca="true">IF('Reverse Search'!$C$14="Disable",1,IF('Reverse Search'!$D$16="Disable",1,IF($C$2=3,IF($M835=0,0,COUNTIF(INDIRECT("'0.0.2 Pokémon Learnset (Core)'!$D$"&amp;MATCH($E835,'0.0.2 Pokémon Learnset (Core)'!$A$1:$A951,0)&amp;":$FK$"&amp;MATCH($E835,'0.0.2 Pokémon Learnset (Core)'!$A$1:$A951,0)),'Reverse Search'!$E$21)),IF($C$2=2,COUNTIF(INDIRECT("'0.1.1 Pokémon GO Moves'!$B$"&amp;MATCH($E835,'0.1.1 Pokémon GO Moves'!$A$1:$A951,0)&amp;":$R$"&amp;MATCH($E835,'0.1.1 Pokémon GO Moves'!$A$1:$A951,0)),'Reverse Search'!$E$21),COUNTIF(INDIRECT("'0.1.1 Pokémon GO Moves'!$B$"&amp;MATCH($E835,'0.1.1 Pokémon GO Moves'!$A$1:$A951,0)&amp;":$L$"&amp;MATCH($E835,'0.1.1 Pokémon GO Moves'!$A$1:$A951,0)),'Reverse Search'!$E$21)))))</f>
        <v>1</v>
      </c>
      <c r="AA835" s="0" t="e">
        <f aca="true">IF('Reverse Search'!$C$14="Disable",1,IF('Reverse Search'!$I$16="Disable",1,IF($D$2=3,IF($M835=0,0,COUNTIF(INDIRECT("'0.0.2 Pokémon Learnset (Core)'!$D$"&amp;MATCH($E835,'0.0.2 Pokémon Learnset (Core)'!$A$1:$A951,0)&amp;":$FK$"&amp;MATCH($E835,'0.0.2 Pokémon Learnset (Core)'!$A$1:$A951,0)),'Reverse Search'!$J$21)),IF($D$2=2,COUNTIF(INDIRECT("'0.1.1 Pokémon GO Moves'!$B$"&amp;MATCH($E835,'0.1.1 Pokémon GO Moves'!$A$1:$A951,0)&amp;":$R$"&amp;MATCH($E835,'0.1.1 Pokémon GO Moves'!$A$1:$A951,0)),'Reverse Search'!$J$21),COUNTIF(INDIRECT("'0.1.1 Pokémon GO Moves'!$B$"&amp;MATCH($E835,'0.1.1 Pokémon GO Moves'!$A$1:$A951,0)&amp;":$L$"&amp;MATCH($E835,'0.1.1 Pokémon GO Moves'!$A$1:$A951,0)),'Reverse Search'!$J$21)))))</f>
        <v>#N/A</v>
      </c>
      <c r="AB835" s="490"/>
      <c r="AC835" s="260" t="e">
        <f aca="false">IF((Q835+R835+S835+V835+W835+X835+Y835+IF(Z835&gt;=1,1,0)+IF(AA835&gt;=1,1,0))=9,G835&amp;", ",)</f>
        <v>#N/A</v>
      </c>
    </row>
    <row r="836" customFormat="false" ht="15.75" hidden="false" customHeight="false" outlineLevel="0" collapsed="false">
      <c r="A836" s="260"/>
      <c r="B836" s="358"/>
      <c r="C836" s="260"/>
      <c r="D836" s="358"/>
      <c r="E836" s="260" t="n">
        <v>835</v>
      </c>
      <c r="F836" s="260" t="n">
        <f aca="false" t="array" ref="F836:F836">INDEX('0.0.1 Pokémon Dex Data'!$H$3:$H951,MATCH(E836,'0.0.1 Pokémon Dex Data'!$B$3:$B951,0))</f>
        <v>2</v>
      </c>
      <c r="G836" s="0" t="str">
        <f aca="false" t="array" ref="G836:G836">INDEX('0.0.1 Pokémon Dex Data'!$E$3:$E951,MATCH(E836,'0.0.1 Pokémon Dex Data'!$B$3:$B951,0))</f>
        <v>Zygarde-Complete</v>
      </c>
      <c r="H836" s="0" t="str">
        <f aca="false" t="array" ref="H836:H836">INDEX('0.0.1 Pokémon Dex Data'!$Q$3:$Q951,MATCH(E836,'0.0.1 Pokémon Dex Data'!$B$3:$B951,0))</f>
        <v>Dragon</v>
      </c>
      <c r="I836" s="0" t="str">
        <f aca="false" t="array" ref="I836:I836">INDEX('0.0.1 Pokémon Dex Data'!$R$3:$R951,MATCH(E836,'0.0.1 Pokémon Dex Data'!$B$3:$B951,0))</f>
        <v>Ground</v>
      </c>
      <c r="J836" s="260" t="n">
        <f aca="false" t="array" ref="J836:J836">ROUND(INDEX('0.0.1 Pokémon Dex Data'!$S$3:$S951,MATCH($E836,'0.0.1 Pokémon Dex Data'!$B$3:$B951,0))*INDEX('0.0.1 Pokémon Dex Data'!T$3:T951,MATCH($E836,'0.0.1 Pokémon Dex Data'!$B$3:$B951,0)),0)</f>
        <v>202</v>
      </c>
      <c r="K836" s="260" t="n">
        <f aca="false" t="array" ref="K836:K836">ROUND(INDEX('0.0.1 Pokémon Dex Data'!$S$3:$S951,MATCH($E836,'0.0.1 Pokémon Dex Data'!$B$3:$B951,0))*INDEX('0.0.1 Pokémon Dex Data'!U$3:U951,MATCH($E836,'0.0.1 Pokémon Dex Data'!$B$3:$B951,0)),0)</f>
        <v>227</v>
      </c>
      <c r="L836" s="260" t="n">
        <f aca="false" t="array" ref="L836:L836">ROUND(INDEX('0.0.1 Pokémon Dex Data'!$S$3:$S951,MATCH($E836,'0.0.1 Pokémon Dex Data'!$B$3:$B951,0))*INDEX('0.0.1 Pokémon Dex Data'!V$3:V951,MATCH($E836,'0.0.1 Pokémon Dex Data'!$B$3:$B951,0)),0)</f>
        <v>428</v>
      </c>
      <c r="M836" s="260" t="n">
        <f aca="false" t="array" ref="M836:M836">INDEX('0.0.1 Pokémon Dex Data'!$J$3:$J951,MATCH(E836,'0.0.1 Pokémon Dex Data'!$B$3:$B951,0))</f>
        <v>1</v>
      </c>
      <c r="O836" s="490"/>
      <c r="Q836" s="367" t="n">
        <f aca="false">IF('Reverse Search'!$F$4="All (including temporary formes)",1,IF('Reverse Search'!$F$4="Base Pokémon and permanent formes only",IF(F836&lt;=1,1,0),IF(F836=0,1,0)))</f>
        <v>0</v>
      </c>
      <c r="R836" s="0" t="n">
        <f aca="false">IF('Reverse Search'!$C$7="Disable",1,IF('Reverse Search'!$D$9="Disable",1,IF(OR('Reverse Search'!$F$9=H836,'Reverse Search'!$F$9=I836),1,0)))</f>
        <v>1</v>
      </c>
      <c r="S836" s="0" t="n">
        <f aca="false">IF('Reverse Search'!$C$7="Disable",1,IF('Reverse Search'!$D$10="Disable",1,IF(OR('Reverse Search'!$F$10=H836,'Reverse Search'!$F$10=I836),1,0)))</f>
        <v>1</v>
      </c>
      <c r="T836" s="0" t="n">
        <f aca="false">INDEX($B$4:$B$22,MATCH(H836,$A$4:$A$22,0))</f>
        <v>1</v>
      </c>
      <c r="U836" s="0" t="n">
        <f aca="false">IF(ISBLANK(I836),1,INDEX($B$4:$B$22,MATCH(I836,$A$4:$A$22,0)))</f>
        <v>1</v>
      </c>
      <c r="V836" s="367" t="n">
        <f aca="false">IF('Reverse Search'!$C$7="Disable",1,IF('Reverse Search'!$D$11="Disable",1,IF('Reverse Search'!$E$11="Neutral to:",IF(ROUND(T836*U836,2)&lt;=1,1,0),IF(ROUND(T836*U836,2)&lt;1,1,0))))</f>
        <v>1</v>
      </c>
      <c r="W836" s="0" t="n">
        <f aca="false">IF('Reverse Search'!$N$7="Disable",1,IF('Reverse Search'!$I$9="Disable",1,IF('Reverse Search'!$K$9="≥",IF(J836&gt;='Reverse Search'!$L$9,1,0),IF('Reverse Search'!$K$9="≤",IF(J836&lt;='Reverse Search'!$L$9,1,0),IF(J836='Reverse Search'!$L$9,1,0)))))</f>
        <v>1</v>
      </c>
      <c r="X836" s="0" t="n">
        <f aca="false">IF('Reverse Search'!$N$7="Disable",1,IF('Reverse Search'!$I$10="Disable",1,IF('Reverse Search'!$K$10="≥",IF(K836&gt;='Reverse Search'!$L$10,1,0),IF('Reverse Search'!$K$10="≤",IF(K836&lt;='Reverse Search'!$L$10,1,0),IF(K836='Reverse Search'!$L$10,1,0)))))</f>
        <v>1</v>
      </c>
      <c r="Y836" s="367" t="n">
        <f aca="false">IF('Reverse Search'!$N$7="Disable",1,IF('Reverse Search'!$I$11="Disable",1,IF('Reverse Search'!$K$11="≥",IF(L836&gt;='Reverse Search'!$L$11,1,0),IF('Reverse Search'!$K$11="≤",IF(L836&lt;='Reverse Search'!$L$11,1,0),IF(L836='Reverse Search'!$L$11,1,0)))))</f>
        <v>1</v>
      </c>
      <c r="Z836" s="0" t="n">
        <f aca="true">IF('Reverse Search'!$C$14="Disable",1,IF('Reverse Search'!$D$16="Disable",1,IF($C$2=3,IF($M836=0,0,COUNTIF(INDIRECT("'0.0.2 Pokémon Learnset (Core)'!$D$"&amp;MATCH($E836,'0.0.2 Pokémon Learnset (Core)'!$A$1:$A951,0)&amp;":$FK$"&amp;MATCH($E836,'0.0.2 Pokémon Learnset (Core)'!$A$1:$A951,0)),'Reverse Search'!$E$21)),IF($C$2=2,COUNTIF(INDIRECT("'0.1.1 Pokémon GO Moves'!$B$"&amp;MATCH($E836,'0.1.1 Pokémon GO Moves'!$A$1:$A951,0)&amp;":$R$"&amp;MATCH($E836,'0.1.1 Pokémon GO Moves'!$A$1:$A951,0)),'Reverse Search'!$E$21),COUNTIF(INDIRECT("'0.1.1 Pokémon GO Moves'!$B$"&amp;MATCH($E836,'0.1.1 Pokémon GO Moves'!$A$1:$A951,0)&amp;":$L$"&amp;MATCH($E836,'0.1.1 Pokémon GO Moves'!$A$1:$A951,0)),'Reverse Search'!$E$21)))))</f>
        <v>1</v>
      </c>
      <c r="AA836" s="0" t="e">
        <f aca="true">IF('Reverse Search'!$C$14="Disable",1,IF('Reverse Search'!$I$16="Disable",1,IF($D$2=3,IF($M836=0,0,COUNTIF(INDIRECT("'0.0.2 Pokémon Learnset (Core)'!$D$"&amp;MATCH($E836,'0.0.2 Pokémon Learnset (Core)'!$A$1:$A951,0)&amp;":$FK$"&amp;MATCH($E836,'0.0.2 Pokémon Learnset (Core)'!$A$1:$A951,0)),'Reverse Search'!$J$21)),IF($D$2=2,COUNTIF(INDIRECT("'0.1.1 Pokémon GO Moves'!$B$"&amp;MATCH($E836,'0.1.1 Pokémon GO Moves'!$A$1:$A951,0)&amp;":$R$"&amp;MATCH($E836,'0.1.1 Pokémon GO Moves'!$A$1:$A951,0)),'Reverse Search'!$J$21),COUNTIF(INDIRECT("'0.1.1 Pokémon GO Moves'!$B$"&amp;MATCH($E836,'0.1.1 Pokémon GO Moves'!$A$1:$A951,0)&amp;":$L$"&amp;MATCH($E836,'0.1.1 Pokémon GO Moves'!$A$1:$A951,0)),'Reverse Search'!$J$21)))))</f>
        <v>#N/A</v>
      </c>
      <c r="AB836" s="490"/>
      <c r="AC836" s="260" t="e">
        <f aca="false">IF((Q836+R836+S836+V836+W836+X836+Y836+IF(Z836&gt;=1,1,0)+IF(AA836&gt;=1,1,0))=9,G836&amp;", ",)</f>
        <v>#N/A</v>
      </c>
    </row>
    <row r="837" customFormat="false" ht="15.75" hidden="false" customHeight="false" outlineLevel="0" collapsed="false">
      <c r="A837" s="260"/>
      <c r="B837" s="358"/>
      <c r="C837" s="260"/>
      <c r="D837" s="358"/>
      <c r="E837" s="260" t="n">
        <v>836</v>
      </c>
      <c r="F837" s="260" t="n">
        <f aca="false" t="array" ref="F837:F837">INDEX('0.0.1 Pokémon Dex Data'!$H$3:$H951,MATCH(E837,'0.0.1 Pokémon Dex Data'!$B$3:$B951,0))</f>
        <v>0</v>
      </c>
      <c r="G837" s="0" t="str">
        <f aca="false" t="array" ref="G837:G837">INDEX('0.0.1 Pokémon Dex Data'!$E$3:$E951,MATCH(E837,'0.0.1 Pokémon Dex Data'!$B$3:$B951,0))</f>
        <v>Diancie</v>
      </c>
      <c r="H837" s="0" t="str">
        <f aca="false" t="array" ref="H837:H837">INDEX('0.0.1 Pokémon Dex Data'!$Q$3:$Q951,MATCH(E837,'0.0.1 Pokémon Dex Data'!$B$3:$B951,0))</f>
        <v>Rock</v>
      </c>
      <c r="I837" s="0" t="str">
        <f aca="false" t="array" ref="I837:I837">INDEX('0.0.1 Pokémon Dex Data'!$R$3:$R951,MATCH(E837,'0.0.1 Pokémon Dex Data'!$B$3:$B951,0))</f>
        <v>Fairy</v>
      </c>
      <c r="J837" s="260" t="n">
        <f aca="false" t="array" ref="J837:J837">ROUND(INDEX('0.0.1 Pokémon Dex Data'!$S$3:$S951,MATCH($E837,'0.0.1 Pokémon Dex Data'!$B$3:$B951,0))*INDEX('0.0.1 Pokémon Dex Data'!T$3:T951,MATCH($E837,'0.0.1 Pokémon Dex Data'!$B$3:$B951,0)),0)</f>
        <v>190</v>
      </c>
      <c r="K837" s="260" t="n">
        <f aca="false" t="array" ref="K837:K837">ROUND(INDEX('0.0.1 Pokémon Dex Data'!$S$3:$S951,MATCH($E837,'0.0.1 Pokémon Dex Data'!$B$3:$B951,0))*INDEX('0.0.1 Pokémon Dex Data'!U$3:U951,MATCH($E837,'0.0.1 Pokémon Dex Data'!$B$3:$B951,0)),0)</f>
        <v>285</v>
      </c>
      <c r="L837" s="260" t="n">
        <f aca="false" t="array" ref="L837:L837">ROUND(INDEX('0.0.1 Pokémon Dex Data'!$S$3:$S951,MATCH($E837,'0.0.1 Pokémon Dex Data'!$B$3:$B951,0))*INDEX('0.0.1 Pokémon Dex Data'!V$3:V951,MATCH($E837,'0.0.1 Pokémon Dex Data'!$B$3:$B951,0)),0)</f>
        <v>137</v>
      </c>
      <c r="M837" s="260" t="n">
        <f aca="false" t="array" ref="M837:M837">INDEX('0.0.1 Pokémon Dex Data'!$J$3:$J951,MATCH(E837,'0.0.1 Pokémon Dex Data'!$B$3:$B951,0))</f>
        <v>1</v>
      </c>
      <c r="O837" s="490"/>
      <c r="Q837" s="367" t="n">
        <f aca="false">IF('Reverse Search'!$F$4="All (including temporary formes)",1,IF('Reverse Search'!$F$4="Base Pokémon and permanent formes only",IF(F837&lt;=1,1,0),IF(F837=0,1,0)))</f>
        <v>1</v>
      </c>
      <c r="R837" s="0" t="n">
        <f aca="false">IF('Reverse Search'!$C$7="Disable",1,IF('Reverse Search'!$D$9="Disable",1,IF(OR('Reverse Search'!$F$9=H837,'Reverse Search'!$F$9=I837),1,0)))</f>
        <v>1</v>
      </c>
      <c r="S837" s="0" t="n">
        <f aca="false">IF('Reverse Search'!$C$7="Disable",1,IF('Reverse Search'!$D$10="Disable",1,IF(OR('Reverse Search'!$F$10=H837,'Reverse Search'!$F$10=I837),1,0)))</f>
        <v>1</v>
      </c>
      <c r="T837" s="0" t="n">
        <f aca="false">INDEX($B$4:$B$22,MATCH(H837,$A$4:$A$22,0))</f>
        <v>0.714</v>
      </c>
      <c r="U837" s="0" t="n">
        <f aca="false">IF(ISBLANK(I837),1,INDEX($B$4:$B$22,MATCH(I837,$A$4:$A$22,0)))</f>
        <v>1</v>
      </c>
      <c r="V837" s="367" t="n">
        <f aca="false">IF('Reverse Search'!$C$7="Disable",1,IF('Reverse Search'!$D$11="Disable",1,IF('Reverse Search'!$E$11="Neutral to:",IF(ROUND(T837*U837,2)&lt;=1,1,0),IF(ROUND(T837*U837,2)&lt;1,1,0))))</f>
        <v>1</v>
      </c>
      <c r="W837" s="0" t="n">
        <f aca="false">IF('Reverse Search'!$N$7="Disable",1,IF('Reverse Search'!$I$9="Disable",1,IF('Reverse Search'!$K$9="≥",IF(J837&gt;='Reverse Search'!$L$9,1,0),IF('Reverse Search'!$K$9="≤",IF(J837&lt;='Reverse Search'!$L$9,1,0),IF(J837='Reverse Search'!$L$9,1,0)))))</f>
        <v>1</v>
      </c>
      <c r="X837" s="0" t="n">
        <f aca="false">IF('Reverse Search'!$N$7="Disable",1,IF('Reverse Search'!$I$10="Disable",1,IF('Reverse Search'!$K$10="≥",IF(K837&gt;='Reverse Search'!$L$10,1,0),IF('Reverse Search'!$K$10="≤",IF(K837&lt;='Reverse Search'!$L$10,1,0),IF(K837='Reverse Search'!$L$10,1,0)))))</f>
        <v>1</v>
      </c>
      <c r="Y837" s="367" t="n">
        <f aca="false">IF('Reverse Search'!$N$7="Disable",1,IF('Reverse Search'!$I$11="Disable",1,IF('Reverse Search'!$K$11="≥",IF(L837&gt;='Reverse Search'!$L$11,1,0),IF('Reverse Search'!$K$11="≤",IF(L837&lt;='Reverse Search'!$L$11,1,0),IF(L837='Reverse Search'!$L$11,1,0)))))</f>
        <v>1</v>
      </c>
      <c r="Z837" s="0" t="n">
        <f aca="true">IF('Reverse Search'!$C$14="Disable",1,IF('Reverse Search'!$D$16="Disable",1,IF($C$2=3,IF($M837=0,0,COUNTIF(INDIRECT("'0.0.2 Pokémon Learnset (Core)'!$D$"&amp;MATCH($E837,'0.0.2 Pokémon Learnset (Core)'!$A$1:$A951,0)&amp;":$FK$"&amp;MATCH($E837,'0.0.2 Pokémon Learnset (Core)'!$A$1:$A951,0)),'Reverse Search'!$E$21)),IF($C$2=2,COUNTIF(INDIRECT("'0.1.1 Pokémon GO Moves'!$B$"&amp;MATCH($E837,'0.1.1 Pokémon GO Moves'!$A$1:$A951,0)&amp;":$R$"&amp;MATCH($E837,'0.1.1 Pokémon GO Moves'!$A$1:$A951,0)),'Reverse Search'!$E$21),COUNTIF(INDIRECT("'0.1.1 Pokémon GO Moves'!$B$"&amp;MATCH($E837,'0.1.1 Pokémon GO Moves'!$A$1:$A951,0)&amp;":$L$"&amp;MATCH($E837,'0.1.1 Pokémon GO Moves'!$A$1:$A951,0)),'Reverse Search'!$E$21)))))</f>
        <v>1</v>
      </c>
      <c r="AA837" s="0" t="n">
        <f aca="true">IF('Reverse Search'!$C$14="Disable",1,IF('Reverse Search'!$I$16="Disable",1,IF($D$2=3,IF($M837=0,0,COUNTIF(INDIRECT("'0.0.2 Pokémon Learnset (Core)'!$D$"&amp;MATCH($E837,'0.0.2 Pokémon Learnset (Core)'!$A$1:$A951,0)&amp;":$FK$"&amp;MATCH($E837,'0.0.2 Pokémon Learnset (Core)'!$A$1:$A951,0)),'Reverse Search'!$J$21)),IF($D$2=2,COUNTIF(INDIRECT("'0.1.1 Pokémon GO Moves'!$B$"&amp;MATCH($E837,'0.1.1 Pokémon GO Moves'!$A$1:$A951,0)&amp;":$R$"&amp;MATCH($E837,'0.1.1 Pokémon GO Moves'!$A$1:$A951,0)),'Reverse Search'!$J$21),COUNTIF(INDIRECT("'0.1.1 Pokémon GO Moves'!$B$"&amp;MATCH($E837,'0.1.1 Pokémon GO Moves'!$A$1:$A951,0)&amp;":$L$"&amp;MATCH($E837,'0.1.1 Pokémon GO Moves'!$A$1:$A951,0)),'Reverse Search'!$J$21)))))</f>
        <v>0</v>
      </c>
      <c r="AB837" s="490"/>
      <c r="AC837" s="260" t="n">
        <f aca="false">IF((Q837+R837+S837+V837+W837+X837+Y837+IF(Z837&gt;=1,1,0)+IF(AA837&gt;=1,1,0))=9,G837&amp;", ",)</f>
        <v>0</v>
      </c>
    </row>
    <row r="838" customFormat="false" ht="15.75" hidden="false" customHeight="false" outlineLevel="0" collapsed="false">
      <c r="A838" s="260"/>
      <c r="B838" s="358"/>
      <c r="C838" s="260"/>
      <c r="D838" s="358"/>
      <c r="E838" s="260" t="n">
        <v>837</v>
      </c>
      <c r="F838" s="260" t="n">
        <f aca="false" t="array" ref="F838:F838">INDEX('0.0.1 Pokémon Dex Data'!$H$3:$H951,MATCH(E838,'0.0.1 Pokémon Dex Data'!$B$3:$B951,0))</f>
        <v>2</v>
      </c>
      <c r="G838" s="0" t="str">
        <f aca="false" t="array" ref="G838:G838">INDEX('0.0.1 Pokémon Dex Data'!$E$3:$E951,MATCH(E838,'0.0.1 Pokémon Dex Data'!$B$3:$B951,0))</f>
        <v>Diancie-Mega</v>
      </c>
      <c r="H838" s="0" t="str">
        <f aca="false" t="array" ref="H838:H838">INDEX('0.0.1 Pokémon Dex Data'!$Q$3:$Q951,MATCH(E838,'0.0.1 Pokémon Dex Data'!$B$3:$B951,0))</f>
        <v>Rock</v>
      </c>
      <c r="I838" s="0" t="str">
        <f aca="false" t="array" ref="I838:I838">INDEX('0.0.1 Pokémon Dex Data'!$R$3:$R951,MATCH(E838,'0.0.1 Pokémon Dex Data'!$B$3:$B951,0))</f>
        <v>Fairy</v>
      </c>
      <c r="J838" s="260" t="n">
        <f aca="false" t="array" ref="J838:J838">ROUND(INDEX('0.0.1 Pokémon Dex Data'!$S$3:$S951,MATCH($E838,'0.0.1 Pokémon Dex Data'!$B$3:$B951,0))*INDEX('0.0.1 Pokémon Dex Data'!T$3:T951,MATCH($E838,'0.0.1 Pokémon Dex Data'!$B$3:$B951,0)),0)</f>
        <v>342</v>
      </c>
      <c r="K838" s="260" t="n">
        <f aca="false" t="array" ref="K838:K838">ROUND(INDEX('0.0.1 Pokémon Dex Data'!$S$3:$S951,MATCH($E838,'0.0.1 Pokémon Dex Data'!$B$3:$B951,0))*INDEX('0.0.1 Pokémon Dex Data'!U$3:U951,MATCH($E838,'0.0.1 Pokémon Dex Data'!$B$3:$B951,0)),0)</f>
        <v>235</v>
      </c>
      <c r="L838" s="260" t="n">
        <f aca="false" t="array" ref="L838:L838">ROUND(INDEX('0.0.1 Pokémon Dex Data'!$S$3:$S951,MATCH($E838,'0.0.1 Pokémon Dex Data'!$B$3:$B951,0))*INDEX('0.0.1 Pokémon Dex Data'!V$3:V951,MATCH($E838,'0.0.1 Pokémon Dex Data'!$B$3:$B951,0)),0)</f>
        <v>137</v>
      </c>
      <c r="M838" s="260" t="n">
        <f aca="false" t="array" ref="M838:M838">INDEX('0.0.1 Pokémon Dex Data'!$J$3:$J951,MATCH(E838,'0.0.1 Pokémon Dex Data'!$B$3:$B951,0))</f>
        <v>1</v>
      </c>
      <c r="O838" s="490"/>
      <c r="Q838" s="367" t="n">
        <f aca="false">IF('Reverse Search'!$F$4="All (including temporary formes)",1,IF('Reverse Search'!$F$4="Base Pokémon and permanent formes only",IF(F838&lt;=1,1,0),IF(F838=0,1,0)))</f>
        <v>0</v>
      </c>
      <c r="R838" s="0" t="n">
        <f aca="false">IF('Reverse Search'!$C$7="Disable",1,IF('Reverse Search'!$D$9="Disable",1,IF(OR('Reverse Search'!$F$9=H838,'Reverse Search'!$F$9=I838),1,0)))</f>
        <v>1</v>
      </c>
      <c r="S838" s="0" t="n">
        <f aca="false">IF('Reverse Search'!$C$7="Disable",1,IF('Reverse Search'!$D$10="Disable",1,IF(OR('Reverse Search'!$F$10=H838,'Reverse Search'!$F$10=I838),1,0)))</f>
        <v>1</v>
      </c>
      <c r="T838" s="0" t="n">
        <f aca="false">INDEX($B$4:$B$22,MATCH(H838,$A$4:$A$22,0))</f>
        <v>0.714</v>
      </c>
      <c r="U838" s="0" t="n">
        <f aca="false">IF(ISBLANK(I838),1,INDEX($B$4:$B$22,MATCH(I838,$A$4:$A$22,0)))</f>
        <v>1</v>
      </c>
      <c r="V838" s="367" t="n">
        <f aca="false">IF('Reverse Search'!$C$7="Disable",1,IF('Reverse Search'!$D$11="Disable",1,IF('Reverse Search'!$E$11="Neutral to:",IF(ROUND(T838*U838,2)&lt;=1,1,0),IF(ROUND(T838*U838,2)&lt;1,1,0))))</f>
        <v>1</v>
      </c>
      <c r="W838" s="0" t="n">
        <f aca="false">IF('Reverse Search'!$N$7="Disable",1,IF('Reverse Search'!$I$9="Disable",1,IF('Reverse Search'!$K$9="≥",IF(J838&gt;='Reverse Search'!$L$9,1,0),IF('Reverse Search'!$K$9="≤",IF(J838&lt;='Reverse Search'!$L$9,1,0),IF(J838='Reverse Search'!$L$9,1,0)))))</f>
        <v>1</v>
      </c>
      <c r="X838" s="0" t="n">
        <f aca="false">IF('Reverse Search'!$N$7="Disable",1,IF('Reverse Search'!$I$10="Disable",1,IF('Reverse Search'!$K$10="≥",IF(K838&gt;='Reverse Search'!$L$10,1,0),IF('Reverse Search'!$K$10="≤",IF(K838&lt;='Reverse Search'!$L$10,1,0),IF(K838='Reverse Search'!$L$10,1,0)))))</f>
        <v>1</v>
      </c>
      <c r="Y838" s="367" t="n">
        <f aca="false">IF('Reverse Search'!$N$7="Disable",1,IF('Reverse Search'!$I$11="Disable",1,IF('Reverse Search'!$K$11="≥",IF(L838&gt;='Reverse Search'!$L$11,1,0),IF('Reverse Search'!$K$11="≤",IF(L838&lt;='Reverse Search'!$L$11,1,0),IF(L838='Reverse Search'!$L$11,1,0)))))</f>
        <v>1</v>
      </c>
      <c r="Z838" s="0" t="n">
        <f aca="true">IF('Reverse Search'!$C$14="Disable",1,IF('Reverse Search'!$D$16="Disable",1,IF($C$2=3,IF($M838=0,0,COUNTIF(INDIRECT("'0.0.2 Pokémon Learnset (Core)'!$D$"&amp;MATCH($E838,'0.0.2 Pokémon Learnset (Core)'!$A$1:$A951,0)&amp;":$FK$"&amp;MATCH($E838,'0.0.2 Pokémon Learnset (Core)'!$A$1:$A951,0)),'Reverse Search'!$E$21)),IF($C$2=2,COUNTIF(INDIRECT("'0.1.1 Pokémon GO Moves'!$B$"&amp;MATCH($E838,'0.1.1 Pokémon GO Moves'!$A$1:$A951,0)&amp;":$R$"&amp;MATCH($E838,'0.1.1 Pokémon GO Moves'!$A$1:$A951,0)),'Reverse Search'!$E$21),COUNTIF(INDIRECT("'0.1.1 Pokémon GO Moves'!$B$"&amp;MATCH($E838,'0.1.1 Pokémon GO Moves'!$A$1:$A951,0)&amp;":$L$"&amp;MATCH($E838,'0.1.1 Pokémon GO Moves'!$A$1:$A951,0)),'Reverse Search'!$E$21)))))</f>
        <v>1</v>
      </c>
      <c r="AA838" s="0" t="e">
        <f aca="true">IF('Reverse Search'!$C$14="Disable",1,IF('Reverse Search'!$I$16="Disable",1,IF($D$2=3,IF($M838=0,0,COUNTIF(INDIRECT("'0.0.2 Pokémon Learnset (Core)'!$D$"&amp;MATCH($E838,'0.0.2 Pokémon Learnset (Core)'!$A$1:$A951,0)&amp;":$FK$"&amp;MATCH($E838,'0.0.2 Pokémon Learnset (Core)'!$A$1:$A951,0)),'Reverse Search'!$J$21)),IF($D$2=2,COUNTIF(INDIRECT("'0.1.1 Pokémon GO Moves'!$B$"&amp;MATCH($E838,'0.1.1 Pokémon GO Moves'!$A$1:$A951,0)&amp;":$R$"&amp;MATCH($E838,'0.1.1 Pokémon GO Moves'!$A$1:$A951,0)),'Reverse Search'!$J$21),COUNTIF(INDIRECT("'0.1.1 Pokémon GO Moves'!$B$"&amp;MATCH($E838,'0.1.1 Pokémon GO Moves'!$A$1:$A951,0)&amp;":$L$"&amp;MATCH($E838,'0.1.1 Pokémon GO Moves'!$A$1:$A951,0)),'Reverse Search'!$J$21)))))</f>
        <v>#N/A</v>
      </c>
      <c r="AB838" s="490"/>
      <c r="AC838" s="260" t="e">
        <f aca="false">IF((Q838+R838+S838+V838+W838+X838+Y838+IF(Z838&gt;=1,1,0)+IF(AA838&gt;=1,1,0))=9,G838&amp;", ",)</f>
        <v>#N/A</v>
      </c>
    </row>
    <row r="839" customFormat="false" ht="15.75" hidden="false" customHeight="false" outlineLevel="0" collapsed="false">
      <c r="A839" s="260"/>
      <c r="B839" s="358"/>
      <c r="C839" s="260"/>
      <c r="D839" s="358"/>
      <c r="E839" s="260" t="n">
        <v>838</v>
      </c>
      <c r="F839" s="260" t="n">
        <f aca="false" t="array" ref="F839:F839">INDEX('0.0.1 Pokémon Dex Data'!$H$3:$H951,MATCH(E839,'0.0.1 Pokémon Dex Data'!$B$3:$B951,0))</f>
        <v>0</v>
      </c>
      <c r="G839" s="0" t="str">
        <f aca="false" t="array" ref="G839:G839">INDEX('0.0.1 Pokémon Dex Data'!$E$3:$E951,MATCH(E839,'0.0.1 Pokémon Dex Data'!$B$3:$B951,0))</f>
        <v>Hoopa</v>
      </c>
      <c r="H839" s="0" t="str">
        <f aca="false" t="array" ref="H839:H839">INDEX('0.0.1 Pokémon Dex Data'!$Q$3:$Q951,MATCH(E839,'0.0.1 Pokémon Dex Data'!$B$3:$B951,0))</f>
        <v>Psychic</v>
      </c>
      <c r="I839" s="0" t="str">
        <f aca="false" t="array" ref="I839:I839">INDEX('0.0.1 Pokémon Dex Data'!$R$3:$R951,MATCH(E839,'0.0.1 Pokémon Dex Data'!$B$3:$B951,0))</f>
        <v>Ghost</v>
      </c>
      <c r="J839" s="260" t="n">
        <f aca="false" t="array" ref="J839:J839">ROUND(INDEX('0.0.1 Pokémon Dex Data'!$S$3:$S951,MATCH($E839,'0.0.1 Pokémon Dex Data'!$B$3:$B951,0))*INDEX('0.0.1 Pokémon Dex Data'!T$3:T951,MATCH($E839,'0.0.1 Pokémon Dex Data'!$B$3:$B951,0)),0)</f>
        <v>261</v>
      </c>
      <c r="K839" s="260" t="n">
        <f aca="false" t="array" ref="K839:K839">ROUND(INDEX('0.0.1 Pokémon Dex Data'!$S$3:$S951,MATCH($E839,'0.0.1 Pokémon Dex Data'!$B$3:$B951,0))*INDEX('0.0.1 Pokémon Dex Data'!U$3:U951,MATCH($E839,'0.0.1 Pokémon Dex Data'!$B$3:$B951,0)),0)</f>
        <v>187</v>
      </c>
      <c r="L839" s="260" t="n">
        <f aca="false" t="array" ref="L839:L839">ROUND(INDEX('0.0.1 Pokémon Dex Data'!$S$3:$S951,MATCH($E839,'0.0.1 Pokémon Dex Data'!$B$3:$B951,0))*INDEX('0.0.1 Pokémon Dex Data'!V$3:V951,MATCH($E839,'0.0.1 Pokémon Dex Data'!$B$3:$B951,0)),0)</f>
        <v>173</v>
      </c>
      <c r="M839" s="260" t="n">
        <f aca="false" t="array" ref="M839:M839">INDEX('0.0.1 Pokémon Dex Data'!$J$3:$J951,MATCH(E839,'0.0.1 Pokémon Dex Data'!$B$3:$B951,0))</f>
        <v>1</v>
      </c>
      <c r="O839" s="490"/>
      <c r="Q839" s="367" t="n">
        <f aca="false">IF('Reverse Search'!$F$4="All (including temporary formes)",1,IF('Reverse Search'!$F$4="Base Pokémon and permanent formes only",IF(F839&lt;=1,1,0),IF(F839=0,1,0)))</f>
        <v>1</v>
      </c>
      <c r="R839" s="0" t="n">
        <f aca="false">IF('Reverse Search'!$C$7="Disable",1,IF('Reverse Search'!$D$9="Disable",1,IF(OR('Reverse Search'!$F$9=H839,'Reverse Search'!$F$9=I839),1,0)))</f>
        <v>1</v>
      </c>
      <c r="S839" s="0" t="n">
        <f aca="false">IF('Reverse Search'!$C$7="Disable",1,IF('Reverse Search'!$D$10="Disable",1,IF(OR('Reverse Search'!$F$10=H839,'Reverse Search'!$F$10=I839),1,0)))</f>
        <v>1</v>
      </c>
      <c r="T839" s="0" t="n">
        <f aca="false">INDEX($B$4:$B$22,MATCH(H839,$A$4:$A$22,0))</f>
        <v>1</v>
      </c>
      <c r="U839" s="0" t="n">
        <f aca="false">IF(ISBLANK(I839),1,INDEX($B$4:$B$22,MATCH(I839,$A$4:$A$22,0)))</f>
        <v>0.51</v>
      </c>
      <c r="V839" s="367" t="n">
        <f aca="false">IF('Reverse Search'!$C$7="Disable",1,IF('Reverse Search'!$D$11="Disable",1,IF('Reverse Search'!$E$11="Neutral to:",IF(ROUND(T839*U839,2)&lt;=1,1,0),IF(ROUND(T839*U839,2)&lt;1,1,0))))</f>
        <v>1</v>
      </c>
      <c r="W839" s="0" t="n">
        <f aca="false">IF('Reverse Search'!$N$7="Disable",1,IF('Reverse Search'!$I$9="Disable",1,IF('Reverse Search'!$K$9="≥",IF(J839&gt;='Reverse Search'!$L$9,1,0),IF('Reverse Search'!$K$9="≤",IF(J839&lt;='Reverse Search'!$L$9,1,0),IF(J839='Reverse Search'!$L$9,1,0)))))</f>
        <v>1</v>
      </c>
      <c r="X839" s="0" t="n">
        <f aca="false">IF('Reverse Search'!$N$7="Disable",1,IF('Reverse Search'!$I$10="Disable",1,IF('Reverse Search'!$K$10="≥",IF(K839&gt;='Reverse Search'!$L$10,1,0),IF('Reverse Search'!$K$10="≤",IF(K839&lt;='Reverse Search'!$L$10,1,0),IF(K839='Reverse Search'!$L$10,1,0)))))</f>
        <v>1</v>
      </c>
      <c r="Y839" s="367" t="n">
        <f aca="false">IF('Reverse Search'!$N$7="Disable",1,IF('Reverse Search'!$I$11="Disable",1,IF('Reverse Search'!$K$11="≥",IF(L839&gt;='Reverse Search'!$L$11,1,0),IF('Reverse Search'!$K$11="≤",IF(L839&lt;='Reverse Search'!$L$11,1,0),IF(L839='Reverse Search'!$L$11,1,0)))))</f>
        <v>1</v>
      </c>
      <c r="Z839" s="0" t="n">
        <f aca="true">IF('Reverse Search'!$C$14="Disable",1,IF('Reverse Search'!$D$16="Disable",1,IF($C$2=3,IF($M839=0,0,COUNTIF(INDIRECT("'0.0.2 Pokémon Learnset (Core)'!$D$"&amp;MATCH($E839,'0.0.2 Pokémon Learnset (Core)'!$A$1:$A951,0)&amp;":$FK$"&amp;MATCH($E839,'0.0.2 Pokémon Learnset (Core)'!$A$1:$A951,0)),'Reverse Search'!$E$21)),IF($C$2=2,COUNTIF(INDIRECT("'0.1.1 Pokémon GO Moves'!$B$"&amp;MATCH($E839,'0.1.1 Pokémon GO Moves'!$A$1:$A951,0)&amp;":$R$"&amp;MATCH($E839,'0.1.1 Pokémon GO Moves'!$A$1:$A951,0)),'Reverse Search'!$E$21),COUNTIF(INDIRECT("'0.1.1 Pokémon GO Moves'!$B$"&amp;MATCH($E839,'0.1.1 Pokémon GO Moves'!$A$1:$A951,0)&amp;":$L$"&amp;MATCH($E839,'0.1.1 Pokémon GO Moves'!$A$1:$A951,0)),'Reverse Search'!$E$21)))))</f>
        <v>1</v>
      </c>
      <c r="AA839" s="0" t="n">
        <f aca="true">IF('Reverse Search'!$C$14="Disable",1,IF('Reverse Search'!$I$16="Disable",1,IF($D$2=3,IF($M839=0,0,COUNTIF(INDIRECT("'0.0.2 Pokémon Learnset (Core)'!$D$"&amp;MATCH($E839,'0.0.2 Pokémon Learnset (Core)'!$A$1:$A951,0)&amp;":$FK$"&amp;MATCH($E839,'0.0.2 Pokémon Learnset (Core)'!$A$1:$A951,0)),'Reverse Search'!$J$21)),IF($D$2=2,COUNTIF(INDIRECT("'0.1.1 Pokémon GO Moves'!$B$"&amp;MATCH($E839,'0.1.1 Pokémon GO Moves'!$A$1:$A951,0)&amp;":$R$"&amp;MATCH($E839,'0.1.1 Pokémon GO Moves'!$A$1:$A951,0)),'Reverse Search'!$J$21),COUNTIF(INDIRECT("'0.1.1 Pokémon GO Moves'!$B$"&amp;MATCH($E839,'0.1.1 Pokémon GO Moves'!$A$1:$A951,0)&amp;":$L$"&amp;MATCH($E839,'0.1.1 Pokémon GO Moves'!$A$1:$A951,0)),'Reverse Search'!$J$21)))))</f>
        <v>0</v>
      </c>
      <c r="AB839" s="490"/>
      <c r="AC839" s="260" t="n">
        <f aca="false">IF((Q839+R839+S839+V839+W839+X839+Y839+IF(Z839&gt;=1,1,0)+IF(AA839&gt;=1,1,0))=9,G839&amp;", ",)</f>
        <v>0</v>
      </c>
    </row>
    <row r="840" customFormat="false" ht="15.75" hidden="false" customHeight="false" outlineLevel="0" collapsed="false">
      <c r="A840" s="260"/>
      <c r="B840" s="358"/>
      <c r="C840" s="260"/>
      <c r="D840" s="358"/>
      <c r="E840" s="260" t="n">
        <v>839</v>
      </c>
      <c r="F840" s="260" t="n">
        <f aca="false" t="array" ref="F840:F840">INDEX('0.0.1 Pokémon Dex Data'!$H$3:$H951,MATCH(E840,'0.0.1 Pokémon Dex Data'!$B$3:$B951,0))</f>
        <v>1</v>
      </c>
      <c r="G840" s="0" t="str">
        <f aca="false" t="array" ref="G840:G840">INDEX('0.0.1 Pokémon Dex Data'!$E$3:$E951,MATCH(E840,'0.0.1 Pokémon Dex Data'!$B$3:$B951,0))</f>
        <v>Hoopa-Unbound</v>
      </c>
      <c r="H840" s="0" t="str">
        <f aca="false" t="array" ref="H840:H840">INDEX('0.0.1 Pokémon Dex Data'!$Q$3:$Q951,MATCH(E840,'0.0.1 Pokémon Dex Data'!$B$3:$B951,0))</f>
        <v>Psychic</v>
      </c>
      <c r="I840" s="0" t="str">
        <f aca="false" t="array" ref="I840:I840">INDEX('0.0.1 Pokémon Dex Data'!$R$3:$R951,MATCH(E840,'0.0.1 Pokémon Dex Data'!$B$3:$B951,0))</f>
        <v>Dark</v>
      </c>
      <c r="J840" s="260" t="n">
        <f aca="false" t="array" ref="J840:J840">ROUND(INDEX('0.0.1 Pokémon Dex Data'!$S$3:$S951,MATCH($E840,'0.0.1 Pokémon Dex Data'!$B$3:$B951,0))*INDEX('0.0.1 Pokémon Dex Data'!T$3:T951,MATCH($E840,'0.0.1 Pokémon Dex Data'!$B$3:$B951,0)),0)</f>
        <v>310</v>
      </c>
      <c r="K840" s="260" t="n">
        <f aca="false" t="array" ref="K840:K840">ROUND(INDEX('0.0.1 Pokémon Dex Data'!$S$3:$S951,MATCH($E840,'0.0.1 Pokémon Dex Data'!$B$3:$B951,0))*INDEX('0.0.1 Pokémon Dex Data'!U$3:U951,MATCH($E840,'0.0.1 Pokémon Dex Data'!$B$3:$B951,0)),0)</f>
        <v>191</v>
      </c>
      <c r="L840" s="260" t="n">
        <f aca="false" t="array" ref="L840:L840">ROUND(INDEX('0.0.1 Pokémon Dex Data'!$S$3:$S951,MATCH($E840,'0.0.1 Pokémon Dex Data'!$B$3:$B951,0))*INDEX('0.0.1 Pokémon Dex Data'!V$3:V951,MATCH($E840,'0.0.1 Pokémon Dex Data'!$B$3:$B951,0)),0)</f>
        <v>173</v>
      </c>
      <c r="M840" s="260" t="n">
        <f aca="false" t="array" ref="M840:M840">INDEX('0.0.1 Pokémon Dex Data'!$J$3:$J951,MATCH(E840,'0.0.1 Pokémon Dex Data'!$B$3:$B951,0))</f>
        <v>1</v>
      </c>
      <c r="O840" s="490"/>
      <c r="Q840" s="367" t="n">
        <f aca="false">IF('Reverse Search'!$F$4="All (including temporary formes)",1,IF('Reverse Search'!$F$4="Base Pokémon and permanent formes only",IF(F840&lt;=1,1,0),IF(F840=0,1,0)))</f>
        <v>0</v>
      </c>
      <c r="R840" s="0" t="n">
        <f aca="false">IF('Reverse Search'!$C$7="Disable",1,IF('Reverse Search'!$D$9="Disable",1,IF(OR('Reverse Search'!$F$9=H840,'Reverse Search'!$F$9=I840),1,0)))</f>
        <v>1</v>
      </c>
      <c r="S840" s="0" t="n">
        <f aca="false">IF('Reverse Search'!$C$7="Disable",1,IF('Reverse Search'!$D$10="Disable",1,IF(OR('Reverse Search'!$F$10=H840,'Reverse Search'!$F$10=I840),1,0)))</f>
        <v>1</v>
      </c>
      <c r="T840" s="0" t="n">
        <f aca="false">INDEX($B$4:$B$22,MATCH(H840,$A$4:$A$22,0))</f>
        <v>1</v>
      </c>
      <c r="U840" s="0" t="n">
        <f aca="false">IF(ISBLANK(I840),1,INDEX($B$4:$B$22,MATCH(I840,$A$4:$A$22,0)))</f>
        <v>1</v>
      </c>
      <c r="V840" s="367" t="n">
        <f aca="false">IF('Reverse Search'!$C$7="Disable",1,IF('Reverse Search'!$D$11="Disable",1,IF('Reverse Search'!$E$11="Neutral to:",IF(ROUND(T840*U840,2)&lt;=1,1,0),IF(ROUND(T840*U840,2)&lt;1,1,0))))</f>
        <v>1</v>
      </c>
      <c r="W840" s="0" t="n">
        <f aca="false">IF('Reverse Search'!$N$7="Disable",1,IF('Reverse Search'!$I$9="Disable",1,IF('Reverse Search'!$K$9="≥",IF(J840&gt;='Reverse Search'!$L$9,1,0),IF('Reverse Search'!$K$9="≤",IF(J840&lt;='Reverse Search'!$L$9,1,0),IF(J840='Reverse Search'!$L$9,1,0)))))</f>
        <v>1</v>
      </c>
      <c r="X840" s="0" t="n">
        <f aca="false">IF('Reverse Search'!$N$7="Disable",1,IF('Reverse Search'!$I$10="Disable",1,IF('Reverse Search'!$K$10="≥",IF(K840&gt;='Reverse Search'!$L$10,1,0),IF('Reverse Search'!$K$10="≤",IF(K840&lt;='Reverse Search'!$L$10,1,0),IF(K840='Reverse Search'!$L$10,1,0)))))</f>
        <v>1</v>
      </c>
      <c r="Y840" s="367" t="n">
        <f aca="false">IF('Reverse Search'!$N$7="Disable",1,IF('Reverse Search'!$I$11="Disable",1,IF('Reverse Search'!$K$11="≥",IF(L840&gt;='Reverse Search'!$L$11,1,0),IF('Reverse Search'!$K$11="≤",IF(L840&lt;='Reverse Search'!$L$11,1,0),IF(L840='Reverse Search'!$L$11,1,0)))))</f>
        <v>1</v>
      </c>
      <c r="Z840" s="0" t="n">
        <f aca="true">IF('Reverse Search'!$C$14="Disable",1,IF('Reverse Search'!$D$16="Disable",1,IF($C$2=3,IF($M840=0,0,COUNTIF(INDIRECT("'0.0.2 Pokémon Learnset (Core)'!$D$"&amp;MATCH($E840,'0.0.2 Pokémon Learnset (Core)'!$A$1:$A951,0)&amp;":$FK$"&amp;MATCH($E840,'0.0.2 Pokémon Learnset (Core)'!$A$1:$A951,0)),'Reverse Search'!$E$21)),IF($C$2=2,COUNTIF(INDIRECT("'0.1.1 Pokémon GO Moves'!$B$"&amp;MATCH($E840,'0.1.1 Pokémon GO Moves'!$A$1:$A951,0)&amp;":$R$"&amp;MATCH($E840,'0.1.1 Pokémon GO Moves'!$A$1:$A951,0)),'Reverse Search'!$E$21),COUNTIF(INDIRECT("'0.1.1 Pokémon GO Moves'!$B$"&amp;MATCH($E840,'0.1.1 Pokémon GO Moves'!$A$1:$A951,0)&amp;":$L$"&amp;MATCH($E840,'0.1.1 Pokémon GO Moves'!$A$1:$A951,0)),'Reverse Search'!$E$21)))))</f>
        <v>1</v>
      </c>
      <c r="AA840" s="0" t="e">
        <f aca="true">IF('Reverse Search'!$C$14="Disable",1,IF('Reverse Search'!$I$16="Disable",1,IF($D$2=3,IF($M840=0,0,COUNTIF(INDIRECT("'0.0.2 Pokémon Learnset (Core)'!$D$"&amp;MATCH($E840,'0.0.2 Pokémon Learnset (Core)'!$A$1:$A951,0)&amp;":$FK$"&amp;MATCH($E840,'0.0.2 Pokémon Learnset (Core)'!$A$1:$A951,0)),'Reverse Search'!$J$21)),IF($D$2=2,COUNTIF(INDIRECT("'0.1.1 Pokémon GO Moves'!$B$"&amp;MATCH($E840,'0.1.1 Pokémon GO Moves'!$A$1:$A951,0)&amp;":$R$"&amp;MATCH($E840,'0.1.1 Pokémon GO Moves'!$A$1:$A951,0)),'Reverse Search'!$J$21),COUNTIF(INDIRECT("'0.1.1 Pokémon GO Moves'!$B$"&amp;MATCH($E840,'0.1.1 Pokémon GO Moves'!$A$1:$A951,0)&amp;":$L$"&amp;MATCH($E840,'0.1.1 Pokémon GO Moves'!$A$1:$A951,0)),'Reverse Search'!$J$21)))))</f>
        <v>#N/A</v>
      </c>
      <c r="AB840" s="490"/>
      <c r="AC840" s="260" t="e">
        <f aca="false">IF((Q840+R840+S840+V840+W840+X840+Y840+IF(Z840&gt;=1,1,0)+IF(AA840&gt;=1,1,0))=9,G840&amp;", ",)</f>
        <v>#N/A</v>
      </c>
    </row>
    <row r="841" customFormat="false" ht="15.75" hidden="false" customHeight="false" outlineLevel="0" collapsed="false">
      <c r="A841" s="260"/>
      <c r="B841" s="358"/>
      <c r="C841" s="260"/>
      <c r="D841" s="358"/>
      <c r="E841" s="260" t="n">
        <v>840</v>
      </c>
      <c r="F841" s="260" t="n">
        <f aca="false" t="array" ref="F841:F841">INDEX('0.0.1 Pokémon Dex Data'!$H$3:$H951,MATCH(E841,'0.0.1 Pokémon Dex Data'!$B$3:$B951,0))</f>
        <v>0</v>
      </c>
      <c r="G841" s="0" t="str">
        <f aca="false" t="array" ref="G841:G841">INDEX('0.0.1 Pokémon Dex Data'!$E$3:$E951,MATCH(E841,'0.0.1 Pokémon Dex Data'!$B$3:$B951,0))</f>
        <v>Volcanion</v>
      </c>
      <c r="H841" s="0" t="str">
        <f aca="false" t="array" ref="H841:H841">INDEX('0.0.1 Pokémon Dex Data'!$Q$3:$Q951,MATCH(E841,'0.0.1 Pokémon Dex Data'!$B$3:$B951,0))</f>
        <v>Fire</v>
      </c>
      <c r="I841" s="0" t="str">
        <f aca="false" t="array" ref="I841:I841">INDEX('0.0.1 Pokémon Dex Data'!$R$3:$R951,MATCH(E841,'0.0.1 Pokémon Dex Data'!$B$3:$B951,0))</f>
        <v>Water</v>
      </c>
      <c r="J841" s="260" t="n">
        <f aca="false" t="array" ref="J841:J841">ROUND(INDEX('0.0.1 Pokémon Dex Data'!$S$3:$S951,MATCH($E841,'0.0.1 Pokémon Dex Data'!$B$3:$B951,0))*INDEX('0.0.1 Pokémon Dex Data'!T$3:T951,MATCH($E841,'0.0.1 Pokémon Dex Data'!$B$3:$B951,0)),0)</f>
        <v>252</v>
      </c>
      <c r="K841" s="260" t="n">
        <f aca="false" t="array" ref="K841:K841">ROUND(INDEX('0.0.1 Pokémon Dex Data'!$S$3:$S951,MATCH($E841,'0.0.1 Pokémon Dex Data'!$B$3:$B951,0))*INDEX('0.0.1 Pokémon Dex Data'!U$3:U951,MATCH($E841,'0.0.1 Pokémon Dex Data'!$B$3:$B951,0)),0)</f>
        <v>216</v>
      </c>
      <c r="L841" s="260" t="n">
        <f aca="false" t="array" ref="L841:L841">ROUND(INDEX('0.0.1 Pokémon Dex Data'!$S$3:$S951,MATCH($E841,'0.0.1 Pokémon Dex Data'!$B$3:$B951,0))*INDEX('0.0.1 Pokémon Dex Data'!V$3:V951,MATCH($E841,'0.0.1 Pokémon Dex Data'!$B$3:$B951,0)),0)</f>
        <v>190</v>
      </c>
      <c r="M841" s="260" t="n">
        <f aca="false" t="array" ref="M841:M841">INDEX('0.0.1 Pokémon Dex Data'!$J$3:$J951,MATCH(E841,'0.0.1 Pokémon Dex Data'!$B$3:$B951,0))</f>
        <v>1</v>
      </c>
      <c r="O841" s="490"/>
      <c r="Q841" s="367" t="n">
        <f aca="false">IF('Reverse Search'!$F$4="All (including temporary formes)",1,IF('Reverse Search'!$F$4="Base Pokémon and permanent formes only",IF(F841&lt;=1,1,0),IF(F841=0,1,0)))</f>
        <v>1</v>
      </c>
      <c r="R841" s="0" t="n">
        <f aca="false">IF('Reverse Search'!$C$7="Disable",1,IF('Reverse Search'!$D$9="Disable",1,IF(OR('Reverse Search'!$F$9=H841,'Reverse Search'!$F$9=I841),1,0)))</f>
        <v>1</v>
      </c>
      <c r="S841" s="0" t="n">
        <f aca="false">IF('Reverse Search'!$C$7="Disable",1,IF('Reverse Search'!$D$10="Disable",1,IF(OR('Reverse Search'!$F$10=H841,'Reverse Search'!$F$10=I841),1,0)))</f>
        <v>1</v>
      </c>
      <c r="T841" s="0" t="n">
        <f aca="false">INDEX($B$4:$B$22,MATCH(H841,$A$4:$A$22,0))</f>
        <v>1</v>
      </c>
      <c r="U841" s="0" t="n">
        <f aca="false">IF(ISBLANK(I841),1,INDEX($B$4:$B$22,MATCH(I841,$A$4:$A$22,0)))</f>
        <v>1</v>
      </c>
      <c r="V841" s="367" t="n">
        <f aca="false">IF('Reverse Search'!$C$7="Disable",1,IF('Reverse Search'!$D$11="Disable",1,IF('Reverse Search'!$E$11="Neutral to:",IF(ROUND(T841*U841,2)&lt;=1,1,0),IF(ROUND(T841*U841,2)&lt;1,1,0))))</f>
        <v>1</v>
      </c>
      <c r="W841" s="0" t="n">
        <f aca="false">IF('Reverse Search'!$N$7="Disable",1,IF('Reverse Search'!$I$9="Disable",1,IF('Reverse Search'!$K$9="≥",IF(J841&gt;='Reverse Search'!$L$9,1,0),IF('Reverse Search'!$K$9="≤",IF(J841&lt;='Reverse Search'!$L$9,1,0),IF(J841='Reverse Search'!$L$9,1,0)))))</f>
        <v>1</v>
      </c>
      <c r="X841" s="0" t="n">
        <f aca="false">IF('Reverse Search'!$N$7="Disable",1,IF('Reverse Search'!$I$10="Disable",1,IF('Reverse Search'!$K$10="≥",IF(K841&gt;='Reverse Search'!$L$10,1,0),IF('Reverse Search'!$K$10="≤",IF(K841&lt;='Reverse Search'!$L$10,1,0),IF(K841='Reverse Search'!$L$10,1,0)))))</f>
        <v>1</v>
      </c>
      <c r="Y841" s="367" t="n">
        <f aca="false">IF('Reverse Search'!$N$7="Disable",1,IF('Reverse Search'!$I$11="Disable",1,IF('Reverse Search'!$K$11="≥",IF(L841&gt;='Reverse Search'!$L$11,1,0),IF('Reverse Search'!$K$11="≤",IF(L841&lt;='Reverse Search'!$L$11,1,0),IF(L841='Reverse Search'!$L$11,1,0)))))</f>
        <v>1</v>
      </c>
      <c r="Z841" s="0" t="n">
        <f aca="true">IF('Reverse Search'!$C$14="Disable",1,IF('Reverse Search'!$D$16="Disable",1,IF($C$2=3,IF($M841=0,0,COUNTIF(INDIRECT("'0.0.2 Pokémon Learnset (Core)'!$D$"&amp;MATCH($E841,'0.0.2 Pokémon Learnset (Core)'!$A$1:$A951,0)&amp;":$FK$"&amp;MATCH($E841,'0.0.2 Pokémon Learnset (Core)'!$A$1:$A951,0)),'Reverse Search'!$E$21)),IF($C$2=2,COUNTIF(INDIRECT("'0.1.1 Pokémon GO Moves'!$B$"&amp;MATCH($E841,'0.1.1 Pokémon GO Moves'!$A$1:$A951,0)&amp;":$R$"&amp;MATCH($E841,'0.1.1 Pokémon GO Moves'!$A$1:$A951,0)),'Reverse Search'!$E$21),COUNTIF(INDIRECT("'0.1.1 Pokémon GO Moves'!$B$"&amp;MATCH($E841,'0.1.1 Pokémon GO Moves'!$A$1:$A951,0)&amp;":$L$"&amp;MATCH($E841,'0.1.1 Pokémon GO Moves'!$A$1:$A951,0)),'Reverse Search'!$E$21)))))</f>
        <v>1</v>
      </c>
      <c r="AA841" s="0" t="n">
        <f aca="true">IF('Reverse Search'!$C$14="Disable",1,IF('Reverse Search'!$I$16="Disable",1,IF($D$2=3,IF($M841=0,0,COUNTIF(INDIRECT("'0.0.2 Pokémon Learnset (Core)'!$D$"&amp;MATCH($E841,'0.0.2 Pokémon Learnset (Core)'!$A$1:$A951,0)&amp;":$FK$"&amp;MATCH($E841,'0.0.2 Pokémon Learnset (Core)'!$A$1:$A951,0)),'Reverse Search'!$J$21)),IF($D$2=2,COUNTIF(INDIRECT("'0.1.1 Pokémon GO Moves'!$B$"&amp;MATCH($E841,'0.1.1 Pokémon GO Moves'!$A$1:$A951,0)&amp;":$R$"&amp;MATCH($E841,'0.1.1 Pokémon GO Moves'!$A$1:$A951,0)),'Reverse Search'!$J$21),COUNTIF(INDIRECT("'0.1.1 Pokémon GO Moves'!$B$"&amp;MATCH($E841,'0.1.1 Pokémon GO Moves'!$A$1:$A951,0)&amp;":$L$"&amp;MATCH($E841,'0.1.1 Pokémon GO Moves'!$A$1:$A951,0)),'Reverse Search'!$J$21)))))</f>
        <v>0</v>
      </c>
      <c r="AB841" s="490"/>
      <c r="AC841" s="260" t="n">
        <f aca="false">IF((Q841+R841+S841+V841+W841+X841+Y841+IF(Z841&gt;=1,1,0)+IF(AA841&gt;=1,1,0))=9,G841&amp;", ",)</f>
        <v>0</v>
      </c>
    </row>
    <row r="842" customFormat="false" ht="15.75" hidden="false" customHeight="false" outlineLevel="0" collapsed="false">
      <c r="A842" s="260"/>
      <c r="B842" s="358"/>
      <c r="C842" s="260"/>
      <c r="D842" s="358"/>
      <c r="E842" s="260" t="n">
        <v>841</v>
      </c>
      <c r="F842" s="260" t="n">
        <f aca="false" t="array" ref="F842:F842">INDEX('0.0.1 Pokémon Dex Data'!$H$3:$H951,MATCH(E842,'0.0.1 Pokémon Dex Data'!$B$3:$B951,0))</f>
        <v>0</v>
      </c>
      <c r="G842" s="0" t="str">
        <f aca="false" t="array" ref="G842:G842">INDEX('0.0.1 Pokémon Dex Data'!$E$3:$E951,MATCH(E842,'0.0.1 Pokémon Dex Data'!$B$3:$B951,0))</f>
        <v>Rowlet</v>
      </c>
      <c r="H842" s="0" t="str">
        <f aca="false" t="array" ref="H842:H842">INDEX('0.0.1 Pokémon Dex Data'!$Q$3:$Q951,MATCH(E842,'0.0.1 Pokémon Dex Data'!$B$3:$B951,0))</f>
        <v>Grass</v>
      </c>
      <c r="I842" s="0" t="str">
        <f aca="false" t="array" ref="I842:I842">INDEX('0.0.1 Pokémon Dex Data'!$R$3:$R951,MATCH(E842,'0.0.1 Pokémon Dex Data'!$B$3:$B951,0))</f>
        <v>Flying</v>
      </c>
      <c r="J842" s="260" t="n">
        <f aca="false" t="array" ref="J842:J842">ROUND(INDEX('0.0.1 Pokémon Dex Data'!$S$3:$S951,MATCH($E842,'0.0.1 Pokémon Dex Data'!$B$3:$B951,0))*INDEX('0.0.1 Pokémon Dex Data'!T$3:T951,MATCH($E842,'0.0.1 Pokémon Dex Data'!$B$3:$B951,0)),0)</f>
        <v>102</v>
      </c>
      <c r="K842" s="260" t="n">
        <f aca="false" t="array" ref="K842:K842">ROUND(INDEX('0.0.1 Pokémon Dex Data'!$S$3:$S951,MATCH($E842,'0.0.1 Pokémon Dex Data'!$B$3:$B951,0))*INDEX('0.0.1 Pokémon Dex Data'!U$3:U951,MATCH($E842,'0.0.1 Pokémon Dex Data'!$B$3:$B951,0)),0)</f>
        <v>99</v>
      </c>
      <c r="L842" s="260" t="n">
        <f aca="false" t="array" ref="L842:L842">ROUND(INDEX('0.0.1 Pokémon Dex Data'!$S$3:$S951,MATCH($E842,'0.0.1 Pokémon Dex Data'!$B$3:$B951,0))*INDEX('0.0.1 Pokémon Dex Data'!V$3:V951,MATCH($E842,'0.0.1 Pokémon Dex Data'!$B$3:$B951,0)),0)</f>
        <v>169</v>
      </c>
      <c r="M842" s="260" t="n">
        <f aca="false" t="array" ref="M842:M842">INDEX('0.0.1 Pokémon Dex Data'!$J$3:$J951,MATCH(E842,'0.0.1 Pokémon Dex Data'!$B$3:$B951,0))</f>
        <v>0</v>
      </c>
      <c r="O842" s="490"/>
      <c r="Q842" s="367" t="n">
        <f aca="false">IF('Reverse Search'!$F$4="All (including temporary formes)",1,IF('Reverse Search'!$F$4="Base Pokémon and permanent formes only",IF(F842&lt;=1,1,0),IF(F842=0,1,0)))</f>
        <v>1</v>
      </c>
      <c r="R842" s="0" t="n">
        <f aca="false">IF('Reverse Search'!$C$7="Disable",1,IF('Reverse Search'!$D$9="Disable",1,IF(OR('Reverse Search'!$F$9=H842,'Reverse Search'!$F$9=I842),1,0)))</f>
        <v>1</v>
      </c>
      <c r="S842" s="0" t="n">
        <f aca="false">IF('Reverse Search'!$C$7="Disable",1,IF('Reverse Search'!$D$10="Disable",1,IF(OR('Reverse Search'!$F$10=H842,'Reverse Search'!$F$10=I842),1,0)))</f>
        <v>1</v>
      </c>
      <c r="T842" s="0" t="n">
        <f aca="false">INDEX($B$4:$B$22,MATCH(H842,$A$4:$A$22,0))</f>
        <v>1</v>
      </c>
      <c r="U842" s="0" t="n">
        <f aca="false">IF(ISBLANK(I842),1,INDEX($B$4:$B$22,MATCH(I842,$A$4:$A$22,0)))</f>
        <v>1</v>
      </c>
      <c r="V842" s="367" t="n">
        <f aca="false">IF('Reverse Search'!$C$7="Disable",1,IF('Reverse Search'!$D$11="Disable",1,IF('Reverse Search'!$E$11="Neutral to:",IF(ROUND(T842*U842,2)&lt;=1,1,0),IF(ROUND(T842*U842,2)&lt;1,1,0))))</f>
        <v>1</v>
      </c>
      <c r="W842" s="0" t="n">
        <f aca="false">IF('Reverse Search'!$N$7="Disable",1,IF('Reverse Search'!$I$9="Disable",1,IF('Reverse Search'!$K$9="≥",IF(J842&gt;='Reverse Search'!$L$9,1,0),IF('Reverse Search'!$K$9="≤",IF(J842&lt;='Reverse Search'!$L$9,1,0),IF(J842='Reverse Search'!$L$9,1,0)))))</f>
        <v>1</v>
      </c>
      <c r="X842" s="0" t="n">
        <f aca="false">IF('Reverse Search'!$N$7="Disable",1,IF('Reverse Search'!$I$10="Disable",1,IF('Reverse Search'!$K$10="≥",IF(K842&gt;='Reverse Search'!$L$10,1,0),IF('Reverse Search'!$K$10="≤",IF(K842&lt;='Reverse Search'!$L$10,1,0),IF(K842='Reverse Search'!$L$10,1,0)))))</f>
        <v>1</v>
      </c>
      <c r="Y842" s="367" t="n">
        <f aca="false">IF('Reverse Search'!$N$7="Disable",1,IF('Reverse Search'!$I$11="Disable",1,IF('Reverse Search'!$K$11="≥",IF(L842&gt;='Reverse Search'!$L$11,1,0),IF('Reverse Search'!$K$11="≤",IF(L842&lt;='Reverse Search'!$L$11,1,0),IF(L842='Reverse Search'!$L$11,1,0)))))</f>
        <v>1</v>
      </c>
      <c r="Z842" s="0" t="n">
        <f aca="true">IF('Reverse Search'!$C$14="Disable",1,IF('Reverse Search'!$D$16="Disable",1,IF($C$2=3,IF($M842=0,0,COUNTIF(INDIRECT("'0.0.2 Pokémon Learnset (Core)'!$D$"&amp;MATCH($E842,'0.0.2 Pokémon Learnset (Core)'!$A$1:$A951,0)&amp;":$FK$"&amp;MATCH($E842,'0.0.2 Pokémon Learnset (Core)'!$A$1:$A951,0)),'Reverse Search'!$E$21)),IF($C$2=2,COUNTIF(INDIRECT("'0.1.1 Pokémon GO Moves'!$B$"&amp;MATCH($E842,'0.1.1 Pokémon GO Moves'!$A$1:$A951,0)&amp;":$R$"&amp;MATCH($E842,'0.1.1 Pokémon GO Moves'!$A$1:$A951,0)),'Reverse Search'!$E$21),COUNTIF(INDIRECT("'0.1.1 Pokémon GO Moves'!$B$"&amp;MATCH($E842,'0.1.1 Pokémon GO Moves'!$A$1:$A951,0)&amp;":$L$"&amp;MATCH($E842,'0.1.1 Pokémon GO Moves'!$A$1:$A951,0)),'Reverse Search'!$E$21)))))</f>
        <v>1</v>
      </c>
      <c r="AA842" s="0" t="n">
        <f aca="true">IF('Reverse Search'!$C$14="Disable",1,IF('Reverse Search'!$I$16="Disable",1,IF($D$2=3,IF($M842=0,0,COUNTIF(INDIRECT("'0.0.2 Pokémon Learnset (Core)'!$D$"&amp;MATCH($E842,'0.0.2 Pokémon Learnset (Core)'!$A$1:$A951,0)&amp;":$FK$"&amp;MATCH($E842,'0.0.2 Pokémon Learnset (Core)'!$A$1:$A951,0)),'Reverse Search'!$J$21)),IF($D$2=2,COUNTIF(INDIRECT("'0.1.1 Pokémon GO Moves'!$B$"&amp;MATCH($E842,'0.1.1 Pokémon GO Moves'!$A$1:$A951,0)&amp;":$R$"&amp;MATCH($E842,'0.1.1 Pokémon GO Moves'!$A$1:$A951,0)),'Reverse Search'!$J$21),COUNTIF(INDIRECT("'0.1.1 Pokémon GO Moves'!$B$"&amp;MATCH($E842,'0.1.1 Pokémon GO Moves'!$A$1:$A951,0)&amp;":$L$"&amp;MATCH($E842,'0.1.1 Pokémon GO Moves'!$A$1:$A951,0)),'Reverse Search'!$J$21)))))</f>
        <v>0</v>
      </c>
      <c r="AB842" s="490"/>
      <c r="AC842" s="260" t="n">
        <f aca="false">IF((Q842+R842+S842+V842+W842+X842+Y842+IF(Z842&gt;=1,1,0)+IF(AA842&gt;=1,1,0))=9,G842&amp;", ",)</f>
        <v>0</v>
      </c>
    </row>
    <row r="843" customFormat="false" ht="15.75" hidden="false" customHeight="false" outlineLevel="0" collapsed="false">
      <c r="A843" s="260"/>
      <c r="B843" s="358"/>
      <c r="C843" s="260"/>
      <c r="D843" s="358"/>
      <c r="E843" s="260" t="n">
        <v>842</v>
      </c>
      <c r="F843" s="260" t="n">
        <f aca="false" t="array" ref="F843:F843">INDEX('0.0.1 Pokémon Dex Data'!$H$3:$H951,MATCH(E843,'0.0.1 Pokémon Dex Data'!$B$3:$B951,0))</f>
        <v>0</v>
      </c>
      <c r="G843" s="0" t="str">
        <f aca="false" t="array" ref="G843:G843">INDEX('0.0.1 Pokémon Dex Data'!$E$3:$E951,MATCH(E843,'0.0.1 Pokémon Dex Data'!$B$3:$B951,0))</f>
        <v>Dartrix</v>
      </c>
      <c r="H843" s="0" t="str">
        <f aca="false" t="array" ref="H843:H843">INDEX('0.0.1 Pokémon Dex Data'!$Q$3:$Q951,MATCH(E843,'0.0.1 Pokémon Dex Data'!$B$3:$B951,0))</f>
        <v>Grass</v>
      </c>
      <c r="I843" s="0" t="str">
        <f aca="false" t="array" ref="I843:I843">INDEX('0.0.1 Pokémon Dex Data'!$R$3:$R951,MATCH(E843,'0.0.1 Pokémon Dex Data'!$B$3:$B951,0))</f>
        <v>Flying</v>
      </c>
      <c r="J843" s="260" t="n">
        <f aca="false" t="array" ref="J843:J843">ROUND(INDEX('0.0.1 Pokémon Dex Data'!$S$3:$S951,MATCH($E843,'0.0.1 Pokémon Dex Data'!$B$3:$B951,0))*INDEX('0.0.1 Pokémon Dex Data'!T$3:T951,MATCH($E843,'0.0.1 Pokémon Dex Data'!$B$3:$B951,0)),0)</f>
        <v>142</v>
      </c>
      <c r="K843" s="260" t="n">
        <f aca="false" t="array" ref="K843:K843">ROUND(INDEX('0.0.1 Pokémon Dex Data'!$S$3:$S951,MATCH($E843,'0.0.1 Pokémon Dex Data'!$B$3:$B951,0))*INDEX('0.0.1 Pokémon Dex Data'!U$3:U951,MATCH($E843,'0.0.1 Pokémon Dex Data'!$B$3:$B951,0)),0)</f>
        <v>139</v>
      </c>
      <c r="L843" s="260" t="n">
        <f aca="false" t="array" ref="L843:L843">ROUND(INDEX('0.0.1 Pokémon Dex Data'!$S$3:$S951,MATCH($E843,'0.0.1 Pokémon Dex Data'!$B$3:$B951,0))*INDEX('0.0.1 Pokémon Dex Data'!V$3:V951,MATCH($E843,'0.0.1 Pokémon Dex Data'!$B$3:$B951,0)),0)</f>
        <v>186</v>
      </c>
      <c r="M843" s="260" t="n">
        <f aca="false" t="array" ref="M843:M843">INDEX('0.0.1 Pokémon Dex Data'!$J$3:$J951,MATCH(E843,'0.0.1 Pokémon Dex Data'!$B$3:$B951,0))</f>
        <v>0</v>
      </c>
      <c r="O843" s="490"/>
      <c r="Q843" s="367" t="n">
        <f aca="false">IF('Reverse Search'!$F$4="All (including temporary formes)",1,IF('Reverse Search'!$F$4="Base Pokémon and permanent formes only",IF(F843&lt;=1,1,0),IF(F843=0,1,0)))</f>
        <v>1</v>
      </c>
      <c r="R843" s="0" t="n">
        <f aca="false">IF('Reverse Search'!$C$7="Disable",1,IF('Reverse Search'!$D$9="Disable",1,IF(OR('Reverse Search'!$F$9=H843,'Reverse Search'!$F$9=I843),1,0)))</f>
        <v>1</v>
      </c>
      <c r="S843" s="0" t="n">
        <f aca="false">IF('Reverse Search'!$C$7="Disable",1,IF('Reverse Search'!$D$10="Disable",1,IF(OR('Reverse Search'!$F$10=H843,'Reverse Search'!$F$10=I843),1,0)))</f>
        <v>1</v>
      </c>
      <c r="T843" s="0" t="n">
        <f aca="false">INDEX($B$4:$B$22,MATCH(H843,$A$4:$A$22,0))</f>
        <v>1</v>
      </c>
      <c r="U843" s="0" t="n">
        <f aca="false">IF(ISBLANK(I843),1,INDEX($B$4:$B$22,MATCH(I843,$A$4:$A$22,0)))</f>
        <v>1</v>
      </c>
      <c r="V843" s="367" t="n">
        <f aca="false">IF('Reverse Search'!$C$7="Disable",1,IF('Reverse Search'!$D$11="Disable",1,IF('Reverse Search'!$E$11="Neutral to:",IF(ROUND(T843*U843,2)&lt;=1,1,0),IF(ROUND(T843*U843,2)&lt;1,1,0))))</f>
        <v>1</v>
      </c>
      <c r="W843" s="0" t="n">
        <f aca="false">IF('Reverse Search'!$N$7="Disable",1,IF('Reverse Search'!$I$9="Disable",1,IF('Reverse Search'!$K$9="≥",IF(J843&gt;='Reverse Search'!$L$9,1,0),IF('Reverse Search'!$K$9="≤",IF(J843&lt;='Reverse Search'!$L$9,1,0),IF(J843='Reverse Search'!$L$9,1,0)))))</f>
        <v>1</v>
      </c>
      <c r="X843" s="0" t="n">
        <f aca="false">IF('Reverse Search'!$N$7="Disable",1,IF('Reverse Search'!$I$10="Disable",1,IF('Reverse Search'!$K$10="≥",IF(K843&gt;='Reverse Search'!$L$10,1,0),IF('Reverse Search'!$K$10="≤",IF(K843&lt;='Reverse Search'!$L$10,1,0),IF(K843='Reverse Search'!$L$10,1,0)))))</f>
        <v>1</v>
      </c>
      <c r="Y843" s="367" t="n">
        <f aca="false">IF('Reverse Search'!$N$7="Disable",1,IF('Reverse Search'!$I$11="Disable",1,IF('Reverse Search'!$K$11="≥",IF(L843&gt;='Reverse Search'!$L$11,1,0),IF('Reverse Search'!$K$11="≤",IF(L843&lt;='Reverse Search'!$L$11,1,0),IF(L843='Reverse Search'!$L$11,1,0)))))</f>
        <v>1</v>
      </c>
      <c r="Z843" s="0" t="n">
        <f aca="true">IF('Reverse Search'!$C$14="Disable",1,IF('Reverse Search'!$D$16="Disable",1,IF($C$2=3,IF($M843=0,0,COUNTIF(INDIRECT("'0.0.2 Pokémon Learnset (Core)'!$D$"&amp;MATCH($E843,'0.0.2 Pokémon Learnset (Core)'!$A$1:$A951,0)&amp;":$FK$"&amp;MATCH($E843,'0.0.2 Pokémon Learnset (Core)'!$A$1:$A951,0)),'Reverse Search'!$E$21)),IF($C$2=2,COUNTIF(INDIRECT("'0.1.1 Pokémon GO Moves'!$B$"&amp;MATCH($E843,'0.1.1 Pokémon GO Moves'!$A$1:$A951,0)&amp;":$R$"&amp;MATCH($E843,'0.1.1 Pokémon GO Moves'!$A$1:$A951,0)),'Reverse Search'!$E$21),COUNTIF(INDIRECT("'0.1.1 Pokémon GO Moves'!$B$"&amp;MATCH($E843,'0.1.1 Pokémon GO Moves'!$A$1:$A951,0)&amp;":$L$"&amp;MATCH($E843,'0.1.1 Pokémon GO Moves'!$A$1:$A951,0)),'Reverse Search'!$E$21)))))</f>
        <v>1</v>
      </c>
      <c r="AA843" s="0" t="n">
        <f aca="true">IF('Reverse Search'!$C$14="Disable",1,IF('Reverse Search'!$I$16="Disable",1,IF($D$2=3,IF($M843=0,0,COUNTIF(INDIRECT("'0.0.2 Pokémon Learnset (Core)'!$D$"&amp;MATCH($E843,'0.0.2 Pokémon Learnset (Core)'!$A$1:$A951,0)&amp;":$FK$"&amp;MATCH($E843,'0.0.2 Pokémon Learnset (Core)'!$A$1:$A951,0)),'Reverse Search'!$J$21)),IF($D$2=2,COUNTIF(INDIRECT("'0.1.1 Pokémon GO Moves'!$B$"&amp;MATCH($E843,'0.1.1 Pokémon GO Moves'!$A$1:$A951,0)&amp;":$R$"&amp;MATCH($E843,'0.1.1 Pokémon GO Moves'!$A$1:$A951,0)),'Reverse Search'!$J$21),COUNTIF(INDIRECT("'0.1.1 Pokémon GO Moves'!$B$"&amp;MATCH($E843,'0.1.1 Pokémon GO Moves'!$A$1:$A951,0)&amp;":$L$"&amp;MATCH($E843,'0.1.1 Pokémon GO Moves'!$A$1:$A951,0)),'Reverse Search'!$J$21)))))</f>
        <v>0</v>
      </c>
      <c r="AB843" s="490"/>
      <c r="AC843" s="260" t="n">
        <f aca="false">IF((Q843+R843+S843+V843+W843+X843+Y843+IF(Z843&gt;=1,1,0)+IF(AA843&gt;=1,1,0))=9,G843&amp;", ",)</f>
        <v>0</v>
      </c>
    </row>
    <row r="844" customFormat="false" ht="15.75" hidden="false" customHeight="false" outlineLevel="0" collapsed="false">
      <c r="A844" s="260"/>
      <c r="B844" s="358"/>
      <c r="C844" s="260"/>
      <c r="D844" s="358"/>
      <c r="E844" s="260" t="n">
        <v>843</v>
      </c>
      <c r="F844" s="260" t="n">
        <f aca="false" t="array" ref="F844:F844">INDEX('0.0.1 Pokémon Dex Data'!$H$3:$H951,MATCH(E844,'0.0.1 Pokémon Dex Data'!$B$3:$B951,0))</f>
        <v>0</v>
      </c>
      <c r="G844" s="0" t="str">
        <f aca="false" t="array" ref="G844:G844">INDEX('0.0.1 Pokémon Dex Data'!$E$3:$E951,MATCH(E844,'0.0.1 Pokémon Dex Data'!$B$3:$B951,0))</f>
        <v>Decidueye</v>
      </c>
      <c r="H844" s="0" t="str">
        <f aca="false" t="array" ref="H844:H844">INDEX('0.0.1 Pokémon Dex Data'!$Q$3:$Q951,MATCH(E844,'0.0.1 Pokémon Dex Data'!$B$3:$B951,0))</f>
        <v>Grass</v>
      </c>
      <c r="I844" s="0" t="str">
        <f aca="false" t="array" ref="I844:I844">INDEX('0.0.1 Pokémon Dex Data'!$R$3:$R951,MATCH(E844,'0.0.1 Pokémon Dex Data'!$B$3:$B951,0))</f>
        <v>Ghost</v>
      </c>
      <c r="J844" s="260" t="n">
        <f aca="false" t="array" ref="J844:J844">ROUND(INDEX('0.0.1 Pokémon Dex Data'!$S$3:$S951,MATCH($E844,'0.0.1 Pokémon Dex Data'!$B$3:$B951,0))*INDEX('0.0.1 Pokémon Dex Data'!T$3:T951,MATCH($E844,'0.0.1 Pokémon Dex Data'!$B$3:$B951,0)),0)</f>
        <v>210</v>
      </c>
      <c r="K844" s="260" t="n">
        <f aca="false" t="array" ref="K844:K844">ROUND(INDEX('0.0.1 Pokémon Dex Data'!$S$3:$S951,MATCH($E844,'0.0.1 Pokémon Dex Data'!$B$3:$B951,0))*INDEX('0.0.1 Pokémon Dex Data'!U$3:U951,MATCH($E844,'0.0.1 Pokémon Dex Data'!$B$3:$B951,0)),0)</f>
        <v>179</v>
      </c>
      <c r="L844" s="260" t="n">
        <f aca="false" t="array" ref="L844:L844">ROUND(INDEX('0.0.1 Pokémon Dex Data'!$S$3:$S951,MATCH($E844,'0.0.1 Pokémon Dex Data'!$B$3:$B951,0))*INDEX('0.0.1 Pokémon Dex Data'!V$3:V951,MATCH($E844,'0.0.1 Pokémon Dex Data'!$B$3:$B951,0)),0)</f>
        <v>186</v>
      </c>
      <c r="M844" s="260" t="n">
        <f aca="false" t="array" ref="M844:M844">INDEX('0.0.1 Pokémon Dex Data'!$J$3:$J951,MATCH(E844,'0.0.1 Pokémon Dex Data'!$B$3:$B951,0))</f>
        <v>1</v>
      </c>
      <c r="O844" s="490"/>
      <c r="Q844" s="367" t="n">
        <f aca="false">IF('Reverse Search'!$F$4="All (including temporary formes)",1,IF('Reverse Search'!$F$4="Base Pokémon and permanent formes only",IF(F844&lt;=1,1,0),IF(F844=0,1,0)))</f>
        <v>1</v>
      </c>
      <c r="R844" s="0" t="n">
        <f aca="false">IF('Reverse Search'!$C$7="Disable",1,IF('Reverse Search'!$D$9="Disable",1,IF(OR('Reverse Search'!$F$9=H844,'Reverse Search'!$F$9=I844),1,0)))</f>
        <v>1</v>
      </c>
      <c r="S844" s="0" t="n">
        <f aca="false">IF('Reverse Search'!$C$7="Disable",1,IF('Reverse Search'!$D$10="Disable",1,IF(OR('Reverse Search'!$F$10=H844,'Reverse Search'!$F$10=I844),1,0)))</f>
        <v>1</v>
      </c>
      <c r="T844" s="0" t="n">
        <f aca="false">INDEX($B$4:$B$22,MATCH(H844,$A$4:$A$22,0))</f>
        <v>1</v>
      </c>
      <c r="U844" s="0" t="n">
        <f aca="false">IF(ISBLANK(I844),1,INDEX($B$4:$B$22,MATCH(I844,$A$4:$A$22,0)))</f>
        <v>0.51</v>
      </c>
      <c r="V844" s="367" t="n">
        <f aca="false">IF('Reverse Search'!$C$7="Disable",1,IF('Reverse Search'!$D$11="Disable",1,IF('Reverse Search'!$E$11="Neutral to:",IF(ROUND(T844*U844,2)&lt;=1,1,0),IF(ROUND(T844*U844,2)&lt;1,1,0))))</f>
        <v>1</v>
      </c>
      <c r="W844" s="0" t="n">
        <f aca="false">IF('Reverse Search'!$N$7="Disable",1,IF('Reverse Search'!$I$9="Disable",1,IF('Reverse Search'!$K$9="≥",IF(J844&gt;='Reverse Search'!$L$9,1,0),IF('Reverse Search'!$K$9="≤",IF(J844&lt;='Reverse Search'!$L$9,1,0),IF(J844='Reverse Search'!$L$9,1,0)))))</f>
        <v>1</v>
      </c>
      <c r="X844" s="0" t="n">
        <f aca="false">IF('Reverse Search'!$N$7="Disable",1,IF('Reverse Search'!$I$10="Disable",1,IF('Reverse Search'!$K$10="≥",IF(K844&gt;='Reverse Search'!$L$10,1,0),IF('Reverse Search'!$K$10="≤",IF(K844&lt;='Reverse Search'!$L$10,1,0),IF(K844='Reverse Search'!$L$10,1,0)))))</f>
        <v>1</v>
      </c>
      <c r="Y844" s="367" t="n">
        <f aca="false">IF('Reverse Search'!$N$7="Disable",1,IF('Reverse Search'!$I$11="Disable",1,IF('Reverse Search'!$K$11="≥",IF(L844&gt;='Reverse Search'!$L$11,1,0),IF('Reverse Search'!$K$11="≤",IF(L844&lt;='Reverse Search'!$L$11,1,0),IF(L844='Reverse Search'!$L$11,1,0)))))</f>
        <v>1</v>
      </c>
      <c r="Z844" s="0" t="n">
        <f aca="true">IF('Reverse Search'!$C$14="Disable",1,IF('Reverse Search'!$D$16="Disable",1,IF($C$2=3,IF($M844=0,0,COUNTIF(INDIRECT("'0.0.2 Pokémon Learnset (Core)'!$D$"&amp;MATCH($E844,'0.0.2 Pokémon Learnset (Core)'!$A$1:$A951,0)&amp;":$FK$"&amp;MATCH($E844,'0.0.2 Pokémon Learnset (Core)'!$A$1:$A951,0)),'Reverse Search'!$E$21)),IF($C$2=2,COUNTIF(INDIRECT("'0.1.1 Pokémon GO Moves'!$B$"&amp;MATCH($E844,'0.1.1 Pokémon GO Moves'!$A$1:$A951,0)&amp;":$R$"&amp;MATCH($E844,'0.1.1 Pokémon GO Moves'!$A$1:$A951,0)),'Reverse Search'!$E$21),COUNTIF(INDIRECT("'0.1.1 Pokémon GO Moves'!$B$"&amp;MATCH($E844,'0.1.1 Pokémon GO Moves'!$A$1:$A951,0)&amp;":$L$"&amp;MATCH($E844,'0.1.1 Pokémon GO Moves'!$A$1:$A951,0)),'Reverse Search'!$E$21)))))</f>
        <v>1</v>
      </c>
      <c r="AA844" s="0" t="n">
        <f aca="true">IF('Reverse Search'!$C$14="Disable",1,IF('Reverse Search'!$I$16="Disable",1,IF($D$2=3,IF($M844=0,0,COUNTIF(INDIRECT("'0.0.2 Pokémon Learnset (Core)'!$D$"&amp;MATCH($E844,'0.0.2 Pokémon Learnset (Core)'!$A$1:$A951,0)&amp;":$FK$"&amp;MATCH($E844,'0.0.2 Pokémon Learnset (Core)'!$A$1:$A951,0)),'Reverse Search'!$J$21)),IF($D$2=2,COUNTIF(INDIRECT("'0.1.1 Pokémon GO Moves'!$B$"&amp;MATCH($E844,'0.1.1 Pokémon GO Moves'!$A$1:$A951,0)&amp;":$R$"&amp;MATCH($E844,'0.1.1 Pokémon GO Moves'!$A$1:$A951,0)),'Reverse Search'!$J$21),COUNTIF(INDIRECT("'0.1.1 Pokémon GO Moves'!$B$"&amp;MATCH($E844,'0.1.1 Pokémon GO Moves'!$A$1:$A951,0)&amp;":$L$"&amp;MATCH($E844,'0.1.1 Pokémon GO Moves'!$A$1:$A951,0)),'Reverse Search'!$J$21)))))</f>
        <v>0</v>
      </c>
      <c r="AB844" s="490"/>
      <c r="AC844" s="260" t="n">
        <f aca="false">IF((Q844+R844+S844+V844+W844+X844+Y844+IF(Z844&gt;=1,1,0)+IF(AA844&gt;=1,1,0))=9,G844&amp;", ",)</f>
        <v>0</v>
      </c>
    </row>
    <row r="845" customFormat="false" ht="15.75" hidden="false" customHeight="false" outlineLevel="0" collapsed="false">
      <c r="A845" s="260"/>
      <c r="B845" s="358"/>
      <c r="C845" s="260"/>
      <c r="D845" s="358"/>
      <c r="E845" s="260" t="n">
        <v>844</v>
      </c>
      <c r="F845" s="260" t="n">
        <f aca="false" t="array" ref="F845:F845">INDEX('0.0.1 Pokémon Dex Data'!$H$3:$H951,MATCH(E845,'0.0.1 Pokémon Dex Data'!$B$3:$B951,0))</f>
        <v>0</v>
      </c>
      <c r="G845" s="0" t="str">
        <f aca="false" t="array" ref="G845:G845">INDEX('0.0.1 Pokémon Dex Data'!$E$3:$E951,MATCH(E845,'0.0.1 Pokémon Dex Data'!$B$3:$B951,0))</f>
        <v>Litten</v>
      </c>
      <c r="H845" s="0" t="str">
        <f aca="false" t="array" ref="H845:H845">INDEX('0.0.1 Pokémon Dex Data'!$Q$3:$Q951,MATCH(E845,'0.0.1 Pokémon Dex Data'!$B$3:$B951,0))</f>
        <v>Fire</v>
      </c>
      <c r="I845" s="0" t="n">
        <f aca="false">INDEX('0.0.1 Pokémon Dex Data'!$R$3:$R951,MATCH(E845,'0.0.1 Pokémon Dex Data'!$B$3:$B951,0))</f>
        <v>0</v>
      </c>
      <c r="J845" s="260" t="n">
        <f aca="false" t="array" ref="J845:J845">ROUND(INDEX('0.0.1 Pokémon Dex Data'!$S$3:$S951,MATCH($E845,'0.0.1 Pokémon Dex Data'!$B$3:$B951,0))*INDEX('0.0.1 Pokémon Dex Data'!T$3:T951,MATCH($E845,'0.0.1 Pokémon Dex Data'!$B$3:$B951,0)),0)</f>
        <v>128</v>
      </c>
      <c r="K845" s="260" t="n">
        <f aca="false" t="array" ref="K845:K845">ROUND(INDEX('0.0.1 Pokémon Dex Data'!$S$3:$S951,MATCH($E845,'0.0.1 Pokémon Dex Data'!$B$3:$B951,0))*INDEX('0.0.1 Pokémon Dex Data'!U$3:U951,MATCH($E845,'0.0.1 Pokémon Dex Data'!$B$3:$B951,0)),0)</f>
        <v>79</v>
      </c>
      <c r="L845" s="260" t="n">
        <f aca="false" t="array" ref="L845:L845">ROUND(INDEX('0.0.1 Pokémon Dex Data'!$S$3:$S951,MATCH($E845,'0.0.1 Pokémon Dex Data'!$B$3:$B951,0))*INDEX('0.0.1 Pokémon Dex Data'!V$3:V951,MATCH($E845,'0.0.1 Pokémon Dex Data'!$B$3:$B951,0)),0)</f>
        <v>128</v>
      </c>
      <c r="M845" s="260" t="n">
        <f aca="false" t="array" ref="M845:M845">INDEX('0.0.1 Pokémon Dex Data'!$J$3:$J951,MATCH(E845,'0.0.1 Pokémon Dex Data'!$B$3:$B951,0))</f>
        <v>0</v>
      </c>
      <c r="O845" s="490"/>
      <c r="Q845" s="367" t="n">
        <f aca="false">IF('Reverse Search'!$F$4="All (including temporary formes)",1,IF('Reverse Search'!$F$4="Base Pokémon and permanent formes only",IF(F845&lt;=1,1,0),IF(F845=0,1,0)))</f>
        <v>1</v>
      </c>
      <c r="R845" s="0" t="n">
        <f aca="false">IF('Reverse Search'!$C$7="Disable",1,IF('Reverse Search'!$D$9="Disable",1,IF(OR('Reverse Search'!$F$9=H845,'Reverse Search'!$F$9=I845),1,0)))</f>
        <v>1</v>
      </c>
      <c r="S845" s="0" t="n">
        <f aca="false">IF('Reverse Search'!$C$7="Disable",1,IF('Reverse Search'!$D$10="Disable",1,IF(OR('Reverse Search'!$F$10=H845,'Reverse Search'!$F$10=I845),1,0)))</f>
        <v>1</v>
      </c>
      <c r="T845" s="0" t="n">
        <f aca="false">INDEX($B$4:$B$22,MATCH(H845,$A$4:$A$22,0))</f>
        <v>1</v>
      </c>
      <c r="U845" s="0" t="e">
        <f aca="false">IF(ISBLANK(I845),1,INDEX($B$4:$B$22,MATCH(I845,$A$4:$A$22,0)))</f>
        <v>#N/A</v>
      </c>
      <c r="V845" s="367" t="n">
        <f aca="false">IF('Reverse Search'!$C$7="Disable",1,IF('Reverse Search'!$D$11="Disable",1,IF('Reverse Search'!$E$11="Neutral to:",IF(ROUND(T845*U845,2)&lt;=1,1,0),IF(ROUND(T845*U845,2)&lt;1,1,0))))</f>
        <v>1</v>
      </c>
      <c r="W845" s="0" t="n">
        <f aca="false">IF('Reverse Search'!$N$7="Disable",1,IF('Reverse Search'!$I$9="Disable",1,IF('Reverse Search'!$K$9="≥",IF(J845&gt;='Reverse Search'!$L$9,1,0),IF('Reverse Search'!$K$9="≤",IF(J845&lt;='Reverse Search'!$L$9,1,0),IF(J845='Reverse Search'!$L$9,1,0)))))</f>
        <v>1</v>
      </c>
      <c r="X845" s="0" t="n">
        <f aca="false">IF('Reverse Search'!$N$7="Disable",1,IF('Reverse Search'!$I$10="Disable",1,IF('Reverse Search'!$K$10="≥",IF(K845&gt;='Reverse Search'!$L$10,1,0),IF('Reverse Search'!$K$10="≤",IF(K845&lt;='Reverse Search'!$L$10,1,0),IF(K845='Reverse Search'!$L$10,1,0)))))</f>
        <v>1</v>
      </c>
      <c r="Y845" s="367" t="n">
        <f aca="false">IF('Reverse Search'!$N$7="Disable",1,IF('Reverse Search'!$I$11="Disable",1,IF('Reverse Search'!$K$11="≥",IF(L845&gt;='Reverse Search'!$L$11,1,0),IF('Reverse Search'!$K$11="≤",IF(L845&lt;='Reverse Search'!$L$11,1,0),IF(L845='Reverse Search'!$L$11,1,0)))))</f>
        <v>1</v>
      </c>
      <c r="Z845" s="0" t="n">
        <f aca="true">IF('Reverse Search'!$C$14="Disable",1,IF('Reverse Search'!$D$16="Disable",1,IF($C$2=3,IF($M845=0,0,COUNTIF(INDIRECT("'0.0.2 Pokémon Learnset (Core)'!$D$"&amp;MATCH($E845,'0.0.2 Pokémon Learnset (Core)'!$A$1:$A951,0)&amp;":$FK$"&amp;MATCH($E845,'0.0.2 Pokémon Learnset (Core)'!$A$1:$A951,0)),'Reverse Search'!$E$21)),IF($C$2=2,COUNTIF(INDIRECT("'0.1.1 Pokémon GO Moves'!$B$"&amp;MATCH($E845,'0.1.1 Pokémon GO Moves'!$A$1:$A951,0)&amp;":$R$"&amp;MATCH($E845,'0.1.1 Pokémon GO Moves'!$A$1:$A951,0)),'Reverse Search'!$E$21),COUNTIF(INDIRECT("'0.1.1 Pokémon GO Moves'!$B$"&amp;MATCH($E845,'0.1.1 Pokémon GO Moves'!$A$1:$A951,0)&amp;":$L$"&amp;MATCH($E845,'0.1.1 Pokémon GO Moves'!$A$1:$A951,0)),'Reverse Search'!$E$21)))))</f>
        <v>1</v>
      </c>
      <c r="AA845" s="0" t="n">
        <f aca="true">IF('Reverse Search'!$C$14="Disable",1,IF('Reverse Search'!$I$16="Disable",1,IF($D$2=3,IF($M845=0,0,COUNTIF(INDIRECT("'0.0.2 Pokémon Learnset (Core)'!$D$"&amp;MATCH($E845,'0.0.2 Pokémon Learnset (Core)'!$A$1:$A951,0)&amp;":$FK$"&amp;MATCH($E845,'0.0.2 Pokémon Learnset (Core)'!$A$1:$A951,0)),'Reverse Search'!$J$21)),IF($D$2=2,COUNTIF(INDIRECT("'0.1.1 Pokémon GO Moves'!$B$"&amp;MATCH($E845,'0.1.1 Pokémon GO Moves'!$A$1:$A951,0)&amp;":$R$"&amp;MATCH($E845,'0.1.1 Pokémon GO Moves'!$A$1:$A951,0)),'Reverse Search'!$J$21),COUNTIF(INDIRECT("'0.1.1 Pokémon GO Moves'!$B$"&amp;MATCH($E845,'0.1.1 Pokémon GO Moves'!$A$1:$A951,0)&amp;":$L$"&amp;MATCH($E845,'0.1.1 Pokémon GO Moves'!$A$1:$A951,0)),'Reverse Search'!$J$21)))))</f>
        <v>0</v>
      </c>
      <c r="AB845" s="490"/>
      <c r="AC845" s="260" t="n">
        <f aca="false">IF((Q845+R845+S845+V845+W845+X845+Y845+IF(Z845&gt;=1,1,0)+IF(AA845&gt;=1,1,0))=9,G845&amp;", ",)</f>
        <v>0</v>
      </c>
    </row>
    <row r="846" customFormat="false" ht="15.75" hidden="false" customHeight="false" outlineLevel="0" collapsed="false">
      <c r="A846" s="260"/>
      <c r="B846" s="358"/>
      <c r="C846" s="260"/>
      <c r="D846" s="358"/>
      <c r="E846" s="260" t="n">
        <v>845</v>
      </c>
      <c r="F846" s="260" t="n">
        <f aca="false" t="array" ref="F846:F846">INDEX('0.0.1 Pokémon Dex Data'!$H$3:$H951,MATCH(E846,'0.0.1 Pokémon Dex Data'!$B$3:$B951,0))</f>
        <v>0</v>
      </c>
      <c r="G846" s="0" t="str">
        <f aca="false" t="array" ref="G846:G846">INDEX('0.0.1 Pokémon Dex Data'!$E$3:$E951,MATCH(E846,'0.0.1 Pokémon Dex Data'!$B$3:$B951,0))</f>
        <v>Torracat</v>
      </c>
      <c r="H846" s="0" t="str">
        <f aca="false" t="array" ref="H846:H846">INDEX('0.0.1 Pokémon Dex Data'!$Q$3:$Q951,MATCH(E846,'0.0.1 Pokémon Dex Data'!$B$3:$B951,0))</f>
        <v>Fire</v>
      </c>
      <c r="I846" s="0" t="n">
        <f aca="false">INDEX('0.0.1 Pokémon Dex Data'!$R$3:$R951,MATCH(E846,'0.0.1 Pokémon Dex Data'!$B$3:$B951,0))</f>
        <v>0</v>
      </c>
      <c r="J846" s="260" t="n">
        <f aca="false" t="array" ref="J846:J846">ROUND(INDEX('0.0.1 Pokémon Dex Data'!$S$3:$S951,MATCH($E846,'0.0.1 Pokémon Dex Data'!$B$3:$B951,0))*INDEX('0.0.1 Pokémon Dex Data'!T$3:T951,MATCH($E846,'0.0.1 Pokémon Dex Data'!$B$3:$B951,0)),0)</f>
        <v>174</v>
      </c>
      <c r="K846" s="260" t="n">
        <f aca="false" t="array" ref="K846:K846">ROUND(INDEX('0.0.1 Pokémon Dex Data'!$S$3:$S951,MATCH($E846,'0.0.1 Pokémon Dex Data'!$B$3:$B951,0))*INDEX('0.0.1 Pokémon Dex Data'!U$3:U951,MATCH($E846,'0.0.1 Pokémon Dex Data'!$B$3:$B951,0)),0)</f>
        <v>103</v>
      </c>
      <c r="L846" s="260" t="n">
        <f aca="false" t="array" ref="L846:L846">ROUND(INDEX('0.0.1 Pokémon Dex Data'!$S$3:$S951,MATCH($E846,'0.0.1 Pokémon Dex Data'!$B$3:$B951,0))*INDEX('0.0.1 Pokémon Dex Data'!V$3:V951,MATCH($E846,'0.0.1 Pokémon Dex Data'!$B$3:$B951,0)),0)</f>
        <v>163</v>
      </c>
      <c r="M846" s="260" t="n">
        <f aca="false" t="array" ref="M846:M846">INDEX('0.0.1 Pokémon Dex Data'!$J$3:$J951,MATCH(E846,'0.0.1 Pokémon Dex Data'!$B$3:$B951,0))</f>
        <v>0</v>
      </c>
      <c r="O846" s="490"/>
      <c r="Q846" s="367" t="n">
        <f aca="false">IF('Reverse Search'!$F$4="All (including temporary formes)",1,IF('Reverse Search'!$F$4="Base Pokémon and permanent formes only",IF(F846&lt;=1,1,0),IF(F846=0,1,0)))</f>
        <v>1</v>
      </c>
      <c r="R846" s="0" t="n">
        <f aca="false">IF('Reverse Search'!$C$7="Disable",1,IF('Reverse Search'!$D$9="Disable",1,IF(OR('Reverse Search'!$F$9=H846,'Reverse Search'!$F$9=I846),1,0)))</f>
        <v>1</v>
      </c>
      <c r="S846" s="0" t="n">
        <f aca="false">IF('Reverse Search'!$C$7="Disable",1,IF('Reverse Search'!$D$10="Disable",1,IF(OR('Reverse Search'!$F$10=H846,'Reverse Search'!$F$10=I846),1,0)))</f>
        <v>1</v>
      </c>
      <c r="T846" s="0" t="n">
        <f aca="false">INDEX($B$4:$B$22,MATCH(H846,$A$4:$A$22,0))</f>
        <v>1</v>
      </c>
      <c r="U846" s="0" t="e">
        <f aca="false">IF(ISBLANK(I846),1,INDEX($B$4:$B$22,MATCH(I846,$A$4:$A$22,0)))</f>
        <v>#N/A</v>
      </c>
      <c r="V846" s="367" t="n">
        <f aca="false">IF('Reverse Search'!$C$7="Disable",1,IF('Reverse Search'!$D$11="Disable",1,IF('Reverse Search'!$E$11="Neutral to:",IF(ROUND(T846*U846,2)&lt;=1,1,0),IF(ROUND(T846*U846,2)&lt;1,1,0))))</f>
        <v>1</v>
      </c>
      <c r="W846" s="0" t="n">
        <f aca="false">IF('Reverse Search'!$N$7="Disable",1,IF('Reverse Search'!$I$9="Disable",1,IF('Reverse Search'!$K$9="≥",IF(J846&gt;='Reverse Search'!$L$9,1,0),IF('Reverse Search'!$K$9="≤",IF(J846&lt;='Reverse Search'!$L$9,1,0),IF(J846='Reverse Search'!$L$9,1,0)))))</f>
        <v>1</v>
      </c>
      <c r="X846" s="0" t="n">
        <f aca="false">IF('Reverse Search'!$N$7="Disable",1,IF('Reverse Search'!$I$10="Disable",1,IF('Reverse Search'!$K$10="≥",IF(K846&gt;='Reverse Search'!$L$10,1,0),IF('Reverse Search'!$K$10="≤",IF(K846&lt;='Reverse Search'!$L$10,1,0),IF(K846='Reverse Search'!$L$10,1,0)))))</f>
        <v>1</v>
      </c>
      <c r="Y846" s="367" t="n">
        <f aca="false">IF('Reverse Search'!$N$7="Disable",1,IF('Reverse Search'!$I$11="Disable",1,IF('Reverse Search'!$K$11="≥",IF(L846&gt;='Reverse Search'!$L$11,1,0),IF('Reverse Search'!$K$11="≤",IF(L846&lt;='Reverse Search'!$L$11,1,0),IF(L846='Reverse Search'!$L$11,1,0)))))</f>
        <v>1</v>
      </c>
      <c r="Z846" s="0" t="n">
        <f aca="true">IF('Reverse Search'!$C$14="Disable",1,IF('Reverse Search'!$D$16="Disable",1,IF($C$2=3,IF($M846=0,0,COUNTIF(INDIRECT("'0.0.2 Pokémon Learnset (Core)'!$D$"&amp;MATCH($E846,'0.0.2 Pokémon Learnset (Core)'!$A$1:$A951,0)&amp;":$FK$"&amp;MATCH($E846,'0.0.2 Pokémon Learnset (Core)'!$A$1:$A951,0)),'Reverse Search'!$E$21)),IF($C$2=2,COUNTIF(INDIRECT("'0.1.1 Pokémon GO Moves'!$B$"&amp;MATCH($E846,'0.1.1 Pokémon GO Moves'!$A$1:$A951,0)&amp;":$R$"&amp;MATCH($E846,'0.1.1 Pokémon GO Moves'!$A$1:$A951,0)),'Reverse Search'!$E$21),COUNTIF(INDIRECT("'0.1.1 Pokémon GO Moves'!$B$"&amp;MATCH($E846,'0.1.1 Pokémon GO Moves'!$A$1:$A951,0)&amp;":$L$"&amp;MATCH($E846,'0.1.1 Pokémon GO Moves'!$A$1:$A951,0)),'Reverse Search'!$E$21)))))</f>
        <v>1</v>
      </c>
      <c r="AA846" s="0" t="n">
        <f aca="true">IF('Reverse Search'!$C$14="Disable",1,IF('Reverse Search'!$I$16="Disable",1,IF($D$2=3,IF($M846=0,0,COUNTIF(INDIRECT("'0.0.2 Pokémon Learnset (Core)'!$D$"&amp;MATCH($E846,'0.0.2 Pokémon Learnset (Core)'!$A$1:$A951,0)&amp;":$FK$"&amp;MATCH($E846,'0.0.2 Pokémon Learnset (Core)'!$A$1:$A951,0)),'Reverse Search'!$J$21)),IF($D$2=2,COUNTIF(INDIRECT("'0.1.1 Pokémon GO Moves'!$B$"&amp;MATCH($E846,'0.1.1 Pokémon GO Moves'!$A$1:$A951,0)&amp;":$R$"&amp;MATCH($E846,'0.1.1 Pokémon GO Moves'!$A$1:$A951,0)),'Reverse Search'!$J$21),COUNTIF(INDIRECT("'0.1.1 Pokémon GO Moves'!$B$"&amp;MATCH($E846,'0.1.1 Pokémon GO Moves'!$A$1:$A951,0)&amp;":$L$"&amp;MATCH($E846,'0.1.1 Pokémon GO Moves'!$A$1:$A951,0)),'Reverse Search'!$J$21)))))</f>
        <v>0</v>
      </c>
      <c r="AB846" s="490"/>
      <c r="AC846" s="260" t="n">
        <f aca="false">IF((Q846+R846+S846+V846+W846+X846+Y846+IF(Z846&gt;=1,1,0)+IF(AA846&gt;=1,1,0))=9,G846&amp;", ",)</f>
        <v>0</v>
      </c>
    </row>
    <row r="847" customFormat="false" ht="15.75" hidden="false" customHeight="false" outlineLevel="0" collapsed="false">
      <c r="A847" s="260"/>
      <c r="B847" s="358"/>
      <c r="C847" s="260"/>
      <c r="D847" s="358"/>
      <c r="E847" s="260" t="n">
        <v>846</v>
      </c>
      <c r="F847" s="260" t="n">
        <f aca="false" t="array" ref="F847:F847">INDEX('0.0.1 Pokémon Dex Data'!$H$3:$H951,MATCH(E847,'0.0.1 Pokémon Dex Data'!$B$3:$B951,0))</f>
        <v>0</v>
      </c>
      <c r="G847" s="0" t="str">
        <f aca="false" t="array" ref="G847:G847">INDEX('0.0.1 Pokémon Dex Data'!$E$3:$E951,MATCH(E847,'0.0.1 Pokémon Dex Data'!$B$3:$B951,0))</f>
        <v>Incineroar</v>
      </c>
      <c r="H847" s="0" t="str">
        <f aca="false" t="array" ref="H847:H847">INDEX('0.0.1 Pokémon Dex Data'!$Q$3:$Q951,MATCH(E847,'0.0.1 Pokémon Dex Data'!$B$3:$B951,0))</f>
        <v>Fire</v>
      </c>
      <c r="I847" s="0" t="str">
        <f aca="false" t="array" ref="I847:I847">INDEX('0.0.1 Pokémon Dex Data'!$R$3:$R951,MATCH(E847,'0.0.1 Pokémon Dex Data'!$B$3:$B951,0))</f>
        <v>Dark</v>
      </c>
      <c r="J847" s="260" t="n">
        <f aca="false" t="array" ref="J847:J847">ROUND(INDEX('0.0.1 Pokémon Dex Data'!$S$3:$S951,MATCH($E847,'0.0.1 Pokémon Dex Data'!$B$3:$B951,0))*INDEX('0.0.1 Pokémon Dex Data'!T$3:T951,MATCH($E847,'0.0.1 Pokémon Dex Data'!$B$3:$B951,0)),0)</f>
        <v>214</v>
      </c>
      <c r="K847" s="260" t="n">
        <f aca="false" t="array" ref="K847:K847">ROUND(INDEX('0.0.1 Pokémon Dex Data'!$S$3:$S951,MATCH($E847,'0.0.1 Pokémon Dex Data'!$B$3:$B951,0))*INDEX('0.0.1 Pokémon Dex Data'!U$3:U951,MATCH($E847,'0.0.1 Pokémon Dex Data'!$B$3:$B951,0)),0)</f>
        <v>175</v>
      </c>
      <c r="L847" s="260" t="n">
        <f aca="false" t="array" ref="L847:L847">ROUND(INDEX('0.0.1 Pokémon Dex Data'!$S$3:$S951,MATCH($E847,'0.0.1 Pokémon Dex Data'!$B$3:$B951,0))*INDEX('0.0.1 Pokémon Dex Data'!V$3:V951,MATCH($E847,'0.0.1 Pokémon Dex Data'!$B$3:$B951,0)),0)</f>
        <v>216</v>
      </c>
      <c r="M847" s="260" t="n">
        <f aca="false" t="array" ref="M847:M847">INDEX('0.0.1 Pokémon Dex Data'!$J$3:$J951,MATCH(E847,'0.0.1 Pokémon Dex Data'!$B$3:$B951,0))</f>
        <v>1</v>
      </c>
      <c r="O847" s="490"/>
      <c r="Q847" s="367" t="n">
        <f aca="false">IF('Reverse Search'!$F$4="All (including temporary formes)",1,IF('Reverse Search'!$F$4="Base Pokémon and permanent formes only",IF(F847&lt;=1,1,0),IF(F847=0,1,0)))</f>
        <v>1</v>
      </c>
      <c r="R847" s="0" t="n">
        <f aca="false">IF('Reverse Search'!$C$7="Disable",1,IF('Reverse Search'!$D$9="Disable",1,IF(OR('Reverse Search'!$F$9=H847,'Reverse Search'!$F$9=I847),1,0)))</f>
        <v>1</v>
      </c>
      <c r="S847" s="0" t="n">
        <f aca="false">IF('Reverse Search'!$C$7="Disable",1,IF('Reverse Search'!$D$10="Disable",1,IF(OR('Reverse Search'!$F$10=H847,'Reverse Search'!$F$10=I847),1,0)))</f>
        <v>1</v>
      </c>
      <c r="T847" s="0" t="n">
        <f aca="false">INDEX($B$4:$B$22,MATCH(H847,$A$4:$A$22,0))</f>
        <v>1</v>
      </c>
      <c r="U847" s="0" t="n">
        <f aca="false">IF(ISBLANK(I847),1,INDEX($B$4:$B$22,MATCH(I847,$A$4:$A$22,0)))</f>
        <v>1</v>
      </c>
      <c r="V847" s="367" t="n">
        <f aca="false">IF('Reverse Search'!$C$7="Disable",1,IF('Reverse Search'!$D$11="Disable",1,IF('Reverse Search'!$E$11="Neutral to:",IF(ROUND(T847*U847,2)&lt;=1,1,0),IF(ROUND(T847*U847,2)&lt;1,1,0))))</f>
        <v>1</v>
      </c>
      <c r="W847" s="0" t="n">
        <f aca="false">IF('Reverse Search'!$N$7="Disable",1,IF('Reverse Search'!$I$9="Disable",1,IF('Reverse Search'!$K$9="≥",IF(J847&gt;='Reverse Search'!$L$9,1,0),IF('Reverse Search'!$K$9="≤",IF(J847&lt;='Reverse Search'!$L$9,1,0),IF(J847='Reverse Search'!$L$9,1,0)))))</f>
        <v>1</v>
      </c>
      <c r="X847" s="0" t="n">
        <f aca="false">IF('Reverse Search'!$N$7="Disable",1,IF('Reverse Search'!$I$10="Disable",1,IF('Reverse Search'!$K$10="≥",IF(K847&gt;='Reverse Search'!$L$10,1,0),IF('Reverse Search'!$K$10="≤",IF(K847&lt;='Reverse Search'!$L$10,1,0),IF(K847='Reverse Search'!$L$10,1,0)))))</f>
        <v>1</v>
      </c>
      <c r="Y847" s="367" t="n">
        <f aca="false">IF('Reverse Search'!$N$7="Disable",1,IF('Reverse Search'!$I$11="Disable",1,IF('Reverse Search'!$K$11="≥",IF(L847&gt;='Reverse Search'!$L$11,1,0),IF('Reverse Search'!$K$11="≤",IF(L847&lt;='Reverse Search'!$L$11,1,0),IF(L847='Reverse Search'!$L$11,1,0)))))</f>
        <v>1</v>
      </c>
      <c r="Z847" s="0" t="n">
        <f aca="true">IF('Reverse Search'!$C$14="Disable",1,IF('Reverse Search'!$D$16="Disable",1,IF($C$2=3,IF($M847=0,0,COUNTIF(INDIRECT("'0.0.2 Pokémon Learnset (Core)'!$D$"&amp;MATCH($E847,'0.0.2 Pokémon Learnset (Core)'!$A$1:$A951,0)&amp;":$FK$"&amp;MATCH($E847,'0.0.2 Pokémon Learnset (Core)'!$A$1:$A951,0)),'Reverse Search'!$E$21)),IF($C$2=2,COUNTIF(INDIRECT("'0.1.1 Pokémon GO Moves'!$B$"&amp;MATCH($E847,'0.1.1 Pokémon GO Moves'!$A$1:$A951,0)&amp;":$R$"&amp;MATCH($E847,'0.1.1 Pokémon GO Moves'!$A$1:$A951,0)),'Reverse Search'!$E$21),COUNTIF(INDIRECT("'0.1.1 Pokémon GO Moves'!$B$"&amp;MATCH($E847,'0.1.1 Pokémon GO Moves'!$A$1:$A951,0)&amp;":$L$"&amp;MATCH($E847,'0.1.1 Pokémon GO Moves'!$A$1:$A951,0)),'Reverse Search'!$E$21)))))</f>
        <v>1</v>
      </c>
      <c r="AA847" s="0" t="n">
        <f aca="true">IF('Reverse Search'!$C$14="Disable",1,IF('Reverse Search'!$I$16="Disable",1,IF($D$2=3,IF($M847=0,0,COUNTIF(INDIRECT("'0.0.2 Pokémon Learnset (Core)'!$D$"&amp;MATCH($E847,'0.0.2 Pokémon Learnset (Core)'!$A$1:$A951,0)&amp;":$FK$"&amp;MATCH($E847,'0.0.2 Pokémon Learnset (Core)'!$A$1:$A951,0)),'Reverse Search'!$J$21)),IF($D$2=2,COUNTIF(INDIRECT("'0.1.1 Pokémon GO Moves'!$B$"&amp;MATCH($E847,'0.1.1 Pokémon GO Moves'!$A$1:$A951,0)&amp;":$R$"&amp;MATCH($E847,'0.1.1 Pokémon GO Moves'!$A$1:$A951,0)),'Reverse Search'!$J$21),COUNTIF(INDIRECT("'0.1.1 Pokémon GO Moves'!$B$"&amp;MATCH($E847,'0.1.1 Pokémon GO Moves'!$A$1:$A951,0)&amp;":$L$"&amp;MATCH($E847,'0.1.1 Pokémon GO Moves'!$A$1:$A951,0)),'Reverse Search'!$J$21)))))</f>
        <v>0</v>
      </c>
      <c r="AB847" s="490"/>
      <c r="AC847" s="260" t="n">
        <f aca="false">IF((Q847+R847+S847+V847+W847+X847+Y847+IF(Z847&gt;=1,1,0)+IF(AA847&gt;=1,1,0))=9,G847&amp;", ",)</f>
        <v>0</v>
      </c>
    </row>
    <row r="848" customFormat="false" ht="15.75" hidden="false" customHeight="false" outlineLevel="0" collapsed="false">
      <c r="A848" s="260"/>
      <c r="B848" s="358"/>
      <c r="C848" s="260"/>
      <c r="D848" s="358"/>
      <c r="E848" s="260" t="n">
        <v>847</v>
      </c>
      <c r="F848" s="260" t="n">
        <f aca="false" t="array" ref="F848:F848">INDEX('0.0.1 Pokémon Dex Data'!$H$3:$H951,MATCH(E848,'0.0.1 Pokémon Dex Data'!$B$3:$B951,0))</f>
        <v>0</v>
      </c>
      <c r="G848" s="0" t="str">
        <f aca="false" t="array" ref="G848:G848">INDEX('0.0.1 Pokémon Dex Data'!$E$3:$E951,MATCH(E848,'0.0.1 Pokémon Dex Data'!$B$3:$B951,0))</f>
        <v>Popplio</v>
      </c>
      <c r="H848" s="0" t="str">
        <f aca="false" t="array" ref="H848:H848">INDEX('0.0.1 Pokémon Dex Data'!$Q$3:$Q951,MATCH(E848,'0.0.1 Pokémon Dex Data'!$B$3:$B951,0))</f>
        <v>Water</v>
      </c>
      <c r="I848" s="0" t="n">
        <f aca="false">INDEX('0.0.1 Pokémon Dex Data'!$R$3:$R951,MATCH(E848,'0.0.1 Pokémon Dex Data'!$B$3:$B951,0))</f>
        <v>0</v>
      </c>
      <c r="J848" s="260" t="n">
        <f aca="false" t="array" ref="J848:J848">ROUND(INDEX('0.0.1 Pokémon Dex Data'!$S$3:$S951,MATCH($E848,'0.0.1 Pokémon Dex Data'!$B$3:$B951,0))*INDEX('0.0.1 Pokémon Dex Data'!T$3:T951,MATCH($E848,'0.0.1 Pokémon Dex Data'!$B$3:$B951,0)),0)</f>
        <v>120</v>
      </c>
      <c r="K848" s="260" t="n">
        <f aca="false" t="array" ref="K848:K848">ROUND(INDEX('0.0.1 Pokémon Dex Data'!$S$3:$S951,MATCH($E848,'0.0.1 Pokémon Dex Data'!$B$3:$B951,0))*INDEX('0.0.1 Pokémon Dex Data'!U$3:U951,MATCH($E848,'0.0.1 Pokémon Dex Data'!$B$3:$B951,0)),0)</f>
        <v>103</v>
      </c>
      <c r="L848" s="260" t="n">
        <f aca="false" t="array" ref="L848:L848">ROUND(INDEX('0.0.1 Pokémon Dex Data'!$S$3:$S951,MATCH($E848,'0.0.1 Pokémon Dex Data'!$B$3:$B951,0))*INDEX('0.0.1 Pokémon Dex Data'!V$3:V951,MATCH($E848,'0.0.1 Pokémon Dex Data'!$B$3:$B951,0)),0)</f>
        <v>137</v>
      </c>
      <c r="M848" s="260" t="n">
        <f aca="false" t="array" ref="M848:M848">INDEX('0.0.1 Pokémon Dex Data'!$J$3:$J951,MATCH(E848,'0.0.1 Pokémon Dex Data'!$B$3:$B951,0))</f>
        <v>0</v>
      </c>
      <c r="O848" s="490"/>
      <c r="Q848" s="367" t="n">
        <f aca="false">IF('Reverse Search'!$F$4="All (including temporary formes)",1,IF('Reverse Search'!$F$4="Base Pokémon and permanent formes only",IF(F848&lt;=1,1,0),IF(F848=0,1,0)))</f>
        <v>1</v>
      </c>
      <c r="R848" s="0" t="n">
        <f aca="false">IF('Reverse Search'!$C$7="Disable",1,IF('Reverse Search'!$D$9="Disable",1,IF(OR('Reverse Search'!$F$9=H848,'Reverse Search'!$F$9=I848),1,0)))</f>
        <v>1</v>
      </c>
      <c r="S848" s="0" t="n">
        <f aca="false">IF('Reverse Search'!$C$7="Disable",1,IF('Reverse Search'!$D$10="Disable",1,IF(OR('Reverse Search'!$F$10=H848,'Reverse Search'!$F$10=I848),1,0)))</f>
        <v>1</v>
      </c>
      <c r="T848" s="0" t="n">
        <f aca="false">INDEX($B$4:$B$22,MATCH(H848,$A$4:$A$22,0))</f>
        <v>1</v>
      </c>
      <c r="U848" s="0" t="e">
        <f aca="false">IF(ISBLANK(I848),1,INDEX($B$4:$B$22,MATCH(I848,$A$4:$A$22,0)))</f>
        <v>#N/A</v>
      </c>
      <c r="V848" s="367" t="n">
        <f aca="false">IF('Reverse Search'!$C$7="Disable",1,IF('Reverse Search'!$D$11="Disable",1,IF('Reverse Search'!$E$11="Neutral to:",IF(ROUND(T848*U848,2)&lt;=1,1,0),IF(ROUND(T848*U848,2)&lt;1,1,0))))</f>
        <v>1</v>
      </c>
      <c r="W848" s="0" t="n">
        <f aca="false">IF('Reverse Search'!$N$7="Disable",1,IF('Reverse Search'!$I$9="Disable",1,IF('Reverse Search'!$K$9="≥",IF(J848&gt;='Reverse Search'!$L$9,1,0),IF('Reverse Search'!$K$9="≤",IF(J848&lt;='Reverse Search'!$L$9,1,0),IF(J848='Reverse Search'!$L$9,1,0)))))</f>
        <v>1</v>
      </c>
      <c r="X848" s="0" t="n">
        <f aca="false">IF('Reverse Search'!$N$7="Disable",1,IF('Reverse Search'!$I$10="Disable",1,IF('Reverse Search'!$K$10="≥",IF(K848&gt;='Reverse Search'!$L$10,1,0),IF('Reverse Search'!$K$10="≤",IF(K848&lt;='Reverse Search'!$L$10,1,0),IF(K848='Reverse Search'!$L$10,1,0)))))</f>
        <v>1</v>
      </c>
      <c r="Y848" s="367" t="n">
        <f aca="false">IF('Reverse Search'!$N$7="Disable",1,IF('Reverse Search'!$I$11="Disable",1,IF('Reverse Search'!$K$11="≥",IF(L848&gt;='Reverse Search'!$L$11,1,0),IF('Reverse Search'!$K$11="≤",IF(L848&lt;='Reverse Search'!$L$11,1,0),IF(L848='Reverse Search'!$L$11,1,0)))))</f>
        <v>1</v>
      </c>
      <c r="Z848" s="0" t="n">
        <f aca="true">IF('Reverse Search'!$C$14="Disable",1,IF('Reverse Search'!$D$16="Disable",1,IF($C$2=3,IF($M848=0,0,COUNTIF(INDIRECT("'0.0.2 Pokémon Learnset (Core)'!$D$"&amp;MATCH($E848,'0.0.2 Pokémon Learnset (Core)'!$A$1:$A951,0)&amp;":$FK$"&amp;MATCH($E848,'0.0.2 Pokémon Learnset (Core)'!$A$1:$A951,0)),'Reverse Search'!$E$21)),IF($C$2=2,COUNTIF(INDIRECT("'0.1.1 Pokémon GO Moves'!$B$"&amp;MATCH($E848,'0.1.1 Pokémon GO Moves'!$A$1:$A951,0)&amp;":$R$"&amp;MATCH($E848,'0.1.1 Pokémon GO Moves'!$A$1:$A951,0)),'Reverse Search'!$E$21),COUNTIF(INDIRECT("'0.1.1 Pokémon GO Moves'!$B$"&amp;MATCH($E848,'0.1.1 Pokémon GO Moves'!$A$1:$A951,0)&amp;":$L$"&amp;MATCH($E848,'0.1.1 Pokémon GO Moves'!$A$1:$A951,0)),'Reverse Search'!$E$21)))))</f>
        <v>1</v>
      </c>
      <c r="AA848" s="0" t="n">
        <f aca="true">IF('Reverse Search'!$C$14="Disable",1,IF('Reverse Search'!$I$16="Disable",1,IF($D$2=3,IF($M848=0,0,COUNTIF(INDIRECT("'0.0.2 Pokémon Learnset (Core)'!$D$"&amp;MATCH($E848,'0.0.2 Pokémon Learnset (Core)'!$A$1:$A951,0)&amp;":$FK$"&amp;MATCH($E848,'0.0.2 Pokémon Learnset (Core)'!$A$1:$A951,0)),'Reverse Search'!$J$21)),IF($D$2=2,COUNTIF(INDIRECT("'0.1.1 Pokémon GO Moves'!$B$"&amp;MATCH($E848,'0.1.1 Pokémon GO Moves'!$A$1:$A951,0)&amp;":$R$"&amp;MATCH($E848,'0.1.1 Pokémon GO Moves'!$A$1:$A951,0)),'Reverse Search'!$J$21),COUNTIF(INDIRECT("'0.1.1 Pokémon GO Moves'!$B$"&amp;MATCH($E848,'0.1.1 Pokémon GO Moves'!$A$1:$A951,0)&amp;":$L$"&amp;MATCH($E848,'0.1.1 Pokémon GO Moves'!$A$1:$A951,0)),'Reverse Search'!$J$21)))))</f>
        <v>0</v>
      </c>
      <c r="AB848" s="490"/>
      <c r="AC848" s="260" t="n">
        <f aca="false">IF((Q848+R848+S848+V848+W848+X848+Y848+IF(Z848&gt;=1,1,0)+IF(AA848&gt;=1,1,0))=9,G848&amp;", ",)</f>
        <v>0</v>
      </c>
    </row>
    <row r="849" customFormat="false" ht="15.75" hidden="false" customHeight="false" outlineLevel="0" collapsed="false">
      <c r="A849" s="260"/>
      <c r="B849" s="358"/>
      <c r="C849" s="260"/>
      <c r="D849" s="358"/>
      <c r="E849" s="260" t="n">
        <v>848</v>
      </c>
      <c r="F849" s="260" t="n">
        <f aca="false" t="array" ref="F849:F849">INDEX('0.0.1 Pokémon Dex Data'!$H$3:$H951,MATCH(E849,'0.0.1 Pokémon Dex Data'!$B$3:$B951,0))</f>
        <v>0</v>
      </c>
      <c r="G849" s="0" t="str">
        <f aca="false" t="array" ref="G849:G849">INDEX('0.0.1 Pokémon Dex Data'!$E$3:$E951,MATCH(E849,'0.0.1 Pokémon Dex Data'!$B$3:$B951,0))</f>
        <v>Brionne</v>
      </c>
      <c r="H849" s="0" t="str">
        <f aca="false" t="array" ref="H849:H849">INDEX('0.0.1 Pokémon Dex Data'!$Q$3:$Q951,MATCH(E849,'0.0.1 Pokémon Dex Data'!$B$3:$B951,0))</f>
        <v>Water</v>
      </c>
      <c r="I849" s="0" t="n">
        <f aca="false">INDEX('0.0.1 Pokémon Dex Data'!$R$3:$R951,MATCH(E849,'0.0.1 Pokémon Dex Data'!$B$3:$B951,0))</f>
        <v>0</v>
      </c>
      <c r="J849" s="260" t="n">
        <f aca="false" t="array" ref="J849:J849">ROUND(INDEX('0.0.1 Pokémon Dex Data'!$S$3:$S951,MATCH($E849,'0.0.1 Pokémon Dex Data'!$B$3:$B951,0))*INDEX('0.0.1 Pokémon Dex Data'!T$3:T951,MATCH($E849,'0.0.1 Pokémon Dex Data'!$B$3:$B951,0)),0)</f>
        <v>168</v>
      </c>
      <c r="K849" s="260" t="n">
        <f aca="false" t="array" ref="K849:K849">ROUND(INDEX('0.0.1 Pokémon Dex Data'!$S$3:$S951,MATCH($E849,'0.0.1 Pokémon Dex Data'!$B$3:$B951,0))*INDEX('0.0.1 Pokémon Dex Data'!U$3:U951,MATCH($E849,'0.0.1 Pokémon Dex Data'!$B$3:$B951,0)),0)</f>
        <v>145</v>
      </c>
      <c r="L849" s="260" t="n">
        <f aca="false" t="array" ref="L849:L849">ROUND(INDEX('0.0.1 Pokémon Dex Data'!$S$3:$S951,MATCH($E849,'0.0.1 Pokémon Dex Data'!$B$3:$B951,0))*INDEX('0.0.1 Pokémon Dex Data'!V$3:V951,MATCH($E849,'0.0.1 Pokémon Dex Data'!$B$3:$B951,0)),0)</f>
        <v>155</v>
      </c>
      <c r="M849" s="260" t="n">
        <f aca="false" t="array" ref="M849:M849">INDEX('0.0.1 Pokémon Dex Data'!$J$3:$J951,MATCH(E849,'0.0.1 Pokémon Dex Data'!$B$3:$B951,0))</f>
        <v>0</v>
      </c>
      <c r="O849" s="490"/>
      <c r="Q849" s="367" t="n">
        <f aca="false">IF('Reverse Search'!$F$4="All (including temporary formes)",1,IF('Reverse Search'!$F$4="Base Pokémon and permanent formes only",IF(F849&lt;=1,1,0),IF(F849=0,1,0)))</f>
        <v>1</v>
      </c>
      <c r="R849" s="0" t="n">
        <f aca="false">IF('Reverse Search'!$C$7="Disable",1,IF('Reverse Search'!$D$9="Disable",1,IF(OR('Reverse Search'!$F$9=H849,'Reverse Search'!$F$9=I849),1,0)))</f>
        <v>1</v>
      </c>
      <c r="S849" s="0" t="n">
        <f aca="false">IF('Reverse Search'!$C$7="Disable",1,IF('Reverse Search'!$D$10="Disable",1,IF(OR('Reverse Search'!$F$10=H849,'Reverse Search'!$F$10=I849),1,0)))</f>
        <v>1</v>
      </c>
      <c r="T849" s="0" t="n">
        <f aca="false">INDEX($B$4:$B$22,MATCH(H849,$A$4:$A$22,0))</f>
        <v>1</v>
      </c>
      <c r="U849" s="0" t="e">
        <f aca="false">IF(ISBLANK(I849),1,INDEX($B$4:$B$22,MATCH(I849,$A$4:$A$22,0)))</f>
        <v>#N/A</v>
      </c>
      <c r="V849" s="367" t="n">
        <f aca="false">IF('Reverse Search'!$C$7="Disable",1,IF('Reverse Search'!$D$11="Disable",1,IF('Reverse Search'!$E$11="Neutral to:",IF(ROUND(T849*U849,2)&lt;=1,1,0),IF(ROUND(T849*U849,2)&lt;1,1,0))))</f>
        <v>1</v>
      </c>
      <c r="W849" s="0" t="n">
        <f aca="false">IF('Reverse Search'!$N$7="Disable",1,IF('Reverse Search'!$I$9="Disable",1,IF('Reverse Search'!$K$9="≥",IF(J849&gt;='Reverse Search'!$L$9,1,0),IF('Reverse Search'!$K$9="≤",IF(J849&lt;='Reverse Search'!$L$9,1,0),IF(J849='Reverse Search'!$L$9,1,0)))))</f>
        <v>1</v>
      </c>
      <c r="X849" s="0" t="n">
        <f aca="false">IF('Reverse Search'!$N$7="Disable",1,IF('Reverse Search'!$I$10="Disable",1,IF('Reverse Search'!$K$10="≥",IF(K849&gt;='Reverse Search'!$L$10,1,0),IF('Reverse Search'!$K$10="≤",IF(K849&lt;='Reverse Search'!$L$10,1,0),IF(K849='Reverse Search'!$L$10,1,0)))))</f>
        <v>1</v>
      </c>
      <c r="Y849" s="367" t="n">
        <f aca="false">IF('Reverse Search'!$N$7="Disable",1,IF('Reverse Search'!$I$11="Disable",1,IF('Reverse Search'!$K$11="≥",IF(L849&gt;='Reverse Search'!$L$11,1,0),IF('Reverse Search'!$K$11="≤",IF(L849&lt;='Reverse Search'!$L$11,1,0),IF(L849='Reverse Search'!$L$11,1,0)))))</f>
        <v>1</v>
      </c>
      <c r="Z849" s="0" t="n">
        <f aca="true">IF('Reverse Search'!$C$14="Disable",1,IF('Reverse Search'!$D$16="Disable",1,IF($C$2=3,IF($M849=0,0,COUNTIF(INDIRECT("'0.0.2 Pokémon Learnset (Core)'!$D$"&amp;MATCH($E849,'0.0.2 Pokémon Learnset (Core)'!$A$1:$A951,0)&amp;":$FK$"&amp;MATCH($E849,'0.0.2 Pokémon Learnset (Core)'!$A$1:$A951,0)),'Reverse Search'!$E$21)),IF($C$2=2,COUNTIF(INDIRECT("'0.1.1 Pokémon GO Moves'!$B$"&amp;MATCH($E849,'0.1.1 Pokémon GO Moves'!$A$1:$A951,0)&amp;":$R$"&amp;MATCH($E849,'0.1.1 Pokémon GO Moves'!$A$1:$A951,0)),'Reverse Search'!$E$21),COUNTIF(INDIRECT("'0.1.1 Pokémon GO Moves'!$B$"&amp;MATCH($E849,'0.1.1 Pokémon GO Moves'!$A$1:$A951,0)&amp;":$L$"&amp;MATCH($E849,'0.1.1 Pokémon GO Moves'!$A$1:$A951,0)),'Reverse Search'!$E$21)))))</f>
        <v>1</v>
      </c>
      <c r="AA849" s="0" t="n">
        <f aca="true">IF('Reverse Search'!$C$14="Disable",1,IF('Reverse Search'!$I$16="Disable",1,IF($D$2=3,IF($M849=0,0,COUNTIF(INDIRECT("'0.0.2 Pokémon Learnset (Core)'!$D$"&amp;MATCH($E849,'0.0.2 Pokémon Learnset (Core)'!$A$1:$A951,0)&amp;":$FK$"&amp;MATCH($E849,'0.0.2 Pokémon Learnset (Core)'!$A$1:$A951,0)),'Reverse Search'!$J$21)),IF($D$2=2,COUNTIF(INDIRECT("'0.1.1 Pokémon GO Moves'!$B$"&amp;MATCH($E849,'0.1.1 Pokémon GO Moves'!$A$1:$A951,0)&amp;":$R$"&amp;MATCH($E849,'0.1.1 Pokémon GO Moves'!$A$1:$A951,0)),'Reverse Search'!$J$21),COUNTIF(INDIRECT("'0.1.1 Pokémon GO Moves'!$B$"&amp;MATCH($E849,'0.1.1 Pokémon GO Moves'!$A$1:$A951,0)&amp;":$L$"&amp;MATCH($E849,'0.1.1 Pokémon GO Moves'!$A$1:$A951,0)),'Reverse Search'!$J$21)))))</f>
        <v>0</v>
      </c>
      <c r="AB849" s="490"/>
      <c r="AC849" s="260" t="n">
        <f aca="false">IF((Q849+R849+S849+V849+W849+X849+Y849+IF(Z849&gt;=1,1,0)+IF(AA849&gt;=1,1,0))=9,G849&amp;", ",)</f>
        <v>0</v>
      </c>
    </row>
    <row r="850" customFormat="false" ht="15.75" hidden="false" customHeight="false" outlineLevel="0" collapsed="false">
      <c r="A850" s="260"/>
      <c r="B850" s="358"/>
      <c r="C850" s="260"/>
      <c r="D850" s="358"/>
      <c r="E850" s="260" t="n">
        <v>849</v>
      </c>
      <c r="F850" s="260" t="n">
        <f aca="false" t="array" ref="F850:F850">INDEX('0.0.1 Pokémon Dex Data'!$H$3:$H951,MATCH(E850,'0.0.1 Pokémon Dex Data'!$B$3:$B951,0))</f>
        <v>0</v>
      </c>
      <c r="G850" s="0" t="str">
        <f aca="false" t="array" ref="G850:G850">INDEX('0.0.1 Pokémon Dex Data'!$E$3:$E951,MATCH(E850,'0.0.1 Pokémon Dex Data'!$B$3:$B951,0))</f>
        <v>Primarina</v>
      </c>
      <c r="H850" s="0" t="str">
        <f aca="false" t="array" ref="H850:H850">INDEX('0.0.1 Pokémon Dex Data'!$Q$3:$Q951,MATCH(E850,'0.0.1 Pokémon Dex Data'!$B$3:$B951,0))</f>
        <v>Water</v>
      </c>
      <c r="I850" s="0" t="str">
        <f aca="false" t="array" ref="I850:I850">INDEX('0.0.1 Pokémon Dex Data'!$R$3:$R951,MATCH(E850,'0.0.1 Pokémon Dex Data'!$B$3:$B951,0))</f>
        <v>Fairy</v>
      </c>
      <c r="J850" s="260" t="n">
        <f aca="false" t="array" ref="J850:J850">ROUND(INDEX('0.0.1 Pokémon Dex Data'!$S$3:$S951,MATCH($E850,'0.0.1 Pokémon Dex Data'!$B$3:$B951,0))*INDEX('0.0.1 Pokémon Dex Data'!T$3:T951,MATCH($E850,'0.0.1 Pokémon Dex Data'!$B$3:$B951,0)),0)</f>
        <v>232</v>
      </c>
      <c r="K850" s="260" t="n">
        <f aca="false" t="array" ref="K850:K850">ROUND(INDEX('0.0.1 Pokémon Dex Data'!$S$3:$S951,MATCH($E850,'0.0.1 Pokémon Dex Data'!$B$3:$B951,0))*INDEX('0.0.1 Pokémon Dex Data'!U$3:U951,MATCH($E850,'0.0.1 Pokémon Dex Data'!$B$3:$B951,0)),0)</f>
        <v>195</v>
      </c>
      <c r="L850" s="260" t="n">
        <f aca="false" t="array" ref="L850:L850">ROUND(INDEX('0.0.1 Pokémon Dex Data'!$S$3:$S951,MATCH($E850,'0.0.1 Pokémon Dex Data'!$B$3:$B951,0))*INDEX('0.0.1 Pokémon Dex Data'!V$3:V951,MATCH($E850,'0.0.1 Pokémon Dex Data'!$B$3:$B951,0)),0)</f>
        <v>190</v>
      </c>
      <c r="M850" s="260" t="n">
        <f aca="false" t="array" ref="M850:M850">INDEX('0.0.1 Pokémon Dex Data'!$J$3:$J951,MATCH(E850,'0.0.1 Pokémon Dex Data'!$B$3:$B951,0))</f>
        <v>1</v>
      </c>
      <c r="O850" s="490"/>
      <c r="Q850" s="367" t="n">
        <f aca="false">IF('Reverse Search'!$F$4="All (including temporary formes)",1,IF('Reverse Search'!$F$4="Base Pokémon and permanent formes only",IF(F850&lt;=1,1,0),IF(F850=0,1,0)))</f>
        <v>1</v>
      </c>
      <c r="R850" s="0" t="n">
        <f aca="false">IF('Reverse Search'!$C$7="Disable",1,IF('Reverse Search'!$D$9="Disable",1,IF(OR('Reverse Search'!$F$9=H850,'Reverse Search'!$F$9=I850),1,0)))</f>
        <v>1</v>
      </c>
      <c r="S850" s="0" t="n">
        <f aca="false">IF('Reverse Search'!$C$7="Disable",1,IF('Reverse Search'!$D$10="Disable",1,IF(OR('Reverse Search'!$F$10=H850,'Reverse Search'!$F$10=I850),1,0)))</f>
        <v>1</v>
      </c>
      <c r="T850" s="0" t="n">
        <f aca="false">INDEX($B$4:$B$22,MATCH(H850,$A$4:$A$22,0))</f>
        <v>1</v>
      </c>
      <c r="U850" s="0" t="n">
        <f aca="false">IF(ISBLANK(I850),1,INDEX($B$4:$B$22,MATCH(I850,$A$4:$A$22,0)))</f>
        <v>1</v>
      </c>
      <c r="V850" s="367" t="n">
        <f aca="false">IF('Reverse Search'!$C$7="Disable",1,IF('Reverse Search'!$D$11="Disable",1,IF('Reverse Search'!$E$11="Neutral to:",IF(ROUND(T850*U850,2)&lt;=1,1,0),IF(ROUND(T850*U850,2)&lt;1,1,0))))</f>
        <v>1</v>
      </c>
      <c r="W850" s="0" t="n">
        <f aca="false">IF('Reverse Search'!$N$7="Disable",1,IF('Reverse Search'!$I$9="Disable",1,IF('Reverse Search'!$K$9="≥",IF(J850&gt;='Reverse Search'!$L$9,1,0),IF('Reverse Search'!$K$9="≤",IF(J850&lt;='Reverse Search'!$L$9,1,0),IF(J850='Reverse Search'!$L$9,1,0)))))</f>
        <v>1</v>
      </c>
      <c r="X850" s="0" t="n">
        <f aca="false">IF('Reverse Search'!$N$7="Disable",1,IF('Reverse Search'!$I$10="Disable",1,IF('Reverse Search'!$K$10="≥",IF(K850&gt;='Reverse Search'!$L$10,1,0),IF('Reverse Search'!$K$10="≤",IF(K850&lt;='Reverse Search'!$L$10,1,0),IF(K850='Reverse Search'!$L$10,1,0)))))</f>
        <v>1</v>
      </c>
      <c r="Y850" s="367" t="n">
        <f aca="false">IF('Reverse Search'!$N$7="Disable",1,IF('Reverse Search'!$I$11="Disable",1,IF('Reverse Search'!$K$11="≥",IF(L850&gt;='Reverse Search'!$L$11,1,0),IF('Reverse Search'!$K$11="≤",IF(L850&lt;='Reverse Search'!$L$11,1,0),IF(L850='Reverse Search'!$L$11,1,0)))))</f>
        <v>1</v>
      </c>
      <c r="Z850" s="0" t="n">
        <f aca="true">IF('Reverse Search'!$C$14="Disable",1,IF('Reverse Search'!$D$16="Disable",1,IF($C$2=3,IF($M850=0,0,COUNTIF(INDIRECT("'0.0.2 Pokémon Learnset (Core)'!$D$"&amp;MATCH($E850,'0.0.2 Pokémon Learnset (Core)'!$A$1:$A951,0)&amp;":$FK$"&amp;MATCH($E850,'0.0.2 Pokémon Learnset (Core)'!$A$1:$A951,0)),'Reverse Search'!$E$21)),IF($C$2=2,COUNTIF(INDIRECT("'0.1.1 Pokémon GO Moves'!$B$"&amp;MATCH($E850,'0.1.1 Pokémon GO Moves'!$A$1:$A951,0)&amp;":$R$"&amp;MATCH($E850,'0.1.1 Pokémon GO Moves'!$A$1:$A951,0)),'Reverse Search'!$E$21),COUNTIF(INDIRECT("'0.1.1 Pokémon GO Moves'!$B$"&amp;MATCH($E850,'0.1.1 Pokémon GO Moves'!$A$1:$A951,0)&amp;":$L$"&amp;MATCH($E850,'0.1.1 Pokémon GO Moves'!$A$1:$A951,0)),'Reverse Search'!$E$21)))))</f>
        <v>1</v>
      </c>
      <c r="AA850" s="0" t="n">
        <f aca="true">IF('Reverse Search'!$C$14="Disable",1,IF('Reverse Search'!$I$16="Disable",1,IF($D$2=3,IF($M850=0,0,COUNTIF(INDIRECT("'0.0.2 Pokémon Learnset (Core)'!$D$"&amp;MATCH($E850,'0.0.2 Pokémon Learnset (Core)'!$A$1:$A951,0)&amp;":$FK$"&amp;MATCH($E850,'0.0.2 Pokémon Learnset (Core)'!$A$1:$A951,0)),'Reverse Search'!$J$21)),IF($D$2=2,COUNTIF(INDIRECT("'0.1.1 Pokémon GO Moves'!$B$"&amp;MATCH($E850,'0.1.1 Pokémon GO Moves'!$A$1:$A951,0)&amp;":$R$"&amp;MATCH($E850,'0.1.1 Pokémon GO Moves'!$A$1:$A951,0)),'Reverse Search'!$J$21),COUNTIF(INDIRECT("'0.1.1 Pokémon GO Moves'!$B$"&amp;MATCH($E850,'0.1.1 Pokémon GO Moves'!$A$1:$A951,0)&amp;":$L$"&amp;MATCH($E850,'0.1.1 Pokémon GO Moves'!$A$1:$A951,0)),'Reverse Search'!$J$21)))))</f>
        <v>0</v>
      </c>
      <c r="AB850" s="490"/>
      <c r="AC850" s="260" t="n">
        <f aca="false">IF((Q850+R850+S850+V850+W850+X850+Y850+IF(Z850&gt;=1,1,0)+IF(AA850&gt;=1,1,0))=9,G850&amp;", ",)</f>
        <v>0</v>
      </c>
    </row>
    <row r="851" customFormat="false" ht="15.75" hidden="false" customHeight="false" outlineLevel="0" collapsed="false">
      <c r="A851" s="260"/>
      <c r="B851" s="358"/>
      <c r="C851" s="260"/>
      <c r="D851" s="358"/>
      <c r="E851" s="260" t="n">
        <v>850</v>
      </c>
      <c r="F851" s="260" t="n">
        <f aca="false" t="array" ref="F851:F851">INDEX('0.0.1 Pokémon Dex Data'!$H$3:$H951,MATCH(E851,'0.0.1 Pokémon Dex Data'!$B$3:$B951,0))</f>
        <v>0</v>
      </c>
      <c r="G851" s="0" t="str">
        <f aca="false" t="array" ref="G851:G851">INDEX('0.0.1 Pokémon Dex Data'!$E$3:$E951,MATCH(E851,'0.0.1 Pokémon Dex Data'!$B$3:$B951,0))</f>
        <v>Pikipek</v>
      </c>
      <c r="H851" s="0" t="str">
        <f aca="false" t="array" ref="H851:H851">INDEX('0.0.1 Pokémon Dex Data'!$Q$3:$Q951,MATCH(E851,'0.0.1 Pokémon Dex Data'!$B$3:$B951,0))</f>
        <v>Normal</v>
      </c>
      <c r="I851" s="0" t="str">
        <f aca="false" t="array" ref="I851:I851">INDEX('0.0.1 Pokémon Dex Data'!$R$3:$R951,MATCH(E851,'0.0.1 Pokémon Dex Data'!$B$3:$B951,0))</f>
        <v>Flying</v>
      </c>
      <c r="J851" s="260" t="n">
        <f aca="false" t="array" ref="J851:J851">ROUND(INDEX('0.0.1 Pokémon Dex Data'!$S$3:$S951,MATCH($E851,'0.0.1 Pokémon Dex Data'!$B$3:$B951,0))*INDEX('0.0.1 Pokémon Dex Data'!T$3:T951,MATCH($E851,'0.0.1 Pokémon Dex Data'!$B$3:$B951,0)),0)</f>
        <v>136</v>
      </c>
      <c r="K851" s="260" t="n">
        <f aca="false" t="array" ref="K851:K851">ROUND(INDEX('0.0.1 Pokémon Dex Data'!$S$3:$S951,MATCH($E851,'0.0.1 Pokémon Dex Data'!$B$3:$B951,0))*INDEX('0.0.1 Pokémon Dex Data'!U$3:U951,MATCH($E851,'0.0.1 Pokémon Dex Data'!$B$3:$B951,0)),0)</f>
        <v>59</v>
      </c>
      <c r="L851" s="260" t="n">
        <f aca="false" t="array" ref="L851:L851">ROUND(INDEX('0.0.1 Pokémon Dex Data'!$S$3:$S951,MATCH($E851,'0.0.1 Pokémon Dex Data'!$B$3:$B951,0))*INDEX('0.0.1 Pokémon Dex Data'!V$3:V951,MATCH($E851,'0.0.1 Pokémon Dex Data'!$B$3:$B951,0)),0)</f>
        <v>111</v>
      </c>
      <c r="M851" s="260" t="n">
        <f aca="false" t="array" ref="M851:M851">INDEX('0.0.1 Pokémon Dex Data'!$J$3:$J951,MATCH(E851,'0.0.1 Pokémon Dex Data'!$B$3:$B951,0))</f>
        <v>0</v>
      </c>
      <c r="O851" s="490"/>
      <c r="Q851" s="367" t="n">
        <f aca="false">IF('Reverse Search'!$F$4="All (including temporary formes)",1,IF('Reverse Search'!$F$4="Base Pokémon and permanent formes only",IF(F851&lt;=1,1,0),IF(F851=0,1,0)))</f>
        <v>1</v>
      </c>
      <c r="R851" s="0" t="n">
        <f aca="false">IF('Reverse Search'!$C$7="Disable",1,IF('Reverse Search'!$D$9="Disable",1,IF(OR('Reverse Search'!$F$9=H851,'Reverse Search'!$F$9=I851),1,0)))</f>
        <v>1</v>
      </c>
      <c r="S851" s="0" t="n">
        <f aca="false">IF('Reverse Search'!$C$7="Disable",1,IF('Reverse Search'!$D$10="Disable",1,IF(OR('Reverse Search'!$F$10=H851,'Reverse Search'!$F$10=I851),1,0)))</f>
        <v>1</v>
      </c>
      <c r="T851" s="0" t="n">
        <f aca="false">INDEX($B$4:$B$22,MATCH(H851,$A$4:$A$22,0))</f>
        <v>1</v>
      </c>
      <c r="U851" s="0" t="n">
        <f aca="false">IF(ISBLANK(I851),1,INDEX($B$4:$B$22,MATCH(I851,$A$4:$A$22,0)))</f>
        <v>1</v>
      </c>
      <c r="V851" s="367" t="n">
        <f aca="false">IF('Reverse Search'!$C$7="Disable",1,IF('Reverse Search'!$D$11="Disable",1,IF('Reverse Search'!$E$11="Neutral to:",IF(ROUND(T851*U851,2)&lt;=1,1,0),IF(ROUND(T851*U851,2)&lt;1,1,0))))</f>
        <v>1</v>
      </c>
      <c r="W851" s="0" t="n">
        <f aca="false">IF('Reverse Search'!$N$7="Disable",1,IF('Reverse Search'!$I$9="Disable",1,IF('Reverse Search'!$K$9="≥",IF(J851&gt;='Reverse Search'!$L$9,1,0),IF('Reverse Search'!$K$9="≤",IF(J851&lt;='Reverse Search'!$L$9,1,0),IF(J851='Reverse Search'!$L$9,1,0)))))</f>
        <v>1</v>
      </c>
      <c r="X851" s="0" t="n">
        <f aca="false">IF('Reverse Search'!$N$7="Disable",1,IF('Reverse Search'!$I$10="Disable",1,IF('Reverse Search'!$K$10="≥",IF(K851&gt;='Reverse Search'!$L$10,1,0),IF('Reverse Search'!$K$10="≤",IF(K851&lt;='Reverse Search'!$L$10,1,0),IF(K851='Reverse Search'!$L$10,1,0)))))</f>
        <v>1</v>
      </c>
      <c r="Y851" s="367" t="n">
        <f aca="false">IF('Reverse Search'!$N$7="Disable",1,IF('Reverse Search'!$I$11="Disable",1,IF('Reverse Search'!$K$11="≥",IF(L851&gt;='Reverse Search'!$L$11,1,0),IF('Reverse Search'!$K$11="≤",IF(L851&lt;='Reverse Search'!$L$11,1,0),IF(L851='Reverse Search'!$L$11,1,0)))))</f>
        <v>1</v>
      </c>
      <c r="Z851" s="0" t="n">
        <f aca="true">IF('Reverse Search'!$C$14="Disable",1,IF('Reverse Search'!$D$16="Disable",1,IF($C$2=3,IF($M851=0,0,COUNTIF(INDIRECT("'0.0.2 Pokémon Learnset (Core)'!$D$"&amp;MATCH($E851,'0.0.2 Pokémon Learnset (Core)'!$A$1:$A951,0)&amp;":$FK$"&amp;MATCH($E851,'0.0.2 Pokémon Learnset (Core)'!$A$1:$A951,0)),'Reverse Search'!$E$21)),IF($C$2=2,COUNTIF(INDIRECT("'0.1.1 Pokémon GO Moves'!$B$"&amp;MATCH($E851,'0.1.1 Pokémon GO Moves'!$A$1:$A951,0)&amp;":$R$"&amp;MATCH($E851,'0.1.1 Pokémon GO Moves'!$A$1:$A951,0)),'Reverse Search'!$E$21),COUNTIF(INDIRECT("'0.1.1 Pokémon GO Moves'!$B$"&amp;MATCH($E851,'0.1.1 Pokémon GO Moves'!$A$1:$A951,0)&amp;":$L$"&amp;MATCH($E851,'0.1.1 Pokémon GO Moves'!$A$1:$A951,0)),'Reverse Search'!$E$21)))))</f>
        <v>1</v>
      </c>
      <c r="AA851" s="0" t="n">
        <f aca="true">IF('Reverse Search'!$C$14="Disable",1,IF('Reverse Search'!$I$16="Disable",1,IF($D$2=3,IF($M851=0,0,COUNTIF(INDIRECT("'0.0.2 Pokémon Learnset (Core)'!$D$"&amp;MATCH($E851,'0.0.2 Pokémon Learnset (Core)'!$A$1:$A951,0)&amp;":$FK$"&amp;MATCH($E851,'0.0.2 Pokémon Learnset (Core)'!$A$1:$A951,0)),'Reverse Search'!$J$21)),IF($D$2=2,COUNTIF(INDIRECT("'0.1.1 Pokémon GO Moves'!$B$"&amp;MATCH($E851,'0.1.1 Pokémon GO Moves'!$A$1:$A951,0)&amp;":$R$"&amp;MATCH($E851,'0.1.1 Pokémon GO Moves'!$A$1:$A951,0)),'Reverse Search'!$J$21),COUNTIF(INDIRECT("'0.1.1 Pokémon GO Moves'!$B$"&amp;MATCH($E851,'0.1.1 Pokémon GO Moves'!$A$1:$A951,0)&amp;":$L$"&amp;MATCH($E851,'0.1.1 Pokémon GO Moves'!$A$1:$A951,0)),'Reverse Search'!$J$21)))))</f>
        <v>0</v>
      </c>
      <c r="AB851" s="490"/>
      <c r="AC851" s="260" t="n">
        <f aca="false">IF((Q851+R851+S851+V851+W851+X851+Y851+IF(Z851&gt;=1,1,0)+IF(AA851&gt;=1,1,0))=9,G851&amp;", ",)</f>
        <v>0</v>
      </c>
    </row>
    <row r="852" customFormat="false" ht="15.75" hidden="false" customHeight="false" outlineLevel="0" collapsed="false">
      <c r="A852" s="260"/>
      <c r="B852" s="358"/>
      <c r="C852" s="260"/>
      <c r="D852" s="358"/>
      <c r="E852" s="260" t="n">
        <v>851</v>
      </c>
      <c r="F852" s="260" t="n">
        <f aca="false" t="array" ref="F852:F852">INDEX('0.0.1 Pokémon Dex Data'!$H$3:$H951,MATCH(E852,'0.0.1 Pokémon Dex Data'!$B$3:$B951,0))</f>
        <v>0</v>
      </c>
      <c r="G852" s="0" t="str">
        <f aca="false" t="array" ref="G852:G852">INDEX('0.0.1 Pokémon Dex Data'!$E$3:$E951,MATCH(E852,'0.0.1 Pokémon Dex Data'!$B$3:$B951,0))</f>
        <v>Trumbeak</v>
      </c>
      <c r="H852" s="0" t="str">
        <f aca="false" t="array" ref="H852:H852">INDEX('0.0.1 Pokémon Dex Data'!$Q$3:$Q951,MATCH(E852,'0.0.1 Pokémon Dex Data'!$B$3:$B951,0))</f>
        <v>Normal</v>
      </c>
      <c r="I852" s="0" t="str">
        <f aca="false" t="array" ref="I852:I852">INDEX('0.0.1 Pokémon Dex Data'!$R$3:$R951,MATCH(E852,'0.0.1 Pokémon Dex Data'!$B$3:$B951,0))</f>
        <v>Flying</v>
      </c>
      <c r="J852" s="260" t="n">
        <f aca="false" t="array" ref="J852:J852">ROUND(INDEX('0.0.1 Pokémon Dex Data'!$S$3:$S951,MATCH($E852,'0.0.1 Pokémon Dex Data'!$B$3:$B951,0))*INDEX('0.0.1 Pokémon Dex Data'!T$3:T951,MATCH($E852,'0.0.1 Pokémon Dex Data'!$B$3:$B951,0)),0)</f>
        <v>159</v>
      </c>
      <c r="K852" s="260" t="n">
        <f aca="false" t="array" ref="K852:K852">ROUND(INDEX('0.0.1 Pokémon Dex Data'!$S$3:$S951,MATCH($E852,'0.0.1 Pokémon Dex Data'!$B$3:$B951,0))*INDEX('0.0.1 Pokémon Dex Data'!U$3:U951,MATCH($E852,'0.0.1 Pokémon Dex Data'!$B$3:$B951,0)),0)</f>
        <v>100</v>
      </c>
      <c r="L852" s="260" t="n">
        <f aca="false" t="array" ref="L852:L852">ROUND(INDEX('0.0.1 Pokémon Dex Data'!$S$3:$S951,MATCH($E852,'0.0.1 Pokémon Dex Data'!$B$3:$B951,0))*INDEX('0.0.1 Pokémon Dex Data'!V$3:V951,MATCH($E852,'0.0.1 Pokémon Dex Data'!$B$3:$B951,0)),0)</f>
        <v>146</v>
      </c>
      <c r="M852" s="260" t="n">
        <f aca="false" t="array" ref="M852:M852">INDEX('0.0.1 Pokémon Dex Data'!$J$3:$J951,MATCH(E852,'0.0.1 Pokémon Dex Data'!$B$3:$B951,0))</f>
        <v>0</v>
      </c>
      <c r="O852" s="490"/>
      <c r="Q852" s="367" t="n">
        <f aca="false">IF('Reverse Search'!$F$4="All (including temporary formes)",1,IF('Reverse Search'!$F$4="Base Pokémon and permanent formes only",IF(F852&lt;=1,1,0),IF(F852=0,1,0)))</f>
        <v>1</v>
      </c>
      <c r="R852" s="0" t="n">
        <f aca="false">IF('Reverse Search'!$C$7="Disable",1,IF('Reverse Search'!$D$9="Disable",1,IF(OR('Reverse Search'!$F$9=H852,'Reverse Search'!$F$9=I852),1,0)))</f>
        <v>1</v>
      </c>
      <c r="S852" s="0" t="n">
        <f aca="false">IF('Reverse Search'!$C$7="Disable",1,IF('Reverse Search'!$D$10="Disable",1,IF(OR('Reverse Search'!$F$10=H852,'Reverse Search'!$F$10=I852),1,0)))</f>
        <v>1</v>
      </c>
      <c r="T852" s="0" t="n">
        <f aca="false">INDEX($B$4:$B$22,MATCH(H852,$A$4:$A$22,0))</f>
        <v>1</v>
      </c>
      <c r="U852" s="0" t="n">
        <f aca="false">IF(ISBLANK(I852),1,INDEX($B$4:$B$22,MATCH(I852,$A$4:$A$22,0)))</f>
        <v>1</v>
      </c>
      <c r="V852" s="367" t="n">
        <f aca="false">IF('Reverse Search'!$C$7="Disable",1,IF('Reverse Search'!$D$11="Disable",1,IF('Reverse Search'!$E$11="Neutral to:",IF(ROUND(T852*U852,2)&lt;=1,1,0),IF(ROUND(T852*U852,2)&lt;1,1,0))))</f>
        <v>1</v>
      </c>
      <c r="W852" s="0" t="n">
        <f aca="false">IF('Reverse Search'!$N$7="Disable",1,IF('Reverse Search'!$I$9="Disable",1,IF('Reverse Search'!$K$9="≥",IF(J852&gt;='Reverse Search'!$L$9,1,0),IF('Reverse Search'!$K$9="≤",IF(J852&lt;='Reverse Search'!$L$9,1,0),IF(J852='Reverse Search'!$L$9,1,0)))))</f>
        <v>1</v>
      </c>
      <c r="X852" s="0" t="n">
        <f aca="false">IF('Reverse Search'!$N$7="Disable",1,IF('Reverse Search'!$I$10="Disable",1,IF('Reverse Search'!$K$10="≥",IF(K852&gt;='Reverse Search'!$L$10,1,0),IF('Reverse Search'!$K$10="≤",IF(K852&lt;='Reverse Search'!$L$10,1,0),IF(K852='Reverse Search'!$L$10,1,0)))))</f>
        <v>1</v>
      </c>
      <c r="Y852" s="367" t="n">
        <f aca="false">IF('Reverse Search'!$N$7="Disable",1,IF('Reverse Search'!$I$11="Disable",1,IF('Reverse Search'!$K$11="≥",IF(L852&gt;='Reverse Search'!$L$11,1,0),IF('Reverse Search'!$K$11="≤",IF(L852&lt;='Reverse Search'!$L$11,1,0),IF(L852='Reverse Search'!$L$11,1,0)))))</f>
        <v>1</v>
      </c>
      <c r="Z852" s="0" t="n">
        <f aca="true">IF('Reverse Search'!$C$14="Disable",1,IF('Reverse Search'!$D$16="Disable",1,IF($C$2=3,IF($M852=0,0,COUNTIF(INDIRECT("'0.0.2 Pokémon Learnset (Core)'!$D$"&amp;MATCH($E852,'0.0.2 Pokémon Learnset (Core)'!$A$1:$A951,0)&amp;":$FK$"&amp;MATCH($E852,'0.0.2 Pokémon Learnset (Core)'!$A$1:$A951,0)),'Reverse Search'!$E$21)),IF($C$2=2,COUNTIF(INDIRECT("'0.1.1 Pokémon GO Moves'!$B$"&amp;MATCH($E852,'0.1.1 Pokémon GO Moves'!$A$1:$A951,0)&amp;":$R$"&amp;MATCH($E852,'0.1.1 Pokémon GO Moves'!$A$1:$A951,0)),'Reverse Search'!$E$21),COUNTIF(INDIRECT("'0.1.1 Pokémon GO Moves'!$B$"&amp;MATCH($E852,'0.1.1 Pokémon GO Moves'!$A$1:$A951,0)&amp;":$L$"&amp;MATCH($E852,'0.1.1 Pokémon GO Moves'!$A$1:$A951,0)),'Reverse Search'!$E$21)))))</f>
        <v>1</v>
      </c>
      <c r="AA852" s="0" t="n">
        <f aca="true">IF('Reverse Search'!$C$14="Disable",1,IF('Reverse Search'!$I$16="Disable",1,IF($D$2=3,IF($M852=0,0,COUNTIF(INDIRECT("'0.0.2 Pokémon Learnset (Core)'!$D$"&amp;MATCH($E852,'0.0.2 Pokémon Learnset (Core)'!$A$1:$A951,0)&amp;":$FK$"&amp;MATCH($E852,'0.0.2 Pokémon Learnset (Core)'!$A$1:$A951,0)),'Reverse Search'!$J$21)),IF($D$2=2,COUNTIF(INDIRECT("'0.1.1 Pokémon GO Moves'!$B$"&amp;MATCH($E852,'0.1.1 Pokémon GO Moves'!$A$1:$A951,0)&amp;":$R$"&amp;MATCH($E852,'0.1.1 Pokémon GO Moves'!$A$1:$A951,0)),'Reverse Search'!$J$21),COUNTIF(INDIRECT("'0.1.1 Pokémon GO Moves'!$B$"&amp;MATCH($E852,'0.1.1 Pokémon GO Moves'!$A$1:$A951,0)&amp;":$L$"&amp;MATCH($E852,'0.1.1 Pokémon GO Moves'!$A$1:$A951,0)),'Reverse Search'!$J$21)))))</f>
        <v>0</v>
      </c>
      <c r="AB852" s="490"/>
      <c r="AC852" s="260" t="n">
        <f aca="false">IF((Q852+R852+S852+V852+W852+X852+Y852+IF(Z852&gt;=1,1,0)+IF(AA852&gt;=1,1,0))=9,G852&amp;", ",)</f>
        <v>0</v>
      </c>
    </row>
    <row r="853" customFormat="false" ht="15.75" hidden="false" customHeight="false" outlineLevel="0" collapsed="false">
      <c r="A853" s="260"/>
      <c r="B853" s="358"/>
      <c r="C853" s="260"/>
      <c r="D853" s="358"/>
      <c r="E853" s="260" t="n">
        <v>852</v>
      </c>
      <c r="F853" s="260" t="n">
        <f aca="false" t="array" ref="F853:F853">INDEX('0.0.1 Pokémon Dex Data'!$H$3:$H951,MATCH(E853,'0.0.1 Pokémon Dex Data'!$B$3:$B951,0))</f>
        <v>0</v>
      </c>
      <c r="G853" s="0" t="str">
        <f aca="false" t="array" ref="G853:G853">INDEX('0.0.1 Pokémon Dex Data'!$E$3:$E951,MATCH(E853,'0.0.1 Pokémon Dex Data'!$B$3:$B951,0))</f>
        <v>Toucannon</v>
      </c>
      <c r="H853" s="0" t="str">
        <f aca="false" t="array" ref="H853:H853">INDEX('0.0.1 Pokémon Dex Data'!$Q$3:$Q951,MATCH(E853,'0.0.1 Pokémon Dex Data'!$B$3:$B951,0))</f>
        <v>Normal</v>
      </c>
      <c r="I853" s="0" t="str">
        <f aca="false" t="array" ref="I853:I853">INDEX('0.0.1 Pokémon Dex Data'!$R$3:$R951,MATCH(E853,'0.0.1 Pokémon Dex Data'!$B$3:$B951,0))</f>
        <v>Flying</v>
      </c>
      <c r="J853" s="260" t="n">
        <f aca="false" t="array" ref="J853:J853">ROUND(INDEX('0.0.1 Pokémon Dex Data'!$S$3:$S951,MATCH($E853,'0.0.1 Pokémon Dex Data'!$B$3:$B951,0))*INDEX('0.0.1 Pokémon Dex Data'!T$3:T951,MATCH($E853,'0.0.1 Pokémon Dex Data'!$B$3:$B951,0)),0)</f>
        <v>222</v>
      </c>
      <c r="K853" s="260" t="n">
        <f aca="false" t="array" ref="K853:K853">ROUND(INDEX('0.0.1 Pokémon Dex Data'!$S$3:$S951,MATCH($E853,'0.0.1 Pokémon Dex Data'!$B$3:$B951,0))*INDEX('0.0.1 Pokémon Dex Data'!U$3:U951,MATCH($E853,'0.0.1 Pokémon Dex Data'!$B$3:$B951,0)),0)</f>
        <v>146</v>
      </c>
      <c r="L853" s="260" t="n">
        <f aca="false" t="array" ref="L853:L853">ROUND(INDEX('0.0.1 Pokémon Dex Data'!$S$3:$S951,MATCH($E853,'0.0.1 Pokémon Dex Data'!$B$3:$B951,0))*INDEX('0.0.1 Pokémon Dex Data'!V$3:V951,MATCH($E853,'0.0.1 Pokémon Dex Data'!$B$3:$B951,0)),0)</f>
        <v>190</v>
      </c>
      <c r="M853" s="260" t="n">
        <f aca="false" t="array" ref="M853:M853">INDEX('0.0.1 Pokémon Dex Data'!$J$3:$J951,MATCH(E853,'0.0.1 Pokémon Dex Data'!$B$3:$B951,0))</f>
        <v>1</v>
      </c>
      <c r="O853" s="490"/>
      <c r="Q853" s="367" t="n">
        <f aca="false">IF('Reverse Search'!$F$4="All (including temporary formes)",1,IF('Reverse Search'!$F$4="Base Pokémon and permanent formes only",IF(F853&lt;=1,1,0),IF(F853=0,1,0)))</f>
        <v>1</v>
      </c>
      <c r="R853" s="0" t="n">
        <f aca="false">IF('Reverse Search'!$C$7="Disable",1,IF('Reverse Search'!$D$9="Disable",1,IF(OR('Reverse Search'!$F$9=H853,'Reverse Search'!$F$9=I853),1,0)))</f>
        <v>1</v>
      </c>
      <c r="S853" s="0" t="n">
        <f aca="false">IF('Reverse Search'!$C$7="Disable",1,IF('Reverse Search'!$D$10="Disable",1,IF(OR('Reverse Search'!$F$10=H853,'Reverse Search'!$F$10=I853),1,0)))</f>
        <v>1</v>
      </c>
      <c r="T853" s="0" t="n">
        <f aca="false">INDEX($B$4:$B$22,MATCH(H853,$A$4:$A$22,0))</f>
        <v>1</v>
      </c>
      <c r="U853" s="0" t="n">
        <f aca="false">IF(ISBLANK(I853),1,INDEX($B$4:$B$22,MATCH(I853,$A$4:$A$22,0)))</f>
        <v>1</v>
      </c>
      <c r="V853" s="367" t="n">
        <f aca="false">IF('Reverse Search'!$C$7="Disable",1,IF('Reverse Search'!$D$11="Disable",1,IF('Reverse Search'!$E$11="Neutral to:",IF(ROUND(T853*U853,2)&lt;=1,1,0),IF(ROUND(T853*U853,2)&lt;1,1,0))))</f>
        <v>1</v>
      </c>
      <c r="W853" s="0" t="n">
        <f aca="false">IF('Reverse Search'!$N$7="Disable",1,IF('Reverse Search'!$I$9="Disable",1,IF('Reverse Search'!$K$9="≥",IF(J853&gt;='Reverse Search'!$L$9,1,0),IF('Reverse Search'!$K$9="≤",IF(J853&lt;='Reverse Search'!$L$9,1,0),IF(J853='Reverse Search'!$L$9,1,0)))))</f>
        <v>1</v>
      </c>
      <c r="X853" s="0" t="n">
        <f aca="false">IF('Reverse Search'!$N$7="Disable",1,IF('Reverse Search'!$I$10="Disable",1,IF('Reverse Search'!$K$10="≥",IF(K853&gt;='Reverse Search'!$L$10,1,0),IF('Reverse Search'!$K$10="≤",IF(K853&lt;='Reverse Search'!$L$10,1,0),IF(K853='Reverse Search'!$L$10,1,0)))))</f>
        <v>1</v>
      </c>
      <c r="Y853" s="367" t="n">
        <f aca="false">IF('Reverse Search'!$N$7="Disable",1,IF('Reverse Search'!$I$11="Disable",1,IF('Reverse Search'!$K$11="≥",IF(L853&gt;='Reverse Search'!$L$11,1,0),IF('Reverse Search'!$K$11="≤",IF(L853&lt;='Reverse Search'!$L$11,1,0),IF(L853='Reverse Search'!$L$11,1,0)))))</f>
        <v>1</v>
      </c>
      <c r="Z853" s="0" t="n">
        <f aca="true">IF('Reverse Search'!$C$14="Disable",1,IF('Reverse Search'!$D$16="Disable",1,IF($C$2=3,IF($M853=0,0,COUNTIF(INDIRECT("'0.0.2 Pokémon Learnset (Core)'!$D$"&amp;MATCH($E853,'0.0.2 Pokémon Learnset (Core)'!$A$1:$A951,0)&amp;":$FK$"&amp;MATCH($E853,'0.0.2 Pokémon Learnset (Core)'!$A$1:$A951,0)),'Reverse Search'!$E$21)),IF($C$2=2,COUNTIF(INDIRECT("'0.1.1 Pokémon GO Moves'!$B$"&amp;MATCH($E853,'0.1.1 Pokémon GO Moves'!$A$1:$A951,0)&amp;":$R$"&amp;MATCH($E853,'0.1.1 Pokémon GO Moves'!$A$1:$A951,0)),'Reverse Search'!$E$21),COUNTIF(INDIRECT("'0.1.1 Pokémon GO Moves'!$B$"&amp;MATCH($E853,'0.1.1 Pokémon GO Moves'!$A$1:$A951,0)&amp;":$L$"&amp;MATCH($E853,'0.1.1 Pokémon GO Moves'!$A$1:$A951,0)),'Reverse Search'!$E$21)))))</f>
        <v>1</v>
      </c>
      <c r="AA853" s="0" t="n">
        <f aca="true">IF('Reverse Search'!$C$14="Disable",1,IF('Reverse Search'!$I$16="Disable",1,IF($D$2=3,IF($M853=0,0,COUNTIF(INDIRECT("'0.0.2 Pokémon Learnset (Core)'!$D$"&amp;MATCH($E853,'0.0.2 Pokémon Learnset (Core)'!$A$1:$A951,0)&amp;":$FK$"&amp;MATCH($E853,'0.0.2 Pokémon Learnset (Core)'!$A$1:$A951,0)),'Reverse Search'!$J$21)),IF($D$2=2,COUNTIF(INDIRECT("'0.1.1 Pokémon GO Moves'!$B$"&amp;MATCH($E853,'0.1.1 Pokémon GO Moves'!$A$1:$A951,0)&amp;":$R$"&amp;MATCH($E853,'0.1.1 Pokémon GO Moves'!$A$1:$A951,0)),'Reverse Search'!$J$21),COUNTIF(INDIRECT("'0.1.1 Pokémon GO Moves'!$B$"&amp;MATCH($E853,'0.1.1 Pokémon GO Moves'!$A$1:$A951,0)&amp;":$L$"&amp;MATCH($E853,'0.1.1 Pokémon GO Moves'!$A$1:$A951,0)),'Reverse Search'!$J$21)))))</f>
        <v>0</v>
      </c>
      <c r="AB853" s="490"/>
      <c r="AC853" s="260" t="n">
        <f aca="false">IF((Q853+R853+S853+V853+W853+X853+Y853+IF(Z853&gt;=1,1,0)+IF(AA853&gt;=1,1,0))=9,G853&amp;", ",)</f>
        <v>0</v>
      </c>
    </row>
    <row r="854" customFormat="false" ht="15.75" hidden="false" customHeight="false" outlineLevel="0" collapsed="false">
      <c r="A854" s="260"/>
      <c r="B854" s="358"/>
      <c r="C854" s="260"/>
      <c r="D854" s="358"/>
      <c r="E854" s="260" t="n">
        <v>853</v>
      </c>
      <c r="F854" s="260" t="n">
        <f aca="false" t="array" ref="F854:F854">INDEX('0.0.1 Pokémon Dex Data'!$H$3:$H951,MATCH(E854,'0.0.1 Pokémon Dex Data'!$B$3:$B951,0))</f>
        <v>0</v>
      </c>
      <c r="G854" s="0" t="str">
        <f aca="false" t="array" ref="G854:G854">INDEX('0.0.1 Pokémon Dex Data'!$E$3:$E951,MATCH(E854,'0.0.1 Pokémon Dex Data'!$B$3:$B951,0))</f>
        <v>Yungoos</v>
      </c>
      <c r="H854" s="0" t="str">
        <f aca="false" t="array" ref="H854:H854">INDEX('0.0.1 Pokémon Dex Data'!$Q$3:$Q951,MATCH(E854,'0.0.1 Pokémon Dex Data'!$B$3:$B951,0))</f>
        <v>Normal</v>
      </c>
      <c r="I854" s="0" t="n">
        <f aca="false">INDEX('0.0.1 Pokémon Dex Data'!$R$3:$R951,MATCH(E854,'0.0.1 Pokémon Dex Data'!$B$3:$B951,0))</f>
        <v>0</v>
      </c>
      <c r="J854" s="260" t="n">
        <f aca="false" t="array" ref="J854:J854">ROUND(INDEX('0.0.1 Pokémon Dex Data'!$S$3:$S951,MATCH($E854,'0.0.1 Pokémon Dex Data'!$B$3:$B951,0))*INDEX('0.0.1 Pokémon Dex Data'!T$3:T951,MATCH($E854,'0.0.1 Pokémon Dex Data'!$B$3:$B951,0)),0)</f>
        <v>122</v>
      </c>
      <c r="K854" s="260" t="n">
        <f aca="false" t="array" ref="K854:K854">ROUND(INDEX('0.0.1 Pokémon Dex Data'!$S$3:$S951,MATCH($E854,'0.0.1 Pokémon Dex Data'!$B$3:$B951,0))*INDEX('0.0.1 Pokémon Dex Data'!U$3:U951,MATCH($E854,'0.0.1 Pokémon Dex Data'!$B$3:$B951,0)),0)</f>
        <v>56</v>
      </c>
      <c r="L854" s="260" t="n">
        <f aca="false" t="array" ref="L854:L854">ROUND(INDEX('0.0.1 Pokémon Dex Data'!$S$3:$S951,MATCH($E854,'0.0.1 Pokémon Dex Data'!$B$3:$B951,0))*INDEX('0.0.1 Pokémon Dex Data'!V$3:V951,MATCH($E854,'0.0.1 Pokémon Dex Data'!$B$3:$B951,0)),0)</f>
        <v>134</v>
      </c>
      <c r="M854" s="260" t="n">
        <f aca="false" t="array" ref="M854:M854">INDEX('0.0.1 Pokémon Dex Data'!$J$3:$J951,MATCH(E854,'0.0.1 Pokémon Dex Data'!$B$3:$B951,0))</f>
        <v>0</v>
      </c>
      <c r="O854" s="490"/>
      <c r="Q854" s="367" t="n">
        <f aca="false">IF('Reverse Search'!$F$4="All (including temporary formes)",1,IF('Reverse Search'!$F$4="Base Pokémon and permanent formes only",IF(F854&lt;=1,1,0),IF(F854=0,1,0)))</f>
        <v>1</v>
      </c>
      <c r="R854" s="0" t="n">
        <f aca="false">IF('Reverse Search'!$C$7="Disable",1,IF('Reverse Search'!$D$9="Disable",1,IF(OR('Reverse Search'!$F$9=H854,'Reverse Search'!$F$9=I854),1,0)))</f>
        <v>1</v>
      </c>
      <c r="S854" s="0" t="n">
        <f aca="false">IF('Reverse Search'!$C$7="Disable",1,IF('Reverse Search'!$D$10="Disable",1,IF(OR('Reverse Search'!$F$10=H854,'Reverse Search'!$F$10=I854),1,0)))</f>
        <v>1</v>
      </c>
      <c r="T854" s="0" t="n">
        <f aca="false">INDEX($B$4:$B$22,MATCH(H854,$A$4:$A$22,0))</f>
        <v>1</v>
      </c>
      <c r="U854" s="0" t="e">
        <f aca="false">IF(ISBLANK(I854),1,INDEX($B$4:$B$22,MATCH(I854,$A$4:$A$22,0)))</f>
        <v>#N/A</v>
      </c>
      <c r="V854" s="367" t="n">
        <f aca="false">IF('Reverse Search'!$C$7="Disable",1,IF('Reverse Search'!$D$11="Disable",1,IF('Reverse Search'!$E$11="Neutral to:",IF(ROUND(T854*U854,2)&lt;=1,1,0),IF(ROUND(T854*U854,2)&lt;1,1,0))))</f>
        <v>1</v>
      </c>
      <c r="W854" s="0" t="n">
        <f aca="false">IF('Reverse Search'!$N$7="Disable",1,IF('Reverse Search'!$I$9="Disable",1,IF('Reverse Search'!$K$9="≥",IF(J854&gt;='Reverse Search'!$L$9,1,0),IF('Reverse Search'!$K$9="≤",IF(J854&lt;='Reverse Search'!$L$9,1,0),IF(J854='Reverse Search'!$L$9,1,0)))))</f>
        <v>1</v>
      </c>
      <c r="X854" s="0" t="n">
        <f aca="false">IF('Reverse Search'!$N$7="Disable",1,IF('Reverse Search'!$I$10="Disable",1,IF('Reverse Search'!$K$10="≥",IF(K854&gt;='Reverse Search'!$L$10,1,0),IF('Reverse Search'!$K$10="≤",IF(K854&lt;='Reverse Search'!$L$10,1,0),IF(K854='Reverse Search'!$L$10,1,0)))))</f>
        <v>1</v>
      </c>
      <c r="Y854" s="367" t="n">
        <f aca="false">IF('Reverse Search'!$N$7="Disable",1,IF('Reverse Search'!$I$11="Disable",1,IF('Reverse Search'!$K$11="≥",IF(L854&gt;='Reverse Search'!$L$11,1,0),IF('Reverse Search'!$K$11="≤",IF(L854&lt;='Reverse Search'!$L$11,1,0),IF(L854='Reverse Search'!$L$11,1,0)))))</f>
        <v>1</v>
      </c>
      <c r="Z854" s="0" t="n">
        <f aca="true">IF('Reverse Search'!$C$14="Disable",1,IF('Reverse Search'!$D$16="Disable",1,IF($C$2=3,IF($M854=0,0,COUNTIF(INDIRECT("'0.0.2 Pokémon Learnset (Core)'!$D$"&amp;MATCH($E854,'0.0.2 Pokémon Learnset (Core)'!$A$1:$A951,0)&amp;":$FK$"&amp;MATCH($E854,'0.0.2 Pokémon Learnset (Core)'!$A$1:$A951,0)),'Reverse Search'!$E$21)),IF($C$2=2,COUNTIF(INDIRECT("'0.1.1 Pokémon GO Moves'!$B$"&amp;MATCH($E854,'0.1.1 Pokémon GO Moves'!$A$1:$A951,0)&amp;":$R$"&amp;MATCH($E854,'0.1.1 Pokémon GO Moves'!$A$1:$A951,0)),'Reverse Search'!$E$21),COUNTIF(INDIRECT("'0.1.1 Pokémon GO Moves'!$B$"&amp;MATCH($E854,'0.1.1 Pokémon GO Moves'!$A$1:$A951,0)&amp;":$L$"&amp;MATCH($E854,'0.1.1 Pokémon GO Moves'!$A$1:$A951,0)),'Reverse Search'!$E$21)))))</f>
        <v>1</v>
      </c>
      <c r="AA854" s="0" t="n">
        <f aca="true">IF('Reverse Search'!$C$14="Disable",1,IF('Reverse Search'!$I$16="Disable",1,IF($D$2=3,IF($M854=0,0,COUNTIF(INDIRECT("'0.0.2 Pokémon Learnset (Core)'!$D$"&amp;MATCH($E854,'0.0.2 Pokémon Learnset (Core)'!$A$1:$A951,0)&amp;":$FK$"&amp;MATCH($E854,'0.0.2 Pokémon Learnset (Core)'!$A$1:$A951,0)),'Reverse Search'!$J$21)),IF($D$2=2,COUNTIF(INDIRECT("'0.1.1 Pokémon GO Moves'!$B$"&amp;MATCH($E854,'0.1.1 Pokémon GO Moves'!$A$1:$A951,0)&amp;":$R$"&amp;MATCH($E854,'0.1.1 Pokémon GO Moves'!$A$1:$A951,0)),'Reverse Search'!$J$21),COUNTIF(INDIRECT("'0.1.1 Pokémon GO Moves'!$B$"&amp;MATCH($E854,'0.1.1 Pokémon GO Moves'!$A$1:$A951,0)&amp;":$L$"&amp;MATCH($E854,'0.1.1 Pokémon GO Moves'!$A$1:$A951,0)),'Reverse Search'!$J$21)))))</f>
        <v>0</v>
      </c>
      <c r="AB854" s="490"/>
      <c r="AC854" s="260" t="n">
        <f aca="false">IF((Q854+R854+S854+V854+W854+X854+Y854+IF(Z854&gt;=1,1,0)+IF(AA854&gt;=1,1,0))=9,G854&amp;", ",)</f>
        <v>0</v>
      </c>
    </row>
    <row r="855" customFormat="false" ht="15.75" hidden="false" customHeight="false" outlineLevel="0" collapsed="false">
      <c r="A855" s="260"/>
      <c r="B855" s="358"/>
      <c r="C855" s="260"/>
      <c r="D855" s="358"/>
      <c r="E855" s="260" t="n">
        <v>854</v>
      </c>
      <c r="F855" s="260" t="n">
        <f aca="false" t="array" ref="F855:F855">INDEX('0.0.1 Pokémon Dex Data'!$H$3:$H951,MATCH(E855,'0.0.1 Pokémon Dex Data'!$B$3:$B951,0))</f>
        <v>0</v>
      </c>
      <c r="G855" s="0" t="str">
        <f aca="false" t="array" ref="G855:G855">INDEX('0.0.1 Pokémon Dex Data'!$E$3:$E951,MATCH(E855,'0.0.1 Pokémon Dex Data'!$B$3:$B951,0))</f>
        <v>Gumshoos</v>
      </c>
      <c r="H855" s="0" t="str">
        <f aca="false" t="array" ref="H855:H855">INDEX('0.0.1 Pokémon Dex Data'!$Q$3:$Q951,MATCH(E855,'0.0.1 Pokémon Dex Data'!$B$3:$B951,0))</f>
        <v>Normal</v>
      </c>
      <c r="I855" s="0" t="n">
        <f aca="false">INDEX('0.0.1 Pokémon Dex Data'!$R$3:$R951,MATCH(E855,'0.0.1 Pokémon Dex Data'!$B$3:$B951,0))</f>
        <v>0</v>
      </c>
      <c r="J855" s="260" t="n">
        <f aca="false" t="array" ref="J855:J855">ROUND(INDEX('0.0.1 Pokémon Dex Data'!$S$3:$S951,MATCH($E855,'0.0.1 Pokémon Dex Data'!$B$3:$B951,0))*INDEX('0.0.1 Pokémon Dex Data'!T$3:T951,MATCH($E855,'0.0.1 Pokémon Dex Data'!$B$3:$B951,0)),0)</f>
        <v>194</v>
      </c>
      <c r="K855" s="260" t="n">
        <f aca="false" t="array" ref="K855:K855">ROUND(INDEX('0.0.1 Pokémon Dex Data'!$S$3:$S951,MATCH($E855,'0.0.1 Pokémon Dex Data'!$B$3:$B951,0))*INDEX('0.0.1 Pokémon Dex Data'!U$3:U951,MATCH($E855,'0.0.1 Pokémon Dex Data'!$B$3:$B951,0)),0)</f>
        <v>113</v>
      </c>
      <c r="L855" s="260" t="n">
        <f aca="false" t="array" ref="L855:L855">ROUND(INDEX('0.0.1 Pokémon Dex Data'!$S$3:$S951,MATCH($E855,'0.0.1 Pokémon Dex Data'!$B$3:$B951,0))*INDEX('0.0.1 Pokémon Dex Data'!V$3:V951,MATCH($E855,'0.0.1 Pokémon Dex Data'!$B$3:$B951,0)),0)</f>
        <v>204</v>
      </c>
      <c r="M855" s="260" t="n">
        <f aca="false" t="array" ref="M855:M855">INDEX('0.0.1 Pokémon Dex Data'!$J$3:$J951,MATCH(E855,'0.0.1 Pokémon Dex Data'!$B$3:$B951,0))</f>
        <v>1</v>
      </c>
      <c r="O855" s="490"/>
      <c r="Q855" s="367" t="n">
        <f aca="false">IF('Reverse Search'!$F$4="All (including temporary formes)",1,IF('Reverse Search'!$F$4="Base Pokémon and permanent formes only",IF(F855&lt;=1,1,0),IF(F855=0,1,0)))</f>
        <v>1</v>
      </c>
      <c r="R855" s="0" t="n">
        <f aca="false">IF('Reverse Search'!$C$7="Disable",1,IF('Reverse Search'!$D$9="Disable",1,IF(OR('Reverse Search'!$F$9=H855,'Reverse Search'!$F$9=I855),1,0)))</f>
        <v>1</v>
      </c>
      <c r="S855" s="0" t="n">
        <f aca="false">IF('Reverse Search'!$C$7="Disable",1,IF('Reverse Search'!$D$10="Disable",1,IF(OR('Reverse Search'!$F$10=H855,'Reverse Search'!$F$10=I855),1,0)))</f>
        <v>1</v>
      </c>
      <c r="T855" s="0" t="n">
        <f aca="false">INDEX($B$4:$B$22,MATCH(H855,$A$4:$A$22,0))</f>
        <v>1</v>
      </c>
      <c r="U855" s="0" t="e">
        <f aca="false">IF(ISBLANK(I855),1,INDEX($B$4:$B$22,MATCH(I855,$A$4:$A$22,0)))</f>
        <v>#N/A</v>
      </c>
      <c r="V855" s="367" t="n">
        <f aca="false">IF('Reverse Search'!$C$7="Disable",1,IF('Reverse Search'!$D$11="Disable",1,IF('Reverse Search'!$E$11="Neutral to:",IF(ROUND(T855*U855,2)&lt;=1,1,0),IF(ROUND(T855*U855,2)&lt;1,1,0))))</f>
        <v>1</v>
      </c>
      <c r="W855" s="0" t="n">
        <f aca="false">IF('Reverse Search'!$N$7="Disable",1,IF('Reverse Search'!$I$9="Disable",1,IF('Reverse Search'!$K$9="≥",IF(J855&gt;='Reverse Search'!$L$9,1,0),IF('Reverse Search'!$K$9="≤",IF(J855&lt;='Reverse Search'!$L$9,1,0),IF(J855='Reverse Search'!$L$9,1,0)))))</f>
        <v>1</v>
      </c>
      <c r="X855" s="0" t="n">
        <f aca="false">IF('Reverse Search'!$N$7="Disable",1,IF('Reverse Search'!$I$10="Disable",1,IF('Reverse Search'!$K$10="≥",IF(K855&gt;='Reverse Search'!$L$10,1,0),IF('Reverse Search'!$K$10="≤",IF(K855&lt;='Reverse Search'!$L$10,1,0),IF(K855='Reverse Search'!$L$10,1,0)))))</f>
        <v>1</v>
      </c>
      <c r="Y855" s="367" t="n">
        <f aca="false">IF('Reverse Search'!$N$7="Disable",1,IF('Reverse Search'!$I$11="Disable",1,IF('Reverse Search'!$K$11="≥",IF(L855&gt;='Reverse Search'!$L$11,1,0),IF('Reverse Search'!$K$11="≤",IF(L855&lt;='Reverse Search'!$L$11,1,0),IF(L855='Reverse Search'!$L$11,1,0)))))</f>
        <v>1</v>
      </c>
      <c r="Z855" s="0" t="n">
        <f aca="true">IF('Reverse Search'!$C$14="Disable",1,IF('Reverse Search'!$D$16="Disable",1,IF($C$2=3,IF($M855=0,0,COUNTIF(INDIRECT("'0.0.2 Pokémon Learnset (Core)'!$D$"&amp;MATCH($E855,'0.0.2 Pokémon Learnset (Core)'!$A$1:$A951,0)&amp;":$FK$"&amp;MATCH($E855,'0.0.2 Pokémon Learnset (Core)'!$A$1:$A951,0)),'Reverse Search'!$E$21)),IF($C$2=2,COUNTIF(INDIRECT("'0.1.1 Pokémon GO Moves'!$B$"&amp;MATCH($E855,'0.1.1 Pokémon GO Moves'!$A$1:$A951,0)&amp;":$R$"&amp;MATCH($E855,'0.1.1 Pokémon GO Moves'!$A$1:$A951,0)),'Reverse Search'!$E$21),COUNTIF(INDIRECT("'0.1.1 Pokémon GO Moves'!$B$"&amp;MATCH($E855,'0.1.1 Pokémon GO Moves'!$A$1:$A951,0)&amp;":$L$"&amp;MATCH($E855,'0.1.1 Pokémon GO Moves'!$A$1:$A951,0)),'Reverse Search'!$E$21)))))</f>
        <v>1</v>
      </c>
      <c r="AA855" s="0" t="n">
        <f aca="true">IF('Reverse Search'!$C$14="Disable",1,IF('Reverse Search'!$I$16="Disable",1,IF($D$2=3,IF($M855=0,0,COUNTIF(INDIRECT("'0.0.2 Pokémon Learnset (Core)'!$D$"&amp;MATCH($E855,'0.0.2 Pokémon Learnset (Core)'!$A$1:$A951,0)&amp;":$FK$"&amp;MATCH($E855,'0.0.2 Pokémon Learnset (Core)'!$A$1:$A951,0)),'Reverse Search'!$J$21)),IF($D$2=2,COUNTIF(INDIRECT("'0.1.1 Pokémon GO Moves'!$B$"&amp;MATCH($E855,'0.1.1 Pokémon GO Moves'!$A$1:$A951,0)&amp;":$R$"&amp;MATCH($E855,'0.1.1 Pokémon GO Moves'!$A$1:$A951,0)),'Reverse Search'!$J$21),COUNTIF(INDIRECT("'0.1.1 Pokémon GO Moves'!$B$"&amp;MATCH($E855,'0.1.1 Pokémon GO Moves'!$A$1:$A951,0)&amp;":$L$"&amp;MATCH($E855,'0.1.1 Pokémon GO Moves'!$A$1:$A951,0)),'Reverse Search'!$J$21)))))</f>
        <v>0</v>
      </c>
      <c r="AB855" s="490"/>
      <c r="AC855" s="260" t="n">
        <f aca="false">IF((Q855+R855+S855+V855+W855+X855+Y855+IF(Z855&gt;=1,1,0)+IF(AA855&gt;=1,1,0))=9,G855&amp;", ",)</f>
        <v>0</v>
      </c>
    </row>
    <row r="856" customFormat="false" ht="15.75" hidden="false" customHeight="false" outlineLevel="0" collapsed="false">
      <c r="A856" s="260"/>
      <c r="B856" s="358"/>
      <c r="C856" s="260"/>
      <c r="D856" s="358"/>
      <c r="E856" s="260" t="n">
        <v>855</v>
      </c>
      <c r="F856" s="260" t="n">
        <f aca="false" t="array" ref="F856:F856">INDEX('0.0.1 Pokémon Dex Data'!$H$3:$H951,MATCH(E856,'0.0.1 Pokémon Dex Data'!$B$3:$B951,0))</f>
        <v>0</v>
      </c>
      <c r="G856" s="0" t="str">
        <f aca="false" t="array" ref="G856:G856">INDEX('0.0.1 Pokémon Dex Data'!$E$3:$E951,MATCH(E856,'0.0.1 Pokémon Dex Data'!$B$3:$B951,0))</f>
        <v>Grubbin</v>
      </c>
      <c r="H856" s="0" t="str">
        <f aca="false" t="array" ref="H856:H856">INDEX('0.0.1 Pokémon Dex Data'!$Q$3:$Q951,MATCH(E856,'0.0.1 Pokémon Dex Data'!$B$3:$B951,0))</f>
        <v>Bug</v>
      </c>
      <c r="I856" s="0" t="n">
        <f aca="false">INDEX('0.0.1 Pokémon Dex Data'!$R$3:$R951,MATCH(E856,'0.0.1 Pokémon Dex Data'!$B$3:$B951,0))</f>
        <v>0</v>
      </c>
      <c r="J856" s="260" t="n">
        <f aca="false" t="array" ref="J856:J856">ROUND(INDEX('0.0.1 Pokémon Dex Data'!$S$3:$S951,MATCH($E856,'0.0.1 Pokémon Dex Data'!$B$3:$B951,0))*INDEX('0.0.1 Pokémon Dex Data'!T$3:T951,MATCH($E856,'0.0.1 Pokémon Dex Data'!$B$3:$B951,0)),0)</f>
        <v>115</v>
      </c>
      <c r="K856" s="260" t="n">
        <f aca="false" t="array" ref="K856:K856">ROUND(INDEX('0.0.1 Pokémon Dex Data'!$S$3:$S951,MATCH($E856,'0.0.1 Pokémon Dex Data'!$B$3:$B951,0))*INDEX('0.0.1 Pokémon Dex Data'!U$3:U951,MATCH($E856,'0.0.1 Pokémon Dex Data'!$B$3:$B951,0)),0)</f>
        <v>85</v>
      </c>
      <c r="L856" s="260" t="n">
        <f aca="false" t="array" ref="L856:L856">ROUND(INDEX('0.0.1 Pokémon Dex Data'!$S$3:$S951,MATCH($E856,'0.0.1 Pokémon Dex Data'!$B$3:$B951,0))*INDEX('0.0.1 Pokémon Dex Data'!V$3:V951,MATCH($E856,'0.0.1 Pokémon Dex Data'!$B$3:$B951,0)),0)</f>
        <v>132</v>
      </c>
      <c r="M856" s="260" t="n">
        <f aca="false" t="array" ref="M856:M856">INDEX('0.0.1 Pokémon Dex Data'!$J$3:$J951,MATCH(E856,'0.0.1 Pokémon Dex Data'!$B$3:$B951,0))</f>
        <v>0</v>
      </c>
      <c r="O856" s="490"/>
      <c r="Q856" s="367" t="n">
        <f aca="false">IF('Reverse Search'!$F$4="All (including temporary formes)",1,IF('Reverse Search'!$F$4="Base Pokémon and permanent formes only",IF(F856&lt;=1,1,0),IF(F856=0,1,0)))</f>
        <v>1</v>
      </c>
      <c r="R856" s="0" t="n">
        <f aca="false">IF('Reverse Search'!$C$7="Disable",1,IF('Reverse Search'!$D$9="Disable",1,IF(OR('Reverse Search'!$F$9=H856,'Reverse Search'!$F$9=I856),1,0)))</f>
        <v>1</v>
      </c>
      <c r="S856" s="0" t="n">
        <f aca="false">IF('Reverse Search'!$C$7="Disable",1,IF('Reverse Search'!$D$10="Disable",1,IF(OR('Reverse Search'!$F$10=H856,'Reverse Search'!$F$10=I856),1,0)))</f>
        <v>1</v>
      </c>
      <c r="T856" s="0" t="n">
        <f aca="false">INDEX($B$4:$B$22,MATCH(H856,$A$4:$A$22,0))</f>
        <v>1</v>
      </c>
      <c r="U856" s="0" t="e">
        <f aca="false">IF(ISBLANK(I856),1,INDEX($B$4:$B$22,MATCH(I856,$A$4:$A$22,0)))</f>
        <v>#N/A</v>
      </c>
      <c r="V856" s="367" t="n">
        <f aca="false">IF('Reverse Search'!$C$7="Disable",1,IF('Reverse Search'!$D$11="Disable",1,IF('Reverse Search'!$E$11="Neutral to:",IF(ROUND(T856*U856,2)&lt;=1,1,0),IF(ROUND(T856*U856,2)&lt;1,1,0))))</f>
        <v>1</v>
      </c>
      <c r="W856" s="0" t="n">
        <f aca="false">IF('Reverse Search'!$N$7="Disable",1,IF('Reverse Search'!$I$9="Disable",1,IF('Reverse Search'!$K$9="≥",IF(J856&gt;='Reverse Search'!$L$9,1,0),IF('Reverse Search'!$K$9="≤",IF(J856&lt;='Reverse Search'!$L$9,1,0),IF(J856='Reverse Search'!$L$9,1,0)))))</f>
        <v>1</v>
      </c>
      <c r="X856" s="0" t="n">
        <f aca="false">IF('Reverse Search'!$N$7="Disable",1,IF('Reverse Search'!$I$10="Disable",1,IF('Reverse Search'!$K$10="≥",IF(K856&gt;='Reverse Search'!$L$10,1,0),IF('Reverse Search'!$K$10="≤",IF(K856&lt;='Reverse Search'!$L$10,1,0),IF(K856='Reverse Search'!$L$10,1,0)))))</f>
        <v>1</v>
      </c>
      <c r="Y856" s="367" t="n">
        <f aca="false">IF('Reverse Search'!$N$7="Disable",1,IF('Reverse Search'!$I$11="Disable",1,IF('Reverse Search'!$K$11="≥",IF(L856&gt;='Reverse Search'!$L$11,1,0),IF('Reverse Search'!$K$11="≤",IF(L856&lt;='Reverse Search'!$L$11,1,0),IF(L856='Reverse Search'!$L$11,1,0)))))</f>
        <v>1</v>
      </c>
      <c r="Z856" s="0" t="n">
        <f aca="true">IF('Reverse Search'!$C$14="Disable",1,IF('Reverse Search'!$D$16="Disable",1,IF($C$2=3,IF($M856=0,0,COUNTIF(INDIRECT("'0.0.2 Pokémon Learnset (Core)'!$D$"&amp;MATCH($E856,'0.0.2 Pokémon Learnset (Core)'!$A$1:$A951,0)&amp;":$FK$"&amp;MATCH($E856,'0.0.2 Pokémon Learnset (Core)'!$A$1:$A951,0)),'Reverse Search'!$E$21)),IF($C$2=2,COUNTIF(INDIRECT("'0.1.1 Pokémon GO Moves'!$B$"&amp;MATCH($E856,'0.1.1 Pokémon GO Moves'!$A$1:$A951,0)&amp;":$R$"&amp;MATCH($E856,'0.1.1 Pokémon GO Moves'!$A$1:$A951,0)),'Reverse Search'!$E$21),COUNTIF(INDIRECT("'0.1.1 Pokémon GO Moves'!$B$"&amp;MATCH($E856,'0.1.1 Pokémon GO Moves'!$A$1:$A951,0)&amp;":$L$"&amp;MATCH($E856,'0.1.1 Pokémon GO Moves'!$A$1:$A951,0)),'Reverse Search'!$E$21)))))</f>
        <v>1</v>
      </c>
      <c r="AA856" s="0" t="n">
        <f aca="true">IF('Reverse Search'!$C$14="Disable",1,IF('Reverse Search'!$I$16="Disable",1,IF($D$2=3,IF($M856=0,0,COUNTIF(INDIRECT("'0.0.2 Pokémon Learnset (Core)'!$D$"&amp;MATCH($E856,'0.0.2 Pokémon Learnset (Core)'!$A$1:$A951,0)&amp;":$FK$"&amp;MATCH($E856,'0.0.2 Pokémon Learnset (Core)'!$A$1:$A951,0)),'Reverse Search'!$J$21)),IF($D$2=2,COUNTIF(INDIRECT("'0.1.1 Pokémon GO Moves'!$B$"&amp;MATCH($E856,'0.1.1 Pokémon GO Moves'!$A$1:$A951,0)&amp;":$R$"&amp;MATCH($E856,'0.1.1 Pokémon GO Moves'!$A$1:$A951,0)),'Reverse Search'!$J$21),COUNTIF(INDIRECT("'0.1.1 Pokémon GO Moves'!$B$"&amp;MATCH($E856,'0.1.1 Pokémon GO Moves'!$A$1:$A951,0)&amp;":$L$"&amp;MATCH($E856,'0.1.1 Pokémon GO Moves'!$A$1:$A951,0)),'Reverse Search'!$J$21)))))</f>
        <v>0</v>
      </c>
      <c r="AB856" s="490"/>
      <c r="AC856" s="260" t="n">
        <f aca="false">IF((Q856+R856+S856+V856+W856+X856+Y856+IF(Z856&gt;=1,1,0)+IF(AA856&gt;=1,1,0))=9,G856&amp;", ",)</f>
        <v>0</v>
      </c>
    </row>
    <row r="857" customFormat="false" ht="15.75" hidden="false" customHeight="false" outlineLevel="0" collapsed="false">
      <c r="A857" s="260"/>
      <c r="B857" s="358"/>
      <c r="C857" s="260"/>
      <c r="D857" s="358"/>
      <c r="E857" s="260" t="n">
        <v>856</v>
      </c>
      <c r="F857" s="260" t="n">
        <f aca="false" t="array" ref="F857:F857">INDEX('0.0.1 Pokémon Dex Data'!$H$3:$H951,MATCH(E857,'0.0.1 Pokémon Dex Data'!$B$3:$B951,0))</f>
        <v>0</v>
      </c>
      <c r="G857" s="0" t="str">
        <f aca="false" t="array" ref="G857:G857">INDEX('0.0.1 Pokémon Dex Data'!$E$3:$E951,MATCH(E857,'0.0.1 Pokémon Dex Data'!$B$3:$B951,0))</f>
        <v>Charjabug</v>
      </c>
      <c r="H857" s="0" t="str">
        <f aca="false" t="array" ref="H857:H857">INDEX('0.0.1 Pokémon Dex Data'!$Q$3:$Q951,MATCH(E857,'0.0.1 Pokémon Dex Data'!$B$3:$B951,0))</f>
        <v>Bug</v>
      </c>
      <c r="I857" s="0" t="str">
        <f aca="false" t="array" ref="I857:I857">INDEX('0.0.1 Pokémon Dex Data'!$R$3:$R951,MATCH(E857,'0.0.1 Pokémon Dex Data'!$B$3:$B951,0))</f>
        <v>Electric</v>
      </c>
      <c r="J857" s="260" t="n">
        <f aca="false" t="array" ref="J857:J857">ROUND(INDEX('0.0.1 Pokémon Dex Data'!$S$3:$S951,MATCH($E857,'0.0.1 Pokémon Dex Data'!$B$3:$B951,0))*INDEX('0.0.1 Pokémon Dex Data'!T$3:T951,MATCH($E857,'0.0.1 Pokémon Dex Data'!$B$3:$B951,0)),0)</f>
        <v>145</v>
      </c>
      <c r="K857" s="260" t="n">
        <f aca="false" t="array" ref="K857:K857">ROUND(INDEX('0.0.1 Pokémon Dex Data'!$S$3:$S951,MATCH($E857,'0.0.1 Pokémon Dex Data'!$B$3:$B951,0))*INDEX('0.0.1 Pokémon Dex Data'!U$3:U951,MATCH($E857,'0.0.1 Pokémon Dex Data'!$B$3:$B951,0)),0)</f>
        <v>161</v>
      </c>
      <c r="L857" s="260" t="n">
        <f aca="false" t="array" ref="L857:L857">ROUND(INDEX('0.0.1 Pokémon Dex Data'!$S$3:$S951,MATCH($E857,'0.0.1 Pokémon Dex Data'!$B$3:$B951,0))*INDEX('0.0.1 Pokémon Dex Data'!V$3:V951,MATCH($E857,'0.0.1 Pokémon Dex Data'!$B$3:$B951,0)),0)</f>
        <v>149</v>
      </c>
      <c r="M857" s="260" t="n">
        <f aca="false" t="array" ref="M857:M857">INDEX('0.0.1 Pokémon Dex Data'!$J$3:$J951,MATCH(E857,'0.0.1 Pokémon Dex Data'!$B$3:$B951,0))</f>
        <v>0</v>
      </c>
      <c r="O857" s="490"/>
      <c r="Q857" s="367" t="n">
        <f aca="false">IF('Reverse Search'!$F$4="All (including temporary formes)",1,IF('Reverse Search'!$F$4="Base Pokémon and permanent formes only",IF(F857&lt;=1,1,0),IF(F857=0,1,0)))</f>
        <v>1</v>
      </c>
      <c r="R857" s="0" t="n">
        <f aca="false">IF('Reverse Search'!$C$7="Disable",1,IF('Reverse Search'!$D$9="Disable",1,IF(OR('Reverse Search'!$F$9=H857,'Reverse Search'!$F$9=I857),1,0)))</f>
        <v>1</v>
      </c>
      <c r="S857" s="0" t="n">
        <f aca="false">IF('Reverse Search'!$C$7="Disable",1,IF('Reverse Search'!$D$10="Disable",1,IF(OR('Reverse Search'!$F$10=H857,'Reverse Search'!$F$10=I857),1,0)))</f>
        <v>1</v>
      </c>
      <c r="T857" s="0" t="n">
        <f aca="false">INDEX($B$4:$B$22,MATCH(H857,$A$4:$A$22,0))</f>
        <v>1</v>
      </c>
      <c r="U857" s="0" t="n">
        <f aca="false">IF(ISBLANK(I857),1,INDEX($B$4:$B$22,MATCH(I857,$A$4:$A$22,0)))</f>
        <v>1</v>
      </c>
      <c r="V857" s="367" t="n">
        <f aca="false">IF('Reverse Search'!$C$7="Disable",1,IF('Reverse Search'!$D$11="Disable",1,IF('Reverse Search'!$E$11="Neutral to:",IF(ROUND(T857*U857,2)&lt;=1,1,0),IF(ROUND(T857*U857,2)&lt;1,1,0))))</f>
        <v>1</v>
      </c>
      <c r="W857" s="0" t="n">
        <f aca="false">IF('Reverse Search'!$N$7="Disable",1,IF('Reverse Search'!$I$9="Disable",1,IF('Reverse Search'!$K$9="≥",IF(J857&gt;='Reverse Search'!$L$9,1,0),IF('Reverse Search'!$K$9="≤",IF(J857&lt;='Reverse Search'!$L$9,1,0),IF(J857='Reverse Search'!$L$9,1,0)))))</f>
        <v>1</v>
      </c>
      <c r="X857" s="0" t="n">
        <f aca="false">IF('Reverse Search'!$N$7="Disable",1,IF('Reverse Search'!$I$10="Disable",1,IF('Reverse Search'!$K$10="≥",IF(K857&gt;='Reverse Search'!$L$10,1,0),IF('Reverse Search'!$K$10="≤",IF(K857&lt;='Reverse Search'!$L$10,1,0),IF(K857='Reverse Search'!$L$10,1,0)))))</f>
        <v>1</v>
      </c>
      <c r="Y857" s="367" t="n">
        <f aca="false">IF('Reverse Search'!$N$7="Disable",1,IF('Reverse Search'!$I$11="Disable",1,IF('Reverse Search'!$K$11="≥",IF(L857&gt;='Reverse Search'!$L$11,1,0),IF('Reverse Search'!$K$11="≤",IF(L857&lt;='Reverse Search'!$L$11,1,0),IF(L857='Reverse Search'!$L$11,1,0)))))</f>
        <v>1</v>
      </c>
      <c r="Z857" s="0" t="n">
        <f aca="true">IF('Reverse Search'!$C$14="Disable",1,IF('Reverse Search'!$D$16="Disable",1,IF($C$2=3,IF($M857=0,0,COUNTIF(INDIRECT("'0.0.2 Pokémon Learnset (Core)'!$D$"&amp;MATCH($E857,'0.0.2 Pokémon Learnset (Core)'!$A$1:$A951,0)&amp;":$FK$"&amp;MATCH($E857,'0.0.2 Pokémon Learnset (Core)'!$A$1:$A951,0)),'Reverse Search'!$E$21)),IF($C$2=2,COUNTIF(INDIRECT("'0.1.1 Pokémon GO Moves'!$B$"&amp;MATCH($E857,'0.1.1 Pokémon GO Moves'!$A$1:$A951,0)&amp;":$R$"&amp;MATCH($E857,'0.1.1 Pokémon GO Moves'!$A$1:$A951,0)),'Reverse Search'!$E$21),COUNTIF(INDIRECT("'0.1.1 Pokémon GO Moves'!$B$"&amp;MATCH($E857,'0.1.1 Pokémon GO Moves'!$A$1:$A951,0)&amp;":$L$"&amp;MATCH($E857,'0.1.1 Pokémon GO Moves'!$A$1:$A951,0)),'Reverse Search'!$E$21)))))</f>
        <v>1</v>
      </c>
      <c r="AA857" s="0" t="n">
        <f aca="true">IF('Reverse Search'!$C$14="Disable",1,IF('Reverse Search'!$I$16="Disable",1,IF($D$2=3,IF($M857=0,0,COUNTIF(INDIRECT("'0.0.2 Pokémon Learnset (Core)'!$D$"&amp;MATCH($E857,'0.0.2 Pokémon Learnset (Core)'!$A$1:$A951,0)&amp;":$FK$"&amp;MATCH($E857,'0.0.2 Pokémon Learnset (Core)'!$A$1:$A951,0)),'Reverse Search'!$J$21)),IF($D$2=2,COUNTIF(INDIRECT("'0.1.1 Pokémon GO Moves'!$B$"&amp;MATCH($E857,'0.1.1 Pokémon GO Moves'!$A$1:$A951,0)&amp;":$R$"&amp;MATCH($E857,'0.1.1 Pokémon GO Moves'!$A$1:$A951,0)),'Reverse Search'!$J$21),COUNTIF(INDIRECT("'0.1.1 Pokémon GO Moves'!$B$"&amp;MATCH($E857,'0.1.1 Pokémon GO Moves'!$A$1:$A951,0)&amp;":$L$"&amp;MATCH($E857,'0.1.1 Pokémon GO Moves'!$A$1:$A951,0)),'Reverse Search'!$J$21)))))</f>
        <v>0</v>
      </c>
      <c r="AB857" s="490"/>
      <c r="AC857" s="260" t="n">
        <f aca="false">IF((Q857+R857+S857+V857+W857+X857+Y857+IF(Z857&gt;=1,1,0)+IF(AA857&gt;=1,1,0))=9,G857&amp;", ",)</f>
        <v>0</v>
      </c>
    </row>
    <row r="858" customFormat="false" ht="15.75" hidden="false" customHeight="false" outlineLevel="0" collapsed="false">
      <c r="A858" s="260"/>
      <c r="B858" s="358"/>
      <c r="C858" s="260"/>
      <c r="D858" s="358"/>
      <c r="E858" s="260" t="n">
        <v>857</v>
      </c>
      <c r="F858" s="260" t="n">
        <f aca="false" t="array" ref="F858:F858">INDEX('0.0.1 Pokémon Dex Data'!$H$3:$H951,MATCH(E858,'0.0.1 Pokémon Dex Data'!$B$3:$B951,0))</f>
        <v>0</v>
      </c>
      <c r="G858" s="0" t="str">
        <f aca="false" t="array" ref="G858:G858">INDEX('0.0.1 Pokémon Dex Data'!$E$3:$E951,MATCH(E858,'0.0.1 Pokémon Dex Data'!$B$3:$B951,0))</f>
        <v>Vikavolt</v>
      </c>
      <c r="H858" s="0" t="str">
        <f aca="false" t="array" ref="H858:H858">INDEX('0.0.1 Pokémon Dex Data'!$Q$3:$Q951,MATCH(E858,'0.0.1 Pokémon Dex Data'!$B$3:$B951,0))</f>
        <v>Bug</v>
      </c>
      <c r="I858" s="0" t="str">
        <f aca="false" t="array" ref="I858:I858">INDEX('0.0.1 Pokémon Dex Data'!$R$3:$R951,MATCH(E858,'0.0.1 Pokémon Dex Data'!$B$3:$B951,0))</f>
        <v>Electric</v>
      </c>
      <c r="J858" s="260" t="n">
        <f aca="false" t="array" ref="J858:J858">ROUND(INDEX('0.0.1 Pokémon Dex Data'!$S$3:$S951,MATCH($E858,'0.0.1 Pokémon Dex Data'!$B$3:$B951,0))*INDEX('0.0.1 Pokémon Dex Data'!T$3:T951,MATCH($E858,'0.0.1 Pokémon Dex Data'!$B$3:$B951,0)),0)</f>
        <v>254</v>
      </c>
      <c r="K858" s="260" t="n">
        <f aca="false" t="array" ref="K858:K858">ROUND(INDEX('0.0.1 Pokémon Dex Data'!$S$3:$S951,MATCH($E858,'0.0.1 Pokémon Dex Data'!$B$3:$B951,0))*INDEX('0.0.1 Pokémon Dex Data'!U$3:U951,MATCH($E858,'0.0.1 Pokémon Dex Data'!$B$3:$B951,0)),0)</f>
        <v>158</v>
      </c>
      <c r="L858" s="260" t="n">
        <f aca="false" t="array" ref="L858:L858">ROUND(INDEX('0.0.1 Pokémon Dex Data'!$S$3:$S951,MATCH($E858,'0.0.1 Pokémon Dex Data'!$B$3:$B951,0))*INDEX('0.0.1 Pokémon Dex Data'!V$3:V951,MATCH($E858,'0.0.1 Pokémon Dex Data'!$B$3:$B951,0)),0)</f>
        <v>184</v>
      </c>
      <c r="M858" s="260" t="n">
        <f aca="false" t="array" ref="M858:M858">INDEX('0.0.1 Pokémon Dex Data'!$J$3:$J951,MATCH(E858,'0.0.1 Pokémon Dex Data'!$B$3:$B951,0))</f>
        <v>1</v>
      </c>
      <c r="O858" s="490"/>
      <c r="Q858" s="367" t="n">
        <f aca="false">IF('Reverse Search'!$F$4="All (including temporary formes)",1,IF('Reverse Search'!$F$4="Base Pokémon and permanent formes only",IF(F858&lt;=1,1,0),IF(F858=0,1,0)))</f>
        <v>1</v>
      </c>
      <c r="R858" s="0" t="n">
        <f aca="false">IF('Reverse Search'!$C$7="Disable",1,IF('Reverse Search'!$D$9="Disable",1,IF(OR('Reverse Search'!$F$9=H858,'Reverse Search'!$F$9=I858),1,0)))</f>
        <v>1</v>
      </c>
      <c r="S858" s="0" t="n">
        <f aca="false">IF('Reverse Search'!$C$7="Disable",1,IF('Reverse Search'!$D$10="Disable",1,IF(OR('Reverse Search'!$F$10=H858,'Reverse Search'!$F$10=I858),1,0)))</f>
        <v>1</v>
      </c>
      <c r="T858" s="0" t="n">
        <f aca="false">INDEX($B$4:$B$22,MATCH(H858,$A$4:$A$22,0))</f>
        <v>1</v>
      </c>
      <c r="U858" s="0" t="n">
        <f aca="false">IF(ISBLANK(I858),1,INDEX($B$4:$B$22,MATCH(I858,$A$4:$A$22,0)))</f>
        <v>1</v>
      </c>
      <c r="V858" s="367" t="n">
        <f aca="false">IF('Reverse Search'!$C$7="Disable",1,IF('Reverse Search'!$D$11="Disable",1,IF('Reverse Search'!$E$11="Neutral to:",IF(ROUND(T858*U858,2)&lt;=1,1,0),IF(ROUND(T858*U858,2)&lt;1,1,0))))</f>
        <v>1</v>
      </c>
      <c r="W858" s="0" t="n">
        <f aca="false">IF('Reverse Search'!$N$7="Disable",1,IF('Reverse Search'!$I$9="Disable",1,IF('Reverse Search'!$K$9="≥",IF(J858&gt;='Reverse Search'!$L$9,1,0),IF('Reverse Search'!$K$9="≤",IF(J858&lt;='Reverse Search'!$L$9,1,0),IF(J858='Reverse Search'!$L$9,1,0)))))</f>
        <v>1</v>
      </c>
      <c r="X858" s="0" t="n">
        <f aca="false">IF('Reverse Search'!$N$7="Disable",1,IF('Reverse Search'!$I$10="Disable",1,IF('Reverse Search'!$K$10="≥",IF(K858&gt;='Reverse Search'!$L$10,1,0),IF('Reverse Search'!$K$10="≤",IF(K858&lt;='Reverse Search'!$L$10,1,0),IF(K858='Reverse Search'!$L$10,1,0)))))</f>
        <v>1</v>
      </c>
      <c r="Y858" s="367" t="n">
        <f aca="false">IF('Reverse Search'!$N$7="Disable",1,IF('Reverse Search'!$I$11="Disable",1,IF('Reverse Search'!$K$11="≥",IF(L858&gt;='Reverse Search'!$L$11,1,0),IF('Reverse Search'!$K$11="≤",IF(L858&lt;='Reverse Search'!$L$11,1,0),IF(L858='Reverse Search'!$L$11,1,0)))))</f>
        <v>1</v>
      </c>
      <c r="Z858" s="0" t="n">
        <f aca="true">IF('Reverse Search'!$C$14="Disable",1,IF('Reverse Search'!$D$16="Disable",1,IF($C$2=3,IF($M858=0,0,COUNTIF(INDIRECT("'0.0.2 Pokémon Learnset (Core)'!$D$"&amp;MATCH($E858,'0.0.2 Pokémon Learnset (Core)'!$A$1:$A951,0)&amp;":$FK$"&amp;MATCH($E858,'0.0.2 Pokémon Learnset (Core)'!$A$1:$A951,0)),'Reverse Search'!$E$21)),IF($C$2=2,COUNTIF(INDIRECT("'0.1.1 Pokémon GO Moves'!$B$"&amp;MATCH($E858,'0.1.1 Pokémon GO Moves'!$A$1:$A951,0)&amp;":$R$"&amp;MATCH($E858,'0.1.1 Pokémon GO Moves'!$A$1:$A951,0)),'Reverse Search'!$E$21),COUNTIF(INDIRECT("'0.1.1 Pokémon GO Moves'!$B$"&amp;MATCH($E858,'0.1.1 Pokémon GO Moves'!$A$1:$A951,0)&amp;":$L$"&amp;MATCH($E858,'0.1.1 Pokémon GO Moves'!$A$1:$A951,0)),'Reverse Search'!$E$21)))))</f>
        <v>1</v>
      </c>
      <c r="AA858" s="0" t="n">
        <f aca="true">IF('Reverse Search'!$C$14="Disable",1,IF('Reverse Search'!$I$16="Disable",1,IF($D$2=3,IF($M858=0,0,COUNTIF(INDIRECT("'0.0.2 Pokémon Learnset (Core)'!$D$"&amp;MATCH($E858,'0.0.2 Pokémon Learnset (Core)'!$A$1:$A951,0)&amp;":$FK$"&amp;MATCH($E858,'0.0.2 Pokémon Learnset (Core)'!$A$1:$A951,0)),'Reverse Search'!$J$21)),IF($D$2=2,COUNTIF(INDIRECT("'0.1.1 Pokémon GO Moves'!$B$"&amp;MATCH($E858,'0.1.1 Pokémon GO Moves'!$A$1:$A951,0)&amp;":$R$"&amp;MATCH($E858,'0.1.1 Pokémon GO Moves'!$A$1:$A951,0)),'Reverse Search'!$J$21),COUNTIF(INDIRECT("'0.1.1 Pokémon GO Moves'!$B$"&amp;MATCH($E858,'0.1.1 Pokémon GO Moves'!$A$1:$A951,0)&amp;":$L$"&amp;MATCH($E858,'0.1.1 Pokémon GO Moves'!$A$1:$A951,0)),'Reverse Search'!$J$21)))))</f>
        <v>0</v>
      </c>
      <c r="AB858" s="490"/>
      <c r="AC858" s="260" t="n">
        <f aca="false">IF((Q858+R858+S858+V858+W858+X858+Y858+IF(Z858&gt;=1,1,0)+IF(AA858&gt;=1,1,0))=9,G858&amp;", ",)</f>
        <v>0</v>
      </c>
    </row>
    <row r="859" customFormat="false" ht="15.75" hidden="false" customHeight="false" outlineLevel="0" collapsed="false">
      <c r="A859" s="260"/>
      <c r="B859" s="358"/>
      <c r="C859" s="260"/>
      <c r="D859" s="358"/>
      <c r="E859" s="260" t="n">
        <v>858</v>
      </c>
      <c r="F859" s="260" t="n">
        <f aca="false" t="array" ref="F859:F859">INDEX('0.0.1 Pokémon Dex Data'!$H$3:$H951,MATCH(E859,'0.0.1 Pokémon Dex Data'!$B$3:$B951,0))</f>
        <v>0</v>
      </c>
      <c r="G859" s="0" t="str">
        <f aca="false" t="array" ref="G859:G859">INDEX('0.0.1 Pokémon Dex Data'!$E$3:$E951,MATCH(E859,'0.0.1 Pokémon Dex Data'!$B$3:$B951,0))</f>
        <v>Crabrawler</v>
      </c>
      <c r="H859" s="0" t="str">
        <f aca="false" t="array" ref="H859:H859">INDEX('0.0.1 Pokémon Dex Data'!$Q$3:$Q951,MATCH(E859,'0.0.1 Pokémon Dex Data'!$B$3:$B951,0))</f>
        <v>Fighting</v>
      </c>
      <c r="I859" s="0" t="n">
        <f aca="false">INDEX('0.0.1 Pokémon Dex Data'!$R$3:$R951,MATCH(E859,'0.0.1 Pokémon Dex Data'!$B$3:$B951,0))</f>
        <v>0</v>
      </c>
      <c r="J859" s="260" t="n">
        <f aca="false" t="array" ref="J859:J859">ROUND(INDEX('0.0.1 Pokémon Dex Data'!$S$3:$S951,MATCH($E859,'0.0.1 Pokémon Dex Data'!$B$3:$B951,0))*INDEX('0.0.1 Pokémon Dex Data'!T$3:T951,MATCH($E859,'0.0.1 Pokémon Dex Data'!$B$3:$B951,0)),0)</f>
        <v>150</v>
      </c>
      <c r="K859" s="260" t="n">
        <f aca="false" t="array" ref="K859:K859">ROUND(INDEX('0.0.1 Pokémon Dex Data'!$S$3:$S951,MATCH($E859,'0.0.1 Pokémon Dex Data'!$B$3:$B951,0))*INDEX('0.0.1 Pokémon Dex Data'!U$3:U951,MATCH($E859,'0.0.1 Pokémon Dex Data'!$B$3:$B951,0)),0)</f>
        <v>104</v>
      </c>
      <c r="L859" s="260" t="n">
        <f aca="false" t="array" ref="L859:L859">ROUND(INDEX('0.0.1 Pokémon Dex Data'!$S$3:$S951,MATCH($E859,'0.0.1 Pokémon Dex Data'!$B$3:$B951,0))*INDEX('0.0.1 Pokémon Dex Data'!V$3:V951,MATCH($E859,'0.0.1 Pokémon Dex Data'!$B$3:$B951,0)),0)</f>
        <v>132</v>
      </c>
      <c r="M859" s="260" t="n">
        <f aca="false" t="array" ref="M859:M859">INDEX('0.0.1 Pokémon Dex Data'!$J$3:$J951,MATCH(E859,'0.0.1 Pokémon Dex Data'!$B$3:$B951,0))</f>
        <v>0</v>
      </c>
      <c r="O859" s="490"/>
      <c r="Q859" s="367" t="n">
        <f aca="false">IF('Reverse Search'!$F$4="All (including temporary formes)",1,IF('Reverse Search'!$F$4="Base Pokémon and permanent formes only",IF(F859&lt;=1,1,0),IF(F859=0,1,0)))</f>
        <v>1</v>
      </c>
      <c r="R859" s="0" t="n">
        <f aca="false">IF('Reverse Search'!$C$7="Disable",1,IF('Reverse Search'!$D$9="Disable",1,IF(OR('Reverse Search'!$F$9=H859,'Reverse Search'!$F$9=I859),1,0)))</f>
        <v>1</v>
      </c>
      <c r="S859" s="0" t="n">
        <f aca="false">IF('Reverse Search'!$C$7="Disable",1,IF('Reverse Search'!$D$10="Disable",1,IF(OR('Reverse Search'!$F$10=H859,'Reverse Search'!$F$10=I859),1,0)))</f>
        <v>1</v>
      </c>
      <c r="T859" s="0" t="n">
        <f aca="false">INDEX($B$4:$B$22,MATCH(H859,$A$4:$A$22,0))</f>
        <v>1</v>
      </c>
      <c r="U859" s="0" t="e">
        <f aca="false">IF(ISBLANK(I859),1,INDEX($B$4:$B$22,MATCH(I859,$A$4:$A$22,0)))</f>
        <v>#N/A</v>
      </c>
      <c r="V859" s="367" t="n">
        <f aca="false">IF('Reverse Search'!$C$7="Disable",1,IF('Reverse Search'!$D$11="Disable",1,IF('Reverse Search'!$E$11="Neutral to:",IF(ROUND(T859*U859,2)&lt;=1,1,0),IF(ROUND(T859*U859,2)&lt;1,1,0))))</f>
        <v>1</v>
      </c>
      <c r="W859" s="0" t="n">
        <f aca="false">IF('Reverse Search'!$N$7="Disable",1,IF('Reverse Search'!$I$9="Disable",1,IF('Reverse Search'!$K$9="≥",IF(J859&gt;='Reverse Search'!$L$9,1,0),IF('Reverse Search'!$K$9="≤",IF(J859&lt;='Reverse Search'!$L$9,1,0),IF(J859='Reverse Search'!$L$9,1,0)))))</f>
        <v>1</v>
      </c>
      <c r="X859" s="0" t="n">
        <f aca="false">IF('Reverse Search'!$N$7="Disable",1,IF('Reverse Search'!$I$10="Disable",1,IF('Reverse Search'!$K$10="≥",IF(K859&gt;='Reverse Search'!$L$10,1,0),IF('Reverse Search'!$K$10="≤",IF(K859&lt;='Reverse Search'!$L$10,1,0),IF(K859='Reverse Search'!$L$10,1,0)))))</f>
        <v>1</v>
      </c>
      <c r="Y859" s="367" t="n">
        <f aca="false">IF('Reverse Search'!$N$7="Disable",1,IF('Reverse Search'!$I$11="Disable",1,IF('Reverse Search'!$K$11="≥",IF(L859&gt;='Reverse Search'!$L$11,1,0),IF('Reverse Search'!$K$11="≤",IF(L859&lt;='Reverse Search'!$L$11,1,0),IF(L859='Reverse Search'!$L$11,1,0)))))</f>
        <v>1</v>
      </c>
      <c r="Z859" s="0" t="n">
        <f aca="true">IF('Reverse Search'!$C$14="Disable",1,IF('Reverse Search'!$D$16="Disable",1,IF($C$2=3,IF($M859=0,0,COUNTIF(INDIRECT("'0.0.2 Pokémon Learnset (Core)'!$D$"&amp;MATCH($E859,'0.0.2 Pokémon Learnset (Core)'!$A$1:$A951,0)&amp;":$FK$"&amp;MATCH($E859,'0.0.2 Pokémon Learnset (Core)'!$A$1:$A951,0)),'Reverse Search'!$E$21)),IF($C$2=2,COUNTIF(INDIRECT("'0.1.1 Pokémon GO Moves'!$B$"&amp;MATCH($E859,'0.1.1 Pokémon GO Moves'!$A$1:$A951,0)&amp;":$R$"&amp;MATCH($E859,'0.1.1 Pokémon GO Moves'!$A$1:$A951,0)),'Reverse Search'!$E$21),COUNTIF(INDIRECT("'0.1.1 Pokémon GO Moves'!$B$"&amp;MATCH($E859,'0.1.1 Pokémon GO Moves'!$A$1:$A951,0)&amp;":$L$"&amp;MATCH($E859,'0.1.1 Pokémon GO Moves'!$A$1:$A951,0)),'Reverse Search'!$E$21)))))</f>
        <v>1</v>
      </c>
      <c r="AA859" s="0" t="n">
        <f aca="true">IF('Reverse Search'!$C$14="Disable",1,IF('Reverse Search'!$I$16="Disable",1,IF($D$2=3,IF($M859=0,0,COUNTIF(INDIRECT("'0.0.2 Pokémon Learnset (Core)'!$D$"&amp;MATCH($E859,'0.0.2 Pokémon Learnset (Core)'!$A$1:$A951,0)&amp;":$FK$"&amp;MATCH($E859,'0.0.2 Pokémon Learnset (Core)'!$A$1:$A951,0)),'Reverse Search'!$J$21)),IF($D$2=2,COUNTIF(INDIRECT("'0.1.1 Pokémon GO Moves'!$B$"&amp;MATCH($E859,'0.1.1 Pokémon GO Moves'!$A$1:$A951,0)&amp;":$R$"&amp;MATCH($E859,'0.1.1 Pokémon GO Moves'!$A$1:$A951,0)),'Reverse Search'!$J$21),COUNTIF(INDIRECT("'0.1.1 Pokémon GO Moves'!$B$"&amp;MATCH($E859,'0.1.1 Pokémon GO Moves'!$A$1:$A951,0)&amp;":$L$"&amp;MATCH($E859,'0.1.1 Pokémon GO Moves'!$A$1:$A951,0)),'Reverse Search'!$J$21)))))</f>
        <v>0</v>
      </c>
      <c r="AB859" s="490"/>
      <c r="AC859" s="260" t="n">
        <f aca="false">IF((Q859+R859+S859+V859+W859+X859+Y859+IF(Z859&gt;=1,1,0)+IF(AA859&gt;=1,1,0))=9,G859&amp;", ",)</f>
        <v>0</v>
      </c>
    </row>
    <row r="860" customFormat="false" ht="15.75" hidden="false" customHeight="false" outlineLevel="0" collapsed="false">
      <c r="A860" s="260"/>
      <c r="B860" s="358"/>
      <c r="C860" s="260"/>
      <c r="D860" s="358"/>
      <c r="E860" s="260" t="n">
        <v>859</v>
      </c>
      <c r="F860" s="260" t="n">
        <f aca="false" t="array" ref="F860:F860">INDEX('0.0.1 Pokémon Dex Data'!$H$3:$H951,MATCH(E860,'0.0.1 Pokémon Dex Data'!$B$3:$B951,0))</f>
        <v>0</v>
      </c>
      <c r="G860" s="0" t="str">
        <f aca="false" t="array" ref="G860:G860">INDEX('0.0.1 Pokémon Dex Data'!$E$3:$E951,MATCH(E860,'0.0.1 Pokémon Dex Data'!$B$3:$B951,0))</f>
        <v>Crabominable</v>
      </c>
      <c r="H860" s="0" t="str">
        <f aca="false" t="array" ref="H860:H860">INDEX('0.0.1 Pokémon Dex Data'!$Q$3:$Q951,MATCH(E860,'0.0.1 Pokémon Dex Data'!$B$3:$B951,0))</f>
        <v>Fighting</v>
      </c>
      <c r="I860" s="0" t="str">
        <f aca="false" t="array" ref="I860:I860">INDEX('0.0.1 Pokémon Dex Data'!$R$3:$R951,MATCH(E860,'0.0.1 Pokémon Dex Data'!$B$3:$B951,0))</f>
        <v>Ice</v>
      </c>
      <c r="J860" s="260" t="n">
        <f aca="false" t="array" ref="J860:J860">ROUND(INDEX('0.0.1 Pokémon Dex Data'!$S$3:$S951,MATCH($E860,'0.0.1 Pokémon Dex Data'!$B$3:$B951,0))*INDEX('0.0.1 Pokémon Dex Data'!T$3:T951,MATCH($E860,'0.0.1 Pokémon Dex Data'!$B$3:$B951,0)),0)</f>
        <v>231</v>
      </c>
      <c r="K860" s="260" t="n">
        <f aca="false" t="array" ref="K860:K860">ROUND(INDEX('0.0.1 Pokémon Dex Data'!$S$3:$S951,MATCH($E860,'0.0.1 Pokémon Dex Data'!$B$3:$B951,0))*INDEX('0.0.1 Pokémon Dex Data'!U$3:U951,MATCH($E860,'0.0.1 Pokémon Dex Data'!$B$3:$B951,0)),0)</f>
        <v>138</v>
      </c>
      <c r="L860" s="260" t="n">
        <f aca="false" t="array" ref="L860:L860">ROUND(INDEX('0.0.1 Pokémon Dex Data'!$S$3:$S951,MATCH($E860,'0.0.1 Pokémon Dex Data'!$B$3:$B951,0))*INDEX('0.0.1 Pokémon Dex Data'!V$3:V951,MATCH($E860,'0.0.1 Pokémon Dex Data'!$B$3:$B951,0)),0)</f>
        <v>219</v>
      </c>
      <c r="M860" s="260" t="n">
        <f aca="false" t="array" ref="M860:M860">INDEX('0.0.1 Pokémon Dex Data'!$J$3:$J951,MATCH(E860,'0.0.1 Pokémon Dex Data'!$B$3:$B951,0))</f>
        <v>1</v>
      </c>
      <c r="O860" s="490"/>
      <c r="Q860" s="367" t="n">
        <f aca="false">IF('Reverse Search'!$F$4="All (including temporary formes)",1,IF('Reverse Search'!$F$4="Base Pokémon and permanent formes only",IF(F860&lt;=1,1,0),IF(F860=0,1,0)))</f>
        <v>1</v>
      </c>
      <c r="R860" s="0" t="n">
        <f aca="false">IF('Reverse Search'!$C$7="Disable",1,IF('Reverse Search'!$D$9="Disable",1,IF(OR('Reverse Search'!$F$9=H860,'Reverse Search'!$F$9=I860),1,0)))</f>
        <v>1</v>
      </c>
      <c r="S860" s="0" t="n">
        <f aca="false">IF('Reverse Search'!$C$7="Disable",1,IF('Reverse Search'!$D$10="Disable",1,IF(OR('Reverse Search'!$F$10=H860,'Reverse Search'!$F$10=I860),1,0)))</f>
        <v>1</v>
      </c>
      <c r="T860" s="0" t="n">
        <f aca="false">INDEX($B$4:$B$22,MATCH(H860,$A$4:$A$22,0))</f>
        <v>1</v>
      </c>
      <c r="U860" s="0" t="n">
        <f aca="false">IF(ISBLANK(I860),1,INDEX($B$4:$B$22,MATCH(I860,$A$4:$A$22,0)))</f>
        <v>1</v>
      </c>
      <c r="V860" s="367" t="n">
        <f aca="false">IF('Reverse Search'!$C$7="Disable",1,IF('Reverse Search'!$D$11="Disable",1,IF('Reverse Search'!$E$11="Neutral to:",IF(ROUND(T860*U860,2)&lt;=1,1,0),IF(ROUND(T860*U860,2)&lt;1,1,0))))</f>
        <v>1</v>
      </c>
      <c r="W860" s="0" t="n">
        <f aca="false">IF('Reverse Search'!$N$7="Disable",1,IF('Reverse Search'!$I$9="Disable",1,IF('Reverse Search'!$K$9="≥",IF(J860&gt;='Reverse Search'!$L$9,1,0),IF('Reverse Search'!$K$9="≤",IF(J860&lt;='Reverse Search'!$L$9,1,0),IF(J860='Reverse Search'!$L$9,1,0)))))</f>
        <v>1</v>
      </c>
      <c r="X860" s="0" t="n">
        <f aca="false">IF('Reverse Search'!$N$7="Disable",1,IF('Reverse Search'!$I$10="Disable",1,IF('Reverse Search'!$K$10="≥",IF(K860&gt;='Reverse Search'!$L$10,1,0),IF('Reverse Search'!$K$10="≤",IF(K860&lt;='Reverse Search'!$L$10,1,0),IF(K860='Reverse Search'!$L$10,1,0)))))</f>
        <v>1</v>
      </c>
      <c r="Y860" s="367" t="n">
        <f aca="false">IF('Reverse Search'!$N$7="Disable",1,IF('Reverse Search'!$I$11="Disable",1,IF('Reverse Search'!$K$11="≥",IF(L860&gt;='Reverse Search'!$L$11,1,0),IF('Reverse Search'!$K$11="≤",IF(L860&lt;='Reverse Search'!$L$11,1,0),IF(L860='Reverse Search'!$L$11,1,0)))))</f>
        <v>1</v>
      </c>
      <c r="Z860" s="0" t="n">
        <f aca="true">IF('Reverse Search'!$C$14="Disable",1,IF('Reverse Search'!$D$16="Disable",1,IF($C$2=3,IF($M860=0,0,COUNTIF(INDIRECT("'0.0.2 Pokémon Learnset (Core)'!$D$"&amp;MATCH($E860,'0.0.2 Pokémon Learnset (Core)'!$A$1:$A951,0)&amp;":$FK$"&amp;MATCH($E860,'0.0.2 Pokémon Learnset (Core)'!$A$1:$A951,0)),'Reverse Search'!$E$21)),IF($C$2=2,COUNTIF(INDIRECT("'0.1.1 Pokémon GO Moves'!$B$"&amp;MATCH($E860,'0.1.1 Pokémon GO Moves'!$A$1:$A951,0)&amp;":$R$"&amp;MATCH($E860,'0.1.1 Pokémon GO Moves'!$A$1:$A951,0)),'Reverse Search'!$E$21),COUNTIF(INDIRECT("'0.1.1 Pokémon GO Moves'!$B$"&amp;MATCH($E860,'0.1.1 Pokémon GO Moves'!$A$1:$A951,0)&amp;":$L$"&amp;MATCH($E860,'0.1.1 Pokémon GO Moves'!$A$1:$A951,0)),'Reverse Search'!$E$21)))))</f>
        <v>1</v>
      </c>
      <c r="AA860" s="0" t="n">
        <f aca="true">IF('Reverse Search'!$C$14="Disable",1,IF('Reverse Search'!$I$16="Disable",1,IF($D$2=3,IF($M860=0,0,COUNTIF(INDIRECT("'0.0.2 Pokémon Learnset (Core)'!$D$"&amp;MATCH($E860,'0.0.2 Pokémon Learnset (Core)'!$A$1:$A951,0)&amp;":$FK$"&amp;MATCH($E860,'0.0.2 Pokémon Learnset (Core)'!$A$1:$A951,0)),'Reverse Search'!$J$21)),IF($D$2=2,COUNTIF(INDIRECT("'0.1.1 Pokémon GO Moves'!$B$"&amp;MATCH($E860,'0.1.1 Pokémon GO Moves'!$A$1:$A951,0)&amp;":$R$"&amp;MATCH($E860,'0.1.1 Pokémon GO Moves'!$A$1:$A951,0)),'Reverse Search'!$J$21),COUNTIF(INDIRECT("'0.1.1 Pokémon GO Moves'!$B$"&amp;MATCH($E860,'0.1.1 Pokémon GO Moves'!$A$1:$A951,0)&amp;":$L$"&amp;MATCH($E860,'0.1.1 Pokémon GO Moves'!$A$1:$A951,0)),'Reverse Search'!$J$21)))))</f>
        <v>0</v>
      </c>
      <c r="AB860" s="490"/>
      <c r="AC860" s="260" t="n">
        <f aca="false">IF((Q860+R860+S860+V860+W860+X860+Y860+IF(Z860&gt;=1,1,0)+IF(AA860&gt;=1,1,0))=9,G860&amp;", ",)</f>
        <v>0</v>
      </c>
    </row>
    <row r="861" customFormat="false" ht="15.75" hidden="false" customHeight="false" outlineLevel="0" collapsed="false">
      <c r="A861" s="260"/>
      <c r="B861" s="358"/>
      <c r="C861" s="260"/>
      <c r="D861" s="358"/>
      <c r="E861" s="260" t="n">
        <v>860</v>
      </c>
      <c r="F861" s="260" t="n">
        <f aca="false" t="array" ref="F861:F861">INDEX('0.0.1 Pokémon Dex Data'!$H$3:$H951,MATCH(E861,'0.0.1 Pokémon Dex Data'!$B$3:$B951,0))</f>
        <v>0</v>
      </c>
      <c r="G861" s="0" t="str">
        <f aca="false" t="array" ref="G861:G861">INDEX('0.0.1 Pokémon Dex Data'!$E$3:$E951,MATCH(E861,'0.0.1 Pokémon Dex Data'!$B$3:$B951,0))</f>
        <v>Oricorio</v>
      </c>
      <c r="H861" s="0" t="str">
        <f aca="false" t="array" ref="H861:H861">INDEX('0.0.1 Pokémon Dex Data'!$Q$3:$Q951,MATCH(E861,'0.0.1 Pokémon Dex Data'!$B$3:$B951,0))</f>
        <v>Fire</v>
      </c>
      <c r="I861" s="0" t="str">
        <f aca="false" t="array" ref="I861:I861">INDEX('0.0.1 Pokémon Dex Data'!$R$3:$R951,MATCH(E861,'0.0.1 Pokémon Dex Data'!$B$3:$B951,0))</f>
        <v>Flying</v>
      </c>
      <c r="J861" s="260" t="n">
        <f aca="false" t="array" ref="J861:J861">ROUND(INDEX('0.0.1 Pokémon Dex Data'!$S$3:$S951,MATCH($E861,'0.0.1 Pokémon Dex Data'!$B$3:$B951,0))*INDEX('0.0.1 Pokémon Dex Data'!T$3:T951,MATCH($E861,'0.0.1 Pokémon Dex Data'!$B$3:$B951,0)),0)</f>
        <v>196</v>
      </c>
      <c r="K861" s="260" t="n">
        <f aca="false" t="array" ref="K861:K861">ROUND(INDEX('0.0.1 Pokémon Dex Data'!$S$3:$S951,MATCH($E861,'0.0.1 Pokémon Dex Data'!$B$3:$B951,0))*INDEX('0.0.1 Pokémon Dex Data'!U$3:U951,MATCH($E861,'0.0.1 Pokémon Dex Data'!$B$3:$B951,0)),0)</f>
        <v>145</v>
      </c>
      <c r="L861" s="260" t="n">
        <f aca="false" t="array" ref="L861:L861">ROUND(INDEX('0.0.1 Pokémon Dex Data'!$S$3:$S951,MATCH($E861,'0.0.1 Pokémon Dex Data'!$B$3:$B951,0))*INDEX('0.0.1 Pokémon Dex Data'!V$3:V951,MATCH($E861,'0.0.1 Pokémon Dex Data'!$B$3:$B951,0)),0)</f>
        <v>181</v>
      </c>
      <c r="M861" s="260" t="n">
        <f aca="false" t="array" ref="M861:M861">INDEX('0.0.1 Pokémon Dex Data'!$J$3:$J951,MATCH(E861,'0.0.1 Pokémon Dex Data'!$B$3:$B951,0))</f>
        <v>1</v>
      </c>
      <c r="O861" s="490"/>
      <c r="Q861" s="367" t="n">
        <f aca="false">IF('Reverse Search'!$F$4="All (including temporary formes)",1,IF('Reverse Search'!$F$4="Base Pokémon and permanent formes only",IF(F861&lt;=1,1,0),IF(F861=0,1,0)))</f>
        <v>1</v>
      </c>
      <c r="R861" s="0" t="n">
        <f aca="false">IF('Reverse Search'!$C$7="Disable",1,IF('Reverse Search'!$D$9="Disable",1,IF(OR('Reverse Search'!$F$9=H861,'Reverse Search'!$F$9=I861),1,0)))</f>
        <v>1</v>
      </c>
      <c r="S861" s="0" t="n">
        <f aca="false">IF('Reverse Search'!$C$7="Disable",1,IF('Reverse Search'!$D$10="Disable",1,IF(OR('Reverse Search'!$F$10=H861,'Reverse Search'!$F$10=I861),1,0)))</f>
        <v>1</v>
      </c>
      <c r="T861" s="0" t="n">
        <f aca="false">INDEX($B$4:$B$22,MATCH(H861,$A$4:$A$22,0))</f>
        <v>1</v>
      </c>
      <c r="U861" s="0" t="n">
        <f aca="false">IF(ISBLANK(I861),1,INDEX($B$4:$B$22,MATCH(I861,$A$4:$A$22,0)))</f>
        <v>1</v>
      </c>
      <c r="V861" s="367" t="n">
        <f aca="false">IF('Reverse Search'!$C$7="Disable",1,IF('Reverse Search'!$D$11="Disable",1,IF('Reverse Search'!$E$11="Neutral to:",IF(ROUND(T861*U861,2)&lt;=1,1,0),IF(ROUND(T861*U861,2)&lt;1,1,0))))</f>
        <v>1</v>
      </c>
      <c r="W861" s="0" t="n">
        <f aca="false">IF('Reverse Search'!$N$7="Disable",1,IF('Reverse Search'!$I$9="Disable",1,IF('Reverse Search'!$K$9="≥",IF(J861&gt;='Reverse Search'!$L$9,1,0),IF('Reverse Search'!$K$9="≤",IF(J861&lt;='Reverse Search'!$L$9,1,0),IF(J861='Reverse Search'!$L$9,1,0)))))</f>
        <v>1</v>
      </c>
      <c r="X861" s="0" t="n">
        <f aca="false">IF('Reverse Search'!$N$7="Disable",1,IF('Reverse Search'!$I$10="Disable",1,IF('Reverse Search'!$K$10="≥",IF(K861&gt;='Reverse Search'!$L$10,1,0),IF('Reverse Search'!$K$10="≤",IF(K861&lt;='Reverse Search'!$L$10,1,0),IF(K861='Reverse Search'!$L$10,1,0)))))</f>
        <v>1</v>
      </c>
      <c r="Y861" s="367" t="n">
        <f aca="false">IF('Reverse Search'!$N$7="Disable",1,IF('Reverse Search'!$I$11="Disable",1,IF('Reverse Search'!$K$11="≥",IF(L861&gt;='Reverse Search'!$L$11,1,0),IF('Reverse Search'!$K$11="≤",IF(L861&lt;='Reverse Search'!$L$11,1,0),IF(L861='Reverse Search'!$L$11,1,0)))))</f>
        <v>1</v>
      </c>
      <c r="Z861" s="0" t="n">
        <f aca="true">IF('Reverse Search'!$C$14="Disable",1,IF('Reverse Search'!$D$16="Disable",1,IF($C$2=3,IF($M861=0,0,COUNTIF(INDIRECT("'0.0.2 Pokémon Learnset (Core)'!$D$"&amp;MATCH($E861,'0.0.2 Pokémon Learnset (Core)'!$A$1:$A951,0)&amp;":$FK$"&amp;MATCH($E861,'0.0.2 Pokémon Learnset (Core)'!$A$1:$A951,0)),'Reverse Search'!$E$21)),IF($C$2=2,COUNTIF(INDIRECT("'0.1.1 Pokémon GO Moves'!$B$"&amp;MATCH($E861,'0.1.1 Pokémon GO Moves'!$A$1:$A951,0)&amp;":$R$"&amp;MATCH($E861,'0.1.1 Pokémon GO Moves'!$A$1:$A951,0)),'Reverse Search'!$E$21),COUNTIF(INDIRECT("'0.1.1 Pokémon GO Moves'!$B$"&amp;MATCH($E861,'0.1.1 Pokémon GO Moves'!$A$1:$A951,0)&amp;":$L$"&amp;MATCH($E861,'0.1.1 Pokémon GO Moves'!$A$1:$A951,0)),'Reverse Search'!$E$21)))))</f>
        <v>1</v>
      </c>
      <c r="AA861" s="0" t="n">
        <f aca="true">IF('Reverse Search'!$C$14="Disable",1,IF('Reverse Search'!$I$16="Disable",1,IF($D$2=3,IF($M861=0,0,COUNTIF(INDIRECT("'0.0.2 Pokémon Learnset (Core)'!$D$"&amp;MATCH($E861,'0.0.2 Pokémon Learnset (Core)'!$A$1:$A951,0)&amp;":$FK$"&amp;MATCH($E861,'0.0.2 Pokémon Learnset (Core)'!$A$1:$A951,0)),'Reverse Search'!$J$21)),IF($D$2=2,COUNTIF(INDIRECT("'0.1.1 Pokémon GO Moves'!$B$"&amp;MATCH($E861,'0.1.1 Pokémon GO Moves'!$A$1:$A951,0)&amp;":$R$"&amp;MATCH($E861,'0.1.1 Pokémon GO Moves'!$A$1:$A951,0)),'Reverse Search'!$J$21),COUNTIF(INDIRECT("'0.1.1 Pokémon GO Moves'!$B$"&amp;MATCH($E861,'0.1.1 Pokémon GO Moves'!$A$1:$A951,0)&amp;":$L$"&amp;MATCH($E861,'0.1.1 Pokémon GO Moves'!$A$1:$A951,0)),'Reverse Search'!$J$21)))))</f>
        <v>0</v>
      </c>
      <c r="AB861" s="490"/>
      <c r="AC861" s="260" t="n">
        <f aca="false">IF((Q861+R861+S861+V861+W861+X861+Y861+IF(Z861&gt;=1,1,0)+IF(AA861&gt;=1,1,0))=9,G861&amp;", ",)</f>
        <v>0</v>
      </c>
    </row>
    <row r="862" customFormat="false" ht="15.75" hidden="false" customHeight="false" outlineLevel="0" collapsed="false">
      <c r="A862" s="260"/>
      <c r="B862" s="358"/>
      <c r="C862" s="260"/>
      <c r="D862" s="358"/>
      <c r="E862" s="260" t="n">
        <v>861</v>
      </c>
      <c r="F862" s="260" t="n">
        <f aca="false" t="array" ref="F862:F862">INDEX('0.0.1 Pokémon Dex Data'!$H$3:$H951,MATCH(E862,'0.0.1 Pokémon Dex Data'!$B$3:$B951,0))</f>
        <v>0</v>
      </c>
      <c r="G862" s="0" t="str">
        <f aca="false" t="array" ref="G862:G862">INDEX('0.0.1 Pokémon Dex Data'!$E$3:$E951,MATCH(E862,'0.0.1 Pokémon Dex Data'!$B$3:$B951,0))</f>
        <v>Cutiefly</v>
      </c>
      <c r="H862" s="0" t="str">
        <f aca="false" t="array" ref="H862:H862">INDEX('0.0.1 Pokémon Dex Data'!$Q$3:$Q951,MATCH(E862,'0.0.1 Pokémon Dex Data'!$B$3:$B951,0))</f>
        <v>Bug</v>
      </c>
      <c r="I862" s="0" t="str">
        <f aca="false" t="array" ref="I862:I862">INDEX('0.0.1 Pokémon Dex Data'!$R$3:$R951,MATCH(E862,'0.0.1 Pokémon Dex Data'!$B$3:$B951,0))</f>
        <v>Fairy</v>
      </c>
      <c r="J862" s="260" t="n">
        <f aca="false" t="array" ref="J862:J862">ROUND(INDEX('0.0.1 Pokémon Dex Data'!$S$3:$S951,MATCH($E862,'0.0.1 Pokémon Dex Data'!$B$3:$B951,0))*INDEX('0.0.1 Pokémon Dex Data'!T$3:T951,MATCH($E862,'0.0.1 Pokémon Dex Data'!$B$3:$B951,0)),0)</f>
        <v>110</v>
      </c>
      <c r="K862" s="260" t="n">
        <f aca="false" t="array" ref="K862:K862">ROUND(INDEX('0.0.1 Pokémon Dex Data'!$S$3:$S951,MATCH($E862,'0.0.1 Pokémon Dex Data'!$B$3:$B951,0))*INDEX('0.0.1 Pokémon Dex Data'!U$3:U951,MATCH($E862,'0.0.1 Pokémon Dex Data'!$B$3:$B951,0)),0)</f>
        <v>81</v>
      </c>
      <c r="L862" s="260" t="n">
        <f aca="false" t="array" ref="L862:L862">ROUND(INDEX('0.0.1 Pokémon Dex Data'!$S$3:$S951,MATCH($E862,'0.0.1 Pokémon Dex Data'!$B$3:$B951,0))*INDEX('0.0.1 Pokémon Dex Data'!V$3:V951,MATCH($E862,'0.0.1 Pokémon Dex Data'!$B$3:$B951,0)),0)</f>
        <v>120</v>
      </c>
      <c r="M862" s="260" t="n">
        <f aca="false" t="array" ref="M862:M862">INDEX('0.0.1 Pokémon Dex Data'!$J$3:$J951,MATCH(E862,'0.0.1 Pokémon Dex Data'!$B$3:$B951,0))</f>
        <v>0</v>
      </c>
      <c r="O862" s="490"/>
      <c r="Q862" s="367" t="n">
        <f aca="false">IF('Reverse Search'!$F$4="All (including temporary formes)",1,IF('Reverse Search'!$F$4="Base Pokémon and permanent formes only",IF(F862&lt;=1,1,0),IF(F862=0,1,0)))</f>
        <v>1</v>
      </c>
      <c r="R862" s="0" t="n">
        <f aca="false">IF('Reverse Search'!$C$7="Disable",1,IF('Reverse Search'!$D$9="Disable",1,IF(OR('Reverse Search'!$F$9=H862,'Reverse Search'!$F$9=I862),1,0)))</f>
        <v>1</v>
      </c>
      <c r="S862" s="0" t="n">
        <f aca="false">IF('Reverse Search'!$C$7="Disable",1,IF('Reverse Search'!$D$10="Disable",1,IF(OR('Reverse Search'!$F$10=H862,'Reverse Search'!$F$10=I862),1,0)))</f>
        <v>1</v>
      </c>
      <c r="T862" s="0" t="n">
        <f aca="false">INDEX($B$4:$B$22,MATCH(H862,$A$4:$A$22,0))</f>
        <v>1</v>
      </c>
      <c r="U862" s="0" t="n">
        <f aca="false">IF(ISBLANK(I862),1,INDEX($B$4:$B$22,MATCH(I862,$A$4:$A$22,0)))</f>
        <v>1</v>
      </c>
      <c r="V862" s="367" t="n">
        <f aca="false">IF('Reverse Search'!$C$7="Disable",1,IF('Reverse Search'!$D$11="Disable",1,IF('Reverse Search'!$E$11="Neutral to:",IF(ROUND(T862*U862,2)&lt;=1,1,0),IF(ROUND(T862*U862,2)&lt;1,1,0))))</f>
        <v>1</v>
      </c>
      <c r="W862" s="0" t="n">
        <f aca="false">IF('Reverse Search'!$N$7="Disable",1,IF('Reverse Search'!$I$9="Disable",1,IF('Reverse Search'!$K$9="≥",IF(J862&gt;='Reverse Search'!$L$9,1,0),IF('Reverse Search'!$K$9="≤",IF(J862&lt;='Reverse Search'!$L$9,1,0),IF(J862='Reverse Search'!$L$9,1,0)))))</f>
        <v>1</v>
      </c>
      <c r="X862" s="0" t="n">
        <f aca="false">IF('Reverse Search'!$N$7="Disable",1,IF('Reverse Search'!$I$10="Disable",1,IF('Reverse Search'!$K$10="≥",IF(K862&gt;='Reverse Search'!$L$10,1,0),IF('Reverse Search'!$K$10="≤",IF(K862&lt;='Reverse Search'!$L$10,1,0),IF(K862='Reverse Search'!$L$10,1,0)))))</f>
        <v>1</v>
      </c>
      <c r="Y862" s="367" t="n">
        <f aca="false">IF('Reverse Search'!$N$7="Disable",1,IF('Reverse Search'!$I$11="Disable",1,IF('Reverse Search'!$K$11="≥",IF(L862&gt;='Reverse Search'!$L$11,1,0),IF('Reverse Search'!$K$11="≤",IF(L862&lt;='Reverse Search'!$L$11,1,0),IF(L862='Reverse Search'!$L$11,1,0)))))</f>
        <v>1</v>
      </c>
      <c r="Z862" s="0" t="n">
        <f aca="true">IF('Reverse Search'!$C$14="Disable",1,IF('Reverse Search'!$D$16="Disable",1,IF($C$2=3,IF($M862=0,0,COUNTIF(INDIRECT("'0.0.2 Pokémon Learnset (Core)'!$D$"&amp;MATCH($E862,'0.0.2 Pokémon Learnset (Core)'!$A$1:$A951,0)&amp;":$FK$"&amp;MATCH($E862,'0.0.2 Pokémon Learnset (Core)'!$A$1:$A951,0)),'Reverse Search'!$E$21)),IF($C$2=2,COUNTIF(INDIRECT("'0.1.1 Pokémon GO Moves'!$B$"&amp;MATCH($E862,'0.1.1 Pokémon GO Moves'!$A$1:$A951,0)&amp;":$R$"&amp;MATCH($E862,'0.1.1 Pokémon GO Moves'!$A$1:$A951,0)),'Reverse Search'!$E$21),COUNTIF(INDIRECT("'0.1.1 Pokémon GO Moves'!$B$"&amp;MATCH($E862,'0.1.1 Pokémon GO Moves'!$A$1:$A951,0)&amp;":$L$"&amp;MATCH($E862,'0.1.1 Pokémon GO Moves'!$A$1:$A951,0)),'Reverse Search'!$E$21)))))</f>
        <v>1</v>
      </c>
      <c r="AA862" s="0" t="n">
        <f aca="true">IF('Reverse Search'!$C$14="Disable",1,IF('Reverse Search'!$I$16="Disable",1,IF($D$2=3,IF($M862=0,0,COUNTIF(INDIRECT("'0.0.2 Pokémon Learnset (Core)'!$D$"&amp;MATCH($E862,'0.0.2 Pokémon Learnset (Core)'!$A$1:$A951,0)&amp;":$FK$"&amp;MATCH($E862,'0.0.2 Pokémon Learnset (Core)'!$A$1:$A951,0)),'Reverse Search'!$J$21)),IF($D$2=2,COUNTIF(INDIRECT("'0.1.1 Pokémon GO Moves'!$B$"&amp;MATCH($E862,'0.1.1 Pokémon GO Moves'!$A$1:$A951,0)&amp;":$R$"&amp;MATCH($E862,'0.1.1 Pokémon GO Moves'!$A$1:$A951,0)),'Reverse Search'!$J$21),COUNTIF(INDIRECT("'0.1.1 Pokémon GO Moves'!$B$"&amp;MATCH($E862,'0.1.1 Pokémon GO Moves'!$A$1:$A951,0)&amp;":$L$"&amp;MATCH($E862,'0.1.1 Pokémon GO Moves'!$A$1:$A951,0)),'Reverse Search'!$J$21)))))</f>
        <v>0</v>
      </c>
      <c r="AB862" s="490"/>
      <c r="AC862" s="260" t="n">
        <f aca="false">IF((Q862+R862+S862+V862+W862+X862+Y862+IF(Z862&gt;=1,1,0)+IF(AA862&gt;=1,1,0))=9,G862&amp;", ",)</f>
        <v>0</v>
      </c>
    </row>
    <row r="863" customFormat="false" ht="15.75" hidden="false" customHeight="false" outlineLevel="0" collapsed="false">
      <c r="A863" s="260"/>
      <c r="B863" s="358"/>
      <c r="C863" s="260"/>
      <c r="D863" s="358"/>
      <c r="E863" s="260" t="n">
        <v>862</v>
      </c>
      <c r="F863" s="260" t="n">
        <f aca="false" t="array" ref="F863:F863">INDEX('0.0.1 Pokémon Dex Data'!$H$3:$H951,MATCH(E863,'0.0.1 Pokémon Dex Data'!$B$3:$B951,0))</f>
        <v>0</v>
      </c>
      <c r="G863" s="0" t="str">
        <f aca="false" t="array" ref="G863:G863">INDEX('0.0.1 Pokémon Dex Data'!$E$3:$E951,MATCH(E863,'0.0.1 Pokémon Dex Data'!$B$3:$B951,0))</f>
        <v>Ribombee</v>
      </c>
      <c r="H863" s="0" t="str">
        <f aca="false" t="array" ref="H863:H863">INDEX('0.0.1 Pokémon Dex Data'!$Q$3:$Q951,MATCH(E863,'0.0.1 Pokémon Dex Data'!$B$3:$B951,0))</f>
        <v>Bug</v>
      </c>
      <c r="I863" s="0" t="str">
        <f aca="false" t="array" ref="I863:I863">INDEX('0.0.1 Pokémon Dex Data'!$R$3:$R951,MATCH(E863,'0.0.1 Pokémon Dex Data'!$B$3:$B951,0))</f>
        <v>Fairy</v>
      </c>
      <c r="J863" s="260" t="n">
        <f aca="false" t="array" ref="J863:J863">ROUND(INDEX('0.0.1 Pokémon Dex Data'!$S$3:$S951,MATCH($E863,'0.0.1 Pokémon Dex Data'!$B$3:$B951,0))*INDEX('0.0.1 Pokémon Dex Data'!T$3:T951,MATCH($E863,'0.0.1 Pokémon Dex Data'!$B$3:$B951,0)),0)</f>
        <v>198</v>
      </c>
      <c r="K863" s="260" t="n">
        <f aca="false" t="array" ref="K863:K863">ROUND(INDEX('0.0.1 Pokémon Dex Data'!$S$3:$S951,MATCH($E863,'0.0.1 Pokémon Dex Data'!$B$3:$B951,0))*INDEX('0.0.1 Pokémon Dex Data'!U$3:U951,MATCH($E863,'0.0.1 Pokémon Dex Data'!$B$3:$B951,0)),0)</f>
        <v>146</v>
      </c>
      <c r="L863" s="260" t="n">
        <f aca="false" t="array" ref="L863:L863">ROUND(INDEX('0.0.1 Pokémon Dex Data'!$S$3:$S951,MATCH($E863,'0.0.1 Pokémon Dex Data'!$B$3:$B951,0))*INDEX('0.0.1 Pokémon Dex Data'!V$3:V951,MATCH($E863,'0.0.1 Pokémon Dex Data'!$B$3:$B951,0)),0)</f>
        <v>155</v>
      </c>
      <c r="M863" s="260" t="n">
        <f aca="false" t="array" ref="M863:M863">INDEX('0.0.1 Pokémon Dex Data'!$J$3:$J951,MATCH(E863,'0.0.1 Pokémon Dex Data'!$B$3:$B951,0))</f>
        <v>1</v>
      </c>
      <c r="O863" s="490"/>
      <c r="Q863" s="367" t="n">
        <f aca="false">IF('Reverse Search'!$F$4="All (including temporary formes)",1,IF('Reverse Search'!$F$4="Base Pokémon and permanent formes only",IF(F863&lt;=1,1,0),IF(F863=0,1,0)))</f>
        <v>1</v>
      </c>
      <c r="R863" s="0" t="n">
        <f aca="false">IF('Reverse Search'!$C$7="Disable",1,IF('Reverse Search'!$D$9="Disable",1,IF(OR('Reverse Search'!$F$9=H863,'Reverse Search'!$F$9=I863),1,0)))</f>
        <v>1</v>
      </c>
      <c r="S863" s="0" t="n">
        <f aca="false">IF('Reverse Search'!$C$7="Disable",1,IF('Reverse Search'!$D$10="Disable",1,IF(OR('Reverse Search'!$F$10=H863,'Reverse Search'!$F$10=I863),1,0)))</f>
        <v>1</v>
      </c>
      <c r="T863" s="0" t="n">
        <f aca="false">INDEX($B$4:$B$22,MATCH(H863,$A$4:$A$22,0))</f>
        <v>1</v>
      </c>
      <c r="U863" s="0" t="n">
        <f aca="false">IF(ISBLANK(I863),1,INDEX($B$4:$B$22,MATCH(I863,$A$4:$A$22,0)))</f>
        <v>1</v>
      </c>
      <c r="V863" s="367" t="n">
        <f aca="false">IF('Reverse Search'!$C$7="Disable",1,IF('Reverse Search'!$D$11="Disable",1,IF('Reverse Search'!$E$11="Neutral to:",IF(ROUND(T863*U863,2)&lt;=1,1,0),IF(ROUND(T863*U863,2)&lt;1,1,0))))</f>
        <v>1</v>
      </c>
      <c r="W863" s="0" t="n">
        <f aca="false">IF('Reverse Search'!$N$7="Disable",1,IF('Reverse Search'!$I$9="Disable",1,IF('Reverse Search'!$K$9="≥",IF(J863&gt;='Reverse Search'!$L$9,1,0),IF('Reverse Search'!$K$9="≤",IF(J863&lt;='Reverse Search'!$L$9,1,0),IF(J863='Reverse Search'!$L$9,1,0)))))</f>
        <v>1</v>
      </c>
      <c r="X863" s="0" t="n">
        <f aca="false">IF('Reverse Search'!$N$7="Disable",1,IF('Reverse Search'!$I$10="Disable",1,IF('Reverse Search'!$K$10="≥",IF(K863&gt;='Reverse Search'!$L$10,1,0),IF('Reverse Search'!$K$10="≤",IF(K863&lt;='Reverse Search'!$L$10,1,0),IF(K863='Reverse Search'!$L$10,1,0)))))</f>
        <v>1</v>
      </c>
      <c r="Y863" s="367" t="n">
        <f aca="false">IF('Reverse Search'!$N$7="Disable",1,IF('Reverse Search'!$I$11="Disable",1,IF('Reverse Search'!$K$11="≥",IF(L863&gt;='Reverse Search'!$L$11,1,0),IF('Reverse Search'!$K$11="≤",IF(L863&lt;='Reverse Search'!$L$11,1,0),IF(L863='Reverse Search'!$L$11,1,0)))))</f>
        <v>1</v>
      </c>
      <c r="Z863" s="0" t="n">
        <f aca="true">IF('Reverse Search'!$C$14="Disable",1,IF('Reverse Search'!$D$16="Disable",1,IF($C$2=3,IF($M863=0,0,COUNTIF(INDIRECT("'0.0.2 Pokémon Learnset (Core)'!$D$"&amp;MATCH($E863,'0.0.2 Pokémon Learnset (Core)'!$A$1:$A951,0)&amp;":$FK$"&amp;MATCH($E863,'0.0.2 Pokémon Learnset (Core)'!$A$1:$A951,0)),'Reverse Search'!$E$21)),IF($C$2=2,COUNTIF(INDIRECT("'0.1.1 Pokémon GO Moves'!$B$"&amp;MATCH($E863,'0.1.1 Pokémon GO Moves'!$A$1:$A951,0)&amp;":$R$"&amp;MATCH($E863,'0.1.1 Pokémon GO Moves'!$A$1:$A951,0)),'Reverse Search'!$E$21),COUNTIF(INDIRECT("'0.1.1 Pokémon GO Moves'!$B$"&amp;MATCH($E863,'0.1.1 Pokémon GO Moves'!$A$1:$A951,0)&amp;":$L$"&amp;MATCH($E863,'0.1.1 Pokémon GO Moves'!$A$1:$A951,0)),'Reverse Search'!$E$21)))))</f>
        <v>1</v>
      </c>
      <c r="AA863" s="0" t="n">
        <f aca="true">IF('Reverse Search'!$C$14="Disable",1,IF('Reverse Search'!$I$16="Disable",1,IF($D$2=3,IF($M863=0,0,COUNTIF(INDIRECT("'0.0.2 Pokémon Learnset (Core)'!$D$"&amp;MATCH($E863,'0.0.2 Pokémon Learnset (Core)'!$A$1:$A951,0)&amp;":$FK$"&amp;MATCH($E863,'0.0.2 Pokémon Learnset (Core)'!$A$1:$A951,0)),'Reverse Search'!$J$21)),IF($D$2=2,COUNTIF(INDIRECT("'0.1.1 Pokémon GO Moves'!$B$"&amp;MATCH($E863,'0.1.1 Pokémon GO Moves'!$A$1:$A951,0)&amp;":$R$"&amp;MATCH($E863,'0.1.1 Pokémon GO Moves'!$A$1:$A951,0)),'Reverse Search'!$J$21),COUNTIF(INDIRECT("'0.1.1 Pokémon GO Moves'!$B$"&amp;MATCH($E863,'0.1.1 Pokémon GO Moves'!$A$1:$A951,0)&amp;":$L$"&amp;MATCH($E863,'0.1.1 Pokémon GO Moves'!$A$1:$A951,0)),'Reverse Search'!$J$21)))))</f>
        <v>0</v>
      </c>
      <c r="AB863" s="490"/>
      <c r="AC863" s="260" t="n">
        <f aca="false">IF((Q863+R863+S863+V863+W863+X863+Y863+IF(Z863&gt;=1,1,0)+IF(AA863&gt;=1,1,0))=9,G863&amp;", ",)</f>
        <v>0</v>
      </c>
    </row>
    <row r="864" customFormat="false" ht="15.75" hidden="false" customHeight="false" outlineLevel="0" collapsed="false">
      <c r="A864" s="260"/>
      <c r="B864" s="358"/>
      <c r="C864" s="260"/>
      <c r="D864" s="358"/>
      <c r="E864" s="260" t="n">
        <v>863</v>
      </c>
      <c r="F864" s="260" t="n">
        <f aca="false" t="array" ref="F864:F864">INDEX('0.0.1 Pokémon Dex Data'!$H$3:$H951,MATCH(E864,'0.0.1 Pokémon Dex Data'!$B$3:$B951,0))</f>
        <v>0</v>
      </c>
      <c r="G864" s="0" t="str">
        <f aca="false" t="array" ref="G864:G864">INDEX('0.0.1 Pokémon Dex Data'!$E$3:$E951,MATCH(E864,'0.0.1 Pokémon Dex Data'!$B$3:$B951,0))</f>
        <v>Rockruff</v>
      </c>
      <c r="H864" s="0" t="str">
        <f aca="false" t="array" ref="H864:H864">INDEX('0.0.1 Pokémon Dex Data'!$Q$3:$Q951,MATCH(E864,'0.0.1 Pokémon Dex Data'!$B$3:$B951,0))</f>
        <v>Rock</v>
      </c>
      <c r="I864" s="0" t="n">
        <f aca="false">INDEX('0.0.1 Pokémon Dex Data'!$R$3:$R951,MATCH(E864,'0.0.1 Pokémon Dex Data'!$B$3:$B951,0))</f>
        <v>0</v>
      </c>
      <c r="J864" s="260" t="n">
        <f aca="false" t="array" ref="J864:J864">ROUND(INDEX('0.0.1 Pokémon Dex Data'!$S$3:$S951,MATCH($E864,'0.0.1 Pokémon Dex Data'!$B$3:$B951,0))*INDEX('0.0.1 Pokémon Dex Data'!T$3:T951,MATCH($E864,'0.0.1 Pokémon Dex Data'!$B$3:$B951,0)),0)</f>
        <v>117</v>
      </c>
      <c r="K864" s="260" t="n">
        <f aca="false" t="array" ref="K864:K864">ROUND(INDEX('0.0.1 Pokémon Dex Data'!$S$3:$S951,MATCH($E864,'0.0.1 Pokémon Dex Data'!$B$3:$B951,0))*INDEX('0.0.1 Pokémon Dex Data'!U$3:U951,MATCH($E864,'0.0.1 Pokémon Dex Data'!$B$3:$B951,0)),0)</f>
        <v>78</v>
      </c>
      <c r="L864" s="260" t="n">
        <f aca="false" t="array" ref="L864:L864">ROUND(INDEX('0.0.1 Pokémon Dex Data'!$S$3:$S951,MATCH($E864,'0.0.1 Pokémon Dex Data'!$B$3:$B951,0))*INDEX('0.0.1 Pokémon Dex Data'!V$3:V951,MATCH($E864,'0.0.1 Pokémon Dex Data'!$B$3:$B951,0)),0)</f>
        <v>128</v>
      </c>
      <c r="M864" s="260" t="n">
        <f aca="false" t="array" ref="M864:M864">INDEX('0.0.1 Pokémon Dex Data'!$J$3:$J951,MATCH(E864,'0.0.1 Pokémon Dex Data'!$B$3:$B951,0))</f>
        <v>0</v>
      </c>
      <c r="O864" s="490"/>
      <c r="Q864" s="367" t="n">
        <f aca="false">IF('Reverse Search'!$F$4="All (including temporary formes)",1,IF('Reverse Search'!$F$4="Base Pokémon and permanent formes only",IF(F864&lt;=1,1,0),IF(F864=0,1,0)))</f>
        <v>1</v>
      </c>
      <c r="R864" s="0" t="n">
        <f aca="false">IF('Reverse Search'!$C$7="Disable",1,IF('Reverse Search'!$D$9="Disable",1,IF(OR('Reverse Search'!$F$9=H864,'Reverse Search'!$F$9=I864),1,0)))</f>
        <v>1</v>
      </c>
      <c r="S864" s="0" t="n">
        <f aca="false">IF('Reverse Search'!$C$7="Disable",1,IF('Reverse Search'!$D$10="Disable",1,IF(OR('Reverse Search'!$F$10=H864,'Reverse Search'!$F$10=I864),1,0)))</f>
        <v>1</v>
      </c>
      <c r="T864" s="0" t="n">
        <f aca="false">INDEX($B$4:$B$22,MATCH(H864,$A$4:$A$22,0))</f>
        <v>0.714</v>
      </c>
      <c r="U864" s="0" t="e">
        <f aca="false">IF(ISBLANK(I864),1,INDEX($B$4:$B$22,MATCH(I864,$A$4:$A$22,0)))</f>
        <v>#N/A</v>
      </c>
      <c r="V864" s="367" t="n">
        <f aca="false">IF('Reverse Search'!$C$7="Disable",1,IF('Reverse Search'!$D$11="Disable",1,IF('Reverse Search'!$E$11="Neutral to:",IF(ROUND(T864*U864,2)&lt;=1,1,0),IF(ROUND(T864*U864,2)&lt;1,1,0))))</f>
        <v>1</v>
      </c>
      <c r="W864" s="0" t="n">
        <f aca="false">IF('Reverse Search'!$N$7="Disable",1,IF('Reverse Search'!$I$9="Disable",1,IF('Reverse Search'!$K$9="≥",IF(J864&gt;='Reverse Search'!$L$9,1,0),IF('Reverse Search'!$K$9="≤",IF(J864&lt;='Reverse Search'!$L$9,1,0),IF(J864='Reverse Search'!$L$9,1,0)))))</f>
        <v>1</v>
      </c>
      <c r="X864" s="0" t="n">
        <f aca="false">IF('Reverse Search'!$N$7="Disable",1,IF('Reverse Search'!$I$10="Disable",1,IF('Reverse Search'!$K$10="≥",IF(K864&gt;='Reverse Search'!$L$10,1,0),IF('Reverse Search'!$K$10="≤",IF(K864&lt;='Reverse Search'!$L$10,1,0),IF(K864='Reverse Search'!$L$10,1,0)))))</f>
        <v>1</v>
      </c>
      <c r="Y864" s="367" t="n">
        <f aca="false">IF('Reverse Search'!$N$7="Disable",1,IF('Reverse Search'!$I$11="Disable",1,IF('Reverse Search'!$K$11="≥",IF(L864&gt;='Reverse Search'!$L$11,1,0),IF('Reverse Search'!$K$11="≤",IF(L864&lt;='Reverse Search'!$L$11,1,0),IF(L864='Reverse Search'!$L$11,1,0)))))</f>
        <v>1</v>
      </c>
      <c r="Z864" s="0" t="n">
        <f aca="true">IF('Reverse Search'!$C$14="Disable",1,IF('Reverse Search'!$D$16="Disable",1,IF($C$2=3,IF($M864=0,0,COUNTIF(INDIRECT("'0.0.2 Pokémon Learnset (Core)'!$D$"&amp;MATCH($E864,'0.0.2 Pokémon Learnset (Core)'!$A$1:$A951,0)&amp;":$FK$"&amp;MATCH($E864,'0.0.2 Pokémon Learnset (Core)'!$A$1:$A951,0)),'Reverse Search'!$E$21)),IF($C$2=2,COUNTIF(INDIRECT("'0.1.1 Pokémon GO Moves'!$B$"&amp;MATCH($E864,'0.1.1 Pokémon GO Moves'!$A$1:$A951,0)&amp;":$R$"&amp;MATCH($E864,'0.1.1 Pokémon GO Moves'!$A$1:$A951,0)),'Reverse Search'!$E$21),COUNTIF(INDIRECT("'0.1.1 Pokémon GO Moves'!$B$"&amp;MATCH($E864,'0.1.1 Pokémon GO Moves'!$A$1:$A951,0)&amp;":$L$"&amp;MATCH($E864,'0.1.1 Pokémon GO Moves'!$A$1:$A951,0)),'Reverse Search'!$E$21)))))</f>
        <v>1</v>
      </c>
      <c r="AA864" s="0" t="n">
        <f aca="true">IF('Reverse Search'!$C$14="Disable",1,IF('Reverse Search'!$I$16="Disable",1,IF($D$2=3,IF($M864=0,0,COUNTIF(INDIRECT("'0.0.2 Pokémon Learnset (Core)'!$D$"&amp;MATCH($E864,'0.0.2 Pokémon Learnset (Core)'!$A$1:$A951,0)&amp;":$FK$"&amp;MATCH($E864,'0.0.2 Pokémon Learnset (Core)'!$A$1:$A951,0)),'Reverse Search'!$J$21)),IF($D$2=2,COUNTIF(INDIRECT("'0.1.1 Pokémon GO Moves'!$B$"&amp;MATCH($E864,'0.1.1 Pokémon GO Moves'!$A$1:$A951,0)&amp;":$R$"&amp;MATCH($E864,'0.1.1 Pokémon GO Moves'!$A$1:$A951,0)),'Reverse Search'!$J$21),COUNTIF(INDIRECT("'0.1.1 Pokémon GO Moves'!$B$"&amp;MATCH($E864,'0.1.1 Pokémon GO Moves'!$A$1:$A951,0)&amp;":$L$"&amp;MATCH($E864,'0.1.1 Pokémon GO Moves'!$A$1:$A951,0)),'Reverse Search'!$J$21)))))</f>
        <v>0</v>
      </c>
      <c r="AB864" s="490"/>
      <c r="AC864" s="260" t="n">
        <f aca="false">IF((Q864+R864+S864+V864+W864+X864+Y864+IF(Z864&gt;=1,1,0)+IF(AA864&gt;=1,1,0))=9,G864&amp;", ",)</f>
        <v>0</v>
      </c>
    </row>
    <row r="865" customFormat="false" ht="15.75" hidden="false" customHeight="false" outlineLevel="0" collapsed="false">
      <c r="A865" s="260"/>
      <c r="B865" s="358"/>
      <c r="C865" s="260"/>
      <c r="D865" s="358"/>
      <c r="E865" s="260" t="n">
        <v>864</v>
      </c>
      <c r="F865" s="260" t="n">
        <f aca="false" t="array" ref="F865:F865">INDEX('0.0.1 Pokémon Dex Data'!$H$3:$H951,MATCH(E865,'0.0.1 Pokémon Dex Data'!$B$3:$B951,0))</f>
        <v>0</v>
      </c>
      <c r="G865" s="0" t="str">
        <f aca="false" t="array" ref="G865:G865">INDEX('0.0.1 Pokémon Dex Data'!$E$3:$E951,MATCH(E865,'0.0.1 Pokémon Dex Data'!$B$3:$B951,0))</f>
        <v>Lycanroc-Midday</v>
      </c>
      <c r="H865" s="0" t="str">
        <f aca="false" t="array" ref="H865:H865">INDEX('0.0.1 Pokémon Dex Data'!$Q$3:$Q951,MATCH(E865,'0.0.1 Pokémon Dex Data'!$B$3:$B951,0))</f>
        <v>Rock</v>
      </c>
      <c r="I865" s="0" t="n">
        <f aca="false">INDEX('0.0.1 Pokémon Dex Data'!$R$3:$R951,MATCH(E865,'0.0.1 Pokémon Dex Data'!$B$3:$B951,0))</f>
        <v>0</v>
      </c>
      <c r="J865" s="260" t="n">
        <f aca="false" t="array" ref="J865:J865">ROUND(INDEX('0.0.1 Pokémon Dex Data'!$S$3:$S951,MATCH($E865,'0.0.1 Pokémon Dex Data'!$B$3:$B951,0))*INDEX('0.0.1 Pokémon Dex Data'!T$3:T951,MATCH($E865,'0.0.1 Pokémon Dex Data'!$B$3:$B951,0)),0)</f>
        <v>231</v>
      </c>
      <c r="K865" s="260" t="n">
        <f aca="false" t="array" ref="K865:K865">ROUND(INDEX('0.0.1 Pokémon Dex Data'!$S$3:$S951,MATCH($E865,'0.0.1 Pokémon Dex Data'!$B$3:$B951,0))*INDEX('0.0.1 Pokémon Dex Data'!U$3:U951,MATCH($E865,'0.0.1 Pokémon Dex Data'!$B$3:$B951,0)),0)</f>
        <v>140</v>
      </c>
      <c r="L865" s="260" t="n">
        <f aca="false" t="array" ref="L865:L865">ROUND(INDEX('0.0.1 Pokémon Dex Data'!$S$3:$S951,MATCH($E865,'0.0.1 Pokémon Dex Data'!$B$3:$B951,0))*INDEX('0.0.1 Pokémon Dex Data'!V$3:V951,MATCH($E865,'0.0.1 Pokémon Dex Data'!$B$3:$B951,0)),0)</f>
        <v>181</v>
      </c>
      <c r="M865" s="260" t="n">
        <f aca="false" t="array" ref="M865:M865">INDEX('0.0.1 Pokémon Dex Data'!$J$3:$J951,MATCH(E865,'0.0.1 Pokémon Dex Data'!$B$3:$B951,0))</f>
        <v>1</v>
      </c>
      <c r="O865" s="490"/>
      <c r="Q865" s="367" t="n">
        <f aca="false">IF('Reverse Search'!$F$4="All (including temporary formes)",1,IF('Reverse Search'!$F$4="Base Pokémon and permanent formes only",IF(F865&lt;=1,1,0),IF(F865=0,1,0)))</f>
        <v>1</v>
      </c>
      <c r="R865" s="0" t="n">
        <f aca="false">IF('Reverse Search'!$C$7="Disable",1,IF('Reverse Search'!$D$9="Disable",1,IF(OR('Reverse Search'!$F$9=H865,'Reverse Search'!$F$9=I865),1,0)))</f>
        <v>1</v>
      </c>
      <c r="S865" s="0" t="n">
        <f aca="false">IF('Reverse Search'!$C$7="Disable",1,IF('Reverse Search'!$D$10="Disable",1,IF(OR('Reverse Search'!$F$10=H865,'Reverse Search'!$F$10=I865),1,0)))</f>
        <v>1</v>
      </c>
      <c r="T865" s="0" t="n">
        <f aca="false">INDEX($B$4:$B$22,MATCH(H865,$A$4:$A$22,0))</f>
        <v>0.714</v>
      </c>
      <c r="U865" s="0" t="e">
        <f aca="false">IF(ISBLANK(I865),1,INDEX($B$4:$B$22,MATCH(I865,$A$4:$A$22,0)))</f>
        <v>#N/A</v>
      </c>
      <c r="V865" s="367" t="n">
        <f aca="false">IF('Reverse Search'!$C$7="Disable",1,IF('Reverse Search'!$D$11="Disable",1,IF('Reverse Search'!$E$11="Neutral to:",IF(ROUND(T865*U865,2)&lt;=1,1,0),IF(ROUND(T865*U865,2)&lt;1,1,0))))</f>
        <v>1</v>
      </c>
      <c r="W865" s="0" t="n">
        <f aca="false">IF('Reverse Search'!$N$7="Disable",1,IF('Reverse Search'!$I$9="Disable",1,IF('Reverse Search'!$K$9="≥",IF(J865&gt;='Reverse Search'!$L$9,1,0),IF('Reverse Search'!$K$9="≤",IF(J865&lt;='Reverse Search'!$L$9,1,0),IF(J865='Reverse Search'!$L$9,1,0)))))</f>
        <v>1</v>
      </c>
      <c r="X865" s="0" t="n">
        <f aca="false">IF('Reverse Search'!$N$7="Disable",1,IF('Reverse Search'!$I$10="Disable",1,IF('Reverse Search'!$K$10="≥",IF(K865&gt;='Reverse Search'!$L$10,1,0),IF('Reverse Search'!$K$10="≤",IF(K865&lt;='Reverse Search'!$L$10,1,0),IF(K865='Reverse Search'!$L$10,1,0)))))</f>
        <v>1</v>
      </c>
      <c r="Y865" s="367" t="n">
        <f aca="false">IF('Reverse Search'!$N$7="Disable",1,IF('Reverse Search'!$I$11="Disable",1,IF('Reverse Search'!$K$11="≥",IF(L865&gt;='Reverse Search'!$L$11,1,0),IF('Reverse Search'!$K$11="≤",IF(L865&lt;='Reverse Search'!$L$11,1,0),IF(L865='Reverse Search'!$L$11,1,0)))))</f>
        <v>1</v>
      </c>
      <c r="Z865" s="0" t="n">
        <f aca="true">IF('Reverse Search'!$C$14="Disable",1,IF('Reverse Search'!$D$16="Disable",1,IF($C$2=3,IF($M865=0,0,COUNTIF(INDIRECT("'0.0.2 Pokémon Learnset (Core)'!$D$"&amp;MATCH($E865,'0.0.2 Pokémon Learnset (Core)'!$A$1:$A951,0)&amp;":$FK$"&amp;MATCH($E865,'0.0.2 Pokémon Learnset (Core)'!$A$1:$A951,0)),'Reverse Search'!$E$21)),IF($C$2=2,COUNTIF(INDIRECT("'0.1.1 Pokémon GO Moves'!$B$"&amp;MATCH($E865,'0.1.1 Pokémon GO Moves'!$A$1:$A951,0)&amp;":$R$"&amp;MATCH($E865,'0.1.1 Pokémon GO Moves'!$A$1:$A951,0)),'Reverse Search'!$E$21),COUNTIF(INDIRECT("'0.1.1 Pokémon GO Moves'!$B$"&amp;MATCH($E865,'0.1.1 Pokémon GO Moves'!$A$1:$A951,0)&amp;":$L$"&amp;MATCH($E865,'0.1.1 Pokémon GO Moves'!$A$1:$A951,0)),'Reverse Search'!$E$21)))))</f>
        <v>1</v>
      </c>
      <c r="AA865" s="0" t="n">
        <f aca="true">IF('Reverse Search'!$C$14="Disable",1,IF('Reverse Search'!$I$16="Disable",1,IF($D$2=3,IF($M865=0,0,COUNTIF(INDIRECT("'0.0.2 Pokémon Learnset (Core)'!$D$"&amp;MATCH($E865,'0.0.2 Pokémon Learnset (Core)'!$A$1:$A951,0)&amp;":$FK$"&amp;MATCH($E865,'0.0.2 Pokémon Learnset (Core)'!$A$1:$A951,0)),'Reverse Search'!$J$21)),IF($D$2=2,COUNTIF(INDIRECT("'0.1.1 Pokémon GO Moves'!$B$"&amp;MATCH($E865,'0.1.1 Pokémon GO Moves'!$A$1:$A951,0)&amp;":$R$"&amp;MATCH($E865,'0.1.1 Pokémon GO Moves'!$A$1:$A951,0)),'Reverse Search'!$J$21),COUNTIF(INDIRECT("'0.1.1 Pokémon GO Moves'!$B$"&amp;MATCH($E865,'0.1.1 Pokémon GO Moves'!$A$1:$A951,0)&amp;":$L$"&amp;MATCH($E865,'0.1.1 Pokémon GO Moves'!$A$1:$A951,0)),'Reverse Search'!$J$21)))))</f>
        <v>0</v>
      </c>
      <c r="AB865" s="490"/>
      <c r="AC865" s="260" t="n">
        <f aca="false">IF((Q865+R865+S865+V865+W865+X865+Y865+IF(Z865&gt;=1,1,0)+IF(AA865&gt;=1,1,0))=9,G865&amp;", ",)</f>
        <v>0</v>
      </c>
    </row>
    <row r="866" customFormat="false" ht="15.75" hidden="false" customHeight="false" outlineLevel="0" collapsed="false">
      <c r="A866" s="260"/>
      <c r="B866" s="358"/>
      <c r="C866" s="260"/>
      <c r="D866" s="358"/>
      <c r="E866" s="260" t="n">
        <v>865</v>
      </c>
      <c r="F866" s="260" t="n">
        <f aca="false" t="array" ref="F866:F866">INDEX('0.0.1 Pokémon Dex Data'!$H$3:$H951,MATCH(E866,'0.0.1 Pokémon Dex Data'!$B$3:$B951,0))</f>
        <v>0</v>
      </c>
      <c r="G866" s="0" t="str">
        <f aca="false" t="array" ref="G866:G866">INDEX('0.0.1 Pokémon Dex Data'!$E$3:$E951,MATCH(E866,'0.0.1 Pokémon Dex Data'!$B$3:$B951,0))</f>
        <v>Lycanroc-Midnight</v>
      </c>
      <c r="H866" s="0" t="str">
        <f aca="false" t="array" ref="H866:H866">INDEX('0.0.1 Pokémon Dex Data'!$Q$3:$Q951,MATCH(E866,'0.0.1 Pokémon Dex Data'!$B$3:$B951,0))</f>
        <v>Rock</v>
      </c>
      <c r="I866" s="0" t="n">
        <f aca="false">INDEX('0.0.1 Pokémon Dex Data'!$R$3:$R951,MATCH(E866,'0.0.1 Pokémon Dex Data'!$B$3:$B951,0))</f>
        <v>0</v>
      </c>
      <c r="J866" s="260" t="n">
        <f aca="false" t="array" ref="J866:J866">ROUND(INDEX('0.0.1 Pokémon Dex Data'!$S$3:$S951,MATCH($E866,'0.0.1 Pokémon Dex Data'!$B$3:$B951,0))*INDEX('0.0.1 Pokémon Dex Data'!T$3:T951,MATCH($E866,'0.0.1 Pokémon Dex Data'!$B$3:$B951,0)),0)</f>
        <v>218</v>
      </c>
      <c r="K866" s="260" t="n">
        <f aca="false" t="array" ref="K866:K866">ROUND(INDEX('0.0.1 Pokémon Dex Data'!$S$3:$S951,MATCH($E866,'0.0.1 Pokémon Dex Data'!$B$3:$B951,0))*INDEX('0.0.1 Pokémon Dex Data'!U$3:U951,MATCH($E866,'0.0.1 Pokémon Dex Data'!$B$3:$B951,0)),0)</f>
        <v>152</v>
      </c>
      <c r="L866" s="260" t="n">
        <f aca="false" t="array" ref="L866:L866">ROUND(INDEX('0.0.1 Pokémon Dex Data'!$S$3:$S951,MATCH($E866,'0.0.1 Pokémon Dex Data'!$B$3:$B951,0))*INDEX('0.0.1 Pokémon Dex Data'!V$3:V951,MATCH($E866,'0.0.1 Pokémon Dex Data'!$B$3:$B951,0)),0)</f>
        <v>198</v>
      </c>
      <c r="M866" s="260" t="n">
        <f aca="false" t="array" ref="M866:M866">INDEX('0.0.1 Pokémon Dex Data'!$J$3:$J951,MATCH(E866,'0.0.1 Pokémon Dex Data'!$B$3:$B951,0))</f>
        <v>1</v>
      </c>
      <c r="O866" s="490"/>
      <c r="Q866" s="367" t="n">
        <f aca="false">IF('Reverse Search'!$F$4="All (including temporary formes)",1,IF('Reverse Search'!$F$4="Base Pokémon and permanent formes only",IF(F866&lt;=1,1,0),IF(F866=0,1,0)))</f>
        <v>1</v>
      </c>
      <c r="R866" s="0" t="n">
        <f aca="false">IF('Reverse Search'!$C$7="Disable",1,IF('Reverse Search'!$D$9="Disable",1,IF(OR('Reverse Search'!$F$9=H866,'Reverse Search'!$F$9=I866),1,0)))</f>
        <v>1</v>
      </c>
      <c r="S866" s="0" t="n">
        <f aca="false">IF('Reverse Search'!$C$7="Disable",1,IF('Reverse Search'!$D$10="Disable",1,IF(OR('Reverse Search'!$F$10=H866,'Reverse Search'!$F$10=I866),1,0)))</f>
        <v>1</v>
      </c>
      <c r="T866" s="0" t="n">
        <f aca="false">INDEX($B$4:$B$22,MATCH(H866,$A$4:$A$22,0))</f>
        <v>0.714</v>
      </c>
      <c r="U866" s="0" t="e">
        <f aca="false">IF(ISBLANK(I866),1,INDEX($B$4:$B$22,MATCH(I866,$A$4:$A$22,0)))</f>
        <v>#N/A</v>
      </c>
      <c r="V866" s="367" t="n">
        <f aca="false">IF('Reverse Search'!$C$7="Disable",1,IF('Reverse Search'!$D$11="Disable",1,IF('Reverse Search'!$E$11="Neutral to:",IF(ROUND(T866*U866,2)&lt;=1,1,0),IF(ROUND(T866*U866,2)&lt;1,1,0))))</f>
        <v>1</v>
      </c>
      <c r="W866" s="0" t="n">
        <f aca="false">IF('Reverse Search'!$N$7="Disable",1,IF('Reverse Search'!$I$9="Disable",1,IF('Reverse Search'!$K$9="≥",IF(J866&gt;='Reverse Search'!$L$9,1,0),IF('Reverse Search'!$K$9="≤",IF(J866&lt;='Reverse Search'!$L$9,1,0),IF(J866='Reverse Search'!$L$9,1,0)))))</f>
        <v>1</v>
      </c>
      <c r="X866" s="0" t="n">
        <f aca="false">IF('Reverse Search'!$N$7="Disable",1,IF('Reverse Search'!$I$10="Disable",1,IF('Reverse Search'!$K$10="≥",IF(K866&gt;='Reverse Search'!$L$10,1,0),IF('Reverse Search'!$K$10="≤",IF(K866&lt;='Reverse Search'!$L$10,1,0),IF(K866='Reverse Search'!$L$10,1,0)))))</f>
        <v>1</v>
      </c>
      <c r="Y866" s="367" t="n">
        <f aca="false">IF('Reverse Search'!$N$7="Disable",1,IF('Reverse Search'!$I$11="Disable",1,IF('Reverse Search'!$K$11="≥",IF(L866&gt;='Reverse Search'!$L$11,1,0),IF('Reverse Search'!$K$11="≤",IF(L866&lt;='Reverse Search'!$L$11,1,0),IF(L866='Reverse Search'!$L$11,1,0)))))</f>
        <v>1</v>
      </c>
      <c r="Z866" s="0" t="n">
        <f aca="true">IF('Reverse Search'!$C$14="Disable",1,IF('Reverse Search'!$D$16="Disable",1,IF($C$2=3,IF($M866=0,0,COUNTIF(INDIRECT("'0.0.2 Pokémon Learnset (Core)'!$D$"&amp;MATCH($E866,'0.0.2 Pokémon Learnset (Core)'!$A$1:$A951,0)&amp;":$FK$"&amp;MATCH($E866,'0.0.2 Pokémon Learnset (Core)'!$A$1:$A951,0)),'Reverse Search'!$E$21)),IF($C$2=2,COUNTIF(INDIRECT("'0.1.1 Pokémon GO Moves'!$B$"&amp;MATCH($E866,'0.1.1 Pokémon GO Moves'!$A$1:$A951,0)&amp;":$R$"&amp;MATCH($E866,'0.1.1 Pokémon GO Moves'!$A$1:$A951,0)),'Reverse Search'!$E$21),COUNTIF(INDIRECT("'0.1.1 Pokémon GO Moves'!$B$"&amp;MATCH($E866,'0.1.1 Pokémon GO Moves'!$A$1:$A951,0)&amp;":$L$"&amp;MATCH($E866,'0.1.1 Pokémon GO Moves'!$A$1:$A951,0)),'Reverse Search'!$E$21)))))</f>
        <v>1</v>
      </c>
      <c r="AA866" s="0" t="e">
        <f aca="true">IF('Reverse Search'!$C$14="Disable",1,IF('Reverse Search'!$I$16="Disable",1,IF($D$2=3,IF($M866=0,0,COUNTIF(INDIRECT("'0.0.2 Pokémon Learnset (Core)'!$D$"&amp;MATCH($E866,'0.0.2 Pokémon Learnset (Core)'!$A$1:$A951,0)&amp;":$FK$"&amp;MATCH($E866,'0.0.2 Pokémon Learnset (Core)'!$A$1:$A951,0)),'Reverse Search'!$J$21)),IF($D$2=2,COUNTIF(INDIRECT("'0.1.1 Pokémon GO Moves'!$B$"&amp;MATCH($E866,'0.1.1 Pokémon GO Moves'!$A$1:$A951,0)&amp;":$R$"&amp;MATCH($E866,'0.1.1 Pokémon GO Moves'!$A$1:$A951,0)),'Reverse Search'!$J$21),COUNTIF(INDIRECT("'0.1.1 Pokémon GO Moves'!$B$"&amp;MATCH($E866,'0.1.1 Pokémon GO Moves'!$A$1:$A951,0)&amp;":$L$"&amp;MATCH($E866,'0.1.1 Pokémon GO Moves'!$A$1:$A951,0)),'Reverse Search'!$J$21)))))</f>
        <v>#N/A</v>
      </c>
      <c r="AB866" s="490"/>
      <c r="AC866" s="260" t="e">
        <f aca="false">IF((Q866+R866+S866+V866+W866+X866+Y866+IF(Z866&gt;=1,1,0)+IF(AA866&gt;=1,1,0))=9,G866&amp;", ",)</f>
        <v>#N/A</v>
      </c>
    </row>
    <row r="867" customFormat="false" ht="15.75" hidden="false" customHeight="false" outlineLevel="0" collapsed="false">
      <c r="A867" s="260"/>
      <c r="B867" s="358"/>
      <c r="C867" s="260"/>
      <c r="D867" s="358"/>
      <c r="E867" s="260" t="n">
        <v>866</v>
      </c>
      <c r="F867" s="260" t="n">
        <f aca="false" t="array" ref="F867:F867">INDEX('0.0.1 Pokémon Dex Data'!$H$3:$H951,MATCH(E867,'0.0.1 Pokémon Dex Data'!$B$3:$B951,0))</f>
        <v>0</v>
      </c>
      <c r="G867" s="0" t="str">
        <f aca="false" t="array" ref="G867:G867">INDEX('0.0.1 Pokémon Dex Data'!$E$3:$E951,MATCH(E867,'0.0.1 Pokémon Dex Data'!$B$3:$B951,0))</f>
        <v>Lycanroc-Dusk</v>
      </c>
      <c r="H867" s="0" t="str">
        <f aca="false" t="array" ref="H867:H867">INDEX('0.0.1 Pokémon Dex Data'!$Q$3:$Q951,MATCH(E867,'0.0.1 Pokémon Dex Data'!$B$3:$B951,0))</f>
        <v>Rock</v>
      </c>
      <c r="I867" s="0" t="n">
        <f aca="false">INDEX('0.0.1 Pokémon Dex Data'!$R$3:$R951,MATCH(E867,'0.0.1 Pokémon Dex Data'!$B$3:$B951,0))</f>
        <v>0</v>
      </c>
      <c r="J867" s="260" t="n">
        <f aca="false" t="array" ref="J867:J867">ROUND(INDEX('0.0.1 Pokémon Dex Data'!$S$3:$S951,MATCH($E867,'0.0.1 Pokémon Dex Data'!$B$3:$B951,0))*INDEX('0.0.1 Pokémon Dex Data'!T$3:T951,MATCH($E867,'0.0.1 Pokémon Dex Data'!$B$3:$B951,0)),0)</f>
        <v>234</v>
      </c>
      <c r="K867" s="260" t="n">
        <f aca="false" t="array" ref="K867:K867">ROUND(INDEX('0.0.1 Pokémon Dex Data'!$S$3:$S951,MATCH($E867,'0.0.1 Pokémon Dex Data'!$B$3:$B951,0))*INDEX('0.0.1 Pokémon Dex Data'!U$3:U951,MATCH($E867,'0.0.1 Pokémon Dex Data'!$B$3:$B951,0)),0)</f>
        <v>139</v>
      </c>
      <c r="L867" s="260" t="n">
        <f aca="false" t="array" ref="L867:L867">ROUND(INDEX('0.0.1 Pokémon Dex Data'!$S$3:$S951,MATCH($E867,'0.0.1 Pokémon Dex Data'!$B$3:$B951,0))*INDEX('0.0.1 Pokémon Dex Data'!V$3:V951,MATCH($E867,'0.0.1 Pokémon Dex Data'!$B$3:$B951,0)),0)</f>
        <v>181</v>
      </c>
      <c r="M867" s="260" t="n">
        <f aca="false" t="array" ref="M867:M867">INDEX('0.0.1 Pokémon Dex Data'!$J$3:$J951,MATCH(E867,'0.0.1 Pokémon Dex Data'!$B$3:$B951,0))</f>
        <v>1</v>
      </c>
      <c r="O867" s="490"/>
      <c r="Q867" s="367" t="n">
        <f aca="false">IF('Reverse Search'!$F$4="All (including temporary formes)",1,IF('Reverse Search'!$F$4="Base Pokémon and permanent formes only",IF(F867&lt;=1,1,0),IF(F867=0,1,0)))</f>
        <v>1</v>
      </c>
      <c r="R867" s="0" t="n">
        <f aca="false">IF('Reverse Search'!$C$7="Disable",1,IF('Reverse Search'!$D$9="Disable",1,IF(OR('Reverse Search'!$F$9=H867,'Reverse Search'!$F$9=I867),1,0)))</f>
        <v>1</v>
      </c>
      <c r="S867" s="0" t="n">
        <f aca="false">IF('Reverse Search'!$C$7="Disable",1,IF('Reverse Search'!$D$10="Disable",1,IF(OR('Reverse Search'!$F$10=H867,'Reverse Search'!$F$10=I867),1,0)))</f>
        <v>1</v>
      </c>
      <c r="T867" s="0" t="n">
        <f aca="false">INDEX($B$4:$B$22,MATCH(H867,$A$4:$A$22,0))</f>
        <v>0.714</v>
      </c>
      <c r="U867" s="0" t="e">
        <f aca="false">IF(ISBLANK(I867),1,INDEX($B$4:$B$22,MATCH(I867,$A$4:$A$22,0)))</f>
        <v>#N/A</v>
      </c>
      <c r="V867" s="367" t="n">
        <f aca="false">IF('Reverse Search'!$C$7="Disable",1,IF('Reverse Search'!$D$11="Disable",1,IF('Reverse Search'!$E$11="Neutral to:",IF(ROUND(T867*U867,2)&lt;=1,1,0),IF(ROUND(T867*U867,2)&lt;1,1,0))))</f>
        <v>1</v>
      </c>
      <c r="W867" s="0" t="n">
        <f aca="false">IF('Reverse Search'!$N$7="Disable",1,IF('Reverse Search'!$I$9="Disable",1,IF('Reverse Search'!$K$9="≥",IF(J867&gt;='Reverse Search'!$L$9,1,0),IF('Reverse Search'!$K$9="≤",IF(J867&lt;='Reverse Search'!$L$9,1,0),IF(J867='Reverse Search'!$L$9,1,0)))))</f>
        <v>1</v>
      </c>
      <c r="X867" s="0" t="n">
        <f aca="false">IF('Reverse Search'!$N$7="Disable",1,IF('Reverse Search'!$I$10="Disable",1,IF('Reverse Search'!$K$10="≥",IF(K867&gt;='Reverse Search'!$L$10,1,0),IF('Reverse Search'!$K$10="≤",IF(K867&lt;='Reverse Search'!$L$10,1,0),IF(K867='Reverse Search'!$L$10,1,0)))))</f>
        <v>1</v>
      </c>
      <c r="Y867" s="367" t="n">
        <f aca="false">IF('Reverse Search'!$N$7="Disable",1,IF('Reverse Search'!$I$11="Disable",1,IF('Reverse Search'!$K$11="≥",IF(L867&gt;='Reverse Search'!$L$11,1,0),IF('Reverse Search'!$K$11="≤",IF(L867&lt;='Reverse Search'!$L$11,1,0),IF(L867='Reverse Search'!$L$11,1,0)))))</f>
        <v>1</v>
      </c>
      <c r="Z867" s="0" t="n">
        <f aca="true">IF('Reverse Search'!$C$14="Disable",1,IF('Reverse Search'!$D$16="Disable",1,IF($C$2=3,IF($M867=0,0,COUNTIF(INDIRECT("'0.0.2 Pokémon Learnset (Core)'!$D$"&amp;MATCH($E867,'0.0.2 Pokémon Learnset (Core)'!$A$1:$A951,0)&amp;":$FK$"&amp;MATCH($E867,'0.0.2 Pokémon Learnset (Core)'!$A$1:$A951,0)),'Reverse Search'!$E$21)),IF($C$2=2,COUNTIF(INDIRECT("'0.1.1 Pokémon GO Moves'!$B$"&amp;MATCH($E867,'0.1.1 Pokémon GO Moves'!$A$1:$A951,0)&amp;":$R$"&amp;MATCH($E867,'0.1.1 Pokémon GO Moves'!$A$1:$A951,0)),'Reverse Search'!$E$21),COUNTIF(INDIRECT("'0.1.1 Pokémon GO Moves'!$B$"&amp;MATCH($E867,'0.1.1 Pokémon GO Moves'!$A$1:$A951,0)&amp;":$L$"&amp;MATCH($E867,'0.1.1 Pokémon GO Moves'!$A$1:$A951,0)),'Reverse Search'!$E$21)))))</f>
        <v>1</v>
      </c>
      <c r="AA867" s="0" t="e">
        <f aca="true">IF('Reverse Search'!$C$14="Disable",1,IF('Reverse Search'!$I$16="Disable",1,IF($D$2=3,IF($M867=0,0,COUNTIF(INDIRECT("'0.0.2 Pokémon Learnset (Core)'!$D$"&amp;MATCH($E867,'0.0.2 Pokémon Learnset (Core)'!$A$1:$A951,0)&amp;":$FK$"&amp;MATCH($E867,'0.0.2 Pokémon Learnset (Core)'!$A$1:$A951,0)),'Reverse Search'!$J$21)),IF($D$2=2,COUNTIF(INDIRECT("'0.1.1 Pokémon GO Moves'!$B$"&amp;MATCH($E867,'0.1.1 Pokémon GO Moves'!$A$1:$A951,0)&amp;":$R$"&amp;MATCH($E867,'0.1.1 Pokémon GO Moves'!$A$1:$A951,0)),'Reverse Search'!$J$21),COUNTIF(INDIRECT("'0.1.1 Pokémon GO Moves'!$B$"&amp;MATCH($E867,'0.1.1 Pokémon GO Moves'!$A$1:$A951,0)&amp;":$L$"&amp;MATCH($E867,'0.1.1 Pokémon GO Moves'!$A$1:$A951,0)),'Reverse Search'!$J$21)))))</f>
        <v>#N/A</v>
      </c>
      <c r="AB867" s="490"/>
      <c r="AC867" s="260" t="e">
        <f aca="false">IF((Q867+R867+S867+V867+W867+X867+Y867+IF(Z867&gt;=1,1,0)+IF(AA867&gt;=1,1,0))=9,G867&amp;", ",)</f>
        <v>#N/A</v>
      </c>
    </row>
    <row r="868" customFormat="false" ht="15.75" hidden="false" customHeight="false" outlineLevel="0" collapsed="false">
      <c r="A868" s="260"/>
      <c r="B868" s="358"/>
      <c r="C868" s="260"/>
      <c r="D868" s="358"/>
      <c r="E868" s="260" t="n">
        <v>867</v>
      </c>
      <c r="F868" s="260" t="n">
        <f aca="false" t="array" ref="F868:F868">INDEX('0.0.1 Pokémon Dex Data'!$H$3:$H951,MATCH(E868,'0.0.1 Pokémon Dex Data'!$B$3:$B951,0))</f>
        <v>0</v>
      </c>
      <c r="G868" s="0" t="str">
        <f aca="false" t="array" ref="G868:G868">INDEX('0.0.1 Pokémon Dex Data'!$E$3:$E951,MATCH(E868,'0.0.1 Pokémon Dex Data'!$B$3:$B951,0))</f>
        <v>Wishiwashi</v>
      </c>
      <c r="H868" s="0" t="str">
        <f aca="false" t="array" ref="H868:H868">INDEX('0.0.1 Pokémon Dex Data'!$Q$3:$Q951,MATCH(E868,'0.0.1 Pokémon Dex Data'!$B$3:$B951,0))</f>
        <v>Water</v>
      </c>
      <c r="I868" s="0" t="n">
        <f aca="false">INDEX('0.0.1 Pokémon Dex Data'!$R$3:$R951,MATCH(E868,'0.0.1 Pokémon Dex Data'!$B$3:$B951,0))</f>
        <v>0</v>
      </c>
      <c r="J868" s="260" t="n">
        <f aca="false" t="array" ref="J868:J868">ROUND(INDEX('0.0.1 Pokémon Dex Data'!$S$3:$S951,MATCH($E868,'0.0.1 Pokémon Dex Data'!$B$3:$B951,0))*INDEX('0.0.1 Pokémon Dex Data'!T$3:T951,MATCH($E868,'0.0.1 Pokémon Dex Data'!$B$3:$B951,0)),0)</f>
        <v>46</v>
      </c>
      <c r="K868" s="260" t="n">
        <f aca="false" t="array" ref="K868:K868">ROUND(INDEX('0.0.1 Pokémon Dex Data'!$S$3:$S951,MATCH($E868,'0.0.1 Pokémon Dex Data'!$B$3:$B951,0))*INDEX('0.0.1 Pokémon Dex Data'!U$3:U951,MATCH($E868,'0.0.1 Pokémon Dex Data'!$B$3:$B951,0)),0)</f>
        <v>43</v>
      </c>
      <c r="L868" s="260" t="n">
        <f aca="false" t="array" ref="L868:L868">ROUND(INDEX('0.0.1 Pokémon Dex Data'!$S$3:$S951,MATCH($E868,'0.0.1 Pokémon Dex Data'!$B$3:$B951,0))*INDEX('0.0.1 Pokémon Dex Data'!V$3:V951,MATCH($E868,'0.0.1 Pokémon Dex Data'!$B$3:$B951,0)),0)</f>
        <v>128</v>
      </c>
      <c r="M868" s="260" t="n">
        <f aca="false" t="array" ref="M868:M868">INDEX('0.0.1 Pokémon Dex Data'!$J$3:$J951,MATCH(E868,'0.0.1 Pokémon Dex Data'!$B$3:$B951,0))</f>
        <v>1</v>
      </c>
      <c r="O868" s="490"/>
      <c r="Q868" s="367" t="n">
        <f aca="false">IF('Reverse Search'!$F$4="All (including temporary formes)",1,IF('Reverse Search'!$F$4="Base Pokémon and permanent formes only",IF(F868&lt;=1,1,0),IF(F868=0,1,0)))</f>
        <v>1</v>
      </c>
      <c r="R868" s="0" t="n">
        <f aca="false">IF('Reverse Search'!$C$7="Disable",1,IF('Reverse Search'!$D$9="Disable",1,IF(OR('Reverse Search'!$F$9=H868,'Reverse Search'!$F$9=I868),1,0)))</f>
        <v>1</v>
      </c>
      <c r="S868" s="0" t="n">
        <f aca="false">IF('Reverse Search'!$C$7="Disable",1,IF('Reverse Search'!$D$10="Disable",1,IF(OR('Reverse Search'!$F$10=H868,'Reverse Search'!$F$10=I868),1,0)))</f>
        <v>1</v>
      </c>
      <c r="T868" s="0" t="n">
        <f aca="false">INDEX($B$4:$B$22,MATCH(H868,$A$4:$A$22,0))</f>
        <v>1</v>
      </c>
      <c r="U868" s="0" t="e">
        <f aca="false">IF(ISBLANK(I868),1,INDEX($B$4:$B$22,MATCH(I868,$A$4:$A$22,0)))</f>
        <v>#N/A</v>
      </c>
      <c r="V868" s="367" t="n">
        <f aca="false">IF('Reverse Search'!$C$7="Disable",1,IF('Reverse Search'!$D$11="Disable",1,IF('Reverse Search'!$E$11="Neutral to:",IF(ROUND(T868*U868,2)&lt;=1,1,0),IF(ROUND(T868*U868,2)&lt;1,1,0))))</f>
        <v>1</v>
      </c>
      <c r="W868" s="0" t="n">
        <f aca="false">IF('Reverse Search'!$N$7="Disable",1,IF('Reverse Search'!$I$9="Disable",1,IF('Reverse Search'!$K$9="≥",IF(J868&gt;='Reverse Search'!$L$9,1,0),IF('Reverse Search'!$K$9="≤",IF(J868&lt;='Reverse Search'!$L$9,1,0),IF(J868='Reverse Search'!$L$9,1,0)))))</f>
        <v>1</v>
      </c>
      <c r="X868" s="0" t="n">
        <f aca="false">IF('Reverse Search'!$N$7="Disable",1,IF('Reverse Search'!$I$10="Disable",1,IF('Reverse Search'!$K$10="≥",IF(K868&gt;='Reverse Search'!$L$10,1,0),IF('Reverse Search'!$K$10="≤",IF(K868&lt;='Reverse Search'!$L$10,1,0),IF(K868='Reverse Search'!$L$10,1,0)))))</f>
        <v>1</v>
      </c>
      <c r="Y868" s="367" t="n">
        <f aca="false">IF('Reverse Search'!$N$7="Disable",1,IF('Reverse Search'!$I$11="Disable",1,IF('Reverse Search'!$K$11="≥",IF(L868&gt;='Reverse Search'!$L$11,1,0),IF('Reverse Search'!$K$11="≤",IF(L868&lt;='Reverse Search'!$L$11,1,0),IF(L868='Reverse Search'!$L$11,1,0)))))</f>
        <v>1</v>
      </c>
      <c r="Z868" s="0" t="n">
        <f aca="true">IF('Reverse Search'!$C$14="Disable",1,IF('Reverse Search'!$D$16="Disable",1,IF($C$2=3,IF($M868=0,0,COUNTIF(INDIRECT("'0.0.2 Pokémon Learnset (Core)'!$D$"&amp;MATCH($E868,'0.0.2 Pokémon Learnset (Core)'!$A$1:$A951,0)&amp;":$FK$"&amp;MATCH($E868,'0.0.2 Pokémon Learnset (Core)'!$A$1:$A951,0)),'Reverse Search'!$E$21)),IF($C$2=2,COUNTIF(INDIRECT("'0.1.1 Pokémon GO Moves'!$B$"&amp;MATCH($E868,'0.1.1 Pokémon GO Moves'!$A$1:$A951,0)&amp;":$R$"&amp;MATCH($E868,'0.1.1 Pokémon GO Moves'!$A$1:$A951,0)),'Reverse Search'!$E$21),COUNTIF(INDIRECT("'0.1.1 Pokémon GO Moves'!$B$"&amp;MATCH($E868,'0.1.1 Pokémon GO Moves'!$A$1:$A951,0)&amp;":$L$"&amp;MATCH($E868,'0.1.1 Pokémon GO Moves'!$A$1:$A951,0)),'Reverse Search'!$E$21)))))</f>
        <v>1</v>
      </c>
      <c r="AA868" s="0" t="n">
        <f aca="true">IF('Reverse Search'!$C$14="Disable",1,IF('Reverse Search'!$I$16="Disable",1,IF($D$2=3,IF($M868=0,0,COUNTIF(INDIRECT("'0.0.2 Pokémon Learnset (Core)'!$D$"&amp;MATCH($E868,'0.0.2 Pokémon Learnset (Core)'!$A$1:$A951,0)&amp;":$FK$"&amp;MATCH($E868,'0.0.2 Pokémon Learnset (Core)'!$A$1:$A951,0)),'Reverse Search'!$J$21)),IF($D$2=2,COUNTIF(INDIRECT("'0.1.1 Pokémon GO Moves'!$B$"&amp;MATCH($E868,'0.1.1 Pokémon GO Moves'!$A$1:$A951,0)&amp;":$R$"&amp;MATCH($E868,'0.1.1 Pokémon GO Moves'!$A$1:$A951,0)),'Reverse Search'!$J$21),COUNTIF(INDIRECT("'0.1.1 Pokémon GO Moves'!$B$"&amp;MATCH($E868,'0.1.1 Pokémon GO Moves'!$A$1:$A951,0)&amp;":$L$"&amp;MATCH($E868,'0.1.1 Pokémon GO Moves'!$A$1:$A951,0)),'Reverse Search'!$J$21)))))</f>
        <v>0</v>
      </c>
      <c r="AB868" s="490"/>
      <c r="AC868" s="260" t="n">
        <f aca="false">IF((Q868+R868+S868+V868+W868+X868+Y868+IF(Z868&gt;=1,1,0)+IF(AA868&gt;=1,1,0))=9,G868&amp;", ",)</f>
        <v>0</v>
      </c>
    </row>
    <row r="869" customFormat="false" ht="15.75" hidden="false" customHeight="false" outlineLevel="0" collapsed="false">
      <c r="A869" s="260"/>
      <c r="B869" s="358"/>
      <c r="C869" s="260"/>
      <c r="D869" s="358"/>
      <c r="E869" s="260" t="n">
        <v>868</v>
      </c>
      <c r="F869" s="260" t="n">
        <f aca="false" t="array" ref="F869:F869">INDEX('0.0.1 Pokémon Dex Data'!$H$3:$H951,MATCH(E869,'0.0.1 Pokémon Dex Data'!$B$3:$B951,0))</f>
        <v>2</v>
      </c>
      <c r="G869" s="0" t="str">
        <f aca="false" t="array" ref="G869:G869">INDEX('0.0.1 Pokémon Dex Data'!$E$3:$E951,MATCH(E869,'0.0.1 Pokémon Dex Data'!$B$3:$B951,0))</f>
        <v>Wishiwashi-School</v>
      </c>
      <c r="H869" s="0" t="str">
        <f aca="false" t="array" ref="H869:H869">INDEX('0.0.1 Pokémon Dex Data'!$Q$3:$Q951,MATCH(E869,'0.0.1 Pokémon Dex Data'!$B$3:$B951,0))</f>
        <v>Water</v>
      </c>
      <c r="I869" s="0" t="n">
        <f aca="false">INDEX('0.0.1 Pokémon Dex Data'!$R$3:$R951,MATCH(E869,'0.0.1 Pokémon Dex Data'!$B$3:$B951,0))</f>
        <v>0</v>
      </c>
      <c r="J869" s="260" t="n">
        <f aca="false" t="array" ref="J869:J869">ROUND(INDEX('0.0.1 Pokémon Dex Data'!$S$3:$S951,MATCH($E869,'0.0.1 Pokémon Dex Data'!$B$3:$B951,0))*INDEX('0.0.1 Pokémon Dex Data'!T$3:T951,MATCH($E869,'0.0.1 Pokémon Dex Data'!$B$3:$B951,0)),0)</f>
        <v>255</v>
      </c>
      <c r="K869" s="260" t="n">
        <f aca="false" t="array" ref="K869:K869">ROUND(INDEX('0.0.1 Pokémon Dex Data'!$S$3:$S951,MATCH($E869,'0.0.1 Pokémon Dex Data'!$B$3:$B951,0))*INDEX('0.0.1 Pokémon Dex Data'!U$3:U951,MATCH($E869,'0.0.1 Pokémon Dex Data'!$B$3:$B951,0)),0)</f>
        <v>242</v>
      </c>
      <c r="L869" s="260" t="n">
        <f aca="false" t="array" ref="L869:L869">ROUND(INDEX('0.0.1 Pokémon Dex Data'!$S$3:$S951,MATCH($E869,'0.0.1 Pokémon Dex Data'!$B$3:$B951,0))*INDEX('0.0.1 Pokémon Dex Data'!V$3:V951,MATCH($E869,'0.0.1 Pokémon Dex Data'!$B$3:$B951,0)),0)</f>
        <v>128</v>
      </c>
      <c r="M869" s="260" t="n">
        <f aca="false" t="array" ref="M869:M869">INDEX('0.0.1 Pokémon Dex Data'!$J$3:$J951,MATCH(E869,'0.0.1 Pokémon Dex Data'!$B$3:$B951,0))</f>
        <v>1</v>
      </c>
      <c r="O869" s="490"/>
      <c r="Q869" s="367" t="n">
        <f aca="false">IF('Reverse Search'!$F$4="All (including temporary formes)",1,IF('Reverse Search'!$F$4="Base Pokémon and permanent formes only",IF(F869&lt;=1,1,0),IF(F869=0,1,0)))</f>
        <v>0</v>
      </c>
      <c r="R869" s="0" t="n">
        <f aca="false">IF('Reverse Search'!$C$7="Disable",1,IF('Reverse Search'!$D$9="Disable",1,IF(OR('Reverse Search'!$F$9=H869,'Reverse Search'!$F$9=I869),1,0)))</f>
        <v>1</v>
      </c>
      <c r="S869" s="0" t="n">
        <f aca="false">IF('Reverse Search'!$C$7="Disable",1,IF('Reverse Search'!$D$10="Disable",1,IF(OR('Reverse Search'!$F$10=H869,'Reverse Search'!$F$10=I869),1,0)))</f>
        <v>1</v>
      </c>
      <c r="T869" s="0" t="n">
        <f aca="false">INDEX($B$4:$B$22,MATCH(H869,$A$4:$A$22,0))</f>
        <v>1</v>
      </c>
      <c r="U869" s="0" t="e">
        <f aca="false">IF(ISBLANK(I869),1,INDEX($B$4:$B$22,MATCH(I869,$A$4:$A$22,0)))</f>
        <v>#N/A</v>
      </c>
      <c r="V869" s="367" t="n">
        <f aca="false">IF('Reverse Search'!$C$7="Disable",1,IF('Reverse Search'!$D$11="Disable",1,IF('Reverse Search'!$E$11="Neutral to:",IF(ROUND(T869*U869,2)&lt;=1,1,0),IF(ROUND(T869*U869,2)&lt;1,1,0))))</f>
        <v>1</v>
      </c>
      <c r="W869" s="0" t="n">
        <f aca="false">IF('Reverse Search'!$N$7="Disable",1,IF('Reverse Search'!$I$9="Disable",1,IF('Reverse Search'!$K$9="≥",IF(J869&gt;='Reverse Search'!$L$9,1,0),IF('Reverse Search'!$K$9="≤",IF(J869&lt;='Reverse Search'!$L$9,1,0),IF(J869='Reverse Search'!$L$9,1,0)))))</f>
        <v>1</v>
      </c>
      <c r="X869" s="0" t="n">
        <f aca="false">IF('Reverse Search'!$N$7="Disable",1,IF('Reverse Search'!$I$10="Disable",1,IF('Reverse Search'!$K$10="≥",IF(K869&gt;='Reverse Search'!$L$10,1,0),IF('Reverse Search'!$K$10="≤",IF(K869&lt;='Reverse Search'!$L$10,1,0),IF(K869='Reverse Search'!$L$10,1,0)))))</f>
        <v>1</v>
      </c>
      <c r="Y869" s="367" t="n">
        <f aca="false">IF('Reverse Search'!$N$7="Disable",1,IF('Reverse Search'!$I$11="Disable",1,IF('Reverse Search'!$K$11="≥",IF(L869&gt;='Reverse Search'!$L$11,1,0),IF('Reverse Search'!$K$11="≤",IF(L869&lt;='Reverse Search'!$L$11,1,0),IF(L869='Reverse Search'!$L$11,1,0)))))</f>
        <v>1</v>
      </c>
      <c r="Z869" s="0" t="n">
        <f aca="true">IF('Reverse Search'!$C$14="Disable",1,IF('Reverse Search'!$D$16="Disable",1,IF($C$2=3,IF($M869=0,0,COUNTIF(INDIRECT("'0.0.2 Pokémon Learnset (Core)'!$D$"&amp;MATCH($E869,'0.0.2 Pokémon Learnset (Core)'!$A$1:$A951,0)&amp;":$FK$"&amp;MATCH($E869,'0.0.2 Pokémon Learnset (Core)'!$A$1:$A951,0)),'Reverse Search'!$E$21)),IF($C$2=2,COUNTIF(INDIRECT("'0.1.1 Pokémon GO Moves'!$B$"&amp;MATCH($E869,'0.1.1 Pokémon GO Moves'!$A$1:$A951,0)&amp;":$R$"&amp;MATCH($E869,'0.1.1 Pokémon GO Moves'!$A$1:$A951,0)),'Reverse Search'!$E$21),COUNTIF(INDIRECT("'0.1.1 Pokémon GO Moves'!$B$"&amp;MATCH($E869,'0.1.1 Pokémon GO Moves'!$A$1:$A951,0)&amp;":$L$"&amp;MATCH($E869,'0.1.1 Pokémon GO Moves'!$A$1:$A951,0)),'Reverse Search'!$E$21)))))</f>
        <v>1</v>
      </c>
      <c r="AA869" s="0" t="e">
        <f aca="true">IF('Reverse Search'!$C$14="Disable",1,IF('Reverse Search'!$I$16="Disable",1,IF($D$2=3,IF($M869=0,0,COUNTIF(INDIRECT("'0.0.2 Pokémon Learnset (Core)'!$D$"&amp;MATCH($E869,'0.0.2 Pokémon Learnset (Core)'!$A$1:$A951,0)&amp;":$FK$"&amp;MATCH($E869,'0.0.2 Pokémon Learnset (Core)'!$A$1:$A951,0)),'Reverse Search'!$J$21)),IF($D$2=2,COUNTIF(INDIRECT("'0.1.1 Pokémon GO Moves'!$B$"&amp;MATCH($E869,'0.1.1 Pokémon GO Moves'!$A$1:$A951,0)&amp;":$R$"&amp;MATCH($E869,'0.1.1 Pokémon GO Moves'!$A$1:$A951,0)),'Reverse Search'!$J$21),COUNTIF(INDIRECT("'0.1.1 Pokémon GO Moves'!$B$"&amp;MATCH($E869,'0.1.1 Pokémon GO Moves'!$A$1:$A951,0)&amp;":$L$"&amp;MATCH($E869,'0.1.1 Pokémon GO Moves'!$A$1:$A951,0)),'Reverse Search'!$J$21)))))</f>
        <v>#N/A</v>
      </c>
      <c r="AB869" s="490"/>
      <c r="AC869" s="260" t="e">
        <f aca="false">IF((Q869+R869+S869+V869+W869+X869+Y869+IF(Z869&gt;=1,1,0)+IF(AA869&gt;=1,1,0))=9,G869&amp;", ",)</f>
        <v>#N/A</v>
      </c>
    </row>
    <row r="870" customFormat="false" ht="15.75" hidden="false" customHeight="false" outlineLevel="0" collapsed="false">
      <c r="A870" s="260"/>
      <c r="B870" s="358"/>
      <c r="C870" s="260"/>
      <c r="D870" s="358"/>
      <c r="E870" s="260" t="n">
        <v>869</v>
      </c>
      <c r="F870" s="260" t="n">
        <f aca="false" t="array" ref="F870:F870">INDEX('0.0.1 Pokémon Dex Data'!$H$3:$H951,MATCH(E870,'0.0.1 Pokémon Dex Data'!$B$3:$B951,0))</f>
        <v>0</v>
      </c>
      <c r="G870" s="0" t="str">
        <f aca="false" t="array" ref="G870:G870">INDEX('0.0.1 Pokémon Dex Data'!$E$3:$E951,MATCH(E870,'0.0.1 Pokémon Dex Data'!$B$3:$B951,0))</f>
        <v>Mareanie</v>
      </c>
      <c r="H870" s="0" t="str">
        <f aca="false" t="array" ref="H870:H870">INDEX('0.0.1 Pokémon Dex Data'!$Q$3:$Q951,MATCH(E870,'0.0.1 Pokémon Dex Data'!$B$3:$B951,0))</f>
        <v>Poison</v>
      </c>
      <c r="I870" s="0" t="str">
        <f aca="false" t="array" ref="I870:I870">INDEX('0.0.1 Pokémon Dex Data'!$R$3:$R951,MATCH(E870,'0.0.1 Pokémon Dex Data'!$B$3:$B951,0))</f>
        <v>Water</v>
      </c>
      <c r="J870" s="260" t="n">
        <f aca="false" t="array" ref="J870:J870">ROUND(INDEX('0.0.1 Pokémon Dex Data'!$S$3:$S951,MATCH($E870,'0.0.1 Pokémon Dex Data'!$B$3:$B951,0))*INDEX('0.0.1 Pokémon Dex Data'!T$3:T951,MATCH($E870,'0.0.1 Pokémon Dex Data'!$B$3:$B951,0)),0)</f>
        <v>98</v>
      </c>
      <c r="K870" s="260" t="n">
        <f aca="false" t="array" ref="K870:K870">ROUND(INDEX('0.0.1 Pokémon Dex Data'!$S$3:$S951,MATCH($E870,'0.0.1 Pokémon Dex Data'!$B$3:$B951,0))*INDEX('0.0.1 Pokémon Dex Data'!U$3:U951,MATCH($E870,'0.0.1 Pokémon Dex Data'!$B$3:$B951,0)),0)</f>
        <v>110</v>
      </c>
      <c r="L870" s="260" t="n">
        <f aca="false" t="array" ref="L870:L870">ROUND(INDEX('0.0.1 Pokémon Dex Data'!$S$3:$S951,MATCH($E870,'0.0.1 Pokémon Dex Data'!$B$3:$B951,0))*INDEX('0.0.1 Pokémon Dex Data'!V$3:V951,MATCH($E870,'0.0.1 Pokémon Dex Data'!$B$3:$B951,0)),0)</f>
        <v>137</v>
      </c>
      <c r="M870" s="260" t="n">
        <f aca="false" t="array" ref="M870:M870">INDEX('0.0.1 Pokémon Dex Data'!$J$3:$J951,MATCH(E870,'0.0.1 Pokémon Dex Data'!$B$3:$B951,0))</f>
        <v>0</v>
      </c>
      <c r="O870" s="490"/>
      <c r="Q870" s="367" t="n">
        <f aca="false">IF('Reverse Search'!$F$4="All (including temporary formes)",1,IF('Reverse Search'!$F$4="Base Pokémon and permanent formes only",IF(F870&lt;=1,1,0),IF(F870=0,1,0)))</f>
        <v>1</v>
      </c>
      <c r="R870" s="0" t="n">
        <f aca="false">IF('Reverse Search'!$C$7="Disable",1,IF('Reverse Search'!$D$9="Disable",1,IF(OR('Reverse Search'!$F$9=H870,'Reverse Search'!$F$9=I870),1,0)))</f>
        <v>1</v>
      </c>
      <c r="S870" s="0" t="n">
        <f aca="false">IF('Reverse Search'!$C$7="Disable",1,IF('Reverse Search'!$D$10="Disable",1,IF(OR('Reverse Search'!$F$10=H870,'Reverse Search'!$F$10=I870),1,0)))</f>
        <v>1</v>
      </c>
      <c r="T870" s="0" t="n">
        <f aca="false">INDEX($B$4:$B$22,MATCH(H870,$A$4:$A$22,0))</f>
        <v>1</v>
      </c>
      <c r="U870" s="0" t="n">
        <f aca="false">IF(ISBLANK(I870),1,INDEX($B$4:$B$22,MATCH(I870,$A$4:$A$22,0)))</f>
        <v>1</v>
      </c>
      <c r="V870" s="367" t="n">
        <f aca="false">IF('Reverse Search'!$C$7="Disable",1,IF('Reverse Search'!$D$11="Disable",1,IF('Reverse Search'!$E$11="Neutral to:",IF(ROUND(T870*U870,2)&lt;=1,1,0),IF(ROUND(T870*U870,2)&lt;1,1,0))))</f>
        <v>1</v>
      </c>
      <c r="W870" s="0" t="n">
        <f aca="false">IF('Reverse Search'!$N$7="Disable",1,IF('Reverse Search'!$I$9="Disable",1,IF('Reverse Search'!$K$9="≥",IF(J870&gt;='Reverse Search'!$L$9,1,0),IF('Reverse Search'!$K$9="≤",IF(J870&lt;='Reverse Search'!$L$9,1,0),IF(J870='Reverse Search'!$L$9,1,0)))))</f>
        <v>1</v>
      </c>
      <c r="X870" s="0" t="n">
        <f aca="false">IF('Reverse Search'!$N$7="Disable",1,IF('Reverse Search'!$I$10="Disable",1,IF('Reverse Search'!$K$10="≥",IF(K870&gt;='Reverse Search'!$L$10,1,0),IF('Reverse Search'!$K$10="≤",IF(K870&lt;='Reverse Search'!$L$10,1,0),IF(K870='Reverse Search'!$L$10,1,0)))))</f>
        <v>1</v>
      </c>
      <c r="Y870" s="367" t="n">
        <f aca="false">IF('Reverse Search'!$N$7="Disable",1,IF('Reverse Search'!$I$11="Disable",1,IF('Reverse Search'!$K$11="≥",IF(L870&gt;='Reverse Search'!$L$11,1,0),IF('Reverse Search'!$K$11="≤",IF(L870&lt;='Reverse Search'!$L$11,1,0),IF(L870='Reverse Search'!$L$11,1,0)))))</f>
        <v>1</v>
      </c>
      <c r="Z870" s="0" t="n">
        <f aca="true">IF('Reverse Search'!$C$14="Disable",1,IF('Reverse Search'!$D$16="Disable",1,IF($C$2=3,IF($M870=0,0,COUNTIF(INDIRECT("'0.0.2 Pokémon Learnset (Core)'!$D$"&amp;MATCH($E870,'0.0.2 Pokémon Learnset (Core)'!$A$1:$A951,0)&amp;":$FK$"&amp;MATCH($E870,'0.0.2 Pokémon Learnset (Core)'!$A$1:$A951,0)),'Reverse Search'!$E$21)),IF($C$2=2,COUNTIF(INDIRECT("'0.1.1 Pokémon GO Moves'!$B$"&amp;MATCH($E870,'0.1.1 Pokémon GO Moves'!$A$1:$A951,0)&amp;":$R$"&amp;MATCH($E870,'0.1.1 Pokémon GO Moves'!$A$1:$A951,0)),'Reverse Search'!$E$21),COUNTIF(INDIRECT("'0.1.1 Pokémon GO Moves'!$B$"&amp;MATCH($E870,'0.1.1 Pokémon GO Moves'!$A$1:$A951,0)&amp;":$L$"&amp;MATCH($E870,'0.1.1 Pokémon GO Moves'!$A$1:$A951,0)),'Reverse Search'!$E$21)))))</f>
        <v>1</v>
      </c>
      <c r="AA870" s="0" t="n">
        <f aca="true">IF('Reverse Search'!$C$14="Disable",1,IF('Reverse Search'!$I$16="Disable",1,IF($D$2=3,IF($M870=0,0,COUNTIF(INDIRECT("'0.0.2 Pokémon Learnset (Core)'!$D$"&amp;MATCH($E870,'0.0.2 Pokémon Learnset (Core)'!$A$1:$A951,0)&amp;":$FK$"&amp;MATCH($E870,'0.0.2 Pokémon Learnset (Core)'!$A$1:$A951,0)),'Reverse Search'!$J$21)),IF($D$2=2,COUNTIF(INDIRECT("'0.1.1 Pokémon GO Moves'!$B$"&amp;MATCH($E870,'0.1.1 Pokémon GO Moves'!$A$1:$A951,0)&amp;":$R$"&amp;MATCH($E870,'0.1.1 Pokémon GO Moves'!$A$1:$A951,0)),'Reverse Search'!$J$21),COUNTIF(INDIRECT("'0.1.1 Pokémon GO Moves'!$B$"&amp;MATCH($E870,'0.1.1 Pokémon GO Moves'!$A$1:$A951,0)&amp;":$L$"&amp;MATCH($E870,'0.1.1 Pokémon GO Moves'!$A$1:$A951,0)),'Reverse Search'!$J$21)))))</f>
        <v>0</v>
      </c>
      <c r="AB870" s="490"/>
      <c r="AC870" s="260" t="n">
        <f aca="false">IF((Q870+R870+S870+V870+W870+X870+Y870+IF(Z870&gt;=1,1,0)+IF(AA870&gt;=1,1,0))=9,G870&amp;", ",)</f>
        <v>0</v>
      </c>
    </row>
    <row r="871" customFormat="false" ht="15.75" hidden="false" customHeight="false" outlineLevel="0" collapsed="false">
      <c r="A871" s="260"/>
      <c r="B871" s="358"/>
      <c r="C871" s="260"/>
      <c r="D871" s="358"/>
      <c r="E871" s="260" t="n">
        <v>870</v>
      </c>
      <c r="F871" s="260" t="n">
        <f aca="false" t="array" ref="F871:F871">INDEX('0.0.1 Pokémon Dex Data'!$H$3:$H951,MATCH(E871,'0.0.1 Pokémon Dex Data'!$B$3:$B951,0))</f>
        <v>0</v>
      </c>
      <c r="G871" s="0" t="str">
        <f aca="false" t="array" ref="G871:G871">INDEX('0.0.1 Pokémon Dex Data'!$E$3:$E951,MATCH(E871,'0.0.1 Pokémon Dex Data'!$B$3:$B951,0))</f>
        <v>Toxapex</v>
      </c>
      <c r="H871" s="0" t="str">
        <f aca="false" t="array" ref="H871:H871">INDEX('0.0.1 Pokémon Dex Data'!$Q$3:$Q951,MATCH(E871,'0.0.1 Pokémon Dex Data'!$B$3:$B951,0))</f>
        <v>Poison</v>
      </c>
      <c r="I871" s="0" t="str">
        <f aca="false" t="array" ref="I871:I871">INDEX('0.0.1 Pokémon Dex Data'!$R$3:$R951,MATCH(E871,'0.0.1 Pokémon Dex Data'!$B$3:$B951,0))</f>
        <v>Water</v>
      </c>
      <c r="J871" s="260" t="n">
        <f aca="false" t="array" ref="J871:J871">ROUND(INDEX('0.0.1 Pokémon Dex Data'!$S$3:$S951,MATCH($E871,'0.0.1 Pokémon Dex Data'!$B$3:$B951,0))*INDEX('0.0.1 Pokémon Dex Data'!T$3:T951,MATCH($E871,'0.0.1 Pokémon Dex Data'!$B$3:$B951,0)),0)</f>
        <v>114</v>
      </c>
      <c r="K871" s="260" t="n">
        <f aca="false" t="array" ref="K871:K871">ROUND(INDEX('0.0.1 Pokémon Dex Data'!$S$3:$S951,MATCH($E871,'0.0.1 Pokémon Dex Data'!$B$3:$B951,0))*INDEX('0.0.1 Pokémon Dex Data'!U$3:U951,MATCH($E871,'0.0.1 Pokémon Dex Data'!$B$3:$B951,0)),0)</f>
        <v>273</v>
      </c>
      <c r="L871" s="260" t="n">
        <f aca="false" t="array" ref="L871:L871">ROUND(INDEX('0.0.1 Pokémon Dex Data'!$S$3:$S951,MATCH($E871,'0.0.1 Pokémon Dex Data'!$B$3:$B951,0))*INDEX('0.0.1 Pokémon Dex Data'!V$3:V951,MATCH($E871,'0.0.1 Pokémon Dex Data'!$B$3:$B951,0)),0)</f>
        <v>137</v>
      </c>
      <c r="M871" s="260" t="n">
        <f aca="false" t="array" ref="M871:M871">INDEX('0.0.1 Pokémon Dex Data'!$J$3:$J951,MATCH(E871,'0.0.1 Pokémon Dex Data'!$B$3:$B951,0))</f>
        <v>1</v>
      </c>
      <c r="O871" s="490"/>
      <c r="Q871" s="367" t="n">
        <f aca="false">IF('Reverse Search'!$F$4="All (including temporary formes)",1,IF('Reverse Search'!$F$4="Base Pokémon and permanent formes only",IF(F871&lt;=1,1,0),IF(F871=0,1,0)))</f>
        <v>1</v>
      </c>
      <c r="R871" s="0" t="n">
        <f aca="false">IF('Reverse Search'!$C$7="Disable",1,IF('Reverse Search'!$D$9="Disable",1,IF(OR('Reverse Search'!$F$9=H871,'Reverse Search'!$F$9=I871),1,0)))</f>
        <v>1</v>
      </c>
      <c r="S871" s="0" t="n">
        <f aca="false">IF('Reverse Search'!$C$7="Disable",1,IF('Reverse Search'!$D$10="Disable",1,IF(OR('Reverse Search'!$F$10=H871,'Reverse Search'!$F$10=I871),1,0)))</f>
        <v>1</v>
      </c>
      <c r="T871" s="0" t="n">
        <f aca="false">INDEX($B$4:$B$22,MATCH(H871,$A$4:$A$22,0))</f>
        <v>1</v>
      </c>
      <c r="U871" s="0" t="n">
        <f aca="false">IF(ISBLANK(I871),1,INDEX($B$4:$B$22,MATCH(I871,$A$4:$A$22,0)))</f>
        <v>1</v>
      </c>
      <c r="V871" s="367" t="n">
        <f aca="false">IF('Reverse Search'!$C$7="Disable",1,IF('Reverse Search'!$D$11="Disable",1,IF('Reverse Search'!$E$11="Neutral to:",IF(ROUND(T871*U871,2)&lt;=1,1,0),IF(ROUND(T871*U871,2)&lt;1,1,0))))</f>
        <v>1</v>
      </c>
      <c r="W871" s="0" t="n">
        <f aca="false">IF('Reverse Search'!$N$7="Disable",1,IF('Reverse Search'!$I$9="Disable",1,IF('Reverse Search'!$K$9="≥",IF(J871&gt;='Reverse Search'!$L$9,1,0),IF('Reverse Search'!$K$9="≤",IF(J871&lt;='Reverse Search'!$L$9,1,0),IF(J871='Reverse Search'!$L$9,1,0)))))</f>
        <v>1</v>
      </c>
      <c r="X871" s="0" t="n">
        <f aca="false">IF('Reverse Search'!$N$7="Disable",1,IF('Reverse Search'!$I$10="Disable",1,IF('Reverse Search'!$K$10="≥",IF(K871&gt;='Reverse Search'!$L$10,1,0),IF('Reverse Search'!$K$10="≤",IF(K871&lt;='Reverse Search'!$L$10,1,0),IF(K871='Reverse Search'!$L$10,1,0)))))</f>
        <v>1</v>
      </c>
      <c r="Y871" s="367" t="n">
        <f aca="false">IF('Reverse Search'!$N$7="Disable",1,IF('Reverse Search'!$I$11="Disable",1,IF('Reverse Search'!$K$11="≥",IF(L871&gt;='Reverse Search'!$L$11,1,0),IF('Reverse Search'!$K$11="≤",IF(L871&lt;='Reverse Search'!$L$11,1,0),IF(L871='Reverse Search'!$L$11,1,0)))))</f>
        <v>1</v>
      </c>
      <c r="Z871" s="0" t="n">
        <f aca="true">IF('Reverse Search'!$C$14="Disable",1,IF('Reverse Search'!$D$16="Disable",1,IF($C$2=3,IF($M871=0,0,COUNTIF(INDIRECT("'0.0.2 Pokémon Learnset (Core)'!$D$"&amp;MATCH($E871,'0.0.2 Pokémon Learnset (Core)'!$A$1:$A951,0)&amp;":$FK$"&amp;MATCH($E871,'0.0.2 Pokémon Learnset (Core)'!$A$1:$A951,0)),'Reverse Search'!$E$21)),IF($C$2=2,COUNTIF(INDIRECT("'0.1.1 Pokémon GO Moves'!$B$"&amp;MATCH($E871,'0.1.1 Pokémon GO Moves'!$A$1:$A951,0)&amp;":$R$"&amp;MATCH($E871,'0.1.1 Pokémon GO Moves'!$A$1:$A951,0)),'Reverse Search'!$E$21),COUNTIF(INDIRECT("'0.1.1 Pokémon GO Moves'!$B$"&amp;MATCH($E871,'0.1.1 Pokémon GO Moves'!$A$1:$A951,0)&amp;":$L$"&amp;MATCH($E871,'0.1.1 Pokémon GO Moves'!$A$1:$A951,0)),'Reverse Search'!$E$21)))))</f>
        <v>1</v>
      </c>
      <c r="AA871" s="0" t="n">
        <f aca="true">IF('Reverse Search'!$C$14="Disable",1,IF('Reverse Search'!$I$16="Disable",1,IF($D$2=3,IF($M871=0,0,COUNTIF(INDIRECT("'0.0.2 Pokémon Learnset (Core)'!$D$"&amp;MATCH($E871,'0.0.2 Pokémon Learnset (Core)'!$A$1:$A951,0)&amp;":$FK$"&amp;MATCH($E871,'0.0.2 Pokémon Learnset (Core)'!$A$1:$A951,0)),'Reverse Search'!$J$21)),IF($D$2=2,COUNTIF(INDIRECT("'0.1.1 Pokémon GO Moves'!$B$"&amp;MATCH($E871,'0.1.1 Pokémon GO Moves'!$A$1:$A951,0)&amp;":$R$"&amp;MATCH($E871,'0.1.1 Pokémon GO Moves'!$A$1:$A951,0)),'Reverse Search'!$J$21),COUNTIF(INDIRECT("'0.1.1 Pokémon GO Moves'!$B$"&amp;MATCH($E871,'0.1.1 Pokémon GO Moves'!$A$1:$A951,0)&amp;":$L$"&amp;MATCH($E871,'0.1.1 Pokémon GO Moves'!$A$1:$A951,0)),'Reverse Search'!$J$21)))))</f>
        <v>0</v>
      </c>
      <c r="AB871" s="490"/>
      <c r="AC871" s="260" t="n">
        <f aca="false">IF((Q871+R871+S871+V871+W871+X871+Y871+IF(Z871&gt;=1,1,0)+IF(AA871&gt;=1,1,0))=9,G871&amp;", ",)</f>
        <v>0</v>
      </c>
    </row>
    <row r="872" customFormat="false" ht="15.75" hidden="false" customHeight="false" outlineLevel="0" collapsed="false">
      <c r="A872" s="260"/>
      <c r="B872" s="358"/>
      <c r="C872" s="260"/>
      <c r="D872" s="358"/>
      <c r="E872" s="260" t="n">
        <v>871</v>
      </c>
      <c r="F872" s="260" t="n">
        <f aca="false" t="array" ref="F872:F872">INDEX('0.0.1 Pokémon Dex Data'!$H$3:$H951,MATCH(E872,'0.0.1 Pokémon Dex Data'!$B$3:$B951,0))</f>
        <v>0</v>
      </c>
      <c r="G872" s="0" t="str">
        <f aca="false" t="array" ref="G872:G872">INDEX('0.0.1 Pokémon Dex Data'!$E$3:$E951,MATCH(E872,'0.0.1 Pokémon Dex Data'!$B$3:$B951,0))</f>
        <v>Mudbray</v>
      </c>
      <c r="H872" s="0" t="str">
        <f aca="false" t="array" ref="H872:H872">INDEX('0.0.1 Pokémon Dex Data'!$Q$3:$Q951,MATCH(E872,'0.0.1 Pokémon Dex Data'!$B$3:$B951,0))</f>
        <v>Ground</v>
      </c>
      <c r="I872" s="0" t="n">
        <f aca="false">INDEX('0.0.1 Pokémon Dex Data'!$R$3:$R951,MATCH(E872,'0.0.1 Pokémon Dex Data'!$B$3:$B951,0))</f>
        <v>0</v>
      </c>
      <c r="J872" s="260" t="n">
        <f aca="false" t="array" ref="J872:J872">ROUND(INDEX('0.0.1 Pokémon Dex Data'!$S$3:$S951,MATCH($E872,'0.0.1 Pokémon Dex Data'!$B$3:$B951,0))*INDEX('0.0.1 Pokémon Dex Data'!T$3:T951,MATCH($E872,'0.0.1 Pokémon Dex Data'!$B$3:$B951,0)),0)</f>
        <v>175</v>
      </c>
      <c r="K872" s="260" t="n">
        <f aca="false" t="array" ref="K872:K872">ROUND(INDEX('0.0.1 Pokémon Dex Data'!$S$3:$S951,MATCH($E872,'0.0.1 Pokémon Dex Data'!$B$3:$B951,0))*INDEX('0.0.1 Pokémon Dex Data'!U$3:U951,MATCH($E872,'0.0.1 Pokémon Dex Data'!$B$3:$B951,0)),0)</f>
        <v>121</v>
      </c>
      <c r="L872" s="260" t="n">
        <f aca="false" t="array" ref="L872:L872">ROUND(INDEX('0.0.1 Pokémon Dex Data'!$S$3:$S951,MATCH($E872,'0.0.1 Pokémon Dex Data'!$B$3:$B951,0))*INDEX('0.0.1 Pokémon Dex Data'!V$3:V951,MATCH($E872,'0.0.1 Pokémon Dex Data'!$B$3:$B951,0)),0)</f>
        <v>172</v>
      </c>
      <c r="M872" s="260" t="n">
        <f aca="false" t="array" ref="M872:M872">INDEX('0.0.1 Pokémon Dex Data'!$J$3:$J951,MATCH(E872,'0.0.1 Pokémon Dex Data'!$B$3:$B951,0))</f>
        <v>0</v>
      </c>
      <c r="O872" s="490"/>
      <c r="Q872" s="367" t="n">
        <f aca="false">IF('Reverse Search'!$F$4="All (including temporary formes)",1,IF('Reverse Search'!$F$4="Base Pokémon and permanent formes only",IF(F872&lt;=1,1,0),IF(F872=0,1,0)))</f>
        <v>1</v>
      </c>
      <c r="R872" s="0" t="n">
        <f aca="false">IF('Reverse Search'!$C$7="Disable",1,IF('Reverse Search'!$D$9="Disable",1,IF(OR('Reverse Search'!$F$9=H872,'Reverse Search'!$F$9=I872),1,0)))</f>
        <v>1</v>
      </c>
      <c r="S872" s="0" t="n">
        <f aca="false">IF('Reverse Search'!$C$7="Disable",1,IF('Reverse Search'!$D$10="Disable",1,IF(OR('Reverse Search'!$F$10=H872,'Reverse Search'!$F$10=I872),1,0)))</f>
        <v>1</v>
      </c>
      <c r="T872" s="0" t="n">
        <f aca="false">INDEX($B$4:$B$22,MATCH(H872,$A$4:$A$22,0))</f>
        <v>1</v>
      </c>
      <c r="U872" s="0" t="e">
        <f aca="false">IF(ISBLANK(I872),1,INDEX($B$4:$B$22,MATCH(I872,$A$4:$A$22,0)))</f>
        <v>#N/A</v>
      </c>
      <c r="V872" s="367" t="n">
        <f aca="false">IF('Reverse Search'!$C$7="Disable",1,IF('Reverse Search'!$D$11="Disable",1,IF('Reverse Search'!$E$11="Neutral to:",IF(ROUND(T872*U872,2)&lt;=1,1,0),IF(ROUND(T872*U872,2)&lt;1,1,0))))</f>
        <v>1</v>
      </c>
      <c r="W872" s="0" t="n">
        <f aca="false">IF('Reverse Search'!$N$7="Disable",1,IF('Reverse Search'!$I$9="Disable",1,IF('Reverse Search'!$K$9="≥",IF(J872&gt;='Reverse Search'!$L$9,1,0),IF('Reverse Search'!$K$9="≤",IF(J872&lt;='Reverse Search'!$L$9,1,0),IF(J872='Reverse Search'!$L$9,1,0)))))</f>
        <v>1</v>
      </c>
      <c r="X872" s="0" t="n">
        <f aca="false">IF('Reverse Search'!$N$7="Disable",1,IF('Reverse Search'!$I$10="Disable",1,IF('Reverse Search'!$K$10="≥",IF(K872&gt;='Reverse Search'!$L$10,1,0),IF('Reverse Search'!$K$10="≤",IF(K872&lt;='Reverse Search'!$L$10,1,0),IF(K872='Reverse Search'!$L$10,1,0)))))</f>
        <v>1</v>
      </c>
      <c r="Y872" s="367" t="n">
        <f aca="false">IF('Reverse Search'!$N$7="Disable",1,IF('Reverse Search'!$I$11="Disable",1,IF('Reverse Search'!$K$11="≥",IF(L872&gt;='Reverse Search'!$L$11,1,0),IF('Reverse Search'!$K$11="≤",IF(L872&lt;='Reverse Search'!$L$11,1,0),IF(L872='Reverse Search'!$L$11,1,0)))))</f>
        <v>1</v>
      </c>
      <c r="Z872" s="0" t="n">
        <f aca="true">IF('Reverse Search'!$C$14="Disable",1,IF('Reverse Search'!$D$16="Disable",1,IF($C$2=3,IF($M872=0,0,COUNTIF(INDIRECT("'0.0.2 Pokémon Learnset (Core)'!$D$"&amp;MATCH($E872,'0.0.2 Pokémon Learnset (Core)'!$A$1:$A951,0)&amp;":$FK$"&amp;MATCH($E872,'0.0.2 Pokémon Learnset (Core)'!$A$1:$A951,0)),'Reverse Search'!$E$21)),IF($C$2=2,COUNTIF(INDIRECT("'0.1.1 Pokémon GO Moves'!$B$"&amp;MATCH($E872,'0.1.1 Pokémon GO Moves'!$A$1:$A951,0)&amp;":$R$"&amp;MATCH($E872,'0.1.1 Pokémon GO Moves'!$A$1:$A951,0)),'Reverse Search'!$E$21),COUNTIF(INDIRECT("'0.1.1 Pokémon GO Moves'!$B$"&amp;MATCH($E872,'0.1.1 Pokémon GO Moves'!$A$1:$A951,0)&amp;":$L$"&amp;MATCH($E872,'0.1.1 Pokémon GO Moves'!$A$1:$A951,0)),'Reverse Search'!$E$21)))))</f>
        <v>1</v>
      </c>
      <c r="AA872" s="0" t="n">
        <f aca="true">IF('Reverse Search'!$C$14="Disable",1,IF('Reverse Search'!$I$16="Disable",1,IF($D$2=3,IF($M872=0,0,COUNTIF(INDIRECT("'0.0.2 Pokémon Learnset (Core)'!$D$"&amp;MATCH($E872,'0.0.2 Pokémon Learnset (Core)'!$A$1:$A951,0)&amp;":$FK$"&amp;MATCH($E872,'0.0.2 Pokémon Learnset (Core)'!$A$1:$A951,0)),'Reverse Search'!$J$21)),IF($D$2=2,COUNTIF(INDIRECT("'0.1.1 Pokémon GO Moves'!$B$"&amp;MATCH($E872,'0.1.1 Pokémon GO Moves'!$A$1:$A951,0)&amp;":$R$"&amp;MATCH($E872,'0.1.1 Pokémon GO Moves'!$A$1:$A951,0)),'Reverse Search'!$J$21),COUNTIF(INDIRECT("'0.1.1 Pokémon GO Moves'!$B$"&amp;MATCH($E872,'0.1.1 Pokémon GO Moves'!$A$1:$A951,0)&amp;":$L$"&amp;MATCH($E872,'0.1.1 Pokémon GO Moves'!$A$1:$A951,0)),'Reverse Search'!$J$21)))))</f>
        <v>0</v>
      </c>
      <c r="AB872" s="490"/>
      <c r="AC872" s="260" t="n">
        <f aca="false">IF((Q872+R872+S872+V872+W872+X872+Y872+IF(Z872&gt;=1,1,0)+IF(AA872&gt;=1,1,0))=9,G872&amp;", ",)</f>
        <v>0</v>
      </c>
    </row>
    <row r="873" customFormat="false" ht="15.75" hidden="false" customHeight="false" outlineLevel="0" collapsed="false">
      <c r="A873" s="260"/>
      <c r="B873" s="358"/>
      <c r="C873" s="260"/>
      <c r="D873" s="358"/>
      <c r="E873" s="260" t="n">
        <v>872</v>
      </c>
      <c r="F873" s="260" t="n">
        <f aca="false" t="array" ref="F873:F873">INDEX('0.0.1 Pokémon Dex Data'!$H$3:$H951,MATCH(E873,'0.0.1 Pokémon Dex Data'!$B$3:$B951,0))</f>
        <v>0</v>
      </c>
      <c r="G873" s="0" t="str">
        <f aca="false" t="array" ref="G873:G873">INDEX('0.0.1 Pokémon Dex Data'!$E$3:$E951,MATCH(E873,'0.0.1 Pokémon Dex Data'!$B$3:$B951,0))</f>
        <v>Mudsdale</v>
      </c>
      <c r="H873" s="0" t="str">
        <f aca="false" t="array" ref="H873:H873">INDEX('0.0.1 Pokémon Dex Data'!$Q$3:$Q951,MATCH(E873,'0.0.1 Pokémon Dex Data'!$B$3:$B951,0))</f>
        <v>Ground</v>
      </c>
      <c r="I873" s="0" t="n">
        <f aca="false">INDEX('0.0.1 Pokémon Dex Data'!$R$3:$R951,MATCH(E873,'0.0.1 Pokémon Dex Data'!$B$3:$B951,0))</f>
        <v>0</v>
      </c>
      <c r="J873" s="260" t="n">
        <f aca="false" t="array" ref="J873:J873">ROUND(INDEX('0.0.1 Pokémon Dex Data'!$S$3:$S951,MATCH($E873,'0.0.1 Pokémon Dex Data'!$B$3:$B951,0))*INDEX('0.0.1 Pokémon Dex Data'!T$3:T951,MATCH($E873,'0.0.1 Pokémon Dex Data'!$B$3:$B951,0)),0)</f>
        <v>214</v>
      </c>
      <c r="K873" s="260" t="n">
        <f aca="false" t="array" ref="K873:K873">ROUND(INDEX('0.0.1 Pokémon Dex Data'!$S$3:$S951,MATCH($E873,'0.0.1 Pokémon Dex Data'!$B$3:$B951,0))*INDEX('0.0.1 Pokémon Dex Data'!U$3:U951,MATCH($E873,'0.0.1 Pokémon Dex Data'!$B$3:$B951,0)),0)</f>
        <v>174</v>
      </c>
      <c r="L873" s="260" t="n">
        <f aca="false" t="array" ref="L873:L873">ROUND(INDEX('0.0.1 Pokémon Dex Data'!$S$3:$S951,MATCH($E873,'0.0.1 Pokémon Dex Data'!$B$3:$B951,0))*INDEX('0.0.1 Pokémon Dex Data'!V$3:V951,MATCH($E873,'0.0.1 Pokémon Dex Data'!$B$3:$B951,0)),0)</f>
        <v>225</v>
      </c>
      <c r="M873" s="260" t="n">
        <f aca="false" t="array" ref="M873:M873">INDEX('0.0.1 Pokémon Dex Data'!$J$3:$J951,MATCH(E873,'0.0.1 Pokémon Dex Data'!$B$3:$B951,0))</f>
        <v>1</v>
      </c>
      <c r="O873" s="490"/>
      <c r="Q873" s="367" t="n">
        <f aca="false">IF('Reverse Search'!$F$4="All (including temporary formes)",1,IF('Reverse Search'!$F$4="Base Pokémon and permanent formes only",IF(F873&lt;=1,1,0),IF(F873=0,1,0)))</f>
        <v>1</v>
      </c>
      <c r="R873" s="0" t="n">
        <f aca="false">IF('Reverse Search'!$C$7="Disable",1,IF('Reverse Search'!$D$9="Disable",1,IF(OR('Reverse Search'!$F$9=H873,'Reverse Search'!$F$9=I873),1,0)))</f>
        <v>1</v>
      </c>
      <c r="S873" s="0" t="n">
        <f aca="false">IF('Reverse Search'!$C$7="Disable",1,IF('Reverse Search'!$D$10="Disable",1,IF(OR('Reverse Search'!$F$10=H873,'Reverse Search'!$F$10=I873),1,0)))</f>
        <v>1</v>
      </c>
      <c r="T873" s="0" t="n">
        <f aca="false">INDEX($B$4:$B$22,MATCH(H873,$A$4:$A$22,0))</f>
        <v>1</v>
      </c>
      <c r="U873" s="0" t="e">
        <f aca="false">IF(ISBLANK(I873),1,INDEX($B$4:$B$22,MATCH(I873,$A$4:$A$22,0)))</f>
        <v>#N/A</v>
      </c>
      <c r="V873" s="367" t="n">
        <f aca="false">IF('Reverse Search'!$C$7="Disable",1,IF('Reverse Search'!$D$11="Disable",1,IF('Reverse Search'!$E$11="Neutral to:",IF(ROUND(T873*U873,2)&lt;=1,1,0),IF(ROUND(T873*U873,2)&lt;1,1,0))))</f>
        <v>1</v>
      </c>
      <c r="W873" s="0" t="n">
        <f aca="false">IF('Reverse Search'!$N$7="Disable",1,IF('Reverse Search'!$I$9="Disable",1,IF('Reverse Search'!$K$9="≥",IF(J873&gt;='Reverse Search'!$L$9,1,0),IF('Reverse Search'!$K$9="≤",IF(J873&lt;='Reverse Search'!$L$9,1,0),IF(J873='Reverse Search'!$L$9,1,0)))))</f>
        <v>1</v>
      </c>
      <c r="X873" s="0" t="n">
        <f aca="false">IF('Reverse Search'!$N$7="Disable",1,IF('Reverse Search'!$I$10="Disable",1,IF('Reverse Search'!$K$10="≥",IF(K873&gt;='Reverse Search'!$L$10,1,0),IF('Reverse Search'!$K$10="≤",IF(K873&lt;='Reverse Search'!$L$10,1,0),IF(K873='Reverse Search'!$L$10,1,0)))))</f>
        <v>1</v>
      </c>
      <c r="Y873" s="367" t="n">
        <f aca="false">IF('Reverse Search'!$N$7="Disable",1,IF('Reverse Search'!$I$11="Disable",1,IF('Reverse Search'!$K$11="≥",IF(L873&gt;='Reverse Search'!$L$11,1,0),IF('Reverse Search'!$K$11="≤",IF(L873&lt;='Reverse Search'!$L$11,1,0),IF(L873='Reverse Search'!$L$11,1,0)))))</f>
        <v>1</v>
      </c>
      <c r="Z873" s="0" t="n">
        <f aca="true">IF('Reverse Search'!$C$14="Disable",1,IF('Reverse Search'!$D$16="Disable",1,IF($C$2=3,IF($M873=0,0,COUNTIF(INDIRECT("'0.0.2 Pokémon Learnset (Core)'!$D$"&amp;MATCH($E873,'0.0.2 Pokémon Learnset (Core)'!$A$1:$A951,0)&amp;":$FK$"&amp;MATCH($E873,'0.0.2 Pokémon Learnset (Core)'!$A$1:$A951,0)),'Reverse Search'!$E$21)),IF($C$2=2,COUNTIF(INDIRECT("'0.1.1 Pokémon GO Moves'!$B$"&amp;MATCH($E873,'0.1.1 Pokémon GO Moves'!$A$1:$A951,0)&amp;":$R$"&amp;MATCH($E873,'0.1.1 Pokémon GO Moves'!$A$1:$A951,0)),'Reverse Search'!$E$21),COUNTIF(INDIRECT("'0.1.1 Pokémon GO Moves'!$B$"&amp;MATCH($E873,'0.1.1 Pokémon GO Moves'!$A$1:$A951,0)&amp;":$L$"&amp;MATCH($E873,'0.1.1 Pokémon GO Moves'!$A$1:$A951,0)),'Reverse Search'!$E$21)))))</f>
        <v>1</v>
      </c>
      <c r="AA873" s="0" t="n">
        <f aca="true">IF('Reverse Search'!$C$14="Disable",1,IF('Reverse Search'!$I$16="Disable",1,IF($D$2=3,IF($M873=0,0,COUNTIF(INDIRECT("'0.0.2 Pokémon Learnset (Core)'!$D$"&amp;MATCH($E873,'0.0.2 Pokémon Learnset (Core)'!$A$1:$A951,0)&amp;":$FK$"&amp;MATCH($E873,'0.0.2 Pokémon Learnset (Core)'!$A$1:$A951,0)),'Reverse Search'!$J$21)),IF($D$2=2,COUNTIF(INDIRECT("'0.1.1 Pokémon GO Moves'!$B$"&amp;MATCH($E873,'0.1.1 Pokémon GO Moves'!$A$1:$A951,0)&amp;":$R$"&amp;MATCH($E873,'0.1.1 Pokémon GO Moves'!$A$1:$A951,0)),'Reverse Search'!$J$21),COUNTIF(INDIRECT("'0.1.1 Pokémon GO Moves'!$B$"&amp;MATCH($E873,'0.1.1 Pokémon GO Moves'!$A$1:$A951,0)&amp;":$L$"&amp;MATCH($E873,'0.1.1 Pokémon GO Moves'!$A$1:$A951,0)),'Reverse Search'!$J$21)))))</f>
        <v>0</v>
      </c>
      <c r="AB873" s="490"/>
      <c r="AC873" s="260" t="n">
        <f aca="false">IF((Q873+R873+S873+V873+W873+X873+Y873+IF(Z873&gt;=1,1,0)+IF(AA873&gt;=1,1,0))=9,G873&amp;", ",)</f>
        <v>0</v>
      </c>
    </row>
    <row r="874" customFormat="false" ht="15.75" hidden="false" customHeight="false" outlineLevel="0" collapsed="false">
      <c r="A874" s="260"/>
      <c r="B874" s="358"/>
      <c r="C874" s="260"/>
      <c r="D874" s="358"/>
      <c r="E874" s="260" t="n">
        <v>873</v>
      </c>
      <c r="F874" s="260" t="n">
        <f aca="false" t="array" ref="F874:F874">INDEX('0.0.1 Pokémon Dex Data'!$H$3:$H951,MATCH(E874,'0.0.1 Pokémon Dex Data'!$B$3:$B951,0))</f>
        <v>0</v>
      </c>
      <c r="G874" s="0" t="str">
        <f aca="false" t="array" ref="G874:G874">INDEX('0.0.1 Pokémon Dex Data'!$E$3:$E951,MATCH(E874,'0.0.1 Pokémon Dex Data'!$B$3:$B951,0))</f>
        <v>Dewpider</v>
      </c>
      <c r="H874" s="0" t="str">
        <f aca="false" t="array" ref="H874:H874">INDEX('0.0.1 Pokémon Dex Data'!$Q$3:$Q951,MATCH(E874,'0.0.1 Pokémon Dex Data'!$B$3:$B951,0))</f>
        <v>Water</v>
      </c>
      <c r="I874" s="0" t="str">
        <f aca="false" t="array" ref="I874:I874">INDEX('0.0.1 Pokémon Dex Data'!$R$3:$R951,MATCH(E874,'0.0.1 Pokémon Dex Data'!$B$3:$B951,0))</f>
        <v>Bug</v>
      </c>
      <c r="J874" s="260" t="n">
        <f aca="false" t="array" ref="J874:J874">ROUND(INDEX('0.0.1 Pokémon Dex Data'!$S$3:$S951,MATCH($E874,'0.0.1 Pokémon Dex Data'!$B$3:$B951,0))*INDEX('0.0.1 Pokémon Dex Data'!T$3:T951,MATCH($E874,'0.0.1 Pokémon Dex Data'!$B$3:$B951,0)),0)</f>
        <v>72</v>
      </c>
      <c r="K874" s="260" t="n">
        <f aca="false" t="array" ref="K874:K874">ROUND(INDEX('0.0.1 Pokémon Dex Data'!$S$3:$S951,MATCH($E874,'0.0.1 Pokémon Dex Data'!$B$3:$B951,0))*INDEX('0.0.1 Pokémon Dex Data'!U$3:U951,MATCH($E874,'0.0.1 Pokémon Dex Data'!$B$3:$B951,0)),0)</f>
        <v>117</v>
      </c>
      <c r="L874" s="260" t="n">
        <f aca="false" t="array" ref="L874:L874">ROUND(INDEX('0.0.1 Pokémon Dex Data'!$S$3:$S951,MATCH($E874,'0.0.1 Pokémon Dex Data'!$B$3:$B951,0))*INDEX('0.0.1 Pokémon Dex Data'!V$3:V951,MATCH($E874,'0.0.1 Pokémon Dex Data'!$B$3:$B951,0)),0)</f>
        <v>116</v>
      </c>
      <c r="M874" s="260" t="n">
        <f aca="false" t="array" ref="M874:M874">INDEX('0.0.1 Pokémon Dex Data'!$J$3:$J951,MATCH(E874,'0.0.1 Pokémon Dex Data'!$B$3:$B951,0))</f>
        <v>0</v>
      </c>
      <c r="O874" s="490"/>
      <c r="Q874" s="367" t="n">
        <f aca="false">IF('Reverse Search'!$F$4="All (including temporary formes)",1,IF('Reverse Search'!$F$4="Base Pokémon and permanent formes only",IF(F874&lt;=1,1,0),IF(F874=0,1,0)))</f>
        <v>1</v>
      </c>
      <c r="R874" s="0" t="n">
        <f aca="false">IF('Reverse Search'!$C$7="Disable",1,IF('Reverse Search'!$D$9="Disable",1,IF(OR('Reverse Search'!$F$9=H874,'Reverse Search'!$F$9=I874),1,0)))</f>
        <v>1</v>
      </c>
      <c r="S874" s="0" t="n">
        <f aca="false">IF('Reverse Search'!$C$7="Disable",1,IF('Reverse Search'!$D$10="Disable",1,IF(OR('Reverse Search'!$F$10=H874,'Reverse Search'!$F$10=I874),1,0)))</f>
        <v>1</v>
      </c>
      <c r="T874" s="0" t="n">
        <f aca="false">INDEX($B$4:$B$22,MATCH(H874,$A$4:$A$22,0))</f>
        <v>1</v>
      </c>
      <c r="U874" s="0" t="n">
        <f aca="false">IF(ISBLANK(I874),1,INDEX($B$4:$B$22,MATCH(I874,$A$4:$A$22,0)))</f>
        <v>1</v>
      </c>
      <c r="V874" s="367" t="n">
        <f aca="false">IF('Reverse Search'!$C$7="Disable",1,IF('Reverse Search'!$D$11="Disable",1,IF('Reverse Search'!$E$11="Neutral to:",IF(ROUND(T874*U874,2)&lt;=1,1,0),IF(ROUND(T874*U874,2)&lt;1,1,0))))</f>
        <v>1</v>
      </c>
      <c r="W874" s="0" t="n">
        <f aca="false">IF('Reverse Search'!$N$7="Disable",1,IF('Reverse Search'!$I$9="Disable",1,IF('Reverse Search'!$K$9="≥",IF(J874&gt;='Reverse Search'!$L$9,1,0),IF('Reverse Search'!$K$9="≤",IF(J874&lt;='Reverse Search'!$L$9,1,0),IF(J874='Reverse Search'!$L$9,1,0)))))</f>
        <v>1</v>
      </c>
      <c r="X874" s="0" t="n">
        <f aca="false">IF('Reverse Search'!$N$7="Disable",1,IF('Reverse Search'!$I$10="Disable",1,IF('Reverse Search'!$K$10="≥",IF(K874&gt;='Reverse Search'!$L$10,1,0),IF('Reverse Search'!$K$10="≤",IF(K874&lt;='Reverse Search'!$L$10,1,0),IF(K874='Reverse Search'!$L$10,1,0)))))</f>
        <v>1</v>
      </c>
      <c r="Y874" s="367" t="n">
        <f aca="false">IF('Reverse Search'!$N$7="Disable",1,IF('Reverse Search'!$I$11="Disable",1,IF('Reverse Search'!$K$11="≥",IF(L874&gt;='Reverse Search'!$L$11,1,0),IF('Reverse Search'!$K$11="≤",IF(L874&lt;='Reverse Search'!$L$11,1,0),IF(L874='Reverse Search'!$L$11,1,0)))))</f>
        <v>1</v>
      </c>
      <c r="Z874" s="0" t="n">
        <f aca="true">IF('Reverse Search'!$C$14="Disable",1,IF('Reverse Search'!$D$16="Disable",1,IF($C$2=3,IF($M874=0,0,COUNTIF(INDIRECT("'0.0.2 Pokémon Learnset (Core)'!$D$"&amp;MATCH($E874,'0.0.2 Pokémon Learnset (Core)'!$A$1:$A951,0)&amp;":$FK$"&amp;MATCH($E874,'0.0.2 Pokémon Learnset (Core)'!$A$1:$A951,0)),'Reverse Search'!$E$21)),IF($C$2=2,COUNTIF(INDIRECT("'0.1.1 Pokémon GO Moves'!$B$"&amp;MATCH($E874,'0.1.1 Pokémon GO Moves'!$A$1:$A951,0)&amp;":$R$"&amp;MATCH($E874,'0.1.1 Pokémon GO Moves'!$A$1:$A951,0)),'Reverse Search'!$E$21),COUNTIF(INDIRECT("'0.1.1 Pokémon GO Moves'!$B$"&amp;MATCH($E874,'0.1.1 Pokémon GO Moves'!$A$1:$A951,0)&amp;":$L$"&amp;MATCH($E874,'0.1.1 Pokémon GO Moves'!$A$1:$A951,0)),'Reverse Search'!$E$21)))))</f>
        <v>1</v>
      </c>
      <c r="AA874" s="0" t="n">
        <f aca="true">IF('Reverse Search'!$C$14="Disable",1,IF('Reverse Search'!$I$16="Disable",1,IF($D$2=3,IF($M874=0,0,COUNTIF(INDIRECT("'0.0.2 Pokémon Learnset (Core)'!$D$"&amp;MATCH($E874,'0.0.2 Pokémon Learnset (Core)'!$A$1:$A951,0)&amp;":$FK$"&amp;MATCH($E874,'0.0.2 Pokémon Learnset (Core)'!$A$1:$A951,0)),'Reverse Search'!$J$21)),IF($D$2=2,COUNTIF(INDIRECT("'0.1.1 Pokémon GO Moves'!$B$"&amp;MATCH($E874,'0.1.1 Pokémon GO Moves'!$A$1:$A951,0)&amp;":$R$"&amp;MATCH($E874,'0.1.1 Pokémon GO Moves'!$A$1:$A951,0)),'Reverse Search'!$J$21),COUNTIF(INDIRECT("'0.1.1 Pokémon GO Moves'!$B$"&amp;MATCH($E874,'0.1.1 Pokémon GO Moves'!$A$1:$A951,0)&amp;":$L$"&amp;MATCH($E874,'0.1.1 Pokémon GO Moves'!$A$1:$A951,0)),'Reverse Search'!$J$21)))))</f>
        <v>0</v>
      </c>
      <c r="AB874" s="490"/>
      <c r="AC874" s="260" t="n">
        <f aca="false">IF((Q874+R874+S874+V874+W874+X874+Y874+IF(Z874&gt;=1,1,0)+IF(AA874&gt;=1,1,0))=9,G874&amp;", ",)</f>
        <v>0</v>
      </c>
    </row>
    <row r="875" customFormat="false" ht="15.75" hidden="false" customHeight="false" outlineLevel="0" collapsed="false">
      <c r="A875" s="260"/>
      <c r="B875" s="358"/>
      <c r="C875" s="260"/>
      <c r="D875" s="358"/>
      <c r="E875" s="260" t="n">
        <v>874</v>
      </c>
      <c r="F875" s="260" t="n">
        <f aca="false" t="array" ref="F875:F875">INDEX('0.0.1 Pokémon Dex Data'!$H$3:$H951,MATCH(E875,'0.0.1 Pokémon Dex Data'!$B$3:$B951,0))</f>
        <v>0</v>
      </c>
      <c r="G875" s="0" t="str">
        <f aca="false" t="array" ref="G875:G875">INDEX('0.0.1 Pokémon Dex Data'!$E$3:$E951,MATCH(E875,'0.0.1 Pokémon Dex Data'!$B$3:$B951,0))</f>
        <v>Araquanid</v>
      </c>
      <c r="H875" s="0" t="str">
        <f aca="false" t="array" ref="H875:H875">INDEX('0.0.1 Pokémon Dex Data'!$Q$3:$Q951,MATCH(E875,'0.0.1 Pokémon Dex Data'!$B$3:$B951,0))</f>
        <v>Water</v>
      </c>
      <c r="I875" s="0" t="str">
        <f aca="false" t="array" ref="I875:I875">INDEX('0.0.1 Pokémon Dex Data'!$R$3:$R951,MATCH(E875,'0.0.1 Pokémon Dex Data'!$B$3:$B951,0))</f>
        <v>Bug</v>
      </c>
      <c r="J875" s="260" t="n">
        <f aca="false" t="array" ref="J875:J875">ROUND(INDEX('0.0.1 Pokémon Dex Data'!$S$3:$S951,MATCH($E875,'0.0.1 Pokémon Dex Data'!$B$3:$B951,0))*INDEX('0.0.1 Pokémon Dex Data'!T$3:T951,MATCH($E875,'0.0.1 Pokémon Dex Data'!$B$3:$B951,0)),0)</f>
        <v>126</v>
      </c>
      <c r="K875" s="260" t="n">
        <f aca="false" t="array" ref="K875:K875">ROUND(INDEX('0.0.1 Pokémon Dex Data'!$S$3:$S951,MATCH($E875,'0.0.1 Pokémon Dex Data'!$B$3:$B951,0))*INDEX('0.0.1 Pokémon Dex Data'!U$3:U951,MATCH($E875,'0.0.1 Pokémon Dex Data'!$B$3:$B951,0)),0)</f>
        <v>219</v>
      </c>
      <c r="L875" s="260" t="n">
        <f aca="false" t="array" ref="L875:L875">ROUND(INDEX('0.0.1 Pokémon Dex Data'!$S$3:$S951,MATCH($E875,'0.0.1 Pokémon Dex Data'!$B$3:$B951,0))*INDEX('0.0.1 Pokémon Dex Data'!V$3:V951,MATCH($E875,'0.0.1 Pokémon Dex Data'!$B$3:$B951,0)),0)</f>
        <v>169</v>
      </c>
      <c r="M875" s="260" t="n">
        <f aca="false" t="array" ref="M875:M875">INDEX('0.0.1 Pokémon Dex Data'!$J$3:$J951,MATCH(E875,'0.0.1 Pokémon Dex Data'!$B$3:$B951,0))</f>
        <v>1</v>
      </c>
      <c r="O875" s="490"/>
      <c r="Q875" s="367" t="n">
        <f aca="false">IF('Reverse Search'!$F$4="All (including temporary formes)",1,IF('Reverse Search'!$F$4="Base Pokémon and permanent formes only",IF(F875&lt;=1,1,0),IF(F875=0,1,0)))</f>
        <v>1</v>
      </c>
      <c r="R875" s="0" t="n">
        <f aca="false">IF('Reverse Search'!$C$7="Disable",1,IF('Reverse Search'!$D$9="Disable",1,IF(OR('Reverse Search'!$F$9=H875,'Reverse Search'!$F$9=I875),1,0)))</f>
        <v>1</v>
      </c>
      <c r="S875" s="0" t="n">
        <f aca="false">IF('Reverse Search'!$C$7="Disable",1,IF('Reverse Search'!$D$10="Disable",1,IF(OR('Reverse Search'!$F$10=H875,'Reverse Search'!$F$10=I875),1,0)))</f>
        <v>1</v>
      </c>
      <c r="T875" s="0" t="n">
        <f aca="false">INDEX($B$4:$B$22,MATCH(H875,$A$4:$A$22,0))</f>
        <v>1</v>
      </c>
      <c r="U875" s="0" t="n">
        <f aca="false">IF(ISBLANK(I875),1,INDEX($B$4:$B$22,MATCH(I875,$A$4:$A$22,0)))</f>
        <v>1</v>
      </c>
      <c r="V875" s="367" t="n">
        <f aca="false">IF('Reverse Search'!$C$7="Disable",1,IF('Reverse Search'!$D$11="Disable",1,IF('Reverse Search'!$E$11="Neutral to:",IF(ROUND(T875*U875,2)&lt;=1,1,0),IF(ROUND(T875*U875,2)&lt;1,1,0))))</f>
        <v>1</v>
      </c>
      <c r="W875" s="0" t="n">
        <f aca="false">IF('Reverse Search'!$N$7="Disable",1,IF('Reverse Search'!$I$9="Disable",1,IF('Reverse Search'!$K$9="≥",IF(J875&gt;='Reverse Search'!$L$9,1,0),IF('Reverse Search'!$K$9="≤",IF(J875&lt;='Reverse Search'!$L$9,1,0),IF(J875='Reverse Search'!$L$9,1,0)))))</f>
        <v>1</v>
      </c>
      <c r="X875" s="0" t="n">
        <f aca="false">IF('Reverse Search'!$N$7="Disable",1,IF('Reverse Search'!$I$10="Disable",1,IF('Reverse Search'!$K$10="≥",IF(K875&gt;='Reverse Search'!$L$10,1,0),IF('Reverse Search'!$K$10="≤",IF(K875&lt;='Reverse Search'!$L$10,1,0),IF(K875='Reverse Search'!$L$10,1,0)))))</f>
        <v>1</v>
      </c>
      <c r="Y875" s="367" t="n">
        <f aca="false">IF('Reverse Search'!$N$7="Disable",1,IF('Reverse Search'!$I$11="Disable",1,IF('Reverse Search'!$K$11="≥",IF(L875&gt;='Reverse Search'!$L$11,1,0),IF('Reverse Search'!$K$11="≤",IF(L875&lt;='Reverse Search'!$L$11,1,0),IF(L875='Reverse Search'!$L$11,1,0)))))</f>
        <v>1</v>
      </c>
      <c r="Z875" s="0" t="n">
        <f aca="true">IF('Reverse Search'!$C$14="Disable",1,IF('Reverse Search'!$D$16="Disable",1,IF($C$2=3,IF($M875=0,0,COUNTIF(INDIRECT("'0.0.2 Pokémon Learnset (Core)'!$D$"&amp;MATCH($E875,'0.0.2 Pokémon Learnset (Core)'!$A$1:$A951,0)&amp;":$FK$"&amp;MATCH($E875,'0.0.2 Pokémon Learnset (Core)'!$A$1:$A951,0)),'Reverse Search'!$E$21)),IF($C$2=2,COUNTIF(INDIRECT("'0.1.1 Pokémon GO Moves'!$B$"&amp;MATCH($E875,'0.1.1 Pokémon GO Moves'!$A$1:$A951,0)&amp;":$R$"&amp;MATCH($E875,'0.1.1 Pokémon GO Moves'!$A$1:$A951,0)),'Reverse Search'!$E$21),COUNTIF(INDIRECT("'0.1.1 Pokémon GO Moves'!$B$"&amp;MATCH($E875,'0.1.1 Pokémon GO Moves'!$A$1:$A951,0)&amp;":$L$"&amp;MATCH($E875,'0.1.1 Pokémon GO Moves'!$A$1:$A951,0)),'Reverse Search'!$E$21)))))</f>
        <v>1</v>
      </c>
      <c r="AA875" s="0" t="n">
        <f aca="true">IF('Reverse Search'!$C$14="Disable",1,IF('Reverse Search'!$I$16="Disable",1,IF($D$2=3,IF($M875=0,0,COUNTIF(INDIRECT("'0.0.2 Pokémon Learnset (Core)'!$D$"&amp;MATCH($E875,'0.0.2 Pokémon Learnset (Core)'!$A$1:$A951,0)&amp;":$FK$"&amp;MATCH($E875,'0.0.2 Pokémon Learnset (Core)'!$A$1:$A951,0)),'Reverse Search'!$J$21)),IF($D$2=2,COUNTIF(INDIRECT("'0.1.1 Pokémon GO Moves'!$B$"&amp;MATCH($E875,'0.1.1 Pokémon GO Moves'!$A$1:$A951,0)&amp;":$R$"&amp;MATCH($E875,'0.1.1 Pokémon GO Moves'!$A$1:$A951,0)),'Reverse Search'!$J$21),COUNTIF(INDIRECT("'0.1.1 Pokémon GO Moves'!$B$"&amp;MATCH($E875,'0.1.1 Pokémon GO Moves'!$A$1:$A951,0)&amp;":$L$"&amp;MATCH($E875,'0.1.1 Pokémon GO Moves'!$A$1:$A951,0)),'Reverse Search'!$J$21)))))</f>
        <v>0</v>
      </c>
      <c r="AB875" s="490"/>
      <c r="AC875" s="260" t="n">
        <f aca="false">IF((Q875+R875+S875+V875+W875+X875+Y875+IF(Z875&gt;=1,1,0)+IF(AA875&gt;=1,1,0))=9,G875&amp;", ",)</f>
        <v>0</v>
      </c>
    </row>
    <row r="876" customFormat="false" ht="15.75" hidden="false" customHeight="false" outlineLevel="0" collapsed="false">
      <c r="A876" s="260"/>
      <c r="B876" s="358"/>
      <c r="C876" s="260"/>
      <c r="D876" s="358"/>
      <c r="E876" s="260" t="n">
        <v>875</v>
      </c>
      <c r="F876" s="260" t="n">
        <f aca="false" t="array" ref="F876:F876">INDEX('0.0.1 Pokémon Dex Data'!$H$3:$H951,MATCH(E876,'0.0.1 Pokémon Dex Data'!$B$3:$B951,0))</f>
        <v>0</v>
      </c>
      <c r="G876" s="0" t="str">
        <f aca="false" t="array" ref="G876:G876">INDEX('0.0.1 Pokémon Dex Data'!$E$3:$E951,MATCH(E876,'0.0.1 Pokémon Dex Data'!$B$3:$B951,0))</f>
        <v>Fomantis</v>
      </c>
      <c r="H876" s="0" t="str">
        <f aca="false" t="array" ref="H876:H876">INDEX('0.0.1 Pokémon Dex Data'!$Q$3:$Q951,MATCH(E876,'0.0.1 Pokémon Dex Data'!$B$3:$B951,0))</f>
        <v>Grass</v>
      </c>
      <c r="I876" s="0" t="n">
        <f aca="false">INDEX('0.0.1 Pokémon Dex Data'!$R$3:$R951,MATCH(E876,'0.0.1 Pokémon Dex Data'!$B$3:$B951,0))</f>
        <v>0</v>
      </c>
      <c r="J876" s="260" t="n">
        <f aca="false" t="array" ref="J876:J876">ROUND(INDEX('0.0.1 Pokémon Dex Data'!$S$3:$S951,MATCH($E876,'0.0.1 Pokémon Dex Data'!$B$3:$B951,0))*INDEX('0.0.1 Pokémon Dex Data'!T$3:T951,MATCH($E876,'0.0.1 Pokémon Dex Data'!$B$3:$B951,0)),0)</f>
        <v>100</v>
      </c>
      <c r="K876" s="260" t="n">
        <f aca="false" t="array" ref="K876:K876">ROUND(INDEX('0.0.1 Pokémon Dex Data'!$S$3:$S951,MATCH($E876,'0.0.1 Pokémon Dex Data'!$B$3:$B951,0))*INDEX('0.0.1 Pokémon Dex Data'!U$3:U951,MATCH($E876,'0.0.1 Pokémon Dex Data'!$B$3:$B951,0)),0)</f>
        <v>64</v>
      </c>
      <c r="L876" s="260" t="n">
        <f aca="false" t="array" ref="L876:L876">ROUND(INDEX('0.0.1 Pokémon Dex Data'!$S$3:$S951,MATCH($E876,'0.0.1 Pokémon Dex Data'!$B$3:$B951,0))*INDEX('0.0.1 Pokémon Dex Data'!V$3:V951,MATCH($E876,'0.0.1 Pokémon Dex Data'!$B$3:$B951,0)),0)</f>
        <v>120</v>
      </c>
      <c r="M876" s="260" t="n">
        <f aca="false" t="array" ref="M876:M876">INDEX('0.0.1 Pokémon Dex Data'!$J$3:$J951,MATCH(E876,'0.0.1 Pokémon Dex Data'!$B$3:$B951,0))</f>
        <v>0</v>
      </c>
      <c r="O876" s="490"/>
      <c r="Q876" s="367" t="n">
        <f aca="false">IF('Reverse Search'!$F$4="All (including temporary formes)",1,IF('Reverse Search'!$F$4="Base Pokémon and permanent formes only",IF(F876&lt;=1,1,0),IF(F876=0,1,0)))</f>
        <v>1</v>
      </c>
      <c r="R876" s="0" t="n">
        <f aca="false">IF('Reverse Search'!$C$7="Disable",1,IF('Reverse Search'!$D$9="Disable",1,IF(OR('Reverse Search'!$F$9=H876,'Reverse Search'!$F$9=I876),1,0)))</f>
        <v>1</v>
      </c>
      <c r="S876" s="0" t="n">
        <f aca="false">IF('Reverse Search'!$C$7="Disable",1,IF('Reverse Search'!$D$10="Disable",1,IF(OR('Reverse Search'!$F$10=H876,'Reverse Search'!$F$10=I876),1,0)))</f>
        <v>1</v>
      </c>
      <c r="T876" s="0" t="n">
        <f aca="false">INDEX($B$4:$B$22,MATCH(H876,$A$4:$A$22,0))</f>
        <v>1</v>
      </c>
      <c r="U876" s="0" t="e">
        <f aca="false">IF(ISBLANK(I876),1,INDEX($B$4:$B$22,MATCH(I876,$A$4:$A$22,0)))</f>
        <v>#N/A</v>
      </c>
      <c r="V876" s="367" t="n">
        <f aca="false">IF('Reverse Search'!$C$7="Disable",1,IF('Reverse Search'!$D$11="Disable",1,IF('Reverse Search'!$E$11="Neutral to:",IF(ROUND(T876*U876,2)&lt;=1,1,0),IF(ROUND(T876*U876,2)&lt;1,1,0))))</f>
        <v>1</v>
      </c>
      <c r="W876" s="0" t="n">
        <f aca="false">IF('Reverse Search'!$N$7="Disable",1,IF('Reverse Search'!$I$9="Disable",1,IF('Reverse Search'!$K$9="≥",IF(J876&gt;='Reverse Search'!$L$9,1,0),IF('Reverse Search'!$K$9="≤",IF(J876&lt;='Reverse Search'!$L$9,1,0),IF(J876='Reverse Search'!$L$9,1,0)))))</f>
        <v>1</v>
      </c>
      <c r="X876" s="0" t="n">
        <f aca="false">IF('Reverse Search'!$N$7="Disable",1,IF('Reverse Search'!$I$10="Disable",1,IF('Reverse Search'!$K$10="≥",IF(K876&gt;='Reverse Search'!$L$10,1,0),IF('Reverse Search'!$K$10="≤",IF(K876&lt;='Reverse Search'!$L$10,1,0),IF(K876='Reverse Search'!$L$10,1,0)))))</f>
        <v>1</v>
      </c>
      <c r="Y876" s="367" t="n">
        <f aca="false">IF('Reverse Search'!$N$7="Disable",1,IF('Reverse Search'!$I$11="Disable",1,IF('Reverse Search'!$K$11="≥",IF(L876&gt;='Reverse Search'!$L$11,1,0),IF('Reverse Search'!$K$11="≤",IF(L876&lt;='Reverse Search'!$L$11,1,0),IF(L876='Reverse Search'!$L$11,1,0)))))</f>
        <v>1</v>
      </c>
      <c r="Z876" s="0" t="n">
        <f aca="true">IF('Reverse Search'!$C$14="Disable",1,IF('Reverse Search'!$D$16="Disable",1,IF($C$2=3,IF($M876=0,0,COUNTIF(INDIRECT("'0.0.2 Pokémon Learnset (Core)'!$D$"&amp;MATCH($E876,'0.0.2 Pokémon Learnset (Core)'!$A$1:$A951,0)&amp;":$FK$"&amp;MATCH($E876,'0.0.2 Pokémon Learnset (Core)'!$A$1:$A951,0)),'Reverse Search'!$E$21)),IF($C$2=2,COUNTIF(INDIRECT("'0.1.1 Pokémon GO Moves'!$B$"&amp;MATCH($E876,'0.1.1 Pokémon GO Moves'!$A$1:$A951,0)&amp;":$R$"&amp;MATCH($E876,'0.1.1 Pokémon GO Moves'!$A$1:$A951,0)),'Reverse Search'!$E$21),COUNTIF(INDIRECT("'0.1.1 Pokémon GO Moves'!$B$"&amp;MATCH($E876,'0.1.1 Pokémon GO Moves'!$A$1:$A951,0)&amp;":$L$"&amp;MATCH($E876,'0.1.1 Pokémon GO Moves'!$A$1:$A951,0)),'Reverse Search'!$E$21)))))</f>
        <v>1</v>
      </c>
      <c r="AA876" s="0" t="n">
        <f aca="true">IF('Reverse Search'!$C$14="Disable",1,IF('Reverse Search'!$I$16="Disable",1,IF($D$2=3,IF($M876=0,0,COUNTIF(INDIRECT("'0.0.2 Pokémon Learnset (Core)'!$D$"&amp;MATCH($E876,'0.0.2 Pokémon Learnset (Core)'!$A$1:$A951,0)&amp;":$FK$"&amp;MATCH($E876,'0.0.2 Pokémon Learnset (Core)'!$A$1:$A951,0)),'Reverse Search'!$J$21)),IF($D$2=2,COUNTIF(INDIRECT("'0.1.1 Pokémon GO Moves'!$B$"&amp;MATCH($E876,'0.1.1 Pokémon GO Moves'!$A$1:$A951,0)&amp;":$R$"&amp;MATCH($E876,'0.1.1 Pokémon GO Moves'!$A$1:$A951,0)),'Reverse Search'!$J$21),COUNTIF(INDIRECT("'0.1.1 Pokémon GO Moves'!$B$"&amp;MATCH($E876,'0.1.1 Pokémon GO Moves'!$A$1:$A951,0)&amp;":$L$"&amp;MATCH($E876,'0.1.1 Pokémon GO Moves'!$A$1:$A951,0)),'Reverse Search'!$J$21)))))</f>
        <v>0</v>
      </c>
      <c r="AB876" s="490"/>
      <c r="AC876" s="260" t="n">
        <f aca="false">IF((Q876+R876+S876+V876+W876+X876+Y876+IF(Z876&gt;=1,1,0)+IF(AA876&gt;=1,1,0))=9,G876&amp;", ",)</f>
        <v>0</v>
      </c>
    </row>
    <row r="877" customFormat="false" ht="15.75" hidden="false" customHeight="false" outlineLevel="0" collapsed="false">
      <c r="A877" s="260"/>
      <c r="B877" s="358"/>
      <c r="C877" s="260"/>
      <c r="D877" s="358"/>
      <c r="E877" s="260" t="n">
        <v>876</v>
      </c>
      <c r="F877" s="260" t="n">
        <f aca="false" t="array" ref="F877:F877">INDEX('0.0.1 Pokémon Dex Data'!$H$3:$H951,MATCH(E877,'0.0.1 Pokémon Dex Data'!$B$3:$B951,0))</f>
        <v>0</v>
      </c>
      <c r="G877" s="0" t="str">
        <f aca="false" t="array" ref="G877:G877">INDEX('0.0.1 Pokémon Dex Data'!$E$3:$E951,MATCH(E877,'0.0.1 Pokémon Dex Data'!$B$3:$B951,0))</f>
        <v>Lurantis</v>
      </c>
      <c r="H877" s="0" t="str">
        <f aca="false" t="array" ref="H877:H877">INDEX('0.0.1 Pokémon Dex Data'!$Q$3:$Q951,MATCH(E877,'0.0.1 Pokémon Dex Data'!$B$3:$B951,0))</f>
        <v>Grass</v>
      </c>
      <c r="I877" s="0" t="n">
        <f aca="false">INDEX('0.0.1 Pokémon Dex Data'!$R$3:$R951,MATCH(E877,'0.0.1 Pokémon Dex Data'!$B$3:$B951,0))</f>
        <v>0</v>
      </c>
      <c r="J877" s="260" t="n">
        <f aca="false" t="array" ref="J877:J877">ROUND(INDEX('0.0.1 Pokémon Dex Data'!$S$3:$S951,MATCH($E877,'0.0.1 Pokémon Dex Data'!$B$3:$B951,0))*INDEX('0.0.1 Pokémon Dex Data'!T$3:T951,MATCH($E877,'0.0.1 Pokémon Dex Data'!$B$3:$B951,0)),0)</f>
        <v>192</v>
      </c>
      <c r="K877" s="260" t="n">
        <f aca="false" t="array" ref="K877:K877">ROUND(INDEX('0.0.1 Pokémon Dex Data'!$S$3:$S951,MATCH($E877,'0.0.1 Pokémon Dex Data'!$B$3:$B951,0))*INDEX('0.0.1 Pokémon Dex Data'!U$3:U951,MATCH($E877,'0.0.1 Pokémon Dex Data'!$B$3:$B951,0)),0)</f>
        <v>169</v>
      </c>
      <c r="L877" s="260" t="n">
        <f aca="false" t="array" ref="L877:L877">ROUND(INDEX('0.0.1 Pokémon Dex Data'!$S$3:$S951,MATCH($E877,'0.0.1 Pokémon Dex Data'!$B$3:$B951,0))*INDEX('0.0.1 Pokémon Dex Data'!V$3:V951,MATCH($E877,'0.0.1 Pokémon Dex Data'!$B$3:$B951,0)),0)</f>
        <v>172</v>
      </c>
      <c r="M877" s="260" t="n">
        <f aca="false" t="array" ref="M877:M877">INDEX('0.0.1 Pokémon Dex Data'!$J$3:$J951,MATCH(E877,'0.0.1 Pokémon Dex Data'!$B$3:$B951,0))</f>
        <v>1</v>
      </c>
      <c r="O877" s="490"/>
      <c r="Q877" s="367" t="n">
        <f aca="false">IF('Reverse Search'!$F$4="All (including temporary formes)",1,IF('Reverse Search'!$F$4="Base Pokémon and permanent formes only",IF(F877&lt;=1,1,0),IF(F877=0,1,0)))</f>
        <v>1</v>
      </c>
      <c r="R877" s="0" t="n">
        <f aca="false">IF('Reverse Search'!$C$7="Disable",1,IF('Reverse Search'!$D$9="Disable",1,IF(OR('Reverse Search'!$F$9=H877,'Reverse Search'!$F$9=I877),1,0)))</f>
        <v>1</v>
      </c>
      <c r="S877" s="0" t="n">
        <f aca="false">IF('Reverse Search'!$C$7="Disable",1,IF('Reverse Search'!$D$10="Disable",1,IF(OR('Reverse Search'!$F$10=H877,'Reverse Search'!$F$10=I877),1,0)))</f>
        <v>1</v>
      </c>
      <c r="T877" s="0" t="n">
        <f aca="false">INDEX($B$4:$B$22,MATCH(H877,$A$4:$A$22,0))</f>
        <v>1</v>
      </c>
      <c r="U877" s="0" t="e">
        <f aca="false">IF(ISBLANK(I877),1,INDEX($B$4:$B$22,MATCH(I877,$A$4:$A$22,0)))</f>
        <v>#N/A</v>
      </c>
      <c r="V877" s="367" t="n">
        <f aca="false">IF('Reverse Search'!$C$7="Disable",1,IF('Reverse Search'!$D$11="Disable",1,IF('Reverse Search'!$E$11="Neutral to:",IF(ROUND(T877*U877,2)&lt;=1,1,0),IF(ROUND(T877*U877,2)&lt;1,1,0))))</f>
        <v>1</v>
      </c>
      <c r="W877" s="0" t="n">
        <f aca="false">IF('Reverse Search'!$N$7="Disable",1,IF('Reverse Search'!$I$9="Disable",1,IF('Reverse Search'!$K$9="≥",IF(J877&gt;='Reverse Search'!$L$9,1,0),IF('Reverse Search'!$K$9="≤",IF(J877&lt;='Reverse Search'!$L$9,1,0),IF(J877='Reverse Search'!$L$9,1,0)))))</f>
        <v>1</v>
      </c>
      <c r="X877" s="0" t="n">
        <f aca="false">IF('Reverse Search'!$N$7="Disable",1,IF('Reverse Search'!$I$10="Disable",1,IF('Reverse Search'!$K$10="≥",IF(K877&gt;='Reverse Search'!$L$10,1,0),IF('Reverse Search'!$K$10="≤",IF(K877&lt;='Reverse Search'!$L$10,1,0),IF(K877='Reverse Search'!$L$10,1,0)))))</f>
        <v>1</v>
      </c>
      <c r="Y877" s="367" t="n">
        <f aca="false">IF('Reverse Search'!$N$7="Disable",1,IF('Reverse Search'!$I$11="Disable",1,IF('Reverse Search'!$K$11="≥",IF(L877&gt;='Reverse Search'!$L$11,1,0),IF('Reverse Search'!$K$11="≤",IF(L877&lt;='Reverse Search'!$L$11,1,0),IF(L877='Reverse Search'!$L$11,1,0)))))</f>
        <v>1</v>
      </c>
      <c r="Z877" s="0" t="n">
        <f aca="true">IF('Reverse Search'!$C$14="Disable",1,IF('Reverse Search'!$D$16="Disable",1,IF($C$2=3,IF($M877=0,0,COUNTIF(INDIRECT("'0.0.2 Pokémon Learnset (Core)'!$D$"&amp;MATCH($E877,'0.0.2 Pokémon Learnset (Core)'!$A$1:$A951,0)&amp;":$FK$"&amp;MATCH($E877,'0.0.2 Pokémon Learnset (Core)'!$A$1:$A951,0)),'Reverse Search'!$E$21)),IF($C$2=2,COUNTIF(INDIRECT("'0.1.1 Pokémon GO Moves'!$B$"&amp;MATCH($E877,'0.1.1 Pokémon GO Moves'!$A$1:$A951,0)&amp;":$R$"&amp;MATCH($E877,'0.1.1 Pokémon GO Moves'!$A$1:$A951,0)),'Reverse Search'!$E$21),COUNTIF(INDIRECT("'0.1.1 Pokémon GO Moves'!$B$"&amp;MATCH($E877,'0.1.1 Pokémon GO Moves'!$A$1:$A951,0)&amp;":$L$"&amp;MATCH($E877,'0.1.1 Pokémon GO Moves'!$A$1:$A951,0)),'Reverse Search'!$E$21)))))</f>
        <v>1</v>
      </c>
      <c r="AA877" s="0" t="n">
        <f aca="true">IF('Reverse Search'!$C$14="Disable",1,IF('Reverse Search'!$I$16="Disable",1,IF($D$2=3,IF($M877=0,0,COUNTIF(INDIRECT("'0.0.2 Pokémon Learnset (Core)'!$D$"&amp;MATCH($E877,'0.0.2 Pokémon Learnset (Core)'!$A$1:$A951,0)&amp;":$FK$"&amp;MATCH($E877,'0.0.2 Pokémon Learnset (Core)'!$A$1:$A951,0)),'Reverse Search'!$J$21)),IF($D$2=2,COUNTIF(INDIRECT("'0.1.1 Pokémon GO Moves'!$B$"&amp;MATCH($E877,'0.1.1 Pokémon GO Moves'!$A$1:$A951,0)&amp;":$R$"&amp;MATCH($E877,'0.1.1 Pokémon GO Moves'!$A$1:$A951,0)),'Reverse Search'!$J$21),COUNTIF(INDIRECT("'0.1.1 Pokémon GO Moves'!$B$"&amp;MATCH($E877,'0.1.1 Pokémon GO Moves'!$A$1:$A951,0)&amp;":$L$"&amp;MATCH($E877,'0.1.1 Pokémon GO Moves'!$A$1:$A951,0)),'Reverse Search'!$J$21)))))</f>
        <v>0</v>
      </c>
      <c r="AB877" s="490"/>
      <c r="AC877" s="260" t="n">
        <f aca="false">IF((Q877+R877+S877+V877+W877+X877+Y877+IF(Z877&gt;=1,1,0)+IF(AA877&gt;=1,1,0))=9,G877&amp;", ",)</f>
        <v>0</v>
      </c>
    </row>
    <row r="878" customFormat="false" ht="15.75" hidden="false" customHeight="false" outlineLevel="0" collapsed="false">
      <c r="A878" s="260"/>
      <c r="B878" s="358"/>
      <c r="C878" s="260"/>
      <c r="D878" s="358"/>
      <c r="E878" s="260" t="n">
        <v>877</v>
      </c>
      <c r="F878" s="260" t="n">
        <f aca="false" t="array" ref="F878:F878">INDEX('0.0.1 Pokémon Dex Data'!$H$3:$H951,MATCH(E878,'0.0.1 Pokémon Dex Data'!$B$3:$B951,0))</f>
        <v>0</v>
      </c>
      <c r="G878" s="0" t="str">
        <f aca="false" t="array" ref="G878:G878">INDEX('0.0.1 Pokémon Dex Data'!$E$3:$E951,MATCH(E878,'0.0.1 Pokémon Dex Data'!$B$3:$B951,0))</f>
        <v>Morelull</v>
      </c>
      <c r="H878" s="0" t="str">
        <f aca="false" t="array" ref="H878:H878">INDEX('0.0.1 Pokémon Dex Data'!$Q$3:$Q951,MATCH(E878,'0.0.1 Pokémon Dex Data'!$B$3:$B951,0))</f>
        <v>Grass</v>
      </c>
      <c r="I878" s="0" t="str">
        <f aca="false" t="array" ref="I878:I878">INDEX('0.0.1 Pokémon Dex Data'!$R$3:$R951,MATCH(E878,'0.0.1 Pokémon Dex Data'!$B$3:$B951,0))</f>
        <v>Fairy</v>
      </c>
      <c r="J878" s="260" t="n">
        <f aca="false" t="array" ref="J878:J878">ROUND(INDEX('0.0.1 Pokémon Dex Data'!$S$3:$S951,MATCH($E878,'0.0.1 Pokémon Dex Data'!$B$3:$B951,0))*INDEX('0.0.1 Pokémon Dex Data'!T$3:T951,MATCH($E878,'0.0.1 Pokémon Dex Data'!$B$3:$B951,0)),0)</f>
        <v>108</v>
      </c>
      <c r="K878" s="260" t="n">
        <f aca="false" t="array" ref="K878:K878">ROUND(INDEX('0.0.1 Pokémon Dex Data'!$S$3:$S951,MATCH($E878,'0.0.1 Pokémon Dex Data'!$B$3:$B951,0))*INDEX('0.0.1 Pokémon Dex Data'!U$3:U951,MATCH($E878,'0.0.1 Pokémon Dex Data'!$B$3:$B951,0)),0)</f>
        <v>119</v>
      </c>
      <c r="L878" s="260" t="n">
        <f aca="false" t="array" ref="L878:L878">ROUND(INDEX('0.0.1 Pokémon Dex Data'!$S$3:$S951,MATCH($E878,'0.0.1 Pokémon Dex Data'!$B$3:$B951,0))*INDEX('0.0.1 Pokémon Dex Data'!V$3:V951,MATCH($E878,'0.0.1 Pokémon Dex Data'!$B$3:$B951,0)),0)</f>
        <v>120</v>
      </c>
      <c r="M878" s="260" t="n">
        <f aca="false" t="array" ref="M878:M878">INDEX('0.0.1 Pokémon Dex Data'!$J$3:$J951,MATCH(E878,'0.0.1 Pokémon Dex Data'!$B$3:$B951,0))</f>
        <v>0</v>
      </c>
      <c r="O878" s="490"/>
      <c r="Q878" s="367" t="n">
        <f aca="false">IF('Reverse Search'!$F$4="All (including temporary formes)",1,IF('Reverse Search'!$F$4="Base Pokémon and permanent formes only",IF(F878&lt;=1,1,0),IF(F878=0,1,0)))</f>
        <v>1</v>
      </c>
      <c r="R878" s="0" t="n">
        <f aca="false">IF('Reverse Search'!$C$7="Disable",1,IF('Reverse Search'!$D$9="Disable",1,IF(OR('Reverse Search'!$F$9=H878,'Reverse Search'!$F$9=I878),1,0)))</f>
        <v>1</v>
      </c>
      <c r="S878" s="0" t="n">
        <f aca="false">IF('Reverse Search'!$C$7="Disable",1,IF('Reverse Search'!$D$10="Disable",1,IF(OR('Reverse Search'!$F$10=H878,'Reverse Search'!$F$10=I878),1,0)))</f>
        <v>1</v>
      </c>
      <c r="T878" s="0" t="n">
        <f aca="false">INDEX($B$4:$B$22,MATCH(H878,$A$4:$A$22,0))</f>
        <v>1</v>
      </c>
      <c r="U878" s="0" t="n">
        <f aca="false">IF(ISBLANK(I878),1,INDEX($B$4:$B$22,MATCH(I878,$A$4:$A$22,0)))</f>
        <v>1</v>
      </c>
      <c r="V878" s="367" t="n">
        <f aca="false">IF('Reverse Search'!$C$7="Disable",1,IF('Reverse Search'!$D$11="Disable",1,IF('Reverse Search'!$E$11="Neutral to:",IF(ROUND(T878*U878,2)&lt;=1,1,0),IF(ROUND(T878*U878,2)&lt;1,1,0))))</f>
        <v>1</v>
      </c>
      <c r="W878" s="0" t="n">
        <f aca="false">IF('Reverse Search'!$N$7="Disable",1,IF('Reverse Search'!$I$9="Disable",1,IF('Reverse Search'!$K$9="≥",IF(J878&gt;='Reverse Search'!$L$9,1,0),IF('Reverse Search'!$K$9="≤",IF(J878&lt;='Reverse Search'!$L$9,1,0),IF(J878='Reverse Search'!$L$9,1,0)))))</f>
        <v>1</v>
      </c>
      <c r="X878" s="0" t="n">
        <f aca="false">IF('Reverse Search'!$N$7="Disable",1,IF('Reverse Search'!$I$10="Disable",1,IF('Reverse Search'!$K$10="≥",IF(K878&gt;='Reverse Search'!$L$10,1,0),IF('Reverse Search'!$K$10="≤",IF(K878&lt;='Reverse Search'!$L$10,1,0),IF(K878='Reverse Search'!$L$10,1,0)))))</f>
        <v>1</v>
      </c>
      <c r="Y878" s="367" t="n">
        <f aca="false">IF('Reverse Search'!$N$7="Disable",1,IF('Reverse Search'!$I$11="Disable",1,IF('Reverse Search'!$K$11="≥",IF(L878&gt;='Reverse Search'!$L$11,1,0),IF('Reverse Search'!$K$11="≤",IF(L878&lt;='Reverse Search'!$L$11,1,0),IF(L878='Reverse Search'!$L$11,1,0)))))</f>
        <v>1</v>
      </c>
      <c r="Z878" s="0" t="n">
        <f aca="true">IF('Reverse Search'!$C$14="Disable",1,IF('Reverse Search'!$D$16="Disable",1,IF($C$2=3,IF($M878=0,0,COUNTIF(INDIRECT("'0.0.2 Pokémon Learnset (Core)'!$D$"&amp;MATCH($E878,'0.0.2 Pokémon Learnset (Core)'!$A$1:$A951,0)&amp;":$FK$"&amp;MATCH($E878,'0.0.2 Pokémon Learnset (Core)'!$A$1:$A951,0)),'Reverse Search'!$E$21)),IF($C$2=2,COUNTIF(INDIRECT("'0.1.1 Pokémon GO Moves'!$B$"&amp;MATCH($E878,'0.1.1 Pokémon GO Moves'!$A$1:$A951,0)&amp;":$R$"&amp;MATCH($E878,'0.1.1 Pokémon GO Moves'!$A$1:$A951,0)),'Reverse Search'!$E$21),COUNTIF(INDIRECT("'0.1.1 Pokémon GO Moves'!$B$"&amp;MATCH($E878,'0.1.1 Pokémon GO Moves'!$A$1:$A951,0)&amp;":$L$"&amp;MATCH($E878,'0.1.1 Pokémon GO Moves'!$A$1:$A951,0)),'Reverse Search'!$E$21)))))</f>
        <v>1</v>
      </c>
      <c r="AA878" s="0" t="n">
        <f aca="true">IF('Reverse Search'!$C$14="Disable",1,IF('Reverse Search'!$I$16="Disable",1,IF($D$2=3,IF($M878=0,0,COUNTIF(INDIRECT("'0.0.2 Pokémon Learnset (Core)'!$D$"&amp;MATCH($E878,'0.0.2 Pokémon Learnset (Core)'!$A$1:$A951,0)&amp;":$FK$"&amp;MATCH($E878,'0.0.2 Pokémon Learnset (Core)'!$A$1:$A951,0)),'Reverse Search'!$J$21)),IF($D$2=2,COUNTIF(INDIRECT("'0.1.1 Pokémon GO Moves'!$B$"&amp;MATCH($E878,'0.1.1 Pokémon GO Moves'!$A$1:$A951,0)&amp;":$R$"&amp;MATCH($E878,'0.1.1 Pokémon GO Moves'!$A$1:$A951,0)),'Reverse Search'!$J$21),COUNTIF(INDIRECT("'0.1.1 Pokémon GO Moves'!$B$"&amp;MATCH($E878,'0.1.1 Pokémon GO Moves'!$A$1:$A951,0)&amp;":$L$"&amp;MATCH($E878,'0.1.1 Pokémon GO Moves'!$A$1:$A951,0)),'Reverse Search'!$J$21)))))</f>
        <v>0</v>
      </c>
      <c r="AB878" s="490"/>
      <c r="AC878" s="260" t="n">
        <f aca="false">IF((Q878+R878+S878+V878+W878+X878+Y878+IF(Z878&gt;=1,1,0)+IF(AA878&gt;=1,1,0))=9,G878&amp;", ",)</f>
        <v>0</v>
      </c>
    </row>
    <row r="879" customFormat="false" ht="15.75" hidden="false" customHeight="false" outlineLevel="0" collapsed="false">
      <c r="A879" s="260"/>
      <c r="B879" s="358"/>
      <c r="C879" s="260"/>
      <c r="D879" s="358"/>
      <c r="E879" s="260" t="n">
        <v>878</v>
      </c>
      <c r="F879" s="260" t="n">
        <f aca="false" t="array" ref="F879:F879">INDEX('0.0.1 Pokémon Dex Data'!$H$3:$H951,MATCH(E879,'0.0.1 Pokémon Dex Data'!$B$3:$B951,0))</f>
        <v>0</v>
      </c>
      <c r="G879" s="0" t="str">
        <f aca="false" t="array" ref="G879:G879">INDEX('0.0.1 Pokémon Dex Data'!$E$3:$E951,MATCH(E879,'0.0.1 Pokémon Dex Data'!$B$3:$B951,0))</f>
        <v>Shiinotic</v>
      </c>
      <c r="H879" s="0" t="str">
        <f aca="false" t="array" ref="H879:H879">INDEX('0.0.1 Pokémon Dex Data'!$Q$3:$Q951,MATCH(E879,'0.0.1 Pokémon Dex Data'!$B$3:$B951,0))</f>
        <v>Grass</v>
      </c>
      <c r="I879" s="0" t="str">
        <f aca="false" t="array" ref="I879:I879">INDEX('0.0.1 Pokémon Dex Data'!$R$3:$R951,MATCH(E879,'0.0.1 Pokémon Dex Data'!$B$3:$B951,0))</f>
        <v>Fairy</v>
      </c>
      <c r="J879" s="260" t="n">
        <f aca="false" t="array" ref="J879:J879">ROUND(INDEX('0.0.1 Pokémon Dex Data'!$S$3:$S951,MATCH($E879,'0.0.1 Pokémon Dex Data'!$B$3:$B951,0))*INDEX('0.0.1 Pokémon Dex Data'!T$3:T951,MATCH($E879,'0.0.1 Pokémon Dex Data'!$B$3:$B951,0)),0)</f>
        <v>154</v>
      </c>
      <c r="K879" s="260" t="n">
        <f aca="false" t="array" ref="K879:K879">ROUND(INDEX('0.0.1 Pokémon Dex Data'!$S$3:$S951,MATCH($E879,'0.0.1 Pokémon Dex Data'!$B$3:$B951,0))*INDEX('0.0.1 Pokémon Dex Data'!U$3:U951,MATCH($E879,'0.0.1 Pokémon Dex Data'!$B$3:$B951,0)),0)</f>
        <v>168</v>
      </c>
      <c r="L879" s="260" t="n">
        <f aca="false" t="array" ref="L879:L879">ROUND(INDEX('0.0.1 Pokémon Dex Data'!$S$3:$S951,MATCH($E879,'0.0.1 Pokémon Dex Data'!$B$3:$B951,0))*INDEX('0.0.1 Pokémon Dex Data'!V$3:V951,MATCH($E879,'0.0.1 Pokémon Dex Data'!$B$3:$B951,0)),0)</f>
        <v>155</v>
      </c>
      <c r="M879" s="260" t="n">
        <f aca="false" t="array" ref="M879:M879">INDEX('0.0.1 Pokémon Dex Data'!$J$3:$J951,MATCH(E879,'0.0.1 Pokémon Dex Data'!$B$3:$B951,0))</f>
        <v>1</v>
      </c>
      <c r="O879" s="490"/>
      <c r="Q879" s="367" t="n">
        <f aca="false">IF('Reverse Search'!$F$4="All (including temporary formes)",1,IF('Reverse Search'!$F$4="Base Pokémon and permanent formes only",IF(F879&lt;=1,1,0),IF(F879=0,1,0)))</f>
        <v>1</v>
      </c>
      <c r="R879" s="0" t="n">
        <f aca="false">IF('Reverse Search'!$C$7="Disable",1,IF('Reverse Search'!$D$9="Disable",1,IF(OR('Reverse Search'!$F$9=H879,'Reverse Search'!$F$9=I879),1,0)))</f>
        <v>1</v>
      </c>
      <c r="S879" s="0" t="n">
        <f aca="false">IF('Reverse Search'!$C$7="Disable",1,IF('Reverse Search'!$D$10="Disable",1,IF(OR('Reverse Search'!$F$10=H879,'Reverse Search'!$F$10=I879),1,0)))</f>
        <v>1</v>
      </c>
      <c r="T879" s="0" t="n">
        <f aca="false">INDEX($B$4:$B$22,MATCH(H879,$A$4:$A$22,0))</f>
        <v>1</v>
      </c>
      <c r="U879" s="0" t="n">
        <f aca="false">IF(ISBLANK(I879),1,INDEX($B$4:$B$22,MATCH(I879,$A$4:$A$22,0)))</f>
        <v>1</v>
      </c>
      <c r="V879" s="367" t="n">
        <f aca="false">IF('Reverse Search'!$C$7="Disable",1,IF('Reverse Search'!$D$11="Disable",1,IF('Reverse Search'!$E$11="Neutral to:",IF(ROUND(T879*U879,2)&lt;=1,1,0),IF(ROUND(T879*U879,2)&lt;1,1,0))))</f>
        <v>1</v>
      </c>
      <c r="W879" s="0" t="n">
        <f aca="false">IF('Reverse Search'!$N$7="Disable",1,IF('Reverse Search'!$I$9="Disable",1,IF('Reverse Search'!$K$9="≥",IF(J879&gt;='Reverse Search'!$L$9,1,0),IF('Reverse Search'!$K$9="≤",IF(J879&lt;='Reverse Search'!$L$9,1,0),IF(J879='Reverse Search'!$L$9,1,0)))))</f>
        <v>1</v>
      </c>
      <c r="X879" s="0" t="n">
        <f aca="false">IF('Reverse Search'!$N$7="Disable",1,IF('Reverse Search'!$I$10="Disable",1,IF('Reverse Search'!$K$10="≥",IF(K879&gt;='Reverse Search'!$L$10,1,0),IF('Reverse Search'!$K$10="≤",IF(K879&lt;='Reverse Search'!$L$10,1,0),IF(K879='Reverse Search'!$L$10,1,0)))))</f>
        <v>1</v>
      </c>
      <c r="Y879" s="367" t="n">
        <f aca="false">IF('Reverse Search'!$N$7="Disable",1,IF('Reverse Search'!$I$11="Disable",1,IF('Reverse Search'!$K$11="≥",IF(L879&gt;='Reverse Search'!$L$11,1,0),IF('Reverse Search'!$K$11="≤",IF(L879&lt;='Reverse Search'!$L$11,1,0),IF(L879='Reverse Search'!$L$11,1,0)))))</f>
        <v>1</v>
      </c>
      <c r="Z879" s="0" t="n">
        <f aca="true">IF('Reverse Search'!$C$14="Disable",1,IF('Reverse Search'!$D$16="Disable",1,IF($C$2=3,IF($M879=0,0,COUNTIF(INDIRECT("'0.0.2 Pokémon Learnset (Core)'!$D$"&amp;MATCH($E879,'0.0.2 Pokémon Learnset (Core)'!$A$1:$A951,0)&amp;":$FK$"&amp;MATCH($E879,'0.0.2 Pokémon Learnset (Core)'!$A$1:$A951,0)),'Reverse Search'!$E$21)),IF($C$2=2,COUNTIF(INDIRECT("'0.1.1 Pokémon GO Moves'!$B$"&amp;MATCH($E879,'0.1.1 Pokémon GO Moves'!$A$1:$A951,0)&amp;":$R$"&amp;MATCH($E879,'0.1.1 Pokémon GO Moves'!$A$1:$A951,0)),'Reverse Search'!$E$21),COUNTIF(INDIRECT("'0.1.1 Pokémon GO Moves'!$B$"&amp;MATCH($E879,'0.1.1 Pokémon GO Moves'!$A$1:$A951,0)&amp;":$L$"&amp;MATCH($E879,'0.1.1 Pokémon GO Moves'!$A$1:$A951,0)),'Reverse Search'!$E$21)))))</f>
        <v>1</v>
      </c>
      <c r="AA879" s="0" t="n">
        <f aca="true">IF('Reverse Search'!$C$14="Disable",1,IF('Reverse Search'!$I$16="Disable",1,IF($D$2=3,IF($M879=0,0,COUNTIF(INDIRECT("'0.0.2 Pokémon Learnset (Core)'!$D$"&amp;MATCH($E879,'0.0.2 Pokémon Learnset (Core)'!$A$1:$A951,0)&amp;":$FK$"&amp;MATCH($E879,'0.0.2 Pokémon Learnset (Core)'!$A$1:$A951,0)),'Reverse Search'!$J$21)),IF($D$2=2,COUNTIF(INDIRECT("'0.1.1 Pokémon GO Moves'!$B$"&amp;MATCH($E879,'0.1.1 Pokémon GO Moves'!$A$1:$A951,0)&amp;":$R$"&amp;MATCH($E879,'0.1.1 Pokémon GO Moves'!$A$1:$A951,0)),'Reverse Search'!$J$21),COUNTIF(INDIRECT("'0.1.1 Pokémon GO Moves'!$B$"&amp;MATCH($E879,'0.1.1 Pokémon GO Moves'!$A$1:$A951,0)&amp;":$L$"&amp;MATCH($E879,'0.1.1 Pokémon GO Moves'!$A$1:$A951,0)),'Reverse Search'!$J$21)))))</f>
        <v>0</v>
      </c>
      <c r="AB879" s="490"/>
      <c r="AC879" s="260" t="n">
        <f aca="false">IF((Q879+R879+S879+V879+W879+X879+Y879+IF(Z879&gt;=1,1,0)+IF(AA879&gt;=1,1,0))=9,G879&amp;", ",)</f>
        <v>0</v>
      </c>
    </row>
    <row r="880" customFormat="false" ht="15.75" hidden="false" customHeight="false" outlineLevel="0" collapsed="false">
      <c r="A880" s="260"/>
      <c r="B880" s="358"/>
      <c r="C880" s="260"/>
      <c r="D880" s="358"/>
      <c r="E880" s="260" t="n">
        <v>879</v>
      </c>
      <c r="F880" s="260" t="n">
        <f aca="false" t="array" ref="F880:F880">INDEX('0.0.1 Pokémon Dex Data'!$H$3:$H951,MATCH(E880,'0.0.1 Pokémon Dex Data'!$B$3:$B951,0))</f>
        <v>0</v>
      </c>
      <c r="G880" s="0" t="str">
        <f aca="false" t="array" ref="G880:G880">INDEX('0.0.1 Pokémon Dex Data'!$E$3:$E951,MATCH(E880,'0.0.1 Pokémon Dex Data'!$B$3:$B951,0))</f>
        <v>Salandit</v>
      </c>
      <c r="H880" s="0" t="str">
        <f aca="false" t="array" ref="H880:H880">INDEX('0.0.1 Pokémon Dex Data'!$Q$3:$Q951,MATCH(E880,'0.0.1 Pokémon Dex Data'!$B$3:$B951,0))</f>
        <v>Poison</v>
      </c>
      <c r="I880" s="0" t="str">
        <f aca="false" t="array" ref="I880:I880">INDEX('0.0.1 Pokémon Dex Data'!$R$3:$R951,MATCH(E880,'0.0.1 Pokémon Dex Data'!$B$3:$B951,0))</f>
        <v>Fire</v>
      </c>
      <c r="J880" s="260" t="n">
        <f aca="false" t="array" ref="J880:J880">ROUND(INDEX('0.0.1 Pokémon Dex Data'!$S$3:$S951,MATCH($E880,'0.0.1 Pokémon Dex Data'!$B$3:$B951,0))*INDEX('0.0.1 Pokémon Dex Data'!T$3:T951,MATCH($E880,'0.0.1 Pokémon Dex Data'!$B$3:$B951,0)),0)</f>
        <v>136</v>
      </c>
      <c r="K880" s="260" t="n">
        <f aca="false" t="array" ref="K880:K880">ROUND(INDEX('0.0.1 Pokémon Dex Data'!$S$3:$S951,MATCH($E880,'0.0.1 Pokémon Dex Data'!$B$3:$B951,0))*INDEX('0.0.1 Pokémon Dex Data'!U$3:U951,MATCH($E880,'0.0.1 Pokémon Dex Data'!$B$3:$B951,0)),0)</f>
        <v>80</v>
      </c>
      <c r="L880" s="260" t="n">
        <f aca="false" t="array" ref="L880:L880">ROUND(INDEX('0.0.1 Pokémon Dex Data'!$S$3:$S951,MATCH($E880,'0.0.1 Pokémon Dex Data'!$B$3:$B951,0))*INDEX('0.0.1 Pokémon Dex Data'!V$3:V951,MATCH($E880,'0.0.1 Pokémon Dex Data'!$B$3:$B951,0)),0)</f>
        <v>134</v>
      </c>
      <c r="M880" s="260" t="n">
        <f aca="false" t="array" ref="M880:M880">INDEX('0.0.1 Pokémon Dex Data'!$J$3:$J951,MATCH(E880,'0.0.1 Pokémon Dex Data'!$B$3:$B951,0))</f>
        <v>0</v>
      </c>
      <c r="O880" s="490"/>
      <c r="Q880" s="367" t="n">
        <f aca="false">IF('Reverse Search'!$F$4="All (including temporary formes)",1,IF('Reverse Search'!$F$4="Base Pokémon and permanent formes only",IF(F880&lt;=1,1,0),IF(F880=0,1,0)))</f>
        <v>1</v>
      </c>
      <c r="R880" s="0" t="n">
        <f aca="false">IF('Reverse Search'!$C$7="Disable",1,IF('Reverse Search'!$D$9="Disable",1,IF(OR('Reverse Search'!$F$9=H880,'Reverse Search'!$F$9=I880),1,0)))</f>
        <v>1</v>
      </c>
      <c r="S880" s="0" t="n">
        <f aca="false">IF('Reverse Search'!$C$7="Disable",1,IF('Reverse Search'!$D$10="Disable",1,IF(OR('Reverse Search'!$F$10=H880,'Reverse Search'!$F$10=I880),1,0)))</f>
        <v>1</v>
      </c>
      <c r="T880" s="0" t="n">
        <f aca="false">INDEX($B$4:$B$22,MATCH(H880,$A$4:$A$22,0))</f>
        <v>1</v>
      </c>
      <c r="U880" s="0" t="n">
        <f aca="false">IF(ISBLANK(I880),1,INDEX($B$4:$B$22,MATCH(I880,$A$4:$A$22,0)))</f>
        <v>1</v>
      </c>
      <c r="V880" s="367" t="n">
        <f aca="false">IF('Reverse Search'!$C$7="Disable",1,IF('Reverse Search'!$D$11="Disable",1,IF('Reverse Search'!$E$11="Neutral to:",IF(ROUND(T880*U880,2)&lt;=1,1,0),IF(ROUND(T880*U880,2)&lt;1,1,0))))</f>
        <v>1</v>
      </c>
      <c r="W880" s="0" t="n">
        <f aca="false">IF('Reverse Search'!$N$7="Disable",1,IF('Reverse Search'!$I$9="Disable",1,IF('Reverse Search'!$K$9="≥",IF(J880&gt;='Reverse Search'!$L$9,1,0),IF('Reverse Search'!$K$9="≤",IF(J880&lt;='Reverse Search'!$L$9,1,0),IF(J880='Reverse Search'!$L$9,1,0)))))</f>
        <v>1</v>
      </c>
      <c r="X880" s="0" t="n">
        <f aca="false">IF('Reverse Search'!$N$7="Disable",1,IF('Reverse Search'!$I$10="Disable",1,IF('Reverse Search'!$K$10="≥",IF(K880&gt;='Reverse Search'!$L$10,1,0),IF('Reverse Search'!$K$10="≤",IF(K880&lt;='Reverse Search'!$L$10,1,0),IF(K880='Reverse Search'!$L$10,1,0)))))</f>
        <v>1</v>
      </c>
      <c r="Y880" s="367" t="n">
        <f aca="false">IF('Reverse Search'!$N$7="Disable",1,IF('Reverse Search'!$I$11="Disable",1,IF('Reverse Search'!$K$11="≥",IF(L880&gt;='Reverse Search'!$L$11,1,0),IF('Reverse Search'!$K$11="≤",IF(L880&lt;='Reverse Search'!$L$11,1,0),IF(L880='Reverse Search'!$L$11,1,0)))))</f>
        <v>1</v>
      </c>
      <c r="Z880" s="0" t="n">
        <f aca="true">IF('Reverse Search'!$C$14="Disable",1,IF('Reverse Search'!$D$16="Disable",1,IF($C$2=3,IF($M880=0,0,COUNTIF(INDIRECT("'0.0.2 Pokémon Learnset (Core)'!$D$"&amp;MATCH($E880,'0.0.2 Pokémon Learnset (Core)'!$A$1:$A951,0)&amp;":$FK$"&amp;MATCH($E880,'0.0.2 Pokémon Learnset (Core)'!$A$1:$A951,0)),'Reverse Search'!$E$21)),IF($C$2=2,COUNTIF(INDIRECT("'0.1.1 Pokémon GO Moves'!$B$"&amp;MATCH($E880,'0.1.1 Pokémon GO Moves'!$A$1:$A951,0)&amp;":$R$"&amp;MATCH($E880,'0.1.1 Pokémon GO Moves'!$A$1:$A951,0)),'Reverse Search'!$E$21),COUNTIF(INDIRECT("'0.1.1 Pokémon GO Moves'!$B$"&amp;MATCH($E880,'0.1.1 Pokémon GO Moves'!$A$1:$A951,0)&amp;":$L$"&amp;MATCH($E880,'0.1.1 Pokémon GO Moves'!$A$1:$A951,0)),'Reverse Search'!$E$21)))))</f>
        <v>1</v>
      </c>
      <c r="AA880" s="0" t="n">
        <f aca="true">IF('Reverse Search'!$C$14="Disable",1,IF('Reverse Search'!$I$16="Disable",1,IF($D$2=3,IF($M880=0,0,COUNTIF(INDIRECT("'0.0.2 Pokémon Learnset (Core)'!$D$"&amp;MATCH($E880,'0.0.2 Pokémon Learnset (Core)'!$A$1:$A951,0)&amp;":$FK$"&amp;MATCH($E880,'0.0.2 Pokémon Learnset (Core)'!$A$1:$A951,0)),'Reverse Search'!$J$21)),IF($D$2=2,COUNTIF(INDIRECT("'0.1.1 Pokémon GO Moves'!$B$"&amp;MATCH($E880,'0.1.1 Pokémon GO Moves'!$A$1:$A951,0)&amp;":$R$"&amp;MATCH($E880,'0.1.1 Pokémon GO Moves'!$A$1:$A951,0)),'Reverse Search'!$J$21),COUNTIF(INDIRECT("'0.1.1 Pokémon GO Moves'!$B$"&amp;MATCH($E880,'0.1.1 Pokémon GO Moves'!$A$1:$A951,0)&amp;":$L$"&amp;MATCH($E880,'0.1.1 Pokémon GO Moves'!$A$1:$A951,0)),'Reverse Search'!$J$21)))))</f>
        <v>0</v>
      </c>
      <c r="AB880" s="490"/>
      <c r="AC880" s="260" t="n">
        <f aca="false">IF((Q880+R880+S880+V880+W880+X880+Y880+IF(Z880&gt;=1,1,0)+IF(AA880&gt;=1,1,0))=9,G880&amp;", ",)</f>
        <v>0</v>
      </c>
    </row>
    <row r="881" customFormat="false" ht="15.75" hidden="false" customHeight="false" outlineLevel="0" collapsed="false">
      <c r="A881" s="260"/>
      <c r="B881" s="358"/>
      <c r="C881" s="260"/>
      <c r="D881" s="358"/>
      <c r="E881" s="260" t="n">
        <v>880</v>
      </c>
      <c r="F881" s="260" t="n">
        <f aca="false" t="array" ref="F881:F881">INDEX('0.0.1 Pokémon Dex Data'!$H$3:$H951,MATCH(E881,'0.0.1 Pokémon Dex Data'!$B$3:$B951,0))</f>
        <v>0</v>
      </c>
      <c r="G881" s="0" t="str">
        <f aca="false" t="array" ref="G881:G881">INDEX('0.0.1 Pokémon Dex Data'!$E$3:$E951,MATCH(E881,'0.0.1 Pokémon Dex Data'!$B$3:$B951,0))</f>
        <v>Salazzle</v>
      </c>
      <c r="H881" s="0" t="str">
        <f aca="false" t="array" ref="H881:H881">INDEX('0.0.1 Pokémon Dex Data'!$Q$3:$Q951,MATCH(E881,'0.0.1 Pokémon Dex Data'!$B$3:$B951,0))</f>
        <v>Poison</v>
      </c>
      <c r="I881" s="0" t="str">
        <f aca="false" t="array" ref="I881:I881">INDEX('0.0.1 Pokémon Dex Data'!$R$3:$R951,MATCH(E881,'0.0.1 Pokémon Dex Data'!$B$3:$B951,0))</f>
        <v>Fire</v>
      </c>
      <c r="J881" s="260" t="n">
        <f aca="false" t="array" ref="J881:J881">ROUND(INDEX('0.0.1 Pokémon Dex Data'!$S$3:$S951,MATCH($E881,'0.0.1 Pokémon Dex Data'!$B$3:$B951,0))*INDEX('0.0.1 Pokémon Dex Data'!T$3:T951,MATCH($E881,'0.0.1 Pokémon Dex Data'!$B$3:$B951,0)),0)</f>
        <v>228</v>
      </c>
      <c r="K881" s="260" t="n">
        <f aca="false" t="array" ref="K881:K881">ROUND(INDEX('0.0.1 Pokémon Dex Data'!$S$3:$S951,MATCH($E881,'0.0.1 Pokémon Dex Data'!$B$3:$B951,0))*INDEX('0.0.1 Pokémon Dex Data'!U$3:U951,MATCH($E881,'0.0.1 Pokémon Dex Data'!$B$3:$B951,0)),0)</f>
        <v>130</v>
      </c>
      <c r="L881" s="260" t="n">
        <f aca="false" t="array" ref="L881:L881">ROUND(INDEX('0.0.1 Pokémon Dex Data'!$S$3:$S951,MATCH($E881,'0.0.1 Pokémon Dex Data'!$B$3:$B951,0))*INDEX('0.0.1 Pokémon Dex Data'!V$3:V951,MATCH($E881,'0.0.1 Pokémon Dex Data'!$B$3:$B951,0)),0)</f>
        <v>169</v>
      </c>
      <c r="M881" s="260" t="n">
        <f aca="false" t="array" ref="M881:M881">INDEX('0.0.1 Pokémon Dex Data'!$J$3:$J951,MATCH(E881,'0.0.1 Pokémon Dex Data'!$B$3:$B951,0))</f>
        <v>1</v>
      </c>
      <c r="O881" s="490"/>
      <c r="Q881" s="367" t="n">
        <f aca="false">IF('Reverse Search'!$F$4="All (including temporary formes)",1,IF('Reverse Search'!$F$4="Base Pokémon and permanent formes only",IF(F881&lt;=1,1,0),IF(F881=0,1,0)))</f>
        <v>1</v>
      </c>
      <c r="R881" s="0" t="n">
        <f aca="false">IF('Reverse Search'!$C$7="Disable",1,IF('Reverse Search'!$D$9="Disable",1,IF(OR('Reverse Search'!$F$9=H881,'Reverse Search'!$F$9=I881),1,0)))</f>
        <v>1</v>
      </c>
      <c r="S881" s="0" t="n">
        <f aca="false">IF('Reverse Search'!$C$7="Disable",1,IF('Reverse Search'!$D$10="Disable",1,IF(OR('Reverse Search'!$F$10=H881,'Reverse Search'!$F$10=I881),1,0)))</f>
        <v>1</v>
      </c>
      <c r="T881" s="0" t="n">
        <f aca="false">INDEX($B$4:$B$22,MATCH(H881,$A$4:$A$22,0))</f>
        <v>1</v>
      </c>
      <c r="U881" s="0" t="n">
        <f aca="false">IF(ISBLANK(I881),1,INDEX($B$4:$B$22,MATCH(I881,$A$4:$A$22,0)))</f>
        <v>1</v>
      </c>
      <c r="V881" s="367" t="n">
        <f aca="false">IF('Reverse Search'!$C$7="Disable",1,IF('Reverse Search'!$D$11="Disable",1,IF('Reverse Search'!$E$11="Neutral to:",IF(ROUND(T881*U881,2)&lt;=1,1,0),IF(ROUND(T881*U881,2)&lt;1,1,0))))</f>
        <v>1</v>
      </c>
      <c r="W881" s="0" t="n">
        <f aca="false">IF('Reverse Search'!$N$7="Disable",1,IF('Reverse Search'!$I$9="Disable",1,IF('Reverse Search'!$K$9="≥",IF(J881&gt;='Reverse Search'!$L$9,1,0),IF('Reverse Search'!$K$9="≤",IF(J881&lt;='Reverse Search'!$L$9,1,0),IF(J881='Reverse Search'!$L$9,1,0)))))</f>
        <v>1</v>
      </c>
      <c r="X881" s="0" t="n">
        <f aca="false">IF('Reverse Search'!$N$7="Disable",1,IF('Reverse Search'!$I$10="Disable",1,IF('Reverse Search'!$K$10="≥",IF(K881&gt;='Reverse Search'!$L$10,1,0),IF('Reverse Search'!$K$10="≤",IF(K881&lt;='Reverse Search'!$L$10,1,0),IF(K881='Reverse Search'!$L$10,1,0)))))</f>
        <v>1</v>
      </c>
      <c r="Y881" s="367" t="n">
        <f aca="false">IF('Reverse Search'!$N$7="Disable",1,IF('Reverse Search'!$I$11="Disable",1,IF('Reverse Search'!$K$11="≥",IF(L881&gt;='Reverse Search'!$L$11,1,0),IF('Reverse Search'!$K$11="≤",IF(L881&lt;='Reverse Search'!$L$11,1,0),IF(L881='Reverse Search'!$L$11,1,0)))))</f>
        <v>1</v>
      </c>
      <c r="Z881" s="0" t="n">
        <f aca="true">IF('Reverse Search'!$C$14="Disable",1,IF('Reverse Search'!$D$16="Disable",1,IF($C$2=3,IF($M881=0,0,COUNTIF(INDIRECT("'0.0.2 Pokémon Learnset (Core)'!$D$"&amp;MATCH($E881,'0.0.2 Pokémon Learnset (Core)'!$A$1:$A951,0)&amp;":$FK$"&amp;MATCH($E881,'0.0.2 Pokémon Learnset (Core)'!$A$1:$A951,0)),'Reverse Search'!$E$21)),IF($C$2=2,COUNTIF(INDIRECT("'0.1.1 Pokémon GO Moves'!$B$"&amp;MATCH($E881,'0.1.1 Pokémon GO Moves'!$A$1:$A951,0)&amp;":$R$"&amp;MATCH($E881,'0.1.1 Pokémon GO Moves'!$A$1:$A951,0)),'Reverse Search'!$E$21),COUNTIF(INDIRECT("'0.1.1 Pokémon GO Moves'!$B$"&amp;MATCH($E881,'0.1.1 Pokémon GO Moves'!$A$1:$A951,0)&amp;":$L$"&amp;MATCH($E881,'0.1.1 Pokémon GO Moves'!$A$1:$A951,0)),'Reverse Search'!$E$21)))))</f>
        <v>1</v>
      </c>
      <c r="AA881" s="0" t="n">
        <f aca="true">IF('Reverse Search'!$C$14="Disable",1,IF('Reverse Search'!$I$16="Disable",1,IF($D$2=3,IF($M881=0,0,COUNTIF(INDIRECT("'0.0.2 Pokémon Learnset (Core)'!$D$"&amp;MATCH($E881,'0.0.2 Pokémon Learnset (Core)'!$A$1:$A951,0)&amp;":$FK$"&amp;MATCH($E881,'0.0.2 Pokémon Learnset (Core)'!$A$1:$A951,0)),'Reverse Search'!$J$21)),IF($D$2=2,COUNTIF(INDIRECT("'0.1.1 Pokémon GO Moves'!$B$"&amp;MATCH($E881,'0.1.1 Pokémon GO Moves'!$A$1:$A951,0)&amp;":$R$"&amp;MATCH($E881,'0.1.1 Pokémon GO Moves'!$A$1:$A951,0)),'Reverse Search'!$J$21),COUNTIF(INDIRECT("'0.1.1 Pokémon GO Moves'!$B$"&amp;MATCH($E881,'0.1.1 Pokémon GO Moves'!$A$1:$A951,0)&amp;":$L$"&amp;MATCH($E881,'0.1.1 Pokémon GO Moves'!$A$1:$A951,0)),'Reverse Search'!$J$21)))))</f>
        <v>0</v>
      </c>
      <c r="AB881" s="490"/>
      <c r="AC881" s="260" t="n">
        <f aca="false">IF((Q881+R881+S881+V881+W881+X881+Y881+IF(Z881&gt;=1,1,0)+IF(AA881&gt;=1,1,0))=9,G881&amp;", ",)</f>
        <v>0</v>
      </c>
    </row>
    <row r="882" customFormat="false" ht="15.75" hidden="false" customHeight="false" outlineLevel="0" collapsed="false">
      <c r="A882" s="260"/>
      <c r="B882" s="358"/>
      <c r="C882" s="260"/>
      <c r="D882" s="358"/>
      <c r="E882" s="260" t="n">
        <v>881</v>
      </c>
      <c r="F882" s="260" t="n">
        <f aca="false" t="array" ref="F882:F882">INDEX('0.0.1 Pokémon Dex Data'!$H$3:$H951,MATCH(E882,'0.0.1 Pokémon Dex Data'!$B$3:$B951,0))</f>
        <v>0</v>
      </c>
      <c r="G882" s="0" t="str">
        <f aca="false" t="array" ref="G882:G882">INDEX('0.0.1 Pokémon Dex Data'!$E$3:$E951,MATCH(E882,'0.0.1 Pokémon Dex Data'!$B$3:$B951,0))</f>
        <v>Stufful</v>
      </c>
      <c r="H882" s="0" t="str">
        <f aca="false" t="array" ref="H882:H882">INDEX('0.0.1 Pokémon Dex Data'!$Q$3:$Q951,MATCH(E882,'0.0.1 Pokémon Dex Data'!$B$3:$B951,0))</f>
        <v>Normal</v>
      </c>
      <c r="I882" s="0" t="str">
        <f aca="false" t="array" ref="I882:I882">INDEX('0.0.1 Pokémon Dex Data'!$R$3:$R951,MATCH(E882,'0.0.1 Pokémon Dex Data'!$B$3:$B951,0))</f>
        <v>Fighting</v>
      </c>
      <c r="J882" s="260" t="n">
        <f aca="false" t="array" ref="J882:J882">ROUND(INDEX('0.0.1 Pokémon Dex Data'!$S$3:$S951,MATCH($E882,'0.0.1 Pokémon Dex Data'!$B$3:$B951,0))*INDEX('0.0.1 Pokémon Dex Data'!T$3:T951,MATCH($E882,'0.0.1 Pokémon Dex Data'!$B$3:$B951,0)),0)</f>
        <v>136</v>
      </c>
      <c r="K882" s="260" t="n">
        <f aca="false" t="array" ref="K882:K882">ROUND(INDEX('0.0.1 Pokémon Dex Data'!$S$3:$S951,MATCH($E882,'0.0.1 Pokémon Dex Data'!$B$3:$B951,0))*INDEX('0.0.1 Pokémon Dex Data'!U$3:U951,MATCH($E882,'0.0.1 Pokémon Dex Data'!$B$3:$B951,0)),0)</f>
        <v>95</v>
      </c>
      <c r="L882" s="260" t="n">
        <f aca="false" t="array" ref="L882:L882">ROUND(INDEX('0.0.1 Pokémon Dex Data'!$S$3:$S951,MATCH($E882,'0.0.1 Pokémon Dex Data'!$B$3:$B951,0))*INDEX('0.0.1 Pokémon Dex Data'!V$3:V951,MATCH($E882,'0.0.1 Pokémon Dex Data'!$B$3:$B951,0)),0)</f>
        <v>172</v>
      </c>
      <c r="M882" s="260" t="n">
        <f aca="false" t="array" ref="M882:M882">INDEX('0.0.1 Pokémon Dex Data'!$J$3:$J951,MATCH(E882,'0.0.1 Pokémon Dex Data'!$B$3:$B951,0))</f>
        <v>0</v>
      </c>
      <c r="O882" s="490"/>
      <c r="Q882" s="367" t="n">
        <f aca="false">IF('Reverse Search'!$F$4="All (including temporary formes)",1,IF('Reverse Search'!$F$4="Base Pokémon and permanent formes only",IF(F882&lt;=1,1,0),IF(F882=0,1,0)))</f>
        <v>1</v>
      </c>
      <c r="R882" s="0" t="n">
        <f aca="false">IF('Reverse Search'!$C$7="Disable",1,IF('Reverse Search'!$D$9="Disable",1,IF(OR('Reverse Search'!$F$9=H882,'Reverse Search'!$F$9=I882),1,0)))</f>
        <v>1</v>
      </c>
      <c r="S882" s="0" t="n">
        <f aca="false">IF('Reverse Search'!$C$7="Disable",1,IF('Reverse Search'!$D$10="Disable",1,IF(OR('Reverse Search'!$F$10=H882,'Reverse Search'!$F$10=I882),1,0)))</f>
        <v>1</v>
      </c>
      <c r="T882" s="0" t="n">
        <f aca="false">INDEX($B$4:$B$22,MATCH(H882,$A$4:$A$22,0))</f>
        <v>1</v>
      </c>
      <c r="U882" s="0" t="n">
        <f aca="false">IF(ISBLANK(I882),1,INDEX($B$4:$B$22,MATCH(I882,$A$4:$A$22,0)))</f>
        <v>1</v>
      </c>
      <c r="V882" s="367" t="n">
        <f aca="false">IF('Reverse Search'!$C$7="Disable",1,IF('Reverse Search'!$D$11="Disable",1,IF('Reverse Search'!$E$11="Neutral to:",IF(ROUND(T882*U882,2)&lt;=1,1,0),IF(ROUND(T882*U882,2)&lt;1,1,0))))</f>
        <v>1</v>
      </c>
      <c r="W882" s="0" t="n">
        <f aca="false">IF('Reverse Search'!$N$7="Disable",1,IF('Reverse Search'!$I$9="Disable",1,IF('Reverse Search'!$K$9="≥",IF(J882&gt;='Reverse Search'!$L$9,1,0),IF('Reverse Search'!$K$9="≤",IF(J882&lt;='Reverse Search'!$L$9,1,0),IF(J882='Reverse Search'!$L$9,1,0)))))</f>
        <v>1</v>
      </c>
      <c r="X882" s="0" t="n">
        <f aca="false">IF('Reverse Search'!$N$7="Disable",1,IF('Reverse Search'!$I$10="Disable",1,IF('Reverse Search'!$K$10="≥",IF(K882&gt;='Reverse Search'!$L$10,1,0),IF('Reverse Search'!$K$10="≤",IF(K882&lt;='Reverse Search'!$L$10,1,0),IF(K882='Reverse Search'!$L$10,1,0)))))</f>
        <v>1</v>
      </c>
      <c r="Y882" s="367" t="n">
        <f aca="false">IF('Reverse Search'!$N$7="Disable",1,IF('Reverse Search'!$I$11="Disable",1,IF('Reverse Search'!$K$11="≥",IF(L882&gt;='Reverse Search'!$L$11,1,0),IF('Reverse Search'!$K$11="≤",IF(L882&lt;='Reverse Search'!$L$11,1,0),IF(L882='Reverse Search'!$L$11,1,0)))))</f>
        <v>1</v>
      </c>
      <c r="Z882" s="0" t="n">
        <f aca="true">IF('Reverse Search'!$C$14="Disable",1,IF('Reverse Search'!$D$16="Disable",1,IF($C$2=3,IF($M882=0,0,COUNTIF(INDIRECT("'0.0.2 Pokémon Learnset (Core)'!$D$"&amp;MATCH($E882,'0.0.2 Pokémon Learnset (Core)'!$A$1:$A951,0)&amp;":$FK$"&amp;MATCH($E882,'0.0.2 Pokémon Learnset (Core)'!$A$1:$A951,0)),'Reverse Search'!$E$21)),IF($C$2=2,COUNTIF(INDIRECT("'0.1.1 Pokémon GO Moves'!$B$"&amp;MATCH($E882,'0.1.1 Pokémon GO Moves'!$A$1:$A951,0)&amp;":$R$"&amp;MATCH($E882,'0.1.1 Pokémon GO Moves'!$A$1:$A951,0)),'Reverse Search'!$E$21),COUNTIF(INDIRECT("'0.1.1 Pokémon GO Moves'!$B$"&amp;MATCH($E882,'0.1.1 Pokémon GO Moves'!$A$1:$A951,0)&amp;":$L$"&amp;MATCH($E882,'0.1.1 Pokémon GO Moves'!$A$1:$A951,0)),'Reverse Search'!$E$21)))))</f>
        <v>1</v>
      </c>
      <c r="AA882" s="0" t="n">
        <f aca="true">IF('Reverse Search'!$C$14="Disable",1,IF('Reverse Search'!$I$16="Disable",1,IF($D$2=3,IF($M882=0,0,COUNTIF(INDIRECT("'0.0.2 Pokémon Learnset (Core)'!$D$"&amp;MATCH($E882,'0.0.2 Pokémon Learnset (Core)'!$A$1:$A951,0)&amp;":$FK$"&amp;MATCH($E882,'0.0.2 Pokémon Learnset (Core)'!$A$1:$A951,0)),'Reverse Search'!$J$21)),IF($D$2=2,COUNTIF(INDIRECT("'0.1.1 Pokémon GO Moves'!$B$"&amp;MATCH($E882,'0.1.1 Pokémon GO Moves'!$A$1:$A951,0)&amp;":$R$"&amp;MATCH($E882,'0.1.1 Pokémon GO Moves'!$A$1:$A951,0)),'Reverse Search'!$J$21),COUNTIF(INDIRECT("'0.1.1 Pokémon GO Moves'!$B$"&amp;MATCH($E882,'0.1.1 Pokémon GO Moves'!$A$1:$A951,0)&amp;":$L$"&amp;MATCH($E882,'0.1.1 Pokémon GO Moves'!$A$1:$A951,0)),'Reverse Search'!$J$21)))))</f>
        <v>0</v>
      </c>
      <c r="AB882" s="490"/>
      <c r="AC882" s="260" t="n">
        <f aca="false">IF((Q882+R882+S882+V882+W882+X882+Y882+IF(Z882&gt;=1,1,0)+IF(AA882&gt;=1,1,0))=9,G882&amp;", ",)</f>
        <v>0</v>
      </c>
    </row>
    <row r="883" customFormat="false" ht="15.75" hidden="false" customHeight="false" outlineLevel="0" collapsed="false">
      <c r="A883" s="260"/>
      <c r="B883" s="358"/>
      <c r="C883" s="260"/>
      <c r="D883" s="358"/>
      <c r="E883" s="260" t="n">
        <v>882</v>
      </c>
      <c r="F883" s="260" t="n">
        <f aca="false" t="array" ref="F883:F883">INDEX('0.0.1 Pokémon Dex Data'!$H$3:$H951,MATCH(E883,'0.0.1 Pokémon Dex Data'!$B$3:$B951,0))</f>
        <v>0</v>
      </c>
      <c r="G883" s="0" t="str">
        <f aca="false" t="array" ref="G883:G883">INDEX('0.0.1 Pokémon Dex Data'!$E$3:$E951,MATCH(E883,'0.0.1 Pokémon Dex Data'!$B$3:$B951,0))</f>
        <v>Bewear</v>
      </c>
      <c r="H883" s="0" t="str">
        <f aca="false" t="array" ref="H883:H883">INDEX('0.0.1 Pokémon Dex Data'!$Q$3:$Q951,MATCH(E883,'0.0.1 Pokémon Dex Data'!$B$3:$B951,0))</f>
        <v>Normal</v>
      </c>
      <c r="I883" s="0" t="str">
        <f aca="false" t="array" ref="I883:I883">INDEX('0.0.1 Pokémon Dex Data'!$R$3:$R951,MATCH(E883,'0.0.1 Pokémon Dex Data'!$B$3:$B951,0))</f>
        <v>Fighting</v>
      </c>
      <c r="J883" s="260" t="n">
        <f aca="false" t="array" ref="J883:J883">ROUND(INDEX('0.0.1 Pokémon Dex Data'!$S$3:$S951,MATCH($E883,'0.0.1 Pokémon Dex Data'!$B$3:$B951,0))*INDEX('0.0.1 Pokémon Dex Data'!T$3:T951,MATCH($E883,'0.0.1 Pokémon Dex Data'!$B$3:$B951,0)),0)</f>
        <v>226</v>
      </c>
      <c r="K883" s="260" t="n">
        <f aca="false" t="array" ref="K883:K883">ROUND(INDEX('0.0.1 Pokémon Dex Data'!$S$3:$S951,MATCH($E883,'0.0.1 Pokémon Dex Data'!$B$3:$B951,0))*INDEX('0.0.1 Pokémon Dex Data'!U$3:U951,MATCH($E883,'0.0.1 Pokémon Dex Data'!$B$3:$B951,0)),0)</f>
        <v>141</v>
      </c>
      <c r="L883" s="260" t="n">
        <f aca="false" t="array" ref="L883:L883">ROUND(INDEX('0.0.1 Pokémon Dex Data'!$S$3:$S951,MATCH($E883,'0.0.1 Pokémon Dex Data'!$B$3:$B951,0))*INDEX('0.0.1 Pokémon Dex Data'!V$3:V951,MATCH($E883,'0.0.1 Pokémon Dex Data'!$B$3:$B951,0)),0)</f>
        <v>260</v>
      </c>
      <c r="M883" s="260" t="n">
        <f aca="false" t="array" ref="M883:M883">INDEX('0.0.1 Pokémon Dex Data'!$J$3:$J951,MATCH(E883,'0.0.1 Pokémon Dex Data'!$B$3:$B951,0))</f>
        <v>1</v>
      </c>
      <c r="O883" s="490"/>
      <c r="Q883" s="367" t="n">
        <f aca="false">IF('Reverse Search'!$F$4="All (including temporary formes)",1,IF('Reverse Search'!$F$4="Base Pokémon and permanent formes only",IF(F883&lt;=1,1,0),IF(F883=0,1,0)))</f>
        <v>1</v>
      </c>
      <c r="R883" s="0" t="n">
        <f aca="false">IF('Reverse Search'!$C$7="Disable",1,IF('Reverse Search'!$D$9="Disable",1,IF(OR('Reverse Search'!$F$9=H883,'Reverse Search'!$F$9=I883),1,0)))</f>
        <v>1</v>
      </c>
      <c r="S883" s="0" t="n">
        <f aca="false">IF('Reverse Search'!$C$7="Disable",1,IF('Reverse Search'!$D$10="Disable",1,IF(OR('Reverse Search'!$F$10=H883,'Reverse Search'!$F$10=I883),1,0)))</f>
        <v>1</v>
      </c>
      <c r="T883" s="0" t="n">
        <f aca="false">INDEX($B$4:$B$22,MATCH(H883,$A$4:$A$22,0))</f>
        <v>1</v>
      </c>
      <c r="U883" s="0" t="n">
        <f aca="false">IF(ISBLANK(I883),1,INDEX($B$4:$B$22,MATCH(I883,$A$4:$A$22,0)))</f>
        <v>1</v>
      </c>
      <c r="V883" s="367" t="n">
        <f aca="false">IF('Reverse Search'!$C$7="Disable",1,IF('Reverse Search'!$D$11="Disable",1,IF('Reverse Search'!$E$11="Neutral to:",IF(ROUND(T883*U883,2)&lt;=1,1,0),IF(ROUND(T883*U883,2)&lt;1,1,0))))</f>
        <v>1</v>
      </c>
      <c r="W883" s="0" t="n">
        <f aca="false">IF('Reverse Search'!$N$7="Disable",1,IF('Reverse Search'!$I$9="Disable",1,IF('Reverse Search'!$K$9="≥",IF(J883&gt;='Reverse Search'!$L$9,1,0),IF('Reverse Search'!$K$9="≤",IF(J883&lt;='Reverse Search'!$L$9,1,0),IF(J883='Reverse Search'!$L$9,1,0)))))</f>
        <v>1</v>
      </c>
      <c r="X883" s="0" t="n">
        <f aca="false">IF('Reverse Search'!$N$7="Disable",1,IF('Reverse Search'!$I$10="Disable",1,IF('Reverse Search'!$K$10="≥",IF(K883&gt;='Reverse Search'!$L$10,1,0),IF('Reverse Search'!$K$10="≤",IF(K883&lt;='Reverse Search'!$L$10,1,0),IF(K883='Reverse Search'!$L$10,1,0)))))</f>
        <v>1</v>
      </c>
      <c r="Y883" s="367" t="n">
        <f aca="false">IF('Reverse Search'!$N$7="Disable",1,IF('Reverse Search'!$I$11="Disable",1,IF('Reverse Search'!$K$11="≥",IF(L883&gt;='Reverse Search'!$L$11,1,0),IF('Reverse Search'!$K$11="≤",IF(L883&lt;='Reverse Search'!$L$11,1,0),IF(L883='Reverse Search'!$L$11,1,0)))))</f>
        <v>1</v>
      </c>
      <c r="Z883" s="0" t="n">
        <f aca="true">IF('Reverse Search'!$C$14="Disable",1,IF('Reverse Search'!$D$16="Disable",1,IF($C$2=3,IF($M883=0,0,COUNTIF(INDIRECT("'0.0.2 Pokémon Learnset (Core)'!$D$"&amp;MATCH($E883,'0.0.2 Pokémon Learnset (Core)'!$A$1:$A951,0)&amp;":$FK$"&amp;MATCH($E883,'0.0.2 Pokémon Learnset (Core)'!$A$1:$A951,0)),'Reverse Search'!$E$21)),IF($C$2=2,COUNTIF(INDIRECT("'0.1.1 Pokémon GO Moves'!$B$"&amp;MATCH($E883,'0.1.1 Pokémon GO Moves'!$A$1:$A951,0)&amp;":$R$"&amp;MATCH($E883,'0.1.1 Pokémon GO Moves'!$A$1:$A951,0)),'Reverse Search'!$E$21),COUNTIF(INDIRECT("'0.1.1 Pokémon GO Moves'!$B$"&amp;MATCH($E883,'0.1.1 Pokémon GO Moves'!$A$1:$A951,0)&amp;":$L$"&amp;MATCH($E883,'0.1.1 Pokémon GO Moves'!$A$1:$A951,0)),'Reverse Search'!$E$21)))))</f>
        <v>1</v>
      </c>
      <c r="AA883" s="0" t="n">
        <f aca="true">IF('Reverse Search'!$C$14="Disable",1,IF('Reverse Search'!$I$16="Disable",1,IF($D$2=3,IF($M883=0,0,COUNTIF(INDIRECT("'0.0.2 Pokémon Learnset (Core)'!$D$"&amp;MATCH($E883,'0.0.2 Pokémon Learnset (Core)'!$A$1:$A951,0)&amp;":$FK$"&amp;MATCH($E883,'0.0.2 Pokémon Learnset (Core)'!$A$1:$A951,0)),'Reverse Search'!$J$21)),IF($D$2=2,COUNTIF(INDIRECT("'0.1.1 Pokémon GO Moves'!$B$"&amp;MATCH($E883,'0.1.1 Pokémon GO Moves'!$A$1:$A951,0)&amp;":$R$"&amp;MATCH($E883,'0.1.1 Pokémon GO Moves'!$A$1:$A951,0)),'Reverse Search'!$J$21),COUNTIF(INDIRECT("'0.1.1 Pokémon GO Moves'!$B$"&amp;MATCH($E883,'0.1.1 Pokémon GO Moves'!$A$1:$A951,0)&amp;":$L$"&amp;MATCH($E883,'0.1.1 Pokémon GO Moves'!$A$1:$A951,0)),'Reverse Search'!$J$21)))))</f>
        <v>0</v>
      </c>
      <c r="AB883" s="490"/>
      <c r="AC883" s="260" t="n">
        <f aca="false">IF((Q883+R883+S883+V883+W883+X883+Y883+IF(Z883&gt;=1,1,0)+IF(AA883&gt;=1,1,0))=9,G883&amp;", ",)</f>
        <v>0</v>
      </c>
    </row>
    <row r="884" customFormat="false" ht="15.75" hidden="false" customHeight="false" outlineLevel="0" collapsed="false">
      <c r="A884" s="260"/>
      <c r="B884" s="358"/>
      <c r="C884" s="260"/>
      <c r="D884" s="358"/>
      <c r="E884" s="260" t="n">
        <v>883</v>
      </c>
      <c r="F884" s="260" t="n">
        <f aca="false" t="array" ref="F884:F884">INDEX('0.0.1 Pokémon Dex Data'!$H$3:$H951,MATCH(E884,'0.0.1 Pokémon Dex Data'!$B$3:$B951,0))</f>
        <v>0</v>
      </c>
      <c r="G884" s="0" t="str">
        <f aca="false" t="array" ref="G884:G884">INDEX('0.0.1 Pokémon Dex Data'!$E$3:$E951,MATCH(E884,'0.0.1 Pokémon Dex Data'!$B$3:$B951,0))</f>
        <v>Bounsweet</v>
      </c>
      <c r="H884" s="0" t="str">
        <f aca="false" t="array" ref="H884:H884">INDEX('0.0.1 Pokémon Dex Data'!$Q$3:$Q951,MATCH(E884,'0.0.1 Pokémon Dex Data'!$B$3:$B951,0))</f>
        <v>Grass</v>
      </c>
      <c r="I884" s="0" t="n">
        <f aca="false">INDEX('0.0.1 Pokémon Dex Data'!$R$3:$R951,MATCH(E884,'0.0.1 Pokémon Dex Data'!$B$3:$B951,0))</f>
        <v>0</v>
      </c>
      <c r="J884" s="260" t="n">
        <f aca="false" t="array" ref="J884:J884">ROUND(INDEX('0.0.1 Pokémon Dex Data'!$S$3:$S951,MATCH($E884,'0.0.1 Pokémon Dex Data'!$B$3:$B951,0))*INDEX('0.0.1 Pokémon Dex Data'!T$3:T951,MATCH($E884,'0.0.1 Pokémon Dex Data'!$B$3:$B951,0)),0)</f>
        <v>55</v>
      </c>
      <c r="K884" s="260" t="n">
        <f aca="false" t="array" ref="K884:K884">ROUND(INDEX('0.0.1 Pokémon Dex Data'!$S$3:$S951,MATCH($E884,'0.0.1 Pokémon Dex Data'!$B$3:$B951,0))*INDEX('0.0.1 Pokémon Dex Data'!U$3:U951,MATCH($E884,'0.0.1 Pokémon Dex Data'!$B$3:$B951,0)),0)</f>
        <v>69</v>
      </c>
      <c r="L884" s="260" t="n">
        <f aca="false" t="array" ref="L884:L884">ROUND(INDEX('0.0.1 Pokémon Dex Data'!$S$3:$S951,MATCH($E884,'0.0.1 Pokémon Dex Data'!$B$3:$B951,0))*INDEX('0.0.1 Pokémon Dex Data'!V$3:V951,MATCH($E884,'0.0.1 Pokémon Dex Data'!$B$3:$B951,0)),0)</f>
        <v>123</v>
      </c>
      <c r="M884" s="260" t="n">
        <f aca="false" t="array" ref="M884:M884">INDEX('0.0.1 Pokémon Dex Data'!$J$3:$J951,MATCH(E884,'0.0.1 Pokémon Dex Data'!$B$3:$B951,0))</f>
        <v>0</v>
      </c>
      <c r="O884" s="490"/>
      <c r="Q884" s="367" t="n">
        <f aca="false">IF('Reverse Search'!$F$4="All (including temporary formes)",1,IF('Reverse Search'!$F$4="Base Pokémon and permanent formes only",IF(F884&lt;=1,1,0),IF(F884=0,1,0)))</f>
        <v>1</v>
      </c>
      <c r="R884" s="0" t="n">
        <f aca="false">IF('Reverse Search'!$C$7="Disable",1,IF('Reverse Search'!$D$9="Disable",1,IF(OR('Reverse Search'!$F$9=H884,'Reverse Search'!$F$9=I884),1,0)))</f>
        <v>1</v>
      </c>
      <c r="S884" s="0" t="n">
        <f aca="false">IF('Reverse Search'!$C$7="Disable",1,IF('Reverse Search'!$D$10="Disable",1,IF(OR('Reverse Search'!$F$10=H884,'Reverse Search'!$F$10=I884),1,0)))</f>
        <v>1</v>
      </c>
      <c r="T884" s="0" t="n">
        <f aca="false">INDEX($B$4:$B$22,MATCH(H884,$A$4:$A$22,0))</f>
        <v>1</v>
      </c>
      <c r="U884" s="0" t="e">
        <f aca="false">IF(ISBLANK(I884),1,INDEX($B$4:$B$22,MATCH(I884,$A$4:$A$22,0)))</f>
        <v>#N/A</v>
      </c>
      <c r="V884" s="367" t="n">
        <f aca="false">IF('Reverse Search'!$C$7="Disable",1,IF('Reverse Search'!$D$11="Disable",1,IF('Reverse Search'!$E$11="Neutral to:",IF(ROUND(T884*U884,2)&lt;=1,1,0),IF(ROUND(T884*U884,2)&lt;1,1,0))))</f>
        <v>1</v>
      </c>
      <c r="W884" s="0" t="n">
        <f aca="false">IF('Reverse Search'!$N$7="Disable",1,IF('Reverse Search'!$I$9="Disable",1,IF('Reverse Search'!$K$9="≥",IF(J884&gt;='Reverse Search'!$L$9,1,0),IF('Reverse Search'!$K$9="≤",IF(J884&lt;='Reverse Search'!$L$9,1,0),IF(J884='Reverse Search'!$L$9,1,0)))))</f>
        <v>1</v>
      </c>
      <c r="X884" s="0" t="n">
        <f aca="false">IF('Reverse Search'!$N$7="Disable",1,IF('Reverse Search'!$I$10="Disable",1,IF('Reverse Search'!$K$10="≥",IF(K884&gt;='Reverse Search'!$L$10,1,0),IF('Reverse Search'!$K$10="≤",IF(K884&lt;='Reverse Search'!$L$10,1,0),IF(K884='Reverse Search'!$L$10,1,0)))))</f>
        <v>1</v>
      </c>
      <c r="Y884" s="367" t="n">
        <f aca="false">IF('Reverse Search'!$N$7="Disable",1,IF('Reverse Search'!$I$11="Disable",1,IF('Reverse Search'!$K$11="≥",IF(L884&gt;='Reverse Search'!$L$11,1,0),IF('Reverse Search'!$K$11="≤",IF(L884&lt;='Reverse Search'!$L$11,1,0),IF(L884='Reverse Search'!$L$11,1,0)))))</f>
        <v>1</v>
      </c>
      <c r="Z884" s="0" t="n">
        <f aca="true">IF('Reverse Search'!$C$14="Disable",1,IF('Reverse Search'!$D$16="Disable",1,IF($C$2=3,IF($M884=0,0,COUNTIF(INDIRECT("'0.0.2 Pokémon Learnset (Core)'!$D$"&amp;MATCH($E884,'0.0.2 Pokémon Learnset (Core)'!$A$1:$A951,0)&amp;":$FK$"&amp;MATCH($E884,'0.0.2 Pokémon Learnset (Core)'!$A$1:$A951,0)),'Reverse Search'!$E$21)),IF($C$2=2,COUNTIF(INDIRECT("'0.1.1 Pokémon GO Moves'!$B$"&amp;MATCH($E884,'0.1.1 Pokémon GO Moves'!$A$1:$A951,0)&amp;":$R$"&amp;MATCH($E884,'0.1.1 Pokémon GO Moves'!$A$1:$A951,0)),'Reverse Search'!$E$21),COUNTIF(INDIRECT("'0.1.1 Pokémon GO Moves'!$B$"&amp;MATCH($E884,'0.1.1 Pokémon GO Moves'!$A$1:$A951,0)&amp;":$L$"&amp;MATCH($E884,'0.1.1 Pokémon GO Moves'!$A$1:$A951,0)),'Reverse Search'!$E$21)))))</f>
        <v>1</v>
      </c>
      <c r="AA884" s="0" t="n">
        <f aca="true">IF('Reverse Search'!$C$14="Disable",1,IF('Reverse Search'!$I$16="Disable",1,IF($D$2=3,IF($M884=0,0,COUNTIF(INDIRECT("'0.0.2 Pokémon Learnset (Core)'!$D$"&amp;MATCH($E884,'0.0.2 Pokémon Learnset (Core)'!$A$1:$A951,0)&amp;":$FK$"&amp;MATCH($E884,'0.0.2 Pokémon Learnset (Core)'!$A$1:$A951,0)),'Reverse Search'!$J$21)),IF($D$2=2,COUNTIF(INDIRECT("'0.1.1 Pokémon GO Moves'!$B$"&amp;MATCH($E884,'0.1.1 Pokémon GO Moves'!$A$1:$A951,0)&amp;":$R$"&amp;MATCH($E884,'0.1.1 Pokémon GO Moves'!$A$1:$A951,0)),'Reverse Search'!$J$21),COUNTIF(INDIRECT("'0.1.1 Pokémon GO Moves'!$B$"&amp;MATCH($E884,'0.1.1 Pokémon GO Moves'!$A$1:$A951,0)&amp;":$L$"&amp;MATCH($E884,'0.1.1 Pokémon GO Moves'!$A$1:$A951,0)),'Reverse Search'!$J$21)))))</f>
        <v>0</v>
      </c>
      <c r="AB884" s="490"/>
      <c r="AC884" s="260" t="n">
        <f aca="false">IF((Q884+R884+S884+V884+W884+X884+Y884+IF(Z884&gt;=1,1,0)+IF(AA884&gt;=1,1,0))=9,G884&amp;", ",)</f>
        <v>0</v>
      </c>
    </row>
    <row r="885" customFormat="false" ht="15.75" hidden="false" customHeight="false" outlineLevel="0" collapsed="false">
      <c r="A885" s="260"/>
      <c r="B885" s="358"/>
      <c r="C885" s="260"/>
      <c r="D885" s="358"/>
      <c r="E885" s="260" t="n">
        <v>884</v>
      </c>
      <c r="F885" s="260" t="n">
        <f aca="false" t="array" ref="F885:F885">INDEX('0.0.1 Pokémon Dex Data'!$H$3:$H951,MATCH(E885,'0.0.1 Pokémon Dex Data'!$B$3:$B951,0))</f>
        <v>0</v>
      </c>
      <c r="G885" s="0" t="str">
        <f aca="false" t="array" ref="G885:G885">INDEX('0.0.1 Pokémon Dex Data'!$E$3:$E951,MATCH(E885,'0.0.1 Pokémon Dex Data'!$B$3:$B951,0))</f>
        <v>Steenee</v>
      </c>
      <c r="H885" s="0" t="str">
        <f aca="false" t="array" ref="H885:H885">INDEX('0.0.1 Pokémon Dex Data'!$Q$3:$Q951,MATCH(E885,'0.0.1 Pokémon Dex Data'!$B$3:$B951,0))</f>
        <v>Grass</v>
      </c>
      <c r="I885" s="0" t="n">
        <f aca="false">INDEX('0.0.1 Pokémon Dex Data'!$R$3:$R951,MATCH(E885,'0.0.1 Pokémon Dex Data'!$B$3:$B951,0))</f>
        <v>0</v>
      </c>
      <c r="J885" s="260" t="n">
        <f aca="false" t="array" ref="J885:J885">ROUND(INDEX('0.0.1 Pokémon Dex Data'!$S$3:$S951,MATCH($E885,'0.0.1 Pokémon Dex Data'!$B$3:$B951,0))*INDEX('0.0.1 Pokémon Dex Data'!T$3:T951,MATCH($E885,'0.0.1 Pokémon Dex Data'!$B$3:$B951,0)),0)</f>
        <v>78</v>
      </c>
      <c r="K885" s="260" t="n">
        <f aca="false" t="array" ref="K885:K885">ROUND(INDEX('0.0.1 Pokémon Dex Data'!$S$3:$S951,MATCH($E885,'0.0.1 Pokémon Dex Data'!$B$3:$B951,0))*INDEX('0.0.1 Pokémon Dex Data'!U$3:U951,MATCH($E885,'0.0.1 Pokémon Dex Data'!$B$3:$B951,0)),0)</f>
        <v>94</v>
      </c>
      <c r="L885" s="260" t="n">
        <f aca="false" t="array" ref="L885:L885">ROUND(INDEX('0.0.1 Pokémon Dex Data'!$S$3:$S951,MATCH($E885,'0.0.1 Pokémon Dex Data'!$B$3:$B951,0))*INDEX('0.0.1 Pokémon Dex Data'!V$3:V951,MATCH($E885,'0.0.1 Pokémon Dex Data'!$B$3:$B951,0)),0)</f>
        <v>141</v>
      </c>
      <c r="M885" s="260" t="n">
        <f aca="false" t="array" ref="M885:M885">INDEX('0.0.1 Pokémon Dex Data'!$J$3:$J951,MATCH(E885,'0.0.1 Pokémon Dex Data'!$B$3:$B951,0))</f>
        <v>0</v>
      </c>
      <c r="O885" s="490"/>
      <c r="Q885" s="367" t="n">
        <f aca="false">IF('Reverse Search'!$F$4="All (including temporary formes)",1,IF('Reverse Search'!$F$4="Base Pokémon and permanent formes only",IF(F885&lt;=1,1,0),IF(F885=0,1,0)))</f>
        <v>1</v>
      </c>
      <c r="R885" s="0" t="n">
        <f aca="false">IF('Reverse Search'!$C$7="Disable",1,IF('Reverse Search'!$D$9="Disable",1,IF(OR('Reverse Search'!$F$9=H885,'Reverse Search'!$F$9=I885),1,0)))</f>
        <v>1</v>
      </c>
      <c r="S885" s="0" t="n">
        <f aca="false">IF('Reverse Search'!$C$7="Disable",1,IF('Reverse Search'!$D$10="Disable",1,IF(OR('Reverse Search'!$F$10=H885,'Reverse Search'!$F$10=I885),1,0)))</f>
        <v>1</v>
      </c>
      <c r="T885" s="0" t="n">
        <f aca="false">INDEX($B$4:$B$22,MATCH(H885,$A$4:$A$22,0))</f>
        <v>1</v>
      </c>
      <c r="U885" s="0" t="e">
        <f aca="false">IF(ISBLANK(I885),1,INDEX($B$4:$B$22,MATCH(I885,$A$4:$A$22,0)))</f>
        <v>#N/A</v>
      </c>
      <c r="V885" s="367" t="n">
        <f aca="false">IF('Reverse Search'!$C$7="Disable",1,IF('Reverse Search'!$D$11="Disable",1,IF('Reverse Search'!$E$11="Neutral to:",IF(ROUND(T885*U885,2)&lt;=1,1,0),IF(ROUND(T885*U885,2)&lt;1,1,0))))</f>
        <v>1</v>
      </c>
      <c r="W885" s="0" t="n">
        <f aca="false">IF('Reverse Search'!$N$7="Disable",1,IF('Reverse Search'!$I$9="Disable",1,IF('Reverse Search'!$K$9="≥",IF(J885&gt;='Reverse Search'!$L$9,1,0),IF('Reverse Search'!$K$9="≤",IF(J885&lt;='Reverse Search'!$L$9,1,0),IF(J885='Reverse Search'!$L$9,1,0)))))</f>
        <v>1</v>
      </c>
      <c r="X885" s="0" t="n">
        <f aca="false">IF('Reverse Search'!$N$7="Disable",1,IF('Reverse Search'!$I$10="Disable",1,IF('Reverse Search'!$K$10="≥",IF(K885&gt;='Reverse Search'!$L$10,1,0),IF('Reverse Search'!$K$10="≤",IF(K885&lt;='Reverse Search'!$L$10,1,0),IF(K885='Reverse Search'!$L$10,1,0)))))</f>
        <v>1</v>
      </c>
      <c r="Y885" s="367" t="n">
        <f aca="false">IF('Reverse Search'!$N$7="Disable",1,IF('Reverse Search'!$I$11="Disable",1,IF('Reverse Search'!$K$11="≥",IF(L885&gt;='Reverse Search'!$L$11,1,0),IF('Reverse Search'!$K$11="≤",IF(L885&lt;='Reverse Search'!$L$11,1,0),IF(L885='Reverse Search'!$L$11,1,0)))))</f>
        <v>1</v>
      </c>
      <c r="Z885" s="0" t="n">
        <f aca="true">IF('Reverse Search'!$C$14="Disable",1,IF('Reverse Search'!$D$16="Disable",1,IF($C$2=3,IF($M885=0,0,COUNTIF(INDIRECT("'0.0.2 Pokémon Learnset (Core)'!$D$"&amp;MATCH($E885,'0.0.2 Pokémon Learnset (Core)'!$A$1:$A951,0)&amp;":$FK$"&amp;MATCH($E885,'0.0.2 Pokémon Learnset (Core)'!$A$1:$A951,0)),'Reverse Search'!$E$21)),IF($C$2=2,COUNTIF(INDIRECT("'0.1.1 Pokémon GO Moves'!$B$"&amp;MATCH($E885,'0.1.1 Pokémon GO Moves'!$A$1:$A951,0)&amp;":$R$"&amp;MATCH($E885,'0.1.1 Pokémon GO Moves'!$A$1:$A951,0)),'Reverse Search'!$E$21),COUNTIF(INDIRECT("'0.1.1 Pokémon GO Moves'!$B$"&amp;MATCH($E885,'0.1.1 Pokémon GO Moves'!$A$1:$A951,0)&amp;":$L$"&amp;MATCH($E885,'0.1.1 Pokémon GO Moves'!$A$1:$A951,0)),'Reverse Search'!$E$21)))))</f>
        <v>1</v>
      </c>
      <c r="AA885" s="0" t="n">
        <f aca="true">IF('Reverse Search'!$C$14="Disable",1,IF('Reverse Search'!$I$16="Disable",1,IF($D$2=3,IF($M885=0,0,COUNTIF(INDIRECT("'0.0.2 Pokémon Learnset (Core)'!$D$"&amp;MATCH($E885,'0.0.2 Pokémon Learnset (Core)'!$A$1:$A951,0)&amp;":$FK$"&amp;MATCH($E885,'0.0.2 Pokémon Learnset (Core)'!$A$1:$A951,0)),'Reverse Search'!$J$21)),IF($D$2=2,COUNTIF(INDIRECT("'0.1.1 Pokémon GO Moves'!$B$"&amp;MATCH($E885,'0.1.1 Pokémon GO Moves'!$A$1:$A951,0)&amp;":$R$"&amp;MATCH($E885,'0.1.1 Pokémon GO Moves'!$A$1:$A951,0)),'Reverse Search'!$J$21),COUNTIF(INDIRECT("'0.1.1 Pokémon GO Moves'!$B$"&amp;MATCH($E885,'0.1.1 Pokémon GO Moves'!$A$1:$A951,0)&amp;":$L$"&amp;MATCH($E885,'0.1.1 Pokémon GO Moves'!$A$1:$A951,0)),'Reverse Search'!$J$21)))))</f>
        <v>0</v>
      </c>
      <c r="AB885" s="490"/>
      <c r="AC885" s="260" t="n">
        <f aca="false">IF((Q885+R885+S885+V885+W885+X885+Y885+IF(Z885&gt;=1,1,0)+IF(AA885&gt;=1,1,0))=9,G885&amp;", ",)</f>
        <v>0</v>
      </c>
    </row>
    <row r="886" customFormat="false" ht="15.75" hidden="false" customHeight="false" outlineLevel="0" collapsed="false">
      <c r="A886" s="260"/>
      <c r="B886" s="358"/>
      <c r="C886" s="260"/>
      <c r="D886" s="358"/>
      <c r="E886" s="260" t="n">
        <v>885</v>
      </c>
      <c r="F886" s="260" t="n">
        <f aca="false" t="array" ref="F886:F886">INDEX('0.0.1 Pokémon Dex Data'!$H$3:$H951,MATCH(E886,'0.0.1 Pokémon Dex Data'!$B$3:$B951,0))</f>
        <v>0</v>
      </c>
      <c r="G886" s="0" t="str">
        <f aca="false" t="array" ref="G886:G886">INDEX('0.0.1 Pokémon Dex Data'!$E$3:$E951,MATCH(E886,'0.0.1 Pokémon Dex Data'!$B$3:$B951,0))</f>
        <v>Tsareena</v>
      </c>
      <c r="H886" s="0" t="str">
        <f aca="false" t="array" ref="H886:H886">INDEX('0.0.1 Pokémon Dex Data'!$Q$3:$Q951,MATCH(E886,'0.0.1 Pokémon Dex Data'!$B$3:$B951,0))</f>
        <v>Grass</v>
      </c>
      <c r="I886" s="0" t="n">
        <f aca="false">INDEX('0.0.1 Pokémon Dex Data'!$R$3:$R951,MATCH(E886,'0.0.1 Pokémon Dex Data'!$B$3:$B951,0))</f>
        <v>0</v>
      </c>
      <c r="J886" s="260" t="n">
        <f aca="false" t="array" ref="J886:J886">ROUND(INDEX('0.0.1 Pokémon Dex Data'!$S$3:$S951,MATCH($E886,'0.0.1 Pokémon Dex Data'!$B$3:$B951,0))*INDEX('0.0.1 Pokémon Dex Data'!T$3:T951,MATCH($E886,'0.0.1 Pokémon Dex Data'!$B$3:$B951,0)),0)</f>
        <v>222</v>
      </c>
      <c r="K886" s="260" t="n">
        <f aca="false" t="array" ref="K886:K886">ROUND(INDEX('0.0.1 Pokémon Dex Data'!$S$3:$S951,MATCH($E886,'0.0.1 Pokémon Dex Data'!$B$3:$B951,0))*INDEX('0.0.1 Pokémon Dex Data'!U$3:U951,MATCH($E886,'0.0.1 Pokémon Dex Data'!$B$3:$B951,0)),0)</f>
        <v>195</v>
      </c>
      <c r="L886" s="260" t="n">
        <f aca="false" t="array" ref="L886:L886">ROUND(INDEX('0.0.1 Pokémon Dex Data'!$S$3:$S951,MATCH($E886,'0.0.1 Pokémon Dex Data'!$B$3:$B951,0))*INDEX('0.0.1 Pokémon Dex Data'!V$3:V951,MATCH($E886,'0.0.1 Pokémon Dex Data'!$B$3:$B951,0)),0)</f>
        <v>176</v>
      </c>
      <c r="M886" s="260" t="n">
        <f aca="false" t="array" ref="M886:M886">INDEX('0.0.1 Pokémon Dex Data'!$J$3:$J951,MATCH(E886,'0.0.1 Pokémon Dex Data'!$B$3:$B951,0))</f>
        <v>1</v>
      </c>
      <c r="O886" s="490"/>
      <c r="Q886" s="367" t="n">
        <f aca="false">IF('Reverse Search'!$F$4="All (including temporary formes)",1,IF('Reverse Search'!$F$4="Base Pokémon and permanent formes only",IF(F886&lt;=1,1,0),IF(F886=0,1,0)))</f>
        <v>1</v>
      </c>
      <c r="R886" s="0" t="n">
        <f aca="false">IF('Reverse Search'!$C$7="Disable",1,IF('Reverse Search'!$D$9="Disable",1,IF(OR('Reverse Search'!$F$9=H886,'Reverse Search'!$F$9=I886),1,0)))</f>
        <v>1</v>
      </c>
      <c r="S886" s="0" t="n">
        <f aca="false">IF('Reverse Search'!$C$7="Disable",1,IF('Reverse Search'!$D$10="Disable",1,IF(OR('Reverse Search'!$F$10=H886,'Reverse Search'!$F$10=I886),1,0)))</f>
        <v>1</v>
      </c>
      <c r="T886" s="0" t="n">
        <f aca="false">INDEX($B$4:$B$22,MATCH(H886,$A$4:$A$22,0))</f>
        <v>1</v>
      </c>
      <c r="U886" s="0" t="e">
        <f aca="false">IF(ISBLANK(I886),1,INDEX($B$4:$B$22,MATCH(I886,$A$4:$A$22,0)))</f>
        <v>#N/A</v>
      </c>
      <c r="V886" s="367" t="n">
        <f aca="false">IF('Reverse Search'!$C$7="Disable",1,IF('Reverse Search'!$D$11="Disable",1,IF('Reverse Search'!$E$11="Neutral to:",IF(ROUND(T886*U886,2)&lt;=1,1,0),IF(ROUND(T886*U886,2)&lt;1,1,0))))</f>
        <v>1</v>
      </c>
      <c r="W886" s="0" t="n">
        <f aca="false">IF('Reverse Search'!$N$7="Disable",1,IF('Reverse Search'!$I$9="Disable",1,IF('Reverse Search'!$K$9="≥",IF(J886&gt;='Reverse Search'!$L$9,1,0),IF('Reverse Search'!$K$9="≤",IF(J886&lt;='Reverse Search'!$L$9,1,0),IF(J886='Reverse Search'!$L$9,1,0)))))</f>
        <v>1</v>
      </c>
      <c r="X886" s="0" t="n">
        <f aca="false">IF('Reverse Search'!$N$7="Disable",1,IF('Reverse Search'!$I$10="Disable",1,IF('Reverse Search'!$K$10="≥",IF(K886&gt;='Reverse Search'!$L$10,1,0),IF('Reverse Search'!$K$10="≤",IF(K886&lt;='Reverse Search'!$L$10,1,0),IF(K886='Reverse Search'!$L$10,1,0)))))</f>
        <v>1</v>
      </c>
      <c r="Y886" s="367" t="n">
        <f aca="false">IF('Reverse Search'!$N$7="Disable",1,IF('Reverse Search'!$I$11="Disable",1,IF('Reverse Search'!$K$11="≥",IF(L886&gt;='Reverse Search'!$L$11,1,0),IF('Reverse Search'!$K$11="≤",IF(L886&lt;='Reverse Search'!$L$11,1,0),IF(L886='Reverse Search'!$L$11,1,0)))))</f>
        <v>1</v>
      </c>
      <c r="Z886" s="0" t="n">
        <f aca="true">IF('Reverse Search'!$C$14="Disable",1,IF('Reverse Search'!$D$16="Disable",1,IF($C$2=3,IF($M886=0,0,COUNTIF(INDIRECT("'0.0.2 Pokémon Learnset (Core)'!$D$"&amp;MATCH($E886,'0.0.2 Pokémon Learnset (Core)'!$A$1:$A951,0)&amp;":$FK$"&amp;MATCH($E886,'0.0.2 Pokémon Learnset (Core)'!$A$1:$A951,0)),'Reverse Search'!$E$21)),IF($C$2=2,COUNTIF(INDIRECT("'0.1.1 Pokémon GO Moves'!$B$"&amp;MATCH($E886,'0.1.1 Pokémon GO Moves'!$A$1:$A951,0)&amp;":$R$"&amp;MATCH($E886,'0.1.1 Pokémon GO Moves'!$A$1:$A951,0)),'Reverse Search'!$E$21),COUNTIF(INDIRECT("'0.1.1 Pokémon GO Moves'!$B$"&amp;MATCH($E886,'0.1.1 Pokémon GO Moves'!$A$1:$A951,0)&amp;":$L$"&amp;MATCH($E886,'0.1.1 Pokémon GO Moves'!$A$1:$A951,0)),'Reverse Search'!$E$21)))))</f>
        <v>1</v>
      </c>
      <c r="AA886" s="0" t="n">
        <f aca="true">IF('Reverse Search'!$C$14="Disable",1,IF('Reverse Search'!$I$16="Disable",1,IF($D$2=3,IF($M886=0,0,COUNTIF(INDIRECT("'0.0.2 Pokémon Learnset (Core)'!$D$"&amp;MATCH($E886,'0.0.2 Pokémon Learnset (Core)'!$A$1:$A951,0)&amp;":$FK$"&amp;MATCH($E886,'0.0.2 Pokémon Learnset (Core)'!$A$1:$A951,0)),'Reverse Search'!$J$21)),IF($D$2=2,COUNTIF(INDIRECT("'0.1.1 Pokémon GO Moves'!$B$"&amp;MATCH($E886,'0.1.1 Pokémon GO Moves'!$A$1:$A951,0)&amp;":$R$"&amp;MATCH($E886,'0.1.1 Pokémon GO Moves'!$A$1:$A951,0)),'Reverse Search'!$J$21),COUNTIF(INDIRECT("'0.1.1 Pokémon GO Moves'!$B$"&amp;MATCH($E886,'0.1.1 Pokémon GO Moves'!$A$1:$A951,0)&amp;":$L$"&amp;MATCH($E886,'0.1.1 Pokémon GO Moves'!$A$1:$A951,0)),'Reverse Search'!$J$21)))))</f>
        <v>0</v>
      </c>
      <c r="AB886" s="490"/>
      <c r="AC886" s="260" t="n">
        <f aca="false">IF((Q886+R886+S886+V886+W886+X886+Y886+IF(Z886&gt;=1,1,0)+IF(AA886&gt;=1,1,0))=9,G886&amp;", ",)</f>
        <v>0</v>
      </c>
    </row>
    <row r="887" customFormat="false" ht="15.75" hidden="false" customHeight="false" outlineLevel="0" collapsed="false">
      <c r="A887" s="260"/>
      <c r="B887" s="358"/>
      <c r="C887" s="260"/>
      <c r="D887" s="358"/>
      <c r="E887" s="260" t="n">
        <v>886</v>
      </c>
      <c r="F887" s="260" t="n">
        <f aca="false" t="array" ref="F887:F887">INDEX('0.0.1 Pokémon Dex Data'!$H$3:$H951,MATCH(E887,'0.0.1 Pokémon Dex Data'!$B$3:$B951,0))</f>
        <v>0</v>
      </c>
      <c r="G887" s="0" t="str">
        <f aca="false" t="array" ref="G887:G887">INDEX('0.0.1 Pokémon Dex Data'!$E$3:$E951,MATCH(E887,'0.0.1 Pokémon Dex Data'!$B$3:$B951,0))</f>
        <v>Comfey</v>
      </c>
      <c r="H887" s="0" t="str">
        <f aca="false" t="array" ref="H887:H887">INDEX('0.0.1 Pokémon Dex Data'!$Q$3:$Q951,MATCH(E887,'0.0.1 Pokémon Dex Data'!$B$3:$B951,0))</f>
        <v>Fairy</v>
      </c>
      <c r="I887" s="0" t="n">
        <f aca="false">INDEX('0.0.1 Pokémon Dex Data'!$R$3:$R951,MATCH(E887,'0.0.1 Pokémon Dex Data'!$B$3:$B951,0))</f>
        <v>0</v>
      </c>
      <c r="J887" s="260" t="n">
        <f aca="false" t="array" ref="J887:J887">ROUND(INDEX('0.0.1 Pokémon Dex Data'!$S$3:$S951,MATCH($E887,'0.0.1 Pokémon Dex Data'!$B$3:$B951,0))*INDEX('0.0.1 Pokémon Dex Data'!T$3:T951,MATCH($E887,'0.0.1 Pokémon Dex Data'!$B$3:$B951,0)),0)</f>
        <v>165</v>
      </c>
      <c r="K887" s="260" t="n">
        <f aca="false" t="array" ref="K887:K887">ROUND(INDEX('0.0.1 Pokémon Dex Data'!$S$3:$S951,MATCH($E887,'0.0.1 Pokémon Dex Data'!$B$3:$B951,0))*INDEX('0.0.1 Pokémon Dex Data'!U$3:U951,MATCH($E887,'0.0.1 Pokémon Dex Data'!$B$3:$B951,0)),0)</f>
        <v>215</v>
      </c>
      <c r="L887" s="260" t="n">
        <f aca="false" t="array" ref="L887:L887">ROUND(INDEX('0.0.1 Pokémon Dex Data'!$S$3:$S951,MATCH($E887,'0.0.1 Pokémon Dex Data'!$B$3:$B951,0))*INDEX('0.0.1 Pokémon Dex Data'!V$3:V951,MATCH($E887,'0.0.1 Pokémon Dex Data'!$B$3:$B951,0)),0)</f>
        <v>139</v>
      </c>
      <c r="M887" s="260" t="n">
        <f aca="false" t="array" ref="M887:M887">INDEX('0.0.1 Pokémon Dex Data'!$J$3:$J951,MATCH(E887,'0.0.1 Pokémon Dex Data'!$B$3:$B951,0))</f>
        <v>1</v>
      </c>
      <c r="O887" s="490"/>
      <c r="Q887" s="367" t="n">
        <f aca="false">IF('Reverse Search'!$F$4="All (including temporary formes)",1,IF('Reverse Search'!$F$4="Base Pokémon and permanent formes only",IF(F887&lt;=1,1,0),IF(F887=0,1,0)))</f>
        <v>1</v>
      </c>
      <c r="R887" s="0" t="n">
        <f aca="false">IF('Reverse Search'!$C$7="Disable",1,IF('Reverse Search'!$D$9="Disable",1,IF(OR('Reverse Search'!$F$9=H887,'Reverse Search'!$F$9=I887),1,0)))</f>
        <v>1</v>
      </c>
      <c r="S887" s="0" t="n">
        <f aca="false">IF('Reverse Search'!$C$7="Disable",1,IF('Reverse Search'!$D$10="Disable",1,IF(OR('Reverse Search'!$F$10=H887,'Reverse Search'!$F$10=I887),1,0)))</f>
        <v>1</v>
      </c>
      <c r="T887" s="0" t="n">
        <f aca="false">INDEX($B$4:$B$22,MATCH(H887,$A$4:$A$22,0))</f>
        <v>1</v>
      </c>
      <c r="U887" s="0" t="e">
        <f aca="false">IF(ISBLANK(I887),1,INDEX($B$4:$B$22,MATCH(I887,$A$4:$A$22,0)))</f>
        <v>#N/A</v>
      </c>
      <c r="V887" s="367" t="n">
        <f aca="false">IF('Reverse Search'!$C$7="Disable",1,IF('Reverse Search'!$D$11="Disable",1,IF('Reverse Search'!$E$11="Neutral to:",IF(ROUND(T887*U887,2)&lt;=1,1,0),IF(ROUND(T887*U887,2)&lt;1,1,0))))</f>
        <v>1</v>
      </c>
      <c r="W887" s="0" t="n">
        <f aca="false">IF('Reverse Search'!$N$7="Disable",1,IF('Reverse Search'!$I$9="Disable",1,IF('Reverse Search'!$K$9="≥",IF(J887&gt;='Reverse Search'!$L$9,1,0),IF('Reverse Search'!$K$9="≤",IF(J887&lt;='Reverse Search'!$L$9,1,0),IF(J887='Reverse Search'!$L$9,1,0)))))</f>
        <v>1</v>
      </c>
      <c r="X887" s="0" t="n">
        <f aca="false">IF('Reverse Search'!$N$7="Disable",1,IF('Reverse Search'!$I$10="Disable",1,IF('Reverse Search'!$K$10="≥",IF(K887&gt;='Reverse Search'!$L$10,1,0),IF('Reverse Search'!$K$10="≤",IF(K887&lt;='Reverse Search'!$L$10,1,0),IF(K887='Reverse Search'!$L$10,1,0)))))</f>
        <v>1</v>
      </c>
      <c r="Y887" s="367" t="n">
        <f aca="false">IF('Reverse Search'!$N$7="Disable",1,IF('Reverse Search'!$I$11="Disable",1,IF('Reverse Search'!$K$11="≥",IF(L887&gt;='Reverse Search'!$L$11,1,0),IF('Reverse Search'!$K$11="≤",IF(L887&lt;='Reverse Search'!$L$11,1,0),IF(L887='Reverse Search'!$L$11,1,0)))))</f>
        <v>1</v>
      </c>
      <c r="Z887" s="0" t="n">
        <f aca="true">IF('Reverse Search'!$C$14="Disable",1,IF('Reverse Search'!$D$16="Disable",1,IF($C$2=3,IF($M887=0,0,COUNTIF(INDIRECT("'0.0.2 Pokémon Learnset (Core)'!$D$"&amp;MATCH($E887,'0.0.2 Pokémon Learnset (Core)'!$A$1:$A951,0)&amp;":$FK$"&amp;MATCH($E887,'0.0.2 Pokémon Learnset (Core)'!$A$1:$A951,0)),'Reverse Search'!$E$21)),IF($C$2=2,COUNTIF(INDIRECT("'0.1.1 Pokémon GO Moves'!$B$"&amp;MATCH($E887,'0.1.1 Pokémon GO Moves'!$A$1:$A951,0)&amp;":$R$"&amp;MATCH($E887,'0.1.1 Pokémon GO Moves'!$A$1:$A951,0)),'Reverse Search'!$E$21),COUNTIF(INDIRECT("'0.1.1 Pokémon GO Moves'!$B$"&amp;MATCH($E887,'0.1.1 Pokémon GO Moves'!$A$1:$A951,0)&amp;":$L$"&amp;MATCH($E887,'0.1.1 Pokémon GO Moves'!$A$1:$A951,0)),'Reverse Search'!$E$21)))))</f>
        <v>1</v>
      </c>
      <c r="AA887" s="0" t="n">
        <f aca="true">IF('Reverse Search'!$C$14="Disable",1,IF('Reverse Search'!$I$16="Disable",1,IF($D$2=3,IF($M887=0,0,COUNTIF(INDIRECT("'0.0.2 Pokémon Learnset (Core)'!$D$"&amp;MATCH($E887,'0.0.2 Pokémon Learnset (Core)'!$A$1:$A951,0)&amp;":$FK$"&amp;MATCH($E887,'0.0.2 Pokémon Learnset (Core)'!$A$1:$A951,0)),'Reverse Search'!$J$21)),IF($D$2=2,COUNTIF(INDIRECT("'0.1.1 Pokémon GO Moves'!$B$"&amp;MATCH($E887,'0.1.1 Pokémon GO Moves'!$A$1:$A951,0)&amp;":$R$"&amp;MATCH($E887,'0.1.1 Pokémon GO Moves'!$A$1:$A951,0)),'Reverse Search'!$J$21),COUNTIF(INDIRECT("'0.1.1 Pokémon GO Moves'!$B$"&amp;MATCH($E887,'0.1.1 Pokémon GO Moves'!$A$1:$A951,0)&amp;":$L$"&amp;MATCH($E887,'0.1.1 Pokémon GO Moves'!$A$1:$A951,0)),'Reverse Search'!$J$21)))))</f>
        <v>0</v>
      </c>
      <c r="AB887" s="490"/>
      <c r="AC887" s="260" t="n">
        <f aca="false">IF((Q887+R887+S887+V887+W887+X887+Y887+IF(Z887&gt;=1,1,0)+IF(AA887&gt;=1,1,0))=9,G887&amp;", ",)</f>
        <v>0</v>
      </c>
    </row>
    <row r="888" customFormat="false" ht="15.75" hidden="false" customHeight="false" outlineLevel="0" collapsed="false">
      <c r="A888" s="260"/>
      <c r="B888" s="358"/>
      <c r="C888" s="260"/>
      <c r="D888" s="358"/>
      <c r="E888" s="260" t="n">
        <v>887</v>
      </c>
      <c r="F888" s="260" t="n">
        <f aca="false" t="array" ref="F888:F888">INDEX('0.0.1 Pokémon Dex Data'!$H$3:$H951,MATCH(E888,'0.0.1 Pokémon Dex Data'!$B$3:$B951,0))</f>
        <v>0</v>
      </c>
      <c r="G888" s="0" t="str">
        <f aca="false" t="array" ref="G888:G888">INDEX('0.0.1 Pokémon Dex Data'!$E$3:$E951,MATCH(E888,'0.0.1 Pokémon Dex Data'!$B$3:$B951,0))</f>
        <v>Oranguru</v>
      </c>
      <c r="H888" s="0" t="str">
        <f aca="false" t="array" ref="H888:H888">INDEX('0.0.1 Pokémon Dex Data'!$Q$3:$Q951,MATCH(E888,'0.0.1 Pokémon Dex Data'!$B$3:$B951,0))</f>
        <v>Normal</v>
      </c>
      <c r="I888" s="0" t="str">
        <f aca="false" t="array" ref="I888:I888">INDEX('0.0.1 Pokémon Dex Data'!$R$3:$R951,MATCH(E888,'0.0.1 Pokémon Dex Data'!$B$3:$B951,0))</f>
        <v>Psychic</v>
      </c>
      <c r="J888" s="260" t="n">
        <f aca="false" t="array" ref="J888:J888">ROUND(INDEX('0.0.1 Pokémon Dex Data'!$S$3:$S951,MATCH($E888,'0.0.1 Pokémon Dex Data'!$B$3:$B951,0))*INDEX('0.0.1 Pokémon Dex Data'!T$3:T951,MATCH($E888,'0.0.1 Pokémon Dex Data'!$B$3:$B951,0)),0)</f>
        <v>168</v>
      </c>
      <c r="K888" s="260" t="n">
        <f aca="false" t="array" ref="K888:K888">ROUND(INDEX('0.0.1 Pokémon Dex Data'!$S$3:$S951,MATCH($E888,'0.0.1 Pokémon Dex Data'!$B$3:$B951,0))*INDEX('0.0.1 Pokémon Dex Data'!U$3:U951,MATCH($E888,'0.0.1 Pokémon Dex Data'!$B$3:$B951,0)),0)</f>
        <v>192</v>
      </c>
      <c r="L888" s="260" t="n">
        <f aca="false" t="array" ref="L888:L888">ROUND(INDEX('0.0.1 Pokémon Dex Data'!$S$3:$S951,MATCH($E888,'0.0.1 Pokémon Dex Data'!$B$3:$B951,0))*INDEX('0.0.1 Pokémon Dex Data'!V$3:V951,MATCH($E888,'0.0.1 Pokémon Dex Data'!$B$3:$B951,0)),0)</f>
        <v>207</v>
      </c>
      <c r="M888" s="260" t="n">
        <f aca="false" t="array" ref="M888:M888">INDEX('0.0.1 Pokémon Dex Data'!$J$3:$J951,MATCH(E888,'0.0.1 Pokémon Dex Data'!$B$3:$B951,0))</f>
        <v>1</v>
      </c>
      <c r="O888" s="490"/>
      <c r="Q888" s="367" t="n">
        <f aca="false">IF('Reverse Search'!$F$4="All (including temporary formes)",1,IF('Reverse Search'!$F$4="Base Pokémon and permanent formes only",IF(F888&lt;=1,1,0),IF(F888=0,1,0)))</f>
        <v>1</v>
      </c>
      <c r="R888" s="0" t="n">
        <f aca="false">IF('Reverse Search'!$C$7="Disable",1,IF('Reverse Search'!$D$9="Disable",1,IF(OR('Reverse Search'!$F$9=H888,'Reverse Search'!$F$9=I888),1,0)))</f>
        <v>1</v>
      </c>
      <c r="S888" s="0" t="n">
        <f aca="false">IF('Reverse Search'!$C$7="Disable",1,IF('Reverse Search'!$D$10="Disable",1,IF(OR('Reverse Search'!$F$10=H888,'Reverse Search'!$F$10=I888),1,0)))</f>
        <v>1</v>
      </c>
      <c r="T888" s="0" t="n">
        <f aca="false">INDEX($B$4:$B$22,MATCH(H888,$A$4:$A$22,0))</f>
        <v>1</v>
      </c>
      <c r="U888" s="0" t="n">
        <f aca="false">IF(ISBLANK(I888),1,INDEX($B$4:$B$22,MATCH(I888,$A$4:$A$22,0)))</f>
        <v>1</v>
      </c>
      <c r="V888" s="367" t="n">
        <f aca="false">IF('Reverse Search'!$C$7="Disable",1,IF('Reverse Search'!$D$11="Disable",1,IF('Reverse Search'!$E$11="Neutral to:",IF(ROUND(T888*U888,2)&lt;=1,1,0),IF(ROUND(T888*U888,2)&lt;1,1,0))))</f>
        <v>1</v>
      </c>
      <c r="W888" s="0" t="n">
        <f aca="false">IF('Reverse Search'!$N$7="Disable",1,IF('Reverse Search'!$I$9="Disable",1,IF('Reverse Search'!$K$9="≥",IF(J888&gt;='Reverse Search'!$L$9,1,0),IF('Reverse Search'!$K$9="≤",IF(J888&lt;='Reverse Search'!$L$9,1,0),IF(J888='Reverse Search'!$L$9,1,0)))))</f>
        <v>1</v>
      </c>
      <c r="X888" s="0" t="n">
        <f aca="false">IF('Reverse Search'!$N$7="Disable",1,IF('Reverse Search'!$I$10="Disable",1,IF('Reverse Search'!$K$10="≥",IF(K888&gt;='Reverse Search'!$L$10,1,0),IF('Reverse Search'!$K$10="≤",IF(K888&lt;='Reverse Search'!$L$10,1,0),IF(K888='Reverse Search'!$L$10,1,0)))))</f>
        <v>1</v>
      </c>
      <c r="Y888" s="367" t="n">
        <f aca="false">IF('Reverse Search'!$N$7="Disable",1,IF('Reverse Search'!$I$11="Disable",1,IF('Reverse Search'!$K$11="≥",IF(L888&gt;='Reverse Search'!$L$11,1,0),IF('Reverse Search'!$K$11="≤",IF(L888&lt;='Reverse Search'!$L$11,1,0),IF(L888='Reverse Search'!$L$11,1,0)))))</f>
        <v>1</v>
      </c>
      <c r="Z888" s="0" t="n">
        <f aca="true">IF('Reverse Search'!$C$14="Disable",1,IF('Reverse Search'!$D$16="Disable",1,IF($C$2=3,IF($M888=0,0,COUNTIF(INDIRECT("'0.0.2 Pokémon Learnset (Core)'!$D$"&amp;MATCH($E888,'0.0.2 Pokémon Learnset (Core)'!$A$1:$A951,0)&amp;":$FK$"&amp;MATCH($E888,'0.0.2 Pokémon Learnset (Core)'!$A$1:$A951,0)),'Reverse Search'!$E$21)),IF($C$2=2,COUNTIF(INDIRECT("'0.1.1 Pokémon GO Moves'!$B$"&amp;MATCH($E888,'0.1.1 Pokémon GO Moves'!$A$1:$A951,0)&amp;":$R$"&amp;MATCH($E888,'0.1.1 Pokémon GO Moves'!$A$1:$A951,0)),'Reverse Search'!$E$21),COUNTIF(INDIRECT("'0.1.1 Pokémon GO Moves'!$B$"&amp;MATCH($E888,'0.1.1 Pokémon GO Moves'!$A$1:$A951,0)&amp;":$L$"&amp;MATCH($E888,'0.1.1 Pokémon GO Moves'!$A$1:$A951,0)),'Reverse Search'!$E$21)))))</f>
        <v>1</v>
      </c>
      <c r="AA888" s="0" t="n">
        <f aca="true">IF('Reverse Search'!$C$14="Disable",1,IF('Reverse Search'!$I$16="Disable",1,IF($D$2=3,IF($M888=0,0,COUNTIF(INDIRECT("'0.0.2 Pokémon Learnset (Core)'!$D$"&amp;MATCH($E888,'0.0.2 Pokémon Learnset (Core)'!$A$1:$A951,0)&amp;":$FK$"&amp;MATCH($E888,'0.0.2 Pokémon Learnset (Core)'!$A$1:$A951,0)),'Reverse Search'!$J$21)),IF($D$2=2,COUNTIF(INDIRECT("'0.1.1 Pokémon GO Moves'!$B$"&amp;MATCH($E888,'0.1.1 Pokémon GO Moves'!$A$1:$A951,0)&amp;":$R$"&amp;MATCH($E888,'0.1.1 Pokémon GO Moves'!$A$1:$A951,0)),'Reverse Search'!$J$21),COUNTIF(INDIRECT("'0.1.1 Pokémon GO Moves'!$B$"&amp;MATCH($E888,'0.1.1 Pokémon GO Moves'!$A$1:$A951,0)&amp;":$L$"&amp;MATCH($E888,'0.1.1 Pokémon GO Moves'!$A$1:$A951,0)),'Reverse Search'!$J$21)))))</f>
        <v>0</v>
      </c>
      <c r="AB888" s="490"/>
      <c r="AC888" s="260" t="n">
        <f aca="false">IF((Q888+R888+S888+V888+W888+X888+Y888+IF(Z888&gt;=1,1,0)+IF(AA888&gt;=1,1,0))=9,G888&amp;", ",)</f>
        <v>0</v>
      </c>
    </row>
    <row r="889" customFormat="false" ht="15.75" hidden="false" customHeight="false" outlineLevel="0" collapsed="false">
      <c r="A889" s="260"/>
      <c r="B889" s="358"/>
      <c r="C889" s="260"/>
      <c r="D889" s="358"/>
      <c r="E889" s="260" t="n">
        <v>888</v>
      </c>
      <c r="F889" s="260" t="n">
        <f aca="false" t="array" ref="F889:F889">INDEX('0.0.1 Pokémon Dex Data'!$H$3:$H951,MATCH(E889,'0.0.1 Pokémon Dex Data'!$B$3:$B951,0))</f>
        <v>0</v>
      </c>
      <c r="G889" s="0" t="str">
        <f aca="false" t="array" ref="G889:G889">INDEX('0.0.1 Pokémon Dex Data'!$E$3:$E951,MATCH(E889,'0.0.1 Pokémon Dex Data'!$B$3:$B951,0))</f>
        <v>Passimian</v>
      </c>
      <c r="H889" s="0" t="str">
        <f aca="false" t="array" ref="H889:H889">INDEX('0.0.1 Pokémon Dex Data'!$Q$3:$Q951,MATCH(E889,'0.0.1 Pokémon Dex Data'!$B$3:$B951,0))</f>
        <v>Fighting</v>
      </c>
      <c r="I889" s="0" t="n">
        <f aca="false">INDEX('0.0.1 Pokémon Dex Data'!$R$3:$R951,MATCH(E889,'0.0.1 Pokémon Dex Data'!$B$3:$B951,0))</f>
        <v>0</v>
      </c>
      <c r="J889" s="260" t="n">
        <f aca="false" t="array" ref="J889:J889">ROUND(INDEX('0.0.1 Pokémon Dex Data'!$S$3:$S951,MATCH($E889,'0.0.1 Pokémon Dex Data'!$B$3:$B951,0))*INDEX('0.0.1 Pokémon Dex Data'!T$3:T951,MATCH($E889,'0.0.1 Pokémon Dex Data'!$B$3:$B951,0)),0)</f>
        <v>222</v>
      </c>
      <c r="K889" s="260" t="n">
        <f aca="false" t="array" ref="K889:K889">ROUND(INDEX('0.0.1 Pokémon Dex Data'!$S$3:$S951,MATCH($E889,'0.0.1 Pokémon Dex Data'!$B$3:$B951,0))*INDEX('0.0.1 Pokémon Dex Data'!U$3:U951,MATCH($E889,'0.0.1 Pokémon Dex Data'!$B$3:$B951,0)),0)</f>
        <v>160</v>
      </c>
      <c r="L889" s="260" t="n">
        <f aca="false" t="array" ref="L889:L889">ROUND(INDEX('0.0.1 Pokémon Dex Data'!$S$3:$S951,MATCH($E889,'0.0.1 Pokémon Dex Data'!$B$3:$B951,0))*INDEX('0.0.1 Pokémon Dex Data'!V$3:V951,MATCH($E889,'0.0.1 Pokémon Dex Data'!$B$3:$B951,0)),0)</f>
        <v>225</v>
      </c>
      <c r="M889" s="260" t="n">
        <f aca="false" t="array" ref="M889:M889">INDEX('0.0.1 Pokémon Dex Data'!$J$3:$J951,MATCH(E889,'0.0.1 Pokémon Dex Data'!$B$3:$B951,0))</f>
        <v>1</v>
      </c>
      <c r="O889" s="490"/>
      <c r="Q889" s="367" t="n">
        <f aca="false">IF('Reverse Search'!$F$4="All (including temporary formes)",1,IF('Reverse Search'!$F$4="Base Pokémon and permanent formes only",IF(F889&lt;=1,1,0),IF(F889=0,1,0)))</f>
        <v>1</v>
      </c>
      <c r="R889" s="0" t="n">
        <f aca="false">IF('Reverse Search'!$C$7="Disable",1,IF('Reverse Search'!$D$9="Disable",1,IF(OR('Reverse Search'!$F$9=H889,'Reverse Search'!$F$9=I889),1,0)))</f>
        <v>1</v>
      </c>
      <c r="S889" s="0" t="n">
        <f aca="false">IF('Reverse Search'!$C$7="Disable",1,IF('Reverse Search'!$D$10="Disable",1,IF(OR('Reverse Search'!$F$10=H889,'Reverse Search'!$F$10=I889),1,0)))</f>
        <v>1</v>
      </c>
      <c r="T889" s="0" t="n">
        <f aca="false">INDEX($B$4:$B$22,MATCH(H889,$A$4:$A$22,0))</f>
        <v>1</v>
      </c>
      <c r="U889" s="0" t="e">
        <f aca="false">IF(ISBLANK(I889),1,INDEX($B$4:$B$22,MATCH(I889,$A$4:$A$22,0)))</f>
        <v>#N/A</v>
      </c>
      <c r="V889" s="367" t="n">
        <f aca="false">IF('Reverse Search'!$C$7="Disable",1,IF('Reverse Search'!$D$11="Disable",1,IF('Reverse Search'!$E$11="Neutral to:",IF(ROUND(T889*U889,2)&lt;=1,1,0),IF(ROUND(T889*U889,2)&lt;1,1,0))))</f>
        <v>1</v>
      </c>
      <c r="W889" s="0" t="n">
        <f aca="false">IF('Reverse Search'!$N$7="Disable",1,IF('Reverse Search'!$I$9="Disable",1,IF('Reverse Search'!$K$9="≥",IF(J889&gt;='Reverse Search'!$L$9,1,0),IF('Reverse Search'!$K$9="≤",IF(J889&lt;='Reverse Search'!$L$9,1,0),IF(J889='Reverse Search'!$L$9,1,0)))))</f>
        <v>1</v>
      </c>
      <c r="X889" s="0" t="n">
        <f aca="false">IF('Reverse Search'!$N$7="Disable",1,IF('Reverse Search'!$I$10="Disable",1,IF('Reverse Search'!$K$10="≥",IF(K889&gt;='Reverse Search'!$L$10,1,0),IF('Reverse Search'!$K$10="≤",IF(K889&lt;='Reverse Search'!$L$10,1,0),IF(K889='Reverse Search'!$L$10,1,0)))))</f>
        <v>1</v>
      </c>
      <c r="Y889" s="367" t="n">
        <f aca="false">IF('Reverse Search'!$N$7="Disable",1,IF('Reverse Search'!$I$11="Disable",1,IF('Reverse Search'!$K$11="≥",IF(L889&gt;='Reverse Search'!$L$11,1,0),IF('Reverse Search'!$K$11="≤",IF(L889&lt;='Reverse Search'!$L$11,1,0),IF(L889='Reverse Search'!$L$11,1,0)))))</f>
        <v>1</v>
      </c>
      <c r="Z889" s="0" t="n">
        <f aca="true">IF('Reverse Search'!$C$14="Disable",1,IF('Reverse Search'!$D$16="Disable",1,IF($C$2=3,IF($M889=0,0,COUNTIF(INDIRECT("'0.0.2 Pokémon Learnset (Core)'!$D$"&amp;MATCH($E889,'0.0.2 Pokémon Learnset (Core)'!$A$1:$A951,0)&amp;":$FK$"&amp;MATCH($E889,'0.0.2 Pokémon Learnset (Core)'!$A$1:$A951,0)),'Reverse Search'!$E$21)),IF($C$2=2,COUNTIF(INDIRECT("'0.1.1 Pokémon GO Moves'!$B$"&amp;MATCH($E889,'0.1.1 Pokémon GO Moves'!$A$1:$A951,0)&amp;":$R$"&amp;MATCH($E889,'0.1.1 Pokémon GO Moves'!$A$1:$A951,0)),'Reverse Search'!$E$21),COUNTIF(INDIRECT("'0.1.1 Pokémon GO Moves'!$B$"&amp;MATCH($E889,'0.1.1 Pokémon GO Moves'!$A$1:$A951,0)&amp;":$L$"&amp;MATCH($E889,'0.1.1 Pokémon GO Moves'!$A$1:$A951,0)),'Reverse Search'!$E$21)))))</f>
        <v>1</v>
      </c>
      <c r="AA889" s="0" t="n">
        <f aca="true">IF('Reverse Search'!$C$14="Disable",1,IF('Reverse Search'!$I$16="Disable",1,IF($D$2=3,IF($M889=0,0,COUNTIF(INDIRECT("'0.0.2 Pokémon Learnset (Core)'!$D$"&amp;MATCH($E889,'0.0.2 Pokémon Learnset (Core)'!$A$1:$A951,0)&amp;":$FK$"&amp;MATCH($E889,'0.0.2 Pokémon Learnset (Core)'!$A$1:$A951,0)),'Reverse Search'!$J$21)),IF($D$2=2,COUNTIF(INDIRECT("'0.1.1 Pokémon GO Moves'!$B$"&amp;MATCH($E889,'0.1.1 Pokémon GO Moves'!$A$1:$A951,0)&amp;":$R$"&amp;MATCH($E889,'0.1.1 Pokémon GO Moves'!$A$1:$A951,0)),'Reverse Search'!$J$21),COUNTIF(INDIRECT("'0.1.1 Pokémon GO Moves'!$B$"&amp;MATCH($E889,'0.1.1 Pokémon GO Moves'!$A$1:$A951,0)&amp;":$L$"&amp;MATCH($E889,'0.1.1 Pokémon GO Moves'!$A$1:$A951,0)),'Reverse Search'!$J$21)))))</f>
        <v>0</v>
      </c>
      <c r="AB889" s="490"/>
      <c r="AC889" s="260" t="n">
        <f aca="false">IF((Q889+R889+S889+V889+W889+X889+Y889+IF(Z889&gt;=1,1,0)+IF(AA889&gt;=1,1,0))=9,G889&amp;", ",)</f>
        <v>0</v>
      </c>
    </row>
    <row r="890" customFormat="false" ht="15.75" hidden="false" customHeight="false" outlineLevel="0" collapsed="false">
      <c r="A890" s="260"/>
      <c r="B890" s="358"/>
      <c r="C890" s="260"/>
      <c r="D890" s="358"/>
      <c r="E890" s="260" t="n">
        <v>889</v>
      </c>
      <c r="F890" s="260" t="n">
        <f aca="false" t="array" ref="F890:F890">INDEX('0.0.1 Pokémon Dex Data'!$H$3:$H951,MATCH(E890,'0.0.1 Pokémon Dex Data'!$B$3:$B951,0))</f>
        <v>0</v>
      </c>
      <c r="G890" s="0" t="str">
        <f aca="false" t="array" ref="G890:G890">INDEX('0.0.1 Pokémon Dex Data'!$E$3:$E951,MATCH(E890,'0.0.1 Pokémon Dex Data'!$B$3:$B951,0))</f>
        <v>Wimpod</v>
      </c>
      <c r="H890" s="0" t="str">
        <f aca="false" t="array" ref="H890:H890">INDEX('0.0.1 Pokémon Dex Data'!$Q$3:$Q951,MATCH(E890,'0.0.1 Pokémon Dex Data'!$B$3:$B951,0))</f>
        <v>Bug</v>
      </c>
      <c r="I890" s="0" t="str">
        <f aca="false" t="array" ref="I890:I890">INDEX('0.0.1 Pokémon Dex Data'!$R$3:$R951,MATCH(E890,'0.0.1 Pokémon Dex Data'!$B$3:$B951,0))</f>
        <v>Water</v>
      </c>
      <c r="J890" s="260" t="n">
        <f aca="false" t="array" ref="J890:J890">ROUND(INDEX('0.0.1 Pokémon Dex Data'!$S$3:$S951,MATCH($E890,'0.0.1 Pokémon Dex Data'!$B$3:$B951,0))*INDEX('0.0.1 Pokémon Dex Data'!T$3:T951,MATCH($E890,'0.0.1 Pokémon Dex Data'!$B$3:$B951,0)),0)</f>
        <v>67</v>
      </c>
      <c r="K890" s="260" t="n">
        <f aca="false" t="array" ref="K890:K890">ROUND(INDEX('0.0.1 Pokémon Dex Data'!$S$3:$S951,MATCH($E890,'0.0.1 Pokémon Dex Data'!$B$3:$B951,0))*INDEX('0.0.1 Pokémon Dex Data'!U$3:U951,MATCH($E890,'0.0.1 Pokémon Dex Data'!$B$3:$B951,0)),0)</f>
        <v>74</v>
      </c>
      <c r="L890" s="260" t="n">
        <f aca="false" t="array" ref="L890:L890">ROUND(INDEX('0.0.1 Pokémon Dex Data'!$S$3:$S951,MATCH($E890,'0.0.1 Pokémon Dex Data'!$B$3:$B951,0))*INDEX('0.0.1 Pokémon Dex Data'!V$3:V951,MATCH($E890,'0.0.1 Pokémon Dex Data'!$B$3:$B951,0)),0)</f>
        <v>93</v>
      </c>
      <c r="M890" s="260" t="n">
        <f aca="false" t="array" ref="M890:M890">INDEX('0.0.1 Pokémon Dex Data'!$J$3:$J951,MATCH(E890,'0.0.1 Pokémon Dex Data'!$B$3:$B951,0))</f>
        <v>0</v>
      </c>
      <c r="O890" s="490"/>
      <c r="Q890" s="367" t="n">
        <f aca="false">IF('Reverse Search'!$F$4="All (including temporary formes)",1,IF('Reverse Search'!$F$4="Base Pokémon and permanent formes only",IF(F890&lt;=1,1,0),IF(F890=0,1,0)))</f>
        <v>1</v>
      </c>
      <c r="R890" s="0" t="n">
        <f aca="false">IF('Reverse Search'!$C$7="Disable",1,IF('Reverse Search'!$D$9="Disable",1,IF(OR('Reverse Search'!$F$9=H890,'Reverse Search'!$F$9=I890),1,0)))</f>
        <v>1</v>
      </c>
      <c r="S890" s="0" t="n">
        <f aca="false">IF('Reverse Search'!$C$7="Disable",1,IF('Reverse Search'!$D$10="Disable",1,IF(OR('Reverse Search'!$F$10=H890,'Reverse Search'!$F$10=I890),1,0)))</f>
        <v>1</v>
      </c>
      <c r="T890" s="0" t="n">
        <f aca="false">INDEX($B$4:$B$22,MATCH(H890,$A$4:$A$22,0))</f>
        <v>1</v>
      </c>
      <c r="U890" s="0" t="n">
        <f aca="false">IF(ISBLANK(I890),1,INDEX($B$4:$B$22,MATCH(I890,$A$4:$A$22,0)))</f>
        <v>1</v>
      </c>
      <c r="V890" s="367" t="n">
        <f aca="false">IF('Reverse Search'!$C$7="Disable",1,IF('Reverse Search'!$D$11="Disable",1,IF('Reverse Search'!$E$11="Neutral to:",IF(ROUND(T890*U890,2)&lt;=1,1,0),IF(ROUND(T890*U890,2)&lt;1,1,0))))</f>
        <v>1</v>
      </c>
      <c r="W890" s="0" t="n">
        <f aca="false">IF('Reverse Search'!$N$7="Disable",1,IF('Reverse Search'!$I$9="Disable",1,IF('Reverse Search'!$K$9="≥",IF(J890&gt;='Reverse Search'!$L$9,1,0),IF('Reverse Search'!$K$9="≤",IF(J890&lt;='Reverse Search'!$L$9,1,0),IF(J890='Reverse Search'!$L$9,1,0)))))</f>
        <v>1</v>
      </c>
      <c r="X890" s="0" t="n">
        <f aca="false">IF('Reverse Search'!$N$7="Disable",1,IF('Reverse Search'!$I$10="Disable",1,IF('Reverse Search'!$K$10="≥",IF(K890&gt;='Reverse Search'!$L$10,1,0),IF('Reverse Search'!$K$10="≤",IF(K890&lt;='Reverse Search'!$L$10,1,0),IF(K890='Reverse Search'!$L$10,1,0)))))</f>
        <v>1</v>
      </c>
      <c r="Y890" s="367" t="n">
        <f aca="false">IF('Reverse Search'!$N$7="Disable",1,IF('Reverse Search'!$I$11="Disable",1,IF('Reverse Search'!$K$11="≥",IF(L890&gt;='Reverse Search'!$L$11,1,0),IF('Reverse Search'!$K$11="≤",IF(L890&lt;='Reverse Search'!$L$11,1,0),IF(L890='Reverse Search'!$L$11,1,0)))))</f>
        <v>1</v>
      </c>
      <c r="Z890" s="0" t="n">
        <f aca="true">IF('Reverse Search'!$C$14="Disable",1,IF('Reverse Search'!$D$16="Disable",1,IF($C$2=3,IF($M890=0,0,COUNTIF(INDIRECT("'0.0.2 Pokémon Learnset (Core)'!$D$"&amp;MATCH($E890,'0.0.2 Pokémon Learnset (Core)'!$A$1:$A951,0)&amp;":$FK$"&amp;MATCH($E890,'0.0.2 Pokémon Learnset (Core)'!$A$1:$A951,0)),'Reverse Search'!$E$21)),IF($C$2=2,COUNTIF(INDIRECT("'0.1.1 Pokémon GO Moves'!$B$"&amp;MATCH($E890,'0.1.1 Pokémon GO Moves'!$A$1:$A951,0)&amp;":$R$"&amp;MATCH($E890,'0.1.1 Pokémon GO Moves'!$A$1:$A951,0)),'Reverse Search'!$E$21),COUNTIF(INDIRECT("'0.1.1 Pokémon GO Moves'!$B$"&amp;MATCH($E890,'0.1.1 Pokémon GO Moves'!$A$1:$A951,0)&amp;":$L$"&amp;MATCH($E890,'0.1.1 Pokémon GO Moves'!$A$1:$A951,0)),'Reverse Search'!$E$21)))))</f>
        <v>1</v>
      </c>
      <c r="AA890" s="0" t="n">
        <f aca="true">IF('Reverse Search'!$C$14="Disable",1,IF('Reverse Search'!$I$16="Disable",1,IF($D$2=3,IF($M890=0,0,COUNTIF(INDIRECT("'0.0.2 Pokémon Learnset (Core)'!$D$"&amp;MATCH($E890,'0.0.2 Pokémon Learnset (Core)'!$A$1:$A951,0)&amp;":$FK$"&amp;MATCH($E890,'0.0.2 Pokémon Learnset (Core)'!$A$1:$A951,0)),'Reverse Search'!$J$21)),IF($D$2=2,COUNTIF(INDIRECT("'0.1.1 Pokémon GO Moves'!$B$"&amp;MATCH($E890,'0.1.1 Pokémon GO Moves'!$A$1:$A951,0)&amp;":$R$"&amp;MATCH($E890,'0.1.1 Pokémon GO Moves'!$A$1:$A951,0)),'Reverse Search'!$J$21),COUNTIF(INDIRECT("'0.1.1 Pokémon GO Moves'!$B$"&amp;MATCH($E890,'0.1.1 Pokémon GO Moves'!$A$1:$A951,0)&amp;":$L$"&amp;MATCH($E890,'0.1.1 Pokémon GO Moves'!$A$1:$A951,0)),'Reverse Search'!$J$21)))))</f>
        <v>0</v>
      </c>
      <c r="AB890" s="490"/>
      <c r="AC890" s="260" t="n">
        <f aca="false">IF((Q890+R890+S890+V890+W890+X890+Y890+IF(Z890&gt;=1,1,0)+IF(AA890&gt;=1,1,0))=9,G890&amp;", ",)</f>
        <v>0</v>
      </c>
    </row>
    <row r="891" customFormat="false" ht="15.75" hidden="false" customHeight="false" outlineLevel="0" collapsed="false">
      <c r="A891" s="260"/>
      <c r="B891" s="358"/>
      <c r="C891" s="260"/>
      <c r="D891" s="358"/>
      <c r="E891" s="260" t="n">
        <v>890</v>
      </c>
      <c r="F891" s="260" t="n">
        <f aca="false" t="array" ref="F891:F891">INDEX('0.0.1 Pokémon Dex Data'!$H$3:$H951,MATCH(E891,'0.0.1 Pokémon Dex Data'!$B$3:$B951,0))</f>
        <v>0</v>
      </c>
      <c r="G891" s="0" t="str">
        <f aca="false" t="array" ref="G891:G891">INDEX('0.0.1 Pokémon Dex Data'!$E$3:$E951,MATCH(E891,'0.0.1 Pokémon Dex Data'!$B$3:$B951,0))</f>
        <v>Golisopod</v>
      </c>
      <c r="H891" s="0" t="str">
        <f aca="false" t="array" ref="H891:H891">INDEX('0.0.1 Pokémon Dex Data'!$Q$3:$Q951,MATCH(E891,'0.0.1 Pokémon Dex Data'!$B$3:$B951,0))</f>
        <v>Bug</v>
      </c>
      <c r="I891" s="0" t="str">
        <f aca="false" t="array" ref="I891:I891">INDEX('0.0.1 Pokémon Dex Data'!$R$3:$R951,MATCH(E891,'0.0.1 Pokémon Dex Data'!$B$3:$B951,0))</f>
        <v>Water</v>
      </c>
      <c r="J891" s="260" t="n">
        <f aca="false" t="array" ref="J891:J891">ROUND(INDEX('0.0.1 Pokémon Dex Data'!$S$3:$S951,MATCH($E891,'0.0.1 Pokémon Dex Data'!$B$3:$B951,0))*INDEX('0.0.1 Pokémon Dex Data'!T$3:T951,MATCH($E891,'0.0.1 Pokémon Dex Data'!$B$3:$B951,0)),0)</f>
        <v>218</v>
      </c>
      <c r="K891" s="260" t="n">
        <f aca="false" t="array" ref="K891:K891">ROUND(INDEX('0.0.1 Pokémon Dex Data'!$S$3:$S951,MATCH($E891,'0.0.1 Pokémon Dex Data'!$B$3:$B951,0))*INDEX('0.0.1 Pokémon Dex Data'!U$3:U951,MATCH($E891,'0.0.1 Pokémon Dex Data'!$B$3:$B951,0)),0)</f>
        <v>226</v>
      </c>
      <c r="L891" s="260" t="n">
        <f aca="false" t="array" ref="L891:L891">ROUND(INDEX('0.0.1 Pokémon Dex Data'!$S$3:$S951,MATCH($E891,'0.0.1 Pokémon Dex Data'!$B$3:$B951,0))*INDEX('0.0.1 Pokémon Dex Data'!V$3:V951,MATCH($E891,'0.0.1 Pokémon Dex Data'!$B$3:$B951,0)),0)</f>
        <v>181</v>
      </c>
      <c r="M891" s="260" t="n">
        <f aca="false" t="array" ref="M891:M891">INDEX('0.0.1 Pokémon Dex Data'!$J$3:$J951,MATCH(E891,'0.0.1 Pokémon Dex Data'!$B$3:$B951,0))</f>
        <v>1</v>
      </c>
      <c r="O891" s="490"/>
      <c r="Q891" s="367" t="n">
        <f aca="false">IF('Reverse Search'!$F$4="All (including temporary formes)",1,IF('Reverse Search'!$F$4="Base Pokémon and permanent formes only",IF(F891&lt;=1,1,0),IF(F891=0,1,0)))</f>
        <v>1</v>
      </c>
      <c r="R891" s="0" t="n">
        <f aca="false">IF('Reverse Search'!$C$7="Disable",1,IF('Reverse Search'!$D$9="Disable",1,IF(OR('Reverse Search'!$F$9=H891,'Reverse Search'!$F$9=I891),1,0)))</f>
        <v>1</v>
      </c>
      <c r="S891" s="0" t="n">
        <f aca="false">IF('Reverse Search'!$C$7="Disable",1,IF('Reverse Search'!$D$10="Disable",1,IF(OR('Reverse Search'!$F$10=H891,'Reverse Search'!$F$10=I891),1,0)))</f>
        <v>1</v>
      </c>
      <c r="T891" s="0" t="n">
        <f aca="false">INDEX($B$4:$B$22,MATCH(H891,$A$4:$A$22,0))</f>
        <v>1</v>
      </c>
      <c r="U891" s="0" t="n">
        <f aca="false">IF(ISBLANK(I891),1,INDEX($B$4:$B$22,MATCH(I891,$A$4:$A$22,0)))</f>
        <v>1</v>
      </c>
      <c r="V891" s="367" t="n">
        <f aca="false">IF('Reverse Search'!$C$7="Disable",1,IF('Reverse Search'!$D$11="Disable",1,IF('Reverse Search'!$E$11="Neutral to:",IF(ROUND(T891*U891,2)&lt;=1,1,0),IF(ROUND(T891*U891,2)&lt;1,1,0))))</f>
        <v>1</v>
      </c>
      <c r="W891" s="0" t="n">
        <f aca="false">IF('Reverse Search'!$N$7="Disable",1,IF('Reverse Search'!$I$9="Disable",1,IF('Reverse Search'!$K$9="≥",IF(J891&gt;='Reverse Search'!$L$9,1,0),IF('Reverse Search'!$K$9="≤",IF(J891&lt;='Reverse Search'!$L$9,1,0),IF(J891='Reverse Search'!$L$9,1,0)))))</f>
        <v>1</v>
      </c>
      <c r="X891" s="0" t="n">
        <f aca="false">IF('Reverse Search'!$N$7="Disable",1,IF('Reverse Search'!$I$10="Disable",1,IF('Reverse Search'!$K$10="≥",IF(K891&gt;='Reverse Search'!$L$10,1,0),IF('Reverse Search'!$K$10="≤",IF(K891&lt;='Reverse Search'!$L$10,1,0),IF(K891='Reverse Search'!$L$10,1,0)))))</f>
        <v>1</v>
      </c>
      <c r="Y891" s="367" t="n">
        <f aca="false">IF('Reverse Search'!$N$7="Disable",1,IF('Reverse Search'!$I$11="Disable",1,IF('Reverse Search'!$K$11="≥",IF(L891&gt;='Reverse Search'!$L$11,1,0),IF('Reverse Search'!$K$11="≤",IF(L891&lt;='Reverse Search'!$L$11,1,0),IF(L891='Reverse Search'!$L$11,1,0)))))</f>
        <v>1</v>
      </c>
      <c r="Z891" s="0" t="n">
        <f aca="true">IF('Reverse Search'!$C$14="Disable",1,IF('Reverse Search'!$D$16="Disable",1,IF($C$2=3,IF($M891=0,0,COUNTIF(INDIRECT("'0.0.2 Pokémon Learnset (Core)'!$D$"&amp;MATCH($E891,'0.0.2 Pokémon Learnset (Core)'!$A$1:$A951,0)&amp;":$FK$"&amp;MATCH($E891,'0.0.2 Pokémon Learnset (Core)'!$A$1:$A951,0)),'Reverse Search'!$E$21)),IF($C$2=2,COUNTIF(INDIRECT("'0.1.1 Pokémon GO Moves'!$B$"&amp;MATCH($E891,'0.1.1 Pokémon GO Moves'!$A$1:$A951,0)&amp;":$R$"&amp;MATCH($E891,'0.1.1 Pokémon GO Moves'!$A$1:$A951,0)),'Reverse Search'!$E$21),COUNTIF(INDIRECT("'0.1.1 Pokémon GO Moves'!$B$"&amp;MATCH($E891,'0.1.1 Pokémon GO Moves'!$A$1:$A951,0)&amp;":$L$"&amp;MATCH($E891,'0.1.1 Pokémon GO Moves'!$A$1:$A951,0)),'Reverse Search'!$E$21)))))</f>
        <v>1</v>
      </c>
      <c r="AA891" s="0" t="n">
        <f aca="true">IF('Reverse Search'!$C$14="Disable",1,IF('Reverse Search'!$I$16="Disable",1,IF($D$2=3,IF($M891=0,0,COUNTIF(INDIRECT("'0.0.2 Pokémon Learnset (Core)'!$D$"&amp;MATCH($E891,'0.0.2 Pokémon Learnset (Core)'!$A$1:$A951,0)&amp;":$FK$"&amp;MATCH($E891,'0.0.2 Pokémon Learnset (Core)'!$A$1:$A951,0)),'Reverse Search'!$J$21)),IF($D$2=2,COUNTIF(INDIRECT("'0.1.1 Pokémon GO Moves'!$B$"&amp;MATCH($E891,'0.1.1 Pokémon GO Moves'!$A$1:$A951,0)&amp;":$R$"&amp;MATCH($E891,'0.1.1 Pokémon GO Moves'!$A$1:$A951,0)),'Reverse Search'!$J$21),COUNTIF(INDIRECT("'0.1.1 Pokémon GO Moves'!$B$"&amp;MATCH($E891,'0.1.1 Pokémon GO Moves'!$A$1:$A951,0)&amp;":$L$"&amp;MATCH($E891,'0.1.1 Pokémon GO Moves'!$A$1:$A951,0)),'Reverse Search'!$J$21)))))</f>
        <v>0</v>
      </c>
      <c r="AB891" s="490"/>
      <c r="AC891" s="260" t="n">
        <f aca="false">IF((Q891+R891+S891+V891+W891+X891+Y891+IF(Z891&gt;=1,1,0)+IF(AA891&gt;=1,1,0))=9,G891&amp;", ",)</f>
        <v>0</v>
      </c>
    </row>
    <row r="892" customFormat="false" ht="15.75" hidden="false" customHeight="false" outlineLevel="0" collapsed="false">
      <c r="A892" s="260"/>
      <c r="B892" s="358"/>
      <c r="C892" s="260"/>
      <c r="D892" s="358"/>
      <c r="E892" s="260" t="n">
        <v>891</v>
      </c>
      <c r="F892" s="260" t="n">
        <f aca="false" t="array" ref="F892:F892">INDEX('0.0.1 Pokémon Dex Data'!$H$3:$H951,MATCH(E892,'0.0.1 Pokémon Dex Data'!$B$3:$B951,0))</f>
        <v>0</v>
      </c>
      <c r="G892" s="0" t="str">
        <f aca="false" t="array" ref="G892:G892">INDEX('0.0.1 Pokémon Dex Data'!$E$3:$E951,MATCH(E892,'0.0.1 Pokémon Dex Data'!$B$3:$B951,0))</f>
        <v>Sandygast</v>
      </c>
      <c r="H892" s="0" t="str">
        <f aca="false" t="array" ref="H892:H892">INDEX('0.0.1 Pokémon Dex Data'!$Q$3:$Q951,MATCH(E892,'0.0.1 Pokémon Dex Data'!$B$3:$B951,0))</f>
        <v>Ghost</v>
      </c>
      <c r="I892" s="0" t="str">
        <f aca="false" t="array" ref="I892:I892">INDEX('0.0.1 Pokémon Dex Data'!$R$3:$R951,MATCH(E892,'0.0.1 Pokémon Dex Data'!$B$3:$B951,0))</f>
        <v>Ground</v>
      </c>
      <c r="J892" s="260" t="n">
        <f aca="false" t="array" ref="J892:J892">ROUND(INDEX('0.0.1 Pokémon Dex Data'!$S$3:$S951,MATCH($E892,'0.0.1 Pokémon Dex Data'!$B$3:$B951,0))*INDEX('0.0.1 Pokémon Dex Data'!T$3:T951,MATCH($E892,'0.0.1 Pokémon Dex Data'!$B$3:$B951,0)),0)</f>
        <v>120</v>
      </c>
      <c r="K892" s="260" t="n">
        <f aca="false" t="array" ref="K892:K892">ROUND(INDEX('0.0.1 Pokémon Dex Data'!$S$3:$S951,MATCH($E892,'0.0.1 Pokémon Dex Data'!$B$3:$B951,0))*INDEX('0.0.1 Pokémon Dex Data'!U$3:U951,MATCH($E892,'0.0.1 Pokémon Dex Data'!$B$3:$B951,0)),0)</f>
        <v>118</v>
      </c>
      <c r="L892" s="260" t="n">
        <f aca="false" t="array" ref="L892:L892">ROUND(INDEX('0.0.1 Pokémon Dex Data'!$S$3:$S951,MATCH($E892,'0.0.1 Pokémon Dex Data'!$B$3:$B951,0))*INDEX('0.0.1 Pokémon Dex Data'!V$3:V951,MATCH($E892,'0.0.1 Pokémon Dex Data'!$B$3:$B951,0)),0)</f>
        <v>146</v>
      </c>
      <c r="M892" s="260" t="n">
        <f aca="false" t="array" ref="M892:M892">INDEX('0.0.1 Pokémon Dex Data'!$J$3:$J951,MATCH(E892,'0.0.1 Pokémon Dex Data'!$B$3:$B951,0))</f>
        <v>0</v>
      </c>
      <c r="O892" s="490"/>
      <c r="Q892" s="367" t="n">
        <f aca="false">IF('Reverse Search'!$F$4="All (including temporary formes)",1,IF('Reverse Search'!$F$4="Base Pokémon and permanent formes only",IF(F892&lt;=1,1,0),IF(F892=0,1,0)))</f>
        <v>1</v>
      </c>
      <c r="R892" s="0" t="n">
        <f aca="false">IF('Reverse Search'!$C$7="Disable",1,IF('Reverse Search'!$D$9="Disable",1,IF(OR('Reverse Search'!$F$9=H892,'Reverse Search'!$F$9=I892),1,0)))</f>
        <v>1</v>
      </c>
      <c r="S892" s="0" t="n">
        <f aca="false">IF('Reverse Search'!$C$7="Disable",1,IF('Reverse Search'!$D$10="Disable",1,IF(OR('Reverse Search'!$F$10=H892,'Reverse Search'!$F$10=I892),1,0)))</f>
        <v>1</v>
      </c>
      <c r="T892" s="0" t="n">
        <f aca="false">INDEX($B$4:$B$22,MATCH(H892,$A$4:$A$22,0))</f>
        <v>0.51</v>
      </c>
      <c r="U892" s="0" t="n">
        <f aca="false">IF(ISBLANK(I892),1,INDEX($B$4:$B$22,MATCH(I892,$A$4:$A$22,0)))</f>
        <v>1</v>
      </c>
      <c r="V892" s="367" t="n">
        <f aca="false">IF('Reverse Search'!$C$7="Disable",1,IF('Reverse Search'!$D$11="Disable",1,IF('Reverse Search'!$E$11="Neutral to:",IF(ROUND(T892*U892,2)&lt;=1,1,0),IF(ROUND(T892*U892,2)&lt;1,1,0))))</f>
        <v>1</v>
      </c>
      <c r="W892" s="0" t="n">
        <f aca="false">IF('Reverse Search'!$N$7="Disable",1,IF('Reverse Search'!$I$9="Disable",1,IF('Reverse Search'!$K$9="≥",IF(J892&gt;='Reverse Search'!$L$9,1,0),IF('Reverse Search'!$K$9="≤",IF(J892&lt;='Reverse Search'!$L$9,1,0),IF(J892='Reverse Search'!$L$9,1,0)))))</f>
        <v>1</v>
      </c>
      <c r="X892" s="0" t="n">
        <f aca="false">IF('Reverse Search'!$N$7="Disable",1,IF('Reverse Search'!$I$10="Disable",1,IF('Reverse Search'!$K$10="≥",IF(K892&gt;='Reverse Search'!$L$10,1,0),IF('Reverse Search'!$K$10="≤",IF(K892&lt;='Reverse Search'!$L$10,1,0),IF(K892='Reverse Search'!$L$10,1,0)))))</f>
        <v>1</v>
      </c>
      <c r="Y892" s="367" t="n">
        <f aca="false">IF('Reverse Search'!$N$7="Disable",1,IF('Reverse Search'!$I$11="Disable",1,IF('Reverse Search'!$K$11="≥",IF(L892&gt;='Reverse Search'!$L$11,1,0),IF('Reverse Search'!$K$11="≤",IF(L892&lt;='Reverse Search'!$L$11,1,0),IF(L892='Reverse Search'!$L$11,1,0)))))</f>
        <v>1</v>
      </c>
      <c r="Z892" s="0" t="n">
        <f aca="true">IF('Reverse Search'!$C$14="Disable",1,IF('Reverse Search'!$D$16="Disable",1,IF($C$2=3,IF($M892=0,0,COUNTIF(INDIRECT("'0.0.2 Pokémon Learnset (Core)'!$D$"&amp;MATCH($E892,'0.0.2 Pokémon Learnset (Core)'!$A$1:$A951,0)&amp;":$FK$"&amp;MATCH($E892,'0.0.2 Pokémon Learnset (Core)'!$A$1:$A951,0)),'Reverse Search'!$E$21)),IF($C$2=2,COUNTIF(INDIRECT("'0.1.1 Pokémon GO Moves'!$B$"&amp;MATCH($E892,'0.1.1 Pokémon GO Moves'!$A$1:$A951,0)&amp;":$R$"&amp;MATCH($E892,'0.1.1 Pokémon GO Moves'!$A$1:$A951,0)),'Reverse Search'!$E$21),COUNTIF(INDIRECT("'0.1.1 Pokémon GO Moves'!$B$"&amp;MATCH($E892,'0.1.1 Pokémon GO Moves'!$A$1:$A951,0)&amp;":$L$"&amp;MATCH($E892,'0.1.1 Pokémon GO Moves'!$A$1:$A951,0)),'Reverse Search'!$E$21)))))</f>
        <v>1</v>
      </c>
      <c r="AA892" s="0" t="n">
        <f aca="true">IF('Reverse Search'!$C$14="Disable",1,IF('Reverse Search'!$I$16="Disable",1,IF($D$2=3,IF($M892=0,0,COUNTIF(INDIRECT("'0.0.2 Pokémon Learnset (Core)'!$D$"&amp;MATCH($E892,'0.0.2 Pokémon Learnset (Core)'!$A$1:$A951,0)&amp;":$FK$"&amp;MATCH($E892,'0.0.2 Pokémon Learnset (Core)'!$A$1:$A951,0)),'Reverse Search'!$J$21)),IF($D$2=2,COUNTIF(INDIRECT("'0.1.1 Pokémon GO Moves'!$B$"&amp;MATCH($E892,'0.1.1 Pokémon GO Moves'!$A$1:$A951,0)&amp;":$R$"&amp;MATCH($E892,'0.1.1 Pokémon GO Moves'!$A$1:$A951,0)),'Reverse Search'!$J$21),COUNTIF(INDIRECT("'0.1.1 Pokémon GO Moves'!$B$"&amp;MATCH($E892,'0.1.1 Pokémon GO Moves'!$A$1:$A951,0)&amp;":$L$"&amp;MATCH($E892,'0.1.1 Pokémon GO Moves'!$A$1:$A951,0)),'Reverse Search'!$J$21)))))</f>
        <v>0</v>
      </c>
      <c r="AB892" s="490"/>
      <c r="AC892" s="260" t="n">
        <f aca="false">IF((Q892+R892+S892+V892+W892+X892+Y892+IF(Z892&gt;=1,1,0)+IF(AA892&gt;=1,1,0))=9,G892&amp;", ",)</f>
        <v>0</v>
      </c>
    </row>
    <row r="893" customFormat="false" ht="15.75" hidden="false" customHeight="false" outlineLevel="0" collapsed="false">
      <c r="A893" s="260"/>
      <c r="B893" s="358"/>
      <c r="C893" s="260"/>
      <c r="D893" s="358"/>
      <c r="E893" s="260" t="n">
        <v>892</v>
      </c>
      <c r="F893" s="260" t="n">
        <f aca="false" t="array" ref="F893:F893">INDEX('0.0.1 Pokémon Dex Data'!$H$3:$H951,MATCH(E893,'0.0.1 Pokémon Dex Data'!$B$3:$B951,0))</f>
        <v>0</v>
      </c>
      <c r="G893" s="0" t="str">
        <f aca="false" t="array" ref="G893:G893">INDEX('0.0.1 Pokémon Dex Data'!$E$3:$E951,MATCH(E893,'0.0.1 Pokémon Dex Data'!$B$3:$B951,0))</f>
        <v>Palossand</v>
      </c>
      <c r="H893" s="0" t="str">
        <f aca="false" t="array" ref="H893:H893">INDEX('0.0.1 Pokémon Dex Data'!$Q$3:$Q951,MATCH(E893,'0.0.1 Pokémon Dex Data'!$B$3:$B951,0))</f>
        <v>Ghost</v>
      </c>
      <c r="I893" s="0" t="str">
        <f aca="false" t="array" ref="I893:I893">INDEX('0.0.1 Pokémon Dex Data'!$R$3:$R951,MATCH(E893,'0.0.1 Pokémon Dex Data'!$B$3:$B951,0))</f>
        <v>Ground</v>
      </c>
      <c r="J893" s="260" t="n">
        <f aca="false" t="array" ref="J893:J893">ROUND(INDEX('0.0.1 Pokémon Dex Data'!$S$3:$S951,MATCH($E893,'0.0.1 Pokémon Dex Data'!$B$3:$B951,0))*INDEX('0.0.1 Pokémon Dex Data'!T$3:T951,MATCH($E893,'0.0.1 Pokémon Dex Data'!$B$3:$B951,0)),0)</f>
        <v>178</v>
      </c>
      <c r="K893" s="260" t="n">
        <f aca="false" t="array" ref="K893:K893">ROUND(INDEX('0.0.1 Pokémon Dex Data'!$S$3:$S951,MATCH($E893,'0.0.1 Pokémon Dex Data'!$B$3:$B951,0))*INDEX('0.0.1 Pokémon Dex Data'!U$3:U951,MATCH($E893,'0.0.1 Pokémon Dex Data'!$B$3:$B951,0)),0)</f>
        <v>178</v>
      </c>
      <c r="L893" s="260" t="n">
        <f aca="false" t="array" ref="L893:L893">ROUND(INDEX('0.0.1 Pokémon Dex Data'!$S$3:$S951,MATCH($E893,'0.0.1 Pokémon Dex Data'!$B$3:$B951,0))*INDEX('0.0.1 Pokémon Dex Data'!V$3:V951,MATCH($E893,'0.0.1 Pokémon Dex Data'!$B$3:$B951,0)),0)</f>
        <v>198</v>
      </c>
      <c r="M893" s="260" t="n">
        <f aca="false" t="array" ref="M893:M893">INDEX('0.0.1 Pokémon Dex Data'!$J$3:$J951,MATCH(E893,'0.0.1 Pokémon Dex Data'!$B$3:$B951,0))</f>
        <v>1</v>
      </c>
      <c r="O893" s="490"/>
      <c r="Q893" s="367" t="n">
        <f aca="false">IF('Reverse Search'!$F$4="All (including temporary formes)",1,IF('Reverse Search'!$F$4="Base Pokémon and permanent formes only",IF(F893&lt;=1,1,0),IF(F893=0,1,0)))</f>
        <v>1</v>
      </c>
      <c r="R893" s="0" t="n">
        <f aca="false">IF('Reverse Search'!$C$7="Disable",1,IF('Reverse Search'!$D$9="Disable",1,IF(OR('Reverse Search'!$F$9=H893,'Reverse Search'!$F$9=I893),1,0)))</f>
        <v>1</v>
      </c>
      <c r="S893" s="0" t="n">
        <f aca="false">IF('Reverse Search'!$C$7="Disable",1,IF('Reverse Search'!$D$10="Disable",1,IF(OR('Reverse Search'!$F$10=H893,'Reverse Search'!$F$10=I893),1,0)))</f>
        <v>1</v>
      </c>
      <c r="T893" s="0" t="n">
        <f aca="false">INDEX($B$4:$B$22,MATCH(H893,$A$4:$A$22,0))</f>
        <v>0.51</v>
      </c>
      <c r="U893" s="0" t="n">
        <f aca="false">IF(ISBLANK(I893),1,INDEX($B$4:$B$22,MATCH(I893,$A$4:$A$22,0)))</f>
        <v>1</v>
      </c>
      <c r="V893" s="367" t="n">
        <f aca="false">IF('Reverse Search'!$C$7="Disable",1,IF('Reverse Search'!$D$11="Disable",1,IF('Reverse Search'!$E$11="Neutral to:",IF(ROUND(T893*U893,2)&lt;=1,1,0),IF(ROUND(T893*U893,2)&lt;1,1,0))))</f>
        <v>1</v>
      </c>
      <c r="W893" s="0" t="n">
        <f aca="false">IF('Reverse Search'!$N$7="Disable",1,IF('Reverse Search'!$I$9="Disable",1,IF('Reverse Search'!$K$9="≥",IF(J893&gt;='Reverse Search'!$L$9,1,0),IF('Reverse Search'!$K$9="≤",IF(J893&lt;='Reverse Search'!$L$9,1,0),IF(J893='Reverse Search'!$L$9,1,0)))))</f>
        <v>1</v>
      </c>
      <c r="X893" s="0" t="n">
        <f aca="false">IF('Reverse Search'!$N$7="Disable",1,IF('Reverse Search'!$I$10="Disable",1,IF('Reverse Search'!$K$10="≥",IF(K893&gt;='Reverse Search'!$L$10,1,0),IF('Reverse Search'!$K$10="≤",IF(K893&lt;='Reverse Search'!$L$10,1,0),IF(K893='Reverse Search'!$L$10,1,0)))))</f>
        <v>1</v>
      </c>
      <c r="Y893" s="367" t="n">
        <f aca="false">IF('Reverse Search'!$N$7="Disable",1,IF('Reverse Search'!$I$11="Disable",1,IF('Reverse Search'!$K$11="≥",IF(L893&gt;='Reverse Search'!$L$11,1,0),IF('Reverse Search'!$K$11="≤",IF(L893&lt;='Reverse Search'!$L$11,1,0),IF(L893='Reverse Search'!$L$11,1,0)))))</f>
        <v>1</v>
      </c>
      <c r="Z893" s="0" t="n">
        <f aca="true">IF('Reverse Search'!$C$14="Disable",1,IF('Reverse Search'!$D$16="Disable",1,IF($C$2=3,IF($M893=0,0,COUNTIF(INDIRECT("'0.0.2 Pokémon Learnset (Core)'!$D$"&amp;MATCH($E893,'0.0.2 Pokémon Learnset (Core)'!$A$1:$A951,0)&amp;":$FK$"&amp;MATCH($E893,'0.0.2 Pokémon Learnset (Core)'!$A$1:$A951,0)),'Reverse Search'!$E$21)),IF($C$2=2,COUNTIF(INDIRECT("'0.1.1 Pokémon GO Moves'!$B$"&amp;MATCH($E893,'0.1.1 Pokémon GO Moves'!$A$1:$A951,0)&amp;":$R$"&amp;MATCH($E893,'0.1.1 Pokémon GO Moves'!$A$1:$A951,0)),'Reverse Search'!$E$21),COUNTIF(INDIRECT("'0.1.1 Pokémon GO Moves'!$B$"&amp;MATCH($E893,'0.1.1 Pokémon GO Moves'!$A$1:$A951,0)&amp;":$L$"&amp;MATCH($E893,'0.1.1 Pokémon GO Moves'!$A$1:$A951,0)),'Reverse Search'!$E$21)))))</f>
        <v>1</v>
      </c>
      <c r="AA893" s="0" t="n">
        <f aca="true">IF('Reverse Search'!$C$14="Disable",1,IF('Reverse Search'!$I$16="Disable",1,IF($D$2=3,IF($M893=0,0,COUNTIF(INDIRECT("'0.0.2 Pokémon Learnset (Core)'!$D$"&amp;MATCH($E893,'0.0.2 Pokémon Learnset (Core)'!$A$1:$A951,0)&amp;":$FK$"&amp;MATCH($E893,'0.0.2 Pokémon Learnset (Core)'!$A$1:$A951,0)),'Reverse Search'!$J$21)),IF($D$2=2,COUNTIF(INDIRECT("'0.1.1 Pokémon GO Moves'!$B$"&amp;MATCH($E893,'0.1.1 Pokémon GO Moves'!$A$1:$A951,0)&amp;":$R$"&amp;MATCH($E893,'0.1.1 Pokémon GO Moves'!$A$1:$A951,0)),'Reverse Search'!$J$21),COUNTIF(INDIRECT("'0.1.1 Pokémon GO Moves'!$B$"&amp;MATCH($E893,'0.1.1 Pokémon GO Moves'!$A$1:$A951,0)&amp;":$L$"&amp;MATCH($E893,'0.1.1 Pokémon GO Moves'!$A$1:$A951,0)),'Reverse Search'!$J$21)))))</f>
        <v>0</v>
      </c>
      <c r="AB893" s="490"/>
      <c r="AC893" s="260" t="n">
        <f aca="false">IF((Q893+R893+S893+V893+W893+X893+Y893+IF(Z893&gt;=1,1,0)+IF(AA893&gt;=1,1,0))=9,G893&amp;", ",)</f>
        <v>0</v>
      </c>
    </row>
    <row r="894" customFormat="false" ht="15.75" hidden="false" customHeight="false" outlineLevel="0" collapsed="false">
      <c r="A894" s="260"/>
      <c r="B894" s="358"/>
      <c r="C894" s="260"/>
      <c r="D894" s="358"/>
      <c r="E894" s="260" t="n">
        <v>893</v>
      </c>
      <c r="F894" s="260" t="n">
        <f aca="false" t="array" ref="F894:F894">INDEX('0.0.1 Pokémon Dex Data'!$H$3:$H951,MATCH(E894,'0.0.1 Pokémon Dex Data'!$B$3:$B951,0))</f>
        <v>0</v>
      </c>
      <c r="G894" s="0" t="str">
        <f aca="false" t="array" ref="G894:G894">INDEX('0.0.1 Pokémon Dex Data'!$E$3:$E951,MATCH(E894,'0.0.1 Pokémon Dex Data'!$B$3:$B951,0))</f>
        <v>Pyukumuku</v>
      </c>
      <c r="H894" s="0" t="str">
        <f aca="false" t="array" ref="H894:H894">INDEX('0.0.1 Pokémon Dex Data'!$Q$3:$Q951,MATCH(E894,'0.0.1 Pokémon Dex Data'!$B$3:$B951,0))</f>
        <v>Water</v>
      </c>
      <c r="I894" s="0" t="n">
        <f aca="false">INDEX('0.0.1 Pokémon Dex Data'!$R$3:$R951,MATCH(E894,'0.0.1 Pokémon Dex Data'!$B$3:$B951,0))</f>
        <v>0</v>
      </c>
      <c r="J894" s="260" t="n">
        <f aca="false" t="array" ref="J894:J894">ROUND(INDEX('0.0.1 Pokémon Dex Data'!$S$3:$S951,MATCH($E894,'0.0.1 Pokémon Dex Data'!$B$3:$B951,0))*INDEX('0.0.1 Pokémon Dex Data'!T$3:T951,MATCH($E894,'0.0.1 Pokémon Dex Data'!$B$3:$B951,0)),0)</f>
        <v>97</v>
      </c>
      <c r="K894" s="260" t="n">
        <f aca="false" t="array" ref="K894:K894">ROUND(INDEX('0.0.1 Pokémon Dex Data'!$S$3:$S951,MATCH($E894,'0.0.1 Pokémon Dex Data'!$B$3:$B951,0))*INDEX('0.0.1 Pokémon Dex Data'!U$3:U951,MATCH($E894,'0.0.1 Pokémon Dex Data'!$B$3:$B951,0)),0)</f>
        <v>224</v>
      </c>
      <c r="L894" s="260" t="n">
        <f aca="false" t="array" ref="L894:L894">ROUND(INDEX('0.0.1 Pokémon Dex Data'!$S$3:$S951,MATCH($E894,'0.0.1 Pokémon Dex Data'!$B$3:$B951,0))*INDEX('0.0.1 Pokémon Dex Data'!V$3:V951,MATCH($E894,'0.0.1 Pokémon Dex Data'!$B$3:$B951,0)),0)</f>
        <v>146</v>
      </c>
      <c r="M894" s="260" t="n">
        <f aca="false" t="array" ref="M894:M894">INDEX('0.0.1 Pokémon Dex Data'!$J$3:$J951,MATCH(E894,'0.0.1 Pokémon Dex Data'!$B$3:$B951,0))</f>
        <v>1</v>
      </c>
      <c r="O894" s="490"/>
      <c r="Q894" s="367" t="n">
        <f aca="false">IF('Reverse Search'!$F$4="All (including temporary formes)",1,IF('Reverse Search'!$F$4="Base Pokémon and permanent formes only",IF(F894&lt;=1,1,0),IF(F894=0,1,0)))</f>
        <v>1</v>
      </c>
      <c r="R894" s="0" t="n">
        <f aca="false">IF('Reverse Search'!$C$7="Disable",1,IF('Reverse Search'!$D$9="Disable",1,IF(OR('Reverse Search'!$F$9=H894,'Reverse Search'!$F$9=I894),1,0)))</f>
        <v>1</v>
      </c>
      <c r="S894" s="0" t="n">
        <f aca="false">IF('Reverse Search'!$C$7="Disable",1,IF('Reverse Search'!$D$10="Disable",1,IF(OR('Reverse Search'!$F$10=H894,'Reverse Search'!$F$10=I894),1,0)))</f>
        <v>1</v>
      </c>
      <c r="T894" s="0" t="n">
        <f aca="false">INDEX($B$4:$B$22,MATCH(H894,$A$4:$A$22,0))</f>
        <v>1</v>
      </c>
      <c r="U894" s="0" t="e">
        <f aca="false">IF(ISBLANK(I894),1,INDEX($B$4:$B$22,MATCH(I894,$A$4:$A$22,0)))</f>
        <v>#N/A</v>
      </c>
      <c r="V894" s="367" t="n">
        <f aca="false">IF('Reverse Search'!$C$7="Disable",1,IF('Reverse Search'!$D$11="Disable",1,IF('Reverse Search'!$E$11="Neutral to:",IF(ROUND(T894*U894,2)&lt;=1,1,0),IF(ROUND(T894*U894,2)&lt;1,1,0))))</f>
        <v>1</v>
      </c>
      <c r="W894" s="0" t="n">
        <f aca="false">IF('Reverse Search'!$N$7="Disable",1,IF('Reverse Search'!$I$9="Disable",1,IF('Reverse Search'!$K$9="≥",IF(J894&gt;='Reverse Search'!$L$9,1,0),IF('Reverse Search'!$K$9="≤",IF(J894&lt;='Reverse Search'!$L$9,1,0),IF(J894='Reverse Search'!$L$9,1,0)))))</f>
        <v>1</v>
      </c>
      <c r="X894" s="0" t="n">
        <f aca="false">IF('Reverse Search'!$N$7="Disable",1,IF('Reverse Search'!$I$10="Disable",1,IF('Reverse Search'!$K$10="≥",IF(K894&gt;='Reverse Search'!$L$10,1,0),IF('Reverse Search'!$K$10="≤",IF(K894&lt;='Reverse Search'!$L$10,1,0),IF(K894='Reverse Search'!$L$10,1,0)))))</f>
        <v>1</v>
      </c>
      <c r="Y894" s="367" t="n">
        <f aca="false">IF('Reverse Search'!$N$7="Disable",1,IF('Reverse Search'!$I$11="Disable",1,IF('Reverse Search'!$K$11="≥",IF(L894&gt;='Reverse Search'!$L$11,1,0),IF('Reverse Search'!$K$11="≤",IF(L894&lt;='Reverse Search'!$L$11,1,0),IF(L894='Reverse Search'!$L$11,1,0)))))</f>
        <v>1</v>
      </c>
      <c r="Z894" s="0" t="n">
        <f aca="true">IF('Reverse Search'!$C$14="Disable",1,IF('Reverse Search'!$D$16="Disable",1,IF($C$2=3,IF($M894=0,0,COUNTIF(INDIRECT("'0.0.2 Pokémon Learnset (Core)'!$D$"&amp;MATCH($E894,'0.0.2 Pokémon Learnset (Core)'!$A$1:$A951,0)&amp;":$FK$"&amp;MATCH($E894,'0.0.2 Pokémon Learnset (Core)'!$A$1:$A951,0)),'Reverse Search'!$E$21)),IF($C$2=2,COUNTIF(INDIRECT("'0.1.1 Pokémon GO Moves'!$B$"&amp;MATCH($E894,'0.1.1 Pokémon GO Moves'!$A$1:$A951,0)&amp;":$R$"&amp;MATCH($E894,'0.1.1 Pokémon GO Moves'!$A$1:$A951,0)),'Reverse Search'!$E$21),COUNTIF(INDIRECT("'0.1.1 Pokémon GO Moves'!$B$"&amp;MATCH($E894,'0.1.1 Pokémon GO Moves'!$A$1:$A951,0)&amp;":$L$"&amp;MATCH($E894,'0.1.1 Pokémon GO Moves'!$A$1:$A951,0)),'Reverse Search'!$E$21)))))</f>
        <v>1</v>
      </c>
      <c r="AA894" s="0" t="n">
        <f aca="true">IF('Reverse Search'!$C$14="Disable",1,IF('Reverse Search'!$I$16="Disable",1,IF($D$2=3,IF($M894=0,0,COUNTIF(INDIRECT("'0.0.2 Pokémon Learnset (Core)'!$D$"&amp;MATCH($E894,'0.0.2 Pokémon Learnset (Core)'!$A$1:$A951,0)&amp;":$FK$"&amp;MATCH($E894,'0.0.2 Pokémon Learnset (Core)'!$A$1:$A951,0)),'Reverse Search'!$J$21)),IF($D$2=2,COUNTIF(INDIRECT("'0.1.1 Pokémon GO Moves'!$B$"&amp;MATCH($E894,'0.1.1 Pokémon GO Moves'!$A$1:$A951,0)&amp;":$R$"&amp;MATCH($E894,'0.1.1 Pokémon GO Moves'!$A$1:$A951,0)),'Reverse Search'!$J$21),COUNTIF(INDIRECT("'0.1.1 Pokémon GO Moves'!$B$"&amp;MATCH($E894,'0.1.1 Pokémon GO Moves'!$A$1:$A951,0)&amp;":$L$"&amp;MATCH($E894,'0.1.1 Pokémon GO Moves'!$A$1:$A951,0)),'Reverse Search'!$J$21)))))</f>
        <v>0</v>
      </c>
      <c r="AB894" s="490"/>
      <c r="AC894" s="260" t="n">
        <f aca="false">IF((Q894+R894+S894+V894+W894+X894+Y894+IF(Z894&gt;=1,1,0)+IF(AA894&gt;=1,1,0))=9,G894&amp;", ",)</f>
        <v>0</v>
      </c>
    </row>
    <row r="895" customFormat="false" ht="15.75" hidden="false" customHeight="false" outlineLevel="0" collapsed="false">
      <c r="A895" s="260"/>
      <c r="B895" s="358"/>
      <c r="C895" s="260"/>
      <c r="D895" s="358"/>
      <c r="E895" s="260" t="n">
        <v>894</v>
      </c>
      <c r="F895" s="260" t="n">
        <f aca="false" t="array" ref="F895:F895">INDEX('0.0.1 Pokémon Dex Data'!$H$3:$H951,MATCH(E895,'0.0.1 Pokémon Dex Data'!$B$3:$B951,0))</f>
        <v>0</v>
      </c>
      <c r="G895" s="0" t="str">
        <f aca="false" t="array" ref="G895:G895">INDEX('0.0.1 Pokémon Dex Data'!$E$3:$E951,MATCH(E895,'0.0.1 Pokémon Dex Data'!$B$3:$B951,0))</f>
        <v>Type: Null</v>
      </c>
      <c r="H895" s="0" t="str">
        <f aca="false" t="array" ref="H895:H895">INDEX('0.0.1 Pokémon Dex Data'!$Q$3:$Q951,MATCH(E895,'0.0.1 Pokémon Dex Data'!$B$3:$B951,0))</f>
        <v>Normal</v>
      </c>
      <c r="I895" s="0" t="n">
        <f aca="false">INDEX('0.0.1 Pokémon Dex Data'!$R$3:$R951,MATCH(E895,'0.0.1 Pokémon Dex Data'!$B$3:$B951,0))</f>
        <v>0</v>
      </c>
      <c r="J895" s="260" t="n">
        <f aca="false" t="array" ref="J895:J895">ROUND(INDEX('0.0.1 Pokémon Dex Data'!$S$3:$S951,MATCH($E895,'0.0.1 Pokémon Dex Data'!$B$3:$B951,0))*INDEX('0.0.1 Pokémon Dex Data'!T$3:T951,MATCH($E895,'0.0.1 Pokémon Dex Data'!$B$3:$B951,0)),0)</f>
        <v>184</v>
      </c>
      <c r="K895" s="260" t="n">
        <f aca="false" t="array" ref="K895:K895">ROUND(INDEX('0.0.1 Pokémon Dex Data'!$S$3:$S951,MATCH($E895,'0.0.1 Pokémon Dex Data'!$B$3:$B951,0))*INDEX('0.0.1 Pokémon Dex Data'!U$3:U951,MATCH($E895,'0.0.1 Pokémon Dex Data'!$B$3:$B951,0)),0)</f>
        <v>184</v>
      </c>
      <c r="L895" s="260" t="n">
        <f aca="false" t="array" ref="L895:L895">ROUND(INDEX('0.0.1 Pokémon Dex Data'!$S$3:$S951,MATCH($E895,'0.0.1 Pokémon Dex Data'!$B$3:$B951,0))*INDEX('0.0.1 Pokémon Dex Data'!V$3:V951,MATCH($E895,'0.0.1 Pokémon Dex Data'!$B$3:$B951,0)),0)</f>
        <v>216</v>
      </c>
      <c r="M895" s="260" t="n">
        <f aca="false" t="array" ref="M895:M895">INDEX('0.0.1 Pokémon Dex Data'!$J$3:$J951,MATCH(E895,'0.0.1 Pokémon Dex Data'!$B$3:$B951,0))</f>
        <v>0</v>
      </c>
      <c r="O895" s="490"/>
      <c r="Q895" s="367" t="n">
        <f aca="false">IF('Reverse Search'!$F$4="All (including temporary formes)",1,IF('Reverse Search'!$F$4="Base Pokémon and permanent formes only",IF(F895&lt;=1,1,0),IF(F895=0,1,0)))</f>
        <v>1</v>
      </c>
      <c r="R895" s="0" t="n">
        <f aca="false">IF('Reverse Search'!$C$7="Disable",1,IF('Reverse Search'!$D$9="Disable",1,IF(OR('Reverse Search'!$F$9=H895,'Reverse Search'!$F$9=I895),1,0)))</f>
        <v>1</v>
      </c>
      <c r="S895" s="0" t="n">
        <f aca="false">IF('Reverse Search'!$C$7="Disable",1,IF('Reverse Search'!$D$10="Disable",1,IF(OR('Reverse Search'!$F$10=H895,'Reverse Search'!$F$10=I895),1,0)))</f>
        <v>1</v>
      </c>
      <c r="T895" s="0" t="n">
        <f aca="false">INDEX($B$4:$B$22,MATCH(H895,$A$4:$A$22,0))</f>
        <v>1</v>
      </c>
      <c r="U895" s="0" t="e">
        <f aca="false">IF(ISBLANK(I895),1,INDEX($B$4:$B$22,MATCH(I895,$A$4:$A$22,0)))</f>
        <v>#N/A</v>
      </c>
      <c r="V895" s="367" t="n">
        <f aca="false">IF('Reverse Search'!$C$7="Disable",1,IF('Reverse Search'!$D$11="Disable",1,IF('Reverse Search'!$E$11="Neutral to:",IF(ROUND(T895*U895,2)&lt;=1,1,0),IF(ROUND(T895*U895,2)&lt;1,1,0))))</f>
        <v>1</v>
      </c>
      <c r="W895" s="0" t="n">
        <f aca="false">IF('Reverse Search'!$N$7="Disable",1,IF('Reverse Search'!$I$9="Disable",1,IF('Reverse Search'!$K$9="≥",IF(J895&gt;='Reverse Search'!$L$9,1,0),IF('Reverse Search'!$K$9="≤",IF(J895&lt;='Reverse Search'!$L$9,1,0),IF(J895='Reverse Search'!$L$9,1,0)))))</f>
        <v>1</v>
      </c>
      <c r="X895" s="0" t="n">
        <f aca="false">IF('Reverse Search'!$N$7="Disable",1,IF('Reverse Search'!$I$10="Disable",1,IF('Reverse Search'!$K$10="≥",IF(K895&gt;='Reverse Search'!$L$10,1,0),IF('Reverse Search'!$K$10="≤",IF(K895&lt;='Reverse Search'!$L$10,1,0),IF(K895='Reverse Search'!$L$10,1,0)))))</f>
        <v>1</v>
      </c>
      <c r="Y895" s="367" t="n">
        <f aca="false">IF('Reverse Search'!$N$7="Disable",1,IF('Reverse Search'!$I$11="Disable",1,IF('Reverse Search'!$K$11="≥",IF(L895&gt;='Reverse Search'!$L$11,1,0),IF('Reverse Search'!$K$11="≤",IF(L895&lt;='Reverse Search'!$L$11,1,0),IF(L895='Reverse Search'!$L$11,1,0)))))</f>
        <v>1</v>
      </c>
      <c r="Z895" s="0" t="n">
        <f aca="true">IF('Reverse Search'!$C$14="Disable",1,IF('Reverse Search'!$D$16="Disable",1,IF($C$2=3,IF($M895=0,0,COUNTIF(INDIRECT("'0.0.2 Pokémon Learnset (Core)'!$D$"&amp;MATCH($E895,'0.0.2 Pokémon Learnset (Core)'!$A$1:$A951,0)&amp;":$FK$"&amp;MATCH($E895,'0.0.2 Pokémon Learnset (Core)'!$A$1:$A951,0)),'Reverse Search'!$E$21)),IF($C$2=2,COUNTIF(INDIRECT("'0.1.1 Pokémon GO Moves'!$B$"&amp;MATCH($E895,'0.1.1 Pokémon GO Moves'!$A$1:$A951,0)&amp;":$R$"&amp;MATCH($E895,'0.1.1 Pokémon GO Moves'!$A$1:$A951,0)),'Reverse Search'!$E$21),COUNTIF(INDIRECT("'0.1.1 Pokémon GO Moves'!$B$"&amp;MATCH($E895,'0.1.1 Pokémon GO Moves'!$A$1:$A951,0)&amp;":$L$"&amp;MATCH($E895,'0.1.1 Pokémon GO Moves'!$A$1:$A951,0)),'Reverse Search'!$E$21)))))</f>
        <v>1</v>
      </c>
      <c r="AA895" s="0" t="n">
        <f aca="true">IF('Reverse Search'!$C$14="Disable",1,IF('Reverse Search'!$I$16="Disable",1,IF($D$2=3,IF($M895=0,0,COUNTIF(INDIRECT("'0.0.2 Pokémon Learnset (Core)'!$D$"&amp;MATCH($E895,'0.0.2 Pokémon Learnset (Core)'!$A$1:$A951,0)&amp;":$FK$"&amp;MATCH($E895,'0.0.2 Pokémon Learnset (Core)'!$A$1:$A951,0)),'Reverse Search'!$J$21)),IF($D$2=2,COUNTIF(INDIRECT("'0.1.1 Pokémon GO Moves'!$B$"&amp;MATCH($E895,'0.1.1 Pokémon GO Moves'!$A$1:$A951,0)&amp;":$R$"&amp;MATCH($E895,'0.1.1 Pokémon GO Moves'!$A$1:$A951,0)),'Reverse Search'!$J$21),COUNTIF(INDIRECT("'0.1.1 Pokémon GO Moves'!$B$"&amp;MATCH($E895,'0.1.1 Pokémon GO Moves'!$A$1:$A951,0)&amp;":$L$"&amp;MATCH($E895,'0.1.1 Pokémon GO Moves'!$A$1:$A951,0)),'Reverse Search'!$J$21)))))</f>
        <v>0</v>
      </c>
      <c r="AB895" s="490"/>
      <c r="AC895" s="260" t="n">
        <f aca="false">IF((Q895+R895+S895+V895+W895+X895+Y895+IF(Z895&gt;=1,1,0)+IF(AA895&gt;=1,1,0))=9,G895&amp;", ",)</f>
        <v>0</v>
      </c>
    </row>
    <row r="896" customFormat="false" ht="15.75" hidden="false" customHeight="false" outlineLevel="0" collapsed="false">
      <c r="A896" s="260"/>
      <c r="B896" s="358"/>
      <c r="C896" s="260"/>
      <c r="D896" s="358"/>
      <c r="E896" s="260" t="n">
        <v>895</v>
      </c>
      <c r="F896" s="260" t="n">
        <f aca="false" t="array" ref="F896:F896">INDEX('0.0.1 Pokémon Dex Data'!$H$3:$H951,MATCH(E896,'0.0.1 Pokémon Dex Data'!$B$3:$B951,0))</f>
        <v>0</v>
      </c>
      <c r="G896" s="0" t="str">
        <f aca="false" t="array" ref="G896:G896">INDEX('0.0.1 Pokémon Dex Data'!$E$3:$E951,MATCH(E896,'0.0.1 Pokémon Dex Data'!$B$3:$B951,0))</f>
        <v>Silvally-Normal</v>
      </c>
      <c r="H896" s="0" t="str">
        <f aca="false" t="array" ref="H896:H896">INDEX('0.0.1 Pokémon Dex Data'!$Q$3:$Q951,MATCH(E896,'0.0.1 Pokémon Dex Data'!$B$3:$B951,0))</f>
        <v>Normal</v>
      </c>
      <c r="I896" s="0" t="n">
        <f aca="false">INDEX('0.0.1 Pokémon Dex Data'!$R$3:$R951,MATCH(E896,'0.0.1 Pokémon Dex Data'!$B$3:$B951,0))</f>
        <v>0</v>
      </c>
      <c r="J896" s="260" t="n">
        <f aca="false" t="array" ref="J896:J896">ROUND(INDEX('0.0.1 Pokémon Dex Data'!$S$3:$S951,MATCH($E896,'0.0.1 Pokémon Dex Data'!$B$3:$B951,0))*INDEX('0.0.1 Pokémon Dex Data'!T$3:T951,MATCH($E896,'0.0.1 Pokémon Dex Data'!$B$3:$B951,0)),0)</f>
        <v>198</v>
      </c>
      <c r="K896" s="260" t="n">
        <f aca="false" t="array" ref="K896:K896">ROUND(INDEX('0.0.1 Pokémon Dex Data'!$S$3:$S951,MATCH($E896,'0.0.1 Pokémon Dex Data'!$B$3:$B951,0))*INDEX('0.0.1 Pokémon Dex Data'!U$3:U951,MATCH($E896,'0.0.1 Pokémon Dex Data'!$B$3:$B951,0)),0)</f>
        <v>198</v>
      </c>
      <c r="L896" s="260" t="n">
        <f aca="false" t="array" ref="L896:L896">ROUND(INDEX('0.0.1 Pokémon Dex Data'!$S$3:$S951,MATCH($E896,'0.0.1 Pokémon Dex Data'!$B$3:$B951,0))*INDEX('0.0.1 Pokémon Dex Data'!V$3:V951,MATCH($E896,'0.0.1 Pokémon Dex Data'!$B$3:$B951,0)),0)</f>
        <v>216</v>
      </c>
      <c r="M896" s="260" t="n">
        <f aca="false" t="array" ref="M896:M896">INDEX('0.0.1 Pokémon Dex Data'!$J$3:$J951,MATCH(E896,'0.0.1 Pokémon Dex Data'!$B$3:$B951,0))</f>
        <v>1</v>
      </c>
      <c r="O896" s="490"/>
      <c r="Q896" s="367" t="n">
        <f aca="false">IF('Reverse Search'!$F$4="All (including temporary formes)",1,IF('Reverse Search'!$F$4="Base Pokémon and permanent formes only",IF(F896&lt;=1,1,0),IF(F896=0,1,0)))</f>
        <v>1</v>
      </c>
      <c r="R896" s="0" t="n">
        <f aca="false">IF('Reverse Search'!$C$7="Disable",1,IF('Reverse Search'!$D$9="Disable",1,IF(OR('Reverse Search'!$F$9=H896,'Reverse Search'!$F$9=I896),1,0)))</f>
        <v>1</v>
      </c>
      <c r="S896" s="0" t="n">
        <f aca="false">IF('Reverse Search'!$C$7="Disable",1,IF('Reverse Search'!$D$10="Disable",1,IF(OR('Reverse Search'!$F$10=H896,'Reverse Search'!$F$10=I896),1,0)))</f>
        <v>1</v>
      </c>
      <c r="T896" s="0" t="n">
        <f aca="false">INDEX($B$4:$B$22,MATCH(H896,$A$4:$A$22,0))</f>
        <v>1</v>
      </c>
      <c r="U896" s="0" t="e">
        <f aca="false">IF(ISBLANK(I896),1,INDEX($B$4:$B$22,MATCH(I896,$A$4:$A$22,0)))</f>
        <v>#N/A</v>
      </c>
      <c r="V896" s="367" t="n">
        <f aca="false">IF('Reverse Search'!$C$7="Disable",1,IF('Reverse Search'!$D$11="Disable",1,IF('Reverse Search'!$E$11="Neutral to:",IF(ROUND(T896*U896,2)&lt;=1,1,0),IF(ROUND(T896*U896,2)&lt;1,1,0))))</f>
        <v>1</v>
      </c>
      <c r="W896" s="0" t="n">
        <f aca="false">IF('Reverse Search'!$N$7="Disable",1,IF('Reverse Search'!$I$9="Disable",1,IF('Reverse Search'!$K$9="≥",IF(J896&gt;='Reverse Search'!$L$9,1,0),IF('Reverse Search'!$K$9="≤",IF(J896&lt;='Reverse Search'!$L$9,1,0),IF(J896='Reverse Search'!$L$9,1,0)))))</f>
        <v>1</v>
      </c>
      <c r="X896" s="0" t="n">
        <f aca="false">IF('Reverse Search'!$N$7="Disable",1,IF('Reverse Search'!$I$10="Disable",1,IF('Reverse Search'!$K$10="≥",IF(K896&gt;='Reverse Search'!$L$10,1,0),IF('Reverse Search'!$K$10="≤",IF(K896&lt;='Reverse Search'!$L$10,1,0),IF(K896='Reverse Search'!$L$10,1,0)))))</f>
        <v>1</v>
      </c>
      <c r="Y896" s="367" t="n">
        <f aca="false">IF('Reverse Search'!$N$7="Disable",1,IF('Reverse Search'!$I$11="Disable",1,IF('Reverse Search'!$K$11="≥",IF(L896&gt;='Reverse Search'!$L$11,1,0),IF('Reverse Search'!$K$11="≤",IF(L896&lt;='Reverse Search'!$L$11,1,0),IF(L896='Reverse Search'!$L$11,1,0)))))</f>
        <v>1</v>
      </c>
      <c r="Z896" s="0" t="n">
        <f aca="true">IF('Reverse Search'!$C$14="Disable",1,IF('Reverse Search'!$D$16="Disable",1,IF($C$2=3,IF($M896=0,0,COUNTIF(INDIRECT("'0.0.2 Pokémon Learnset (Core)'!$D$"&amp;MATCH($E896,'0.0.2 Pokémon Learnset (Core)'!$A$1:$A951,0)&amp;":$FK$"&amp;MATCH($E896,'0.0.2 Pokémon Learnset (Core)'!$A$1:$A951,0)),'Reverse Search'!$E$21)),IF($C$2=2,COUNTIF(INDIRECT("'0.1.1 Pokémon GO Moves'!$B$"&amp;MATCH($E896,'0.1.1 Pokémon GO Moves'!$A$1:$A951,0)&amp;":$R$"&amp;MATCH($E896,'0.1.1 Pokémon GO Moves'!$A$1:$A951,0)),'Reverse Search'!$E$21),COUNTIF(INDIRECT("'0.1.1 Pokémon GO Moves'!$B$"&amp;MATCH($E896,'0.1.1 Pokémon GO Moves'!$A$1:$A951,0)&amp;":$L$"&amp;MATCH($E896,'0.1.1 Pokémon GO Moves'!$A$1:$A951,0)),'Reverse Search'!$E$21)))))</f>
        <v>1</v>
      </c>
      <c r="AA896" s="0" t="n">
        <f aca="true">IF('Reverse Search'!$C$14="Disable",1,IF('Reverse Search'!$I$16="Disable",1,IF($D$2=3,IF($M896=0,0,COUNTIF(INDIRECT("'0.0.2 Pokémon Learnset (Core)'!$D$"&amp;MATCH($E896,'0.0.2 Pokémon Learnset (Core)'!$A$1:$A951,0)&amp;":$FK$"&amp;MATCH($E896,'0.0.2 Pokémon Learnset (Core)'!$A$1:$A951,0)),'Reverse Search'!$J$21)),IF($D$2=2,COUNTIF(INDIRECT("'0.1.1 Pokémon GO Moves'!$B$"&amp;MATCH($E896,'0.1.1 Pokémon GO Moves'!$A$1:$A951,0)&amp;":$R$"&amp;MATCH($E896,'0.1.1 Pokémon GO Moves'!$A$1:$A951,0)),'Reverse Search'!$J$21),COUNTIF(INDIRECT("'0.1.1 Pokémon GO Moves'!$B$"&amp;MATCH($E896,'0.1.1 Pokémon GO Moves'!$A$1:$A951,0)&amp;":$L$"&amp;MATCH($E896,'0.1.1 Pokémon GO Moves'!$A$1:$A951,0)),'Reverse Search'!$J$21)))))</f>
        <v>0</v>
      </c>
      <c r="AB896" s="490"/>
      <c r="AC896" s="260" t="n">
        <f aca="false">IF((Q896+R896+S896+V896+W896+X896+Y896+IF(Z896&gt;=1,1,0)+IF(AA896&gt;=1,1,0))=9,G896&amp;", ",)</f>
        <v>0</v>
      </c>
    </row>
    <row r="897" customFormat="false" ht="15.75" hidden="false" customHeight="false" outlineLevel="0" collapsed="false">
      <c r="A897" s="260"/>
      <c r="B897" s="358"/>
      <c r="C897" s="260"/>
      <c r="D897" s="358"/>
      <c r="E897" s="260" t="n">
        <v>896</v>
      </c>
      <c r="F897" s="260" t="n">
        <f aca="false" t="array" ref="F897:F897">INDEX('0.0.1 Pokémon Dex Data'!$H$3:$H951,MATCH(E897,'0.0.1 Pokémon Dex Data'!$B$3:$B951,0))</f>
        <v>1</v>
      </c>
      <c r="G897" s="0" t="str">
        <f aca="false" t="array" ref="G897:G897">INDEX('0.0.1 Pokémon Dex Data'!$E$3:$E951,MATCH(E897,'0.0.1 Pokémon Dex Data'!$B$3:$B951,0))</f>
        <v>Silvally-Fighting</v>
      </c>
      <c r="H897" s="0" t="str">
        <f aca="false" t="array" ref="H897:H897">INDEX('0.0.1 Pokémon Dex Data'!$Q$3:$Q951,MATCH(E897,'0.0.1 Pokémon Dex Data'!$B$3:$B951,0))</f>
        <v>Fighting</v>
      </c>
      <c r="I897" s="0" t="n">
        <f aca="false">INDEX('0.0.1 Pokémon Dex Data'!$R$3:$R951,MATCH(E897,'0.0.1 Pokémon Dex Data'!$B$3:$B951,0))</f>
        <v>0</v>
      </c>
      <c r="J897" s="260" t="n">
        <f aca="false" t="array" ref="J897:J897">ROUND(INDEX('0.0.1 Pokémon Dex Data'!$S$3:$S951,MATCH($E897,'0.0.1 Pokémon Dex Data'!$B$3:$B951,0))*INDEX('0.0.1 Pokémon Dex Data'!T$3:T951,MATCH($E897,'0.0.1 Pokémon Dex Data'!$B$3:$B951,0)),0)</f>
        <v>198</v>
      </c>
      <c r="K897" s="260" t="n">
        <f aca="false" t="array" ref="K897:K897">ROUND(INDEX('0.0.1 Pokémon Dex Data'!$S$3:$S951,MATCH($E897,'0.0.1 Pokémon Dex Data'!$B$3:$B951,0))*INDEX('0.0.1 Pokémon Dex Data'!U$3:U951,MATCH($E897,'0.0.1 Pokémon Dex Data'!$B$3:$B951,0)),0)</f>
        <v>198</v>
      </c>
      <c r="L897" s="260" t="n">
        <f aca="false" t="array" ref="L897:L897">ROUND(INDEX('0.0.1 Pokémon Dex Data'!$S$3:$S951,MATCH($E897,'0.0.1 Pokémon Dex Data'!$B$3:$B951,0))*INDEX('0.0.1 Pokémon Dex Data'!V$3:V951,MATCH($E897,'0.0.1 Pokémon Dex Data'!$B$3:$B951,0)),0)</f>
        <v>216</v>
      </c>
      <c r="M897" s="260" t="n">
        <f aca="false" t="array" ref="M897:M897">INDEX('0.0.1 Pokémon Dex Data'!$J$3:$J951,MATCH(E897,'0.0.1 Pokémon Dex Data'!$B$3:$B951,0))</f>
        <v>1</v>
      </c>
      <c r="O897" s="490"/>
      <c r="Q897" s="367" t="n">
        <f aca="false">IF('Reverse Search'!$F$4="All (including temporary formes)",1,IF('Reverse Search'!$F$4="Base Pokémon and permanent formes only",IF(F897&lt;=1,1,0),IF(F897=0,1,0)))</f>
        <v>0</v>
      </c>
      <c r="R897" s="0" t="n">
        <f aca="false">IF('Reverse Search'!$C$7="Disable",1,IF('Reverse Search'!$D$9="Disable",1,IF(OR('Reverse Search'!$F$9=H897,'Reverse Search'!$F$9=I897),1,0)))</f>
        <v>1</v>
      </c>
      <c r="S897" s="0" t="n">
        <f aca="false">IF('Reverse Search'!$C$7="Disable",1,IF('Reverse Search'!$D$10="Disable",1,IF(OR('Reverse Search'!$F$10=H897,'Reverse Search'!$F$10=I897),1,0)))</f>
        <v>1</v>
      </c>
      <c r="T897" s="0" t="n">
        <f aca="false">INDEX($B$4:$B$22,MATCH(H897,$A$4:$A$22,0))</f>
        <v>1</v>
      </c>
      <c r="U897" s="0" t="e">
        <f aca="false">IF(ISBLANK(I897),1,INDEX($B$4:$B$22,MATCH(I897,$A$4:$A$22,0)))</f>
        <v>#N/A</v>
      </c>
      <c r="V897" s="367" t="n">
        <f aca="false">IF('Reverse Search'!$C$7="Disable",1,IF('Reverse Search'!$D$11="Disable",1,IF('Reverse Search'!$E$11="Neutral to:",IF(ROUND(T897*U897,2)&lt;=1,1,0),IF(ROUND(T897*U897,2)&lt;1,1,0))))</f>
        <v>1</v>
      </c>
      <c r="W897" s="0" t="n">
        <f aca="false">IF('Reverse Search'!$N$7="Disable",1,IF('Reverse Search'!$I$9="Disable",1,IF('Reverse Search'!$K$9="≥",IF(J897&gt;='Reverse Search'!$L$9,1,0),IF('Reverse Search'!$K$9="≤",IF(J897&lt;='Reverse Search'!$L$9,1,0),IF(J897='Reverse Search'!$L$9,1,0)))))</f>
        <v>1</v>
      </c>
      <c r="X897" s="0" t="n">
        <f aca="false">IF('Reverse Search'!$N$7="Disable",1,IF('Reverse Search'!$I$10="Disable",1,IF('Reverse Search'!$K$10="≥",IF(K897&gt;='Reverse Search'!$L$10,1,0),IF('Reverse Search'!$K$10="≤",IF(K897&lt;='Reverse Search'!$L$10,1,0),IF(K897='Reverse Search'!$L$10,1,0)))))</f>
        <v>1</v>
      </c>
      <c r="Y897" s="367" t="n">
        <f aca="false">IF('Reverse Search'!$N$7="Disable",1,IF('Reverse Search'!$I$11="Disable",1,IF('Reverse Search'!$K$11="≥",IF(L897&gt;='Reverse Search'!$L$11,1,0),IF('Reverse Search'!$K$11="≤",IF(L897&lt;='Reverse Search'!$L$11,1,0),IF(L897='Reverse Search'!$L$11,1,0)))))</f>
        <v>1</v>
      </c>
      <c r="Z897" s="0" t="n">
        <f aca="true">IF('Reverse Search'!$C$14="Disable",1,IF('Reverse Search'!$D$16="Disable",1,IF($C$2=3,IF($M897=0,0,COUNTIF(INDIRECT("'0.0.2 Pokémon Learnset (Core)'!$D$"&amp;MATCH($E897,'0.0.2 Pokémon Learnset (Core)'!$A$1:$A951,0)&amp;":$FK$"&amp;MATCH($E897,'0.0.2 Pokémon Learnset (Core)'!$A$1:$A951,0)),'Reverse Search'!$E$21)),IF($C$2=2,COUNTIF(INDIRECT("'0.1.1 Pokémon GO Moves'!$B$"&amp;MATCH($E897,'0.1.1 Pokémon GO Moves'!$A$1:$A951,0)&amp;":$R$"&amp;MATCH($E897,'0.1.1 Pokémon GO Moves'!$A$1:$A951,0)),'Reverse Search'!$E$21),COUNTIF(INDIRECT("'0.1.1 Pokémon GO Moves'!$B$"&amp;MATCH($E897,'0.1.1 Pokémon GO Moves'!$A$1:$A951,0)&amp;":$L$"&amp;MATCH($E897,'0.1.1 Pokémon GO Moves'!$A$1:$A951,0)),'Reverse Search'!$E$21)))))</f>
        <v>1</v>
      </c>
      <c r="AA897" s="0" t="e">
        <f aca="true">IF('Reverse Search'!$C$14="Disable",1,IF('Reverse Search'!$I$16="Disable",1,IF($D$2=3,IF($M897=0,0,COUNTIF(INDIRECT("'0.0.2 Pokémon Learnset (Core)'!$D$"&amp;MATCH($E897,'0.0.2 Pokémon Learnset (Core)'!$A$1:$A951,0)&amp;":$FK$"&amp;MATCH($E897,'0.0.2 Pokémon Learnset (Core)'!$A$1:$A951,0)),'Reverse Search'!$J$21)),IF($D$2=2,COUNTIF(INDIRECT("'0.1.1 Pokémon GO Moves'!$B$"&amp;MATCH($E897,'0.1.1 Pokémon GO Moves'!$A$1:$A951,0)&amp;":$R$"&amp;MATCH($E897,'0.1.1 Pokémon GO Moves'!$A$1:$A951,0)),'Reverse Search'!$J$21),COUNTIF(INDIRECT("'0.1.1 Pokémon GO Moves'!$B$"&amp;MATCH($E897,'0.1.1 Pokémon GO Moves'!$A$1:$A951,0)&amp;":$L$"&amp;MATCH($E897,'0.1.1 Pokémon GO Moves'!$A$1:$A951,0)),'Reverse Search'!$J$21)))))</f>
        <v>#N/A</v>
      </c>
      <c r="AB897" s="490"/>
      <c r="AC897" s="260" t="e">
        <f aca="false">IF((Q897+R897+S897+V897+W897+X897+Y897+IF(Z897&gt;=1,1,0)+IF(AA897&gt;=1,1,0))=9,G897&amp;", ",)</f>
        <v>#N/A</v>
      </c>
    </row>
    <row r="898" customFormat="false" ht="15.75" hidden="false" customHeight="false" outlineLevel="0" collapsed="false">
      <c r="A898" s="260"/>
      <c r="B898" s="358"/>
      <c r="C898" s="260"/>
      <c r="D898" s="358"/>
      <c r="E898" s="260" t="n">
        <v>897</v>
      </c>
      <c r="F898" s="260" t="n">
        <f aca="false" t="array" ref="F898:F898">INDEX('0.0.1 Pokémon Dex Data'!$H$3:$H951,MATCH(E898,'0.0.1 Pokémon Dex Data'!$B$3:$B951,0))</f>
        <v>1</v>
      </c>
      <c r="G898" s="0" t="str">
        <f aca="false" t="array" ref="G898:G898">INDEX('0.0.1 Pokémon Dex Data'!$E$3:$E951,MATCH(E898,'0.0.1 Pokémon Dex Data'!$B$3:$B951,0))</f>
        <v>Silvally-Flying</v>
      </c>
      <c r="H898" s="0" t="str">
        <f aca="false" t="array" ref="H898:H898">INDEX('0.0.1 Pokémon Dex Data'!$Q$3:$Q951,MATCH(E898,'0.0.1 Pokémon Dex Data'!$B$3:$B951,0))</f>
        <v>Flying</v>
      </c>
      <c r="I898" s="0" t="n">
        <f aca="false">INDEX('0.0.1 Pokémon Dex Data'!$R$3:$R951,MATCH(E898,'0.0.1 Pokémon Dex Data'!$B$3:$B951,0))</f>
        <v>0</v>
      </c>
      <c r="J898" s="260" t="n">
        <f aca="false" t="array" ref="J898:J898">ROUND(INDEX('0.0.1 Pokémon Dex Data'!$S$3:$S951,MATCH($E898,'0.0.1 Pokémon Dex Data'!$B$3:$B951,0))*INDEX('0.0.1 Pokémon Dex Data'!T$3:T951,MATCH($E898,'0.0.1 Pokémon Dex Data'!$B$3:$B951,0)),0)</f>
        <v>198</v>
      </c>
      <c r="K898" s="260" t="n">
        <f aca="false" t="array" ref="K898:K898">ROUND(INDEX('0.0.1 Pokémon Dex Data'!$S$3:$S951,MATCH($E898,'0.0.1 Pokémon Dex Data'!$B$3:$B951,0))*INDEX('0.0.1 Pokémon Dex Data'!U$3:U951,MATCH($E898,'0.0.1 Pokémon Dex Data'!$B$3:$B951,0)),0)</f>
        <v>198</v>
      </c>
      <c r="L898" s="260" t="n">
        <f aca="false" t="array" ref="L898:L898">ROUND(INDEX('0.0.1 Pokémon Dex Data'!$S$3:$S951,MATCH($E898,'0.0.1 Pokémon Dex Data'!$B$3:$B951,0))*INDEX('0.0.1 Pokémon Dex Data'!V$3:V951,MATCH($E898,'0.0.1 Pokémon Dex Data'!$B$3:$B951,0)),0)</f>
        <v>216</v>
      </c>
      <c r="M898" s="260" t="n">
        <f aca="false" t="array" ref="M898:M898">INDEX('0.0.1 Pokémon Dex Data'!$J$3:$J951,MATCH(E898,'0.0.1 Pokémon Dex Data'!$B$3:$B951,0))</f>
        <v>1</v>
      </c>
      <c r="O898" s="490"/>
      <c r="Q898" s="367" t="n">
        <f aca="false">IF('Reverse Search'!$F$4="All (including temporary formes)",1,IF('Reverse Search'!$F$4="Base Pokémon and permanent formes only",IF(F898&lt;=1,1,0),IF(F898=0,1,0)))</f>
        <v>0</v>
      </c>
      <c r="R898" s="0" t="n">
        <f aca="false">IF('Reverse Search'!$C$7="Disable",1,IF('Reverse Search'!$D$9="Disable",1,IF(OR('Reverse Search'!$F$9=H898,'Reverse Search'!$F$9=I898),1,0)))</f>
        <v>1</v>
      </c>
      <c r="S898" s="0" t="n">
        <f aca="false">IF('Reverse Search'!$C$7="Disable",1,IF('Reverse Search'!$D$10="Disable",1,IF(OR('Reverse Search'!$F$10=H898,'Reverse Search'!$F$10=I898),1,0)))</f>
        <v>1</v>
      </c>
      <c r="T898" s="0" t="n">
        <f aca="false">INDEX($B$4:$B$22,MATCH(H898,$A$4:$A$22,0))</f>
        <v>1</v>
      </c>
      <c r="U898" s="0" t="e">
        <f aca="false">IF(ISBLANK(I898),1,INDEX($B$4:$B$22,MATCH(I898,$A$4:$A$22,0)))</f>
        <v>#N/A</v>
      </c>
      <c r="V898" s="367" t="n">
        <f aca="false">IF('Reverse Search'!$C$7="Disable",1,IF('Reverse Search'!$D$11="Disable",1,IF('Reverse Search'!$E$11="Neutral to:",IF(ROUND(T898*U898,2)&lt;=1,1,0),IF(ROUND(T898*U898,2)&lt;1,1,0))))</f>
        <v>1</v>
      </c>
      <c r="W898" s="0" t="n">
        <f aca="false">IF('Reverse Search'!$N$7="Disable",1,IF('Reverse Search'!$I$9="Disable",1,IF('Reverse Search'!$K$9="≥",IF(J898&gt;='Reverse Search'!$L$9,1,0),IF('Reverse Search'!$K$9="≤",IF(J898&lt;='Reverse Search'!$L$9,1,0),IF(J898='Reverse Search'!$L$9,1,0)))))</f>
        <v>1</v>
      </c>
      <c r="X898" s="0" t="n">
        <f aca="false">IF('Reverse Search'!$N$7="Disable",1,IF('Reverse Search'!$I$10="Disable",1,IF('Reverse Search'!$K$10="≥",IF(K898&gt;='Reverse Search'!$L$10,1,0),IF('Reverse Search'!$K$10="≤",IF(K898&lt;='Reverse Search'!$L$10,1,0),IF(K898='Reverse Search'!$L$10,1,0)))))</f>
        <v>1</v>
      </c>
      <c r="Y898" s="367" t="n">
        <f aca="false">IF('Reverse Search'!$N$7="Disable",1,IF('Reverse Search'!$I$11="Disable",1,IF('Reverse Search'!$K$11="≥",IF(L898&gt;='Reverse Search'!$L$11,1,0),IF('Reverse Search'!$K$11="≤",IF(L898&lt;='Reverse Search'!$L$11,1,0),IF(L898='Reverse Search'!$L$11,1,0)))))</f>
        <v>1</v>
      </c>
      <c r="Z898" s="0" t="n">
        <f aca="true">IF('Reverse Search'!$C$14="Disable",1,IF('Reverse Search'!$D$16="Disable",1,IF($C$2=3,IF($M898=0,0,COUNTIF(INDIRECT("'0.0.2 Pokémon Learnset (Core)'!$D$"&amp;MATCH($E898,'0.0.2 Pokémon Learnset (Core)'!$A$1:$A951,0)&amp;":$FK$"&amp;MATCH($E898,'0.0.2 Pokémon Learnset (Core)'!$A$1:$A951,0)),'Reverse Search'!$E$21)),IF($C$2=2,COUNTIF(INDIRECT("'0.1.1 Pokémon GO Moves'!$B$"&amp;MATCH($E898,'0.1.1 Pokémon GO Moves'!$A$1:$A951,0)&amp;":$R$"&amp;MATCH($E898,'0.1.1 Pokémon GO Moves'!$A$1:$A951,0)),'Reverse Search'!$E$21),COUNTIF(INDIRECT("'0.1.1 Pokémon GO Moves'!$B$"&amp;MATCH($E898,'0.1.1 Pokémon GO Moves'!$A$1:$A951,0)&amp;":$L$"&amp;MATCH($E898,'0.1.1 Pokémon GO Moves'!$A$1:$A951,0)),'Reverse Search'!$E$21)))))</f>
        <v>1</v>
      </c>
      <c r="AA898" s="0" t="e">
        <f aca="true">IF('Reverse Search'!$C$14="Disable",1,IF('Reverse Search'!$I$16="Disable",1,IF($D$2=3,IF($M898=0,0,COUNTIF(INDIRECT("'0.0.2 Pokémon Learnset (Core)'!$D$"&amp;MATCH($E898,'0.0.2 Pokémon Learnset (Core)'!$A$1:$A951,0)&amp;":$FK$"&amp;MATCH($E898,'0.0.2 Pokémon Learnset (Core)'!$A$1:$A951,0)),'Reverse Search'!$J$21)),IF($D$2=2,COUNTIF(INDIRECT("'0.1.1 Pokémon GO Moves'!$B$"&amp;MATCH($E898,'0.1.1 Pokémon GO Moves'!$A$1:$A951,0)&amp;":$R$"&amp;MATCH($E898,'0.1.1 Pokémon GO Moves'!$A$1:$A951,0)),'Reverse Search'!$J$21),COUNTIF(INDIRECT("'0.1.1 Pokémon GO Moves'!$B$"&amp;MATCH($E898,'0.1.1 Pokémon GO Moves'!$A$1:$A951,0)&amp;":$L$"&amp;MATCH($E898,'0.1.1 Pokémon GO Moves'!$A$1:$A951,0)),'Reverse Search'!$J$21)))))</f>
        <v>#N/A</v>
      </c>
      <c r="AB898" s="490"/>
      <c r="AC898" s="260" t="e">
        <f aca="false">IF((Q898+R898+S898+V898+W898+X898+Y898+IF(Z898&gt;=1,1,0)+IF(AA898&gt;=1,1,0))=9,G898&amp;", ",)</f>
        <v>#N/A</v>
      </c>
    </row>
    <row r="899" customFormat="false" ht="15.75" hidden="false" customHeight="false" outlineLevel="0" collapsed="false">
      <c r="A899" s="260"/>
      <c r="B899" s="358"/>
      <c r="C899" s="260"/>
      <c r="D899" s="358"/>
      <c r="E899" s="260" t="n">
        <v>898</v>
      </c>
      <c r="F899" s="260" t="n">
        <f aca="false" t="array" ref="F899:F899">INDEX('0.0.1 Pokémon Dex Data'!$H$3:$H951,MATCH(E899,'0.0.1 Pokémon Dex Data'!$B$3:$B951,0))</f>
        <v>1</v>
      </c>
      <c r="G899" s="0" t="str">
        <f aca="false" t="array" ref="G899:G899">INDEX('0.0.1 Pokémon Dex Data'!$E$3:$E951,MATCH(E899,'0.0.1 Pokémon Dex Data'!$B$3:$B951,0))</f>
        <v>Silvally-Poison</v>
      </c>
      <c r="H899" s="0" t="str">
        <f aca="false" t="array" ref="H899:H899">INDEX('0.0.1 Pokémon Dex Data'!$Q$3:$Q951,MATCH(E899,'0.0.1 Pokémon Dex Data'!$B$3:$B951,0))</f>
        <v>Poison</v>
      </c>
      <c r="I899" s="0" t="n">
        <f aca="false">INDEX('0.0.1 Pokémon Dex Data'!$R$3:$R951,MATCH(E899,'0.0.1 Pokémon Dex Data'!$B$3:$B951,0))</f>
        <v>0</v>
      </c>
      <c r="J899" s="260" t="n">
        <f aca="false" t="array" ref="J899:J899">ROUND(INDEX('0.0.1 Pokémon Dex Data'!$S$3:$S951,MATCH($E899,'0.0.1 Pokémon Dex Data'!$B$3:$B951,0))*INDEX('0.0.1 Pokémon Dex Data'!T$3:T951,MATCH($E899,'0.0.1 Pokémon Dex Data'!$B$3:$B951,0)),0)</f>
        <v>198</v>
      </c>
      <c r="K899" s="260" t="n">
        <f aca="false" t="array" ref="K899:K899">ROUND(INDEX('0.0.1 Pokémon Dex Data'!$S$3:$S951,MATCH($E899,'0.0.1 Pokémon Dex Data'!$B$3:$B951,0))*INDEX('0.0.1 Pokémon Dex Data'!U$3:U951,MATCH($E899,'0.0.1 Pokémon Dex Data'!$B$3:$B951,0)),0)</f>
        <v>198</v>
      </c>
      <c r="L899" s="260" t="n">
        <f aca="false" t="array" ref="L899:L899">ROUND(INDEX('0.0.1 Pokémon Dex Data'!$S$3:$S951,MATCH($E899,'0.0.1 Pokémon Dex Data'!$B$3:$B951,0))*INDEX('0.0.1 Pokémon Dex Data'!V$3:V951,MATCH($E899,'0.0.1 Pokémon Dex Data'!$B$3:$B951,0)),0)</f>
        <v>216</v>
      </c>
      <c r="M899" s="260" t="n">
        <f aca="false" t="array" ref="M899:M899">INDEX('0.0.1 Pokémon Dex Data'!$J$3:$J951,MATCH(E899,'0.0.1 Pokémon Dex Data'!$B$3:$B951,0))</f>
        <v>1</v>
      </c>
      <c r="O899" s="490"/>
      <c r="Q899" s="367" t="n">
        <f aca="false">IF('Reverse Search'!$F$4="All (including temporary formes)",1,IF('Reverse Search'!$F$4="Base Pokémon and permanent formes only",IF(F899&lt;=1,1,0),IF(F899=0,1,0)))</f>
        <v>0</v>
      </c>
      <c r="R899" s="0" t="n">
        <f aca="false">IF('Reverse Search'!$C$7="Disable",1,IF('Reverse Search'!$D$9="Disable",1,IF(OR('Reverse Search'!$F$9=H899,'Reverse Search'!$F$9=I899),1,0)))</f>
        <v>1</v>
      </c>
      <c r="S899" s="0" t="n">
        <f aca="false">IF('Reverse Search'!$C$7="Disable",1,IF('Reverse Search'!$D$10="Disable",1,IF(OR('Reverse Search'!$F$10=H899,'Reverse Search'!$F$10=I899),1,0)))</f>
        <v>1</v>
      </c>
      <c r="T899" s="0" t="n">
        <f aca="false">INDEX($B$4:$B$22,MATCH(H899,$A$4:$A$22,0))</f>
        <v>1</v>
      </c>
      <c r="U899" s="0" t="e">
        <f aca="false">IF(ISBLANK(I899),1,INDEX($B$4:$B$22,MATCH(I899,$A$4:$A$22,0)))</f>
        <v>#N/A</v>
      </c>
      <c r="V899" s="367" t="n">
        <f aca="false">IF('Reverse Search'!$C$7="Disable",1,IF('Reverse Search'!$D$11="Disable",1,IF('Reverse Search'!$E$11="Neutral to:",IF(ROUND(T899*U899,2)&lt;=1,1,0),IF(ROUND(T899*U899,2)&lt;1,1,0))))</f>
        <v>1</v>
      </c>
      <c r="W899" s="0" t="n">
        <f aca="false">IF('Reverse Search'!$N$7="Disable",1,IF('Reverse Search'!$I$9="Disable",1,IF('Reverse Search'!$K$9="≥",IF(J899&gt;='Reverse Search'!$L$9,1,0),IF('Reverse Search'!$K$9="≤",IF(J899&lt;='Reverse Search'!$L$9,1,0),IF(J899='Reverse Search'!$L$9,1,0)))))</f>
        <v>1</v>
      </c>
      <c r="X899" s="0" t="n">
        <f aca="false">IF('Reverse Search'!$N$7="Disable",1,IF('Reverse Search'!$I$10="Disable",1,IF('Reverse Search'!$K$10="≥",IF(K899&gt;='Reverse Search'!$L$10,1,0),IF('Reverse Search'!$K$10="≤",IF(K899&lt;='Reverse Search'!$L$10,1,0),IF(K899='Reverse Search'!$L$10,1,0)))))</f>
        <v>1</v>
      </c>
      <c r="Y899" s="367" t="n">
        <f aca="false">IF('Reverse Search'!$N$7="Disable",1,IF('Reverse Search'!$I$11="Disable",1,IF('Reverse Search'!$K$11="≥",IF(L899&gt;='Reverse Search'!$L$11,1,0),IF('Reverse Search'!$K$11="≤",IF(L899&lt;='Reverse Search'!$L$11,1,0),IF(L899='Reverse Search'!$L$11,1,0)))))</f>
        <v>1</v>
      </c>
      <c r="Z899" s="0" t="n">
        <f aca="true">IF('Reverse Search'!$C$14="Disable",1,IF('Reverse Search'!$D$16="Disable",1,IF($C$2=3,IF($M899=0,0,COUNTIF(INDIRECT("'0.0.2 Pokémon Learnset (Core)'!$D$"&amp;MATCH($E899,'0.0.2 Pokémon Learnset (Core)'!$A$1:$A951,0)&amp;":$FK$"&amp;MATCH($E899,'0.0.2 Pokémon Learnset (Core)'!$A$1:$A951,0)),'Reverse Search'!$E$21)),IF($C$2=2,COUNTIF(INDIRECT("'0.1.1 Pokémon GO Moves'!$B$"&amp;MATCH($E899,'0.1.1 Pokémon GO Moves'!$A$1:$A951,0)&amp;":$R$"&amp;MATCH($E899,'0.1.1 Pokémon GO Moves'!$A$1:$A951,0)),'Reverse Search'!$E$21),COUNTIF(INDIRECT("'0.1.1 Pokémon GO Moves'!$B$"&amp;MATCH($E899,'0.1.1 Pokémon GO Moves'!$A$1:$A951,0)&amp;":$L$"&amp;MATCH($E899,'0.1.1 Pokémon GO Moves'!$A$1:$A951,0)),'Reverse Search'!$E$21)))))</f>
        <v>1</v>
      </c>
      <c r="AA899" s="0" t="e">
        <f aca="true">IF('Reverse Search'!$C$14="Disable",1,IF('Reverse Search'!$I$16="Disable",1,IF($D$2=3,IF($M899=0,0,COUNTIF(INDIRECT("'0.0.2 Pokémon Learnset (Core)'!$D$"&amp;MATCH($E899,'0.0.2 Pokémon Learnset (Core)'!$A$1:$A951,0)&amp;":$FK$"&amp;MATCH($E899,'0.0.2 Pokémon Learnset (Core)'!$A$1:$A951,0)),'Reverse Search'!$J$21)),IF($D$2=2,COUNTIF(INDIRECT("'0.1.1 Pokémon GO Moves'!$B$"&amp;MATCH($E899,'0.1.1 Pokémon GO Moves'!$A$1:$A951,0)&amp;":$R$"&amp;MATCH($E899,'0.1.1 Pokémon GO Moves'!$A$1:$A951,0)),'Reverse Search'!$J$21),COUNTIF(INDIRECT("'0.1.1 Pokémon GO Moves'!$B$"&amp;MATCH($E899,'0.1.1 Pokémon GO Moves'!$A$1:$A951,0)&amp;":$L$"&amp;MATCH($E899,'0.1.1 Pokémon GO Moves'!$A$1:$A951,0)),'Reverse Search'!$J$21)))))</f>
        <v>#N/A</v>
      </c>
      <c r="AB899" s="490"/>
      <c r="AC899" s="260" t="e">
        <f aca="false">IF((Q899+R899+S899+V899+W899+X899+Y899+IF(Z899&gt;=1,1,0)+IF(AA899&gt;=1,1,0))=9,G899&amp;", ",)</f>
        <v>#N/A</v>
      </c>
    </row>
    <row r="900" customFormat="false" ht="15.75" hidden="false" customHeight="false" outlineLevel="0" collapsed="false">
      <c r="A900" s="260"/>
      <c r="B900" s="358"/>
      <c r="C900" s="260"/>
      <c r="D900" s="358"/>
      <c r="E900" s="260" t="n">
        <v>899</v>
      </c>
      <c r="F900" s="260" t="n">
        <f aca="false" t="array" ref="F900:F900">INDEX('0.0.1 Pokémon Dex Data'!$H$3:$H951,MATCH(E900,'0.0.1 Pokémon Dex Data'!$B$3:$B951,0))</f>
        <v>1</v>
      </c>
      <c r="G900" s="0" t="str">
        <f aca="false" t="array" ref="G900:G900">INDEX('0.0.1 Pokémon Dex Data'!$E$3:$E951,MATCH(E900,'0.0.1 Pokémon Dex Data'!$B$3:$B951,0))</f>
        <v>Silvally-Ground</v>
      </c>
      <c r="H900" s="0" t="str">
        <f aca="false" t="array" ref="H900:H900">INDEX('0.0.1 Pokémon Dex Data'!$Q$3:$Q951,MATCH(E900,'0.0.1 Pokémon Dex Data'!$B$3:$B951,0))</f>
        <v>Ground</v>
      </c>
      <c r="I900" s="0" t="n">
        <f aca="false">INDEX('0.0.1 Pokémon Dex Data'!$R$3:$R951,MATCH(E900,'0.0.1 Pokémon Dex Data'!$B$3:$B951,0))</f>
        <v>0</v>
      </c>
      <c r="J900" s="260" t="n">
        <f aca="false" t="array" ref="J900:J900">ROUND(INDEX('0.0.1 Pokémon Dex Data'!$S$3:$S951,MATCH($E900,'0.0.1 Pokémon Dex Data'!$B$3:$B951,0))*INDEX('0.0.1 Pokémon Dex Data'!T$3:T951,MATCH($E900,'0.0.1 Pokémon Dex Data'!$B$3:$B951,0)),0)</f>
        <v>198</v>
      </c>
      <c r="K900" s="260" t="n">
        <f aca="false" t="array" ref="K900:K900">ROUND(INDEX('0.0.1 Pokémon Dex Data'!$S$3:$S951,MATCH($E900,'0.0.1 Pokémon Dex Data'!$B$3:$B951,0))*INDEX('0.0.1 Pokémon Dex Data'!U$3:U951,MATCH($E900,'0.0.1 Pokémon Dex Data'!$B$3:$B951,0)),0)</f>
        <v>198</v>
      </c>
      <c r="L900" s="260" t="n">
        <f aca="false" t="array" ref="L900:L900">ROUND(INDEX('0.0.1 Pokémon Dex Data'!$S$3:$S951,MATCH($E900,'0.0.1 Pokémon Dex Data'!$B$3:$B951,0))*INDEX('0.0.1 Pokémon Dex Data'!V$3:V951,MATCH($E900,'0.0.1 Pokémon Dex Data'!$B$3:$B951,0)),0)</f>
        <v>216</v>
      </c>
      <c r="M900" s="260" t="n">
        <f aca="false" t="array" ref="M900:M900">INDEX('0.0.1 Pokémon Dex Data'!$J$3:$J951,MATCH(E900,'0.0.1 Pokémon Dex Data'!$B$3:$B951,0))</f>
        <v>1</v>
      </c>
      <c r="O900" s="490"/>
      <c r="Q900" s="367" t="n">
        <f aca="false">IF('Reverse Search'!$F$4="All (including temporary formes)",1,IF('Reverse Search'!$F$4="Base Pokémon and permanent formes only",IF(F900&lt;=1,1,0),IF(F900=0,1,0)))</f>
        <v>0</v>
      </c>
      <c r="R900" s="0" t="n">
        <f aca="false">IF('Reverse Search'!$C$7="Disable",1,IF('Reverse Search'!$D$9="Disable",1,IF(OR('Reverse Search'!$F$9=H900,'Reverse Search'!$F$9=I900),1,0)))</f>
        <v>1</v>
      </c>
      <c r="S900" s="0" t="n">
        <f aca="false">IF('Reverse Search'!$C$7="Disable",1,IF('Reverse Search'!$D$10="Disable",1,IF(OR('Reverse Search'!$F$10=H900,'Reverse Search'!$F$10=I900),1,0)))</f>
        <v>1</v>
      </c>
      <c r="T900" s="0" t="n">
        <f aca="false">INDEX($B$4:$B$22,MATCH(H900,$A$4:$A$22,0))</f>
        <v>1</v>
      </c>
      <c r="U900" s="0" t="e">
        <f aca="false">IF(ISBLANK(I900),1,INDEX($B$4:$B$22,MATCH(I900,$A$4:$A$22,0)))</f>
        <v>#N/A</v>
      </c>
      <c r="V900" s="367" t="n">
        <f aca="false">IF('Reverse Search'!$C$7="Disable",1,IF('Reverse Search'!$D$11="Disable",1,IF('Reverse Search'!$E$11="Neutral to:",IF(ROUND(T900*U900,2)&lt;=1,1,0),IF(ROUND(T900*U900,2)&lt;1,1,0))))</f>
        <v>1</v>
      </c>
      <c r="W900" s="0" t="n">
        <f aca="false">IF('Reverse Search'!$N$7="Disable",1,IF('Reverse Search'!$I$9="Disable",1,IF('Reverse Search'!$K$9="≥",IF(J900&gt;='Reverse Search'!$L$9,1,0),IF('Reverse Search'!$K$9="≤",IF(J900&lt;='Reverse Search'!$L$9,1,0),IF(J900='Reverse Search'!$L$9,1,0)))))</f>
        <v>1</v>
      </c>
      <c r="X900" s="0" t="n">
        <f aca="false">IF('Reverse Search'!$N$7="Disable",1,IF('Reverse Search'!$I$10="Disable",1,IF('Reverse Search'!$K$10="≥",IF(K900&gt;='Reverse Search'!$L$10,1,0),IF('Reverse Search'!$K$10="≤",IF(K900&lt;='Reverse Search'!$L$10,1,0),IF(K900='Reverse Search'!$L$10,1,0)))))</f>
        <v>1</v>
      </c>
      <c r="Y900" s="367" t="n">
        <f aca="false">IF('Reverse Search'!$N$7="Disable",1,IF('Reverse Search'!$I$11="Disable",1,IF('Reverse Search'!$K$11="≥",IF(L900&gt;='Reverse Search'!$L$11,1,0),IF('Reverse Search'!$K$11="≤",IF(L900&lt;='Reverse Search'!$L$11,1,0),IF(L900='Reverse Search'!$L$11,1,0)))))</f>
        <v>1</v>
      </c>
      <c r="Z900" s="0" t="n">
        <f aca="true">IF('Reverse Search'!$C$14="Disable",1,IF('Reverse Search'!$D$16="Disable",1,IF($C$2=3,IF($M900=0,0,COUNTIF(INDIRECT("'0.0.2 Pokémon Learnset (Core)'!$D$"&amp;MATCH($E900,'0.0.2 Pokémon Learnset (Core)'!$A$1:$A951,0)&amp;":$FK$"&amp;MATCH($E900,'0.0.2 Pokémon Learnset (Core)'!$A$1:$A951,0)),'Reverse Search'!$E$21)),IF($C$2=2,COUNTIF(INDIRECT("'0.1.1 Pokémon GO Moves'!$B$"&amp;MATCH($E900,'0.1.1 Pokémon GO Moves'!$A$1:$A951,0)&amp;":$R$"&amp;MATCH($E900,'0.1.1 Pokémon GO Moves'!$A$1:$A951,0)),'Reverse Search'!$E$21),COUNTIF(INDIRECT("'0.1.1 Pokémon GO Moves'!$B$"&amp;MATCH($E900,'0.1.1 Pokémon GO Moves'!$A$1:$A951,0)&amp;":$L$"&amp;MATCH($E900,'0.1.1 Pokémon GO Moves'!$A$1:$A951,0)),'Reverse Search'!$E$21)))))</f>
        <v>1</v>
      </c>
      <c r="AA900" s="0" t="e">
        <f aca="true">IF('Reverse Search'!$C$14="Disable",1,IF('Reverse Search'!$I$16="Disable",1,IF($D$2=3,IF($M900=0,0,COUNTIF(INDIRECT("'0.0.2 Pokémon Learnset (Core)'!$D$"&amp;MATCH($E900,'0.0.2 Pokémon Learnset (Core)'!$A$1:$A951,0)&amp;":$FK$"&amp;MATCH($E900,'0.0.2 Pokémon Learnset (Core)'!$A$1:$A951,0)),'Reverse Search'!$J$21)),IF($D$2=2,COUNTIF(INDIRECT("'0.1.1 Pokémon GO Moves'!$B$"&amp;MATCH($E900,'0.1.1 Pokémon GO Moves'!$A$1:$A951,0)&amp;":$R$"&amp;MATCH($E900,'0.1.1 Pokémon GO Moves'!$A$1:$A951,0)),'Reverse Search'!$J$21),COUNTIF(INDIRECT("'0.1.1 Pokémon GO Moves'!$B$"&amp;MATCH($E900,'0.1.1 Pokémon GO Moves'!$A$1:$A951,0)&amp;":$L$"&amp;MATCH($E900,'0.1.1 Pokémon GO Moves'!$A$1:$A951,0)),'Reverse Search'!$J$21)))))</f>
        <v>#N/A</v>
      </c>
      <c r="AB900" s="490"/>
      <c r="AC900" s="260" t="e">
        <f aca="false">IF((Q900+R900+S900+V900+W900+X900+Y900+IF(Z900&gt;=1,1,0)+IF(AA900&gt;=1,1,0))=9,G900&amp;", ",)</f>
        <v>#N/A</v>
      </c>
    </row>
    <row r="901" customFormat="false" ht="15.75" hidden="false" customHeight="false" outlineLevel="0" collapsed="false">
      <c r="A901" s="260"/>
      <c r="B901" s="358"/>
      <c r="C901" s="260"/>
      <c r="D901" s="358"/>
      <c r="E901" s="260" t="n">
        <v>900</v>
      </c>
      <c r="F901" s="260" t="n">
        <f aca="false" t="array" ref="F901:F901">INDEX('0.0.1 Pokémon Dex Data'!$H$3:$H951,MATCH(E901,'0.0.1 Pokémon Dex Data'!$B$3:$B951,0))</f>
        <v>1</v>
      </c>
      <c r="G901" s="0" t="str">
        <f aca="false" t="array" ref="G901:G901">INDEX('0.0.1 Pokémon Dex Data'!$E$3:$E951,MATCH(E901,'0.0.1 Pokémon Dex Data'!$B$3:$B951,0))</f>
        <v>Silvally-Rock</v>
      </c>
      <c r="H901" s="0" t="str">
        <f aca="false" t="array" ref="H901:H901">INDEX('0.0.1 Pokémon Dex Data'!$Q$3:$Q951,MATCH(E901,'0.0.1 Pokémon Dex Data'!$B$3:$B951,0))</f>
        <v>Rock</v>
      </c>
      <c r="I901" s="0" t="n">
        <f aca="false">INDEX('0.0.1 Pokémon Dex Data'!$R$3:$R951,MATCH(E901,'0.0.1 Pokémon Dex Data'!$B$3:$B951,0))</f>
        <v>0</v>
      </c>
      <c r="J901" s="260" t="n">
        <f aca="false" t="array" ref="J901:J901">ROUND(INDEX('0.0.1 Pokémon Dex Data'!$S$3:$S951,MATCH($E901,'0.0.1 Pokémon Dex Data'!$B$3:$B951,0))*INDEX('0.0.1 Pokémon Dex Data'!T$3:T951,MATCH($E901,'0.0.1 Pokémon Dex Data'!$B$3:$B951,0)),0)</f>
        <v>198</v>
      </c>
      <c r="K901" s="260" t="n">
        <f aca="false" t="array" ref="K901:K901">ROUND(INDEX('0.0.1 Pokémon Dex Data'!$S$3:$S951,MATCH($E901,'0.0.1 Pokémon Dex Data'!$B$3:$B951,0))*INDEX('0.0.1 Pokémon Dex Data'!U$3:U951,MATCH($E901,'0.0.1 Pokémon Dex Data'!$B$3:$B951,0)),0)</f>
        <v>198</v>
      </c>
      <c r="L901" s="260" t="n">
        <f aca="false" t="array" ref="L901:L901">ROUND(INDEX('0.0.1 Pokémon Dex Data'!$S$3:$S951,MATCH($E901,'0.0.1 Pokémon Dex Data'!$B$3:$B951,0))*INDEX('0.0.1 Pokémon Dex Data'!V$3:V951,MATCH($E901,'0.0.1 Pokémon Dex Data'!$B$3:$B951,0)),0)</f>
        <v>216</v>
      </c>
      <c r="M901" s="260" t="n">
        <f aca="false" t="array" ref="M901:M901">INDEX('0.0.1 Pokémon Dex Data'!$J$3:$J951,MATCH(E901,'0.0.1 Pokémon Dex Data'!$B$3:$B951,0))</f>
        <v>1</v>
      </c>
      <c r="O901" s="490"/>
      <c r="Q901" s="367" t="n">
        <f aca="false">IF('Reverse Search'!$F$4="All (including temporary formes)",1,IF('Reverse Search'!$F$4="Base Pokémon and permanent formes only",IF(F901&lt;=1,1,0),IF(F901=0,1,0)))</f>
        <v>0</v>
      </c>
      <c r="R901" s="0" t="n">
        <f aca="false">IF('Reverse Search'!$C$7="Disable",1,IF('Reverse Search'!$D$9="Disable",1,IF(OR('Reverse Search'!$F$9=H901,'Reverse Search'!$F$9=I901),1,0)))</f>
        <v>1</v>
      </c>
      <c r="S901" s="0" t="n">
        <f aca="false">IF('Reverse Search'!$C$7="Disable",1,IF('Reverse Search'!$D$10="Disable",1,IF(OR('Reverse Search'!$F$10=H901,'Reverse Search'!$F$10=I901),1,0)))</f>
        <v>1</v>
      </c>
      <c r="T901" s="0" t="n">
        <f aca="false">INDEX($B$4:$B$22,MATCH(H901,$A$4:$A$22,0))</f>
        <v>0.714</v>
      </c>
      <c r="U901" s="0" t="e">
        <f aca="false">IF(ISBLANK(I901),1,INDEX($B$4:$B$22,MATCH(I901,$A$4:$A$22,0)))</f>
        <v>#N/A</v>
      </c>
      <c r="V901" s="367" t="n">
        <f aca="false">IF('Reverse Search'!$C$7="Disable",1,IF('Reverse Search'!$D$11="Disable",1,IF('Reverse Search'!$E$11="Neutral to:",IF(ROUND(T901*U901,2)&lt;=1,1,0),IF(ROUND(T901*U901,2)&lt;1,1,0))))</f>
        <v>1</v>
      </c>
      <c r="W901" s="0" t="n">
        <f aca="false">IF('Reverse Search'!$N$7="Disable",1,IF('Reverse Search'!$I$9="Disable",1,IF('Reverse Search'!$K$9="≥",IF(J901&gt;='Reverse Search'!$L$9,1,0),IF('Reverse Search'!$K$9="≤",IF(J901&lt;='Reverse Search'!$L$9,1,0),IF(J901='Reverse Search'!$L$9,1,0)))))</f>
        <v>1</v>
      </c>
      <c r="X901" s="0" t="n">
        <f aca="false">IF('Reverse Search'!$N$7="Disable",1,IF('Reverse Search'!$I$10="Disable",1,IF('Reverse Search'!$K$10="≥",IF(K901&gt;='Reverse Search'!$L$10,1,0),IF('Reverse Search'!$K$10="≤",IF(K901&lt;='Reverse Search'!$L$10,1,0),IF(K901='Reverse Search'!$L$10,1,0)))))</f>
        <v>1</v>
      </c>
      <c r="Y901" s="367" t="n">
        <f aca="false">IF('Reverse Search'!$N$7="Disable",1,IF('Reverse Search'!$I$11="Disable",1,IF('Reverse Search'!$K$11="≥",IF(L901&gt;='Reverse Search'!$L$11,1,0),IF('Reverse Search'!$K$11="≤",IF(L901&lt;='Reverse Search'!$L$11,1,0),IF(L901='Reverse Search'!$L$11,1,0)))))</f>
        <v>1</v>
      </c>
      <c r="Z901" s="0" t="n">
        <f aca="true">IF('Reverse Search'!$C$14="Disable",1,IF('Reverse Search'!$D$16="Disable",1,IF($C$2=3,IF($M901=0,0,COUNTIF(INDIRECT("'0.0.2 Pokémon Learnset (Core)'!$D$"&amp;MATCH($E901,'0.0.2 Pokémon Learnset (Core)'!$A$1:$A951,0)&amp;":$FK$"&amp;MATCH($E901,'0.0.2 Pokémon Learnset (Core)'!$A$1:$A951,0)),'Reverse Search'!$E$21)),IF($C$2=2,COUNTIF(INDIRECT("'0.1.1 Pokémon GO Moves'!$B$"&amp;MATCH($E901,'0.1.1 Pokémon GO Moves'!$A$1:$A951,0)&amp;":$R$"&amp;MATCH($E901,'0.1.1 Pokémon GO Moves'!$A$1:$A951,0)),'Reverse Search'!$E$21),COUNTIF(INDIRECT("'0.1.1 Pokémon GO Moves'!$B$"&amp;MATCH($E901,'0.1.1 Pokémon GO Moves'!$A$1:$A951,0)&amp;":$L$"&amp;MATCH($E901,'0.1.1 Pokémon GO Moves'!$A$1:$A951,0)),'Reverse Search'!$E$21)))))</f>
        <v>1</v>
      </c>
      <c r="AA901" s="0" t="e">
        <f aca="true">IF('Reverse Search'!$C$14="Disable",1,IF('Reverse Search'!$I$16="Disable",1,IF($D$2=3,IF($M901=0,0,COUNTIF(INDIRECT("'0.0.2 Pokémon Learnset (Core)'!$D$"&amp;MATCH($E901,'0.0.2 Pokémon Learnset (Core)'!$A$1:$A951,0)&amp;":$FK$"&amp;MATCH($E901,'0.0.2 Pokémon Learnset (Core)'!$A$1:$A951,0)),'Reverse Search'!$J$21)),IF($D$2=2,COUNTIF(INDIRECT("'0.1.1 Pokémon GO Moves'!$B$"&amp;MATCH($E901,'0.1.1 Pokémon GO Moves'!$A$1:$A951,0)&amp;":$R$"&amp;MATCH($E901,'0.1.1 Pokémon GO Moves'!$A$1:$A951,0)),'Reverse Search'!$J$21),COUNTIF(INDIRECT("'0.1.1 Pokémon GO Moves'!$B$"&amp;MATCH($E901,'0.1.1 Pokémon GO Moves'!$A$1:$A951,0)&amp;":$L$"&amp;MATCH($E901,'0.1.1 Pokémon GO Moves'!$A$1:$A951,0)),'Reverse Search'!$J$21)))))</f>
        <v>#N/A</v>
      </c>
      <c r="AB901" s="490"/>
      <c r="AC901" s="260" t="e">
        <f aca="false">IF((Q901+R901+S901+V901+W901+X901+Y901+IF(Z901&gt;=1,1,0)+IF(AA901&gt;=1,1,0))=9,G901&amp;", ",)</f>
        <v>#N/A</v>
      </c>
    </row>
    <row r="902" customFormat="false" ht="15.75" hidden="false" customHeight="false" outlineLevel="0" collapsed="false">
      <c r="A902" s="260"/>
      <c r="B902" s="358"/>
      <c r="C902" s="260"/>
      <c r="D902" s="358"/>
      <c r="E902" s="260" t="n">
        <v>901</v>
      </c>
      <c r="F902" s="260" t="n">
        <f aca="false" t="array" ref="F902:F902">INDEX('0.0.1 Pokémon Dex Data'!$H$3:$H951,MATCH(E902,'0.0.1 Pokémon Dex Data'!$B$3:$B951,0))</f>
        <v>1</v>
      </c>
      <c r="G902" s="0" t="str">
        <f aca="false" t="array" ref="G902:G902">INDEX('0.0.1 Pokémon Dex Data'!$E$3:$E951,MATCH(E902,'0.0.1 Pokémon Dex Data'!$B$3:$B951,0))</f>
        <v>Silvally-Bug</v>
      </c>
      <c r="H902" s="0" t="str">
        <f aca="false" t="array" ref="H902:H902">INDEX('0.0.1 Pokémon Dex Data'!$Q$3:$Q951,MATCH(E902,'0.0.1 Pokémon Dex Data'!$B$3:$B951,0))</f>
        <v>Bug</v>
      </c>
      <c r="I902" s="0" t="n">
        <f aca="false">INDEX('0.0.1 Pokémon Dex Data'!$R$3:$R951,MATCH(E902,'0.0.1 Pokémon Dex Data'!$B$3:$B951,0))</f>
        <v>0</v>
      </c>
      <c r="J902" s="260" t="n">
        <f aca="false" t="array" ref="J902:J902">ROUND(INDEX('0.0.1 Pokémon Dex Data'!$S$3:$S951,MATCH($E902,'0.0.1 Pokémon Dex Data'!$B$3:$B951,0))*INDEX('0.0.1 Pokémon Dex Data'!T$3:T951,MATCH($E902,'0.0.1 Pokémon Dex Data'!$B$3:$B951,0)),0)</f>
        <v>198</v>
      </c>
      <c r="K902" s="260" t="n">
        <f aca="false" t="array" ref="K902:K902">ROUND(INDEX('0.0.1 Pokémon Dex Data'!$S$3:$S951,MATCH($E902,'0.0.1 Pokémon Dex Data'!$B$3:$B951,0))*INDEX('0.0.1 Pokémon Dex Data'!U$3:U951,MATCH($E902,'0.0.1 Pokémon Dex Data'!$B$3:$B951,0)),0)</f>
        <v>198</v>
      </c>
      <c r="L902" s="260" t="n">
        <f aca="false" t="array" ref="L902:L902">ROUND(INDEX('0.0.1 Pokémon Dex Data'!$S$3:$S951,MATCH($E902,'0.0.1 Pokémon Dex Data'!$B$3:$B951,0))*INDEX('0.0.1 Pokémon Dex Data'!V$3:V951,MATCH($E902,'0.0.1 Pokémon Dex Data'!$B$3:$B951,0)),0)</f>
        <v>216</v>
      </c>
      <c r="M902" s="260" t="n">
        <f aca="false" t="array" ref="M902:M902">INDEX('0.0.1 Pokémon Dex Data'!$J$3:$J951,MATCH(E902,'0.0.1 Pokémon Dex Data'!$B$3:$B951,0))</f>
        <v>1</v>
      </c>
      <c r="O902" s="490"/>
      <c r="Q902" s="367" t="n">
        <f aca="false">IF('Reverse Search'!$F$4="All (including temporary formes)",1,IF('Reverse Search'!$F$4="Base Pokémon and permanent formes only",IF(F902&lt;=1,1,0),IF(F902=0,1,0)))</f>
        <v>0</v>
      </c>
      <c r="R902" s="0" t="n">
        <f aca="false">IF('Reverse Search'!$C$7="Disable",1,IF('Reverse Search'!$D$9="Disable",1,IF(OR('Reverse Search'!$F$9=H902,'Reverse Search'!$F$9=I902),1,0)))</f>
        <v>1</v>
      </c>
      <c r="S902" s="0" t="n">
        <f aca="false">IF('Reverse Search'!$C$7="Disable",1,IF('Reverse Search'!$D$10="Disable",1,IF(OR('Reverse Search'!$F$10=H902,'Reverse Search'!$F$10=I902),1,0)))</f>
        <v>1</v>
      </c>
      <c r="T902" s="0" t="n">
        <f aca="false">INDEX($B$4:$B$22,MATCH(H902,$A$4:$A$22,0))</f>
        <v>1</v>
      </c>
      <c r="U902" s="0" t="e">
        <f aca="false">IF(ISBLANK(I902),1,INDEX($B$4:$B$22,MATCH(I902,$A$4:$A$22,0)))</f>
        <v>#N/A</v>
      </c>
      <c r="V902" s="367" t="n">
        <f aca="false">IF('Reverse Search'!$C$7="Disable",1,IF('Reverse Search'!$D$11="Disable",1,IF('Reverse Search'!$E$11="Neutral to:",IF(ROUND(T902*U902,2)&lt;=1,1,0),IF(ROUND(T902*U902,2)&lt;1,1,0))))</f>
        <v>1</v>
      </c>
      <c r="W902" s="0" t="n">
        <f aca="false">IF('Reverse Search'!$N$7="Disable",1,IF('Reverse Search'!$I$9="Disable",1,IF('Reverse Search'!$K$9="≥",IF(J902&gt;='Reverse Search'!$L$9,1,0),IF('Reverse Search'!$K$9="≤",IF(J902&lt;='Reverse Search'!$L$9,1,0),IF(J902='Reverse Search'!$L$9,1,0)))))</f>
        <v>1</v>
      </c>
      <c r="X902" s="0" t="n">
        <f aca="false">IF('Reverse Search'!$N$7="Disable",1,IF('Reverse Search'!$I$10="Disable",1,IF('Reverse Search'!$K$10="≥",IF(K902&gt;='Reverse Search'!$L$10,1,0),IF('Reverse Search'!$K$10="≤",IF(K902&lt;='Reverse Search'!$L$10,1,0),IF(K902='Reverse Search'!$L$10,1,0)))))</f>
        <v>1</v>
      </c>
      <c r="Y902" s="367" t="n">
        <f aca="false">IF('Reverse Search'!$N$7="Disable",1,IF('Reverse Search'!$I$11="Disable",1,IF('Reverse Search'!$K$11="≥",IF(L902&gt;='Reverse Search'!$L$11,1,0),IF('Reverse Search'!$K$11="≤",IF(L902&lt;='Reverse Search'!$L$11,1,0),IF(L902='Reverse Search'!$L$11,1,0)))))</f>
        <v>1</v>
      </c>
      <c r="Z902" s="0" t="n">
        <f aca="true">IF('Reverse Search'!$C$14="Disable",1,IF('Reverse Search'!$D$16="Disable",1,IF($C$2=3,IF($M902=0,0,COUNTIF(INDIRECT("'0.0.2 Pokémon Learnset (Core)'!$D$"&amp;MATCH($E902,'0.0.2 Pokémon Learnset (Core)'!$A$1:$A951,0)&amp;":$FK$"&amp;MATCH($E902,'0.0.2 Pokémon Learnset (Core)'!$A$1:$A951,0)),'Reverse Search'!$E$21)),IF($C$2=2,COUNTIF(INDIRECT("'0.1.1 Pokémon GO Moves'!$B$"&amp;MATCH($E902,'0.1.1 Pokémon GO Moves'!$A$1:$A951,0)&amp;":$R$"&amp;MATCH($E902,'0.1.1 Pokémon GO Moves'!$A$1:$A951,0)),'Reverse Search'!$E$21),COUNTIF(INDIRECT("'0.1.1 Pokémon GO Moves'!$B$"&amp;MATCH($E902,'0.1.1 Pokémon GO Moves'!$A$1:$A951,0)&amp;":$L$"&amp;MATCH($E902,'0.1.1 Pokémon GO Moves'!$A$1:$A951,0)),'Reverse Search'!$E$21)))))</f>
        <v>1</v>
      </c>
      <c r="AA902" s="0" t="e">
        <f aca="true">IF('Reverse Search'!$C$14="Disable",1,IF('Reverse Search'!$I$16="Disable",1,IF($D$2=3,IF($M902=0,0,COUNTIF(INDIRECT("'0.0.2 Pokémon Learnset (Core)'!$D$"&amp;MATCH($E902,'0.0.2 Pokémon Learnset (Core)'!$A$1:$A951,0)&amp;":$FK$"&amp;MATCH($E902,'0.0.2 Pokémon Learnset (Core)'!$A$1:$A951,0)),'Reverse Search'!$J$21)),IF($D$2=2,COUNTIF(INDIRECT("'0.1.1 Pokémon GO Moves'!$B$"&amp;MATCH($E902,'0.1.1 Pokémon GO Moves'!$A$1:$A951,0)&amp;":$R$"&amp;MATCH($E902,'0.1.1 Pokémon GO Moves'!$A$1:$A951,0)),'Reverse Search'!$J$21),COUNTIF(INDIRECT("'0.1.1 Pokémon GO Moves'!$B$"&amp;MATCH($E902,'0.1.1 Pokémon GO Moves'!$A$1:$A951,0)&amp;":$L$"&amp;MATCH($E902,'0.1.1 Pokémon GO Moves'!$A$1:$A951,0)),'Reverse Search'!$J$21)))))</f>
        <v>#N/A</v>
      </c>
      <c r="AB902" s="490"/>
      <c r="AC902" s="260" t="e">
        <f aca="false">IF((Q902+R902+S902+V902+W902+X902+Y902+IF(Z902&gt;=1,1,0)+IF(AA902&gt;=1,1,0))=9,G902&amp;", ",)</f>
        <v>#N/A</v>
      </c>
    </row>
    <row r="903" customFormat="false" ht="15.75" hidden="false" customHeight="false" outlineLevel="0" collapsed="false">
      <c r="A903" s="260"/>
      <c r="B903" s="358"/>
      <c r="C903" s="260"/>
      <c r="D903" s="358"/>
      <c r="E903" s="260" t="n">
        <v>902</v>
      </c>
      <c r="F903" s="260" t="n">
        <f aca="false" t="array" ref="F903:F903">INDEX('0.0.1 Pokémon Dex Data'!$H$3:$H951,MATCH(E903,'0.0.1 Pokémon Dex Data'!$B$3:$B951,0))</f>
        <v>1</v>
      </c>
      <c r="G903" s="0" t="str">
        <f aca="false" t="array" ref="G903:G903">INDEX('0.0.1 Pokémon Dex Data'!$E$3:$E951,MATCH(E903,'0.0.1 Pokémon Dex Data'!$B$3:$B951,0))</f>
        <v>Silvally-Ghost</v>
      </c>
      <c r="H903" s="0" t="str">
        <f aca="false" t="array" ref="H903:H903">INDEX('0.0.1 Pokémon Dex Data'!$Q$3:$Q951,MATCH(E903,'0.0.1 Pokémon Dex Data'!$B$3:$B951,0))</f>
        <v>Ghost</v>
      </c>
      <c r="I903" s="0" t="n">
        <f aca="false">INDEX('0.0.1 Pokémon Dex Data'!$R$3:$R951,MATCH(E903,'0.0.1 Pokémon Dex Data'!$B$3:$B951,0))</f>
        <v>0</v>
      </c>
      <c r="J903" s="260" t="n">
        <f aca="false" t="array" ref="J903:J903">ROUND(INDEX('0.0.1 Pokémon Dex Data'!$S$3:$S951,MATCH($E903,'0.0.1 Pokémon Dex Data'!$B$3:$B951,0))*INDEX('0.0.1 Pokémon Dex Data'!T$3:T951,MATCH($E903,'0.0.1 Pokémon Dex Data'!$B$3:$B951,0)),0)</f>
        <v>198</v>
      </c>
      <c r="K903" s="260" t="n">
        <f aca="false" t="array" ref="K903:K903">ROUND(INDEX('0.0.1 Pokémon Dex Data'!$S$3:$S951,MATCH($E903,'0.0.1 Pokémon Dex Data'!$B$3:$B951,0))*INDEX('0.0.1 Pokémon Dex Data'!U$3:U951,MATCH($E903,'0.0.1 Pokémon Dex Data'!$B$3:$B951,0)),0)</f>
        <v>198</v>
      </c>
      <c r="L903" s="260" t="n">
        <f aca="false" t="array" ref="L903:L903">ROUND(INDEX('0.0.1 Pokémon Dex Data'!$S$3:$S951,MATCH($E903,'0.0.1 Pokémon Dex Data'!$B$3:$B951,0))*INDEX('0.0.1 Pokémon Dex Data'!V$3:V951,MATCH($E903,'0.0.1 Pokémon Dex Data'!$B$3:$B951,0)),0)</f>
        <v>216</v>
      </c>
      <c r="M903" s="260" t="n">
        <f aca="false" t="array" ref="M903:M903">INDEX('0.0.1 Pokémon Dex Data'!$J$3:$J951,MATCH(E903,'0.0.1 Pokémon Dex Data'!$B$3:$B951,0))</f>
        <v>1</v>
      </c>
      <c r="O903" s="490"/>
      <c r="Q903" s="367" t="n">
        <f aca="false">IF('Reverse Search'!$F$4="All (including temporary formes)",1,IF('Reverse Search'!$F$4="Base Pokémon and permanent formes only",IF(F903&lt;=1,1,0),IF(F903=0,1,0)))</f>
        <v>0</v>
      </c>
      <c r="R903" s="0" t="n">
        <f aca="false">IF('Reverse Search'!$C$7="Disable",1,IF('Reverse Search'!$D$9="Disable",1,IF(OR('Reverse Search'!$F$9=H903,'Reverse Search'!$F$9=I903),1,0)))</f>
        <v>1</v>
      </c>
      <c r="S903" s="0" t="n">
        <f aca="false">IF('Reverse Search'!$C$7="Disable",1,IF('Reverse Search'!$D$10="Disable",1,IF(OR('Reverse Search'!$F$10=H903,'Reverse Search'!$F$10=I903),1,0)))</f>
        <v>1</v>
      </c>
      <c r="T903" s="0" t="n">
        <f aca="false">INDEX($B$4:$B$22,MATCH(H903,$A$4:$A$22,0))</f>
        <v>0.51</v>
      </c>
      <c r="U903" s="0" t="e">
        <f aca="false">IF(ISBLANK(I903),1,INDEX($B$4:$B$22,MATCH(I903,$A$4:$A$22,0)))</f>
        <v>#N/A</v>
      </c>
      <c r="V903" s="367" t="n">
        <f aca="false">IF('Reverse Search'!$C$7="Disable",1,IF('Reverse Search'!$D$11="Disable",1,IF('Reverse Search'!$E$11="Neutral to:",IF(ROUND(T903*U903,2)&lt;=1,1,0),IF(ROUND(T903*U903,2)&lt;1,1,0))))</f>
        <v>1</v>
      </c>
      <c r="W903" s="0" t="n">
        <f aca="false">IF('Reverse Search'!$N$7="Disable",1,IF('Reverse Search'!$I$9="Disable",1,IF('Reverse Search'!$K$9="≥",IF(J903&gt;='Reverse Search'!$L$9,1,0),IF('Reverse Search'!$K$9="≤",IF(J903&lt;='Reverse Search'!$L$9,1,0),IF(J903='Reverse Search'!$L$9,1,0)))))</f>
        <v>1</v>
      </c>
      <c r="X903" s="0" t="n">
        <f aca="false">IF('Reverse Search'!$N$7="Disable",1,IF('Reverse Search'!$I$10="Disable",1,IF('Reverse Search'!$K$10="≥",IF(K903&gt;='Reverse Search'!$L$10,1,0),IF('Reverse Search'!$K$10="≤",IF(K903&lt;='Reverse Search'!$L$10,1,0),IF(K903='Reverse Search'!$L$10,1,0)))))</f>
        <v>1</v>
      </c>
      <c r="Y903" s="367" t="n">
        <f aca="false">IF('Reverse Search'!$N$7="Disable",1,IF('Reverse Search'!$I$11="Disable",1,IF('Reverse Search'!$K$11="≥",IF(L903&gt;='Reverse Search'!$L$11,1,0),IF('Reverse Search'!$K$11="≤",IF(L903&lt;='Reverse Search'!$L$11,1,0),IF(L903='Reverse Search'!$L$11,1,0)))))</f>
        <v>1</v>
      </c>
      <c r="Z903" s="0" t="n">
        <f aca="true">IF('Reverse Search'!$C$14="Disable",1,IF('Reverse Search'!$D$16="Disable",1,IF($C$2=3,IF($M903=0,0,COUNTIF(INDIRECT("'0.0.2 Pokémon Learnset (Core)'!$D$"&amp;MATCH($E903,'0.0.2 Pokémon Learnset (Core)'!$A$1:$A951,0)&amp;":$FK$"&amp;MATCH($E903,'0.0.2 Pokémon Learnset (Core)'!$A$1:$A951,0)),'Reverse Search'!$E$21)),IF($C$2=2,COUNTIF(INDIRECT("'0.1.1 Pokémon GO Moves'!$B$"&amp;MATCH($E903,'0.1.1 Pokémon GO Moves'!$A$1:$A951,0)&amp;":$R$"&amp;MATCH($E903,'0.1.1 Pokémon GO Moves'!$A$1:$A951,0)),'Reverse Search'!$E$21),COUNTIF(INDIRECT("'0.1.1 Pokémon GO Moves'!$B$"&amp;MATCH($E903,'0.1.1 Pokémon GO Moves'!$A$1:$A951,0)&amp;":$L$"&amp;MATCH($E903,'0.1.1 Pokémon GO Moves'!$A$1:$A951,0)),'Reverse Search'!$E$21)))))</f>
        <v>1</v>
      </c>
      <c r="AA903" s="0" t="e">
        <f aca="true">IF('Reverse Search'!$C$14="Disable",1,IF('Reverse Search'!$I$16="Disable",1,IF($D$2=3,IF($M903=0,0,COUNTIF(INDIRECT("'0.0.2 Pokémon Learnset (Core)'!$D$"&amp;MATCH($E903,'0.0.2 Pokémon Learnset (Core)'!$A$1:$A951,0)&amp;":$FK$"&amp;MATCH($E903,'0.0.2 Pokémon Learnset (Core)'!$A$1:$A951,0)),'Reverse Search'!$J$21)),IF($D$2=2,COUNTIF(INDIRECT("'0.1.1 Pokémon GO Moves'!$B$"&amp;MATCH($E903,'0.1.1 Pokémon GO Moves'!$A$1:$A951,0)&amp;":$R$"&amp;MATCH($E903,'0.1.1 Pokémon GO Moves'!$A$1:$A951,0)),'Reverse Search'!$J$21),COUNTIF(INDIRECT("'0.1.1 Pokémon GO Moves'!$B$"&amp;MATCH($E903,'0.1.1 Pokémon GO Moves'!$A$1:$A951,0)&amp;":$L$"&amp;MATCH($E903,'0.1.1 Pokémon GO Moves'!$A$1:$A951,0)),'Reverse Search'!$J$21)))))</f>
        <v>#N/A</v>
      </c>
      <c r="AB903" s="490"/>
      <c r="AC903" s="260" t="e">
        <f aca="false">IF((Q903+R903+S903+V903+W903+X903+Y903+IF(Z903&gt;=1,1,0)+IF(AA903&gt;=1,1,0))=9,G903&amp;", ",)</f>
        <v>#N/A</v>
      </c>
    </row>
    <row r="904" customFormat="false" ht="15.75" hidden="false" customHeight="false" outlineLevel="0" collapsed="false">
      <c r="A904" s="260"/>
      <c r="B904" s="358"/>
      <c r="C904" s="260"/>
      <c r="D904" s="358"/>
      <c r="E904" s="260" t="n">
        <v>903</v>
      </c>
      <c r="F904" s="260" t="n">
        <f aca="false" t="array" ref="F904:F904">INDEX('0.0.1 Pokémon Dex Data'!$H$3:$H951,MATCH(E904,'0.0.1 Pokémon Dex Data'!$B$3:$B951,0))</f>
        <v>1</v>
      </c>
      <c r="G904" s="0" t="str">
        <f aca="false" t="array" ref="G904:G904">INDEX('0.0.1 Pokémon Dex Data'!$E$3:$E951,MATCH(E904,'0.0.1 Pokémon Dex Data'!$B$3:$B951,0))</f>
        <v>Silvally-Steel</v>
      </c>
      <c r="H904" s="0" t="str">
        <f aca="false" t="array" ref="H904:H904">INDEX('0.0.1 Pokémon Dex Data'!$Q$3:$Q951,MATCH(E904,'0.0.1 Pokémon Dex Data'!$B$3:$B951,0))</f>
        <v>Steel</v>
      </c>
      <c r="I904" s="0" t="n">
        <f aca="false">INDEX('0.0.1 Pokémon Dex Data'!$R$3:$R951,MATCH(E904,'0.0.1 Pokémon Dex Data'!$B$3:$B951,0))</f>
        <v>0</v>
      </c>
      <c r="J904" s="260" t="n">
        <f aca="false" t="array" ref="J904:J904">ROUND(INDEX('0.0.1 Pokémon Dex Data'!$S$3:$S951,MATCH($E904,'0.0.1 Pokémon Dex Data'!$B$3:$B951,0))*INDEX('0.0.1 Pokémon Dex Data'!T$3:T951,MATCH($E904,'0.0.1 Pokémon Dex Data'!$B$3:$B951,0)),0)</f>
        <v>198</v>
      </c>
      <c r="K904" s="260" t="n">
        <f aca="false" t="array" ref="K904:K904">ROUND(INDEX('0.0.1 Pokémon Dex Data'!$S$3:$S951,MATCH($E904,'0.0.1 Pokémon Dex Data'!$B$3:$B951,0))*INDEX('0.0.1 Pokémon Dex Data'!U$3:U951,MATCH($E904,'0.0.1 Pokémon Dex Data'!$B$3:$B951,0)),0)</f>
        <v>198</v>
      </c>
      <c r="L904" s="260" t="n">
        <f aca="false" t="array" ref="L904:L904">ROUND(INDEX('0.0.1 Pokémon Dex Data'!$S$3:$S951,MATCH($E904,'0.0.1 Pokémon Dex Data'!$B$3:$B951,0))*INDEX('0.0.1 Pokémon Dex Data'!V$3:V951,MATCH($E904,'0.0.1 Pokémon Dex Data'!$B$3:$B951,0)),0)</f>
        <v>216</v>
      </c>
      <c r="M904" s="260" t="n">
        <f aca="false" t="array" ref="M904:M904">INDEX('0.0.1 Pokémon Dex Data'!$J$3:$J951,MATCH(E904,'0.0.1 Pokémon Dex Data'!$B$3:$B951,0))</f>
        <v>1</v>
      </c>
      <c r="O904" s="490"/>
      <c r="Q904" s="367" t="n">
        <f aca="false">IF('Reverse Search'!$F$4="All (including temporary formes)",1,IF('Reverse Search'!$F$4="Base Pokémon and permanent formes only",IF(F904&lt;=1,1,0),IF(F904=0,1,0)))</f>
        <v>0</v>
      </c>
      <c r="R904" s="0" t="n">
        <f aca="false">IF('Reverse Search'!$C$7="Disable",1,IF('Reverse Search'!$D$9="Disable",1,IF(OR('Reverse Search'!$F$9=H904,'Reverse Search'!$F$9=I904),1,0)))</f>
        <v>1</v>
      </c>
      <c r="S904" s="0" t="n">
        <f aca="false">IF('Reverse Search'!$C$7="Disable",1,IF('Reverse Search'!$D$10="Disable",1,IF(OR('Reverse Search'!$F$10=H904,'Reverse Search'!$F$10=I904),1,0)))</f>
        <v>1</v>
      </c>
      <c r="T904" s="0" t="n">
        <f aca="false">INDEX($B$4:$B$22,MATCH(H904,$A$4:$A$22,0))</f>
        <v>0.714</v>
      </c>
      <c r="U904" s="0" t="e">
        <f aca="false">IF(ISBLANK(I904),1,INDEX($B$4:$B$22,MATCH(I904,$A$4:$A$22,0)))</f>
        <v>#N/A</v>
      </c>
      <c r="V904" s="367" t="n">
        <f aca="false">IF('Reverse Search'!$C$7="Disable",1,IF('Reverse Search'!$D$11="Disable",1,IF('Reverse Search'!$E$11="Neutral to:",IF(ROUND(T904*U904,2)&lt;=1,1,0),IF(ROUND(T904*U904,2)&lt;1,1,0))))</f>
        <v>1</v>
      </c>
      <c r="W904" s="0" t="n">
        <f aca="false">IF('Reverse Search'!$N$7="Disable",1,IF('Reverse Search'!$I$9="Disable",1,IF('Reverse Search'!$K$9="≥",IF(J904&gt;='Reverse Search'!$L$9,1,0),IF('Reverse Search'!$K$9="≤",IF(J904&lt;='Reverse Search'!$L$9,1,0),IF(J904='Reverse Search'!$L$9,1,0)))))</f>
        <v>1</v>
      </c>
      <c r="X904" s="0" t="n">
        <f aca="false">IF('Reverse Search'!$N$7="Disable",1,IF('Reverse Search'!$I$10="Disable",1,IF('Reverse Search'!$K$10="≥",IF(K904&gt;='Reverse Search'!$L$10,1,0),IF('Reverse Search'!$K$10="≤",IF(K904&lt;='Reverse Search'!$L$10,1,0),IF(K904='Reverse Search'!$L$10,1,0)))))</f>
        <v>1</v>
      </c>
      <c r="Y904" s="367" t="n">
        <f aca="false">IF('Reverse Search'!$N$7="Disable",1,IF('Reverse Search'!$I$11="Disable",1,IF('Reverse Search'!$K$11="≥",IF(L904&gt;='Reverse Search'!$L$11,1,0),IF('Reverse Search'!$K$11="≤",IF(L904&lt;='Reverse Search'!$L$11,1,0),IF(L904='Reverse Search'!$L$11,1,0)))))</f>
        <v>1</v>
      </c>
      <c r="Z904" s="0" t="n">
        <f aca="true">IF('Reverse Search'!$C$14="Disable",1,IF('Reverse Search'!$D$16="Disable",1,IF($C$2=3,IF($M904=0,0,COUNTIF(INDIRECT("'0.0.2 Pokémon Learnset (Core)'!$D$"&amp;MATCH($E904,'0.0.2 Pokémon Learnset (Core)'!$A$1:$A951,0)&amp;":$FK$"&amp;MATCH($E904,'0.0.2 Pokémon Learnset (Core)'!$A$1:$A951,0)),'Reverse Search'!$E$21)),IF($C$2=2,COUNTIF(INDIRECT("'0.1.1 Pokémon GO Moves'!$B$"&amp;MATCH($E904,'0.1.1 Pokémon GO Moves'!$A$1:$A951,0)&amp;":$R$"&amp;MATCH($E904,'0.1.1 Pokémon GO Moves'!$A$1:$A951,0)),'Reverse Search'!$E$21),COUNTIF(INDIRECT("'0.1.1 Pokémon GO Moves'!$B$"&amp;MATCH($E904,'0.1.1 Pokémon GO Moves'!$A$1:$A951,0)&amp;":$L$"&amp;MATCH($E904,'0.1.1 Pokémon GO Moves'!$A$1:$A951,0)),'Reverse Search'!$E$21)))))</f>
        <v>1</v>
      </c>
      <c r="AA904" s="0" t="e">
        <f aca="true">IF('Reverse Search'!$C$14="Disable",1,IF('Reverse Search'!$I$16="Disable",1,IF($D$2=3,IF($M904=0,0,COUNTIF(INDIRECT("'0.0.2 Pokémon Learnset (Core)'!$D$"&amp;MATCH($E904,'0.0.2 Pokémon Learnset (Core)'!$A$1:$A951,0)&amp;":$FK$"&amp;MATCH($E904,'0.0.2 Pokémon Learnset (Core)'!$A$1:$A951,0)),'Reverse Search'!$J$21)),IF($D$2=2,COUNTIF(INDIRECT("'0.1.1 Pokémon GO Moves'!$B$"&amp;MATCH($E904,'0.1.1 Pokémon GO Moves'!$A$1:$A951,0)&amp;":$R$"&amp;MATCH($E904,'0.1.1 Pokémon GO Moves'!$A$1:$A951,0)),'Reverse Search'!$J$21),COUNTIF(INDIRECT("'0.1.1 Pokémon GO Moves'!$B$"&amp;MATCH($E904,'0.1.1 Pokémon GO Moves'!$A$1:$A951,0)&amp;":$L$"&amp;MATCH($E904,'0.1.1 Pokémon GO Moves'!$A$1:$A951,0)),'Reverse Search'!$J$21)))))</f>
        <v>#N/A</v>
      </c>
      <c r="AB904" s="490"/>
      <c r="AC904" s="260" t="e">
        <f aca="false">IF((Q904+R904+S904+V904+W904+X904+Y904+IF(Z904&gt;=1,1,0)+IF(AA904&gt;=1,1,0))=9,G904&amp;", ",)</f>
        <v>#N/A</v>
      </c>
    </row>
    <row r="905" customFormat="false" ht="15.75" hidden="false" customHeight="false" outlineLevel="0" collapsed="false">
      <c r="A905" s="260"/>
      <c r="B905" s="358"/>
      <c r="C905" s="260"/>
      <c r="D905" s="358"/>
      <c r="E905" s="260" t="n">
        <v>904</v>
      </c>
      <c r="F905" s="260" t="n">
        <f aca="false" t="array" ref="F905:F905">INDEX('0.0.1 Pokémon Dex Data'!$H$3:$H951,MATCH(E905,'0.0.1 Pokémon Dex Data'!$B$3:$B951,0))</f>
        <v>1</v>
      </c>
      <c r="G905" s="0" t="str">
        <f aca="false" t="array" ref="G905:G905">INDEX('0.0.1 Pokémon Dex Data'!$E$3:$E951,MATCH(E905,'0.0.1 Pokémon Dex Data'!$B$3:$B951,0))</f>
        <v>Silvally-Fire</v>
      </c>
      <c r="H905" s="0" t="str">
        <f aca="false" t="array" ref="H905:H905">INDEX('0.0.1 Pokémon Dex Data'!$Q$3:$Q951,MATCH(E905,'0.0.1 Pokémon Dex Data'!$B$3:$B951,0))</f>
        <v>Fire</v>
      </c>
      <c r="I905" s="0" t="n">
        <f aca="false">INDEX('0.0.1 Pokémon Dex Data'!$R$3:$R951,MATCH(E905,'0.0.1 Pokémon Dex Data'!$B$3:$B951,0))</f>
        <v>0</v>
      </c>
      <c r="J905" s="260" t="n">
        <f aca="false" t="array" ref="J905:J905">ROUND(INDEX('0.0.1 Pokémon Dex Data'!$S$3:$S951,MATCH($E905,'0.0.1 Pokémon Dex Data'!$B$3:$B951,0))*INDEX('0.0.1 Pokémon Dex Data'!T$3:T951,MATCH($E905,'0.0.1 Pokémon Dex Data'!$B$3:$B951,0)),0)</f>
        <v>198</v>
      </c>
      <c r="K905" s="260" t="n">
        <f aca="false" t="array" ref="K905:K905">ROUND(INDEX('0.0.1 Pokémon Dex Data'!$S$3:$S951,MATCH($E905,'0.0.1 Pokémon Dex Data'!$B$3:$B951,0))*INDEX('0.0.1 Pokémon Dex Data'!U$3:U951,MATCH($E905,'0.0.1 Pokémon Dex Data'!$B$3:$B951,0)),0)</f>
        <v>198</v>
      </c>
      <c r="L905" s="260" t="n">
        <f aca="false" t="array" ref="L905:L905">ROUND(INDEX('0.0.1 Pokémon Dex Data'!$S$3:$S951,MATCH($E905,'0.0.1 Pokémon Dex Data'!$B$3:$B951,0))*INDEX('0.0.1 Pokémon Dex Data'!V$3:V951,MATCH($E905,'0.0.1 Pokémon Dex Data'!$B$3:$B951,0)),0)</f>
        <v>216</v>
      </c>
      <c r="M905" s="260" t="n">
        <f aca="false" t="array" ref="M905:M905">INDEX('0.0.1 Pokémon Dex Data'!$J$3:$J951,MATCH(E905,'0.0.1 Pokémon Dex Data'!$B$3:$B951,0))</f>
        <v>1</v>
      </c>
      <c r="O905" s="490"/>
      <c r="Q905" s="367" t="n">
        <f aca="false">IF('Reverse Search'!$F$4="All (including temporary formes)",1,IF('Reverse Search'!$F$4="Base Pokémon and permanent formes only",IF(F905&lt;=1,1,0),IF(F905=0,1,0)))</f>
        <v>0</v>
      </c>
      <c r="R905" s="0" t="n">
        <f aca="false">IF('Reverse Search'!$C$7="Disable",1,IF('Reverse Search'!$D$9="Disable",1,IF(OR('Reverse Search'!$F$9=H905,'Reverse Search'!$F$9=I905),1,0)))</f>
        <v>1</v>
      </c>
      <c r="S905" s="0" t="n">
        <f aca="false">IF('Reverse Search'!$C$7="Disable",1,IF('Reverse Search'!$D$10="Disable",1,IF(OR('Reverse Search'!$F$10=H905,'Reverse Search'!$F$10=I905),1,0)))</f>
        <v>1</v>
      </c>
      <c r="T905" s="0" t="n">
        <f aca="false">INDEX($B$4:$B$22,MATCH(H905,$A$4:$A$22,0))</f>
        <v>1</v>
      </c>
      <c r="U905" s="0" t="e">
        <f aca="false">IF(ISBLANK(I905),1,INDEX($B$4:$B$22,MATCH(I905,$A$4:$A$22,0)))</f>
        <v>#N/A</v>
      </c>
      <c r="V905" s="367" t="n">
        <f aca="false">IF('Reverse Search'!$C$7="Disable",1,IF('Reverse Search'!$D$11="Disable",1,IF('Reverse Search'!$E$11="Neutral to:",IF(ROUND(T905*U905,2)&lt;=1,1,0),IF(ROUND(T905*U905,2)&lt;1,1,0))))</f>
        <v>1</v>
      </c>
      <c r="W905" s="0" t="n">
        <f aca="false">IF('Reverse Search'!$N$7="Disable",1,IF('Reverse Search'!$I$9="Disable",1,IF('Reverse Search'!$K$9="≥",IF(J905&gt;='Reverse Search'!$L$9,1,0),IF('Reverse Search'!$K$9="≤",IF(J905&lt;='Reverse Search'!$L$9,1,0),IF(J905='Reverse Search'!$L$9,1,0)))))</f>
        <v>1</v>
      </c>
      <c r="X905" s="0" t="n">
        <f aca="false">IF('Reverse Search'!$N$7="Disable",1,IF('Reverse Search'!$I$10="Disable",1,IF('Reverse Search'!$K$10="≥",IF(K905&gt;='Reverse Search'!$L$10,1,0),IF('Reverse Search'!$K$10="≤",IF(K905&lt;='Reverse Search'!$L$10,1,0),IF(K905='Reverse Search'!$L$10,1,0)))))</f>
        <v>1</v>
      </c>
      <c r="Y905" s="367" t="n">
        <f aca="false">IF('Reverse Search'!$N$7="Disable",1,IF('Reverse Search'!$I$11="Disable",1,IF('Reverse Search'!$K$11="≥",IF(L905&gt;='Reverse Search'!$L$11,1,0),IF('Reverse Search'!$K$11="≤",IF(L905&lt;='Reverse Search'!$L$11,1,0),IF(L905='Reverse Search'!$L$11,1,0)))))</f>
        <v>1</v>
      </c>
      <c r="Z905" s="0" t="n">
        <f aca="true">IF('Reverse Search'!$C$14="Disable",1,IF('Reverse Search'!$D$16="Disable",1,IF($C$2=3,IF($M905=0,0,COUNTIF(INDIRECT("'0.0.2 Pokémon Learnset (Core)'!$D$"&amp;MATCH($E905,'0.0.2 Pokémon Learnset (Core)'!$A$1:$A951,0)&amp;":$FK$"&amp;MATCH($E905,'0.0.2 Pokémon Learnset (Core)'!$A$1:$A951,0)),'Reverse Search'!$E$21)),IF($C$2=2,COUNTIF(INDIRECT("'0.1.1 Pokémon GO Moves'!$B$"&amp;MATCH($E905,'0.1.1 Pokémon GO Moves'!$A$1:$A951,0)&amp;":$R$"&amp;MATCH($E905,'0.1.1 Pokémon GO Moves'!$A$1:$A951,0)),'Reverse Search'!$E$21),COUNTIF(INDIRECT("'0.1.1 Pokémon GO Moves'!$B$"&amp;MATCH($E905,'0.1.1 Pokémon GO Moves'!$A$1:$A951,0)&amp;":$L$"&amp;MATCH($E905,'0.1.1 Pokémon GO Moves'!$A$1:$A951,0)),'Reverse Search'!$E$21)))))</f>
        <v>1</v>
      </c>
      <c r="AA905" s="0" t="e">
        <f aca="true">IF('Reverse Search'!$C$14="Disable",1,IF('Reverse Search'!$I$16="Disable",1,IF($D$2=3,IF($M905=0,0,COUNTIF(INDIRECT("'0.0.2 Pokémon Learnset (Core)'!$D$"&amp;MATCH($E905,'0.0.2 Pokémon Learnset (Core)'!$A$1:$A951,0)&amp;":$FK$"&amp;MATCH($E905,'0.0.2 Pokémon Learnset (Core)'!$A$1:$A951,0)),'Reverse Search'!$J$21)),IF($D$2=2,COUNTIF(INDIRECT("'0.1.1 Pokémon GO Moves'!$B$"&amp;MATCH($E905,'0.1.1 Pokémon GO Moves'!$A$1:$A951,0)&amp;":$R$"&amp;MATCH($E905,'0.1.1 Pokémon GO Moves'!$A$1:$A951,0)),'Reverse Search'!$J$21),COUNTIF(INDIRECT("'0.1.1 Pokémon GO Moves'!$B$"&amp;MATCH($E905,'0.1.1 Pokémon GO Moves'!$A$1:$A951,0)&amp;":$L$"&amp;MATCH($E905,'0.1.1 Pokémon GO Moves'!$A$1:$A951,0)),'Reverse Search'!$J$21)))))</f>
        <v>#N/A</v>
      </c>
      <c r="AB905" s="490"/>
      <c r="AC905" s="260" t="e">
        <f aca="false">IF((Q905+R905+S905+V905+W905+X905+Y905+IF(Z905&gt;=1,1,0)+IF(AA905&gt;=1,1,0))=9,G905&amp;", ",)</f>
        <v>#N/A</v>
      </c>
    </row>
    <row r="906" customFormat="false" ht="15.75" hidden="false" customHeight="false" outlineLevel="0" collapsed="false">
      <c r="A906" s="260"/>
      <c r="B906" s="358"/>
      <c r="C906" s="260"/>
      <c r="D906" s="358"/>
      <c r="E906" s="260" t="n">
        <v>905</v>
      </c>
      <c r="F906" s="260" t="n">
        <f aca="false" t="array" ref="F906:F906">INDEX('0.0.1 Pokémon Dex Data'!$H$3:$H951,MATCH(E906,'0.0.1 Pokémon Dex Data'!$B$3:$B951,0))</f>
        <v>1</v>
      </c>
      <c r="G906" s="0" t="str">
        <f aca="false" t="array" ref="G906:G906">INDEX('0.0.1 Pokémon Dex Data'!$E$3:$E951,MATCH(E906,'0.0.1 Pokémon Dex Data'!$B$3:$B951,0))</f>
        <v>Silvally-Water</v>
      </c>
      <c r="H906" s="0" t="str">
        <f aca="false" t="array" ref="H906:H906">INDEX('0.0.1 Pokémon Dex Data'!$Q$3:$Q951,MATCH(E906,'0.0.1 Pokémon Dex Data'!$B$3:$B951,0))</f>
        <v>Water</v>
      </c>
      <c r="I906" s="0" t="n">
        <f aca="false">INDEX('0.0.1 Pokémon Dex Data'!$R$3:$R951,MATCH(E906,'0.0.1 Pokémon Dex Data'!$B$3:$B951,0))</f>
        <v>0</v>
      </c>
      <c r="J906" s="260" t="n">
        <f aca="false" t="array" ref="J906:J906">ROUND(INDEX('0.0.1 Pokémon Dex Data'!$S$3:$S951,MATCH($E906,'0.0.1 Pokémon Dex Data'!$B$3:$B951,0))*INDEX('0.0.1 Pokémon Dex Data'!T$3:T951,MATCH($E906,'0.0.1 Pokémon Dex Data'!$B$3:$B951,0)),0)</f>
        <v>198</v>
      </c>
      <c r="K906" s="260" t="n">
        <f aca="false" t="array" ref="K906:K906">ROUND(INDEX('0.0.1 Pokémon Dex Data'!$S$3:$S951,MATCH($E906,'0.0.1 Pokémon Dex Data'!$B$3:$B951,0))*INDEX('0.0.1 Pokémon Dex Data'!U$3:U951,MATCH($E906,'0.0.1 Pokémon Dex Data'!$B$3:$B951,0)),0)</f>
        <v>198</v>
      </c>
      <c r="L906" s="260" t="n">
        <f aca="false" t="array" ref="L906:L906">ROUND(INDEX('0.0.1 Pokémon Dex Data'!$S$3:$S951,MATCH($E906,'0.0.1 Pokémon Dex Data'!$B$3:$B951,0))*INDEX('0.0.1 Pokémon Dex Data'!V$3:V951,MATCH($E906,'0.0.1 Pokémon Dex Data'!$B$3:$B951,0)),0)</f>
        <v>216</v>
      </c>
      <c r="M906" s="260" t="n">
        <f aca="false" t="array" ref="M906:M906">INDEX('0.0.1 Pokémon Dex Data'!$J$3:$J951,MATCH(E906,'0.0.1 Pokémon Dex Data'!$B$3:$B951,0))</f>
        <v>1</v>
      </c>
      <c r="O906" s="490"/>
      <c r="Q906" s="367" t="n">
        <f aca="false">IF('Reverse Search'!$F$4="All (including temporary formes)",1,IF('Reverse Search'!$F$4="Base Pokémon and permanent formes only",IF(F906&lt;=1,1,0),IF(F906=0,1,0)))</f>
        <v>0</v>
      </c>
      <c r="R906" s="0" t="n">
        <f aca="false">IF('Reverse Search'!$C$7="Disable",1,IF('Reverse Search'!$D$9="Disable",1,IF(OR('Reverse Search'!$F$9=H906,'Reverse Search'!$F$9=I906),1,0)))</f>
        <v>1</v>
      </c>
      <c r="S906" s="0" t="n">
        <f aca="false">IF('Reverse Search'!$C$7="Disable",1,IF('Reverse Search'!$D$10="Disable",1,IF(OR('Reverse Search'!$F$10=H906,'Reverse Search'!$F$10=I906),1,0)))</f>
        <v>1</v>
      </c>
      <c r="T906" s="0" t="n">
        <f aca="false">INDEX($B$4:$B$22,MATCH(H906,$A$4:$A$22,0))</f>
        <v>1</v>
      </c>
      <c r="U906" s="0" t="e">
        <f aca="false">IF(ISBLANK(I906),1,INDEX($B$4:$B$22,MATCH(I906,$A$4:$A$22,0)))</f>
        <v>#N/A</v>
      </c>
      <c r="V906" s="367" t="n">
        <f aca="false">IF('Reverse Search'!$C$7="Disable",1,IF('Reverse Search'!$D$11="Disable",1,IF('Reverse Search'!$E$11="Neutral to:",IF(ROUND(T906*U906,2)&lt;=1,1,0),IF(ROUND(T906*U906,2)&lt;1,1,0))))</f>
        <v>1</v>
      </c>
      <c r="W906" s="0" t="n">
        <f aca="false">IF('Reverse Search'!$N$7="Disable",1,IF('Reverse Search'!$I$9="Disable",1,IF('Reverse Search'!$K$9="≥",IF(J906&gt;='Reverse Search'!$L$9,1,0),IF('Reverse Search'!$K$9="≤",IF(J906&lt;='Reverse Search'!$L$9,1,0),IF(J906='Reverse Search'!$L$9,1,0)))))</f>
        <v>1</v>
      </c>
      <c r="X906" s="0" t="n">
        <f aca="false">IF('Reverse Search'!$N$7="Disable",1,IF('Reverse Search'!$I$10="Disable",1,IF('Reverse Search'!$K$10="≥",IF(K906&gt;='Reverse Search'!$L$10,1,0),IF('Reverse Search'!$K$10="≤",IF(K906&lt;='Reverse Search'!$L$10,1,0),IF(K906='Reverse Search'!$L$10,1,0)))))</f>
        <v>1</v>
      </c>
      <c r="Y906" s="367" t="n">
        <f aca="false">IF('Reverse Search'!$N$7="Disable",1,IF('Reverse Search'!$I$11="Disable",1,IF('Reverse Search'!$K$11="≥",IF(L906&gt;='Reverse Search'!$L$11,1,0),IF('Reverse Search'!$K$11="≤",IF(L906&lt;='Reverse Search'!$L$11,1,0),IF(L906='Reverse Search'!$L$11,1,0)))))</f>
        <v>1</v>
      </c>
      <c r="Z906" s="0" t="n">
        <f aca="true">IF('Reverse Search'!$C$14="Disable",1,IF('Reverse Search'!$D$16="Disable",1,IF($C$2=3,IF($M906=0,0,COUNTIF(INDIRECT("'0.0.2 Pokémon Learnset (Core)'!$D$"&amp;MATCH($E906,'0.0.2 Pokémon Learnset (Core)'!$A$1:$A951,0)&amp;":$FK$"&amp;MATCH($E906,'0.0.2 Pokémon Learnset (Core)'!$A$1:$A951,0)),'Reverse Search'!$E$21)),IF($C$2=2,COUNTIF(INDIRECT("'0.1.1 Pokémon GO Moves'!$B$"&amp;MATCH($E906,'0.1.1 Pokémon GO Moves'!$A$1:$A951,0)&amp;":$R$"&amp;MATCH($E906,'0.1.1 Pokémon GO Moves'!$A$1:$A951,0)),'Reverse Search'!$E$21),COUNTIF(INDIRECT("'0.1.1 Pokémon GO Moves'!$B$"&amp;MATCH($E906,'0.1.1 Pokémon GO Moves'!$A$1:$A951,0)&amp;":$L$"&amp;MATCH($E906,'0.1.1 Pokémon GO Moves'!$A$1:$A951,0)),'Reverse Search'!$E$21)))))</f>
        <v>1</v>
      </c>
      <c r="AA906" s="0" t="e">
        <f aca="true">IF('Reverse Search'!$C$14="Disable",1,IF('Reverse Search'!$I$16="Disable",1,IF($D$2=3,IF($M906=0,0,COUNTIF(INDIRECT("'0.0.2 Pokémon Learnset (Core)'!$D$"&amp;MATCH($E906,'0.0.2 Pokémon Learnset (Core)'!$A$1:$A951,0)&amp;":$FK$"&amp;MATCH($E906,'0.0.2 Pokémon Learnset (Core)'!$A$1:$A951,0)),'Reverse Search'!$J$21)),IF($D$2=2,COUNTIF(INDIRECT("'0.1.1 Pokémon GO Moves'!$B$"&amp;MATCH($E906,'0.1.1 Pokémon GO Moves'!$A$1:$A951,0)&amp;":$R$"&amp;MATCH($E906,'0.1.1 Pokémon GO Moves'!$A$1:$A951,0)),'Reverse Search'!$J$21),COUNTIF(INDIRECT("'0.1.1 Pokémon GO Moves'!$B$"&amp;MATCH($E906,'0.1.1 Pokémon GO Moves'!$A$1:$A951,0)&amp;":$L$"&amp;MATCH($E906,'0.1.1 Pokémon GO Moves'!$A$1:$A951,0)),'Reverse Search'!$J$21)))))</f>
        <v>#N/A</v>
      </c>
      <c r="AB906" s="490"/>
      <c r="AC906" s="260" t="e">
        <f aca="false">IF((Q906+R906+S906+V906+W906+X906+Y906+IF(Z906&gt;=1,1,0)+IF(AA906&gt;=1,1,0))=9,G906&amp;", ",)</f>
        <v>#N/A</v>
      </c>
    </row>
    <row r="907" customFormat="false" ht="15.75" hidden="false" customHeight="false" outlineLevel="0" collapsed="false">
      <c r="A907" s="260"/>
      <c r="B907" s="358"/>
      <c r="C907" s="260"/>
      <c r="D907" s="358"/>
      <c r="E907" s="260" t="n">
        <v>906</v>
      </c>
      <c r="F907" s="260" t="n">
        <f aca="false" t="array" ref="F907:F907">INDEX('0.0.1 Pokémon Dex Data'!$H$3:$H951,MATCH(E907,'0.0.1 Pokémon Dex Data'!$B$3:$B951,0))</f>
        <v>1</v>
      </c>
      <c r="G907" s="0" t="str">
        <f aca="false" t="array" ref="G907:G907">INDEX('0.0.1 Pokémon Dex Data'!$E$3:$E951,MATCH(E907,'0.0.1 Pokémon Dex Data'!$B$3:$B951,0))</f>
        <v>Silvally-Grass</v>
      </c>
      <c r="H907" s="0" t="str">
        <f aca="false" t="array" ref="H907:H907">INDEX('0.0.1 Pokémon Dex Data'!$Q$3:$Q951,MATCH(E907,'0.0.1 Pokémon Dex Data'!$B$3:$B951,0))</f>
        <v>Grass</v>
      </c>
      <c r="I907" s="0" t="n">
        <f aca="false">INDEX('0.0.1 Pokémon Dex Data'!$R$3:$R951,MATCH(E907,'0.0.1 Pokémon Dex Data'!$B$3:$B951,0))</f>
        <v>0</v>
      </c>
      <c r="J907" s="260" t="n">
        <f aca="false" t="array" ref="J907:J907">ROUND(INDEX('0.0.1 Pokémon Dex Data'!$S$3:$S951,MATCH($E907,'0.0.1 Pokémon Dex Data'!$B$3:$B951,0))*INDEX('0.0.1 Pokémon Dex Data'!T$3:T951,MATCH($E907,'0.0.1 Pokémon Dex Data'!$B$3:$B951,0)),0)</f>
        <v>198</v>
      </c>
      <c r="K907" s="260" t="n">
        <f aca="false" t="array" ref="K907:K907">ROUND(INDEX('0.0.1 Pokémon Dex Data'!$S$3:$S951,MATCH($E907,'0.0.1 Pokémon Dex Data'!$B$3:$B951,0))*INDEX('0.0.1 Pokémon Dex Data'!U$3:U951,MATCH($E907,'0.0.1 Pokémon Dex Data'!$B$3:$B951,0)),0)</f>
        <v>198</v>
      </c>
      <c r="L907" s="260" t="n">
        <f aca="false" t="array" ref="L907:L907">ROUND(INDEX('0.0.1 Pokémon Dex Data'!$S$3:$S951,MATCH($E907,'0.0.1 Pokémon Dex Data'!$B$3:$B951,0))*INDEX('0.0.1 Pokémon Dex Data'!V$3:V951,MATCH($E907,'0.0.1 Pokémon Dex Data'!$B$3:$B951,0)),0)</f>
        <v>216</v>
      </c>
      <c r="M907" s="260" t="n">
        <f aca="false" t="array" ref="M907:M907">INDEX('0.0.1 Pokémon Dex Data'!$J$3:$J951,MATCH(E907,'0.0.1 Pokémon Dex Data'!$B$3:$B951,0))</f>
        <v>1</v>
      </c>
      <c r="O907" s="490"/>
      <c r="Q907" s="367" t="n">
        <f aca="false">IF('Reverse Search'!$F$4="All (including temporary formes)",1,IF('Reverse Search'!$F$4="Base Pokémon and permanent formes only",IF(F907&lt;=1,1,0),IF(F907=0,1,0)))</f>
        <v>0</v>
      </c>
      <c r="R907" s="0" t="n">
        <f aca="false">IF('Reverse Search'!$C$7="Disable",1,IF('Reverse Search'!$D$9="Disable",1,IF(OR('Reverse Search'!$F$9=H907,'Reverse Search'!$F$9=I907),1,0)))</f>
        <v>1</v>
      </c>
      <c r="S907" s="0" t="n">
        <f aca="false">IF('Reverse Search'!$C$7="Disable",1,IF('Reverse Search'!$D$10="Disable",1,IF(OR('Reverse Search'!$F$10=H907,'Reverse Search'!$F$10=I907),1,0)))</f>
        <v>1</v>
      </c>
      <c r="T907" s="0" t="n">
        <f aca="false">INDEX($B$4:$B$22,MATCH(H907,$A$4:$A$22,0))</f>
        <v>1</v>
      </c>
      <c r="U907" s="0" t="e">
        <f aca="false">IF(ISBLANK(I907),1,INDEX($B$4:$B$22,MATCH(I907,$A$4:$A$22,0)))</f>
        <v>#N/A</v>
      </c>
      <c r="V907" s="367" t="n">
        <f aca="false">IF('Reverse Search'!$C$7="Disable",1,IF('Reverse Search'!$D$11="Disable",1,IF('Reverse Search'!$E$11="Neutral to:",IF(ROUND(T907*U907,2)&lt;=1,1,0),IF(ROUND(T907*U907,2)&lt;1,1,0))))</f>
        <v>1</v>
      </c>
      <c r="W907" s="0" t="n">
        <f aca="false">IF('Reverse Search'!$N$7="Disable",1,IF('Reverse Search'!$I$9="Disable",1,IF('Reverse Search'!$K$9="≥",IF(J907&gt;='Reverse Search'!$L$9,1,0),IF('Reverse Search'!$K$9="≤",IF(J907&lt;='Reverse Search'!$L$9,1,0),IF(J907='Reverse Search'!$L$9,1,0)))))</f>
        <v>1</v>
      </c>
      <c r="X907" s="0" t="n">
        <f aca="false">IF('Reverse Search'!$N$7="Disable",1,IF('Reverse Search'!$I$10="Disable",1,IF('Reverse Search'!$K$10="≥",IF(K907&gt;='Reverse Search'!$L$10,1,0),IF('Reverse Search'!$K$10="≤",IF(K907&lt;='Reverse Search'!$L$10,1,0),IF(K907='Reverse Search'!$L$10,1,0)))))</f>
        <v>1</v>
      </c>
      <c r="Y907" s="367" t="n">
        <f aca="false">IF('Reverse Search'!$N$7="Disable",1,IF('Reverse Search'!$I$11="Disable",1,IF('Reverse Search'!$K$11="≥",IF(L907&gt;='Reverse Search'!$L$11,1,0),IF('Reverse Search'!$K$11="≤",IF(L907&lt;='Reverse Search'!$L$11,1,0),IF(L907='Reverse Search'!$L$11,1,0)))))</f>
        <v>1</v>
      </c>
      <c r="Z907" s="0" t="n">
        <f aca="true">IF('Reverse Search'!$C$14="Disable",1,IF('Reverse Search'!$D$16="Disable",1,IF($C$2=3,IF($M907=0,0,COUNTIF(INDIRECT("'0.0.2 Pokémon Learnset (Core)'!$D$"&amp;MATCH($E907,'0.0.2 Pokémon Learnset (Core)'!$A$1:$A951,0)&amp;":$FK$"&amp;MATCH($E907,'0.0.2 Pokémon Learnset (Core)'!$A$1:$A951,0)),'Reverse Search'!$E$21)),IF($C$2=2,COUNTIF(INDIRECT("'0.1.1 Pokémon GO Moves'!$B$"&amp;MATCH($E907,'0.1.1 Pokémon GO Moves'!$A$1:$A951,0)&amp;":$R$"&amp;MATCH($E907,'0.1.1 Pokémon GO Moves'!$A$1:$A951,0)),'Reverse Search'!$E$21),COUNTIF(INDIRECT("'0.1.1 Pokémon GO Moves'!$B$"&amp;MATCH($E907,'0.1.1 Pokémon GO Moves'!$A$1:$A951,0)&amp;":$L$"&amp;MATCH($E907,'0.1.1 Pokémon GO Moves'!$A$1:$A951,0)),'Reverse Search'!$E$21)))))</f>
        <v>1</v>
      </c>
      <c r="AA907" s="0" t="e">
        <f aca="true">IF('Reverse Search'!$C$14="Disable",1,IF('Reverse Search'!$I$16="Disable",1,IF($D$2=3,IF($M907=0,0,COUNTIF(INDIRECT("'0.0.2 Pokémon Learnset (Core)'!$D$"&amp;MATCH($E907,'0.0.2 Pokémon Learnset (Core)'!$A$1:$A951,0)&amp;":$FK$"&amp;MATCH($E907,'0.0.2 Pokémon Learnset (Core)'!$A$1:$A951,0)),'Reverse Search'!$J$21)),IF($D$2=2,COUNTIF(INDIRECT("'0.1.1 Pokémon GO Moves'!$B$"&amp;MATCH($E907,'0.1.1 Pokémon GO Moves'!$A$1:$A951,0)&amp;":$R$"&amp;MATCH($E907,'0.1.1 Pokémon GO Moves'!$A$1:$A951,0)),'Reverse Search'!$J$21),COUNTIF(INDIRECT("'0.1.1 Pokémon GO Moves'!$B$"&amp;MATCH($E907,'0.1.1 Pokémon GO Moves'!$A$1:$A951,0)&amp;":$L$"&amp;MATCH($E907,'0.1.1 Pokémon GO Moves'!$A$1:$A951,0)),'Reverse Search'!$J$21)))))</f>
        <v>#N/A</v>
      </c>
      <c r="AB907" s="490"/>
      <c r="AC907" s="260" t="e">
        <f aca="false">IF((Q907+R907+S907+V907+W907+X907+Y907+IF(Z907&gt;=1,1,0)+IF(AA907&gt;=1,1,0))=9,G907&amp;", ",)</f>
        <v>#N/A</v>
      </c>
    </row>
    <row r="908" customFormat="false" ht="15.75" hidden="false" customHeight="false" outlineLevel="0" collapsed="false">
      <c r="A908" s="260"/>
      <c r="B908" s="358"/>
      <c r="C908" s="260"/>
      <c r="D908" s="358"/>
      <c r="E908" s="260" t="n">
        <v>907</v>
      </c>
      <c r="F908" s="260" t="n">
        <f aca="false" t="array" ref="F908:F908">INDEX('0.0.1 Pokémon Dex Data'!$H$3:$H951,MATCH(E908,'0.0.1 Pokémon Dex Data'!$B$3:$B951,0))</f>
        <v>1</v>
      </c>
      <c r="G908" s="0" t="str">
        <f aca="false" t="array" ref="G908:G908">INDEX('0.0.1 Pokémon Dex Data'!$E$3:$E951,MATCH(E908,'0.0.1 Pokémon Dex Data'!$B$3:$B951,0))</f>
        <v>Silvally-Electric</v>
      </c>
      <c r="H908" s="0" t="str">
        <f aca="false" t="array" ref="H908:H908">INDEX('0.0.1 Pokémon Dex Data'!$Q$3:$Q951,MATCH(E908,'0.0.1 Pokémon Dex Data'!$B$3:$B951,0))</f>
        <v>Electric</v>
      </c>
      <c r="I908" s="0" t="n">
        <f aca="false">INDEX('0.0.1 Pokémon Dex Data'!$R$3:$R951,MATCH(E908,'0.0.1 Pokémon Dex Data'!$B$3:$B951,0))</f>
        <v>0</v>
      </c>
      <c r="J908" s="260" t="n">
        <f aca="false" t="array" ref="J908:J908">ROUND(INDEX('0.0.1 Pokémon Dex Data'!$S$3:$S951,MATCH($E908,'0.0.1 Pokémon Dex Data'!$B$3:$B951,0))*INDEX('0.0.1 Pokémon Dex Data'!T$3:T951,MATCH($E908,'0.0.1 Pokémon Dex Data'!$B$3:$B951,0)),0)</f>
        <v>198</v>
      </c>
      <c r="K908" s="260" t="n">
        <f aca="false" t="array" ref="K908:K908">ROUND(INDEX('0.0.1 Pokémon Dex Data'!$S$3:$S951,MATCH($E908,'0.0.1 Pokémon Dex Data'!$B$3:$B951,0))*INDEX('0.0.1 Pokémon Dex Data'!U$3:U951,MATCH($E908,'0.0.1 Pokémon Dex Data'!$B$3:$B951,0)),0)</f>
        <v>198</v>
      </c>
      <c r="L908" s="260" t="n">
        <f aca="false" t="array" ref="L908:L908">ROUND(INDEX('0.0.1 Pokémon Dex Data'!$S$3:$S951,MATCH($E908,'0.0.1 Pokémon Dex Data'!$B$3:$B951,0))*INDEX('0.0.1 Pokémon Dex Data'!V$3:V951,MATCH($E908,'0.0.1 Pokémon Dex Data'!$B$3:$B951,0)),0)</f>
        <v>216</v>
      </c>
      <c r="M908" s="260" t="n">
        <f aca="false" t="array" ref="M908:M908">INDEX('0.0.1 Pokémon Dex Data'!$J$3:$J951,MATCH(E908,'0.0.1 Pokémon Dex Data'!$B$3:$B951,0))</f>
        <v>1</v>
      </c>
      <c r="O908" s="490"/>
      <c r="Q908" s="367" t="n">
        <f aca="false">IF('Reverse Search'!$F$4="All (including temporary formes)",1,IF('Reverse Search'!$F$4="Base Pokémon and permanent formes only",IF(F908&lt;=1,1,0),IF(F908=0,1,0)))</f>
        <v>0</v>
      </c>
      <c r="R908" s="0" t="n">
        <f aca="false">IF('Reverse Search'!$C$7="Disable",1,IF('Reverse Search'!$D$9="Disable",1,IF(OR('Reverse Search'!$F$9=H908,'Reverse Search'!$F$9=I908),1,0)))</f>
        <v>1</v>
      </c>
      <c r="S908" s="0" t="n">
        <f aca="false">IF('Reverse Search'!$C$7="Disable",1,IF('Reverse Search'!$D$10="Disable",1,IF(OR('Reverse Search'!$F$10=H908,'Reverse Search'!$F$10=I908),1,0)))</f>
        <v>1</v>
      </c>
      <c r="T908" s="0" t="n">
        <f aca="false">INDEX($B$4:$B$22,MATCH(H908,$A$4:$A$22,0))</f>
        <v>1</v>
      </c>
      <c r="U908" s="0" t="e">
        <f aca="false">IF(ISBLANK(I908),1,INDEX($B$4:$B$22,MATCH(I908,$A$4:$A$22,0)))</f>
        <v>#N/A</v>
      </c>
      <c r="V908" s="367" t="n">
        <f aca="false">IF('Reverse Search'!$C$7="Disable",1,IF('Reverse Search'!$D$11="Disable",1,IF('Reverse Search'!$E$11="Neutral to:",IF(ROUND(T908*U908,2)&lt;=1,1,0),IF(ROUND(T908*U908,2)&lt;1,1,0))))</f>
        <v>1</v>
      </c>
      <c r="W908" s="0" t="n">
        <f aca="false">IF('Reverse Search'!$N$7="Disable",1,IF('Reverse Search'!$I$9="Disable",1,IF('Reverse Search'!$K$9="≥",IF(J908&gt;='Reverse Search'!$L$9,1,0),IF('Reverse Search'!$K$9="≤",IF(J908&lt;='Reverse Search'!$L$9,1,0),IF(J908='Reverse Search'!$L$9,1,0)))))</f>
        <v>1</v>
      </c>
      <c r="X908" s="0" t="n">
        <f aca="false">IF('Reverse Search'!$N$7="Disable",1,IF('Reverse Search'!$I$10="Disable",1,IF('Reverse Search'!$K$10="≥",IF(K908&gt;='Reverse Search'!$L$10,1,0),IF('Reverse Search'!$K$10="≤",IF(K908&lt;='Reverse Search'!$L$10,1,0),IF(K908='Reverse Search'!$L$10,1,0)))))</f>
        <v>1</v>
      </c>
      <c r="Y908" s="367" t="n">
        <f aca="false">IF('Reverse Search'!$N$7="Disable",1,IF('Reverse Search'!$I$11="Disable",1,IF('Reverse Search'!$K$11="≥",IF(L908&gt;='Reverse Search'!$L$11,1,0),IF('Reverse Search'!$K$11="≤",IF(L908&lt;='Reverse Search'!$L$11,1,0),IF(L908='Reverse Search'!$L$11,1,0)))))</f>
        <v>1</v>
      </c>
      <c r="Z908" s="0" t="n">
        <f aca="true">IF('Reverse Search'!$C$14="Disable",1,IF('Reverse Search'!$D$16="Disable",1,IF($C$2=3,IF($M908=0,0,COUNTIF(INDIRECT("'0.0.2 Pokémon Learnset (Core)'!$D$"&amp;MATCH($E908,'0.0.2 Pokémon Learnset (Core)'!$A$1:$A951,0)&amp;":$FK$"&amp;MATCH($E908,'0.0.2 Pokémon Learnset (Core)'!$A$1:$A951,0)),'Reverse Search'!$E$21)),IF($C$2=2,COUNTIF(INDIRECT("'0.1.1 Pokémon GO Moves'!$B$"&amp;MATCH($E908,'0.1.1 Pokémon GO Moves'!$A$1:$A951,0)&amp;":$R$"&amp;MATCH($E908,'0.1.1 Pokémon GO Moves'!$A$1:$A951,0)),'Reverse Search'!$E$21),COUNTIF(INDIRECT("'0.1.1 Pokémon GO Moves'!$B$"&amp;MATCH($E908,'0.1.1 Pokémon GO Moves'!$A$1:$A951,0)&amp;":$L$"&amp;MATCH($E908,'0.1.1 Pokémon GO Moves'!$A$1:$A951,0)),'Reverse Search'!$E$21)))))</f>
        <v>1</v>
      </c>
      <c r="AA908" s="0" t="e">
        <f aca="true">IF('Reverse Search'!$C$14="Disable",1,IF('Reverse Search'!$I$16="Disable",1,IF($D$2=3,IF($M908=0,0,COUNTIF(INDIRECT("'0.0.2 Pokémon Learnset (Core)'!$D$"&amp;MATCH($E908,'0.0.2 Pokémon Learnset (Core)'!$A$1:$A951,0)&amp;":$FK$"&amp;MATCH($E908,'0.0.2 Pokémon Learnset (Core)'!$A$1:$A951,0)),'Reverse Search'!$J$21)),IF($D$2=2,COUNTIF(INDIRECT("'0.1.1 Pokémon GO Moves'!$B$"&amp;MATCH($E908,'0.1.1 Pokémon GO Moves'!$A$1:$A951,0)&amp;":$R$"&amp;MATCH($E908,'0.1.1 Pokémon GO Moves'!$A$1:$A951,0)),'Reverse Search'!$J$21),COUNTIF(INDIRECT("'0.1.1 Pokémon GO Moves'!$B$"&amp;MATCH($E908,'0.1.1 Pokémon GO Moves'!$A$1:$A951,0)&amp;":$L$"&amp;MATCH($E908,'0.1.1 Pokémon GO Moves'!$A$1:$A951,0)),'Reverse Search'!$J$21)))))</f>
        <v>#N/A</v>
      </c>
      <c r="AB908" s="490"/>
      <c r="AC908" s="260" t="e">
        <f aca="false">IF((Q908+R908+S908+V908+W908+X908+Y908+IF(Z908&gt;=1,1,0)+IF(AA908&gt;=1,1,0))=9,G908&amp;", ",)</f>
        <v>#N/A</v>
      </c>
    </row>
    <row r="909" customFormat="false" ht="15.75" hidden="false" customHeight="false" outlineLevel="0" collapsed="false">
      <c r="A909" s="260"/>
      <c r="B909" s="358"/>
      <c r="C909" s="260"/>
      <c r="D909" s="358"/>
      <c r="E909" s="260" t="n">
        <v>908</v>
      </c>
      <c r="F909" s="260" t="n">
        <f aca="false" t="array" ref="F909:F909">INDEX('0.0.1 Pokémon Dex Data'!$H$3:$H951,MATCH(E909,'0.0.1 Pokémon Dex Data'!$B$3:$B951,0))</f>
        <v>1</v>
      </c>
      <c r="G909" s="0" t="str">
        <f aca="false" t="array" ref="G909:G909">INDEX('0.0.1 Pokémon Dex Data'!$E$3:$E951,MATCH(E909,'0.0.1 Pokémon Dex Data'!$B$3:$B951,0))</f>
        <v>Silvally-Psychic</v>
      </c>
      <c r="H909" s="0" t="str">
        <f aca="false" t="array" ref="H909:H909">INDEX('0.0.1 Pokémon Dex Data'!$Q$3:$Q951,MATCH(E909,'0.0.1 Pokémon Dex Data'!$B$3:$B951,0))</f>
        <v>Psychic</v>
      </c>
      <c r="I909" s="0" t="n">
        <f aca="false">INDEX('0.0.1 Pokémon Dex Data'!$R$3:$R951,MATCH(E909,'0.0.1 Pokémon Dex Data'!$B$3:$B951,0))</f>
        <v>0</v>
      </c>
      <c r="J909" s="260" t="n">
        <f aca="false" t="array" ref="J909:J909">ROUND(INDEX('0.0.1 Pokémon Dex Data'!$S$3:$S951,MATCH($E909,'0.0.1 Pokémon Dex Data'!$B$3:$B951,0))*INDEX('0.0.1 Pokémon Dex Data'!T$3:T951,MATCH($E909,'0.0.1 Pokémon Dex Data'!$B$3:$B951,0)),0)</f>
        <v>198</v>
      </c>
      <c r="K909" s="260" t="n">
        <f aca="false" t="array" ref="K909:K909">ROUND(INDEX('0.0.1 Pokémon Dex Data'!$S$3:$S951,MATCH($E909,'0.0.1 Pokémon Dex Data'!$B$3:$B951,0))*INDEX('0.0.1 Pokémon Dex Data'!U$3:U951,MATCH($E909,'0.0.1 Pokémon Dex Data'!$B$3:$B951,0)),0)</f>
        <v>198</v>
      </c>
      <c r="L909" s="260" t="n">
        <f aca="false" t="array" ref="L909:L909">ROUND(INDEX('0.0.1 Pokémon Dex Data'!$S$3:$S951,MATCH($E909,'0.0.1 Pokémon Dex Data'!$B$3:$B951,0))*INDEX('0.0.1 Pokémon Dex Data'!V$3:V951,MATCH($E909,'0.0.1 Pokémon Dex Data'!$B$3:$B951,0)),0)</f>
        <v>216</v>
      </c>
      <c r="M909" s="260" t="n">
        <f aca="false" t="array" ref="M909:M909">INDEX('0.0.1 Pokémon Dex Data'!$J$3:$J951,MATCH(E909,'0.0.1 Pokémon Dex Data'!$B$3:$B951,0))</f>
        <v>1</v>
      </c>
      <c r="O909" s="490"/>
      <c r="Q909" s="367" t="n">
        <f aca="false">IF('Reverse Search'!$F$4="All (including temporary formes)",1,IF('Reverse Search'!$F$4="Base Pokémon and permanent formes only",IF(F909&lt;=1,1,0),IF(F909=0,1,0)))</f>
        <v>0</v>
      </c>
      <c r="R909" s="0" t="n">
        <f aca="false">IF('Reverse Search'!$C$7="Disable",1,IF('Reverse Search'!$D$9="Disable",1,IF(OR('Reverse Search'!$F$9=H909,'Reverse Search'!$F$9=I909),1,0)))</f>
        <v>1</v>
      </c>
      <c r="S909" s="0" t="n">
        <f aca="false">IF('Reverse Search'!$C$7="Disable",1,IF('Reverse Search'!$D$10="Disable",1,IF(OR('Reverse Search'!$F$10=H909,'Reverse Search'!$F$10=I909),1,0)))</f>
        <v>1</v>
      </c>
      <c r="T909" s="0" t="n">
        <f aca="false">INDEX($B$4:$B$22,MATCH(H909,$A$4:$A$22,0))</f>
        <v>1</v>
      </c>
      <c r="U909" s="0" t="e">
        <f aca="false">IF(ISBLANK(I909),1,INDEX($B$4:$B$22,MATCH(I909,$A$4:$A$22,0)))</f>
        <v>#N/A</v>
      </c>
      <c r="V909" s="367" t="n">
        <f aca="false">IF('Reverse Search'!$C$7="Disable",1,IF('Reverse Search'!$D$11="Disable",1,IF('Reverse Search'!$E$11="Neutral to:",IF(ROUND(T909*U909,2)&lt;=1,1,0),IF(ROUND(T909*U909,2)&lt;1,1,0))))</f>
        <v>1</v>
      </c>
      <c r="W909" s="0" t="n">
        <f aca="false">IF('Reverse Search'!$N$7="Disable",1,IF('Reverse Search'!$I$9="Disable",1,IF('Reverse Search'!$K$9="≥",IF(J909&gt;='Reverse Search'!$L$9,1,0),IF('Reverse Search'!$K$9="≤",IF(J909&lt;='Reverse Search'!$L$9,1,0),IF(J909='Reverse Search'!$L$9,1,0)))))</f>
        <v>1</v>
      </c>
      <c r="X909" s="0" t="n">
        <f aca="false">IF('Reverse Search'!$N$7="Disable",1,IF('Reverse Search'!$I$10="Disable",1,IF('Reverse Search'!$K$10="≥",IF(K909&gt;='Reverse Search'!$L$10,1,0),IF('Reverse Search'!$K$10="≤",IF(K909&lt;='Reverse Search'!$L$10,1,0),IF(K909='Reverse Search'!$L$10,1,0)))))</f>
        <v>1</v>
      </c>
      <c r="Y909" s="367" t="n">
        <f aca="false">IF('Reverse Search'!$N$7="Disable",1,IF('Reverse Search'!$I$11="Disable",1,IF('Reverse Search'!$K$11="≥",IF(L909&gt;='Reverse Search'!$L$11,1,0),IF('Reverse Search'!$K$11="≤",IF(L909&lt;='Reverse Search'!$L$11,1,0),IF(L909='Reverse Search'!$L$11,1,0)))))</f>
        <v>1</v>
      </c>
      <c r="Z909" s="0" t="n">
        <f aca="true">IF('Reverse Search'!$C$14="Disable",1,IF('Reverse Search'!$D$16="Disable",1,IF($C$2=3,IF($M909=0,0,COUNTIF(INDIRECT("'0.0.2 Pokémon Learnset (Core)'!$D$"&amp;MATCH($E909,'0.0.2 Pokémon Learnset (Core)'!$A$1:$A951,0)&amp;":$FK$"&amp;MATCH($E909,'0.0.2 Pokémon Learnset (Core)'!$A$1:$A951,0)),'Reverse Search'!$E$21)),IF($C$2=2,COUNTIF(INDIRECT("'0.1.1 Pokémon GO Moves'!$B$"&amp;MATCH($E909,'0.1.1 Pokémon GO Moves'!$A$1:$A951,0)&amp;":$R$"&amp;MATCH($E909,'0.1.1 Pokémon GO Moves'!$A$1:$A951,0)),'Reverse Search'!$E$21),COUNTIF(INDIRECT("'0.1.1 Pokémon GO Moves'!$B$"&amp;MATCH($E909,'0.1.1 Pokémon GO Moves'!$A$1:$A951,0)&amp;":$L$"&amp;MATCH($E909,'0.1.1 Pokémon GO Moves'!$A$1:$A951,0)),'Reverse Search'!$E$21)))))</f>
        <v>1</v>
      </c>
      <c r="AA909" s="0" t="e">
        <f aca="true">IF('Reverse Search'!$C$14="Disable",1,IF('Reverse Search'!$I$16="Disable",1,IF($D$2=3,IF($M909=0,0,COUNTIF(INDIRECT("'0.0.2 Pokémon Learnset (Core)'!$D$"&amp;MATCH($E909,'0.0.2 Pokémon Learnset (Core)'!$A$1:$A951,0)&amp;":$FK$"&amp;MATCH($E909,'0.0.2 Pokémon Learnset (Core)'!$A$1:$A951,0)),'Reverse Search'!$J$21)),IF($D$2=2,COUNTIF(INDIRECT("'0.1.1 Pokémon GO Moves'!$B$"&amp;MATCH($E909,'0.1.1 Pokémon GO Moves'!$A$1:$A951,0)&amp;":$R$"&amp;MATCH($E909,'0.1.1 Pokémon GO Moves'!$A$1:$A951,0)),'Reverse Search'!$J$21),COUNTIF(INDIRECT("'0.1.1 Pokémon GO Moves'!$B$"&amp;MATCH($E909,'0.1.1 Pokémon GO Moves'!$A$1:$A951,0)&amp;":$L$"&amp;MATCH($E909,'0.1.1 Pokémon GO Moves'!$A$1:$A951,0)),'Reverse Search'!$J$21)))))</f>
        <v>#N/A</v>
      </c>
      <c r="AB909" s="490"/>
      <c r="AC909" s="260" t="e">
        <f aca="false">IF((Q909+R909+S909+V909+W909+X909+Y909+IF(Z909&gt;=1,1,0)+IF(AA909&gt;=1,1,0))=9,G909&amp;", ",)</f>
        <v>#N/A</v>
      </c>
    </row>
    <row r="910" customFormat="false" ht="15.75" hidden="false" customHeight="false" outlineLevel="0" collapsed="false">
      <c r="A910" s="260"/>
      <c r="B910" s="358"/>
      <c r="C910" s="260"/>
      <c r="D910" s="358"/>
      <c r="E910" s="260" t="n">
        <v>909</v>
      </c>
      <c r="F910" s="260" t="n">
        <f aca="false" t="array" ref="F910:F910">INDEX('0.0.1 Pokémon Dex Data'!$H$3:$H951,MATCH(E910,'0.0.1 Pokémon Dex Data'!$B$3:$B951,0))</f>
        <v>1</v>
      </c>
      <c r="G910" s="0" t="str">
        <f aca="false" t="array" ref="G910:G910">INDEX('0.0.1 Pokémon Dex Data'!$E$3:$E951,MATCH(E910,'0.0.1 Pokémon Dex Data'!$B$3:$B951,0))</f>
        <v>Silvally-Ice</v>
      </c>
      <c r="H910" s="0" t="str">
        <f aca="false" t="array" ref="H910:H910">INDEX('0.0.1 Pokémon Dex Data'!$Q$3:$Q951,MATCH(E910,'0.0.1 Pokémon Dex Data'!$B$3:$B951,0))</f>
        <v>Ice</v>
      </c>
      <c r="I910" s="0" t="n">
        <f aca="false">INDEX('0.0.1 Pokémon Dex Data'!$R$3:$R951,MATCH(E910,'0.0.1 Pokémon Dex Data'!$B$3:$B951,0))</f>
        <v>0</v>
      </c>
      <c r="J910" s="260" t="n">
        <f aca="false" t="array" ref="J910:J910">ROUND(INDEX('0.0.1 Pokémon Dex Data'!$S$3:$S951,MATCH($E910,'0.0.1 Pokémon Dex Data'!$B$3:$B951,0))*INDEX('0.0.1 Pokémon Dex Data'!T$3:T951,MATCH($E910,'0.0.1 Pokémon Dex Data'!$B$3:$B951,0)),0)</f>
        <v>198</v>
      </c>
      <c r="K910" s="260" t="n">
        <f aca="false" t="array" ref="K910:K910">ROUND(INDEX('0.0.1 Pokémon Dex Data'!$S$3:$S951,MATCH($E910,'0.0.1 Pokémon Dex Data'!$B$3:$B951,0))*INDEX('0.0.1 Pokémon Dex Data'!U$3:U951,MATCH($E910,'0.0.1 Pokémon Dex Data'!$B$3:$B951,0)),0)</f>
        <v>198</v>
      </c>
      <c r="L910" s="260" t="n">
        <f aca="false" t="array" ref="L910:L910">ROUND(INDEX('0.0.1 Pokémon Dex Data'!$S$3:$S951,MATCH($E910,'0.0.1 Pokémon Dex Data'!$B$3:$B951,0))*INDEX('0.0.1 Pokémon Dex Data'!V$3:V951,MATCH($E910,'0.0.1 Pokémon Dex Data'!$B$3:$B951,0)),0)</f>
        <v>216</v>
      </c>
      <c r="M910" s="260" t="n">
        <f aca="false" t="array" ref="M910:M910">INDEX('0.0.1 Pokémon Dex Data'!$J$3:$J951,MATCH(E910,'0.0.1 Pokémon Dex Data'!$B$3:$B951,0))</f>
        <v>1</v>
      </c>
      <c r="O910" s="490"/>
      <c r="Q910" s="367" t="n">
        <f aca="false">IF('Reverse Search'!$F$4="All (including temporary formes)",1,IF('Reverse Search'!$F$4="Base Pokémon and permanent formes only",IF(F910&lt;=1,1,0),IF(F910=0,1,0)))</f>
        <v>0</v>
      </c>
      <c r="R910" s="0" t="n">
        <f aca="false">IF('Reverse Search'!$C$7="Disable",1,IF('Reverse Search'!$D$9="Disable",1,IF(OR('Reverse Search'!$F$9=H910,'Reverse Search'!$F$9=I910),1,0)))</f>
        <v>1</v>
      </c>
      <c r="S910" s="0" t="n">
        <f aca="false">IF('Reverse Search'!$C$7="Disable",1,IF('Reverse Search'!$D$10="Disable",1,IF(OR('Reverse Search'!$F$10=H910,'Reverse Search'!$F$10=I910),1,0)))</f>
        <v>1</v>
      </c>
      <c r="T910" s="0" t="n">
        <f aca="false">INDEX($B$4:$B$22,MATCH(H910,$A$4:$A$22,0))</f>
        <v>1</v>
      </c>
      <c r="U910" s="0" t="e">
        <f aca="false">IF(ISBLANK(I910),1,INDEX($B$4:$B$22,MATCH(I910,$A$4:$A$22,0)))</f>
        <v>#N/A</v>
      </c>
      <c r="V910" s="367" t="n">
        <f aca="false">IF('Reverse Search'!$C$7="Disable",1,IF('Reverse Search'!$D$11="Disable",1,IF('Reverse Search'!$E$11="Neutral to:",IF(ROUND(T910*U910,2)&lt;=1,1,0),IF(ROUND(T910*U910,2)&lt;1,1,0))))</f>
        <v>1</v>
      </c>
      <c r="W910" s="0" t="n">
        <f aca="false">IF('Reverse Search'!$N$7="Disable",1,IF('Reverse Search'!$I$9="Disable",1,IF('Reverse Search'!$K$9="≥",IF(J910&gt;='Reverse Search'!$L$9,1,0),IF('Reverse Search'!$K$9="≤",IF(J910&lt;='Reverse Search'!$L$9,1,0),IF(J910='Reverse Search'!$L$9,1,0)))))</f>
        <v>1</v>
      </c>
      <c r="X910" s="0" t="n">
        <f aca="false">IF('Reverse Search'!$N$7="Disable",1,IF('Reverse Search'!$I$10="Disable",1,IF('Reverse Search'!$K$10="≥",IF(K910&gt;='Reverse Search'!$L$10,1,0),IF('Reverse Search'!$K$10="≤",IF(K910&lt;='Reverse Search'!$L$10,1,0),IF(K910='Reverse Search'!$L$10,1,0)))))</f>
        <v>1</v>
      </c>
      <c r="Y910" s="367" t="n">
        <f aca="false">IF('Reverse Search'!$N$7="Disable",1,IF('Reverse Search'!$I$11="Disable",1,IF('Reverse Search'!$K$11="≥",IF(L910&gt;='Reverse Search'!$L$11,1,0),IF('Reverse Search'!$K$11="≤",IF(L910&lt;='Reverse Search'!$L$11,1,0),IF(L910='Reverse Search'!$L$11,1,0)))))</f>
        <v>1</v>
      </c>
      <c r="Z910" s="0" t="n">
        <f aca="true">IF('Reverse Search'!$C$14="Disable",1,IF('Reverse Search'!$D$16="Disable",1,IF($C$2=3,IF($M910=0,0,COUNTIF(INDIRECT("'0.0.2 Pokémon Learnset (Core)'!$D$"&amp;MATCH($E910,'0.0.2 Pokémon Learnset (Core)'!$A$1:$A951,0)&amp;":$FK$"&amp;MATCH($E910,'0.0.2 Pokémon Learnset (Core)'!$A$1:$A951,0)),'Reverse Search'!$E$21)),IF($C$2=2,COUNTIF(INDIRECT("'0.1.1 Pokémon GO Moves'!$B$"&amp;MATCH($E910,'0.1.1 Pokémon GO Moves'!$A$1:$A951,0)&amp;":$R$"&amp;MATCH($E910,'0.1.1 Pokémon GO Moves'!$A$1:$A951,0)),'Reverse Search'!$E$21),COUNTIF(INDIRECT("'0.1.1 Pokémon GO Moves'!$B$"&amp;MATCH($E910,'0.1.1 Pokémon GO Moves'!$A$1:$A951,0)&amp;":$L$"&amp;MATCH($E910,'0.1.1 Pokémon GO Moves'!$A$1:$A951,0)),'Reverse Search'!$E$21)))))</f>
        <v>1</v>
      </c>
      <c r="AA910" s="0" t="e">
        <f aca="true">IF('Reverse Search'!$C$14="Disable",1,IF('Reverse Search'!$I$16="Disable",1,IF($D$2=3,IF($M910=0,0,COUNTIF(INDIRECT("'0.0.2 Pokémon Learnset (Core)'!$D$"&amp;MATCH($E910,'0.0.2 Pokémon Learnset (Core)'!$A$1:$A951,0)&amp;":$FK$"&amp;MATCH($E910,'0.0.2 Pokémon Learnset (Core)'!$A$1:$A951,0)),'Reverse Search'!$J$21)),IF($D$2=2,COUNTIF(INDIRECT("'0.1.1 Pokémon GO Moves'!$B$"&amp;MATCH($E910,'0.1.1 Pokémon GO Moves'!$A$1:$A951,0)&amp;":$R$"&amp;MATCH($E910,'0.1.1 Pokémon GO Moves'!$A$1:$A951,0)),'Reverse Search'!$J$21),COUNTIF(INDIRECT("'0.1.1 Pokémon GO Moves'!$B$"&amp;MATCH($E910,'0.1.1 Pokémon GO Moves'!$A$1:$A951,0)&amp;":$L$"&amp;MATCH($E910,'0.1.1 Pokémon GO Moves'!$A$1:$A951,0)),'Reverse Search'!$J$21)))))</f>
        <v>#N/A</v>
      </c>
      <c r="AB910" s="490"/>
      <c r="AC910" s="260" t="e">
        <f aca="false">IF((Q910+R910+S910+V910+W910+X910+Y910+IF(Z910&gt;=1,1,0)+IF(AA910&gt;=1,1,0))=9,G910&amp;", ",)</f>
        <v>#N/A</v>
      </c>
    </row>
    <row r="911" customFormat="false" ht="15.75" hidden="false" customHeight="false" outlineLevel="0" collapsed="false">
      <c r="A911" s="260"/>
      <c r="B911" s="358"/>
      <c r="C911" s="260"/>
      <c r="D911" s="358"/>
      <c r="E911" s="260" t="n">
        <v>910</v>
      </c>
      <c r="F911" s="260" t="n">
        <f aca="false" t="array" ref="F911:F911">INDEX('0.0.1 Pokémon Dex Data'!$H$3:$H951,MATCH(E911,'0.0.1 Pokémon Dex Data'!$B$3:$B951,0))</f>
        <v>1</v>
      </c>
      <c r="G911" s="0" t="str">
        <f aca="false" t="array" ref="G911:G911">INDEX('0.0.1 Pokémon Dex Data'!$E$3:$E951,MATCH(E911,'0.0.1 Pokémon Dex Data'!$B$3:$B951,0))</f>
        <v>Silvally-Dragon</v>
      </c>
      <c r="H911" s="0" t="str">
        <f aca="false" t="array" ref="H911:H911">INDEX('0.0.1 Pokémon Dex Data'!$Q$3:$Q951,MATCH(E911,'0.0.1 Pokémon Dex Data'!$B$3:$B951,0))</f>
        <v>Dragon</v>
      </c>
      <c r="I911" s="0" t="n">
        <f aca="false">INDEX('0.0.1 Pokémon Dex Data'!$R$3:$R951,MATCH(E911,'0.0.1 Pokémon Dex Data'!$B$3:$B951,0))</f>
        <v>0</v>
      </c>
      <c r="J911" s="260" t="n">
        <f aca="false" t="array" ref="J911:J911">ROUND(INDEX('0.0.1 Pokémon Dex Data'!$S$3:$S951,MATCH($E911,'0.0.1 Pokémon Dex Data'!$B$3:$B951,0))*INDEX('0.0.1 Pokémon Dex Data'!T$3:T951,MATCH($E911,'0.0.1 Pokémon Dex Data'!$B$3:$B951,0)),0)</f>
        <v>198</v>
      </c>
      <c r="K911" s="260" t="n">
        <f aca="false" t="array" ref="K911:K911">ROUND(INDEX('0.0.1 Pokémon Dex Data'!$S$3:$S951,MATCH($E911,'0.0.1 Pokémon Dex Data'!$B$3:$B951,0))*INDEX('0.0.1 Pokémon Dex Data'!U$3:U951,MATCH($E911,'0.0.1 Pokémon Dex Data'!$B$3:$B951,0)),0)</f>
        <v>198</v>
      </c>
      <c r="L911" s="260" t="n">
        <f aca="false" t="array" ref="L911:L911">ROUND(INDEX('0.0.1 Pokémon Dex Data'!$S$3:$S951,MATCH($E911,'0.0.1 Pokémon Dex Data'!$B$3:$B951,0))*INDEX('0.0.1 Pokémon Dex Data'!V$3:V951,MATCH($E911,'0.0.1 Pokémon Dex Data'!$B$3:$B951,0)),0)</f>
        <v>216</v>
      </c>
      <c r="M911" s="260" t="n">
        <f aca="false" t="array" ref="M911:M911">INDEX('0.0.1 Pokémon Dex Data'!$J$3:$J951,MATCH(E911,'0.0.1 Pokémon Dex Data'!$B$3:$B951,0))</f>
        <v>1</v>
      </c>
      <c r="O911" s="490"/>
      <c r="Q911" s="367" t="n">
        <f aca="false">IF('Reverse Search'!$F$4="All (including temporary formes)",1,IF('Reverse Search'!$F$4="Base Pokémon and permanent formes only",IF(F911&lt;=1,1,0),IF(F911=0,1,0)))</f>
        <v>0</v>
      </c>
      <c r="R911" s="0" t="n">
        <f aca="false">IF('Reverse Search'!$C$7="Disable",1,IF('Reverse Search'!$D$9="Disable",1,IF(OR('Reverse Search'!$F$9=H911,'Reverse Search'!$F$9=I911),1,0)))</f>
        <v>1</v>
      </c>
      <c r="S911" s="0" t="n">
        <f aca="false">IF('Reverse Search'!$C$7="Disable",1,IF('Reverse Search'!$D$10="Disable",1,IF(OR('Reverse Search'!$F$10=H911,'Reverse Search'!$F$10=I911),1,0)))</f>
        <v>1</v>
      </c>
      <c r="T911" s="0" t="n">
        <f aca="false">INDEX($B$4:$B$22,MATCH(H911,$A$4:$A$22,0))</f>
        <v>1</v>
      </c>
      <c r="U911" s="0" t="e">
        <f aca="false">IF(ISBLANK(I911),1,INDEX($B$4:$B$22,MATCH(I911,$A$4:$A$22,0)))</f>
        <v>#N/A</v>
      </c>
      <c r="V911" s="367" t="n">
        <f aca="false">IF('Reverse Search'!$C$7="Disable",1,IF('Reverse Search'!$D$11="Disable",1,IF('Reverse Search'!$E$11="Neutral to:",IF(ROUND(T911*U911,2)&lt;=1,1,0),IF(ROUND(T911*U911,2)&lt;1,1,0))))</f>
        <v>1</v>
      </c>
      <c r="W911" s="0" t="n">
        <f aca="false">IF('Reverse Search'!$N$7="Disable",1,IF('Reverse Search'!$I$9="Disable",1,IF('Reverse Search'!$K$9="≥",IF(J911&gt;='Reverse Search'!$L$9,1,0),IF('Reverse Search'!$K$9="≤",IF(J911&lt;='Reverse Search'!$L$9,1,0),IF(J911='Reverse Search'!$L$9,1,0)))))</f>
        <v>1</v>
      </c>
      <c r="X911" s="0" t="n">
        <f aca="false">IF('Reverse Search'!$N$7="Disable",1,IF('Reverse Search'!$I$10="Disable",1,IF('Reverse Search'!$K$10="≥",IF(K911&gt;='Reverse Search'!$L$10,1,0),IF('Reverse Search'!$K$10="≤",IF(K911&lt;='Reverse Search'!$L$10,1,0),IF(K911='Reverse Search'!$L$10,1,0)))))</f>
        <v>1</v>
      </c>
      <c r="Y911" s="367" t="n">
        <f aca="false">IF('Reverse Search'!$N$7="Disable",1,IF('Reverse Search'!$I$11="Disable",1,IF('Reverse Search'!$K$11="≥",IF(L911&gt;='Reverse Search'!$L$11,1,0),IF('Reverse Search'!$K$11="≤",IF(L911&lt;='Reverse Search'!$L$11,1,0),IF(L911='Reverse Search'!$L$11,1,0)))))</f>
        <v>1</v>
      </c>
      <c r="Z911" s="0" t="n">
        <f aca="true">IF('Reverse Search'!$C$14="Disable",1,IF('Reverse Search'!$D$16="Disable",1,IF($C$2=3,IF($M911=0,0,COUNTIF(INDIRECT("'0.0.2 Pokémon Learnset (Core)'!$D$"&amp;MATCH($E911,'0.0.2 Pokémon Learnset (Core)'!$A$1:$A951,0)&amp;":$FK$"&amp;MATCH($E911,'0.0.2 Pokémon Learnset (Core)'!$A$1:$A951,0)),'Reverse Search'!$E$21)),IF($C$2=2,COUNTIF(INDIRECT("'0.1.1 Pokémon GO Moves'!$B$"&amp;MATCH($E911,'0.1.1 Pokémon GO Moves'!$A$1:$A951,0)&amp;":$R$"&amp;MATCH($E911,'0.1.1 Pokémon GO Moves'!$A$1:$A951,0)),'Reverse Search'!$E$21),COUNTIF(INDIRECT("'0.1.1 Pokémon GO Moves'!$B$"&amp;MATCH($E911,'0.1.1 Pokémon GO Moves'!$A$1:$A951,0)&amp;":$L$"&amp;MATCH($E911,'0.1.1 Pokémon GO Moves'!$A$1:$A951,0)),'Reverse Search'!$E$21)))))</f>
        <v>1</v>
      </c>
      <c r="AA911" s="0" t="e">
        <f aca="true">IF('Reverse Search'!$C$14="Disable",1,IF('Reverse Search'!$I$16="Disable",1,IF($D$2=3,IF($M911=0,0,COUNTIF(INDIRECT("'0.0.2 Pokémon Learnset (Core)'!$D$"&amp;MATCH($E911,'0.0.2 Pokémon Learnset (Core)'!$A$1:$A951,0)&amp;":$FK$"&amp;MATCH($E911,'0.0.2 Pokémon Learnset (Core)'!$A$1:$A951,0)),'Reverse Search'!$J$21)),IF($D$2=2,COUNTIF(INDIRECT("'0.1.1 Pokémon GO Moves'!$B$"&amp;MATCH($E911,'0.1.1 Pokémon GO Moves'!$A$1:$A951,0)&amp;":$R$"&amp;MATCH($E911,'0.1.1 Pokémon GO Moves'!$A$1:$A951,0)),'Reverse Search'!$J$21),COUNTIF(INDIRECT("'0.1.1 Pokémon GO Moves'!$B$"&amp;MATCH($E911,'0.1.1 Pokémon GO Moves'!$A$1:$A951,0)&amp;":$L$"&amp;MATCH($E911,'0.1.1 Pokémon GO Moves'!$A$1:$A951,0)),'Reverse Search'!$J$21)))))</f>
        <v>#N/A</v>
      </c>
      <c r="AB911" s="490"/>
      <c r="AC911" s="260" t="e">
        <f aca="false">IF((Q911+R911+S911+V911+W911+X911+Y911+IF(Z911&gt;=1,1,0)+IF(AA911&gt;=1,1,0))=9,G911&amp;", ",)</f>
        <v>#N/A</v>
      </c>
    </row>
    <row r="912" customFormat="false" ht="15.75" hidden="false" customHeight="false" outlineLevel="0" collapsed="false">
      <c r="A912" s="260"/>
      <c r="B912" s="358"/>
      <c r="C912" s="260"/>
      <c r="D912" s="358"/>
      <c r="E912" s="260" t="n">
        <v>911</v>
      </c>
      <c r="F912" s="260" t="n">
        <f aca="false" t="array" ref="F912:F912">INDEX('0.0.1 Pokémon Dex Data'!$H$3:$H951,MATCH(E912,'0.0.1 Pokémon Dex Data'!$B$3:$B951,0))</f>
        <v>1</v>
      </c>
      <c r="G912" s="0" t="str">
        <f aca="false" t="array" ref="G912:G912">INDEX('0.0.1 Pokémon Dex Data'!$E$3:$E951,MATCH(E912,'0.0.1 Pokémon Dex Data'!$B$3:$B951,0))</f>
        <v>Silvally-Dark</v>
      </c>
      <c r="H912" s="0" t="str">
        <f aca="false" t="array" ref="H912:H912">INDEX('0.0.1 Pokémon Dex Data'!$Q$3:$Q951,MATCH(E912,'0.0.1 Pokémon Dex Data'!$B$3:$B951,0))</f>
        <v>Dark</v>
      </c>
      <c r="I912" s="0" t="n">
        <f aca="false">INDEX('0.0.1 Pokémon Dex Data'!$R$3:$R951,MATCH(E912,'0.0.1 Pokémon Dex Data'!$B$3:$B951,0))</f>
        <v>0</v>
      </c>
      <c r="J912" s="260" t="n">
        <f aca="false" t="array" ref="J912:J912">ROUND(INDEX('0.0.1 Pokémon Dex Data'!$S$3:$S951,MATCH($E912,'0.0.1 Pokémon Dex Data'!$B$3:$B951,0))*INDEX('0.0.1 Pokémon Dex Data'!T$3:T951,MATCH($E912,'0.0.1 Pokémon Dex Data'!$B$3:$B951,0)),0)</f>
        <v>198</v>
      </c>
      <c r="K912" s="260" t="n">
        <f aca="false" t="array" ref="K912:K912">ROUND(INDEX('0.0.1 Pokémon Dex Data'!$S$3:$S951,MATCH($E912,'0.0.1 Pokémon Dex Data'!$B$3:$B951,0))*INDEX('0.0.1 Pokémon Dex Data'!U$3:U951,MATCH($E912,'0.0.1 Pokémon Dex Data'!$B$3:$B951,0)),0)</f>
        <v>198</v>
      </c>
      <c r="L912" s="260" t="n">
        <f aca="false" t="array" ref="L912:L912">ROUND(INDEX('0.0.1 Pokémon Dex Data'!$S$3:$S951,MATCH($E912,'0.0.1 Pokémon Dex Data'!$B$3:$B951,0))*INDEX('0.0.1 Pokémon Dex Data'!V$3:V951,MATCH($E912,'0.0.1 Pokémon Dex Data'!$B$3:$B951,0)),0)</f>
        <v>216</v>
      </c>
      <c r="M912" s="260" t="n">
        <f aca="false" t="array" ref="M912:M912">INDEX('0.0.1 Pokémon Dex Data'!$J$3:$J951,MATCH(E912,'0.0.1 Pokémon Dex Data'!$B$3:$B951,0))</f>
        <v>1</v>
      </c>
      <c r="O912" s="490"/>
      <c r="Q912" s="367" t="n">
        <f aca="false">IF('Reverse Search'!$F$4="All (including temporary formes)",1,IF('Reverse Search'!$F$4="Base Pokémon and permanent formes only",IF(F912&lt;=1,1,0),IF(F912=0,1,0)))</f>
        <v>0</v>
      </c>
      <c r="R912" s="0" t="n">
        <f aca="false">IF('Reverse Search'!$C$7="Disable",1,IF('Reverse Search'!$D$9="Disable",1,IF(OR('Reverse Search'!$F$9=H912,'Reverse Search'!$F$9=I912),1,0)))</f>
        <v>1</v>
      </c>
      <c r="S912" s="0" t="n">
        <f aca="false">IF('Reverse Search'!$C$7="Disable",1,IF('Reverse Search'!$D$10="Disable",1,IF(OR('Reverse Search'!$F$10=H912,'Reverse Search'!$F$10=I912),1,0)))</f>
        <v>1</v>
      </c>
      <c r="T912" s="0" t="n">
        <f aca="false">INDEX($B$4:$B$22,MATCH(H912,$A$4:$A$22,0))</f>
        <v>1</v>
      </c>
      <c r="U912" s="0" t="e">
        <f aca="false">IF(ISBLANK(I912),1,INDEX($B$4:$B$22,MATCH(I912,$A$4:$A$22,0)))</f>
        <v>#N/A</v>
      </c>
      <c r="V912" s="367" t="n">
        <f aca="false">IF('Reverse Search'!$C$7="Disable",1,IF('Reverse Search'!$D$11="Disable",1,IF('Reverse Search'!$E$11="Neutral to:",IF(ROUND(T912*U912,2)&lt;=1,1,0),IF(ROUND(T912*U912,2)&lt;1,1,0))))</f>
        <v>1</v>
      </c>
      <c r="W912" s="0" t="n">
        <f aca="false">IF('Reverse Search'!$N$7="Disable",1,IF('Reverse Search'!$I$9="Disable",1,IF('Reverse Search'!$K$9="≥",IF(J912&gt;='Reverse Search'!$L$9,1,0),IF('Reverse Search'!$K$9="≤",IF(J912&lt;='Reverse Search'!$L$9,1,0),IF(J912='Reverse Search'!$L$9,1,0)))))</f>
        <v>1</v>
      </c>
      <c r="X912" s="0" t="n">
        <f aca="false">IF('Reverse Search'!$N$7="Disable",1,IF('Reverse Search'!$I$10="Disable",1,IF('Reverse Search'!$K$10="≥",IF(K912&gt;='Reverse Search'!$L$10,1,0),IF('Reverse Search'!$K$10="≤",IF(K912&lt;='Reverse Search'!$L$10,1,0),IF(K912='Reverse Search'!$L$10,1,0)))))</f>
        <v>1</v>
      </c>
      <c r="Y912" s="367" t="n">
        <f aca="false">IF('Reverse Search'!$N$7="Disable",1,IF('Reverse Search'!$I$11="Disable",1,IF('Reverse Search'!$K$11="≥",IF(L912&gt;='Reverse Search'!$L$11,1,0),IF('Reverse Search'!$K$11="≤",IF(L912&lt;='Reverse Search'!$L$11,1,0),IF(L912='Reverse Search'!$L$11,1,0)))))</f>
        <v>1</v>
      </c>
      <c r="Z912" s="0" t="n">
        <f aca="true">IF('Reverse Search'!$C$14="Disable",1,IF('Reverse Search'!$D$16="Disable",1,IF($C$2=3,IF($M912=0,0,COUNTIF(INDIRECT("'0.0.2 Pokémon Learnset (Core)'!$D$"&amp;MATCH($E912,'0.0.2 Pokémon Learnset (Core)'!$A$1:$A951,0)&amp;":$FK$"&amp;MATCH($E912,'0.0.2 Pokémon Learnset (Core)'!$A$1:$A951,0)),'Reverse Search'!$E$21)),IF($C$2=2,COUNTIF(INDIRECT("'0.1.1 Pokémon GO Moves'!$B$"&amp;MATCH($E912,'0.1.1 Pokémon GO Moves'!$A$1:$A951,0)&amp;":$R$"&amp;MATCH($E912,'0.1.1 Pokémon GO Moves'!$A$1:$A951,0)),'Reverse Search'!$E$21),COUNTIF(INDIRECT("'0.1.1 Pokémon GO Moves'!$B$"&amp;MATCH($E912,'0.1.1 Pokémon GO Moves'!$A$1:$A951,0)&amp;":$L$"&amp;MATCH($E912,'0.1.1 Pokémon GO Moves'!$A$1:$A951,0)),'Reverse Search'!$E$21)))))</f>
        <v>1</v>
      </c>
      <c r="AA912" s="0" t="e">
        <f aca="true">IF('Reverse Search'!$C$14="Disable",1,IF('Reverse Search'!$I$16="Disable",1,IF($D$2=3,IF($M912=0,0,COUNTIF(INDIRECT("'0.0.2 Pokémon Learnset (Core)'!$D$"&amp;MATCH($E912,'0.0.2 Pokémon Learnset (Core)'!$A$1:$A951,0)&amp;":$FK$"&amp;MATCH($E912,'0.0.2 Pokémon Learnset (Core)'!$A$1:$A951,0)),'Reverse Search'!$J$21)),IF($D$2=2,COUNTIF(INDIRECT("'0.1.1 Pokémon GO Moves'!$B$"&amp;MATCH($E912,'0.1.1 Pokémon GO Moves'!$A$1:$A951,0)&amp;":$R$"&amp;MATCH($E912,'0.1.1 Pokémon GO Moves'!$A$1:$A951,0)),'Reverse Search'!$J$21),COUNTIF(INDIRECT("'0.1.1 Pokémon GO Moves'!$B$"&amp;MATCH($E912,'0.1.1 Pokémon GO Moves'!$A$1:$A951,0)&amp;":$L$"&amp;MATCH($E912,'0.1.1 Pokémon GO Moves'!$A$1:$A951,0)),'Reverse Search'!$J$21)))))</f>
        <v>#N/A</v>
      </c>
      <c r="AB912" s="490"/>
      <c r="AC912" s="260" t="e">
        <f aca="false">IF((Q912+R912+S912+V912+W912+X912+Y912+IF(Z912&gt;=1,1,0)+IF(AA912&gt;=1,1,0))=9,G912&amp;", ",)</f>
        <v>#N/A</v>
      </c>
    </row>
    <row r="913" customFormat="false" ht="15.75" hidden="false" customHeight="false" outlineLevel="0" collapsed="false">
      <c r="A913" s="260"/>
      <c r="B913" s="358"/>
      <c r="C913" s="260"/>
      <c r="D913" s="358"/>
      <c r="E913" s="260" t="n">
        <v>912</v>
      </c>
      <c r="F913" s="260" t="n">
        <f aca="false" t="array" ref="F913:F913">INDEX('0.0.1 Pokémon Dex Data'!$H$3:$H951,MATCH(E913,'0.0.1 Pokémon Dex Data'!$B$3:$B951,0))</f>
        <v>1</v>
      </c>
      <c r="G913" s="0" t="str">
        <f aca="false" t="array" ref="G913:G913">INDEX('0.0.1 Pokémon Dex Data'!$E$3:$E951,MATCH(E913,'0.0.1 Pokémon Dex Data'!$B$3:$B951,0))</f>
        <v>Silvally-Fairy</v>
      </c>
      <c r="H913" s="0" t="str">
        <f aca="false" t="array" ref="H913:H913">INDEX('0.0.1 Pokémon Dex Data'!$Q$3:$Q951,MATCH(E913,'0.0.1 Pokémon Dex Data'!$B$3:$B951,0))</f>
        <v>Fairy</v>
      </c>
      <c r="I913" s="0" t="n">
        <f aca="false">INDEX('0.0.1 Pokémon Dex Data'!$R$3:$R951,MATCH(E913,'0.0.1 Pokémon Dex Data'!$B$3:$B951,0))</f>
        <v>0</v>
      </c>
      <c r="J913" s="260" t="n">
        <f aca="false" t="array" ref="J913:J913">ROUND(INDEX('0.0.1 Pokémon Dex Data'!$S$3:$S951,MATCH($E913,'0.0.1 Pokémon Dex Data'!$B$3:$B951,0))*INDEX('0.0.1 Pokémon Dex Data'!T$3:T951,MATCH($E913,'0.0.1 Pokémon Dex Data'!$B$3:$B951,0)),0)</f>
        <v>198</v>
      </c>
      <c r="K913" s="260" t="n">
        <f aca="false" t="array" ref="K913:K913">ROUND(INDEX('0.0.1 Pokémon Dex Data'!$S$3:$S951,MATCH($E913,'0.0.1 Pokémon Dex Data'!$B$3:$B951,0))*INDEX('0.0.1 Pokémon Dex Data'!U$3:U951,MATCH($E913,'0.0.1 Pokémon Dex Data'!$B$3:$B951,0)),0)</f>
        <v>198</v>
      </c>
      <c r="L913" s="260" t="n">
        <f aca="false" t="array" ref="L913:L913">ROUND(INDEX('0.0.1 Pokémon Dex Data'!$S$3:$S951,MATCH($E913,'0.0.1 Pokémon Dex Data'!$B$3:$B951,0))*INDEX('0.0.1 Pokémon Dex Data'!V$3:V951,MATCH($E913,'0.0.1 Pokémon Dex Data'!$B$3:$B951,0)),0)</f>
        <v>216</v>
      </c>
      <c r="M913" s="260" t="n">
        <f aca="false" t="array" ref="M913:M913">INDEX('0.0.1 Pokémon Dex Data'!$J$3:$J951,MATCH(E913,'0.0.1 Pokémon Dex Data'!$B$3:$B951,0))</f>
        <v>1</v>
      </c>
      <c r="O913" s="490"/>
      <c r="Q913" s="367" t="n">
        <f aca="false">IF('Reverse Search'!$F$4="All (including temporary formes)",1,IF('Reverse Search'!$F$4="Base Pokémon and permanent formes only",IF(F913&lt;=1,1,0),IF(F913=0,1,0)))</f>
        <v>0</v>
      </c>
      <c r="R913" s="0" t="n">
        <f aca="false">IF('Reverse Search'!$C$7="Disable",1,IF('Reverse Search'!$D$9="Disable",1,IF(OR('Reverse Search'!$F$9=H913,'Reverse Search'!$F$9=I913),1,0)))</f>
        <v>1</v>
      </c>
      <c r="S913" s="0" t="n">
        <f aca="false">IF('Reverse Search'!$C$7="Disable",1,IF('Reverse Search'!$D$10="Disable",1,IF(OR('Reverse Search'!$F$10=H913,'Reverse Search'!$F$10=I913),1,0)))</f>
        <v>1</v>
      </c>
      <c r="T913" s="0" t="n">
        <f aca="false">INDEX($B$4:$B$22,MATCH(H913,$A$4:$A$22,0))</f>
        <v>1</v>
      </c>
      <c r="U913" s="0" t="e">
        <f aca="false">IF(ISBLANK(I913),1,INDEX($B$4:$B$22,MATCH(I913,$A$4:$A$22,0)))</f>
        <v>#N/A</v>
      </c>
      <c r="V913" s="367" t="n">
        <f aca="false">IF('Reverse Search'!$C$7="Disable",1,IF('Reverse Search'!$D$11="Disable",1,IF('Reverse Search'!$E$11="Neutral to:",IF(ROUND(T913*U913,2)&lt;=1,1,0),IF(ROUND(T913*U913,2)&lt;1,1,0))))</f>
        <v>1</v>
      </c>
      <c r="W913" s="0" t="n">
        <f aca="false">IF('Reverse Search'!$N$7="Disable",1,IF('Reverse Search'!$I$9="Disable",1,IF('Reverse Search'!$K$9="≥",IF(J913&gt;='Reverse Search'!$L$9,1,0),IF('Reverse Search'!$K$9="≤",IF(J913&lt;='Reverse Search'!$L$9,1,0),IF(J913='Reverse Search'!$L$9,1,0)))))</f>
        <v>1</v>
      </c>
      <c r="X913" s="0" t="n">
        <f aca="false">IF('Reverse Search'!$N$7="Disable",1,IF('Reverse Search'!$I$10="Disable",1,IF('Reverse Search'!$K$10="≥",IF(K913&gt;='Reverse Search'!$L$10,1,0),IF('Reverse Search'!$K$10="≤",IF(K913&lt;='Reverse Search'!$L$10,1,0),IF(K913='Reverse Search'!$L$10,1,0)))))</f>
        <v>1</v>
      </c>
      <c r="Y913" s="367" t="n">
        <f aca="false">IF('Reverse Search'!$N$7="Disable",1,IF('Reverse Search'!$I$11="Disable",1,IF('Reverse Search'!$K$11="≥",IF(L913&gt;='Reverse Search'!$L$11,1,0),IF('Reverse Search'!$K$11="≤",IF(L913&lt;='Reverse Search'!$L$11,1,0),IF(L913='Reverse Search'!$L$11,1,0)))))</f>
        <v>1</v>
      </c>
      <c r="Z913" s="0" t="n">
        <f aca="true">IF('Reverse Search'!$C$14="Disable",1,IF('Reverse Search'!$D$16="Disable",1,IF($C$2=3,IF($M913=0,0,COUNTIF(INDIRECT("'0.0.2 Pokémon Learnset (Core)'!$D$"&amp;MATCH($E913,'0.0.2 Pokémon Learnset (Core)'!$A$1:$A951,0)&amp;":$FK$"&amp;MATCH($E913,'0.0.2 Pokémon Learnset (Core)'!$A$1:$A951,0)),'Reverse Search'!$E$21)),IF($C$2=2,COUNTIF(INDIRECT("'0.1.1 Pokémon GO Moves'!$B$"&amp;MATCH($E913,'0.1.1 Pokémon GO Moves'!$A$1:$A951,0)&amp;":$R$"&amp;MATCH($E913,'0.1.1 Pokémon GO Moves'!$A$1:$A951,0)),'Reverse Search'!$E$21),COUNTIF(INDIRECT("'0.1.1 Pokémon GO Moves'!$B$"&amp;MATCH($E913,'0.1.1 Pokémon GO Moves'!$A$1:$A951,0)&amp;":$L$"&amp;MATCH($E913,'0.1.1 Pokémon GO Moves'!$A$1:$A951,0)),'Reverse Search'!$E$21)))))</f>
        <v>1</v>
      </c>
      <c r="AA913" s="0" t="e">
        <f aca="true">IF('Reverse Search'!$C$14="Disable",1,IF('Reverse Search'!$I$16="Disable",1,IF($D$2=3,IF($M913=0,0,COUNTIF(INDIRECT("'0.0.2 Pokémon Learnset (Core)'!$D$"&amp;MATCH($E913,'0.0.2 Pokémon Learnset (Core)'!$A$1:$A951,0)&amp;":$FK$"&amp;MATCH($E913,'0.0.2 Pokémon Learnset (Core)'!$A$1:$A951,0)),'Reverse Search'!$J$21)),IF($D$2=2,COUNTIF(INDIRECT("'0.1.1 Pokémon GO Moves'!$B$"&amp;MATCH($E913,'0.1.1 Pokémon GO Moves'!$A$1:$A951,0)&amp;":$R$"&amp;MATCH($E913,'0.1.1 Pokémon GO Moves'!$A$1:$A951,0)),'Reverse Search'!$J$21),COUNTIF(INDIRECT("'0.1.1 Pokémon GO Moves'!$B$"&amp;MATCH($E913,'0.1.1 Pokémon GO Moves'!$A$1:$A951,0)&amp;":$L$"&amp;MATCH($E913,'0.1.1 Pokémon GO Moves'!$A$1:$A951,0)),'Reverse Search'!$J$21)))))</f>
        <v>#N/A</v>
      </c>
      <c r="AB913" s="490"/>
      <c r="AC913" s="260" t="e">
        <f aca="false">IF((Q913+R913+S913+V913+W913+X913+Y913+IF(Z913&gt;=1,1,0)+IF(AA913&gt;=1,1,0))=9,G913&amp;", ",)</f>
        <v>#N/A</v>
      </c>
    </row>
    <row r="914" customFormat="false" ht="15.75" hidden="false" customHeight="false" outlineLevel="0" collapsed="false">
      <c r="A914" s="260"/>
      <c r="B914" s="358"/>
      <c r="C914" s="260"/>
      <c r="D914" s="358"/>
      <c r="E914" s="260" t="n">
        <v>913</v>
      </c>
      <c r="F914" s="260" t="n">
        <f aca="false" t="array" ref="F914:F914">INDEX('0.0.1 Pokémon Dex Data'!$H$3:$H951,MATCH(E914,'0.0.1 Pokémon Dex Data'!$B$3:$B951,0))</f>
        <v>0</v>
      </c>
      <c r="G914" s="0" t="str">
        <f aca="false" t="array" ref="G914:G914">INDEX('0.0.1 Pokémon Dex Data'!$E$3:$E951,MATCH(E914,'0.0.1 Pokémon Dex Data'!$B$3:$B951,0))</f>
        <v>Minior</v>
      </c>
      <c r="H914" s="0" t="str">
        <f aca="false" t="array" ref="H914:H914">INDEX('0.0.1 Pokémon Dex Data'!$Q$3:$Q951,MATCH(E914,'0.0.1 Pokémon Dex Data'!$B$3:$B951,0))</f>
        <v>Rock</v>
      </c>
      <c r="I914" s="0" t="str">
        <f aca="false" t="array" ref="I914:I914">INDEX('0.0.1 Pokémon Dex Data'!$R$3:$R951,MATCH(E914,'0.0.1 Pokémon Dex Data'!$B$3:$B951,0))</f>
        <v>Flying</v>
      </c>
      <c r="J914" s="260" t="n">
        <f aca="false" t="array" ref="J914:J914">ROUND(INDEX('0.0.1 Pokémon Dex Data'!$S$3:$S951,MATCH($E914,'0.0.1 Pokémon Dex Data'!$B$3:$B951,0))*INDEX('0.0.1 Pokémon Dex Data'!T$3:T951,MATCH($E914,'0.0.1 Pokémon Dex Data'!$B$3:$B951,0)),0)</f>
        <v>116</v>
      </c>
      <c r="K914" s="260" t="n">
        <f aca="false" t="array" ref="K914:K914">ROUND(INDEX('0.0.1 Pokémon Dex Data'!$S$3:$S951,MATCH($E914,'0.0.1 Pokémon Dex Data'!$B$3:$B951,0))*INDEX('0.0.1 Pokémon Dex Data'!U$3:U951,MATCH($E914,'0.0.1 Pokémon Dex Data'!$B$3:$B951,0)),0)</f>
        <v>194</v>
      </c>
      <c r="L914" s="260" t="n">
        <f aca="false" t="array" ref="L914:L914">ROUND(INDEX('0.0.1 Pokémon Dex Data'!$S$3:$S951,MATCH($E914,'0.0.1 Pokémon Dex Data'!$B$3:$B951,0))*INDEX('0.0.1 Pokémon Dex Data'!V$3:V951,MATCH($E914,'0.0.1 Pokémon Dex Data'!$B$3:$B951,0)),0)</f>
        <v>155</v>
      </c>
      <c r="M914" s="260" t="n">
        <f aca="false" t="array" ref="M914:M914">INDEX('0.0.1 Pokémon Dex Data'!$J$3:$J951,MATCH(E914,'0.0.1 Pokémon Dex Data'!$B$3:$B951,0))</f>
        <v>1</v>
      </c>
      <c r="O914" s="490"/>
      <c r="Q914" s="367" t="n">
        <f aca="false">IF('Reverse Search'!$F$4="All (including temporary formes)",1,IF('Reverse Search'!$F$4="Base Pokémon and permanent formes only",IF(F914&lt;=1,1,0),IF(F914=0,1,0)))</f>
        <v>1</v>
      </c>
      <c r="R914" s="0" t="n">
        <f aca="false">IF('Reverse Search'!$C$7="Disable",1,IF('Reverse Search'!$D$9="Disable",1,IF(OR('Reverse Search'!$F$9=H914,'Reverse Search'!$F$9=I914),1,0)))</f>
        <v>1</v>
      </c>
      <c r="S914" s="0" t="n">
        <f aca="false">IF('Reverse Search'!$C$7="Disable",1,IF('Reverse Search'!$D$10="Disable",1,IF(OR('Reverse Search'!$F$10=H914,'Reverse Search'!$F$10=I914),1,0)))</f>
        <v>1</v>
      </c>
      <c r="T914" s="0" t="n">
        <f aca="false">INDEX($B$4:$B$22,MATCH(H914,$A$4:$A$22,0))</f>
        <v>0.714</v>
      </c>
      <c r="U914" s="0" t="n">
        <f aca="false">IF(ISBLANK(I914),1,INDEX($B$4:$B$22,MATCH(I914,$A$4:$A$22,0)))</f>
        <v>1</v>
      </c>
      <c r="V914" s="367" t="n">
        <f aca="false">IF('Reverse Search'!$C$7="Disable",1,IF('Reverse Search'!$D$11="Disable",1,IF('Reverse Search'!$E$11="Neutral to:",IF(ROUND(T914*U914,2)&lt;=1,1,0),IF(ROUND(T914*U914,2)&lt;1,1,0))))</f>
        <v>1</v>
      </c>
      <c r="W914" s="0" t="n">
        <f aca="false">IF('Reverse Search'!$N$7="Disable",1,IF('Reverse Search'!$I$9="Disable",1,IF('Reverse Search'!$K$9="≥",IF(J914&gt;='Reverse Search'!$L$9,1,0),IF('Reverse Search'!$K$9="≤",IF(J914&lt;='Reverse Search'!$L$9,1,0),IF(J914='Reverse Search'!$L$9,1,0)))))</f>
        <v>1</v>
      </c>
      <c r="X914" s="0" t="n">
        <f aca="false">IF('Reverse Search'!$N$7="Disable",1,IF('Reverse Search'!$I$10="Disable",1,IF('Reverse Search'!$K$10="≥",IF(K914&gt;='Reverse Search'!$L$10,1,0),IF('Reverse Search'!$K$10="≤",IF(K914&lt;='Reverse Search'!$L$10,1,0),IF(K914='Reverse Search'!$L$10,1,0)))))</f>
        <v>1</v>
      </c>
      <c r="Y914" s="367" t="n">
        <f aca="false">IF('Reverse Search'!$N$7="Disable",1,IF('Reverse Search'!$I$11="Disable",1,IF('Reverse Search'!$K$11="≥",IF(L914&gt;='Reverse Search'!$L$11,1,0),IF('Reverse Search'!$K$11="≤",IF(L914&lt;='Reverse Search'!$L$11,1,0),IF(L914='Reverse Search'!$L$11,1,0)))))</f>
        <v>1</v>
      </c>
      <c r="Z914" s="0" t="n">
        <f aca="true">IF('Reverse Search'!$C$14="Disable",1,IF('Reverse Search'!$D$16="Disable",1,IF($C$2=3,IF($M914=0,0,COUNTIF(INDIRECT("'0.0.2 Pokémon Learnset (Core)'!$D$"&amp;MATCH($E914,'0.0.2 Pokémon Learnset (Core)'!$A$1:$A951,0)&amp;":$FK$"&amp;MATCH($E914,'0.0.2 Pokémon Learnset (Core)'!$A$1:$A951,0)),'Reverse Search'!$E$21)),IF($C$2=2,COUNTIF(INDIRECT("'0.1.1 Pokémon GO Moves'!$B$"&amp;MATCH($E914,'0.1.1 Pokémon GO Moves'!$A$1:$A951,0)&amp;":$R$"&amp;MATCH($E914,'0.1.1 Pokémon GO Moves'!$A$1:$A951,0)),'Reverse Search'!$E$21),COUNTIF(INDIRECT("'0.1.1 Pokémon GO Moves'!$B$"&amp;MATCH($E914,'0.1.1 Pokémon GO Moves'!$A$1:$A951,0)&amp;":$L$"&amp;MATCH($E914,'0.1.1 Pokémon GO Moves'!$A$1:$A951,0)),'Reverse Search'!$E$21)))))</f>
        <v>1</v>
      </c>
      <c r="AA914" s="0" t="n">
        <f aca="true">IF('Reverse Search'!$C$14="Disable",1,IF('Reverse Search'!$I$16="Disable",1,IF($D$2=3,IF($M914=0,0,COUNTIF(INDIRECT("'0.0.2 Pokémon Learnset (Core)'!$D$"&amp;MATCH($E914,'0.0.2 Pokémon Learnset (Core)'!$A$1:$A951,0)&amp;":$FK$"&amp;MATCH($E914,'0.0.2 Pokémon Learnset (Core)'!$A$1:$A951,0)),'Reverse Search'!$J$21)),IF($D$2=2,COUNTIF(INDIRECT("'0.1.1 Pokémon GO Moves'!$B$"&amp;MATCH($E914,'0.1.1 Pokémon GO Moves'!$A$1:$A951,0)&amp;":$R$"&amp;MATCH($E914,'0.1.1 Pokémon GO Moves'!$A$1:$A951,0)),'Reverse Search'!$J$21),COUNTIF(INDIRECT("'0.1.1 Pokémon GO Moves'!$B$"&amp;MATCH($E914,'0.1.1 Pokémon GO Moves'!$A$1:$A951,0)&amp;":$L$"&amp;MATCH($E914,'0.1.1 Pokémon GO Moves'!$A$1:$A951,0)),'Reverse Search'!$J$21)))))</f>
        <v>0</v>
      </c>
      <c r="AB914" s="490"/>
      <c r="AC914" s="260" t="n">
        <f aca="false">IF((Q914+R914+S914+V914+W914+X914+Y914+IF(Z914&gt;=1,1,0)+IF(AA914&gt;=1,1,0))=9,G914&amp;", ",)</f>
        <v>0</v>
      </c>
    </row>
    <row r="915" customFormat="false" ht="15.75" hidden="false" customHeight="false" outlineLevel="0" collapsed="false">
      <c r="A915" s="260"/>
      <c r="B915" s="358"/>
      <c r="C915" s="260"/>
      <c r="D915" s="358"/>
      <c r="E915" s="260" t="n">
        <v>914</v>
      </c>
      <c r="F915" s="260" t="n">
        <f aca="false" t="array" ref="F915:F915">INDEX('0.0.1 Pokémon Dex Data'!$H$3:$H951,MATCH(E915,'0.0.1 Pokémon Dex Data'!$B$3:$B951,0))</f>
        <v>2</v>
      </c>
      <c r="G915" s="0" t="str">
        <f aca="false" t="array" ref="G915:G915">INDEX('0.0.1 Pokémon Dex Data'!$E$3:$E951,MATCH(E915,'0.0.1 Pokémon Dex Data'!$B$3:$B951,0))</f>
        <v>Minior-Core</v>
      </c>
      <c r="H915" s="0" t="str">
        <f aca="false" t="array" ref="H915:H915">INDEX('0.0.1 Pokémon Dex Data'!$Q$3:$Q951,MATCH(E915,'0.0.1 Pokémon Dex Data'!$B$3:$B951,0))</f>
        <v>Rock</v>
      </c>
      <c r="I915" s="0" t="str">
        <f aca="false" t="array" ref="I915:I915">INDEX('0.0.1 Pokémon Dex Data'!$R$3:$R951,MATCH(E915,'0.0.1 Pokémon Dex Data'!$B$3:$B951,0))</f>
        <v>Flying</v>
      </c>
      <c r="J915" s="260" t="n">
        <f aca="false" t="array" ref="J915:J915">ROUND(INDEX('0.0.1 Pokémon Dex Data'!$S$3:$S951,MATCH($E915,'0.0.1 Pokémon Dex Data'!$B$3:$B951,0))*INDEX('0.0.1 Pokémon Dex Data'!T$3:T951,MATCH($E915,'0.0.1 Pokémon Dex Data'!$B$3:$B951,0)),0)</f>
        <v>218</v>
      </c>
      <c r="K915" s="260" t="n">
        <f aca="false" t="array" ref="K915:K915">ROUND(INDEX('0.0.1 Pokémon Dex Data'!$S$3:$S951,MATCH($E915,'0.0.1 Pokémon Dex Data'!$B$3:$B951,0))*INDEX('0.0.1 Pokémon Dex Data'!U$3:U951,MATCH($E915,'0.0.1 Pokémon Dex Data'!$B$3:$B951,0)),0)</f>
        <v>131</v>
      </c>
      <c r="L915" s="260" t="n">
        <f aca="false" t="array" ref="L915:L915">ROUND(INDEX('0.0.1 Pokémon Dex Data'!$S$3:$S951,MATCH($E915,'0.0.1 Pokémon Dex Data'!$B$3:$B951,0))*INDEX('0.0.1 Pokémon Dex Data'!V$3:V951,MATCH($E915,'0.0.1 Pokémon Dex Data'!$B$3:$B951,0)),0)</f>
        <v>155</v>
      </c>
      <c r="M915" s="260" t="n">
        <f aca="false" t="array" ref="M915:M915">INDEX('0.0.1 Pokémon Dex Data'!$J$3:$J951,MATCH(E915,'0.0.1 Pokémon Dex Data'!$B$3:$B951,0))</f>
        <v>1</v>
      </c>
      <c r="O915" s="490"/>
      <c r="Q915" s="367" t="n">
        <f aca="false">IF('Reverse Search'!$F$4="All (including temporary formes)",1,IF('Reverse Search'!$F$4="Base Pokémon and permanent formes only",IF(F915&lt;=1,1,0),IF(F915=0,1,0)))</f>
        <v>0</v>
      </c>
      <c r="R915" s="0" t="n">
        <f aca="false">IF('Reverse Search'!$C$7="Disable",1,IF('Reverse Search'!$D$9="Disable",1,IF(OR('Reverse Search'!$F$9=H915,'Reverse Search'!$F$9=I915),1,0)))</f>
        <v>1</v>
      </c>
      <c r="S915" s="0" t="n">
        <f aca="false">IF('Reverse Search'!$C$7="Disable",1,IF('Reverse Search'!$D$10="Disable",1,IF(OR('Reverse Search'!$F$10=H915,'Reverse Search'!$F$10=I915),1,0)))</f>
        <v>1</v>
      </c>
      <c r="T915" s="0" t="n">
        <f aca="false">INDEX($B$4:$B$22,MATCH(H915,$A$4:$A$22,0))</f>
        <v>0.714</v>
      </c>
      <c r="U915" s="0" t="n">
        <f aca="false">IF(ISBLANK(I915),1,INDEX($B$4:$B$22,MATCH(I915,$A$4:$A$22,0)))</f>
        <v>1</v>
      </c>
      <c r="V915" s="367" t="n">
        <f aca="false">IF('Reverse Search'!$C$7="Disable",1,IF('Reverse Search'!$D$11="Disable",1,IF('Reverse Search'!$E$11="Neutral to:",IF(ROUND(T915*U915,2)&lt;=1,1,0),IF(ROUND(T915*U915,2)&lt;1,1,0))))</f>
        <v>1</v>
      </c>
      <c r="W915" s="0" t="n">
        <f aca="false">IF('Reverse Search'!$N$7="Disable",1,IF('Reverse Search'!$I$9="Disable",1,IF('Reverse Search'!$K$9="≥",IF(J915&gt;='Reverse Search'!$L$9,1,0),IF('Reverse Search'!$K$9="≤",IF(J915&lt;='Reverse Search'!$L$9,1,0),IF(J915='Reverse Search'!$L$9,1,0)))))</f>
        <v>1</v>
      </c>
      <c r="X915" s="0" t="n">
        <f aca="false">IF('Reverse Search'!$N$7="Disable",1,IF('Reverse Search'!$I$10="Disable",1,IF('Reverse Search'!$K$10="≥",IF(K915&gt;='Reverse Search'!$L$10,1,0),IF('Reverse Search'!$K$10="≤",IF(K915&lt;='Reverse Search'!$L$10,1,0),IF(K915='Reverse Search'!$L$10,1,0)))))</f>
        <v>1</v>
      </c>
      <c r="Y915" s="367" t="n">
        <f aca="false">IF('Reverse Search'!$N$7="Disable",1,IF('Reverse Search'!$I$11="Disable",1,IF('Reverse Search'!$K$11="≥",IF(L915&gt;='Reverse Search'!$L$11,1,0),IF('Reverse Search'!$K$11="≤",IF(L915&lt;='Reverse Search'!$L$11,1,0),IF(L915='Reverse Search'!$L$11,1,0)))))</f>
        <v>1</v>
      </c>
      <c r="Z915" s="0" t="n">
        <f aca="true">IF('Reverse Search'!$C$14="Disable",1,IF('Reverse Search'!$D$16="Disable",1,IF($C$2=3,IF($M915=0,0,COUNTIF(INDIRECT("'0.0.2 Pokémon Learnset (Core)'!$D$"&amp;MATCH($E915,'0.0.2 Pokémon Learnset (Core)'!$A$1:$A951,0)&amp;":$FK$"&amp;MATCH($E915,'0.0.2 Pokémon Learnset (Core)'!$A$1:$A951,0)),'Reverse Search'!$E$21)),IF($C$2=2,COUNTIF(INDIRECT("'0.1.1 Pokémon GO Moves'!$B$"&amp;MATCH($E915,'0.1.1 Pokémon GO Moves'!$A$1:$A951,0)&amp;":$R$"&amp;MATCH($E915,'0.1.1 Pokémon GO Moves'!$A$1:$A951,0)),'Reverse Search'!$E$21),COUNTIF(INDIRECT("'0.1.1 Pokémon GO Moves'!$B$"&amp;MATCH($E915,'0.1.1 Pokémon GO Moves'!$A$1:$A951,0)&amp;":$L$"&amp;MATCH($E915,'0.1.1 Pokémon GO Moves'!$A$1:$A951,0)),'Reverse Search'!$E$21)))))</f>
        <v>1</v>
      </c>
      <c r="AA915" s="0" t="e">
        <f aca="true">IF('Reverse Search'!$C$14="Disable",1,IF('Reverse Search'!$I$16="Disable",1,IF($D$2=3,IF($M915=0,0,COUNTIF(INDIRECT("'0.0.2 Pokémon Learnset (Core)'!$D$"&amp;MATCH($E915,'0.0.2 Pokémon Learnset (Core)'!$A$1:$A951,0)&amp;":$FK$"&amp;MATCH($E915,'0.0.2 Pokémon Learnset (Core)'!$A$1:$A951,0)),'Reverse Search'!$J$21)),IF($D$2=2,COUNTIF(INDIRECT("'0.1.1 Pokémon GO Moves'!$B$"&amp;MATCH($E915,'0.1.1 Pokémon GO Moves'!$A$1:$A951,0)&amp;":$R$"&amp;MATCH($E915,'0.1.1 Pokémon GO Moves'!$A$1:$A951,0)),'Reverse Search'!$J$21),COUNTIF(INDIRECT("'0.1.1 Pokémon GO Moves'!$B$"&amp;MATCH($E915,'0.1.1 Pokémon GO Moves'!$A$1:$A951,0)&amp;":$L$"&amp;MATCH($E915,'0.1.1 Pokémon GO Moves'!$A$1:$A951,0)),'Reverse Search'!$J$21)))))</f>
        <v>#N/A</v>
      </c>
      <c r="AB915" s="490"/>
      <c r="AC915" s="260" t="e">
        <f aca="false">IF((Q915+R915+S915+V915+W915+X915+Y915+IF(Z915&gt;=1,1,0)+IF(AA915&gt;=1,1,0))=9,G915&amp;", ",)</f>
        <v>#N/A</v>
      </c>
    </row>
    <row r="916" customFormat="false" ht="15.75" hidden="false" customHeight="false" outlineLevel="0" collapsed="false">
      <c r="A916" s="260"/>
      <c r="B916" s="358"/>
      <c r="C916" s="260"/>
      <c r="D916" s="358"/>
      <c r="E916" s="260" t="n">
        <v>915</v>
      </c>
      <c r="F916" s="260" t="n">
        <f aca="false" t="array" ref="F916:F916">INDEX('0.0.1 Pokémon Dex Data'!$H$3:$H951,MATCH(E916,'0.0.1 Pokémon Dex Data'!$B$3:$B951,0))</f>
        <v>0</v>
      </c>
      <c r="G916" s="0" t="str">
        <f aca="false" t="array" ref="G916:G916">INDEX('0.0.1 Pokémon Dex Data'!$E$3:$E951,MATCH(E916,'0.0.1 Pokémon Dex Data'!$B$3:$B951,0))</f>
        <v>Komala</v>
      </c>
      <c r="H916" s="0" t="str">
        <f aca="false" t="array" ref="H916:H916">INDEX('0.0.1 Pokémon Dex Data'!$Q$3:$Q951,MATCH(E916,'0.0.1 Pokémon Dex Data'!$B$3:$B951,0))</f>
        <v>Normal</v>
      </c>
      <c r="I916" s="0" t="n">
        <f aca="false">INDEX('0.0.1 Pokémon Dex Data'!$R$3:$R951,MATCH(E916,'0.0.1 Pokémon Dex Data'!$B$3:$B951,0))</f>
        <v>0</v>
      </c>
      <c r="J916" s="260" t="n">
        <f aca="false" t="array" ref="J916:J916">ROUND(INDEX('0.0.1 Pokémon Dex Data'!$S$3:$S951,MATCH($E916,'0.0.1 Pokémon Dex Data'!$B$3:$B951,0))*INDEX('0.0.1 Pokémon Dex Data'!T$3:T951,MATCH($E916,'0.0.1 Pokémon Dex Data'!$B$3:$B951,0)),0)</f>
        <v>216</v>
      </c>
      <c r="K916" s="260" t="n">
        <f aca="false" t="array" ref="K916:K916">ROUND(INDEX('0.0.1 Pokémon Dex Data'!$S$3:$S951,MATCH($E916,'0.0.1 Pokémon Dex Data'!$B$3:$B951,0))*INDEX('0.0.1 Pokémon Dex Data'!U$3:U951,MATCH($E916,'0.0.1 Pokémon Dex Data'!$B$3:$B951,0)),0)</f>
        <v>165</v>
      </c>
      <c r="L916" s="260" t="n">
        <f aca="false" t="array" ref="L916:L916">ROUND(INDEX('0.0.1 Pokémon Dex Data'!$S$3:$S951,MATCH($E916,'0.0.1 Pokémon Dex Data'!$B$3:$B951,0))*INDEX('0.0.1 Pokémon Dex Data'!V$3:V951,MATCH($E916,'0.0.1 Pokémon Dex Data'!$B$3:$B951,0)),0)</f>
        <v>163</v>
      </c>
      <c r="M916" s="260" t="n">
        <f aca="false" t="array" ref="M916:M916">INDEX('0.0.1 Pokémon Dex Data'!$J$3:$J951,MATCH(E916,'0.0.1 Pokémon Dex Data'!$B$3:$B951,0))</f>
        <v>1</v>
      </c>
      <c r="O916" s="490"/>
      <c r="Q916" s="367" t="n">
        <f aca="false">IF('Reverse Search'!$F$4="All (including temporary formes)",1,IF('Reverse Search'!$F$4="Base Pokémon and permanent formes only",IF(F916&lt;=1,1,0),IF(F916=0,1,0)))</f>
        <v>1</v>
      </c>
      <c r="R916" s="0" t="n">
        <f aca="false">IF('Reverse Search'!$C$7="Disable",1,IF('Reverse Search'!$D$9="Disable",1,IF(OR('Reverse Search'!$F$9=H916,'Reverse Search'!$F$9=I916),1,0)))</f>
        <v>1</v>
      </c>
      <c r="S916" s="0" t="n">
        <f aca="false">IF('Reverse Search'!$C$7="Disable",1,IF('Reverse Search'!$D$10="Disable",1,IF(OR('Reverse Search'!$F$10=H916,'Reverse Search'!$F$10=I916),1,0)))</f>
        <v>1</v>
      </c>
      <c r="T916" s="0" t="n">
        <f aca="false">INDEX($B$4:$B$22,MATCH(H916,$A$4:$A$22,0))</f>
        <v>1</v>
      </c>
      <c r="U916" s="0" t="e">
        <f aca="false">IF(ISBLANK(I916),1,INDEX($B$4:$B$22,MATCH(I916,$A$4:$A$22,0)))</f>
        <v>#N/A</v>
      </c>
      <c r="V916" s="367" t="n">
        <f aca="false">IF('Reverse Search'!$C$7="Disable",1,IF('Reverse Search'!$D$11="Disable",1,IF('Reverse Search'!$E$11="Neutral to:",IF(ROUND(T916*U916,2)&lt;=1,1,0),IF(ROUND(T916*U916,2)&lt;1,1,0))))</f>
        <v>1</v>
      </c>
      <c r="W916" s="0" t="n">
        <f aca="false">IF('Reverse Search'!$N$7="Disable",1,IF('Reverse Search'!$I$9="Disable",1,IF('Reverse Search'!$K$9="≥",IF(J916&gt;='Reverse Search'!$L$9,1,0),IF('Reverse Search'!$K$9="≤",IF(J916&lt;='Reverse Search'!$L$9,1,0),IF(J916='Reverse Search'!$L$9,1,0)))))</f>
        <v>1</v>
      </c>
      <c r="X916" s="0" t="n">
        <f aca="false">IF('Reverse Search'!$N$7="Disable",1,IF('Reverse Search'!$I$10="Disable",1,IF('Reverse Search'!$K$10="≥",IF(K916&gt;='Reverse Search'!$L$10,1,0),IF('Reverse Search'!$K$10="≤",IF(K916&lt;='Reverse Search'!$L$10,1,0),IF(K916='Reverse Search'!$L$10,1,0)))))</f>
        <v>1</v>
      </c>
      <c r="Y916" s="367" t="n">
        <f aca="false">IF('Reverse Search'!$N$7="Disable",1,IF('Reverse Search'!$I$11="Disable",1,IF('Reverse Search'!$K$11="≥",IF(L916&gt;='Reverse Search'!$L$11,1,0),IF('Reverse Search'!$K$11="≤",IF(L916&lt;='Reverse Search'!$L$11,1,0),IF(L916='Reverse Search'!$L$11,1,0)))))</f>
        <v>1</v>
      </c>
      <c r="Z916" s="0" t="n">
        <f aca="true">IF('Reverse Search'!$C$14="Disable",1,IF('Reverse Search'!$D$16="Disable",1,IF($C$2=3,IF($M916=0,0,COUNTIF(INDIRECT("'0.0.2 Pokémon Learnset (Core)'!$D$"&amp;MATCH($E916,'0.0.2 Pokémon Learnset (Core)'!$A$1:$A951,0)&amp;":$FK$"&amp;MATCH($E916,'0.0.2 Pokémon Learnset (Core)'!$A$1:$A951,0)),'Reverse Search'!$E$21)),IF($C$2=2,COUNTIF(INDIRECT("'0.1.1 Pokémon GO Moves'!$B$"&amp;MATCH($E916,'0.1.1 Pokémon GO Moves'!$A$1:$A951,0)&amp;":$R$"&amp;MATCH($E916,'0.1.1 Pokémon GO Moves'!$A$1:$A951,0)),'Reverse Search'!$E$21),COUNTIF(INDIRECT("'0.1.1 Pokémon GO Moves'!$B$"&amp;MATCH($E916,'0.1.1 Pokémon GO Moves'!$A$1:$A951,0)&amp;":$L$"&amp;MATCH($E916,'0.1.1 Pokémon GO Moves'!$A$1:$A951,0)),'Reverse Search'!$E$21)))))</f>
        <v>1</v>
      </c>
      <c r="AA916" s="0" t="n">
        <f aca="true">IF('Reverse Search'!$C$14="Disable",1,IF('Reverse Search'!$I$16="Disable",1,IF($D$2=3,IF($M916=0,0,COUNTIF(INDIRECT("'0.0.2 Pokémon Learnset (Core)'!$D$"&amp;MATCH($E916,'0.0.2 Pokémon Learnset (Core)'!$A$1:$A951,0)&amp;":$FK$"&amp;MATCH($E916,'0.0.2 Pokémon Learnset (Core)'!$A$1:$A951,0)),'Reverse Search'!$J$21)),IF($D$2=2,COUNTIF(INDIRECT("'0.1.1 Pokémon GO Moves'!$B$"&amp;MATCH($E916,'0.1.1 Pokémon GO Moves'!$A$1:$A951,0)&amp;":$R$"&amp;MATCH($E916,'0.1.1 Pokémon GO Moves'!$A$1:$A951,0)),'Reverse Search'!$J$21),COUNTIF(INDIRECT("'0.1.1 Pokémon GO Moves'!$B$"&amp;MATCH($E916,'0.1.1 Pokémon GO Moves'!$A$1:$A951,0)&amp;":$L$"&amp;MATCH($E916,'0.1.1 Pokémon GO Moves'!$A$1:$A951,0)),'Reverse Search'!$J$21)))))</f>
        <v>0</v>
      </c>
      <c r="AB916" s="490"/>
      <c r="AC916" s="260" t="n">
        <f aca="false">IF((Q916+R916+S916+V916+W916+X916+Y916+IF(Z916&gt;=1,1,0)+IF(AA916&gt;=1,1,0))=9,G916&amp;", ",)</f>
        <v>0</v>
      </c>
    </row>
    <row r="917" customFormat="false" ht="15.75" hidden="false" customHeight="false" outlineLevel="0" collapsed="false">
      <c r="A917" s="260"/>
      <c r="B917" s="358"/>
      <c r="C917" s="260"/>
      <c r="D917" s="358"/>
      <c r="E917" s="260" t="n">
        <v>916</v>
      </c>
      <c r="F917" s="260" t="n">
        <f aca="false" t="array" ref="F917:F917">INDEX('0.0.1 Pokémon Dex Data'!$H$3:$H951,MATCH(E917,'0.0.1 Pokémon Dex Data'!$B$3:$B951,0))</f>
        <v>0</v>
      </c>
      <c r="G917" s="0" t="str">
        <f aca="false" t="array" ref="G917:G917">INDEX('0.0.1 Pokémon Dex Data'!$E$3:$E951,MATCH(E917,'0.0.1 Pokémon Dex Data'!$B$3:$B951,0))</f>
        <v>Turtonator</v>
      </c>
      <c r="H917" s="0" t="str">
        <f aca="false" t="array" ref="H917:H917">INDEX('0.0.1 Pokémon Dex Data'!$Q$3:$Q951,MATCH(E917,'0.0.1 Pokémon Dex Data'!$B$3:$B951,0))</f>
        <v>Fire</v>
      </c>
      <c r="I917" s="0" t="str">
        <f aca="false" t="array" ref="I917:I917">INDEX('0.0.1 Pokémon Dex Data'!$R$3:$R951,MATCH(E917,'0.0.1 Pokémon Dex Data'!$B$3:$B951,0))</f>
        <v>Dragon</v>
      </c>
      <c r="J917" s="260" t="n">
        <f aca="false" t="array" ref="J917:J917">ROUND(INDEX('0.0.1 Pokémon Dex Data'!$S$3:$S951,MATCH($E917,'0.0.1 Pokémon Dex Data'!$B$3:$B951,0))*INDEX('0.0.1 Pokémon Dex Data'!T$3:T951,MATCH($E917,'0.0.1 Pokémon Dex Data'!$B$3:$B951,0)),0)</f>
        <v>165</v>
      </c>
      <c r="K917" s="260" t="n">
        <f aca="false" t="array" ref="K917:K917">ROUND(INDEX('0.0.1 Pokémon Dex Data'!$S$3:$S951,MATCH($E917,'0.0.1 Pokémon Dex Data'!$B$3:$B951,0))*INDEX('0.0.1 Pokémon Dex Data'!U$3:U951,MATCH($E917,'0.0.1 Pokémon Dex Data'!$B$3:$B951,0)),0)</f>
        <v>215</v>
      </c>
      <c r="L917" s="260" t="n">
        <f aca="false" t="array" ref="L917:L917">ROUND(INDEX('0.0.1 Pokémon Dex Data'!$S$3:$S951,MATCH($E917,'0.0.1 Pokémon Dex Data'!$B$3:$B951,0))*INDEX('0.0.1 Pokémon Dex Data'!V$3:V951,MATCH($E917,'0.0.1 Pokémon Dex Data'!$B$3:$B951,0)),0)</f>
        <v>155</v>
      </c>
      <c r="M917" s="260" t="n">
        <f aca="false" t="array" ref="M917:M917">INDEX('0.0.1 Pokémon Dex Data'!$J$3:$J951,MATCH(E917,'0.0.1 Pokémon Dex Data'!$B$3:$B951,0))</f>
        <v>1</v>
      </c>
      <c r="O917" s="490"/>
      <c r="Q917" s="367" t="n">
        <f aca="false">IF('Reverse Search'!$F$4="All (including temporary formes)",1,IF('Reverse Search'!$F$4="Base Pokémon and permanent formes only",IF(F917&lt;=1,1,0),IF(F917=0,1,0)))</f>
        <v>1</v>
      </c>
      <c r="R917" s="0" t="n">
        <f aca="false">IF('Reverse Search'!$C$7="Disable",1,IF('Reverse Search'!$D$9="Disable",1,IF(OR('Reverse Search'!$F$9=H917,'Reverse Search'!$F$9=I917),1,0)))</f>
        <v>1</v>
      </c>
      <c r="S917" s="0" t="n">
        <f aca="false">IF('Reverse Search'!$C$7="Disable",1,IF('Reverse Search'!$D$10="Disable",1,IF(OR('Reverse Search'!$F$10=H917,'Reverse Search'!$F$10=I917),1,0)))</f>
        <v>1</v>
      </c>
      <c r="T917" s="0" t="n">
        <f aca="false">INDEX($B$4:$B$22,MATCH(H917,$A$4:$A$22,0))</f>
        <v>1</v>
      </c>
      <c r="U917" s="0" t="n">
        <f aca="false">IF(ISBLANK(I917),1,INDEX($B$4:$B$22,MATCH(I917,$A$4:$A$22,0)))</f>
        <v>1</v>
      </c>
      <c r="V917" s="367" t="n">
        <f aca="false">IF('Reverse Search'!$C$7="Disable",1,IF('Reverse Search'!$D$11="Disable",1,IF('Reverse Search'!$E$11="Neutral to:",IF(ROUND(T917*U917,2)&lt;=1,1,0),IF(ROUND(T917*U917,2)&lt;1,1,0))))</f>
        <v>1</v>
      </c>
      <c r="W917" s="0" t="n">
        <f aca="false">IF('Reverse Search'!$N$7="Disable",1,IF('Reverse Search'!$I$9="Disable",1,IF('Reverse Search'!$K$9="≥",IF(J917&gt;='Reverse Search'!$L$9,1,0),IF('Reverse Search'!$K$9="≤",IF(J917&lt;='Reverse Search'!$L$9,1,0),IF(J917='Reverse Search'!$L$9,1,0)))))</f>
        <v>1</v>
      </c>
      <c r="X917" s="0" t="n">
        <f aca="false">IF('Reverse Search'!$N$7="Disable",1,IF('Reverse Search'!$I$10="Disable",1,IF('Reverse Search'!$K$10="≥",IF(K917&gt;='Reverse Search'!$L$10,1,0),IF('Reverse Search'!$K$10="≤",IF(K917&lt;='Reverse Search'!$L$10,1,0),IF(K917='Reverse Search'!$L$10,1,0)))))</f>
        <v>1</v>
      </c>
      <c r="Y917" s="367" t="n">
        <f aca="false">IF('Reverse Search'!$N$7="Disable",1,IF('Reverse Search'!$I$11="Disable",1,IF('Reverse Search'!$K$11="≥",IF(L917&gt;='Reverse Search'!$L$11,1,0),IF('Reverse Search'!$K$11="≤",IF(L917&lt;='Reverse Search'!$L$11,1,0),IF(L917='Reverse Search'!$L$11,1,0)))))</f>
        <v>1</v>
      </c>
      <c r="Z917" s="0" t="n">
        <f aca="true">IF('Reverse Search'!$C$14="Disable",1,IF('Reverse Search'!$D$16="Disable",1,IF($C$2=3,IF($M917=0,0,COUNTIF(INDIRECT("'0.0.2 Pokémon Learnset (Core)'!$D$"&amp;MATCH($E917,'0.0.2 Pokémon Learnset (Core)'!$A$1:$A951,0)&amp;":$FK$"&amp;MATCH($E917,'0.0.2 Pokémon Learnset (Core)'!$A$1:$A951,0)),'Reverse Search'!$E$21)),IF($C$2=2,COUNTIF(INDIRECT("'0.1.1 Pokémon GO Moves'!$B$"&amp;MATCH($E917,'0.1.1 Pokémon GO Moves'!$A$1:$A951,0)&amp;":$R$"&amp;MATCH($E917,'0.1.1 Pokémon GO Moves'!$A$1:$A951,0)),'Reverse Search'!$E$21),COUNTIF(INDIRECT("'0.1.1 Pokémon GO Moves'!$B$"&amp;MATCH($E917,'0.1.1 Pokémon GO Moves'!$A$1:$A951,0)&amp;":$L$"&amp;MATCH($E917,'0.1.1 Pokémon GO Moves'!$A$1:$A951,0)),'Reverse Search'!$E$21)))))</f>
        <v>1</v>
      </c>
      <c r="AA917" s="0" t="n">
        <f aca="true">IF('Reverse Search'!$C$14="Disable",1,IF('Reverse Search'!$I$16="Disable",1,IF($D$2=3,IF($M917=0,0,COUNTIF(INDIRECT("'0.0.2 Pokémon Learnset (Core)'!$D$"&amp;MATCH($E917,'0.0.2 Pokémon Learnset (Core)'!$A$1:$A951,0)&amp;":$FK$"&amp;MATCH($E917,'0.0.2 Pokémon Learnset (Core)'!$A$1:$A951,0)),'Reverse Search'!$J$21)),IF($D$2=2,COUNTIF(INDIRECT("'0.1.1 Pokémon GO Moves'!$B$"&amp;MATCH($E917,'0.1.1 Pokémon GO Moves'!$A$1:$A951,0)&amp;":$R$"&amp;MATCH($E917,'0.1.1 Pokémon GO Moves'!$A$1:$A951,0)),'Reverse Search'!$J$21),COUNTIF(INDIRECT("'0.1.1 Pokémon GO Moves'!$B$"&amp;MATCH($E917,'0.1.1 Pokémon GO Moves'!$A$1:$A951,0)&amp;":$L$"&amp;MATCH($E917,'0.1.1 Pokémon GO Moves'!$A$1:$A951,0)),'Reverse Search'!$J$21)))))</f>
        <v>0</v>
      </c>
      <c r="AB917" s="490"/>
      <c r="AC917" s="260" t="n">
        <f aca="false">IF((Q917+R917+S917+V917+W917+X917+Y917+IF(Z917&gt;=1,1,0)+IF(AA917&gt;=1,1,0))=9,G917&amp;", ",)</f>
        <v>0</v>
      </c>
    </row>
    <row r="918" customFormat="false" ht="15.75" hidden="false" customHeight="false" outlineLevel="0" collapsed="false">
      <c r="A918" s="260"/>
      <c r="B918" s="358"/>
      <c r="C918" s="260"/>
      <c r="D918" s="358"/>
      <c r="E918" s="260" t="n">
        <v>917</v>
      </c>
      <c r="F918" s="260" t="n">
        <f aca="false" t="array" ref="F918:F918">INDEX('0.0.1 Pokémon Dex Data'!$H$3:$H951,MATCH(E918,'0.0.1 Pokémon Dex Data'!$B$3:$B951,0))</f>
        <v>0</v>
      </c>
      <c r="G918" s="0" t="str">
        <f aca="false" t="array" ref="G918:G918">INDEX('0.0.1 Pokémon Dex Data'!$E$3:$E951,MATCH(E918,'0.0.1 Pokémon Dex Data'!$B$3:$B951,0))</f>
        <v>Togedemaru</v>
      </c>
      <c r="H918" s="0" t="str">
        <f aca="false" t="array" ref="H918:H918">INDEX('0.0.1 Pokémon Dex Data'!$Q$3:$Q951,MATCH(E918,'0.0.1 Pokémon Dex Data'!$B$3:$B951,0))</f>
        <v>Electric</v>
      </c>
      <c r="I918" s="0" t="str">
        <f aca="false" t="array" ref="I918:I918">INDEX('0.0.1 Pokémon Dex Data'!$R$3:$R951,MATCH(E918,'0.0.1 Pokémon Dex Data'!$B$3:$B951,0))</f>
        <v>Steel</v>
      </c>
      <c r="J918" s="260" t="n">
        <f aca="false" t="array" ref="J918:J918">ROUND(INDEX('0.0.1 Pokémon Dex Data'!$S$3:$S951,MATCH($E918,'0.0.1 Pokémon Dex Data'!$B$3:$B951,0))*INDEX('0.0.1 Pokémon Dex Data'!T$3:T951,MATCH($E918,'0.0.1 Pokémon Dex Data'!$B$3:$B951,0)),0)</f>
        <v>190</v>
      </c>
      <c r="K918" s="260" t="n">
        <f aca="false" t="array" ref="K918:K918">ROUND(INDEX('0.0.1 Pokémon Dex Data'!$S$3:$S951,MATCH($E918,'0.0.1 Pokémon Dex Data'!$B$3:$B951,0))*INDEX('0.0.1 Pokémon Dex Data'!U$3:U951,MATCH($E918,'0.0.1 Pokémon Dex Data'!$B$3:$B951,0)),0)</f>
        <v>145</v>
      </c>
      <c r="L918" s="260" t="n">
        <f aca="false" t="array" ref="L918:L918">ROUND(INDEX('0.0.1 Pokémon Dex Data'!$S$3:$S951,MATCH($E918,'0.0.1 Pokémon Dex Data'!$B$3:$B951,0))*INDEX('0.0.1 Pokémon Dex Data'!V$3:V951,MATCH($E918,'0.0.1 Pokémon Dex Data'!$B$3:$B951,0)),0)</f>
        <v>163</v>
      </c>
      <c r="M918" s="260" t="n">
        <f aca="false" t="array" ref="M918:M918">INDEX('0.0.1 Pokémon Dex Data'!$J$3:$J951,MATCH(E918,'0.0.1 Pokémon Dex Data'!$B$3:$B951,0))</f>
        <v>1</v>
      </c>
      <c r="O918" s="490"/>
      <c r="Q918" s="367" t="n">
        <f aca="false">IF('Reverse Search'!$F$4="All (including temporary formes)",1,IF('Reverse Search'!$F$4="Base Pokémon and permanent formes only",IF(F918&lt;=1,1,0),IF(F918=0,1,0)))</f>
        <v>1</v>
      </c>
      <c r="R918" s="0" t="n">
        <f aca="false">IF('Reverse Search'!$C$7="Disable",1,IF('Reverse Search'!$D$9="Disable",1,IF(OR('Reverse Search'!$F$9=H918,'Reverse Search'!$F$9=I918),1,0)))</f>
        <v>1</v>
      </c>
      <c r="S918" s="0" t="n">
        <f aca="false">IF('Reverse Search'!$C$7="Disable",1,IF('Reverse Search'!$D$10="Disable",1,IF(OR('Reverse Search'!$F$10=H918,'Reverse Search'!$F$10=I918),1,0)))</f>
        <v>1</v>
      </c>
      <c r="T918" s="0" t="n">
        <f aca="false">INDEX($B$4:$B$22,MATCH(H918,$A$4:$A$22,0))</f>
        <v>1</v>
      </c>
      <c r="U918" s="0" t="n">
        <f aca="false">IF(ISBLANK(I918),1,INDEX($B$4:$B$22,MATCH(I918,$A$4:$A$22,0)))</f>
        <v>0.714</v>
      </c>
      <c r="V918" s="367" t="n">
        <f aca="false">IF('Reverse Search'!$C$7="Disable",1,IF('Reverse Search'!$D$11="Disable",1,IF('Reverse Search'!$E$11="Neutral to:",IF(ROUND(T918*U918,2)&lt;=1,1,0),IF(ROUND(T918*U918,2)&lt;1,1,0))))</f>
        <v>1</v>
      </c>
      <c r="W918" s="0" t="n">
        <f aca="false">IF('Reverse Search'!$N$7="Disable",1,IF('Reverse Search'!$I$9="Disable",1,IF('Reverse Search'!$K$9="≥",IF(J918&gt;='Reverse Search'!$L$9,1,0),IF('Reverse Search'!$K$9="≤",IF(J918&lt;='Reverse Search'!$L$9,1,0),IF(J918='Reverse Search'!$L$9,1,0)))))</f>
        <v>1</v>
      </c>
      <c r="X918" s="0" t="n">
        <f aca="false">IF('Reverse Search'!$N$7="Disable",1,IF('Reverse Search'!$I$10="Disable",1,IF('Reverse Search'!$K$10="≥",IF(K918&gt;='Reverse Search'!$L$10,1,0),IF('Reverse Search'!$K$10="≤",IF(K918&lt;='Reverse Search'!$L$10,1,0),IF(K918='Reverse Search'!$L$10,1,0)))))</f>
        <v>1</v>
      </c>
      <c r="Y918" s="367" t="n">
        <f aca="false">IF('Reverse Search'!$N$7="Disable",1,IF('Reverse Search'!$I$11="Disable",1,IF('Reverse Search'!$K$11="≥",IF(L918&gt;='Reverse Search'!$L$11,1,0),IF('Reverse Search'!$K$11="≤",IF(L918&lt;='Reverse Search'!$L$11,1,0),IF(L918='Reverse Search'!$L$11,1,0)))))</f>
        <v>1</v>
      </c>
      <c r="Z918" s="0" t="n">
        <f aca="true">IF('Reverse Search'!$C$14="Disable",1,IF('Reverse Search'!$D$16="Disable",1,IF($C$2=3,IF($M918=0,0,COUNTIF(INDIRECT("'0.0.2 Pokémon Learnset (Core)'!$D$"&amp;MATCH($E918,'0.0.2 Pokémon Learnset (Core)'!$A$1:$A951,0)&amp;":$FK$"&amp;MATCH($E918,'0.0.2 Pokémon Learnset (Core)'!$A$1:$A951,0)),'Reverse Search'!$E$21)),IF($C$2=2,COUNTIF(INDIRECT("'0.1.1 Pokémon GO Moves'!$B$"&amp;MATCH($E918,'0.1.1 Pokémon GO Moves'!$A$1:$A951,0)&amp;":$R$"&amp;MATCH($E918,'0.1.1 Pokémon GO Moves'!$A$1:$A951,0)),'Reverse Search'!$E$21),COUNTIF(INDIRECT("'0.1.1 Pokémon GO Moves'!$B$"&amp;MATCH($E918,'0.1.1 Pokémon GO Moves'!$A$1:$A951,0)&amp;":$L$"&amp;MATCH($E918,'0.1.1 Pokémon GO Moves'!$A$1:$A951,0)),'Reverse Search'!$E$21)))))</f>
        <v>1</v>
      </c>
      <c r="AA918" s="0" t="n">
        <f aca="true">IF('Reverse Search'!$C$14="Disable",1,IF('Reverse Search'!$I$16="Disable",1,IF($D$2=3,IF($M918=0,0,COUNTIF(INDIRECT("'0.0.2 Pokémon Learnset (Core)'!$D$"&amp;MATCH($E918,'0.0.2 Pokémon Learnset (Core)'!$A$1:$A951,0)&amp;":$FK$"&amp;MATCH($E918,'0.0.2 Pokémon Learnset (Core)'!$A$1:$A951,0)),'Reverse Search'!$J$21)),IF($D$2=2,COUNTIF(INDIRECT("'0.1.1 Pokémon GO Moves'!$B$"&amp;MATCH($E918,'0.1.1 Pokémon GO Moves'!$A$1:$A951,0)&amp;":$R$"&amp;MATCH($E918,'0.1.1 Pokémon GO Moves'!$A$1:$A951,0)),'Reverse Search'!$J$21),COUNTIF(INDIRECT("'0.1.1 Pokémon GO Moves'!$B$"&amp;MATCH($E918,'0.1.1 Pokémon GO Moves'!$A$1:$A951,0)&amp;":$L$"&amp;MATCH($E918,'0.1.1 Pokémon GO Moves'!$A$1:$A951,0)),'Reverse Search'!$J$21)))))</f>
        <v>0</v>
      </c>
      <c r="AB918" s="490"/>
      <c r="AC918" s="260" t="n">
        <f aca="false">IF((Q918+R918+S918+V918+W918+X918+Y918+IF(Z918&gt;=1,1,0)+IF(AA918&gt;=1,1,0))=9,G918&amp;", ",)</f>
        <v>0</v>
      </c>
    </row>
    <row r="919" customFormat="false" ht="15.75" hidden="false" customHeight="false" outlineLevel="0" collapsed="false">
      <c r="A919" s="260"/>
      <c r="B919" s="358"/>
      <c r="C919" s="260"/>
      <c r="D919" s="358"/>
      <c r="E919" s="260" t="n">
        <v>918</v>
      </c>
      <c r="F919" s="260" t="n">
        <f aca="false" t="array" ref="F919:F919">INDEX('0.0.1 Pokémon Dex Data'!$H$3:$H951,MATCH(E919,'0.0.1 Pokémon Dex Data'!$B$3:$B951,0))</f>
        <v>0</v>
      </c>
      <c r="G919" s="0" t="str">
        <f aca="false" t="array" ref="G919:G919">INDEX('0.0.1 Pokémon Dex Data'!$E$3:$E951,MATCH(E919,'0.0.1 Pokémon Dex Data'!$B$3:$B951,0))</f>
        <v>Mimikyu</v>
      </c>
      <c r="H919" s="0" t="str">
        <f aca="false" t="array" ref="H919:H919">INDEX('0.0.1 Pokémon Dex Data'!$Q$3:$Q951,MATCH(E919,'0.0.1 Pokémon Dex Data'!$B$3:$B951,0))</f>
        <v>Ghost</v>
      </c>
      <c r="I919" s="0" t="str">
        <f aca="false" t="array" ref="I919:I919">INDEX('0.0.1 Pokémon Dex Data'!$R$3:$R951,MATCH(E919,'0.0.1 Pokémon Dex Data'!$B$3:$B951,0))</f>
        <v>Fairy</v>
      </c>
      <c r="J919" s="260" t="n">
        <f aca="false" t="array" ref="J919:J919">ROUND(INDEX('0.0.1 Pokémon Dex Data'!$S$3:$S951,MATCH($E919,'0.0.1 Pokémon Dex Data'!$B$3:$B951,0))*INDEX('0.0.1 Pokémon Dex Data'!T$3:T951,MATCH($E919,'0.0.1 Pokémon Dex Data'!$B$3:$B951,0)),0)</f>
        <v>177</v>
      </c>
      <c r="K919" s="260" t="n">
        <f aca="false" t="array" ref="K919:K919">ROUND(INDEX('0.0.1 Pokémon Dex Data'!$S$3:$S951,MATCH($E919,'0.0.1 Pokémon Dex Data'!$B$3:$B951,0))*INDEX('0.0.1 Pokémon Dex Data'!U$3:U951,MATCH($E919,'0.0.1 Pokémon Dex Data'!$B$3:$B951,0)),0)</f>
        <v>199</v>
      </c>
      <c r="L919" s="260" t="n">
        <f aca="false" t="array" ref="L919:L919">ROUND(INDEX('0.0.1 Pokémon Dex Data'!$S$3:$S951,MATCH($E919,'0.0.1 Pokémon Dex Data'!$B$3:$B951,0))*INDEX('0.0.1 Pokémon Dex Data'!V$3:V951,MATCH($E919,'0.0.1 Pokémon Dex Data'!$B$3:$B951,0)),0)</f>
        <v>146</v>
      </c>
      <c r="M919" s="260" t="n">
        <f aca="false" t="array" ref="M919:M919">INDEX('0.0.1 Pokémon Dex Data'!$J$3:$J951,MATCH(E919,'0.0.1 Pokémon Dex Data'!$B$3:$B951,0))</f>
        <v>1</v>
      </c>
      <c r="O919" s="490"/>
      <c r="Q919" s="367" t="n">
        <f aca="false">IF('Reverse Search'!$F$4="All (including temporary formes)",1,IF('Reverse Search'!$F$4="Base Pokémon and permanent formes only",IF(F919&lt;=1,1,0),IF(F919=0,1,0)))</f>
        <v>1</v>
      </c>
      <c r="R919" s="0" t="n">
        <f aca="false">IF('Reverse Search'!$C$7="Disable",1,IF('Reverse Search'!$D$9="Disable",1,IF(OR('Reverse Search'!$F$9=H919,'Reverse Search'!$F$9=I919),1,0)))</f>
        <v>1</v>
      </c>
      <c r="S919" s="0" t="n">
        <f aca="false">IF('Reverse Search'!$C$7="Disable",1,IF('Reverse Search'!$D$10="Disable",1,IF(OR('Reverse Search'!$F$10=H919,'Reverse Search'!$F$10=I919),1,0)))</f>
        <v>1</v>
      </c>
      <c r="T919" s="0" t="n">
        <f aca="false">INDEX($B$4:$B$22,MATCH(H919,$A$4:$A$22,0))</f>
        <v>0.51</v>
      </c>
      <c r="U919" s="0" t="n">
        <f aca="false">IF(ISBLANK(I919),1,INDEX($B$4:$B$22,MATCH(I919,$A$4:$A$22,0)))</f>
        <v>1</v>
      </c>
      <c r="V919" s="367" t="n">
        <f aca="false">IF('Reverse Search'!$C$7="Disable",1,IF('Reverse Search'!$D$11="Disable",1,IF('Reverse Search'!$E$11="Neutral to:",IF(ROUND(T919*U919,2)&lt;=1,1,0),IF(ROUND(T919*U919,2)&lt;1,1,0))))</f>
        <v>1</v>
      </c>
      <c r="W919" s="0" t="n">
        <f aca="false">IF('Reverse Search'!$N$7="Disable",1,IF('Reverse Search'!$I$9="Disable",1,IF('Reverse Search'!$K$9="≥",IF(J919&gt;='Reverse Search'!$L$9,1,0),IF('Reverse Search'!$K$9="≤",IF(J919&lt;='Reverse Search'!$L$9,1,0),IF(J919='Reverse Search'!$L$9,1,0)))))</f>
        <v>1</v>
      </c>
      <c r="X919" s="0" t="n">
        <f aca="false">IF('Reverse Search'!$N$7="Disable",1,IF('Reverse Search'!$I$10="Disable",1,IF('Reverse Search'!$K$10="≥",IF(K919&gt;='Reverse Search'!$L$10,1,0),IF('Reverse Search'!$K$10="≤",IF(K919&lt;='Reverse Search'!$L$10,1,0),IF(K919='Reverse Search'!$L$10,1,0)))))</f>
        <v>1</v>
      </c>
      <c r="Y919" s="367" t="n">
        <f aca="false">IF('Reverse Search'!$N$7="Disable",1,IF('Reverse Search'!$I$11="Disable",1,IF('Reverse Search'!$K$11="≥",IF(L919&gt;='Reverse Search'!$L$11,1,0),IF('Reverse Search'!$K$11="≤",IF(L919&lt;='Reverse Search'!$L$11,1,0),IF(L919='Reverse Search'!$L$11,1,0)))))</f>
        <v>1</v>
      </c>
      <c r="Z919" s="0" t="n">
        <f aca="true">IF('Reverse Search'!$C$14="Disable",1,IF('Reverse Search'!$D$16="Disable",1,IF($C$2=3,IF($M919=0,0,COUNTIF(INDIRECT("'0.0.2 Pokémon Learnset (Core)'!$D$"&amp;MATCH($E919,'0.0.2 Pokémon Learnset (Core)'!$A$1:$A951,0)&amp;":$FK$"&amp;MATCH($E919,'0.0.2 Pokémon Learnset (Core)'!$A$1:$A951,0)),'Reverse Search'!$E$21)),IF($C$2=2,COUNTIF(INDIRECT("'0.1.1 Pokémon GO Moves'!$B$"&amp;MATCH($E919,'0.1.1 Pokémon GO Moves'!$A$1:$A951,0)&amp;":$R$"&amp;MATCH($E919,'0.1.1 Pokémon GO Moves'!$A$1:$A951,0)),'Reverse Search'!$E$21),COUNTIF(INDIRECT("'0.1.1 Pokémon GO Moves'!$B$"&amp;MATCH($E919,'0.1.1 Pokémon GO Moves'!$A$1:$A951,0)&amp;":$L$"&amp;MATCH($E919,'0.1.1 Pokémon GO Moves'!$A$1:$A951,0)),'Reverse Search'!$E$21)))))</f>
        <v>1</v>
      </c>
      <c r="AA919" s="0" t="n">
        <f aca="true">IF('Reverse Search'!$C$14="Disable",1,IF('Reverse Search'!$I$16="Disable",1,IF($D$2=3,IF($M919=0,0,COUNTIF(INDIRECT("'0.0.2 Pokémon Learnset (Core)'!$D$"&amp;MATCH($E919,'0.0.2 Pokémon Learnset (Core)'!$A$1:$A951,0)&amp;":$FK$"&amp;MATCH($E919,'0.0.2 Pokémon Learnset (Core)'!$A$1:$A951,0)),'Reverse Search'!$J$21)),IF($D$2=2,COUNTIF(INDIRECT("'0.1.1 Pokémon GO Moves'!$B$"&amp;MATCH($E919,'0.1.1 Pokémon GO Moves'!$A$1:$A951,0)&amp;":$R$"&amp;MATCH($E919,'0.1.1 Pokémon GO Moves'!$A$1:$A951,0)),'Reverse Search'!$J$21),COUNTIF(INDIRECT("'0.1.1 Pokémon GO Moves'!$B$"&amp;MATCH($E919,'0.1.1 Pokémon GO Moves'!$A$1:$A951,0)&amp;":$L$"&amp;MATCH($E919,'0.1.1 Pokémon GO Moves'!$A$1:$A951,0)),'Reverse Search'!$J$21)))))</f>
        <v>0</v>
      </c>
      <c r="AB919" s="490"/>
      <c r="AC919" s="260" t="n">
        <f aca="false">IF((Q919+R919+S919+V919+W919+X919+Y919+IF(Z919&gt;=1,1,0)+IF(AA919&gt;=1,1,0))=9,G919&amp;", ",)</f>
        <v>0</v>
      </c>
    </row>
    <row r="920" customFormat="false" ht="15.75" hidden="false" customHeight="false" outlineLevel="0" collapsed="false">
      <c r="A920" s="260"/>
      <c r="B920" s="358"/>
      <c r="C920" s="260"/>
      <c r="D920" s="358"/>
      <c r="E920" s="260" t="n">
        <v>919</v>
      </c>
      <c r="F920" s="260" t="n">
        <f aca="false" t="array" ref="F920:F920">INDEX('0.0.1 Pokémon Dex Data'!$H$3:$H951,MATCH(E920,'0.0.1 Pokémon Dex Data'!$B$3:$B951,0))</f>
        <v>0</v>
      </c>
      <c r="G920" s="0" t="str">
        <f aca="false" t="array" ref="G920:G920">INDEX('0.0.1 Pokémon Dex Data'!$E$3:$E951,MATCH(E920,'0.0.1 Pokémon Dex Data'!$B$3:$B951,0))</f>
        <v>Bruxish</v>
      </c>
      <c r="H920" s="0" t="str">
        <f aca="false" t="array" ref="H920:H920">INDEX('0.0.1 Pokémon Dex Data'!$Q$3:$Q951,MATCH(E920,'0.0.1 Pokémon Dex Data'!$B$3:$B951,0))</f>
        <v>Water</v>
      </c>
      <c r="I920" s="0" t="str">
        <f aca="false" t="array" ref="I920:I920">INDEX('0.0.1 Pokémon Dex Data'!$R$3:$R951,MATCH(E920,'0.0.1 Pokémon Dex Data'!$B$3:$B951,0))</f>
        <v>Psychic</v>
      </c>
      <c r="J920" s="260" t="n">
        <f aca="false" t="array" ref="J920:J920">ROUND(INDEX('0.0.1 Pokémon Dex Data'!$S$3:$S951,MATCH($E920,'0.0.1 Pokémon Dex Data'!$B$3:$B951,0))*INDEX('0.0.1 Pokémon Dex Data'!T$3:T951,MATCH($E920,'0.0.1 Pokémon Dex Data'!$B$3:$B951,0)),0)</f>
        <v>208</v>
      </c>
      <c r="K920" s="260" t="n">
        <f aca="false" t="array" ref="K920:K920">ROUND(INDEX('0.0.1 Pokémon Dex Data'!$S$3:$S951,MATCH($E920,'0.0.1 Pokémon Dex Data'!$B$3:$B951,0))*INDEX('0.0.1 Pokémon Dex Data'!U$3:U951,MATCH($E920,'0.0.1 Pokémon Dex Data'!$B$3:$B951,0)),0)</f>
        <v>145</v>
      </c>
      <c r="L920" s="260" t="n">
        <f aca="false" t="array" ref="L920:L920">ROUND(INDEX('0.0.1 Pokémon Dex Data'!$S$3:$S951,MATCH($E920,'0.0.1 Pokémon Dex Data'!$B$3:$B951,0))*INDEX('0.0.1 Pokémon Dex Data'!V$3:V951,MATCH($E920,'0.0.1 Pokémon Dex Data'!$B$3:$B951,0)),0)</f>
        <v>169</v>
      </c>
      <c r="M920" s="260" t="n">
        <f aca="false" t="array" ref="M920:M920">INDEX('0.0.1 Pokémon Dex Data'!$J$3:$J951,MATCH(E920,'0.0.1 Pokémon Dex Data'!$B$3:$B951,0))</f>
        <v>1</v>
      </c>
      <c r="O920" s="490"/>
      <c r="Q920" s="367" t="n">
        <f aca="false">IF('Reverse Search'!$F$4="All (including temporary formes)",1,IF('Reverse Search'!$F$4="Base Pokémon and permanent formes only",IF(F920&lt;=1,1,0),IF(F920=0,1,0)))</f>
        <v>1</v>
      </c>
      <c r="R920" s="0" t="n">
        <f aca="false">IF('Reverse Search'!$C$7="Disable",1,IF('Reverse Search'!$D$9="Disable",1,IF(OR('Reverse Search'!$F$9=H920,'Reverse Search'!$F$9=I920),1,0)))</f>
        <v>1</v>
      </c>
      <c r="S920" s="0" t="n">
        <f aca="false">IF('Reverse Search'!$C$7="Disable",1,IF('Reverse Search'!$D$10="Disable",1,IF(OR('Reverse Search'!$F$10=H920,'Reverse Search'!$F$10=I920),1,0)))</f>
        <v>1</v>
      </c>
      <c r="T920" s="0" t="n">
        <f aca="false">INDEX($B$4:$B$22,MATCH(H920,$A$4:$A$22,0))</f>
        <v>1</v>
      </c>
      <c r="U920" s="0" t="n">
        <f aca="false">IF(ISBLANK(I920),1,INDEX($B$4:$B$22,MATCH(I920,$A$4:$A$22,0)))</f>
        <v>1</v>
      </c>
      <c r="V920" s="367" t="n">
        <f aca="false">IF('Reverse Search'!$C$7="Disable",1,IF('Reverse Search'!$D$11="Disable",1,IF('Reverse Search'!$E$11="Neutral to:",IF(ROUND(T920*U920,2)&lt;=1,1,0),IF(ROUND(T920*U920,2)&lt;1,1,0))))</f>
        <v>1</v>
      </c>
      <c r="W920" s="0" t="n">
        <f aca="false">IF('Reverse Search'!$N$7="Disable",1,IF('Reverse Search'!$I$9="Disable",1,IF('Reverse Search'!$K$9="≥",IF(J920&gt;='Reverse Search'!$L$9,1,0),IF('Reverse Search'!$K$9="≤",IF(J920&lt;='Reverse Search'!$L$9,1,0),IF(J920='Reverse Search'!$L$9,1,0)))))</f>
        <v>1</v>
      </c>
      <c r="X920" s="0" t="n">
        <f aca="false">IF('Reverse Search'!$N$7="Disable",1,IF('Reverse Search'!$I$10="Disable",1,IF('Reverse Search'!$K$10="≥",IF(K920&gt;='Reverse Search'!$L$10,1,0),IF('Reverse Search'!$K$10="≤",IF(K920&lt;='Reverse Search'!$L$10,1,0),IF(K920='Reverse Search'!$L$10,1,0)))))</f>
        <v>1</v>
      </c>
      <c r="Y920" s="367" t="n">
        <f aca="false">IF('Reverse Search'!$N$7="Disable",1,IF('Reverse Search'!$I$11="Disable",1,IF('Reverse Search'!$K$11="≥",IF(L920&gt;='Reverse Search'!$L$11,1,0),IF('Reverse Search'!$K$11="≤",IF(L920&lt;='Reverse Search'!$L$11,1,0),IF(L920='Reverse Search'!$L$11,1,0)))))</f>
        <v>1</v>
      </c>
      <c r="Z920" s="0" t="n">
        <f aca="true">IF('Reverse Search'!$C$14="Disable",1,IF('Reverse Search'!$D$16="Disable",1,IF($C$2=3,IF($M920=0,0,COUNTIF(INDIRECT("'0.0.2 Pokémon Learnset (Core)'!$D$"&amp;MATCH($E920,'0.0.2 Pokémon Learnset (Core)'!$A$1:$A951,0)&amp;":$FK$"&amp;MATCH($E920,'0.0.2 Pokémon Learnset (Core)'!$A$1:$A951,0)),'Reverse Search'!$E$21)),IF($C$2=2,COUNTIF(INDIRECT("'0.1.1 Pokémon GO Moves'!$B$"&amp;MATCH($E920,'0.1.1 Pokémon GO Moves'!$A$1:$A951,0)&amp;":$R$"&amp;MATCH($E920,'0.1.1 Pokémon GO Moves'!$A$1:$A951,0)),'Reverse Search'!$E$21),COUNTIF(INDIRECT("'0.1.1 Pokémon GO Moves'!$B$"&amp;MATCH($E920,'0.1.1 Pokémon GO Moves'!$A$1:$A951,0)&amp;":$L$"&amp;MATCH($E920,'0.1.1 Pokémon GO Moves'!$A$1:$A951,0)),'Reverse Search'!$E$21)))))</f>
        <v>1</v>
      </c>
      <c r="AA920" s="0" t="n">
        <f aca="true">IF('Reverse Search'!$C$14="Disable",1,IF('Reverse Search'!$I$16="Disable",1,IF($D$2=3,IF($M920=0,0,COUNTIF(INDIRECT("'0.0.2 Pokémon Learnset (Core)'!$D$"&amp;MATCH($E920,'0.0.2 Pokémon Learnset (Core)'!$A$1:$A951,0)&amp;":$FK$"&amp;MATCH($E920,'0.0.2 Pokémon Learnset (Core)'!$A$1:$A951,0)),'Reverse Search'!$J$21)),IF($D$2=2,COUNTIF(INDIRECT("'0.1.1 Pokémon GO Moves'!$B$"&amp;MATCH($E920,'0.1.1 Pokémon GO Moves'!$A$1:$A951,0)&amp;":$R$"&amp;MATCH($E920,'0.1.1 Pokémon GO Moves'!$A$1:$A951,0)),'Reverse Search'!$J$21),COUNTIF(INDIRECT("'0.1.1 Pokémon GO Moves'!$B$"&amp;MATCH($E920,'0.1.1 Pokémon GO Moves'!$A$1:$A951,0)&amp;":$L$"&amp;MATCH($E920,'0.1.1 Pokémon GO Moves'!$A$1:$A951,0)),'Reverse Search'!$J$21)))))</f>
        <v>0</v>
      </c>
      <c r="AB920" s="490"/>
      <c r="AC920" s="260" t="n">
        <f aca="false">IF((Q920+R920+S920+V920+W920+X920+Y920+IF(Z920&gt;=1,1,0)+IF(AA920&gt;=1,1,0))=9,G920&amp;", ",)</f>
        <v>0</v>
      </c>
    </row>
    <row r="921" customFormat="false" ht="15.75" hidden="false" customHeight="false" outlineLevel="0" collapsed="false">
      <c r="A921" s="260"/>
      <c r="B921" s="358"/>
      <c r="C921" s="260"/>
      <c r="D921" s="358"/>
      <c r="E921" s="260" t="n">
        <v>920</v>
      </c>
      <c r="F921" s="260" t="n">
        <f aca="false" t="array" ref="F921:F921">INDEX('0.0.1 Pokémon Dex Data'!$H$3:$H951,MATCH(E921,'0.0.1 Pokémon Dex Data'!$B$3:$B951,0))</f>
        <v>0</v>
      </c>
      <c r="G921" s="0" t="str">
        <f aca="false" t="array" ref="G921:G921">INDEX('0.0.1 Pokémon Dex Data'!$E$3:$E951,MATCH(E921,'0.0.1 Pokémon Dex Data'!$B$3:$B951,0))</f>
        <v>Drampa</v>
      </c>
      <c r="H921" s="0" t="str">
        <f aca="false" t="array" ref="H921:H921">INDEX('0.0.1 Pokémon Dex Data'!$Q$3:$Q951,MATCH(E921,'0.0.1 Pokémon Dex Data'!$B$3:$B951,0))</f>
        <v>Normal</v>
      </c>
      <c r="I921" s="0" t="str">
        <f aca="false" t="array" ref="I921:I921">INDEX('0.0.1 Pokémon Dex Data'!$R$3:$R951,MATCH(E921,'0.0.1 Pokémon Dex Data'!$B$3:$B951,0))</f>
        <v>Dragon</v>
      </c>
      <c r="J921" s="260" t="n">
        <f aca="false" t="array" ref="J921:J921">ROUND(INDEX('0.0.1 Pokémon Dex Data'!$S$3:$S951,MATCH($E921,'0.0.1 Pokémon Dex Data'!$B$3:$B951,0))*INDEX('0.0.1 Pokémon Dex Data'!T$3:T951,MATCH($E921,'0.0.1 Pokémon Dex Data'!$B$3:$B951,0)),0)</f>
        <v>231</v>
      </c>
      <c r="K921" s="260" t="n">
        <f aca="false" t="array" ref="K921:K921">ROUND(INDEX('0.0.1 Pokémon Dex Data'!$S$3:$S951,MATCH($E921,'0.0.1 Pokémon Dex Data'!$B$3:$B951,0))*INDEX('0.0.1 Pokémon Dex Data'!U$3:U951,MATCH($E921,'0.0.1 Pokémon Dex Data'!$B$3:$B951,0)),0)</f>
        <v>164</v>
      </c>
      <c r="L921" s="260" t="n">
        <f aca="false" t="array" ref="L921:L921">ROUND(INDEX('0.0.1 Pokémon Dex Data'!$S$3:$S951,MATCH($E921,'0.0.1 Pokémon Dex Data'!$B$3:$B951,0))*INDEX('0.0.1 Pokémon Dex Data'!V$3:V951,MATCH($E921,'0.0.1 Pokémon Dex Data'!$B$3:$B951,0)),0)</f>
        <v>186</v>
      </c>
      <c r="M921" s="260" t="n">
        <f aca="false" t="array" ref="M921:M921">INDEX('0.0.1 Pokémon Dex Data'!$J$3:$J951,MATCH(E921,'0.0.1 Pokémon Dex Data'!$B$3:$B951,0))</f>
        <v>1</v>
      </c>
      <c r="O921" s="490"/>
      <c r="Q921" s="367" t="n">
        <f aca="false">IF('Reverse Search'!$F$4="All (including temporary formes)",1,IF('Reverse Search'!$F$4="Base Pokémon and permanent formes only",IF(F921&lt;=1,1,0),IF(F921=0,1,0)))</f>
        <v>1</v>
      </c>
      <c r="R921" s="0" t="n">
        <f aca="false">IF('Reverse Search'!$C$7="Disable",1,IF('Reverse Search'!$D$9="Disable",1,IF(OR('Reverse Search'!$F$9=H921,'Reverse Search'!$F$9=I921),1,0)))</f>
        <v>1</v>
      </c>
      <c r="S921" s="0" t="n">
        <f aca="false">IF('Reverse Search'!$C$7="Disable",1,IF('Reverse Search'!$D$10="Disable",1,IF(OR('Reverse Search'!$F$10=H921,'Reverse Search'!$F$10=I921),1,0)))</f>
        <v>1</v>
      </c>
      <c r="T921" s="0" t="n">
        <f aca="false">INDEX($B$4:$B$22,MATCH(H921,$A$4:$A$22,0))</f>
        <v>1</v>
      </c>
      <c r="U921" s="0" t="n">
        <f aca="false">IF(ISBLANK(I921),1,INDEX($B$4:$B$22,MATCH(I921,$A$4:$A$22,0)))</f>
        <v>1</v>
      </c>
      <c r="V921" s="367" t="n">
        <f aca="false">IF('Reverse Search'!$C$7="Disable",1,IF('Reverse Search'!$D$11="Disable",1,IF('Reverse Search'!$E$11="Neutral to:",IF(ROUND(T921*U921,2)&lt;=1,1,0),IF(ROUND(T921*U921,2)&lt;1,1,0))))</f>
        <v>1</v>
      </c>
      <c r="W921" s="0" t="n">
        <f aca="false">IF('Reverse Search'!$N$7="Disable",1,IF('Reverse Search'!$I$9="Disable",1,IF('Reverse Search'!$K$9="≥",IF(J921&gt;='Reverse Search'!$L$9,1,0),IF('Reverse Search'!$K$9="≤",IF(J921&lt;='Reverse Search'!$L$9,1,0),IF(J921='Reverse Search'!$L$9,1,0)))))</f>
        <v>1</v>
      </c>
      <c r="X921" s="0" t="n">
        <f aca="false">IF('Reverse Search'!$N$7="Disable",1,IF('Reverse Search'!$I$10="Disable",1,IF('Reverse Search'!$K$10="≥",IF(K921&gt;='Reverse Search'!$L$10,1,0),IF('Reverse Search'!$K$10="≤",IF(K921&lt;='Reverse Search'!$L$10,1,0),IF(K921='Reverse Search'!$L$10,1,0)))))</f>
        <v>1</v>
      </c>
      <c r="Y921" s="367" t="n">
        <f aca="false">IF('Reverse Search'!$N$7="Disable",1,IF('Reverse Search'!$I$11="Disable",1,IF('Reverse Search'!$K$11="≥",IF(L921&gt;='Reverse Search'!$L$11,1,0),IF('Reverse Search'!$K$11="≤",IF(L921&lt;='Reverse Search'!$L$11,1,0),IF(L921='Reverse Search'!$L$11,1,0)))))</f>
        <v>1</v>
      </c>
      <c r="Z921" s="0" t="n">
        <f aca="true">IF('Reverse Search'!$C$14="Disable",1,IF('Reverse Search'!$D$16="Disable",1,IF($C$2=3,IF($M921=0,0,COUNTIF(INDIRECT("'0.0.2 Pokémon Learnset (Core)'!$D$"&amp;MATCH($E921,'0.0.2 Pokémon Learnset (Core)'!$A$1:$A951,0)&amp;":$FK$"&amp;MATCH($E921,'0.0.2 Pokémon Learnset (Core)'!$A$1:$A951,0)),'Reverse Search'!$E$21)),IF($C$2=2,COUNTIF(INDIRECT("'0.1.1 Pokémon GO Moves'!$B$"&amp;MATCH($E921,'0.1.1 Pokémon GO Moves'!$A$1:$A951,0)&amp;":$R$"&amp;MATCH($E921,'0.1.1 Pokémon GO Moves'!$A$1:$A951,0)),'Reverse Search'!$E$21),COUNTIF(INDIRECT("'0.1.1 Pokémon GO Moves'!$B$"&amp;MATCH($E921,'0.1.1 Pokémon GO Moves'!$A$1:$A951,0)&amp;":$L$"&amp;MATCH($E921,'0.1.1 Pokémon GO Moves'!$A$1:$A951,0)),'Reverse Search'!$E$21)))))</f>
        <v>1</v>
      </c>
      <c r="AA921" s="0" t="n">
        <f aca="true">IF('Reverse Search'!$C$14="Disable",1,IF('Reverse Search'!$I$16="Disable",1,IF($D$2=3,IF($M921=0,0,COUNTIF(INDIRECT("'0.0.2 Pokémon Learnset (Core)'!$D$"&amp;MATCH($E921,'0.0.2 Pokémon Learnset (Core)'!$A$1:$A951,0)&amp;":$FK$"&amp;MATCH($E921,'0.0.2 Pokémon Learnset (Core)'!$A$1:$A951,0)),'Reverse Search'!$J$21)),IF($D$2=2,COUNTIF(INDIRECT("'0.1.1 Pokémon GO Moves'!$B$"&amp;MATCH($E921,'0.1.1 Pokémon GO Moves'!$A$1:$A951,0)&amp;":$R$"&amp;MATCH($E921,'0.1.1 Pokémon GO Moves'!$A$1:$A951,0)),'Reverse Search'!$J$21),COUNTIF(INDIRECT("'0.1.1 Pokémon GO Moves'!$B$"&amp;MATCH($E921,'0.1.1 Pokémon GO Moves'!$A$1:$A951,0)&amp;":$L$"&amp;MATCH($E921,'0.1.1 Pokémon GO Moves'!$A$1:$A951,0)),'Reverse Search'!$J$21)))))</f>
        <v>0</v>
      </c>
      <c r="AB921" s="490"/>
      <c r="AC921" s="260" t="n">
        <f aca="false">IF((Q921+R921+S921+V921+W921+X921+Y921+IF(Z921&gt;=1,1,0)+IF(AA921&gt;=1,1,0))=9,G921&amp;", ",)</f>
        <v>0</v>
      </c>
    </row>
    <row r="922" customFormat="false" ht="15.75" hidden="false" customHeight="false" outlineLevel="0" collapsed="false">
      <c r="A922" s="260"/>
      <c r="B922" s="358"/>
      <c r="C922" s="260"/>
      <c r="D922" s="358"/>
      <c r="E922" s="260" t="n">
        <v>921</v>
      </c>
      <c r="F922" s="260" t="n">
        <f aca="false" t="array" ref="F922:F922">INDEX('0.0.1 Pokémon Dex Data'!$H$3:$H951,MATCH(E922,'0.0.1 Pokémon Dex Data'!$B$3:$B951,0))</f>
        <v>0</v>
      </c>
      <c r="G922" s="0" t="str">
        <f aca="false" t="array" ref="G922:G922">INDEX('0.0.1 Pokémon Dex Data'!$E$3:$E951,MATCH(E922,'0.0.1 Pokémon Dex Data'!$B$3:$B951,0))</f>
        <v>Dhelmise</v>
      </c>
      <c r="H922" s="0" t="str">
        <f aca="false" t="array" ref="H922:H922">INDEX('0.0.1 Pokémon Dex Data'!$Q$3:$Q951,MATCH(E922,'0.0.1 Pokémon Dex Data'!$B$3:$B951,0))</f>
        <v>Ghost</v>
      </c>
      <c r="I922" s="0" t="str">
        <f aca="false" t="array" ref="I922:I922">INDEX('0.0.1 Pokémon Dex Data'!$R$3:$R951,MATCH(E922,'0.0.1 Pokémon Dex Data'!$B$3:$B951,0))</f>
        <v>Grass</v>
      </c>
      <c r="J922" s="260" t="n">
        <f aca="false" t="array" ref="J922:J922">ROUND(INDEX('0.0.1 Pokémon Dex Data'!$S$3:$S951,MATCH($E922,'0.0.1 Pokémon Dex Data'!$B$3:$B951,0))*INDEX('0.0.1 Pokémon Dex Data'!T$3:T951,MATCH($E922,'0.0.1 Pokémon Dex Data'!$B$3:$B951,0)),0)</f>
        <v>233</v>
      </c>
      <c r="K922" s="260" t="n">
        <f aca="false" t="array" ref="K922:K922">ROUND(INDEX('0.0.1 Pokémon Dex Data'!$S$3:$S951,MATCH($E922,'0.0.1 Pokémon Dex Data'!$B$3:$B951,0))*INDEX('0.0.1 Pokémon Dex Data'!U$3:U951,MATCH($E922,'0.0.1 Pokémon Dex Data'!$B$3:$B951,0)),0)</f>
        <v>179</v>
      </c>
      <c r="L922" s="260" t="n">
        <f aca="false" t="array" ref="L922:L922">ROUND(INDEX('0.0.1 Pokémon Dex Data'!$S$3:$S951,MATCH($E922,'0.0.1 Pokémon Dex Data'!$B$3:$B951,0))*INDEX('0.0.1 Pokémon Dex Data'!V$3:V951,MATCH($E922,'0.0.1 Pokémon Dex Data'!$B$3:$B951,0)),0)</f>
        <v>172</v>
      </c>
      <c r="M922" s="260" t="n">
        <f aca="false" t="array" ref="M922:M922">INDEX('0.0.1 Pokémon Dex Data'!$J$3:$J951,MATCH(E922,'0.0.1 Pokémon Dex Data'!$B$3:$B951,0))</f>
        <v>1</v>
      </c>
      <c r="O922" s="490"/>
      <c r="Q922" s="367" t="n">
        <f aca="false">IF('Reverse Search'!$F$4="All (including temporary formes)",1,IF('Reverse Search'!$F$4="Base Pokémon and permanent formes only",IF(F922&lt;=1,1,0),IF(F922=0,1,0)))</f>
        <v>1</v>
      </c>
      <c r="R922" s="0" t="n">
        <f aca="false">IF('Reverse Search'!$C$7="Disable",1,IF('Reverse Search'!$D$9="Disable",1,IF(OR('Reverse Search'!$F$9=H922,'Reverse Search'!$F$9=I922),1,0)))</f>
        <v>1</v>
      </c>
      <c r="S922" s="0" t="n">
        <f aca="false">IF('Reverse Search'!$C$7="Disable",1,IF('Reverse Search'!$D$10="Disable",1,IF(OR('Reverse Search'!$F$10=H922,'Reverse Search'!$F$10=I922),1,0)))</f>
        <v>1</v>
      </c>
      <c r="T922" s="0" t="n">
        <f aca="false">INDEX($B$4:$B$22,MATCH(H922,$A$4:$A$22,0))</f>
        <v>0.51</v>
      </c>
      <c r="U922" s="0" t="n">
        <f aca="false">IF(ISBLANK(I922),1,INDEX($B$4:$B$22,MATCH(I922,$A$4:$A$22,0)))</f>
        <v>1</v>
      </c>
      <c r="V922" s="367" t="n">
        <f aca="false">IF('Reverse Search'!$C$7="Disable",1,IF('Reverse Search'!$D$11="Disable",1,IF('Reverse Search'!$E$11="Neutral to:",IF(ROUND(T922*U922,2)&lt;=1,1,0),IF(ROUND(T922*U922,2)&lt;1,1,0))))</f>
        <v>1</v>
      </c>
      <c r="W922" s="0" t="n">
        <f aca="false">IF('Reverse Search'!$N$7="Disable",1,IF('Reverse Search'!$I$9="Disable",1,IF('Reverse Search'!$K$9="≥",IF(J922&gt;='Reverse Search'!$L$9,1,0),IF('Reverse Search'!$K$9="≤",IF(J922&lt;='Reverse Search'!$L$9,1,0),IF(J922='Reverse Search'!$L$9,1,0)))))</f>
        <v>1</v>
      </c>
      <c r="X922" s="0" t="n">
        <f aca="false">IF('Reverse Search'!$N$7="Disable",1,IF('Reverse Search'!$I$10="Disable",1,IF('Reverse Search'!$K$10="≥",IF(K922&gt;='Reverse Search'!$L$10,1,0),IF('Reverse Search'!$K$10="≤",IF(K922&lt;='Reverse Search'!$L$10,1,0),IF(K922='Reverse Search'!$L$10,1,0)))))</f>
        <v>1</v>
      </c>
      <c r="Y922" s="367" t="n">
        <f aca="false">IF('Reverse Search'!$N$7="Disable",1,IF('Reverse Search'!$I$11="Disable",1,IF('Reverse Search'!$K$11="≥",IF(L922&gt;='Reverse Search'!$L$11,1,0),IF('Reverse Search'!$K$11="≤",IF(L922&lt;='Reverse Search'!$L$11,1,0),IF(L922='Reverse Search'!$L$11,1,0)))))</f>
        <v>1</v>
      </c>
      <c r="Z922" s="0" t="n">
        <f aca="true">IF('Reverse Search'!$C$14="Disable",1,IF('Reverse Search'!$D$16="Disable",1,IF($C$2=3,IF($M922=0,0,COUNTIF(INDIRECT("'0.0.2 Pokémon Learnset (Core)'!$D$"&amp;MATCH($E922,'0.0.2 Pokémon Learnset (Core)'!$A$1:$A951,0)&amp;":$FK$"&amp;MATCH($E922,'0.0.2 Pokémon Learnset (Core)'!$A$1:$A951,0)),'Reverse Search'!$E$21)),IF($C$2=2,COUNTIF(INDIRECT("'0.1.1 Pokémon GO Moves'!$B$"&amp;MATCH($E922,'0.1.1 Pokémon GO Moves'!$A$1:$A951,0)&amp;":$R$"&amp;MATCH($E922,'0.1.1 Pokémon GO Moves'!$A$1:$A951,0)),'Reverse Search'!$E$21),COUNTIF(INDIRECT("'0.1.1 Pokémon GO Moves'!$B$"&amp;MATCH($E922,'0.1.1 Pokémon GO Moves'!$A$1:$A951,0)&amp;":$L$"&amp;MATCH($E922,'0.1.1 Pokémon GO Moves'!$A$1:$A951,0)),'Reverse Search'!$E$21)))))</f>
        <v>1</v>
      </c>
      <c r="AA922" s="0" t="n">
        <f aca="true">IF('Reverse Search'!$C$14="Disable",1,IF('Reverse Search'!$I$16="Disable",1,IF($D$2=3,IF($M922=0,0,COUNTIF(INDIRECT("'0.0.2 Pokémon Learnset (Core)'!$D$"&amp;MATCH($E922,'0.0.2 Pokémon Learnset (Core)'!$A$1:$A951,0)&amp;":$FK$"&amp;MATCH($E922,'0.0.2 Pokémon Learnset (Core)'!$A$1:$A951,0)),'Reverse Search'!$J$21)),IF($D$2=2,COUNTIF(INDIRECT("'0.1.1 Pokémon GO Moves'!$B$"&amp;MATCH($E922,'0.1.1 Pokémon GO Moves'!$A$1:$A951,0)&amp;":$R$"&amp;MATCH($E922,'0.1.1 Pokémon GO Moves'!$A$1:$A951,0)),'Reverse Search'!$J$21),COUNTIF(INDIRECT("'0.1.1 Pokémon GO Moves'!$B$"&amp;MATCH($E922,'0.1.1 Pokémon GO Moves'!$A$1:$A951,0)&amp;":$L$"&amp;MATCH($E922,'0.1.1 Pokémon GO Moves'!$A$1:$A951,0)),'Reverse Search'!$J$21)))))</f>
        <v>0</v>
      </c>
      <c r="AB922" s="490"/>
      <c r="AC922" s="260" t="n">
        <f aca="false">IF((Q922+R922+S922+V922+W922+X922+Y922+IF(Z922&gt;=1,1,0)+IF(AA922&gt;=1,1,0))=9,G922&amp;", ",)</f>
        <v>0</v>
      </c>
    </row>
    <row r="923" customFormat="false" ht="15.75" hidden="false" customHeight="false" outlineLevel="0" collapsed="false">
      <c r="A923" s="260"/>
      <c r="B923" s="358"/>
      <c r="C923" s="260"/>
      <c r="D923" s="358"/>
      <c r="E923" s="260" t="n">
        <v>922</v>
      </c>
      <c r="F923" s="260" t="n">
        <f aca="false" t="array" ref="F923:F923">INDEX('0.0.1 Pokémon Dex Data'!$H$3:$H951,MATCH(E923,'0.0.1 Pokémon Dex Data'!$B$3:$B951,0))</f>
        <v>0</v>
      </c>
      <c r="G923" s="0" t="str">
        <f aca="false" t="array" ref="G923:G923">INDEX('0.0.1 Pokémon Dex Data'!$E$3:$E951,MATCH(E923,'0.0.1 Pokémon Dex Data'!$B$3:$B951,0))</f>
        <v>Jangmo-o</v>
      </c>
      <c r="H923" s="0" t="str">
        <f aca="false" t="array" ref="H923:H923">INDEX('0.0.1 Pokémon Dex Data'!$Q$3:$Q951,MATCH(E923,'0.0.1 Pokémon Dex Data'!$B$3:$B951,0))</f>
        <v>Dragon</v>
      </c>
      <c r="I923" s="0" t="n">
        <f aca="false">INDEX('0.0.1 Pokémon Dex Data'!$R$3:$R951,MATCH(E923,'0.0.1 Pokémon Dex Data'!$B$3:$B951,0))</f>
        <v>0</v>
      </c>
      <c r="J923" s="260" t="n">
        <f aca="false" t="array" ref="J923:J923">ROUND(INDEX('0.0.1 Pokémon Dex Data'!$S$3:$S951,MATCH($E923,'0.0.1 Pokémon Dex Data'!$B$3:$B951,0))*INDEX('0.0.1 Pokémon Dex Data'!T$3:T951,MATCH($E923,'0.0.1 Pokémon Dex Data'!$B$3:$B951,0)),0)</f>
        <v>102</v>
      </c>
      <c r="K923" s="260" t="n">
        <f aca="false" t="array" ref="K923:K923">ROUND(INDEX('0.0.1 Pokémon Dex Data'!$S$3:$S951,MATCH($E923,'0.0.1 Pokémon Dex Data'!$B$3:$B951,0))*INDEX('0.0.1 Pokémon Dex Data'!U$3:U951,MATCH($E923,'0.0.1 Pokémon Dex Data'!$B$3:$B951,0)),0)</f>
        <v>108</v>
      </c>
      <c r="L923" s="260" t="n">
        <f aca="false" t="array" ref="L923:L923">ROUND(INDEX('0.0.1 Pokémon Dex Data'!$S$3:$S951,MATCH($E923,'0.0.1 Pokémon Dex Data'!$B$3:$B951,0))*INDEX('0.0.1 Pokémon Dex Data'!V$3:V951,MATCH($E923,'0.0.1 Pokémon Dex Data'!$B$3:$B951,0)),0)</f>
        <v>128</v>
      </c>
      <c r="M923" s="260" t="n">
        <f aca="false" t="array" ref="M923:M923">INDEX('0.0.1 Pokémon Dex Data'!$J$3:$J951,MATCH(E923,'0.0.1 Pokémon Dex Data'!$B$3:$B951,0))</f>
        <v>0</v>
      </c>
      <c r="O923" s="490"/>
      <c r="Q923" s="367" t="n">
        <f aca="false">IF('Reverse Search'!$F$4="All (including temporary formes)",1,IF('Reverse Search'!$F$4="Base Pokémon and permanent formes only",IF(F923&lt;=1,1,0),IF(F923=0,1,0)))</f>
        <v>1</v>
      </c>
      <c r="R923" s="0" t="n">
        <f aca="false">IF('Reverse Search'!$C$7="Disable",1,IF('Reverse Search'!$D$9="Disable",1,IF(OR('Reverse Search'!$F$9=H923,'Reverse Search'!$F$9=I923),1,0)))</f>
        <v>1</v>
      </c>
      <c r="S923" s="0" t="n">
        <f aca="false">IF('Reverse Search'!$C$7="Disable",1,IF('Reverse Search'!$D$10="Disable",1,IF(OR('Reverse Search'!$F$10=H923,'Reverse Search'!$F$10=I923),1,0)))</f>
        <v>1</v>
      </c>
      <c r="T923" s="0" t="n">
        <f aca="false">INDEX($B$4:$B$22,MATCH(H923,$A$4:$A$22,0))</f>
        <v>1</v>
      </c>
      <c r="U923" s="0" t="e">
        <f aca="false">IF(ISBLANK(I923),1,INDEX($B$4:$B$22,MATCH(I923,$A$4:$A$22,0)))</f>
        <v>#N/A</v>
      </c>
      <c r="V923" s="367" t="n">
        <f aca="false">IF('Reverse Search'!$C$7="Disable",1,IF('Reverse Search'!$D$11="Disable",1,IF('Reverse Search'!$E$11="Neutral to:",IF(ROUND(T923*U923,2)&lt;=1,1,0),IF(ROUND(T923*U923,2)&lt;1,1,0))))</f>
        <v>1</v>
      </c>
      <c r="W923" s="0" t="n">
        <f aca="false">IF('Reverse Search'!$N$7="Disable",1,IF('Reverse Search'!$I$9="Disable",1,IF('Reverse Search'!$K$9="≥",IF(J923&gt;='Reverse Search'!$L$9,1,0),IF('Reverse Search'!$K$9="≤",IF(J923&lt;='Reverse Search'!$L$9,1,0),IF(J923='Reverse Search'!$L$9,1,0)))))</f>
        <v>1</v>
      </c>
      <c r="X923" s="0" t="n">
        <f aca="false">IF('Reverse Search'!$N$7="Disable",1,IF('Reverse Search'!$I$10="Disable",1,IF('Reverse Search'!$K$10="≥",IF(K923&gt;='Reverse Search'!$L$10,1,0),IF('Reverse Search'!$K$10="≤",IF(K923&lt;='Reverse Search'!$L$10,1,0),IF(K923='Reverse Search'!$L$10,1,0)))))</f>
        <v>1</v>
      </c>
      <c r="Y923" s="367" t="n">
        <f aca="false">IF('Reverse Search'!$N$7="Disable",1,IF('Reverse Search'!$I$11="Disable",1,IF('Reverse Search'!$K$11="≥",IF(L923&gt;='Reverse Search'!$L$11,1,0),IF('Reverse Search'!$K$11="≤",IF(L923&lt;='Reverse Search'!$L$11,1,0),IF(L923='Reverse Search'!$L$11,1,0)))))</f>
        <v>1</v>
      </c>
      <c r="Z923" s="0" t="n">
        <f aca="true">IF('Reverse Search'!$C$14="Disable",1,IF('Reverse Search'!$D$16="Disable",1,IF($C$2=3,IF($M923=0,0,COUNTIF(INDIRECT("'0.0.2 Pokémon Learnset (Core)'!$D$"&amp;MATCH($E923,'0.0.2 Pokémon Learnset (Core)'!$A$1:$A951,0)&amp;":$FK$"&amp;MATCH($E923,'0.0.2 Pokémon Learnset (Core)'!$A$1:$A951,0)),'Reverse Search'!$E$21)),IF($C$2=2,COUNTIF(INDIRECT("'0.1.1 Pokémon GO Moves'!$B$"&amp;MATCH($E923,'0.1.1 Pokémon GO Moves'!$A$1:$A951,0)&amp;":$R$"&amp;MATCH($E923,'0.1.1 Pokémon GO Moves'!$A$1:$A951,0)),'Reverse Search'!$E$21),COUNTIF(INDIRECT("'0.1.1 Pokémon GO Moves'!$B$"&amp;MATCH($E923,'0.1.1 Pokémon GO Moves'!$A$1:$A951,0)&amp;":$L$"&amp;MATCH($E923,'0.1.1 Pokémon GO Moves'!$A$1:$A951,0)),'Reverse Search'!$E$21)))))</f>
        <v>1</v>
      </c>
      <c r="AA923" s="0" t="n">
        <f aca="true">IF('Reverse Search'!$C$14="Disable",1,IF('Reverse Search'!$I$16="Disable",1,IF($D$2=3,IF($M923=0,0,COUNTIF(INDIRECT("'0.0.2 Pokémon Learnset (Core)'!$D$"&amp;MATCH($E923,'0.0.2 Pokémon Learnset (Core)'!$A$1:$A951,0)&amp;":$FK$"&amp;MATCH($E923,'0.0.2 Pokémon Learnset (Core)'!$A$1:$A951,0)),'Reverse Search'!$J$21)),IF($D$2=2,COUNTIF(INDIRECT("'0.1.1 Pokémon GO Moves'!$B$"&amp;MATCH($E923,'0.1.1 Pokémon GO Moves'!$A$1:$A951,0)&amp;":$R$"&amp;MATCH($E923,'0.1.1 Pokémon GO Moves'!$A$1:$A951,0)),'Reverse Search'!$J$21),COUNTIF(INDIRECT("'0.1.1 Pokémon GO Moves'!$B$"&amp;MATCH($E923,'0.1.1 Pokémon GO Moves'!$A$1:$A951,0)&amp;":$L$"&amp;MATCH($E923,'0.1.1 Pokémon GO Moves'!$A$1:$A951,0)),'Reverse Search'!$J$21)))))</f>
        <v>0</v>
      </c>
      <c r="AB923" s="490"/>
      <c r="AC923" s="260" t="n">
        <f aca="false">IF((Q923+R923+S923+V923+W923+X923+Y923+IF(Z923&gt;=1,1,0)+IF(AA923&gt;=1,1,0))=9,G923&amp;", ",)</f>
        <v>0</v>
      </c>
    </row>
    <row r="924" customFormat="false" ht="15.75" hidden="false" customHeight="false" outlineLevel="0" collapsed="false">
      <c r="A924" s="260"/>
      <c r="B924" s="358"/>
      <c r="C924" s="260"/>
      <c r="D924" s="358"/>
      <c r="E924" s="260" t="n">
        <v>923</v>
      </c>
      <c r="F924" s="260" t="n">
        <f aca="false" t="array" ref="F924:F924">INDEX('0.0.1 Pokémon Dex Data'!$H$3:$H951,MATCH(E924,'0.0.1 Pokémon Dex Data'!$B$3:$B951,0))</f>
        <v>0</v>
      </c>
      <c r="G924" s="0" t="str">
        <f aca="false" t="array" ref="G924:G924">INDEX('0.0.1 Pokémon Dex Data'!$E$3:$E951,MATCH(E924,'0.0.1 Pokémon Dex Data'!$B$3:$B951,0))</f>
        <v>Hakamo-o</v>
      </c>
      <c r="H924" s="0" t="str">
        <f aca="false" t="array" ref="H924:H924">INDEX('0.0.1 Pokémon Dex Data'!$Q$3:$Q951,MATCH(E924,'0.0.1 Pokémon Dex Data'!$B$3:$B951,0))</f>
        <v>Dragon</v>
      </c>
      <c r="I924" s="0" t="str">
        <f aca="false" t="array" ref="I924:I924">INDEX('0.0.1 Pokémon Dex Data'!$R$3:$R951,MATCH(E924,'0.0.1 Pokémon Dex Data'!$B$3:$B951,0))</f>
        <v>Fighting</v>
      </c>
      <c r="J924" s="260" t="n">
        <f aca="false" t="array" ref="J924:J924">ROUND(INDEX('0.0.1 Pokémon Dex Data'!$S$3:$S951,MATCH($E924,'0.0.1 Pokémon Dex Data'!$B$3:$B951,0))*INDEX('0.0.1 Pokémon Dex Data'!T$3:T951,MATCH($E924,'0.0.1 Pokémon Dex Data'!$B$3:$B951,0)),0)</f>
        <v>145</v>
      </c>
      <c r="K924" s="260" t="n">
        <f aca="false" t="array" ref="K924:K924">ROUND(INDEX('0.0.1 Pokémon Dex Data'!$S$3:$S951,MATCH($E924,'0.0.1 Pokémon Dex Data'!$B$3:$B951,0))*INDEX('0.0.1 Pokémon Dex Data'!U$3:U951,MATCH($E924,'0.0.1 Pokémon Dex Data'!$B$3:$B951,0)),0)</f>
        <v>162</v>
      </c>
      <c r="L924" s="260" t="n">
        <f aca="false" t="array" ref="L924:L924">ROUND(INDEX('0.0.1 Pokémon Dex Data'!$S$3:$S951,MATCH($E924,'0.0.1 Pokémon Dex Data'!$B$3:$B951,0))*INDEX('0.0.1 Pokémon Dex Data'!V$3:V951,MATCH($E924,'0.0.1 Pokémon Dex Data'!$B$3:$B951,0)),0)</f>
        <v>146</v>
      </c>
      <c r="M924" s="260" t="n">
        <f aca="false" t="array" ref="M924:M924">INDEX('0.0.1 Pokémon Dex Data'!$J$3:$J951,MATCH(E924,'0.0.1 Pokémon Dex Data'!$B$3:$B951,0))</f>
        <v>0</v>
      </c>
      <c r="O924" s="490"/>
      <c r="Q924" s="367" t="n">
        <f aca="false">IF('Reverse Search'!$F$4="All (including temporary formes)",1,IF('Reverse Search'!$F$4="Base Pokémon and permanent formes only",IF(F924&lt;=1,1,0),IF(F924=0,1,0)))</f>
        <v>1</v>
      </c>
      <c r="R924" s="0" t="n">
        <f aca="false">IF('Reverse Search'!$C$7="Disable",1,IF('Reverse Search'!$D$9="Disable",1,IF(OR('Reverse Search'!$F$9=H924,'Reverse Search'!$F$9=I924),1,0)))</f>
        <v>1</v>
      </c>
      <c r="S924" s="0" t="n">
        <f aca="false">IF('Reverse Search'!$C$7="Disable",1,IF('Reverse Search'!$D$10="Disable",1,IF(OR('Reverse Search'!$F$10=H924,'Reverse Search'!$F$10=I924),1,0)))</f>
        <v>1</v>
      </c>
      <c r="T924" s="0" t="n">
        <f aca="false">INDEX($B$4:$B$22,MATCH(H924,$A$4:$A$22,0))</f>
        <v>1</v>
      </c>
      <c r="U924" s="0" t="n">
        <f aca="false">IF(ISBLANK(I924),1,INDEX($B$4:$B$22,MATCH(I924,$A$4:$A$22,0)))</f>
        <v>1</v>
      </c>
      <c r="V924" s="367" t="n">
        <f aca="false">IF('Reverse Search'!$C$7="Disable",1,IF('Reverse Search'!$D$11="Disable",1,IF('Reverse Search'!$E$11="Neutral to:",IF(ROUND(T924*U924,2)&lt;=1,1,0),IF(ROUND(T924*U924,2)&lt;1,1,0))))</f>
        <v>1</v>
      </c>
      <c r="W924" s="0" t="n">
        <f aca="false">IF('Reverse Search'!$N$7="Disable",1,IF('Reverse Search'!$I$9="Disable",1,IF('Reverse Search'!$K$9="≥",IF(J924&gt;='Reverse Search'!$L$9,1,0),IF('Reverse Search'!$K$9="≤",IF(J924&lt;='Reverse Search'!$L$9,1,0),IF(J924='Reverse Search'!$L$9,1,0)))))</f>
        <v>1</v>
      </c>
      <c r="X924" s="0" t="n">
        <f aca="false">IF('Reverse Search'!$N$7="Disable",1,IF('Reverse Search'!$I$10="Disable",1,IF('Reverse Search'!$K$10="≥",IF(K924&gt;='Reverse Search'!$L$10,1,0),IF('Reverse Search'!$K$10="≤",IF(K924&lt;='Reverse Search'!$L$10,1,0),IF(K924='Reverse Search'!$L$10,1,0)))))</f>
        <v>1</v>
      </c>
      <c r="Y924" s="367" t="n">
        <f aca="false">IF('Reverse Search'!$N$7="Disable",1,IF('Reverse Search'!$I$11="Disable",1,IF('Reverse Search'!$K$11="≥",IF(L924&gt;='Reverse Search'!$L$11,1,0),IF('Reverse Search'!$K$11="≤",IF(L924&lt;='Reverse Search'!$L$11,1,0),IF(L924='Reverse Search'!$L$11,1,0)))))</f>
        <v>1</v>
      </c>
      <c r="Z924" s="0" t="n">
        <f aca="true">IF('Reverse Search'!$C$14="Disable",1,IF('Reverse Search'!$D$16="Disable",1,IF($C$2=3,IF($M924=0,0,COUNTIF(INDIRECT("'0.0.2 Pokémon Learnset (Core)'!$D$"&amp;MATCH($E924,'0.0.2 Pokémon Learnset (Core)'!$A$1:$A951,0)&amp;":$FK$"&amp;MATCH($E924,'0.0.2 Pokémon Learnset (Core)'!$A$1:$A951,0)),'Reverse Search'!$E$21)),IF($C$2=2,COUNTIF(INDIRECT("'0.1.1 Pokémon GO Moves'!$B$"&amp;MATCH($E924,'0.1.1 Pokémon GO Moves'!$A$1:$A951,0)&amp;":$R$"&amp;MATCH($E924,'0.1.1 Pokémon GO Moves'!$A$1:$A951,0)),'Reverse Search'!$E$21),COUNTIF(INDIRECT("'0.1.1 Pokémon GO Moves'!$B$"&amp;MATCH($E924,'0.1.1 Pokémon GO Moves'!$A$1:$A951,0)&amp;":$L$"&amp;MATCH($E924,'0.1.1 Pokémon GO Moves'!$A$1:$A951,0)),'Reverse Search'!$E$21)))))</f>
        <v>1</v>
      </c>
      <c r="AA924" s="0" t="n">
        <f aca="true">IF('Reverse Search'!$C$14="Disable",1,IF('Reverse Search'!$I$16="Disable",1,IF($D$2=3,IF($M924=0,0,COUNTIF(INDIRECT("'0.0.2 Pokémon Learnset (Core)'!$D$"&amp;MATCH($E924,'0.0.2 Pokémon Learnset (Core)'!$A$1:$A951,0)&amp;":$FK$"&amp;MATCH($E924,'0.0.2 Pokémon Learnset (Core)'!$A$1:$A951,0)),'Reverse Search'!$J$21)),IF($D$2=2,COUNTIF(INDIRECT("'0.1.1 Pokémon GO Moves'!$B$"&amp;MATCH($E924,'0.1.1 Pokémon GO Moves'!$A$1:$A951,0)&amp;":$R$"&amp;MATCH($E924,'0.1.1 Pokémon GO Moves'!$A$1:$A951,0)),'Reverse Search'!$J$21),COUNTIF(INDIRECT("'0.1.1 Pokémon GO Moves'!$B$"&amp;MATCH($E924,'0.1.1 Pokémon GO Moves'!$A$1:$A951,0)&amp;":$L$"&amp;MATCH($E924,'0.1.1 Pokémon GO Moves'!$A$1:$A951,0)),'Reverse Search'!$J$21)))))</f>
        <v>0</v>
      </c>
      <c r="AB924" s="490"/>
      <c r="AC924" s="260" t="n">
        <f aca="false">IF((Q924+R924+S924+V924+W924+X924+Y924+IF(Z924&gt;=1,1,0)+IF(AA924&gt;=1,1,0))=9,G924&amp;", ",)</f>
        <v>0</v>
      </c>
    </row>
    <row r="925" customFormat="false" ht="15.75" hidden="false" customHeight="false" outlineLevel="0" collapsed="false">
      <c r="A925" s="260"/>
      <c r="B925" s="358"/>
      <c r="C925" s="260"/>
      <c r="D925" s="358"/>
      <c r="E925" s="260" t="n">
        <v>924</v>
      </c>
      <c r="F925" s="260" t="n">
        <f aca="false" t="array" ref="F925:F925">INDEX('0.0.1 Pokémon Dex Data'!$H$3:$H951,MATCH(E925,'0.0.1 Pokémon Dex Data'!$B$3:$B951,0))</f>
        <v>0</v>
      </c>
      <c r="G925" s="0" t="str">
        <f aca="false" t="array" ref="G925:G925">INDEX('0.0.1 Pokémon Dex Data'!$E$3:$E951,MATCH(E925,'0.0.1 Pokémon Dex Data'!$B$3:$B951,0))</f>
        <v>Kommo-o</v>
      </c>
      <c r="H925" s="0" t="str">
        <f aca="false" t="array" ref="H925:H925">INDEX('0.0.1 Pokémon Dex Data'!$Q$3:$Q951,MATCH(E925,'0.0.1 Pokémon Dex Data'!$B$3:$B951,0))</f>
        <v>Dragon</v>
      </c>
      <c r="I925" s="0" t="str">
        <f aca="false" t="array" ref="I925:I925">INDEX('0.0.1 Pokémon Dex Data'!$R$3:$R951,MATCH(E925,'0.0.1 Pokémon Dex Data'!$B$3:$B951,0))</f>
        <v>Fighting</v>
      </c>
      <c r="J925" s="260" t="n">
        <f aca="false" t="array" ref="J925:J925">ROUND(INDEX('0.0.1 Pokémon Dex Data'!$S$3:$S951,MATCH($E925,'0.0.1 Pokémon Dex Data'!$B$3:$B951,0))*INDEX('0.0.1 Pokémon Dex Data'!T$3:T951,MATCH($E925,'0.0.1 Pokémon Dex Data'!$B$3:$B951,0)),0)</f>
        <v>222</v>
      </c>
      <c r="K925" s="260" t="n">
        <f aca="false" t="array" ref="K925:K925">ROUND(INDEX('0.0.1 Pokémon Dex Data'!$S$3:$S951,MATCH($E925,'0.0.1 Pokémon Dex Data'!$B$3:$B951,0))*INDEX('0.0.1 Pokémon Dex Data'!U$3:U951,MATCH($E925,'0.0.1 Pokémon Dex Data'!$B$3:$B951,0)),0)</f>
        <v>240</v>
      </c>
      <c r="L925" s="260" t="n">
        <f aca="false" t="array" ref="L925:L925">ROUND(INDEX('0.0.1 Pokémon Dex Data'!$S$3:$S951,MATCH($E925,'0.0.1 Pokémon Dex Data'!$B$3:$B951,0))*INDEX('0.0.1 Pokémon Dex Data'!V$3:V951,MATCH($E925,'0.0.1 Pokémon Dex Data'!$B$3:$B951,0)),0)</f>
        <v>181</v>
      </c>
      <c r="M925" s="260" t="n">
        <f aca="false" t="array" ref="M925:M925">INDEX('0.0.1 Pokémon Dex Data'!$J$3:$J951,MATCH(E925,'0.0.1 Pokémon Dex Data'!$B$3:$B951,0))</f>
        <v>1</v>
      </c>
      <c r="O925" s="490"/>
      <c r="Q925" s="367" t="n">
        <f aca="false">IF('Reverse Search'!$F$4="All (including temporary formes)",1,IF('Reverse Search'!$F$4="Base Pokémon and permanent formes only",IF(F925&lt;=1,1,0),IF(F925=0,1,0)))</f>
        <v>1</v>
      </c>
      <c r="R925" s="0" t="n">
        <f aca="false">IF('Reverse Search'!$C$7="Disable",1,IF('Reverse Search'!$D$9="Disable",1,IF(OR('Reverse Search'!$F$9=H925,'Reverse Search'!$F$9=I925),1,0)))</f>
        <v>1</v>
      </c>
      <c r="S925" s="0" t="n">
        <f aca="false">IF('Reverse Search'!$C$7="Disable",1,IF('Reverse Search'!$D$10="Disable",1,IF(OR('Reverse Search'!$F$10=H925,'Reverse Search'!$F$10=I925),1,0)))</f>
        <v>1</v>
      </c>
      <c r="T925" s="0" t="n">
        <f aca="false">INDEX($B$4:$B$22,MATCH(H925,$A$4:$A$22,0))</f>
        <v>1</v>
      </c>
      <c r="U925" s="0" t="n">
        <f aca="false">IF(ISBLANK(I925),1,INDEX($B$4:$B$22,MATCH(I925,$A$4:$A$22,0)))</f>
        <v>1</v>
      </c>
      <c r="V925" s="367" t="n">
        <f aca="false">IF('Reverse Search'!$C$7="Disable",1,IF('Reverse Search'!$D$11="Disable",1,IF('Reverse Search'!$E$11="Neutral to:",IF(ROUND(T925*U925,2)&lt;=1,1,0),IF(ROUND(T925*U925,2)&lt;1,1,0))))</f>
        <v>1</v>
      </c>
      <c r="W925" s="0" t="n">
        <f aca="false">IF('Reverse Search'!$N$7="Disable",1,IF('Reverse Search'!$I$9="Disable",1,IF('Reverse Search'!$K$9="≥",IF(J925&gt;='Reverse Search'!$L$9,1,0),IF('Reverse Search'!$K$9="≤",IF(J925&lt;='Reverse Search'!$L$9,1,0),IF(J925='Reverse Search'!$L$9,1,0)))))</f>
        <v>1</v>
      </c>
      <c r="X925" s="0" t="n">
        <f aca="false">IF('Reverse Search'!$N$7="Disable",1,IF('Reverse Search'!$I$10="Disable",1,IF('Reverse Search'!$K$10="≥",IF(K925&gt;='Reverse Search'!$L$10,1,0),IF('Reverse Search'!$K$10="≤",IF(K925&lt;='Reverse Search'!$L$10,1,0),IF(K925='Reverse Search'!$L$10,1,0)))))</f>
        <v>1</v>
      </c>
      <c r="Y925" s="367" t="n">
        <f aca="false">IF('Reverse Search'!$N$7="Disable",1,IF('Reverse Search'!$I$11="Disable",1,IF('Reverse Search'!$K$11="≥",IF(L925&gt;='Reverse Search'!$L$11,1,0),IF('Reverse Search'!$K$11="≤",IF(L925&lt;='Reverse Search'!$L$11,1,0),IF(L925='Reverse Search'!$L$11,1,0)))))</f>
        <v>1</v>
      </c>
      <c r="Z925" s="0" t="n">
        <f aca="true">IF('Reverse Search'!$C$14="Disable",1,IF('Reverse Search'!$D$16="Disable",1,IF($C$2=3,IF($M925=0,0,COUNTIF(INDIRECT("'0.0.2 Pokémon Learnset (Core)'!$D$"&amp;MATCH($E925,'0.0.2 Pokémon Learnset (Core)'!$A$1:$A951,0)&amp;":$FK$"&amp;MATCH($E925,'0.0.2 Pokémon Learnset (Core)'!$A$1:$A951,0)),'Reverse Search'!$E$21)),IF($C$2=2,COUNTIF(INDIRECT("'0.1.1 Pokémon GO Moves'!$B$"&amp;MATCH($E925,'0.1.1 Pokémon GO Moves'!$A$1:$A951,0)&amp;":$R$"&amp;MATCH($E925,'0.1.1 Pokémon GO Moves'!$A$1:$A951,0)),'Reverse Search'!$E$21),COUNTIF(INDIRECT("'0.1.1 Pokémon GO Moves'!$B$"&amp;MATCH($E925,'0.1.1 Pokémon GO Moves'!$A$1:$A951,0)&amp;":$L$"&amp;MATCH($E925,'0.1.1 Pokémon GO Moves'!$A$1:$A951,0)),'Reverse Search'!$E$21)))))</f>
        <v>1</v>
      </c>
      <c r="AA925" s="0" t="n">
        <f aca="true">IF('Reverse Search'!$C$14="Disable",1,IF('Reverse Search'!$I$16="Disable",1,IF($D$2=3,IF($M925=0,0,COUNTIF(INDIRECT("'0.0.2 Pokémon Learnset (Core)'!$D$"&amp;MATCH($E925,'0.0.2 Pokémon Learnset (Core)'!$A$1:$A951,0)&amp;":$FK$"&amp;MATCH($E925,'0.0.2 Pokémon Learnset (Core)'!$A$1:$A951,0)),'Reverse Search'!$J$21)),IF($D$2=2,COUNTIF(INDIRECT("'0.1.1 Pokémon GO Moves'!$B$"&amp;MATCH($E925,'0.1.1 Pokémon GO Moves'!$A$1:$A951,0)&amp;":$R$"&amp;MATCH($E925,'0.1.1 Pokémon GO Moves'!$A$1:$A951,0)),'Reverse Search'!$J$21),COUNTIF(INDIRECT("'0.1.1 Pokémon GO Moves'!$B$"&amp;MATCH($E925,'0.1.1 Pokémon GO Moves'!$A$1:$A951,0)&amp;":$L$"&amp;MATCH($E925,'0.1.1 Pokémon GO Moves'!$A$1:$A951,0)),'Reverse Search'!$J$21)))))</f>
        <v>0</v>
      </c>
      <c r="AB925" s="490"/>
      <c r="AC925" s="260" t="n">
        <f aca="false">IF((Q925+R925+S925+V925+W925+X925+Y925+IF(Z925&gt;=1,1,0)+IF(AA925&gt;=1,1,0))=9,G925&amp;", ",)</f>
        <v>0</v>
      </c>
    </row>
    <row r="926" customFormat="false" ht="15.75" hidden="false" customHeight="false" outlineLevel="0" collapsed="false">
      <c r="A926" s="260"/>
      <c r="B926" s="358"/>
      <c r="C926" s="260"/>
      <c r="D926" s="358"/>
      <c r="E926" s="260" t="n">
        <v>925</v>
      </c>
      <c r="F926" s="260" t="n">
        <f aca="false" t="array" ref="F926:F926">INDEX('0.0.1 Pokémon Dex Data'!$H$3:$H951,MATCH(E926,'0.0.1 Pokémon Dex Data'!$B$3:$B951,0))</f>
        <v>0</v>
      </c>
      <c r="G926" s="0" t="str">
        <f aca="false" t="array" ref="G926:G926">INDEX('0.0.1 Pokémon Dex Data'!$E$3:$E951,MATCH(E926,'0.0.1 Pokémon Dex Data'!$B$3:$B951,0))</f>
        <v>Tapu Koko</v>
      </c>
      <c r="H926" s="0" t="str">
        <f aca="false" t="array" ref="H926:H926">INDEX('0.0.1 Pokémon Dex Data'!$Q$3:$Q951,MATCH(E926,'0.0.1 Pokémon Dex Data'!$B$3:$B951,0))</f>
        <v>Electric</v>
      </c>
      <c r="I926" s="0" t="str">
        <f aca="false" t="array" ref="I926:I926">INDEX('0.0.1 Pokémon Dex Data'!$R$3:$R951,MATCH(E926,'0.0.1 Pokémon Dex Data'!$B$3:$B951,0))</f>
        <v>Fairy</v>
      </c>
      <c r="J926" s="260" t="n">
        <f aca="false" t="array" ref="J926:J926">ROUND(INDEX('0.0.1 Pokémon Dex Data'!$S$3:$S951,MATCH($E926,'0.0.1 Pokémon Dex Data'!$B$3:$B951,0))*INDEX('0.0.1 Pokémon Dex Data'!T$3:T951,MATCH($E926,'0.0.1 Pokémon Dex Data'!$B$3:$B951,0)),0)</f>
        <v>250</v>
      </c>
      <c r="K926" s="260" t="n">
        <f aca="false" t="array" ref="K926:K926">ROUND(INDEX('0.0.1 Pokémon Dex Data'!$S$3:$S951,MATCH($E926,'0.0.1 Pokémon Dex Data'!$B$3:$B951,0))*INDEX('0.0.1 Pokémon Dex Data'!U$3:U951,MATCH($E926,'0.0.1 Pokémon Dex Data'!$B$3:$B951,0)),0)</f>
        <v>181</v>
      </c>
      <c r="L926" s="260" t="n">
        <f aca="false" t="array" ref="L926:L926">ROUND(INDEX('0.0.1 Pokémon Dex Data'!$S$3:$S951,MATCH($E926,'0.0.1 Pokémon Dex Data'!$B$3:$B951,0))*INDEX('0.0.1 Pokémon Dex Data'!V$3:V951,MATCH($E926,'0.0.1 Pokémon Dex Data'!$B$3:$B951,0)),0)</f>
        <v>172</v>
      </c>
      <c r="M926" s="260" t="n">
        <f aca="false" t="array" ref="M926:M926">INDEX('0.0.1 Pokémon Dex Data'!$J$3:$J951,MATCH(E926,'0.0.1 Pokémon Dex Data'!$B$3:$B951,0))</f>
        <v>1</v>
      </c>
      <c r="O926" s="490"/>
      <c r="Q926" s="367" t="n">
        <f aca="false">IF('Reverse Search'!$F$4="All (including temporary formes)",1,IF('Reverse Search'!$F$4="Base Pokémon and permanent formes only",IF(F926&lt;=1,1,0),IF(F926=0,1,0)))</f>
        <v>1</v>
      </c>
      <c r="R926" s="0" t="n">
        <f aca="false">IF('Reverse Search'!$C$7="Disable",1,IF('Reverse Search'!$D$9="Disable",1,IF(OR('Reverse Search'!$F$9=H926,'Reverse Search'!$F$9=I926),1,0)))</f>
        <v>1</v>
      </c>
      <c r="S926" s="0" t="n">
        <f aca="false">IF('Reverse Search'!$C$7="Disable",1,IF('Reverse Search'!$D$10="Disable",1,IF(OR('Reverse Search'!$F$10=H926,'Reverse Search'!$F$10=I926),1,0)))</f>
        <v>1</v>
      </c>
      <c r="T926" s="0" t="n">
        <f aca="false">INDEX($B$4:$B$22,MATCH(H926,$A$4:$A$22,0))</f>
        <v>1</v>
      </c>
      <c r="U926" s="0" t="n">
        <f aca="false">IF(ISBLANK(I926),1,INDEX($B$4:$B$22,MATCH(I926,$A$4:$A$22,0)))</f>
        <v>1</v>
      </c>
      <c r="V926" s="367" t="n">
        <f aca="false">IF('Reverse Search'!$C$7="Disable",1,IF('Reverse Search'!$D$11="Disable",1,IF('Reverse Search'!$E$11="Neutral to:",IF(ROUND(T926*U926,2)&lt;=1,1,0),IF(ROUND(T926*U926,2)&lt;1,1,0))))</f>
        <v>1</v>
      </c>
      <c r="W926" s="0" t="n">
        <f aca="false">IF('Reverse Search'!$N$7="Disable",1,IF('Reverse Search'!$I$9="Disable",1,IF('Reverse Search'!$K$9="≥",IF(J926&gt;='Reverse Search'!$L$9,1,0),IF('Reverse Search'!$K$9="≤",IF(J926&lt;='Reverse Search'!$L$9,1,0),IF(J926='Reverse Search'!$L$9,1,0)))))</f>
        <v>1</v>
      </c>
      <c r="X926" s="0" t="n">
        <f aca="false">IF('Reverse Search'!$N$7="Disable",1,IF('Reverse Search'!$I$10="Disable",1,IF('Reverse Search'!$K$10="≥",IF(K926&gt;='Reverse Search'!$L$10,1,0),IF('Reverse Search'!$K$10="≤",IF(K926&lt;='Reverse Search'!$L$10,1,0),IF(K926='Reverse Search'!$L$10,1,0)))))</f>
        <v>1</v>
      </c>
      <c r="Y926" s="367" t="n">
        <f aca="false">IF('Reverse Search'!$N$7="Disable",1,IF('Reverse Search'!$I$11="Disable",1,IF('Reverse Search'!$K$11="≥",IF(L926&gt;='Reverse Search'!$L$11,1,0),IF('Reverse Search'!$K$11="≤",IF(L926&lt;='Reverse Search'!$L$11,1,0),IF(L926='Reverse Search'!$L$11,1,0)))))</f>
        <v>1</v>
      </c>
      <c r="Z926" s="0" t="n">
        <f aca="true">IF('Reverse Search'!$C$14="Disable",1,IF('Reverse Search'!$D$16="Disable",1,IF($C$2=3,IF($M926=0,0,COUNTIF(INDIRECT("'0.0.2 Pokémon Learnset (Core)'!$D$"&amp;MATCH($E926,'0.0.2 Pokémon Learnset (Core)'!$A$1:$A951,0)&amp;":$FK$"&amp;MATCH($E926,'0.0.2 Pokémon Learnset (Core)'!$A$1:$A951,0)),'Reverse Search'!$E$21)),IF($C$2=2,COUNTIF(INDIRECT("'0.1.1 Pokémon GO Moves'!$B$"&amp;MATCH($E926,'0.1.1 Pokémon GO Moves'!$A$1:$A951,0)&amp;":$R$"&amp;MATCH($E926,'0.1.1 Pokémon GO Moves'!$A$1:$A951,0)),'Reverse Search'!$E$21),COUNTIF(INDIRECT("'0.1.1 Pokémon GO Moves'!$B$"&amp;MATCH($E926,'0.1.1 Pokémon GO Moves'!$A$1:$A951,0)&amp;":$L$"&amp;MATCH($E926,'0.1.1 Pokémon GO Moves'!$A$1:$A951,0)),'Reverse Search'!$E$21)))))</f>
        <v>1</v>
      </c>
      <c r="AA926" s="0" t="n">
        <f aca="true">IF('Reverse Search'!$C$14="Disable",1,IF('Reverse Search'!$I$16="Disable",1,IF($D$2=3,IF($M926=0,0,COUNTIF(INDIRECT("'0.0.2 Pokémon Learnset (Core)'!$D$"&amp;MATCH($E926,'0.0.2 Pokémon Learnset (Core)'!$A$1:$A951,0)&amp;":$FK$"&amp;MATCH($E926,'0.0.2 Pokémon Learnset (Core)'!$A$1:$A951,0)),'Reverse Search'!$J$21)),IF($D$2=2,COUNTIF(INDIRECT("'0.1.1 Pokémon GO Moves'!$B$"&amp;MATCH($E926,'0.1.1 Pokémon GO Moves'!$A$1:$A951,0)&amp;":$R$"&amp;MATCH($E926,'0.1.1 Pokémon GO Moves'!$A$1:$A951,0)),'Reverse Search'!$J$21),COUNTIF(INDIRECT("'0.1.1 Pokémon GO Moves'!$B$"&amp;MATCH($E926,'0.1.1 Pokémon GO Moves'!$A$1:$A951,0)&amp;":$L$"&amp;MATCH($E926,'0.1.1 Pokémon GO Moves'!$A$1:$A951,0)),'Reverse Search'!$J$21)))))</f>
        <v>0</v>
      </c>
      <c r="AB926" s="490"/>
      <c r="AC926" s="260" t="n">
        <f aca="false">IF((Q926+R926+S926+V926+W926+X926+Y926+IF(Z926&gt;=1,1,0)+IF(AA926&gt;=1,1,0))=9,G926&amp;", ",)</f>
        <v>0</v>
      </c>
    </row>
    <row r="927" customFormat="false" ht="15.75" hidden="false" customHeight="false" outlineLevel="0" collapsed="false">
      <c r="A927" s="260"/>
      <c r="B927" s="358"/>
      <c r="C927" s="260"/>
      <c r="D927" s="358"/>
      <c r="E927" s="260" t="n">
        <v>926</v>
      </c>
      <c r="F927" s="260" t="n">
        <f aca="false" t="array" ref="F927:F927">INDEX('0.0.1 Pokémon Dex Data'!$H$3:$H951,MATCH(E927,'0.0.1 Pokémon Dex Data'!$B$3:$B951,0))</f>
        <v>0</v>
      </c>
      <c r="G927" s="0" t="str">
        <f aca="false" t="array" ref="G927:G927">INDEX('0.0.1 Pokémon Dex Data'!$E$3:$E951,MATCH(E927,'0.0.1 Pokémon Dex Data'!$B$3:$B951,0))</f>
        <v>Tapu Lele</v>
      </c>
      <c r="H927" s="0" t="str">
        <f aca="false" t="array" ref="H927:H927">INDEX('0.0.1 Pokémon Dex Data'!$Q$3:$Q951,MATCH(E927,'0.0.1 Pokémon Dex Data'!$B$3:$B951,0))</f>
        <v>Psychic</v>
      </c>
      <c r="I927" s="0" t="str">
        <f aca="false" t="array" ref="I927:I927">INDEX('0.0.1 Pokémon Dex Data'!$R$3:$R951,MATCH(E927,'0.0.1 Pokémon Dex Data'!$B$3:$B951,0))</f>
        <v>Fairy</v>
      </c>
      <c r="J927" s="260" t="n">
        <f aca="false" t="array" ref="J927:J927">ROUND(INDEX('0.0.1 Pokémon Dex Data'!$S$3:$S951,MATCH($E927,'0.0.1 Pokémon Dex Data'!$B$3:$B951,0))*INDEX('0.0.1 Pokémon Dex Data'!T$3:T951,MATCH($E927,'0.0.1 Pokémon Dex Data'!$B$3:$B951,0)),0)</f>
        <v>259</v>
      </c>
      <c r="K927" s="260" t="n">
        <f aca="false" t="array" ref="K927:K927">ROUND(INDEX('0.0.1 Pokémon Dex Data'!$S$3:$S951,MATCH($E927,'0.0.1 Pokémon Dex Data'!$B$3:$B951,0))*INDEX('0.0.1 Pokémon Dex Data'!U$3:U951,MATCH($E927,'0.0.1 Pokémon Dex Data'!$B$3:$B951,0)),0)</f>
        <v>208</v>
      </c>
      <c r="L927" s="260" t="n">
        <f aca="false" t="array" ref="L927:L927">ROUND(INDEX('0.0.1 Pokémon Dex Data'!$S$3:$S951,MATCH($E927,'0.0.1 Pokémon Dex Data'!$B$3:$B951,0))*INDEX('0.0.1 Pokémon Dex Data'!V$3:V951,MATCH($E927,'0.0.1 Pokémon Dex Data'!$B$3:$B951,0)),0)</f>
        <v>172</v>
      </c>
      <c r="M927" s="260" t="n">
        <f aca="false" t="array" ref="M927:M927">INDEX('0.0.1 Pokémon Dex Data'!$J$3:$J951,MATCH(E927,'0.0.1 Pokémon Dex Data'!$B$3:$B951,0))</f>
        <v>1</v>
      </c>
      <c r="O927" s="490"/>
      <c r="Q927" s="367" t="n">
        <f aca="false">IF('Reverse Search'!$F$4="All (including temporary formes)",1,IF('Reverse Search'!$F$4="Base Pokémon and permanent formes only",IF(F927&lt;=1,1,0),IF(F927=0,1,0)))</f>
        <v>1</v>
      </c>
      <c r="R927" s="0" t="n">
        <f aca="false">IF('Reverse Search'!$C$7="Disable",1,IF('Reverse Search'!$D$9="Disable",1,IF(OR('Reverse Search'!$F$9=H927,'Reverse Search'!$F$9=I927),1,0)))</f>
        <v>1</v>
      </c>
      <c r="S927" s="0" t="n">
        <f aca="false">IF('Reverse Search'!$C$7="Disable",1,IF('Reverse Search'!$D$10="Disable",1,IF(OR('Reverse Search'!$F$10=H927,'Reverse Search'!$F$10=I927),1,0)))</f>
        <v>1</v>
      </c>
      <c r="T927" s="0" t="n">
        <f aca="false">INDEX($B$4:$B$22,MATCH(H927,$A$4:$A$22,0))</f>
        <v>1</v>
      </c>
      <c r="U927" s="0" t="n">
        <f aca="false">IF(ISBLANK(I927),1,INDEX($B$4:$B$22,MATCH(I927,$A$4:$A$22,0)))</f>
        <v>1</v>
      </c>
      <c r="V927" s="367" t="n">
        <f aca="false">IF('Reverse Search'!$C$7="Disable",1,IF('Reverse Search'!$D$11="Disable",1,IF('Reverse Search'!$E$11="Neutral to:",IF(ROUND(T927*U927,2)&lt;=1,1,0),IF(ROUND(T927*U927,2)&lt;1,1,0))))</f>
        <v>1</v>
      </c>
      <c r="W927" s="0" t="n">
        <f aca="false">IF('Reverse Search'!$N$7="Disable",1,IF('Reverse Search'!$I$9="Disable",1,IF('Reverse Search'!$K$9="≥",IF(J927&gt;='Reverse Search'!$L$9,1,0),IF('Reverse Search'!$K$9="≤",IF(J927&lt;='Reverse Search'!$L$9,1,0),IF(J927='Reverse Search'!$L$9,1,0)))))</f>
        <v>1</v>
      </c>
      <c r="X927" s="0" t="n">
        <f aca="false">IF('Reverse Search'!$N$7="Disable",1,IF('Reverse Search'!$I$10="Disable",1,IF('Reverse Search'!$K$10="≥",IF(K927&gt;='Reverse Search'!$L$10,1,0),IF('Reverse Search'!$K$10="≤",IF(K927&lt;='Reverse Search'!$L$10,1,0),IF(K927='Reverse Search'!$L$10,1,0)))))</f>
        <v>1</v>
      </c>
      <c r="Y927" s="367" t="n">
        <f aca="false">IF('Reverse Search'!$N$7="Disable",1,IF('Reverse Search'!$I$11="Disable",1,IF('Reverse Search'!$K$11="≥",IF(L927&gt;='Reverse Search'!$L$11,1,0),IF('Reverse Search'!$K$11="≤",IF(L927&lt;='Reverse Search'!$L$11,1,0),IF(L927='Reverse Search'!$L$11,1,0)))))</f>
        <v>1</v>
      </c>
      <c r="Z927" s="0" t="n">
        <f aca="true">IF('Reverse Search'!$C$14="Disable",1,IF('Reverse Search'!$D$16="Disable",1,IF($C$2=3,IF($M927=0,0,COUNTIF(INDIRECT("'0.0.2 Pokémon Learnset (Core)'!$D$"&amp;MATCH($E927,'0.0.2 Pokémon Learnset (Core)'!$A$1:$A951,0)&amp;":$FK$"&amp;MATCH($E927,'0.0.2 Pokémon Learnset (Core)'!$A$1:$A951,0)),'Reverse Search'!$E$21)),IF($C$2=2,COUNTIF(INDIRECT("'0.1.1 Pokémon GO Moves'!$B$"&amp;MATCH($E927,'0.1.1 Pokémon GO Moves'!$A$1:$A951,0)&amp;":$R$"&amp;MATCH($E927,'0.1.1 Pokémon GO Moves'!$A$1:$A951,0)),'Reverse Search'!$E$21),COUNTIF(INDIRECT("'0.1.1 Pokémon GO Moves'!$B$"&amp;MATCH($E927,'0.1.1 Pokémon GO Moves'!$A$1:$A951,0)&amp;":$L$"&amp;MATCH($E927,'0.1.1 Pokémon GO Moves'!$A$1:$A951,0)),'Reverse Search'!$E$21)))))</f>
        <v>1</v>
      </c>
      <c r="AA927" s="0" t="n">
        <f aca="true">IF('Reverse Search'!$C$14="Disable",1,IF('Reverse Search'!$I$16="Disable",1,IF($D$2=3,IF($M927=0,0,COUNTIF(INDIRECT("'0.0.2 Pokémon Learnset (Core)'!$D$"&amp;MATCH($E927,'0.0.2 Pokémon Learnset (Core)'!$A$1:$A951,0)&amp;":$FK$"&amp;MATCH($E927,'0.0.2 Pokémon Learnset (Core)'!$A$1:$A951,0)),'Reverse Search'!$J$21)),IF($D$2=2,COUNTIF(INDIRECT("'0.1.1 Pokémon GO Moves'!$B$"&amp;MATCH($E927,'0.1.1 Pokémon GO Moves'!$A$1:$A951,0)&amp;":$R$"&amp;MATCH($E927,'0.1.1 Pokémon GO Moves'!$A$1:$A951,0)),'Reverse Search'!$J$21),COUNTIF(INDIRECT("'0.1.1 Pokémon GO Moves'!$B$"&amp;MATCH($E927,'0.1.1 Pokémon GO Moves'!$A$1:$A951,0)&amp;":$L$"&amp;MATCH($E927,'0.1.1 Pokémon GO Moves'!$A$1:$A951,0)),'Reverse Search'!$J$21)))))</f>
        <v>0</v>
      </c>
      <c r="AB927" s="490"/>
      <c r="AC927" s="260" t="n">
        <f aca="false">IF((Q927+R927+S927+V927+W927+X927+Y927+IF(Z927&gt;=1,1,0)+IF(AA927&gt;=1,1,0))=9,G927&amp;", ",)</f>
        <v>0</v>
      </c>
    </row>
    <row r="928" customFormat="false" ht="15.75" hidden="false" customHeight="false" outlineLevel="0" collapsed="false">
      <c r="A928" s="260"/>
      <c r="B928" s="358"/>
      <c r="C928" s="260"/>
      <c r="D928" s="358"/>
      <c r="E928" s="260" t="n">
        <v>927</v>
      </c>
      <c r="F928" s="260" t="n">
        <f aca="false" t="array" ref="F928:F928">INDEX('0.0.1 Pokémon Dex Data'!$H$3:$H951,MATCH(E928,'0.0.1 Pokémon Dex Data'!$B$3:$B951,0))</f>
        <v>0</v>
      </c>
      <c r="G928" s="0" t="str">
        <f aca="false" t="array" ref="G928:G928">INDEX('0.0.1 Pokémon Dex Data'!$E$3:$E951,MATCH(E928,'0.0.1 Pokémon Dex Data'!$B$3:$B951,0))</f>
        <v>Tapu Bulu</v>
      </c>
      <c r="H928" s="0" t="str">
        <f aca="false" t="array" ref="H928:H928">INDEX('0.0.1 Pokémon Dex Data'!$Q$3:$Q951,MATCH(E928,'0.0.1 Pokémon Dex Data'!$B$3:$B951,0))</f>
        <v>Grass</v>
      </c>
      <c r="I928" s="0" t="str">
        <f aca="false" t="array" ref="I928:I928">INDEX('0.0.1 Pokémon Dex Data'!$R$3:$R951,MATCH(E928,'0.0.1 Pokémon Dex Data'!$B$3:$B951,0))</f>
        <v>Fairy</v>
      </c>
      <c r="J928" s="260" t="n">
        <f aca="false" t="array" ref="J928:J928">ROUND(INDEX('0.0.1 Pokémon Dex Data'!$S$3:$S951,MATCH($E928,'0.0.1 Pokémon Dex Data'!$B$3:$B951,0))*INDEX('0.0.1 Pokémon Dex Data'!T$3:T951,MATCH($E928,'0.0.1 Pokémon Dex Data'!$B$3:$B951,0)),0)</f>
        <v>249</v>
      </c>
      <c r="K928" s="260" t="n">
        <f aca="false" t="array" ref="K928:K928">ROUND(INDEX('0.0.1 Pokémon Dex Data'!$S$3:$S951,MATCH($E928,'0.0.1 Pokémon Dex Data'!$B$3:$B951,0))*INDEX('0.0.1 Pokémon Dex Data'!U$3:U951,MATCH($E928,'0.0.1 Pokémon Dex Data'!$B$3:$B951,0)),0)</f>
        <v>215</v>
      </c>
      <c r="L928" s="260" t="n">
        <f aca="false" t="array" ref="L928:L928">ROUND(INDEX('0.0.1 Pokémon Dex Data'!$S$3:$S951,MATCH($E928,'0.0.1 Pokémon Dex Data'!$B$3:$B951,0))*INDEX('0.0.1 Pokémon Dex Data'!V$3:V951,MATCH($E928,'0.0.1 Pokémon Dex Data'!$B$3:$B951,0)),0)</f>
        <v>172</v>
      </c>
      <c r="M928" s="260" t="n">
        <f aca="false" t="array" ref="M928:M928">INDEX('0.0.1 Pokémon Dex Data'!$J$3:$J951,MATCH(E928,'0.0.1 Pokémon Dex Data'!$B$3:$B951,0))</f>
        <v>1</v>
      </c>
      <c r="O928" s="490"/>
      <c r="Q928" s="367" t="n">
        <f aca="false">IF('Reverse Search'!$F$4="All (including temporary formes)",1,IF('Reverse Search'!$F$4="Base Pokémon and permanent formes only",IF(F928&lt;=1,1,0),IF(F928=0,1,0)))</f>
        <v>1</v>
      </c>
      <c r="R928" s="0" t="n">
        <f aca="false">IF('Reverse Search'!$C$7="Disable",1,IF('Reverse Search'!$D$9="Disable",1,IF(OR('Reverse Search'!$F$9=H928,'Reverse Search'!$F$9=I928),1,0)))</f>
        <v>1</v>
      </c>
      <c r="S928" s="0" t="n">
        <f aca="false">IF('Reverse Search'!$C$7="Disable",1,IF('Reverse Search'!$D$10="Disable",1,IF(OR('Reverse Search'!$F$10=H928,'Reverse Search'!$F$10=I928),1,0)))</f>
        <v>1</v>
      </c>
      <c r="T928" s="0" t="n">
        <f aca="false">INDEX($B$4:$B$22,MATCH(H928,$A$4:$A$22,0))</f>
        <v>1</v>
      </c>
      <c r="U928" s="0" t="n">
        <f aca="false">IF(ISBLANK(I928),1,INDEX($B$4:$B$22,MATCH(I928,$A$4:$A$22,0)))</f>
        <v>1</v>
      </c>
      <c r="V928" s="367" t="n">
        <f aca="false">IF('Reverse Search'!$C$7="Disable",1,IF('Reverse Search'!$D$11="Disable",1,IF('Reverse Search'!$E$11="Neutral to:",IF(ROUND(T928*U928,2)&lt;=1,1,0),IF(ROUND(T928*U928,2)&lt;1,1,0))))</f>
        <v>1</v>
      </c>
      <c r="W928" s="0" t="n">
        <f aca="false">IF('Reverse Search'!$N$7="Disable",1,IF('Reverse Search'!$I$9="Disable",1,IF('Reverse Search'!$K$9="≥",IF(J928&gt;='Reverse Search'!$L$9,1,0),IF('Reverse Search'!$K$9="≤",IF(J928&lt;='Reverse Search'!$L$9,1,0),IF(J928='Reverse Search'!$L$9,1,0)))))</f>
        <v>1</v>
      </c>
      <c r="X928" s="0" t="n">
        <f aca="false">IF('Reverse Search'!$N$7="Disable",1,IF('Reverse Search'!$I$10="Disable",1,IF('Reverse Search'!$K$10="≥",IF(K928&gt;='Reverse Search'!$L$10,1,0),IF('Reverse Search'!$K$10="≤",IF(K928&lt;='Reverse Search'!$L$10,1,0),IF(K928='Reverse Search'!$L$10,1,0)))))</f>
        <v>1</v>
      </c>
      <c r="Y928" s="367" t="n">
        <f aca="false">IF('Reverse Search'!$N$7="Disable",1,IF('Reverse Search'!$I$11="Disable",1,IF('Reverse Search'!$K$11="≥",IF(L928&gt;='Reverse Search'!$L$11,1,0),IF('Reverse Search'!$K$11="≤",IF(L928&lt;='Reverse Search'!$L$11,1,0),IF(L928='Reverse Search'!$L$11,1,0)))))</f>
        <v>1</v>
      </c>
      <c r="Z928" s="0" t="n">
        <f aca="true">IF('Reverse Search'!$C$14="Disable",1,IF('Reverse Search'!$D$16="Disable",1,IF($C$2=3,IF($M928=0,0,COUNTIF(INDIRECT("'0.0.2 Pokémon Learnset (Core)'!$D$"&amp;MATCH($E928,'0.0.2 Pokémon Learnset (Core)'!$A$1:$A951,0)&amp;":$FK$"&amp;MATCH($E928,'0.0.2 Pokémon Learnset (Core)'!$A$1:$A951,0)),'Reverse Search'!$E$21)),IF($C$2=2,COUNTIF(INDIRECT("'0.1.1 Pokémon GO Moves'!$B$"&amp;MATCH($E928,'0.1.1 Pokémon GO Moves'!$A$1:$A951,0)&amp;":$R$"&amp;MATCH($E928,'0.1.1 Pokémon GO Moves'!$A$1:$A951,0)),'Reverse Search'!$E$21),COUNTIF(INDIRECT("'0.1.1 Pokémon GO Moves'!$B$"&amp;MATCH($E928,'0.1.1 Pokémon GO Moves'!$A$1:$A951,0)&amp;":$L$"&amp;MATCH($E928,'0.1.1 Pokémon GO Moves'!$A$1:$A951,0)),'Reverse Search'!$E$21)))))</f>
        <v>1</v>
      </c>
      <c r="AA928" s="0" t="n">
        <f aca="true">IF('Reverse Search'!$C$14="Disable",1,IF('Reverse Search'!$I$16="Disable",1,IF($D$2=3,IF($M928=0,0,COUNTIF(INDIRECT("'0.0.2 Pokémon Learnset (Core)'!$D$"&amp;MATCH($E928,'0.0.2 Pokémon Learnset (Core)'!$A$1:$A951,0)&amp;":$FK$"&amp;MATCH($E928,'0.0.2 Pokémon Learnset (Core)'!$A$1:$A951,0)),'Reverse Search'!$J$21)),IF($D$2=2,COUNTIF(INDIRECT("'0.1.1 Pokémon GO Moves'!$B$"&amp;MATCH($E928,'0.1.1 Pokémon GO Moves'!$A$1:$A951,0)&amp;":$R$"&amp;MATCH($E928,'0.1.1 Pokémon GO Moves'!$A$1:$A951,0)),'Reverse Search'!$J$21),COUNTIF(INDIRECT("'0.1.1 Pokémon GO Moves'!$B$"&amp;MATCH($E928,'0.1.1 Pokémon GO Moves'!$A$1:$A951,0)&amp;":$L$"&amp;MATCH($E928,'0.1.1 Pokémon GO Moves'!$A$1:$A951,0)),'Reverse Search'!$J$21)))))</f>
        <v>0</v>
      </c>
      <c r="AB928" s="490"/>
      <c r="AC928" s="260" t="n">
        <f aca="false">IF((Q928+R928+S928+V928+W928+X928+Y928+IF(Z928&gt;=1,1,0)+IF(AA928&gt;=1,1,0))=9,G928&amp;", ",)</f>
        <v>0</v>
      </c>
    </row>
    <row r="929" customFormat="false" ht="15.75" hidden="false" customHeight="false" outlineLevel="0" collapsed="false">
      <c r="A929" s="260"/>
      <c r="B929" s="358"/>
      <c r="C929" s="260"/>
      <c r="D929" s="358"/>
      <c r="E929" s="260" t="n">
        <v>928</v>
      </c>
      <c r="F929" s="260" t="n">
        <f aca="false" t="array" ref="F929:F929">INDEX('0.0.1 Pokémon Dex Data'!$H$3:$H951,MATCH(E929,'0.0.1 Pokémon Dex Data'!$B$3:$B951,0))</f>
        <v>0</v>
      </c>
      <c r="G929" s="0" t="str">
        <f aca="false" t="array" ref="G929:G929">INDEX('0.0.1 Pokémon Dex Data'!$E$3:$E951,MATCH(E929,'0.0.1 Pokémon Dex Data'!$B$3:$B951,0))</f>
        <v>Tapu Fini</v>
      </c>
      <c r="H929" s="0" t="str">
        <f aca="false" t="array" ref="H929:H929">INDEX('0.0.1 Pokémon Dex Data'!$Q$3:$Q951,MATCH(E929,'0.0.1 Pokémon Dex Data'!$B$3:$B951,0))</f>
        <v>Water</v>
      </c>
      <c r="I929" s="0" t="str">
        <f aca="false" t="array" ref="I929:I929">INDEX('0.0.1 Pokémon Dex Data'!$R$3:$R951,MATCH(E929,'0.0.1 Pokémon Dex Data'!$B$3:$B951,0))</f>
        <v>Fairy</v>
      </c>
      <c r="J929" s="260" t="n">
        <f aca="false" t="array" ref="J929:J929">ROUND(INDEX('0.0.1 Pokémon Dex Data'!$S$3:$S951,MATCH($E929,'0.0.1 Pokémon Dex Data'!$B$3:$B951,0))*INDEX('0.0.1 Pokémon Dex Data'!T$3:T951,MATCH($E929,'0.0.1 Pokémon Dex Data'!$B$3:$B951,0)),0)</f>
        <v>189</v>
      </c>
      <c r="K929" s="260" t="n">
        <f aca="false" t="array" ref="K929:K929">ROUND(INDEX('0.0.1 Pokémon Dex Data'!$S$3:$S951,MATCH($E929,'0.0.1 Pokémon Dex Data'!$B$3:$B951,0))*INDEX('0.0.1 Pokémon Dex Data'!U$3:U951,MATCH($E929,'0.0.1 Pokémon Dex Data'!$B$3:$B951,0)),0)</f>
        <v>254</v>
      </c>
      <c r="L929" s="260" t="n">
        <f aca="false" t="array" ref="L929:L929">ROUND(INDEX('0.0.1 Pokémon Dex Data'!$S$3:$S951,MATCH($E929,'0.0.1 Pokémon Dex Data'!$B$3:$B951,0))*INDEX('0.0.1 Pokémon Dex Data'!V$3:V951,MATCH($E929,'0.0.1 Pokémon Dex Data'!$B$3:$B951,0)),0)</f>
        <v>172</v>
      </c>
      <c r="M929" s="260" t="n">
        <f aca="false" t="array" ref="M929:M929">INDEX('0.0.1 Pokémon Dex Data'!$J$3:$J951,MATCH(E929,'0.0.1 Pokémon Dex Data'!$B$3:$B951,0))</f>
        <v>1</v>
      </c>
      <c r="O929" s="490"/>
      <c r="Q929" s="367" t="n">
        <f aca="false">IF('Reverse Search'!$F$4="All (including temporary formes)",1,IF('Reverse Search'!$F$4="Base Pokémon and permanent formes only",IF(F929&lt;=1,1,0),IF(F929=0,1,0)))</f>
        <v>1</v>
      </c>
      <c r="R929" s="0" t="n">
        <f aca="false">IF('Reverse Search'!$C$7="Disable",1,IF('Reverse Search'!$D$9="Disable",1,IF(OR('Reverse Search'!$F$9=H929,'Reverse Search'!$F$9=I929),1,0)))</f>
        <v>1</v>
      </c>
      <c r="S929" s="0" t="n">
        <f aca="false">IF('Reverse Search'!$C$7="Disable",1,IF('Reverse Search'!$D$10="Disable",1,IF(OR('Reverse Search'!$F$10=H929,'Reverse Search'!$F$10=I929),1,0)))</f>
        <v>1</v>
      </c>
      <c r="T929" s="0" t="n">
        <f aca="false">INDEX($B$4:$B$22,MATCH(H929,$A$4:$A$22,0))</f>
        <v>1</v>
      </c>
      <c r="U929" s="0" t="n">
        <f aca="false">IF(ISBLANK(I929),1,INDEX($B$4:$B$22,MATCH(I929,$A$4:$A$22,0)))</f>
        <v>1</v>
      </c>
      <c r="V929" s="367" t="n">
        <f aca="false">IF('Reverse Search'!$C$7="Disable",1,IF('Reverse Search'!$D$11="Disable",1,IF('Reverse Search'!$E$11="Neutral to:",IF(ROUND(T929*U929,2)&lt;=1,1,0),IF(ROUND(T929*U929,2)&lt;1,1,0))))</f>
        <v>1</v>
      </c>
      <c r="W929" s="0" t="n">
        <f aca="false">IF('Reverse Search'!$N$7="Disable",1,IF('Reverse Search'!$I$9="Disable",1,IF('Reverse Search'!$K$9="≥",IF(J929&gt;='Reverse Search'!$L$9,1,0),IF('Reverse Search'!$K$9="≤",IF(J929&lt;='Reverse Search'!$L$9,1,0),IF(J929='Reverse Search'!$L$9,1,0)))))</f>
        <v>1</v>
      </c>
      <c r="X929" s="0" t="n">
        <f aca="false">IF('Reverse Search'!$N$7="Disable",1,IF('Reverse Search'!$I$10="Disable",1,IF('Reverse Search'!$K$10="≥",IF(K929&gt;='Reverse Search'!$L$10,1,0),IF('Reverse Search'!$K$10="≤",IF(K929&lt;='Reverse Search'!$L$10,1,0),IF(K929='Reverse Search'!$L$10,1,0)))))</f>
        <v>1</v>
      </c>
      <c r="Y929" s="367" t="n">
        <f aca="false">IF('Reverse Search'!$N$7="Disable",1,IF('Reverse Search'!$I$11="Disable",1,IF('Reverse Search'!$K$11="≥",IF(L929&gt;='Reverse Search'!$L$11,1,0),IF('Reverse Search'!$K$11="≤",IF(L929&lt;='Reverse Search'!$L$11,1,0),IF(L929='Reverse Search'!$L$11,1,0)))))</f>
        <v>1</v>
      </c>
      <c r="Z929" s="0" t="n">
        <f aca="true">IF('Reverse Search'!$C$14="Disable",1,IF('Reverse Search'!$D$16="Disable",1,IF($C$2=3,IF($M929=0,0,COUNTIF(INDIRECT("'0.0.2 Pokémon Learnset (Core)'!$D$"&amp;MATCH($E929,'0.0.2 Pokémon Learnset (Core)'!$A$1:$A951,0)&amp;":$FK$"&amp;MATCH($E929,'0.0.2 Pokémon Learnset (Core)'!$A$1:$A951,0)),'Reverse Search'!$E$21)),IF($C$2=2,COUNTIF(INDIRECT("'0.1.1 Pokémon GO Moves'!$B$"&amp;MATCH($E929,'0.1.1 Pokémon GO Moves'!$A$1:$A951,0)&amp;":$R$"&amp;MATCH($E929,'0.1.1 Pokémon GO Moves'!$A$1:$A951,0)),'Reverse Search'!$E$21),COUNTIF(INDIRECT("'0.1.1 Pokémon GO Moves'!$B$"&amp;MATCH($E929,'0.1.1 Pokémon GO Moves'!$A$1:$A951,0)&amp;":$L$"&amp;MATCH($E929,'0.1.1 Pokémon GO Moves'!$A$1:$A951,0)),'Reverse Search'!$E$21)))))</f>
        <v>1</v>
      </c>
      <c r="AA929" s="0" t="n">
        <f aca="true">IF('Reverse Search'!$C$14="Disable",1,IF('Reverse Search'!$I$16="Disable",1,IF($D$2=3,IF($M929=0,0,COUNTIF(INDIRECT("'0.0.2 Pokémon Learnset (Core)'!$D$"&amp;MATCH($E929,'0.0.2 Pokémon Learnset (Core)'!$A$1:$A951,0)&amp;":$FK$"&amp;MATCH($E929,'0.0.2 Pokémon Learnset (Core)'!$A$1:$A951,0)),'Reverse Search'!$J$21)),IF($D$2=2,COUNTIF(INDIRECT("'0.1.1 Pokémon GO Moves'!$B$"&amp;MATCH($E929,'0.1.1 Pokémon GO Moves'!$A$1:$A951,0)&amp;":$R$"&amp;MATCH($E929,'0.1.1 Pokémon GO Moves'!$A$1:$A951,0)),'Reverse Search'!$J$21),COUNTIF(INDIRECT("'0.1.1 Pokémon GO Moves'!$B$"&amp;MATCH($E929,'0.1.1 Pokémon GO Moves'!$A$1:$A951,0)&amp;":$L$"&amp;MATCH($E929,'0.1.1 Pokémon GO Moves'!$A$1:$A951,0)),'Reverse Search'!$J$21)))))</f>
        <v>0</v>
      </c>
      <c r="AB929" s="490"/>
      <c r="AC929" s="260" t="n">
        <f aca="false">IF((Q929+R929+S929+V929+W929+X929+Y929+IF(Z929&gt;=1,1,0)+IF(AA929&gt;=1,1,0))=9,G929&amp;", ",)</f>
        <v>0</v>
      </c>
    </row>
    <row r="930" customFormat="false" ht="15.75" hidden="false" customHeight="false" outlineLevel="0" collapsed="false">
      <c r="A930" s="260"/>
      <c r="B930" s="358"/>
      <c r="C930" s="260"/>
      <c r="D930" s="358"/>
      <c r="E930" s="260" t="n">
        <v>929</v>
      </c>
      <c r="F930" s="260" t="n">
        <f aca="false" t="array" ref="F930:F930">INDEX('0.0.1 Pokémon Dex Data'!$H$3:$H951,MATCH(E930,'0.0.1 Pokémon Dex Data'!$B$3:$B951,0))</f>
        <v>0</v>
      </c>
      <c r="G930" s="0" t="str">
        <f aca="false" t="array" ref="G930:G930">INDEX('0.0.1 Pokémon Dex Data'!$E$3:$E951,MATCH(E930,'0.0.1 Pokémon Dex Data'!$B$3:$B951,0))</f>
        <v>Cosmog</v>
      </c>
      <c r="H930" s="0" t="str">
        <f aca="false" t="array" ref="H930:H930">INDEX('0.0.1 Pokémon Dex Data'!$Q$3:$Q951,MATCH(E930,'0.0.1 Pokémon Dex Data'!$B$3:$B951,0))</f>
        <v>Psychic</v>
      </c>
      <c r="I930" s="0" t="n">
        <f aca="false">INDEX('0.0.1 Pokémon Dex Data'!$R$3:$R951,MATCH(E930,'0.0.1 Pokémon Dex Data'!$B$3:$B951,0))</f>
        <v>0</v>
      </c>
      <c r="J930" s="260" t="n">
        <f aca="false" t="array" ref="J930:J930">ROUND(INDEX('0.0.1 Pokémon Dex Data'!$S$3:$S951,MATCH($E930,'0.0.1 Pokémon Dex Data'!$B$3:$B951,0))*INDEX('0.0.1 Pokémon Dex Data'!T$3:T951,MATCH($E930,'0.0.1 Pokémon Dex Data'!$B$3:$B951,0)),0)</f>
        <v>54</v>
      </c>
      <c r="K930" s="260" t="n">
        <f aca="false" t="array" ref="K930:K930">ROUND(INDEX('0.0.1 Pokémon Dex Data'!$S$3:$S951,MATCH($E930,'0.0.1 Pokémon Dex Data'!$B$3:$B951,0))*INDEX('0.0.1 Pokémon Dex Data'!U$3:U951,MATCH($E930,'0.0.1 Pokémon Dex Data'!$B$3:$B951,0)),0)</f>
        <v>57</v>
      </c>
      <c r="L930" s="260" t="n">
        <f aca="false" t="array" ref="L930:L930">ROUND(INDEX('0.0.1 Pokémon Dex Data'!$S$3:$S951,MATCH($E930,'0.0.1 Pokémon Dex Data'!$B$3:$B951,0))*INDEX('0.0.1 Pokémon Dex Data'!V$3:V951,MATCH($E930,'0.0.1 Pokémon Dex Data'!$B$3:$B951,0)),0)</f>
        <v>125</v>
      </c>
      <c r="M930" s="260" t="n">
        <f aca="false" t="array" ref="M930:M930">INDEX('0.0.1 Pokémon Dex Data'!$J$3:$J951,MATCH(E930,'0.0.1 Pokémon Dex Data'!$B$3:$B951,0))</f>
        <v>0</v>
      </c>
      <c r="O930" s="490"/>
      <c r="Q930" s="367" t="n">
        <f aca="false">IF('Reverse Search'!$F$4="All (including temporary formes)",1,IF('Reverse Search'!$F$4="Base Pokémon and permanent formes only",IF(F930&lt;=1,1,0),IF(F930=0,1,0)))</f>
        <v>1</v>
      </c>
      <c r="R930" s="0" t="n">
        <f aca="false">IF('Reverse Search'!$C$7="Disable",1,IF('Reverse Search'!$D$9="Disable",1,IF(OR('Reverse Search'!$F$9=H930,'Reverse Search'!$F$9=I930),1,0)))</f>
        <v>1</v>
      </c>
      <c r="S930" s="0" t="n">
        <f aca="false">IF('Reverse Search'!$C$7="Disable",1,IF('Reverse Search'!$D$10="Disable",1,IF(OR('Reverse Search'!$F$10=H930,'Reverse Search'!$F$10=I930),1,0)))</f>
        <v>1</v>
      </c>
      <c r="T930" s="0" t="n">
        <f aca="false">INDEX($B$4:$B$22,MATCH(H930,$A$4:$A$22,0))</f>
        <v>1</v>
      </c>
      <c r="U930" s="0" t="e">
        <f aca="false">IF(ISBLANK(I930),1,INDEX($B$4:$B$22,MATCH(I930,$A$4:$A$22,0)))</f>
        <v>#N/A</v>
      </c>
      <c r="V930" s="367" t="n">
        <f aca="false">IF('Reverse Search'!$C$7="Disable",1,IF('Reverse Search'!$D$11="Disable",1,IF('Reverse Search'!$E$11="Neutral to:",IF(ROUND(T930*U930,2)&lt;=1,1,0),IF(ROUND(T930*U930,2)&lt;1,1,0))))</f>
        <v>1</v>
      </c>
      <c r="W930" s="0" t="n">
        <f aca="false">IF('Reverse Search'!$N$7="Disable",1,IF('Reverse Search'!$I$9="Disable",1,IF('Reverse Search'!$K$9="≥",IF(J930&gt;='Reverse Search'!$L$9,1,0),IF('Reverse Search'!$K$9="≤",IF(J930&lt;='Reverse Search'!$L$9,1,0),IF(J930='Reverse Search'!$L$9,1,0)))))</f>
        <v>1</v>
      </c>
      <c r="X930" s="0" t="n">
        <f aca="false">IF('Reverse Search'!$N$7="Disable",1,IF('Reverse Search'!$I$10="Disable",1,IF('Reverse Search'!$K$10="≥",IF(K930&gt;='Reverse Search'!$L$10,1,0),IF('Reverse Search'!$K$10="≤",IF(K930&lt;='Reverse Search'!$L$10,1,0),IF(K930='Reverse Search'!$L$10,1,0)))))</f>
        <v>1</v>
      </c>
      <c r="Y930" s="367" t="n">
        <f aca="false">IF('Reverse Search'!$N$7="Disable",1,IF('Reverse Search'!$I$11="Disable",1,IF('Reverse Search'!$K$11="≥",IF(L930&gt;='Reverse Search'!$L$11,1,0),IF('Reverse Search'!$K$11="≤",IF(L930&lt;='Reverse Search'!$L$11,1,0),IF(L930='Reverse Search'!$L$11,1,0)))))</f>
        <v>1</v>
      </c>
      <c r="Z930" s="0" t="n">
        <f aca="true">IF('Reverse Search'!$C$14="Disable",1,IF('Reverse Search'!$D$16="Disable",1,IF($C$2=3,IF($M930=0,0,COUNTIF(INDIRECT("'0.0.2 Pokémon Learnset (Core)'!$D$"&amp;MATCH($E930,'0.0.2 Pokémon Learnset (Core)'!$A$1:$A951,0)&amp;":$FK$"&amp;MATCH($E930,'0.0.2 Pokémon Learnset (Core)'!$A$1:$A951,0)),'Reverse Search'!$E$21)),IF($C$2=2,COUNTIF(INDIRECT("'0.1.1 Pokémon GO Moves'!$B$"&amp;MATCH($E930,'0.1.1 Pokémon GO Moves'!$A$1:$A951,0)&amp;":$R$"&amp;MATCH($E930,'0.1.1 Pokémon GO Moves'!$A$1:$A951,0)),'Reverse Search'!$E$21),COUNTIF(INDIRECT("'0.1.1 Pokémon GO Moves'!$B$"&amp;MATCH($E930,'0.1.1 Pokémon GO Moves'!$A$1:$A951,0)&amp;":$L$"&amp;MATCH($E930,'0.1.1 Pokémon GO Moves'!$A$1:$A951,0)),'Reverse Search'!$E$21)))))</f>
        <v>1</v>
      </c>
      <c r="AA930" s="0" t="n">
        <f aca="true">IF('Reverse Search'!$C$14="Disable",1,IF('Reverse Search'!$I$16="Disable",1,IF($D$2=3,IF($M930=0,0,COUNTIF(INDIRECT("'0.0.2 Pokémon Learnset (Core)'!$D$"&amp;MATCH($E930,'0.0.2 Pokémon Learnset (Core)'!$A$1:$A951,0)&amp;":$FK$"&amp;MATCH($E930,'0.0.2 Pokémon Learnset (Core)'!$A$1:$A951,0)),'Reverse Search'!$J$21)),IF($D$2=2,COUNTIF(INDIRECT("'0.1.1 Pokémon GO Moves'!$B$"&amp;MATCH($E930,'0.1.1 Pokémon GO Moves'!$A$1:$A951,0)&amp;":$R$"&amp;MATCH($E930,'0.1.1 Pokémon GO Moves'!$A$1:$A951,0)),'Reverse Search'!$J$21),COUNTIF(INDIRECT("'0.1.1 Pokémon GO Moves'!$B$"&amp;MATCH($E930,'0.1.1 Pokémon GO Moves'!$A$1:$A951,0)&amp;":$L$"&amp;MATCH($E930,'0.1.1 Pokémon GO Moves'!$A$1:$A951,0)),'Reverse Search'!$J$21)))))</f>
        <v>0</v>
      </c>
      <c r="AB930" s="490"/>
      <c r="AC930" s="260" t="n">
        <f aca="false">IF((Q930+R930+S930+V930+W930+X930+Y930+IF(Z930&gt;=1,1,0)+IF(AA930&gt;=1,1,0))=9,G930&amp;", ",)</f>
        <v>0</v>
      </c>
    </row>
    <row r="931" customFormat="false" ht="15.75" hidden="false" customHeight="false" outlineLevel="0" collapsed="false">
      <c r="A931" s="260"/>
      <c r="B931" s="358"/>
      <c r="C931" s="260"/>
      <c r="D931" s="358"/>
      <c r="E931" s="260" t="n">
        <v>930</v>
      </c>
      <c r="F931" s="260" t="n">
        <f aca="false" t="array" ref="F931:F931">INDEX('0.0.1 Pokémon Dex Data'!$H$3:$H951,MATCH(E931,'0.0.1 Pokémon Dex Data'!$B$3:$B951,0))</f>
        <v>0</v>
      </c>
      <c r="G931" s="0" t="str">
        <f aca="false" t="array" ref="G931:G931">INDEX('0.0.1 Pokémon Dex Data'!$E$3:$E951,MATCH(E931,'0.0.1 Pokémon Dex Data'!$B$3:$B951,0))</f>
        <v>Cosmoem</v>
      </c>
      <c r="H931" s="0" t="str">
        <f aca="false" t="array" ref="H931:H931">INDEX('0.0.1 Pokémon Dex Data'!$Q$3:$Q951,MATCH(E931,'0.0.1 Pokémon Dex Data'!$B$3:$B951,0))</f>
        <v>Psychic</v>
      </c>
      <c r="I931" s="0" t="n">
        <f aca="false">INDEX('0.0.1 Pokémon Dex Data'!$R$3:$R951,MATCH(E931,'0.0.1 Pokémon Dex Data'!$B$3:$B951,0))</f>
        <v>0</v>
      </c>
      <c r="J931" s="260" t="n">
        <f aca="false" t="array" ref="J931:J931">ROUND(INDEX('0.0.1 Pokémon Dex Data'!$S$3:$S951,MATCH($E931,'0.0.1 Pokémon Dex Data'!$B$3:$B951,0))*INDEX('0.0.1 Pokémon Dex Data'!T$3:T951,MATCH($E931,'0.0.1 Pokémon Dex Data'!$B$3:$B951,0)),0)</f>
        <v>54</v>
      </c>
      <c r="K931" s="260" t="n">
        <f aca="false" t="array" ref="K931:K931">ROUND(INDEX('0.0.1 Pokémon Dex Data'!$S$3:$S951,MATCH($E931,'0.0.1 Pokémon Dex Data'!$B$3:$B951,0))*INDEX('0.0.1 Pokémon Dex Data'!U$3:U951,MATCH($E931,'0.0.1 Pokémon Dex Data'!$B$3:$B951,0)),0)</f>
        <v>242</v>
      </c>
      <c r="L931" s="260" t="n">
        <f aca="false" t="array" ref="L931:L931">ROUND(INDEX('0.0.1 Pokémon Dex Data'!$S$3:$S951,MATCH($E931,'0.0.1 Pokémon Dex Data'!$B$3:$B951,0))*INDEX('0.0.1 Pokémon Dex Data'!V$3:V951,MATCH($E931,'0.0.1 Pokémon Dex Data'!$B$3:$B951,0)),0)</f>
        <v>125</v>
      </c>
      <c r="M931" s="260" t="n">
        <f aca="false" t="array" ref="M931:M931">INDEX('0.0.1 Pokémon Dex Data'!$J$3:$J951,MATCH(E931,'0.0.1 Pokémon Dex Data'!$B$3:$B951,0))</f>
        <v>0</v>
      </c>
      <c r="O931" s="490"/>
      <c r="Q931" s="367" t="n">
        <f aca="false">IF('Reverse Search'!$F$4="All (including temporary formes)",1,IF('Reverse Search'!$F$4="Base Pokémon and permanent formes only",IF(F931&lt;=1,1,0),IF(F931=0,1,0)))</f>
        <v>1</v>
      </c>
      <c r="R931" s="0" t="n">
        <f aca="false">IF('Reverse Search'!$C$7="Disable",1,IF('Reverse Search'!$D$9="Disable",1,IF(OR('Reverse Search'!$F$9=H931,'Reverse Search'!$F$9=I931),1,0)))</f>
        <v>1</v>
      </c>
      <c r="S931" s="0" t="n">
        <f aca="false">IF('Reverse Search'!$C$7="Disable",1,IF('Reverse Search'!$D$10="Disable",1,IF(OR('Reverse Search'!$F$10=H931,'Reverse Search'!$F$10=I931),1,0)))</f>
        <v>1</v>
      </c>
      <c r="T931" s="0" t="n">
        <f aca="false">INDEX($B$4:$B$22,MATCH(H931,$A$4:$A$22,0))</f>
        <v>1</v>
      </c>
      <c r="U931" s="0" t="e">
        <f aca="false">IF(ISBLANK(I931),1,INDEX($B$4:$B$22,MATCH(I931,$A$4:$A$22,0)))</f>
        <v>#N/A</v>
      </c>
      <c r="V931" s="367" t="n">
        <f aca="false">IF('Reverse Search'!$C$7="Disable",1,IF('Reverse Search'!$D$11="Disable",1,IF('Reverse Search'!$E$11="Neutral to:",IF(ROUND(T931*U931,2)&lt;=1,1,0),IF(ROUND(T931*U931,2)&lt;1,1,0))))</f>
        <v>1</v>
      </c>
      <c r="W931" s="0" t="n">
        <f aca="false">IF('Reverse Search'!$N$7="Disable",1,IF('Reverse Search'!$I$9="Disable",1,IF('Reverse Search'!$K$9="≥",IF(J931&gt;='Reverse Search'!$L$9,1,0),IF('Reverse Search'!$K$9="≤",IF(J931&lt;='Reverse Search'!$L$9,1,0),IF(J931='Reverse Search'!$L$9,1,0)))))</f>
        <v>1</v>
      </c>
      <c r="X931" s="0" t="n">
        <f aca="false">IF('Reverse Search'!$N$7="Disable",1,IF('Reverse Search'!$I$10="Disable",1,IF('Reverse Search'!$K$10="≥",IF(K931&gt;='Reverse Search'!$L$10,1,0),IF('Reverse Search'!$K$10="≤",IF(K931&lt;='Reverse Search'!$L$10,1,0),IF(K931='Reverse Search'!$L$10,1,0)))))</f>
        <v>1</v>
      </c>
      <c r="Y931" s="367" t="n">
        <f aca="false">IF('Reverse Search'!$N$7="Disable",1,IF('Reverse Search'!$I$11="Disable",1,IF('Reverse Search'!$K$11="≥",IF(L931&gt;='Reverse Search'!$L$11,1,0),IF('Reverse Search'!$K$11="≤",IF(L931&lt;='Reverse Search'!$L$11,1,0),IF(L931='Reverse Search'!$L$11,1,0)))))</f>
        <v>1</v>
      </c>
      <c r="Z931" s="0" t="n">
        <f aca="true">IF('Reverse Search'!$C$14="Disable",1,IF('Reverse Search'!$D$16="Disable",1,IF($C$2=3,IF($M931=0,0,COUNTIF(INDIRECT("'0.0.2 Pokémon Learnset (Core)'!$D$"&amp;MATCH($E931,'0.0.2 Pokémon Learnset (Core)'!$A$1:$A951,0)&amp;":$FK$"&amp;MATCH($E931,'0.0.2 Pokémon Learnset (Core)'!$A$1:$A951,0)),'Reverse Search'!$E$21)),IF($C$2=2,COUNTIF(INDIRECT("'0.1.1 Pokémon GO Moves'!$B$"&amp;MATCH($E931,'0.1.1 Pokémon GO Moves'!$A$1:$A951,0)&amp;":$R$"&amp;MATCH($E931,'0.1.1 Pokémon GO Moves'!$A$1:$A951,0)),'Reverse Search'!$E$21),COUNTIF(INDIRECT("'0.1.1 Pokémon GO Moves'!$B$"&amp;MATCH($E931,'0.1.1 Pokémon GO Moves'!$A$1:$A951,0)&amp;":$L$"&amp;MATCH($E931,'0.1.1 Pokémon GO Moves'!$A$1:$A951,0)),'Reverse Search'!$E$21)))))</f>
        <v>1</v>
      </c>
      <c r="AA931" s="0" t="n">
        <f aca="true">IF('Reverse Search'!$C$14="Disable",1,IF('Reverse Search'!$I$16="Disable",1,IF($D$2=3,IF($M931=0,0,COUNTIF(INDIRECT("'0.0.2 Pokémon Learnset (Core)'!$D$"&amp;MATCH($E931,'0.0.2 Pokémon Learnset (Core)'!$A$1:$A951,0)&amp;":$FK$"&amp;MATCH($E931,'0.0.2 Pokémon Learnset (Core)'!$A$1:$A951,0)),'Reverse Search'!$J$21)),IF($D$2=2,COUNTIF(INDIRECT("'0.1.1 Pokémon GO Moves'!$B$"&amp;MATCH($E931,'0.1.1 Pokémon GO Moves'!$A$1:$A951,0)&amp;":$R$"&amp;MATCH($E931,'0.1.1 Pokémon GO Moves'!$A$1:$A951,0)),'Reverse Search'!$J$21),COUNTIF(INDIRECT("'0.1.1 Pokémon GO Moves'!$B$"&amp;MATCH($E931,'0.1.1 Pokémon GO Moves'!$A$1:$A951,0)&amp;":$L$"&amp;MATCH($E931,'0.1.1 Pokémon GO Moves'!$A$1:$A951,0)),'Reverse Search'!$J$21)))))</f>
        <v>0</v>
      </c>
      <c r="AB931" s="490"/>
      <c r="AC931" s="260" t="n">
        <f aca="false">IF((Q931+R931+S931+V931+W931+X931+Y931+IF(Z931&gt;=1,1,0)+IF(AA931&gt;=1,1,0))=9,G931&amp;", ",)</f>
        <v>0</v>
      </c>
    </row>
    <row r="932" customFormat="false" ht="15.75" hidden="false" customHeight="false" outlineLevel="0" collapsed="false">
      <c r="A932" s="260"/>
      <c r="B932" s="358"/>
      <c r="C932" s="260"/>
      <c r="D932" s="358"/>
      <c r="E932" s="260" t="n">
        <v>931</v>
      </c>
      <c r="F932" s="260" t="n">
        <f aca="false" t="array" ref="F932:F932">INDEX('0.0.1 Pokémon Dex Data'!$H$3:$H951,MATCH(E932,'0.0.1 Pokémon Dex Data'!$B$3:$B951,0))</f>
        <v>0</v>
      </c>
      <c r="G932" s="0" t="str">
        <f aca="false" t="array" ref="G932:G932">INDEX('0.0.1 Pokémon Dex Data'!$E$3:$E951,MATCH(E932,'0.0.1 Pokémon Dex Data'!$B$3:$B951,0))</f>
        <v>Solgaleo</v>
      </c>
      <c r="H932" s="0" t="str">
        <f aca="false" t="array" ref="H932:H932">INDEX('0.0.1 Pokémon Dex Data'!$Q$3:$Q951,MATCH(E932,'0.0.1 Pokémon Dex Data'!$B$3:$B951,0))</f>
        <v>Psychic</v>
      </c>
      <c r="I932" s="0" t="str">
        <f aca="false" t="array" ref="I932:I932">INDEX('0.0.1 Pokémon Dex Data'!$R$3:$R951,MATCH(E932,'0.0.1 Pokémon Dex Data'!$B$3:$B951,0))</f>
        <v>Steel</v>
      </c>
      <c r="J932" s="260" t="n">
        <f aca="false" t="array" ref="J932:J932">ROUND(INDEX('0.0.1 Pokémon Dex Data'!$S$3:$S951,MATCH($E932,'0.0.1 Pokémon Dex Data'!$B$3:$B951,0))*INDEX('0.0.1 Pokémon Dex Data'!T$3:T951,MATCH($E932,'0.0.1 Pokémon Dex Data'!$B$3:$B951,0)),0)</f>
        <v>255</v>
      </c>
      <c r="K932" s="260" t="n">
        <f aca="false" t="array" ref="K932:K932">ROUND(INDEX('0.0.1 Pokémon Dex Data'!$S$3:$S951,MATCH($E932,'0.0.1 Pokémon Dex Data'!$B$3:$B951,0))*INDEX('0.0.1 Pokémon Dex Data'!U$3:U951,MATCH($E932,'0.0.1 Pokémon Dex Data'!$B$3:$B951,0)),0)</f>
        <v>191</v>
      </c>
      <c r="L932" s="260" t="n">
        <f aca="false" t="array" ref="L932:L932">ROUND(INDEX('0.0.1 Pokémon Dex Data'!$S$3:$S951,MATCH($E932,'0.0.1 Pokémon Dex Data'!$B$3:$B951,0))*INDEX('0.0.1 Pokémon Dex Data'!V$3:V951,MATCH($E932,'0.0.1 Pokémon Dex Data'!$B$3:$B951,0)),0)</f>
        <v>263</v>
      </c>
      <c r="M932" s="260" t="n">
        <f aca="false" t="array" ref="M932:M932">INDEX('0.0.1 Pokémon Dex Data'!$J$3:$J951,MATCH(E932,'0.0.1 Pokémon Dex Data'!$B$3:$B951,0))</f>
        <v>1</v>
      </c>
      <c r="O932" s="490"/>
      <c r="Q932" s="367" t="n">
        <f aca="false">IF('Reverse Search'!$F$4="All (including temporary formes)",1,IF('Reverse Search'!$F$4="Base Pokémon and permanent formes only",IF(F932&lt;=1,1,0),IF(F932=0,1,0)))</f>
        <v>1</v>
      </c>
      <c r="R932" s="0" t="n">
        <f aca="false">IF('Reverse Search'!$C$7="Disable",1,IF('Reverse Search'!$D$9="Disable",1,IF(OR('Reverse Search'!$F$9=H932,'Reverse Search'!$F$9=I932),1,0)))</f>
        <v>1</v>
      </c>
      <c r="S932" s="0" t="n">
        <f aca="false">IF('Reverse Search'!$C$7="Disable",1,IF('Reverse Search'!$D$10="Disable",1,IF(OR('Reverse Search'!$F$10=H932,'Reverse Search'!$F$10=I932),1,0)))</f>
        <v>1</v>
      </c>
      <c r="T932" s="0" t="n">
        <f aca="false">INDEX($B$4:$B$22,MATCH(H932,$A$4:$A$22,0))</f>
        <v>1</v>
      </c>
      <c r="U932" s="0" t="n">
        <f aca="false">IF(ISBLANK(I932),1,INDEX($B$4:$B$22,MATCH(I932,$A$4:$A$22,0)))</f>
        <v>0.714</v>
      </c>
      <c r="V932" s="367" t="n">
        <f aca="false">IF('Reverse Search'!$C$7="Disable",1,IF('Reverse Search'!$D$11="Disable",1,IF('Reverse Search'!$E$11="Neutral to:",IF(ROUND(T932*U932,2)&lt;=1,1,0),IF(ROUND(T932*U932,2)&lt;1,1,0))))</f>
        <v>1</v>
      </c>
      <c r="W932" s="0" t="n">
        <f aca="false">IF('Reverse Search'!$N$7="Disable",1,IF('Reverse Search'!$I$9="Disable",1,IF('Reverse Search'!$K$9="≥",IF(J932&gt;='Reverse Search'!$L$9,1,0),IF('Reverse Search'!$K$9="≤",IF(J932&lt;='Reverse Search'!$L$9,1,0),IF(J932='Reverse Search'!$L$9,1,0)))))</f>
        <v>1</v>
      </c>
      <c r="X932" s="0" t="n">
        <f aca="false">IF('Reverse Search'!$N$7="Disable",1,IF('Reverse Search'!$I$10="Disable",1,IF('Reverse Search'!$K$10="≥",IF(K932&gt;='Reverse Search'!$L$10,1,0),IF('Reverse Search'!$K$10="≤",IF(K932&lt;='Reverse Search'!$L$10,1,0),IF(K932='Reverse Search'!$L$10,1,0)))))</f>
        <v>1</v>
      </c>
      <c r="Y932" s="367" t="n">
        <f aca="false">IF('Reverse Search'!$N$7="Disable",1,IF('Reverse Search'!$I$11="Disable",1,IF('Reverse Search'!$K$11="≥",IF(L932&gt;='Reverse Search'!$L$11,1,0),IF('Reverse Search'!$K$11="≤",IF(L932&lt;='Reverse Search'!$L$11,1,0),IF(L932='Reverse Search'!$L$11,1,0)))))</f>
        <v>1</v>
      </c>
      <c r="Z932" s="0" t="n">
        <f aca="true">IF('Reverse Search'!$C$14="Disable",1,IF('Reverse Search'!$D$16="Disable",1,IF($C$2=3,IF($M932=0,0,COUNTIF(INDIRECT("'0.0.2 Pokémon Learnset (Core)'!$D$"&amp;MATCH($E932,'0.0.2 Pokémon Learnset (Core)'!$A$1:$A951,0)&amp;":$FK$"&amp;MATCH($E932,'0.0.2 Pokémon Learnset (Core)'!$A$1:$A951,0)),'Reverse Search'!$E$21)),IF($C$2=2,COUNTIF(INDIRECT("'0.1.1 Pokémon GO Moves'!$B$"&amp;MATCH($E932,'0.1.1 Pokémon GO Moves'!$A$1:$A951,0)&amp;":$R$"&amp;MATCH($E932,'0.1.1 Pokémon GO Moves'!$A$1:$A951,0)),'Reverse Search'!$E$21),COUNTIF(INDIRECT("'0.1.1 Pokémon GO Moves'!$B$"&amp;MATCH($E932,'0.1.1 Pokémon GO Moves'!$A$1:$A951,0)&amp;":$L$"&amp;MATCH($E932,'0.1.1 Pokémon GO Moves'!$A$1:$A951,0)),'Reverse Search'!$E$21)))))</f>
        <v>1</v>
      </c>
      <c r="AA932" s="0" t="n">
        <f aca="true">IF('Reverse Search'!$C$14="Disable",1,IF('Reverse Search'!$I$16="Disable",1,IF($D$2=3,IF($M932=0,0,COUNTIF(INDIRECT("'0.0.2 Pokémon Learnset (Core)'!$D$"&amp;MATCH($E932,'0.0.2 Pokémon Learnset (Core)'!$A$1:$A951,0)&amp;":$FK$"&amp;MATCH($E932,'0.0.2 Pokémon Learnset (Core)'!$A$1:$A951,0)),'Reverse Search'!$J$21)),IF($D$2=2,COUNTIF(INDIRECT("'0.1.1 Pokémon GO Moves'!$B$"&amp;MATCH($E932,'0.1.1 Pokémon GO Moves'!$A$1:$A951,0)&amp;":$R$"&amp;MATCH($E932,'0.1.1 Pokémon GO Moves'!$A$1:$A951,0)),'Reverse Search'!$J$21),COUNTIF(INDIRECT("'0.1.1 Pokémon GO Moves'!$B$"&amp;MATCH($E932,'0.1.1 Pokémon GO Moves'!$A$1:$A951,0)&amp;":$L$"&amp;MATCH($E932,'0.1.1 Pokémon GO Moves'!$A$1:$A951,0)),'Reverse Search'!$J$21)))))</f>
        <v>0</v>
      </c>
      <c r="AB932" s="490"/>
      <c r="AC932" s="260" t="n">
        <f aca="false">IF((Q932+R932+S932+V932+W932+X932+Y932+IF(Z932&gt;=1,1,0)+IF(AA932&gt;=1,1,0))=9,G932&amp;", ",)</f>
        <v>0</v>
      </c>
    </row>
    <row r="933" customFormat="false" ht="15.75" hidden="false" customHeight="false" outlineLevel="0" collapsed="false">
      <c r="A933" s="260"/>
      <c r="B933" s="358"/>
      <c r="C933" s="260"/>
      <c r="D933" s="358"/>
      <c r="E933" s="260" t="n">
        <v>932</v>
      </c>
      <c r="F933" s="260" t="n">
        <f aca="false" t="array" ref="F933:F933">INDEX('0.0.1 Pokémon Dex Data'!$H$3:$H951,MATCH(E933,'0.0.1 Pokémon Dex Data'!$B$3:$B951,0))</f>
        <v>0</v>
      </c>
      <c r="G933" s="0" t="str">
        <f aca="false" t="array" ref="G933:G933">INDEX('0.0.1 Pokémon Dex Data'!$E$3:$E951,MATCH(E933,'0.0.1 Pokémon Dex Data'!$B$3:$B951,0))</f>
        <v>Lunala</v>
      </c>
      <c r="H933" s="0" t="str">
        <f aca="false" t="array" ref="H933:H933">INDEX('0.0.1 Pokémon Dex Data'!$Q$3:$Q951,MATCH(E933,'0.0.1 Pokémon Dex Data'!$B$3:$B951,0))</f>
        <v>Psychic</v>
      </c>
      <c r="I933" s="0" t="str">
        <f aca="false" t="array" ref="I933:I933">INDEX('0.0.1 Pokémon Dex Data'!$R$3:$R951,MATCH(E933,'0.0.1 Pokémon Dex Data'!$B$3:$B951,0))</f>
        <v>Ghost</v>
      </c>
      <c r="J933" s="260" t="n">
        <f aca="false" t="array" ref="J933:J933">ROUND(INDEX('0.0.1 Pokémon Dex Data'!$S$3:$S951,MATCH($E933,'0.0.1 Pokémon Dex Data'!$B$3:$B951,0))*INDEX('0.0.1 Pokémon Dex Data'!T$3:T951,MATCH($E933,'0.0.1 Pokémon Dex Data'!$B$3:$B951,0)),0)</f>
        <v>255</v>
      </c>
      <c r="K933" s="260" t="n">
        <f aca="false" t="array" ref="K933:K933">ROUND(INDEX('0.0.1 Pokémon Dex Data'!$S$3:$S951,MATCH($E933,'0.0.1 Pokémon Dex Data'!$B$3:$B951,0))*INDEX('0.0.1 Pokémon Dex Data'!U$3:U951,MATCH($E933,'0.0.1 Pokémon Dex Data'!$B$3:$B951,0)),0)</f>
        <v>191</v>
      </c>
      <c r="L933" s="260" t="n">
        <f aca="false" t="array" ref="L933:L933">ROUND(INDEX('0.0.1 Pokémon Dex Data'!$S$3:$S951,MATCH($E933,'0.0.1 Pokémon Dex Data'!$B$3:$B951,0))*INDEX('0.0.1 Pokémon Dex Data'!V$3:V951,MATCH($E933,'0.0.1 Pokémon Dex Data'!$B$3:$B951,0)),0)</f>
        <v>263</v>
      </c>
      <c r="M933" s="260" t="n">
        <f aca="false" t="array" ref="M933:M933">INDEX('0.0.1 Pokémon Dex Data'!$J$3:$J951,MATCH(E933,'0.0.1 Pokémon Dex Data'!$B$3:$B951,0))</f>
        <v>1</v>
      </c>
      <c r="O933" s="490"/>
      <c r="Q933" s="367" t="n">
        <f aca="false">IF('Reverse Search'!$F$4="All (including temporary formes)",1,IF('Reverse Search'!$F$4="Base Pokémon and permanent formes only",IF(F933&lt;=1,1,0),IF(F933=0,1,0)))</f>
        <v>1</v>
      </c>
      <c r="R933" s="0" t="n">
        <f aca="false">IF('Reverse Search'!$C$7="Disable",1,IF('Reverse Search'!$D$9="Disable",1,IF(OR('Reverse Search'!$F$9=H933,'Reverse Search'!$F$9=I933),1,0)))</f>
        <v>1</v>
      </c>
      <c r="S933" s="0" t="n">
        <f aca="false">IF('Reverse Search'!$C$7="Disable",1,IF('Reverse Search'!$D$10="Disable",1,IF(OR('Reverse Search'!$F$10=H933,'Reverse Search'!$F$10=I933),1,0)))</f>
        <v>1</v>
      </c>
      <c r="T933" s="0" t="n">
        <f aca="false">INDEX($B$4:$B$22,MATCH(H933,$A$4:$A$22,0))</f>
        <v>1</v>
      </c>
      <c r="U933" s="0" t="n">
        <f aca="false">IF(ISBLANK(I933),1,INDEX($B$4:$B$22,MATCH(I933,$A$4:$A$22,0)))</f>
        <v>0.51</v>
      </c>
      <c r="V933" s="367" t="n">
        <f aca="false">IF('Reverse Search'!$C$7="Disable",1,IF('Reverse Search'!$D$11="Disable",1,IF('Reverse Search'!$E$11="Neutral to:",IF(ROUND(T933*U933,2)&lt;=1,1,0),IF(ROUND(T933*U933,2)&lt;1,1,0))))</f>
        <v>1</v>
      </c>
      <c r="W933" s="0" t="n">
        <f aca="false">IF('Reverse Search'!$N$7="Disable",1,IF('Reverse Search'!$I$9="Disable",1,IF('Reverse Search'!$K$9="≥",IF(J933&gt;='Reverse Search'!$L$9,1,0),IF('Reverse Search'!$K$9="≤",IF(J933&lt;='Reverse Search'!$L$9,1,0),IF(J933='Reverse Search'!$L$9,1,0)))))</f>
        <v>1</v>
      </c>
      <c r="X933" s="0" t="n">
        <f aca="false">IF('Reverse Search'!$N$7="Disable",1,IF('Reverse Search'!$I$10="Disable",1,IF('Reverse Search'!$K$10="≥",IF(K933&gt;='Reverse Search'!$L$10,1,0),IF('Reverse Search'!$K$10="≤",IF(K933&lt;='Reverse Search'!$L$10,1,0),IF(K933='Reverse Search'!$L$10,1,0)))))</f>
        <v>1</v>
      </c>
      <c r="Y933" s="367" t="n">
        <f aca="false">IF('Reverse Search'!$N$7="Disable",1,IF('Reverse Search'!$I$11="Disable",1,IF('Reverse Search'!$K$11="≥",IF(L933&gt;='Reverse Search'!$L$11,1,0),IF('Reverse Search'!$K$11="≤",IF(L933&lt;='Reverse Search'!$L$11,1,0),IF(L933='Reverse Search'!$L$11,1,0)))))</f>
        <v>1</v>
      </c>
      <c r="Z933" s="0" t="n">
        <f aca="true">IF('Reverse Search'!$C$14="Disable",1,IF('Reverse Search'!$D$16="Disable",1,IF($C$2=3,IF($M933=0,0,COUNTIF(INDIRECT("'0.0.2 Pokémon Learnset (Core)'!$D$"&amp;MATCH($E933,'0.0.2 Pokémon Learnset (Core)'!$A$1:$A951,0)&amp;":$FK$"&amp;MATCH($E933,'0.0.2 Pokémon Learnset (Core)'!$A$1:$A951,0)),'Reverse Search'!$E$21)),IF($C$2=2,COUNTIF(INDIRECT("'0.1.1 Pokémon GO Moves'!$B$"&amp;MATCH($E933,'0.1.1 Pokémon GO Moves'!$A$1:$A951,0)&amp;":$R$"&amp;MATCH($E933,'0.1.1 Pokémon GO Moves'!$A$1:$A951,0)),'Reverse Search'!$E$21),COUNTIF(INDIRECT("'0.1.1 Pokémon GO Moves'!$B$"&amp;MATCH($E933,'0.1.1 Pokémon GO Moves'!$A$1:$A951,0)&amp;":$L$"&amp;MATCH($E933,'0.1.1 Pokémon GO Moves'!$A$1:$A951,0)),'Reverse Search'!$E$21)))))</f>
        <v>1</v>
      </c>
      <c r="AA933" s="0" t="n">
        <f aca="true">IF('Reverse Search'!$C$14="Disable",1,IF('Reverse Search'!$I$16="Disable",1,IF($D$2=3,IF($M933=0,0,COUNTIF(INDIRECT("'0.0.2 Pokémon Learnset (Core)'!$D$"&amp;MATCH($E933,'0.0.2 Pokémon Learnset (Core)'!$A$1:$A951,0)&amp;":$FK$"&amp;MATCH($E933,'0.0.2 Pokémon Learnset (Core)'!$A$1:$A951,0)),'Reverse Search'!$J$21)),IF($D$2=2,COUNTIF(INDIRECT("'0.1.1 Pokémon GO Moves'!$B$"&amp;MATCH($E933,'0.1.1 Pokémon GO Moves'!$A$1:$A951,0)&amp;":$R$"&amp;MATCH($E933,'0.1.1 Pokémon GO Moves'!$A$1:$A951,0)),'Reverse Search'!$J$21),COUNTIF(INDIRECT("'0.1.1 Pokémon GO Moves'!$B$"&amp;MATCH($E933,'0.1.1 Pokémon GO Moves'!$A$1:$A951,0)&amp;":$L$"&amp;MATCH($E933,'0.1.1 Pokémon GO Moves'!$A$1:$A951,0)),'Reverse Search'!$J$21)))))</f>
        <v>0</v>
      </c>
      <c r="AB933" s="490"/>
      <c r="AC933" s="260" t="n">
        <f aca="false">IF((Q933+R933+S933+V933+W933+X933+Y933+IF(Z933&gt;=1,1,0)+IF(AA933&gt;=1,1,0))=9,G933&amp;", ",)</f>
        <v>0</v>
      </c>
    </row>
    <row r="934" customFormat="false" ht="15.75" hidden="false" customHeight="false" outlineLevel="0" collapsed="false">
      <c r="A934" s="260"/>
      <c r="B934" s="358"/>
      <c r="C934" s="260"/>
      <c r="D934" s="358"/>
      <c r="E934" s="260" t="n">
        <v>933</v>
      </c>
      <c r="F934" s="260" t="n">
        <f aca="false" t="array" ref="F934:F934">INDEX('0.0.1 Pokémon Dex Data'!$H$3:$H951,MATCH(E934,'0.0.1 Pokémon Dex Data'!$B$3:$B951,0))</f>
        <v>0</v>
      </c>
      <c r="G934" s="0" t="str">
        <f aca="false" t="array" ref="G934:G934">INDEX('0.0.1 Pokémon Dex Data'!$E$3:$E951,MATCH(E934,'0.0.1 Pokémon Dex Data'!$B$3:$B951,0))</f>
        <v>Nihilego</v>
      </c>
      <c r="H934" s="0" t="str">
        <f aca="false" t="array" ref="H934:H934">INDEX('0.0.1 Pokémon Dex Data'!$Q$3:$Q951,MATCH(E934,'0.0.1 Pokémon Dex Data'!$B$3:$B951,0))</f>
        <v>Rock</v>
      </c>
      <c r="I934" s="0" t="str">
        <f aca="false" t="array" ref="I934:I934">INDEX('0.0.1 Pokémon Dex Data'!$R$3:$R951,MATCH(E934,'0.0.1 Pokémon Dex Data'!$B$3:$B951,0))</f>
        <v>Poison</v>
      </c>
      <c r="J934" s="260" t="n">
        <f aca="false" t="array" ref="J934:J934">ROUND(INDEX('0.0.1 Pokémon Dex Data'!$S$3:$S951,MATCH($E934,'0.0.1 Pokémon Dex Data'!$B$3:$B951,0))*INDEX('0.0.1 Pokémon Dex Data'!T$3:T951,MATCH($E934,'0.0.1 Pokémon Dex Data'!$B$3:$B951,0)),0)</f>
        <v>226</v>
      </c>
      <c r="K934" s="260" t="n">
        <f aca="false" t="array" ref="K934:K934">ROUND(INDEX('0.0.1 Pokémon Dex Data'!$S$3:$S951,MATCH($E934,'0.0.1 Pokémon Dex Data'!$B$3:$B951,0))*INDEX('0.0.1 Pokémon Dex Data'!U$3:U951,MATCH($E934,'0.0.1 Pokémon Dex Data'!$B$3:$B951,0)),0)</f>
        <v>191</v>
      </c>
      <c r="L934" s="260" t="n">
        <f aca="false" t="array" ref="L934:L934">ROUND(INDEX('0.0.1 Pokémon Dex Data'!$S$3:$S951,MATCH($E934,'0.0.1 Pokémon Dex Data'!$B$3:$B951,0))*INDEX('0.0.1 Pokémon Dex Data'!V$3:V951,MATCH($E934,'0.0.1 Pokémon Dex Data'!$B$3:$B951,0)),0)</f>
        <v>218</v>
      </c>
      <c r="M934" s="260" t="n">
        <f aca="false" t="array" ref="M934:M934">INDEX('0.0.1 Pokémon Dex Data'!$J$3:$J951,MATCH(E934,'0.0.1 Pokémon Dex Data'!$B$3:$B951,0))</f>
        <v>1</v>
      </c>
      <c r="O934" s="490"/>
      <c r="Q934" s="367" t="n">
        <f aca="false">IF('Reverse Search'!$F$4="All (including temporary formes)",1,IF('Reverse Search'!$F$4="Base Pokémon and permanent formes only",IF(F934&lt;=1,1,0),IF(F934=0,1,0)))</f>
        <v>1</v>
      </c>
      <c r="R934" s="0" t="n">
        <f aca="false">IF('Reverse Search'!$C$7="Disable",1,IF('Reverse Search'!$D$9="Disable",1,IF(OR('Reverse Search'!$F$9=H934,'Reverse Search'!$F$9=I934),1,0)))</f>
        <v>1</v>
      </c>
      <c r="S934" s="0" t="n">
        <f aca="false">IF('Reverse Search'!$C$7="Disable",1,IF('Reverse Search'!$D$10="Disable",1,IF(OR('Reverse Search'!$F$10=H934,'Reverse Search'!$F$10=I934),1,0)))</f>
        <v>1</v>
      </c>
      <c r="T934" s="0" t="n">
        <f aca="false">INDEX($B$4:$B$22,MATCH(H934,$A$4:$A$22,0))</f>
        <v>0.714</v>
      </c>
      <c r="U934" s="0" t="n">
        <f aca="false">IF(ISBLANK(I934),1,INDEX($B$4:$B$22,MATCH(I934,$A$4:$A$22,0)))</f>
        <v>1</v>
      </c>
      <c r="V934" s="367" t="n">
        <f aca="false">IF('Reverse Search'!$C$7="Disable",1,IF('Reverse Search'!$D$11="Disable",1,IF('Reverse Search'!$E$11="Neutral to:",IF(ROUND(T934*U934,2)&lt;=1,1,0),IF(ROUND(T934*U934,2)&lt;1,1,0))))</f>
        <v>1</v>
      </c>
      <c r="W934" s="0" t="n">
        <f aca="false">IF('Reverse Search'!$N$7="Disable",1,IF('Reverse Search'!$I$9="Disable",1,IF('Reverse Search'!$K$9="≥",IF(J934&gt;='Reverse Search'!$L$9,1,0),IF('Reverse Search'!$K$9="≤",IF(J934&lt;='Reverse Search'!$L$9,1,0),IF(J934='Reverse Search'!$L$9,1,0)))))</f>
        <v>1</v>
      </c>
      <c r="X934" s="0" t="n">
        <f aca="false">IF('Reverse Search'!$N$7="Disable",1,IF('Reverse Search'!$I$10="Disable",1,IF('Reverse Search'!$K$10="≥",IF(K934&gt;='Reverse Search'!$L$10,1,0),IF('Reverse Search'!$K$10="≤",IF(K934&lt;='Reverse Search'!$L$10,1,0),IF(K934='Reverse Search'!$L$10,1,0)))))</f>
        <v>1</v>
      </c>
      <c r="Y934" s="367" t="n">
        <f aca="false">IF('Reverse Search'!$N$7="Disable",1,IF('Reverse Search'!$I$11="Disable",1,IF('Reverse Search'!$K$11="≥",IF(L934&gt;='Reverse Search'!$L$11,1,0),IF('Reverse Search'!$K$11="≤",IF(L934&lt;='Reverse Search'!$L$11,1,0),IF(L934='Reverse Search'!$L$11,1,0)))))</f>
        <v>1</v>
      </c>
      <c r="Z934" s="0" t="n">
        <f aca="true">IF('Reverse Search'!$C$14="Disable",1,IF('Reverse Search'!$D$16="Disable",1,IF($C$2=3,IF($M934=0,0,COUNTIF(INDIRECT("'0.0.2 Pokémon Learnset (Core)'!$D$"&amp;MATCH($E934,'0.0.2 Pokémon Learnset (Core)'!$A$1:$A951,0)&amp;":$FK$"&amp;MATCH($E934,'0.0.2 Pokémon Learnset (Core)'!$A$1:$A951,0)),'Reverse Search'!$E$21)),IF($C$2=2,COUNTIF(INDIRECT("'0.1.1 Pokémon GO Moves'!$B$"&amp;MATCH($E934,'0.1.1 Pokémon GO Moves'!$A$1:$A951,0)&amp;":$R$"&amp;MATCH($E934,'0.1.1 Pokémon GO Moves'!$A$1:$A951,0)),'Reverse Search'!$E$21),COUNTIF(INDIRECT("'0.1.1 Pokémon GO Moves'!$B$"&amp;MATCH($E934,'0.1.1 Pokémon GO Moves'!$A$1:$A951,0)&amp;":$L$"&amp;MATCH($E934,'0.1.1 Pokémon GO Moves'!$A$1:$A951,0)),'Reverse Search'!$E$21)))))</f>
        <v>1</v>
      </c>
      <c r="AA934" s="0" t="n">
        <f aca="true">IF('Reverse Search'!$C$14="Disable",1,IF('Reverse Search'!$I$16="Disable",1,IF($D$2=3,IF($M934=0,0,COUNTIF(INDIRECT("'0.0.2 Pokémon Learnset (Core)'!$D$"&amp;MATCH($E934,'0.0.2 Pokémon Learnset (Core)'!$A$1:$A951,0)&amp;":$FK$"&amp;MATCH($E934,'0.0.2 Pokémon Learnset (Core)'!$A$1:$A951,0)),'Reverse Search'!$J$21)),IF($D$2=2,COUNTIF(INDIRECT("'0.1.1 Pokémon GO Moves'!$B$"&amp;MATCH($E934,'0.1.1 Pokémon GO Moves'!$A$1:$A951,0)&amp;":$R$"&amp;MATCH($E934,'0.1.1 Pokémon GO Moves'!$A$1:$A951,0)),'Reverse Search'!$J$21),COUNTIF(INDIRECT("'0.1.1 Pokémon GO Moves'!$B$"&amp;MATCH($E934,'0.1.1 Pokémon GO Moves'!$A$1:$A951,0)&amp;":$L$"&amp;MATCH($E934,'0.1.1 Pokémon GO Moves'!$A$1:$A951,0)),'Reverse Search'!$J$21)))))</f>
        <v>0</v>
      </c>
      <c r="AB934" s="490"/>
      <c r="AC934" s="260" t="n">
        <f aca="false">IF((Q934+R934+S934+V934+W934+X934+Y934+IF(Z934&gt;=1,1,0)+IF(AA934&gt;=1,1,0))=9,G934&amp;", ",)</f>
        <v>0</v>
      </c>
    </row>
    <row r="935" customFormat="false" ht="15.75" hidden="false" customHeight="false" outlineLevel="0" collapsed="false">
      <c r="A935" s="260"/>
      <c r="B935" s="358"/>
      <c r="C935" s="260"/>
      <c r="D935" s="358"/>
      <c r="E935" s="260" t="n">
        <v>934</v>
      </c>
      <c r="F935" s="260" t="n">
        <f aca="false" t="array" ref="F935:F935">INDEX('0.0.1 Pokémon Dex Data'!$H$3:$H951,MATCH(E935,'0.0.1 Pokémon Dex Data'!$B$3:$B951,0))</f>
        <v>0</v>
      </c>
      <c r="G935" s="0" t="str">
        <f aca="false" t="array" ref="G935:G935">INDEX('0.0.1 Pokémon Dex Data'!$E$3:$E951,MATCH(E935,'0.0.1 Pokémon Dex Data'!$B$3:$B951,0))</f>
        <v>Buzzwole</v>
      </c>
      <c r="H935" s="0" t="str">
        <f aca="false" t="array" ref="H935:H935">INDEX('0.0.1 Pokémon Dex Data'!$Q$3:$Q951,MATCH(E935,'0.0.1 Pokémon Dex Data'!$B$3:$B951,0))</f>
        <v>Bug</v>
      </c>
      <c r="I935" s="0" t="str">
        <f aca="false" t="array" ref="I935:I935">INDEX('0.0.1 Pokémon Dex Data'!$R$3:$R951,MATCH(E935,'0.0.1 Pokémon Dex Data'!$B$3:$B951,0))</f>
        <v>Fighting</v>
      </c>
      <c r="J935" s="260" t="n">
        <f aca="false" t="array" ref="J935:J935">ROUND(INDEX('0.0.1 Pokémon Dex Data'!$S$3:$S951,MATCH($E935,'0.0.1 Pokémon Dex Data'!$B$3:$B951,0))*INDEX('0.0.1 Pokémon Dex Data'!T$3:T951,MATCH($E935,'0.0.1 Pokémon Dex Data'!$B$3:$B951,0)),0)</f>
        <v>235</v>
      </c>
      <c r="K935" s="260" t="n">
        <f aca="false" t="array" ref="K935:K935">ROUND(INDEX('0.0.1 Pokémon Dex Data'!$S$3:$S951,MATCH($E935,'0.0.1 Pokémon Dex Data'!$B$3:$B951,0))*INDEX('0.0.1 Pokémon Dex Data'!U$3:U951,MATCH($E935,'0.0.1 Pokémon Dex Data'!$B$3:$B951,0)),0)</f>
        <v>196</v>
      </c>
      <c r="L935" s="260" t="n">
        <f aca="false" t="array" ref="L935:L935">ROUND(INDEX('0.0.1 Pokémon Dex Data'!$S$3:$S951,MATCH($E935,'0.0.1 Pokémon Dex Data'!$B$3:$B951,0))*INDEX('0.0.1 Pokémon Dex Data'!V$3:V951,MATCH($E935,'0.0.1 Pokémon Dex Data'!$B$3:$B951,0)),0)</f>
        <v>215</v>
      </c>
      <c r="M935" s="260" t="n">
        <f aca="false" t="array" ref="M935:M935">INDEX('0.0.1 Pokémon Dex Data'!$J$3:$J951,MATCH(E935,'0.0.1 Pokémon Dex Data'!$B$3:$B951,0))</f>
        <v>1</v>
      </c>
      <c r="O935" s="490"/>
      <c r="Q935" s="367" t="n">
        <f aca="false">IF('Reverse Search'!$F$4="All (including temporary formes)",1,IF('Reverse Search'!$F$4="Base Pokémon and permanent formes only",IF(F935&lt;=1,1,0),IF(F935=0,1,0)))</f>
        <v>1</v>
      </c>
      <c r="R935" s="0" t="n">
        <f aca="false">IF('Reverse Search'!$C$7="Disable",1,IF('Reverse Search'!$D$9="Disable",1,IF(OR('Reverse Search'!$F$9=H935,'Reverse Search'!$F$9=I935),1,0)))</f>
        <v>1</v>
      </c>
      <c r="S935" s="0" t="n">
        <f aca="false">IF('Reverse Search'!$C$7="Disable",1,IF('Reverse Search'!$D$10="Disable",1,IF(OR('Reverse Search'!$F$10=H935,'Reverse Search'!$F$10=I935),1,0)))</f>
        <v>1</v>
      </c>
      <c r="T935" s="0" t="n">
        <f aca="false">INDEX($B$4:$B$22,MATCH(H935,$A$4:$A$22,0))</f>
        <v>1</v>
      </c>
      <c r="U935" s="0" t="n">
        <f aca="false">IF(ISBLANK(I935),1,INDEX($B$4:$B$22,MATCH(I935,$A$4:$A$22,0)))</f>
        <v>1</v>
      </c>
      <c r="V935" s="367" t="n">
        <f aca="false">IF('Reverse Search'!$C$7="Disable",1,IF('Reverse Search'!$D$11="Disable",1,IF('Reverse Search'!$E$11="Neutral to:",IF(ROUND(T935*U935,2)&lt;=1,1,0),IF(ROUND(T935*U935,2)&lt;1,1,0))))</f>
        <v>1</v>
      </c>
      <c r="W935" s="0" t="n">
        <f aca="false">IF('Reverse Search'!$N$7="Disable",1,IF('Reverse Search'!$I$9="Disable",1,IF('Reverse Search'!$K$9="≥",IF(J935&gt;='Reverse Search'!$L$9,1,0),IF('Reverse Search'!$K$9="≤",IF(J935&lt;='Reverse Search'!$L$9,1,0),IF(J935='Reverse Search'!$L$9,1,0)))))</f>
        <v>1</v>
      </c>
      <c r="X935" s="0" t="n">
        <f aca="false">IF('Reverse Search'!$N$7="Disable",1,IF('Reverse Search'!$I$10="Disable",1,IF('Reverse Search'!$K$10="≥",IF(K935&gt;='Reverse Search'!$L$10,1,0),IF('Reverse Search'!$K$10="≤",IF(K935&lt;='Reverse Search'!$L$10,1,0),IF(K935='Reverse Search'!$L$10,1,0)))))</f>
        <v>1</v>
      </c>
      <c r="Y935" s="367" t="n">
        <f aca="false">IF('Reverse Search'!$N$7="Disable",1,IF('Reverse Search'!$I$11="Disable",1,IF('Reverse Search'!$K$11="≥",IF(L935&gt;='Reverse Search'!$L$11,1,0),IF('Reverse Search'!$K$11="≤",IF(L935&lt;='Reverse Search'!$L$11,1,0),IF(L935='Reverse Search'!$L$11,1,0)))))</f>
        <v>1</v>
      </c>
      <c r="Z935" s="0" t="n">
        <f aca="true">IF('Reverse Search'!$C$14="Disable",1,IF('Reverse Search'!$D$16="Disable",1,IF($C$2=3,IF($M935=0,0,COUNTIF(INDIRECT("'0.0.2 Pokémon Learnset (Core)'!$D$"&amp;MATCH($E935,'0.0.2 Pokémon Learnset (Core)'!$A$1:$A951,0)&amp;":$FK$"&amp;MATCH($E935,'0.0.2 Pokémon Learnset (Core)'!$A$1:$A951,0)),'Reverse Search'!$E$21)),IF($C$2=2,COUNTIF(INDIRECT("'0.1.1 Pokémon GO Moves'!$B$"&amp;MATCH($E935,'0.1.1 Pokémon GO Moves'!$A$1:$A951,0)&amp;":$R$"&amp;MATCH($E935,'0.1.1 Pokémon GO Moves'!$A$1:$A951,0)),'Reverse Search'!$E$21),COUNTIF(INDIRECT("'0.1.1 Pokémon GO Moves'!$B$"&amp;MATCH($E935,'0.1.1 Pokémon GO Moves'!$A$1:$A951,0)&amp;":$L$"&amp;MATCH($E935,'0.1.1 Pokémon GO Moves'!$A$1:$A951,0)),'Reverse Search'!$E$21)))))</f>
        <v>1</v>
      </c>
      <c r="AA935" s="0" t="n">
        <f aca="true">IF('Reverse Search'!$C$14="Disable",1,IF('Reverse Search'!$I$16="Disable",1,IF($D$2=3,IF($M935=0,0,COUNTIF(INDIRECT("'0.0.2 Pokémon Learnset (Core)'!$D$"&amp;MATCH($E935,'0.0.2 Pokémon Learnset (Core)'!$A$1:$A951,0)&amp;":$FK$"&amp;MATCH($E935,'0.0.2 Pokémon Learnset (Core)'!$A$1:$A951,0)),'Reverse Search'!$J$21)),IF($D$2=2,COUNTIF(INDIRECT("'0.1.1 Pokémon GO Moves'!$B$"&amp;MATCH($E935,'0.1.1 Pokémon GO Moves'!$A$1:$A951,0)&amp;":$R$"&amp;MATCH($E935,'0.1.1 Pokémon GO Moves'!$A$1:$A951,0)),'Reverse Search'!$J$21),COUNTIF(INDIRECT("'0.1.1 Pokémon GO Moves'!$B$"&amp;MATCH($E935,'0.1.1 Pokémon GO Moves'!$A$1:$A951,0)&amp;":$L$"&amp;MATCH($E935,'0.1.1 Pokémon GO Moves'!$A$1:$A951,0)),'Reverse Search'!$J$21)))))</f>
        <v>0</v>
      </c>
      <c r="AB935" s="490"/>
      <c r="AC935" s="260" t="n">
        <f aca="false">IF((Q935+R935+S935+V935+W935+X935+Y935+IF(Z935&gt;=1,1,0)+IF(AA935&gt;=1,1,0))=9,G935&amp;", ",)</f>
        <v>0</v>
      </c>
    </row>
    <row r="936" customFormat="false" ht="15.75" hidden="false" customHeight="false" outlineLevel="0" collapsed="false">
      <c r="A936" s="260"/>
      <c r="B936" s="358"/>
      <c r="C936" s="260"/>
      <c r="D936" s="358"/>
      <c r="E936" s="260" t="n">
        <v>935</v>
      </c>
      <c r="F936" s="260" t="n">
        <f aca="false" t="array" ref="F936:F936">INDEX('0.0.1 Pokémon Dex Data'!$H$3:$H951,MATCH(E936,'0.0.1 Pokémon Dex Data'!$B$3:$B951,0))</f>
        <v>0</v>
      </c>
      <c r="G936" s="0" t="str">
        <f aca="false" t="array" ref="G936:G936">INDEX('0.0.1 Pokémon Dex Data'!$E$3:$E951,MATCH(E936,'0.0.1 Pokémon Dex Data'!$B$3:$B951,0))</f>
        <v>Pheromosa</v>
      </c>
      <c r="H936" s="0" t="str">
        <f aca="false" t="array" ref="H936:H936">INDEX('0.0.1 Pokémon Dex Data'!$Q$3:$Q951,MATCH(E936,'0.0.1 Pokémon Dex Data'!$B$3:$B951,0))</f>
        <v>Bug</v>
      </c>
      <c r="I936" s="0" t="str">
        <f aca="false" t="array" ref="I936:I936">INDEX('0.0.1 Pokémon Dex Data'!$R$3:$R951,MATCH(E936,'0.0.1 Pokémon Dex Data'!$B$3:$B951,0))</f>
        <v>Fighting</v>
      </c>
      <c r="J936" s="260" t="n">
        <f aca="false" t="array" ref="J936:J936">ROUND(INDEX('0.0.1 Pokémon Dex Data'!$S$3:$S951,MATCH($E936,'0.0.1 Pokémon Dex Data'!$B$3:$B951,0))*INDEX('0.0.1 Pokémon Dex Data'!T$3:T951,MATCH($E936,'0.0.1 Pokémon Dex Data'!$B$3:$B951,0)),0)</f>
        <v>316</v>
      </c>
      <c r="K936" s="260" t="n">
        <f aca="false" t="array" ref="K936:K936">ROUND(INDEX('0.0.1 Pokémon Dex Data'!$S$3:$S951,MATCH($E936,'0.0.1 Pokémon Dex Data'!$B$3:$B951,0))*INDEX('0.0.1 Pokémon Dex Data'!U$3:U951,MATCH($E936,'0.0.1 Pokémon Dex Data'!$B$3:$B951,0)),0)</f>
        <v>85</v>
      </c>
      <c r="L936" s="260" t="n">
        <f aca="false" t="array" ref="L936:L936">ROUND(INDEX('0.0.1 Pokémon Dex Data'!$S$3:$S951,MATCH($E936,'0.0.1 Pokémon Dex Data'!$B$3:$B951,0))*INDEX('0.0.1 Pokémon Dex Data'!V$3:V951,MATCH($E936,'0.0.1 Pokémon Dex Data'!$B$3:$B951,0)),0)</f>
        <v>174</v>
      </c>
      <c r="M936" s="260" t="n">
        <f aca="false" t="array" ref="M936:M936">INDEX('0.0.1 Pokémon Dex Data'!$J$3:$J951,MATCH(E936,'0.0.1 Pokémon Dex Data'!$B$3:$B951,0))</f>
        <v>1</v>
      </c>
      <c r="O936" s="490"/>
      <c r="Q936" s="367" t="n">
        <f aca="false">IF('Reverse Search'!$F$4="All (including temporary formes)",1,IF('Reverse Search'!$F$4="Base Pokémon and permanent formes only",IF(F936&lt;=1,1,0),IF(F936=0,1,0)))</f>
        <v>1</v>
      </c>
      <c r="R936" s="0" t="n">
        <f aca="false">IF('Reverse Search'!$C$7="Disable",1,IF('Reverse Search'!$D$9="Disable",1,IF(OR('Reverse Search'!$F$9=H936,'Reverse Search'!$F$9=I936),1,0)))</f>
        <v>1</v>
      </c>
      <c r="S936" s="0" t="n">
        <f aca="false">IF('Reverse Search'!$C$7="Disable",1,IF('Reverse Search'!$D$10="Disable",1,IF(OR('Reverse Search'!$F$10=H936,'Reverse Search'!$F$10=I936),1,0)))</f>
        <v>1</v>
      </c>
      <c r="T936" s="0" t="n">
        <f aca="false">INDEX($B$4:$B$22,MATCH(H936,$A$4:$A$22,0))</f>
        <v>1</v>
      </c>
      <c r="U936" s="0" t="n">
        <f aca="false">IF(ISBLANK(I936),1,INDEX($B$4:$B$22,MATCH(I936,$A$4:$A$22,0)))</f>
        <v>1</v>
      </c>
      <c r="V936" s="367" t="n">
        <f aca="false">IF('Reverse Search'!$C$7="Disable",1,IF('Reverse Search'!$D$11="Disable",1,IF('Reverse Search'!$E$11="Neutral to:",IF(ROUND(T936*U936,2)&lt;=1,1,0),IF(ROUND(T936*U936,2)&lt;1,1,0))))</f>
        <v>1</v>
      </c>
      <c r="W936" s="0" t="n">
        <f aca="false">IF('Reverse Search'!$N$7="Disable",1,IF('Reverse Search'!$I$9="Disable",1,IF('Reverse Search'!$K$9="≥",IF(J936&gt;='Reverse Search'!$L$9,1,0),IF('Reverse Search'!$K$9="≤",IF(J936&lt;='Reverse Search'!$L$9,1,0),IF(J936='Reverse Search'!$L$9,1,0)))))</f>
        <v>1</v>
      </c>
      <c r="X936" s="0" t="n">
        <f aca="false">IF('Reverse Search'!$N$7="Disable",1,IF('Reverse Search'!$I$10="Disable",1,IF('Reverse Search'!$K$10="≥",IF(K936&gt;='Reverse Search'!$L$10,1,0),IF('Reverse Search'!$K$10="≤",IF(K936&lt;='Reverse Search'!$L$10,1,0),IF(K936='Reverse Search'!$L$10,1,0)))))</f>
        <v>1</v>
      </c>
      <c r="Y936" s="367" t="n">
        <f aca="false">IF('Reverse Search'!$N$7="Disable",1,IF('Reverse Search'!$I$11="Disable",1,IF('Reverse Search'!$K$11="≥",IF(L936&gt;='Reverse Search'!$L$11,1,0),IF('Reverse Search'!$K$11="≤",IF(L936&lt;='Reverse Search'!$L$11,1,0),IF(L936='Reverse Search'!$L$11,1,0)))))</f>
        <v>1</v>
      </c>
      <c r="Z936" s="0" t="n">
        <f aca="true">IF('Reverse Search'!$C$14="Disable",1,IF('Reverse Search'!$D$16="Disable",1,IF($C$2=3,IF($M936=0,0,COUNTIF(INDIRECT("'0.0.2 Pokémon Learnset (Core)'!$D$"&amp;MATCH($E936,'0.0.2 Pokémon Learnset (Core)'!$A$1:$A951,0)&amp;":$FK$"&amp;MATCH($E936,'0.0.2 Pokémon Learnset (Core)'!$A$1:$A951,0)),'Reverse Search'!$E$21)),IF($C$2=2,COUNTIF(INDIRECT("'0.1.1 Pokémon GO Moves'!$B$"&amp;MATCH($E936,'0.1.1 Pokémon GO Moves'!$A$1:$A951,0)&amp;":$R$"&amp;MATCH($E936,'0.1.1 Pokémon GO Moves'!$A$1:$A951,0)),'Reverse Search'!$E$21),COUNTIF(INDIRECT("'0.1.1 Pokémon GO Moves'!$B$"&amp;MATCH($E936,'0.1.1 Pokémon GO Moves'!$A$1:$A951,0)&amp;":$L$"&amp;MATCH($E936,'0.1.1 Pokémon GO Moves'!$A$1:$A951,0)),'Reverse Search'!$E$21)))))</f>
        <v>1</v>
      </c>
      <c r="AA936" s="0" t="n">
        <f aca="true">IF('Reverse Search'!$C$14="Disable",1,IF('Reverse Search'!$I$16="Disable",1,IF($D$2=3,IF($M936=0,0,COUNTIF(INDIRECT("'0.0.2 Pokémon Learnset (Core)'!$D$"&amp;MATCH($E936,'0.0.2 Pokémon Learnset (Core)'!$A$1:$A951,0)&amp;":$FK$"&amp;MATCH($E936,'0.0.2 Pokémon Learnset (Core)'!$A$1:$A951,0)),'Reverse Search'!$J$21)),IF($D$2=2,COUNTIF(INDIRECT("'0.1.1 Pokémon GO Moves'!$B$"&amp;MATCH($E936,'0.1.1 Pokémon GO Moves'!$A$1:$A951,0)&amp;":$R$"&amp;MATCH($E936,'0.1.1 Pokémon GO Moves'!$A$1:$A951,0)),'Reverse Search'!$J$21),COUNTIF(INDIRECT("'0.1.1 Pokémon GO Moves'!$B$"&amp;MATCH($E936,'0.1.1 Pokémon GO Moves'!$A$1:$A951,0)&amp;":$L$"&amp;MATCH($E936,'0.1.1 Pokémon GO Moves'!$A$1:$A951,0)),'Reverse Search'!$J$21)))))</f>
        <v>0</v>
      </c>
      <c r="AB936" s="490"/>
      <c r="AC936" s="260" t="n">
        <f aca="false">IF((Q936+R936+S936+V936+W936+X936+Y936+IF(Z936&gt;=1,1,0)+IF(AA936&gt;=1,1,0))=9,G936&amp;", ",)</f>
        <v>0</v>
      </c>
    </row>
    <row r="937" customFormat="false" ht="15.75" hidden="false" customHeight="false" outlineLevel="0" collapsed="false">
      <c r="A937" s="260"/>
      <c r="B937" s="358"/>
      <c r="C937" s="260"/>
      <c r="D937" s="358"/>
      <c r="E937" s="260" t="n">
        <v>936</v>
      </c>
      <c r="F937" s="260" t="n">
        <f aca="false" t="array" ref="F937:F937">INDEX('0.0.1 Pokémon Dex Data'!$H$3:$H951,MATCH(E937,'0.0.1 Pokémon Dex Data'!$B$3:$B951,0))</f>
        <v>0</v>
      </c>
      <c r="G937" s="0" t="str">
        <f aca="false" t="array" ref="G937:G937">INDEX('0.0.1 Pokémon Dex Data'!$E$3:$E951,MATCH(E937,'0.0.1 Pokémon Dex Data'!$B$3:$B951,0))</f>
        <v>Xurkitree</v>
      </c>
      <c r="H937" s="0" t="str">
        <f aca="false" t="array" ref="H937:H937">INDEX('0.0.1 Pokémon Dex Data'!$Q$3:$Q951,MATCH(E937,'0.0.1 Pokémon Dex Data'!$B$3:$B951,0))</f>
        <v>Electric</v>
      </c>
      <c r="I937" s="0" t="n">
        <f aca="false">INDEX('0.0.1 Pokémon Dex Data'!$R$3:$R951,MATCH(E937,'0.0.1 Pokémon Dex Data'!$B$3:$B951,0))</f>
        <v>0</v>
      </c>
      <c r="J937" s="260" t="n">
        <f aca="false" t="array" ref="J937:J937">ROUND(INDEX('0.0.1 Pokémon Dex Data'!$S$3:$S951,MATCH($E937,'0.0.1 Pokémon Dex Data'!$B$3:$B951,0))*INDEX('0.0.1 Pokémon Dex Data'!T$3:T951,MATCH($E937,'0.0.1 Pokémon Dex Data'!$B$3:$B951,0)),0)</f>
        <v>330</v>
      </c>
      <c r="K937" s="260" t="n">
        <f aca="false" t="array" ref="K937:K937">ROUND(INDEX('0.0.1 Pokémon Dex Data'!$S$3:$S951,MATCH($E937,'0.0.1 Pokémon Dex Data'!$B$3:$B951,0))*INDEX('0.0.1 Pokémon Dex Data'!U$3:U951,MATCH($E937,'0.0.1 Pokémon Dex Data'!$B$3:$B951,0)),0)</f>
        <v>144</v>
      </c>
      <c r="L937" s="260" t="n">
        <f aca="false" t="array" ref="L937:L937">ROUND(INDEX('0.0.1 Pokémon Dex Data'!$S$3:$S951,MATCH($E937,'0.0.1 Pokémon Dex Data'!$B$3:$B951,0))*INDEX('0.0.1 Pokémon Dex Data'!V$3:V951,MATCH($E937,'0.0.1 Pokémon Dex Data'!$B$3:$B951,0)),0)</f>
        <v>195</v>
      </c>
      <c r="M937" s="260" t="n">
        <f aca="false" t="array" ref="M937:M937">INDEX('0.0.1 Pokémon Dex Data'!$J$3:$J951,MATCH(E937,'0.0.1 Pokémon Dex Data'!$B$3:$B951,0))</f>
        <v>1</v>
      </c>
      <c r="O937" s="490"/>
      <c r="Q937" s="367" t="n">
        <f aca="false">IF('Reverse Search'!$F$4="All (including temporary formes)",1,IF('Reverse Search'!$F$4="Base Pokémon and permanent formes only",IF(F937&lt;=1,1,0),IF(F937=0,1,0)))</f>
        <v>1</v>
      </c>
      <c r="R937" s="0" t="n">
        <f aca="false">IF('Reverse Search'!$C$7="Disable",1,IF('Reverse Search'!$D$9="Disable",1,IF(OR('Reverse Search'!$F$9=H937,'Reverse Search'!$F$9=I937),1,0)))</f>
        <v>1</v>
      </c>
      <c r="S937" s="0" t="n">
        <f aca="false">IF('Reverse Search'!$C$7="Disable",1,IF('Reverse Search'!$D$10="Disable",1,IF(OR('Reverse Search'!$F$10=H937,'Reverse Search'!$F$10=I937),1,0)))</f>
        <v>1</v>
      </c>
      <c r="T937" s="0" t="n">
        <f aca="false">INDEX($B$4:$B$22,MATCH(H937,$A$4:$A$22,0))</f>
        <v>1</v>
      </c>
      <c r="U937" s="0" t="e">
        <f aca="false">IF(ISBLANK(I937),1,INDEX($B$4:$B$22,MATCH(I937,$A$4:$A$22,0)))</f>
        <v>#N/A</v>
      </c>
      <c r="V937" s="367" t="n">
        <f aca="false">IF('Reverse Search'!$C$7="Disable",1,IF('Reverse Search'!$D$11="Disable",1,IF('Reverse Search'!$E$11="Neutral to:",IF(ROUND(T937*U937,2)&lt;=1,1,0),IF(ROUND(T937*U937,2)&lt;1,1,0))))</f>
        <v>1</v>
      </c>
      <c r="W937" s="0" t="n">
        <f aca="false">IF('Reverse Search'!$N$7="Disable",1,IF('Reverse Search'!$I$9="Disable",1,IF('Reverse Search'!$K$9="≥",IF(J937&gt;='Reverse Search'!$L$9,1,0),IF('Reverse Search'!$K$9="≤",IF(J937&lt;='Reverse Search'!$L$9,1,0),IF(J937='Reverse Search'!$L$9,1,0)))))</f>
        <v>1</v>
      </c>
      <c r="X937" s="0" t="n">
        <f aca="false">IF('Reverse Search'!$N$7="Disable",1,IF('Reverse Search'!$I$10="Disable",1,IF('Reverse Search'!$K$10="≥",IF(K937&gt;='Reverse Search'!$L$10,1,0),IF('Reverse Search'!$K$10="≤",IF(K937&lt;='Reverse Search'!$L$10,1,0),IF(K937='Reverse Search'!$L$10,1,0)))))</f>
        <v>1</v>
      </c>
      <c r="Y937" s="367" t="n">
        <f aca="false">IF('Reverse Search'!$N$7="Disable",1,IF('Reverse Search'!$I$11="Disable",1,IF('Reverse Search'!$K$11="≥",IF(L937&gt;='Reverse Search'!$L$11,1,0),IF('Reverse Search'!$K$11="≤",IF(L937&lt;='Reverse Search'!$L$11,1,0),IF(L937='Reverse Search'!$L$11,1,0)))))</f>
        <v>1</v>
      </c>
      <c r="Z937" s="0" t="n">
        <f aca="true">IF('Reverse Search'!$C$14="Disable",1,IF('Reverse Search'!$D$16="Disable",1,IF($C$2=3,IF($M937=0,0,COUNTIF(INDIRECT("'0.0.2 Pokémon Learnset (Core)'!$D$"&amp;MATCH($E937,'0.0.2 Pokémon Learnset (Core)'!$A$1:$A951,0)&amp;":$FK$"&amp;MATCH($E937,'0.0.2 Pokémon Learnset (Core)'!$A$1:$A951,0)),'Reverse Search'!$E$21)),IF($C$2=2,COUNTIF(INDIRECT("'0.1.1 Pokémon GO Moves'!$B$"&amp;MATCH($E937,'0.1.1 Pokémon GO Moves'!$A$1:$A951,0)&amp;":$R$"&amp;MATCH($E937,'0.1.1 Pokémon GO Moves'!$A$1:$A951,0)),'Reverse Search'!$E$21),COUNTIF(INDIRECT("'0.1.1 Pokémon GO Moves'!$B$"&amp;MATCH($E937,'0.1.1 Pokémon GO Moves'!$A$1:$A951,0)&amp;":$L$"&amp;MATCH($E937,'0.1.1 Pokémon GO Moves'!$A$1:$A951,0)),'Reverse Search'!$E$21)))))</f>
        <v>1</v>
      </c>
      <c r="AA937" s="0" t="n">
        <f aca="true">IF('Reverse Search'!$C$14="Disable",1,IF('Reverse Search'!$I$16="Disable",1,IF($D$2=3,IF($M937=0,0,COUNTIF(INDIRECT("'0.0.2 Pokémon Learnset (Core)'!$D$"&amp;MATCH($E937,'0.0.2 Pokémon Learnset (Core)'!$A$1:$A951,0)&amp;":$FK$"&amp;MATCH($E937,'0.0.2 Pokémon Learnset (Core)'!$A$1:$A951,0)),'Reverse Search'!$J$21)),IF($D$2=2,COUNTIF(INDIRECT("'0.1.1 Pokémon GO Moves'!$B$"&amp;MATCH($E937,'0.1.1 Pokémon GO Moves'!$A$1:$A951,0)&amp;":$R$"&amp;MATCH($E937,'0.1.1 Pokémon GO Moves'!$A$1:$A951,0)),'Reverse Search'!$J$21),COUNTIF(INDIRECT("'0.1.1 Pokémon GO Moves'!$B$"&amp;MATCH($E937,'0.1.1 Pokémon GO Moves'!$A$1:$A951,0)&amp;":$L$"&amp;MATCH($E937,'0.1.1 Pokémon GO Moves'!$A$1:$A951,0)),'Reverse Search'!$J$21)))))</f>
        <v>0</v>
      </c>
      <c r="AB937" s="490"/>
      <c r="AC937" s="260" t="n">
        <f aca="false">IF((Q937+R937+S937+V937+W937+X937+Y937+IF(Z937&gt;=1,1,0)+IF(AA937&gt;=1,1,0))=9,G937&amp;", ",)</f>
        <v>0</v>
      </c>
    </row>
    <row r="938" customFormat="false" ht="15.75" hidden="false" customHeight="false" outlineLevel="0" collapsed="false">
      <c r="A938" s="260"/>
      <c r="B938" s="358"/>
      <c r="C938" s="260"/>
      <c r="D938" s="358"/>
      <c r="E938" s="260" t="n">
        <v>937</v>
      </c>
      <c r="F938" s="260" t="n">
        <f aca="false" t="array" ref="F938:F938">INDEX('0.0.1 Pokémon Dex Data'!$H$3:$H951,MATCH(E938,'0.0.1 Pokémon Dex Data'!$B$3:$B951,0))</f>
        <v>0</v>
      </c>
      <c r="G938" s="0" t="str">
        <f aca="false" t="array" ref="G938:G938">INDEX('0.0.1 Pokémon Dex Data'!$E$3:$E951,MATCH(E938,'0.0.1 Pokémon Dex Data'!$B$3:$B951,0))</f>
        <v>Celesteela</v>
      </c>
      <c r="H938" s="0" t="str">
        <f aca="false" t="array" ref="H938:H938">INDEX('0.0.1 Pokémon Dex Data'!$Q$3:$Q951,MATCH(E938,'0.0.1 Pokémon Dex Data'!$B$3:$B951,0))</f>
        <v>Steel</v>
      </c>
      <c r="I938" s="0" t="str">
        <f aca="false" t="array" ref="I938:I938">INDEX('0.0.1 Pokémon Dex Data'!$R$3:$R951,MATCH(E938,'0.0.1 Pokémon Dex Data'!$B$3:$B951,0))</f>
        <v>Flying</v>
      </c>
      <c r="J938" s="260" t="n">
        <f aca="false" t="array" ref="J938:J938">ROUND(INDEX('0.0.1 Pokémon Dex Data'!$S$3:$S951,MATCH($E938,'0.0.1 Pokémon Dex Data'!$B$3:$B951,0))*INDEX('0.0.1 Pokémon Dex Data'!T$3:T951,MATCH($E938,'0.0.1 Pokémon Dex Data'!$B$3:$B951,0)),0)</f>
        <v>207</v>
      </c>
      <c r="K938" s="260" t="n">
        <f aca="false" t="array" ref="K938:K938">ROUND(INDEX('0.0.1 Pokémon Dex Data'!$S$3:$S951,MATCH($E938,'0.0.1 Pokémon Dex Data'!$B$3:$B951,0))*INDEX('0.0.1 Pokémon Dex Data'!U$3:U951,MATCH($E938,'0.0.1 Pokémon Dex Data'!$B$3:$B951,0)),0)</f>
        <v>199</v>
      </c>
      <c r="L938" s="260" t="n">
        <f aca="false" t="array" ref="L938:L938">ROUND(INDEX('0.0.1 Pokémon Dex Data'!$S$3:$S951,MATCH($E938,'0.0.1 Pokémon Dex Data'!$B$3:$B951,0))*INDEX('0.0.1 Pokémon Dex Data'!V$3:V951,MATCH($E938,'0.0.1 Pokémon Dex Data'!$B$3:$B951,0)),0)</f>
        <v>219</v>
      </c>
      <c r="M938" s="260" t="n">
        <f aca="false" t="array" ref="M938:M938">INDEX('0.0.1 Pokémon Dex Data'!$J$3:$J951,MATCH(E938,'0.0.1 Pokémon Dex Data'!$B$3:$B951,0))</f>
        <v>1</v>
      </c>
      <c r="O938" s="490"/>
      <c r="Q938" s="367" t="n">
        <f aca="false">IF('Reverse Search'!$F$4="All (including temporary formes)",1,IF('Reverse Search'!$F$4="Base Pokémon and permanent formes only",IF(F938&lt;=1,1,0),IF(F938=0,1,0)))</f>
        <v>1</v>
      </c>
      <c r="R938" s="0" t="n">
        <f aca="false">IF('Reverse Search'!$C$7="Disable",1,IF('Reverse Search'!$D$9="Disable",1,IF(OR('Reverse Search'!$F$9=H938,'Reverse Search'!$F$9=I938),1,0)))</f>
        <v>1</v>
      </c>
      <c r="S938" s="0" t="n">
        <f aca="false">IF('Reverse Search'!$C$7="Disable",1,IF('Reverse Search'!$D$10="Disable",1,IF(OR('Reverse Search'!$F$10=H938,'Reverse Search'!$F$10=I938),1,0)))</f>
        <v>1</v>
      </c>
      <c r="T938" s="0" t="n">
        <f aca="false">INDEX($B$4:$B$22,MATCH(H938,$A$4:$A$22,0))</f>
        <v>0.714</v>
      </c>
      <c r="U938" s="0" t="n">
        <f aca="false">IF(ISBLANK(I938),1,INDEX($B$4:$B$22,MATCH(I938,$A$4:$A$22,0)))</f>
        <v>1</v>
      </c>
      <c r="V938" s="367" t="n">
        <f aca="false">IF('Reverse Search'!$C$7="Disable",1,IF('Reverse Search'!$D$11="Disable",1,IF('Reverse Search'!$E$11="Neutral to:",IF(ROUND(T938*U938,2)&lt;=1,1,0),IF(ROUND(T938*U938,2)&lt;1,1,0))))</f>
        <v>1</v>
      </c>
      <c r="W938" s="0" t="n">
        <f aca="false">IF('Reverse Search'!$N$7="Disable",1,IF('Reverse Search'!$I$9="Disable",1,IF('Reverse Search'!$K$9="≥",IF(J938&gt;='Reverse Search'!$L$9,1,0),IF('Reverse Search'!$K$9="≤",IF(J938&lt;='Reverse Search'!$L$9,1,0),IF(J938='Reverse Search'!$L$9,1,0)))))</f>
        <v>1</v>
      </c>
      <c r="X938" s="0" t="n">
        <f aca="false">IF('Reverse Search'!$N$7="Disable",1,IF('Reverse Search'!$I$10="Disable",1,IF('Reverse Search'!$K$10="≥",IF(K938&gt;='Reverse Search'!$L$10,1,0),IF('Reverse Search'!$K$10="≤",IF(K938&lt;='Reverse Search'!$L$10,1,0),IF(K938='Reverse Search'!$L$10,1,0)))))</f>
        <v>1</v>
      </c>
      <c r="Y938" s="367" t="n">
        <f aca="false">IF('Reverse Search'!$N$7="Disable",1,IF('Reverse Search'!$I$11="Disable",1,IF('Reverse Search'!$K$11="≥",IF(L938&gt;='Reverse Search'!$L$11,1,0),IF('Reverse Search'!$K$11="≤",IF(L938&lt;='Reverse Search'!$L$11,1,0),IF(L938='Reverse Search'!$L$11,1,0)))))</f>
        <v>1</v>
      </c>
      <c r="Z938" s="0" t="n">
        <f aca="true">IF('Reverse Search'!$C$14="Disable",1,IF('Reverse Search'!$D$16="Disable",1,IF($C$2=3,IF($M938=0,0,COUNTIF(INDIRECT("'0.0.2 Pokémon Learnset (Core)'!$D$"&amp;MATCH($E938,'0.0.2 Pokémon Learnset (Core)'!$A$1:$A951,0)&amp;":$FK$"&amp;MATCH($E938,'0.0.2 Pokémon Learnset (Core)'!$A$1:$A951,0)),'Reverse Search'!$E$21)),IF($C$2=2,COUNTIF(INDIRECT("'0.1.1 Pokémon GO Moves'!$B$"&amp;MATCH($E938,'0.1.1 Pokémon GO Moves'!$A$1:$A951,0)&amp;":$R$"&amp;MATCH($E938,'0.1.1 Pokémon GO Moves'!$A$1:$A951,0)),'Reverse Search'!$E$21),COUNTIF(INDIRECT("'0.1.1 Pokémon GO Moves'!$B$"&amp;MATCH($E938,'0.1.1 Pokémon GO Moves'!$A$1:$A951,0)&amp;":$L$"&amp;MATCH($E938,'0.1.1 Pokémon GO Moves'!$A$1:$A951,0)),'Reverse Search'!$E$21)))))</f>
        <v>1</v>
      </c>
      <c r="AA938" s="0" t="n">
        <f aca="true">IF('Reverse Search'!$C$14="Disable",1,IF('Reverse Search'!$I$16="Disable",1,IF($D$2=3,IF($M938=0,0,COUNTIF(INDIRECT("'0.0.2 Pokémon Learnset (Core)'!$D$"&amp;MATCH($E938,'0.0.2 Pokémon Learnset (Core)'!$A$1:$A951,0)&amp;":$FK$"&amp;MATCH($E938,'0.0.2 Pokémon Learnset (Core)'!$A$1:$A951,0)),'Reverse Search'!$J$21)),IF($D$2=2,COUNTIF(INDIRECT("'0.1.1 Pokémon GO Moves'!$B$"&amp;MATCH($E938,'0.1.1 Pokémon GO Moves'!$A$1:$A951,0)&amp;":$R$"&amp;MATCH($E938,'0.1.1 Pokémon GO Moves'!$A$1:$A951,0)),'Reverse Search'!$J$21),COUNTIF(INDIRECT("'0.1.1 Pokémon GO Moves'!$B$"&amp;MATCH($E938,'0.1.1 Pokémon GO Moves'!$A$1:$A951,0)&amp;":$L$"&amp;MATCH($E938,'0.1.1 Pokémon GO Moves'!$A$1:$A951,0)),'Reverse Search'!$J$21)))))</f>
        <v>0</v>
      </c>
      <c r="AB938" s="490"/>
      <c r="AC938" s="260" t="n">
        <f aca="false">IF((Q938+R938+S938+V938+W938+X938+Y938+IF(Z938&gt;=1,1,0)+IF(AA938&gt;=1,1,0))=9,G938&amp;", ",)</f>
        <v>0</v>
      </c>
    </row>
    <row r="939" customFormat="false" ht="15.75" hidden="false" customHeight="false" outlineLevel="0" collapsed="false">
      <c r="A939" s="260"/>
      <c r="B939" s="358"/>
      <c r="C939" s="260"/>
      <c r="D939" s="358"/>
      <c r="E939" s="260" t="n">
        <v>938</v>
      </c>
      <c r="F939" s="260" t="n">
        <f aca="false" t="array" ref="F939:F939">INDEX('0.0.1 Pokémon Dex Data'!$H$3:$H951,MATCH(E939,'0.0.1 Pokémon Dex Data'!$B$3:$B951,0))</f>
        <v>0</v>
      </c>
      <c r="G939" s="0" t="str">
        <f aca="false" t="array" ref="G939:G939">INDEX('0.0.1 Pokémon Dex Data'!$E$3:$E951,MATCH(E939,'0.0.1 Pokémon Dex Data'!$B$3:$B951,0))</f>
        <v>Kartana</v>
      </c>
      <c r="H939" s="0" t="str">
        <f aca="false" t="array" ref="H939:H939">INDEX('0.0.1 Pokémon Dex Data'!$Q$3:$Q951,MATCH(E939,'0.0.1 Pokémon Dex Data'!$B$3:$B951,0))</f>
        <v>Grass</v>
      </c>
      <c r="I939" s="0" t="str">
        <f aca="false" t="array" ref="I939:I939">INDEX('0.0.1 Pokémon Dex Data'!$R$3:$R951,MATCH(E939,'0.0.1 Pokémon Dex Data'!$B$3:$B951,0))</f>
        <v>Steel</v>
      </c>
      <c r="J939" s="260" t="n">
        <f aca="false" t="array" ref="J939:J939">ROUND(INDEX('0.0.1 Pokémon Dex Data'!$S$3:$S951,MATCH($E939,'0.0.1 Pokémon Dex Data'!$B$3:$B951,0))*INDEX('0.0.1 Pokémon Dex Data'!T$3:T951,MATCH($E939,'0.0.1 Pokémon Dex Data'!$B$3:$B951,0)),0)</f>
        <v>323</v>
      </c>
      <c r="K939" s="260" t="n">
        <f aca="false" t="array" ref="K939:K939">ROUND(INDEX('0.0.1 Pokémon Dex Data'!$S$3:$S951,MATCH($E939,'0.0.1 Pokémon Dex Data'!$B$3:$B951,0))*INDEX('0.0.1 Pokémon Dex Data'!U$3:U951,MATCH($E939,'0.0.1 Pokémon Dex Data'!$B$3:$B951,0)),0)</f>
        <v>182</v>
      </c>
      <c r="L939" s="260" t="n">
        <f aca="false" t="array" ref="L939:L939">ROUND(INDEX('0.0.1 Pokémon Dex Data'!$S$3:$S951,MATCH($E939,'0.0.1 Pokémon Dex Data'!$B$3:$B951,0))*INDEX('0.0.1 Pokémon Dex Data'!V$3:V951,MATCH($E939,'0.0.1 Pokémon Dex Data'!$B$3:$B951,0)),0)</f>
        <v>139</v>
      </c>
      <c r="M939" s="260" t="n">
        <f aca="false" t="array" ref="M939:M939">INDEX('0.0.1 Pokémon Dex Data'!$J$3:$J951,MATCH(E939,'0.0.1 Pokémon Dex Data'!$B$3:$B951,0))</f>
        <v>1</v>
      </c>
      <c r="O939" s="490"/>
      <c r="Q939" s="367" t="n">
        <f aca="false">IF('Reverse Search'!$F$4="All (including temporary formes)",1,IF('Reverse Search'!$F$4="Base Pokémon and permanent formes only",IF(F939&lt;=1,1,0),IF(F939=0,1,0)))</f>
        <v>1</v>
      </c>
      <c r="R939" s="0" t="n">
        <f aca="false">IF('Reverse Search'!$C$7="Disable",1,IF('Reverse Search'!$D$9="Disable",1,IF(OR('Reverse Search'!$F$9=H939,'Reverse Search'!$F$9=I939),1,0)))</f>
        <v>1</v>
      </c>
      <c r="S939" s="0" t="n">
        <f aca="false">IF('Reverse Search'!$C$7="Disable",1,IF('Reverse Search'!$D$10="Disable",1,IF(OR('Reverse Search'!$F$10=H939,'Reverse Search'!$F$10=I939),1,0)))</f>
        <v>1</v>
      </c>
      <c r="T939" s="0" t="n">
        <f aca="false">INDEX($B$4:$B$22,MATCH(H939,$A$4:$A$22,0))</f>
        <v>1</v>
      </c>
      <c r="U939" s="0" t="n">
        <f aca="false">IF(ISBLANK(I939),1,INDEX($B$4:$B$22,MATCH(I939,$A$4:$A$22,0)))</f>
        <v>0.714</v>
      </c>
      <c r="V939" s="367" t="n">
        <f aca="false">IF('Reverse Search'!$C$7="Disable",1,IF('Reverse Search'!$D$11="Disable",1,IF('Reverse Search'!$E$11="Neutral to:",IF(ROUND(T939*U939,2)&lt;=1,1,0),IF(ROUND(T939*U939,2)&lt;1,1,0))))</f>
        <v>1</v>
      </c>
      <c r="W939" s="0" t="n">
        <f aca="false">IF('Reverse Search'!$N$7="Disable",1,IF('Reverse Search'!$I$9="Disable",1,IF('Reverse Search'!$K$9="≥",IF(J939&gt;='Reverse Search'!$L$9,1,0),IF('Reverse Search'!$K$9="≤",IF(J939&lt;='Reverse Search'!$L$9,1,0),IF(J939='Reverse Search'!$L$9,1,0)))))</f>
        <v>1</v>
      </c>
      <c r="X939" s="0" t="n">
        <f aca="false">IF('Reverse Search'!$N$7="Disable",1,IF('Reverse Search'!$I$10="Disable",1,IF('Reverse Search'!$K$10="≥",IF(K939&gt;='Reverse Search'!$L$10,1,0),IF('Reverse Search'!$K$10="≤",IF(K939&lt;='Reverse Search'!$L$10,1,0),IF(K939='Reverse Search'!$L$10,1,0)))))</f>
        <v>1</v>
      </c>
      <c r="Y939" s="367" t="n">
        <f aca="false">IF('Reverse Search'!$N$7="Disable",1,IF('Reverse Search'!$I$11="Disable",1,IF('Reverse Search'!$K$11="≥",IF(L939&gt;='Reverse Search'!$L$11,1,0),IF('Reverse Search'!$K$11="≤",IF(L939&lt;='Reverse Search'!$L$11,1,0),IF(L939='Reverse Search'!$L$11,1,0)))))</f>
        <v>1</v>
      </c>
      <c r="Z939" s="0" t="n">
        <f aca="true">IF('Reverse Search'!$C$14="Disable",1,IF('Reverse Search'!$D$16="Disable",1,IF($C$2=3,IF($M939=0,0,COUNTIF(INDIRECT("'0.0.2 Pokémon Learnset (Core)'!$D$"&amp;MATCH($E939,'0.0.2 Pokémon Learnset (Core)'!$A$1:$A951,0)&amp;":$FK$"&amp;MATCH($E939,'0.0.2 Pokémon Learnset (Core)'!$A$1:$A951,0)),'Reverse Search'!$E$21)),IF($C$2=2,COUNTIF(INDIRECT("'0.1.1 Pokémon GO Moves'!$B$"&amp;MATCH($E939,'0.1.1 Pokémon GO Moves'!$A$1:$A951,0)&amp;":$R$"&amp;MATCH($E939,'0.1.1 Pokémon GO Moves'!$A$1:$A951,0)),'Reverse Search'!$E$21),COUNTIF(INDIRECT("'0.1.1 Pokémon GO Moves'!$B$"&amp;MATCH($E939,'0.1.1 Pokémon GO Moves'!$A$1:$A951,0)&amp;":$L$"&amp;MATCH($E939,'0.1.1 Pokémon GO Moves'!$A$1:$A951,0)),'Reverse Search'!$E$21)))))</f>
        <v>1</v>
      </c>
      <c r="AA939" s="0" t="n">
        <f aca="true">IF('Reverse Search'!$C$14="Disable",1,IF('Reverse Search'!$I$16="Disable",1,IF($D$2=3,IF($M939=0,0,COUNTIF(INDIRECT("'0.0.2 Pokémon Learnset (Core)'!$D$"&amp;MATCH($E939,'0.0.2 Pokémon Learnset (Core)'!$A$1:$A951,0)&amp;":$FK$"&amp;MATCH($E939,'0.0.2 Pokémon Learnset (Core)'!$A$1:$A951,0)),'Reverse Search'!$J$21)),IF($D$2=2,COUNTIF(INDIRECT("'0.1.1 Pokémon GO Moves'!$B$"&amp;MATCH($E939,'0.1.1 Pokémon GO Moves'!$A$1:$A951,0)&amp;":$R$"&amp;MATCH($E939,'0.1.1 Pokémon GO Moves'!$A$1:$A951,0)),'Reverse Search'!$J$21),COUNTIF(INDIRECT("'0.1.1 Pokémon GO Moves'!$B$"&amp;MATCH($E939,'0.1.1 Pokémon GO Moves'!$A$1:$A951,0)&amp;":$L$"&amp;MATCH($E939,'0.1.1 Pokémon GO Moves'!$A$1:$A951,0)),'Reverse Search'!$J$21)))))</f>
        <v>0</v>
      </c>
      <c r="AB939" s="490"/>
      <c r="AC939" s="260" t="n">
        <f aca="false">IF((Q939+R939+S939+V939+W939+X939+Y939+IF(Z939&gt;=1,1,0)+IF(AA939&gt;=1,1,0))=9,G939&amp;", ",)</f>
        <v>0</v>
      </c>
    </row>
    <row r="940" customFormat="false" ht="15.75" hidden="false" customHeight="false" outlineLevel="0" collapsed="false">
      <c r="A940" s="260"/>
      <c r="B940" s="358"/>
      <c r="C940" s="260"/>
      <c r="D940" s="358"/>
      <c r="E940" s="260" t="n">
        <v>939</v>
      </c>
      <c r="F940" s="260" t="n">
        <f aca="false" t="array" ref="F940:F940">INDEX('0.0.1 Pokémon Dex Data'!$H$3:$H951,MATCH(E940,'0.0.1 Pokémon Dex Data'!$B$3:$B951,0))</f>
        <v>0</v>
      </c>
      <c r="G940" s="0" t="str">
        <f aca="false" t="array" ref="G940:G940">INDEX('0.0.1 Pokémon Dex Data'!$E$3:$E951,MATCH(E940,'0.0.1 Pokémon Dex Data'!$B$3:$B951,0))</f>
        <v>Guzzlord</v>
      </c>
      <c r="H940" s="0" t="str">
        <f aca="false" t="array" ref="H940:H940">INDEX('0.0.1 Pokémon Dex Data'!$Q$3:$Q951,MATCH(E940,'0.0.1 Pokémon Dex Data'!$B$3:$B951,0))</f>
        <v>Dark</v>
      </c>
      <c r="I940" s="0" t="str">
        <f aca="false" t="array" ref="I940:I940">INDEX('0.0.1 Pokémon Dex Data'!$R$3:$R951,MATCH(E940,'0.0.1 Pokémon Dex Data'!$B$3:$B951,0))</f>
        <v>Dragon</v>
      </c>
      <c r="J940" s="260" t="n">
        <f aca="false" t="array" ref="J940:J940">ROUND(INDEX('0.0.1 Pokémon Dex Data'!$S$3:$S951,MATCH($E940,'0.0.1 Pokémon Dex Data'!$B$3:$B951,0))*INDEX('0.0.1 Pokémon Dex Data'!T$3:T951,MATCH($E940,'0.0.1 Pokémon Dex Data'!$B$3:$B951,0)),0)</f>
        <v>188</v>
      </c>
      <c r="K940" s="260" t="n">
        <f aca="false" t="array" ref="K940:K940">ROUND(INDEX('0.0.1 Pokémon Dex Data'!$S$3:$S951,MATCH($E940,'0.0.1 Pokémon Dex Data'!$B$3:$B951,0))*INDEX('0.0.1 Pokémon Dex Data'!U$3:U951,MATCH($E940,'0.0.1 Pokémon Dex Data'!$B$3:$B951,0)),0)</f>
        <v>99</v>
      </c>
      <c r="L940" s="260" t="n">
        <f aca="false" t="array" ref="L940:L940">ROUND(INDEX('0.0.1 Pokémon Dex Data'!$S$3:$S951,MATCH($E940,'0.0.1 Pokémon Dex Data'!$B$3:$B951,0))*INDEX('0.0.1 Pokémon Dex Data'!V$3:V951,MATCH($E940,'0.0.1 Pokémon Dex Data'!$B$3:$B951,0)),0)</f>
        <v>440</v>
      </c>
      <c r="M940" s="260" t="n">
        <f aca="false" t="array" ref="M940:M940">INDEX('0.0.1 Pokémon Dex Data'!$J$3:$J951,MATCH(E940,'0.0.1 Pokémon Dex Data'!$B$3:$B951,0))</f>
        <v>1</v>
      </c>
      <c r="O940" s="490"/>
      <c r="Q940" s="367" t="n">
        <f aca="false">IF('Reverse Search'!$F$4="All (including temporary formes)",1,IF('Reverse Search'!$F$4="Base Pokémon and permanent formes only",IF(F940&lt;=1,1,0),IF(F940=0,1,0)))</f>
        <v>1</v>
      </c>
      <c r="R940" s="0" t="n">
        <f aca="false">IF('Reverse Search'!$C$7="Disable",1,IF('Reverse Search'!$D$9="Disable",1,IF(OR('Reverse Search'!$F$9=H940,'Reverse Search'!$F$9=I940),1,0)))</f>
        <v>1</v>
      </c>
      <c r="S940" s="0" t="n">
        <f aca="false">IF('Reverse Search'!$C$7="Disable",1,IF('Reverse Search'!$D$10="Disable",1,IF(OR('Reverse Search'!$F$10=H940,'Reverse Search'!$F$10=I940),1,0)))</f>
        <v>1</v>
      </c>
      <c r="T940" s="0" t="n">
        <f aca="false">INDEX($B$4:$B$22,MATCH(H940,$A$4:$A$22,0))</f>
        <v>1</v>
      </c>
      <c r="U940" s="0" t="n">
        <f aca="false">IF(ISBLANK(I940),1,INDEX($B$4:$B$22,MATCH(I940,$A$4:$A$22,0)))</f>
        <v>1</v>
      </c>
      <c r="V940" s="367" t="n">
        <f aca="false">IF('Reverse Search'!$C$7="Disable",1,IF('Reverse Search'!$D$11="Disable",1,IF('Reverse Search'!$E$11="Neutral to:",IF(ROUND(T940*U940,2)&lt;=1,1,0),IF(ROUND(T940*U940,2)&lt;1,1,0))))</f>
        <v>1</v>
      </c>
      <c r="W940" s="0" t="n">
        <f aca="false">IF('Reverse Search'!$N$7="Disable",1,IF('Reverse Search'!$I$9="Disable",1,IF('Reverse Search'!$K$9="≥",IF(J940&gt;='Reverse Search'!$L$9,1,0),IF('Reverse Search'!$K$9="≤",IF(J940&lt;='Reverse Search'!$L$9,1,0),IF(J940='Reverse Search'!$L$9,1,0)))))</f>
        <v>1</v>
      </c>
      <c r="X940" s="0" t="n">
        <f aca="false">IF('Reverse Search'!$N$7="Disable",1,IF('Reverse Search'!$I$10="Disable",1,IF('Reverse Search'!$K$10="≥",IF(K940&gt;='Reverse Search'!$L$10,1,0),IF('Reverse Search'!$K$10="≤",IF(K940&lt;='Reverse Search'!$L$10,1,0),IF(K940='Reverse Search'!$L$10,1,0)))))</f>
        <v>1</v>
      </c>
      <c r="Y940" s="367" t="n">
        <f aca="false">IF('Reverse Search'!$N$7="Disable",1,IF('Reverse Search'!$I$11="Disable",1,IF('Reverse Search'!$K$11="≥",IF(L940&gt;='Reverse Search'!$L$11,1,0),IF('Reverse Search'!$K$11="≤",IF(L940&lt;='Reverse Search'!$L$11,1,0),IF(L940='Reverse Search'!$L$11,1,0)))))</f>
        <v>1</v>
      </c>
      <c r="Z940" s="0" t="n">
        <f aca="true">IF('Reverse Search'!$C$14="Disable",1,IF('Reverse Search'!$D$16="Disable",1,IF($C$2=3,IF($M940=0,0,COUNTIF(INDIRECT("'0.0.2 Pokémon Learnset (Core)'!$D$"&amp;MATCH($E940,'0.0.2 Pokémon Learnset (Core)'!$A$1:$A951,0)&amp;":$FK$"&amp;MATCH($E940,'0.0.2 Pokémon Learnset (Core)'!$A$1:$A951,0)),'Reverse Search'!$E$21)),IF($C$2=2,COUNTIF(INDIRECT("'0.1.1 Pokémon GO Moves'!$B$"&amp;MATCH($E940,'0.1.1 Pokémon GO Moves'!$A$1:$A951,0)&amp;":$R$"&amp;MATCH($E940,'0.1.1 Pokémon GO Moves'!$A$1:$A951,0)),'Reverse Search'!$E$21),COUNTIF(INDIRECT("'0.1.1 Pokémon GO Moves'!$B$"&amp;MATCH($E940,'0.1.1 Pokémon GO Moves'!$A$1:$A951,0)&amp;":$L$"&amp;MATCH($E940,'0.1.1 Pokémon GO Moves'!$A$1:$A951,0)),'Reverse Search'!$E$21)))))</f>
        <v>1</v>
      </c>
      <c r="AA940" s="0" t="n">
        <f aca="true">IF('Reverse Search'!$C$14="Disable",1,IF('Reverse Search'!$I$16="Disable",1,IF($D$2=3,IF($M940=0,0,COUNTIF(INDIRECT("'0.0.2 Pokémon Learnset (Core)'!$D$"&amp;MATCH($E940,'0.0.2 Pokémon Learnset (Core)'!$A$1:$A951,0)&amp;":$FK$"&amp;MATCH($E940,'0.0.2 Pokémon Learnset (Core)'!$A$1:$A951,0)),'Reverse Search'!$J$21)),IF($D$2=2,COUNTIF(INDIRECT("'0.1.1 Pokémon GO Moves'!$B$"&amp;MATCH($E940,'0.1.1 Pokémon GO Moves'!$A$1:$A951,0)&amp;":$R$"&amp;MATCH($E940,'0.1.1 Pokémon GO Moves'!$A$1:$A951,0)),'Reverse Search'!$J$21),COUNTIF(INDIRECT("'0.1.1 Pokémon GO Moves'!$B$"&amp;MATCH($E940,'0.1.1 Pokémon GO Moves'!$A$1:$A951,0)&amp;":$L$"&amp;MATCH($E940,'0.1.1 Pokémon GO Moves'!$A$1:$A951,0)),'Reverse Search'!$J$21)))))</f>
        <v>0</v>
      </c>
      <c r="AB940" s="490"/>
      <c r="AC940" s="260" t="n">
        <f aca="false">IF((Q940+R940+S940+V940+W940+X940+Y940+IF(Z940&gt;=1,1,0)+IF(AA940&gt;=1,1,0))=9,G940&amp;", ",)</f>
        <v>0</v>
      </c>
    </row>
    <row r="941" customFormat="false" ht="15.75" hidden="false" customHeight="false" outlineLevel="0" collapsed="false">
      <c r="A941" s="260"/>
      <c r="B941" s="358"/>
      <c r="C941" s="260"/>
      <c r="D941" s="358"/>
      <c r="E941" s="260" t="n">
        <v>940</v>
      </c>
      <c r="F941" s="260" t="n">
        <f aca="false" t="array" ref="F941:F941">INDEX('0.0.1 Pokémon Dex Data'!$H$3:$H951,MATCH(E941,'0.0.1 Pokémon Dex Data'!$B$3:$B951,0))</f>
        <v>0</v>
      </c>
      <c r="G941" s="0" t="str">
        <f aca="false" t="array" ref="G941:G941">INDEX('0.0.1 Pokémon Dex Data'!$E$3:$E951,MATCH(E941,'0.0.1 Pokémon Dex Data'!$B$3:$B951,0))</f>
        <v>Necrozma</v>
      </c>
      <c r="H941" s="0" t="str">
        <f aca="false" t="array" ref="H941:H941">INDEX('0.0.1 Pokémon Dex Data'!$Q$3:$Q951,MATCH(E941,'0.0.1 Pokémon Dex Data'!$B$3:$B951,0))</f>
        <v>Psychic</v>
      </c>
      <c r="I941" s="0" t="n">
        <f aca="false">INDEX('0.0.1 Pokémon Dex Data'!$R$3:$R951,MATCH(E941,'0.0.1 Pokémon Dex Data'!$B$3:$B951,0))</f>
        <v>0</v>
      </c>
      <c r="J941" s="260" t="n">
        <f aca="false" t="array" ref="J941:J941">ROUND(INDEX('0.0.1 Pokémon Dex Data'!$S$3:$S951,MATCH($E941,'0.0.1 Pokémon Dex Data'!$B$3:$B951,0))*INDEX('0.0.1 Pokémon Dex Data'!T$3:T951,MATCH($E941,'0.0.1 Pokémon Dex Data'!$B$3:$B951,0)),0)</f>
        <v>228</v>
      </c>
      <c r="K941" s="260" t="n">
        <f aca="false" t="array" ref="K941:K941">ROUND(INDEX('0.0.1 Pokémon Dex Data'!$S$3:$S951,MATCH($E941,'0.0.1 Pokémon Dex Data'!$B$3:$B951,0))*INDEX('0.0.1 Pokémon Dex Data'!U$3:U951,MATCH($E941,'0.0.1 Pokémon Dex Data'!$B$3:$B951,0)),0)</f>
        <v>177</v>
      </c>
      <c r="L941" s="260" t="n">
        <f aca="false" t="array" ref="L941:L941">ROUND(INDEX('0.0.1 Pokémon Dex Data'!$S$3:$S951,MATCH($E941,'0.0.1 Pokémon Dex Data'!$B$3:$B951,0))*INDEX('0.0.1 Pokémon Dex Data'!V$3:V951,MATCH($E941,'0.0.1 Pokémon Dex Data'!$B$3:$B951,0)),0)</f>
        <v>199</v>
      </c>
      <c r="M941" s="260" t="n">
        <f aca="false" t="array" ref="M941:M941">INDEX('0.0.1 Pokémon Dex Data'!$J$3:$J951,MATCH(E941,'0.0.1 Pokémon Dex Data'!$B$3:$B951,0))</f>
        <v>1</v>
      </c>
      <c r="O941" s="490"/>
      <c r="Q941" s="367" t="n">
        <f aca="false">IF('Reverse Search'!$F$4="All (including temporary formes)",1,IF('Reverse Search'!$F$4="Base Pokémon and permanent formes only",IF(F941&lt;=1,1,0),IF(F941=0,1,0)))</f>
        <v>1</v>
      </c>
      <c r="R941" s="0" t="n">
        <f aca="false">IF('Reverse Search'!$C$7="Disable",1,IF('Reverse Search'!$D$9="Disable",1,IF(OR('Reverse Search'!$F$9=H941,'Reverse Search'!$F$9=I941),1,0)))</f>
        <v>1</v>
      </c>
      <c r="S941" s="0" t="n">
        <f aca="false">IF('Reverse Search'!$C$7="Disable",1,IF('Reverse Search'!$D$10="Disable",1,IF(OR('Reverse Search'!$F$10=H941,'Reverse Search'!$F$10=I941),1,0)))</f>
        <v>1</v>
      </c>
      <c r="T941" s="0" t="n">
        <f aca="false">INDEX($B$4:$B$22,MATCH(H941,$A$4:$A$22,0))</f>
        <v>1</v>
      </c>
      <c r="U941" s="0" t="e">
        <f aca="false">IF(ISBLANK(I941),1,INDEX($B$4:$B$22,MATCH(I941,$A$4:$A$22,0)))</f>
        <v>#N/A</v>
      </c>
      <c r="V941" s="367" t="n">
        <f aca="false">IF('Reverse Search'!$C$7="Disable",1,IF('Reverse Search'!$D$11="Disable",1,IF('Reverse Search'!$E$11="Neutral to:",IF(ROUND(T941*U941,2)&lt;=1,1,0),IF(ROUND(T941*U941,2)&lt;1,1,0))))</f>
        <v>1</v>
      </c>
      <c r="W941" s="0" t="n">
        <f aca="false">IF('Reverse Search'!$N$7="Disable",1,IF('Reverse Search'!$I$9="Disable",1,IF('Reverse Search'!$K$9="≥",IF(J941&gt;='Reverse Search'!$L$9,1,0),IF('Reverse Search'!$K$9="≤",IF(J941&lt;='Reverse Search'!$L$9,1,0),IF(J941='Reverse Search'!$L$9,1,0)))))</f>
        <v>1</v>
      </c>
      <c r="X941" s="0" t="n">
        <f aca="false">IF('Reverse Search'!$N$7="Disable",1,IF('Reverse Search'!$I$10="Disable",1,IF('Reverse Search'!$K$10="≥",IF(K941&gt;='Reverse Search'!$L$10,1,0),IF('Reverse Search'!$K$10="≤",IF(K941&lt;='Reverse Search'!$L$10,1,0),IF(K941='Reverse Search'!$L$10,1,0)))))</f>
        <v>1</v>
      </c>
      <c r="Y941" s="367" t="n">
        <f aca="false">IF('Reverse Search'!$N$7="Disable",1,IF('Reverse Search'!$I$11="Disable",1,IF('Reverse Search'!$K$11="≥",IF(L941&gt;='Reverse Search'!$L$11,1,0),IF('Reverse Search'!$K$11="≤",IF(L941&lt;='Reverse Search'!$L$11,1,0),IF(L941='Reverse Search'!$L$11,1,0)))))</f>
        <v>1</v>
      </c>
      <c r="Z941" s="0" t="n">
        <f aca="true">IF('Reverse Search'!$C$14="Disable",1,IF('Reverse Search'!$D$16="Disable",1,IF($C$2=3,IF($M941=0,0,COUNTIF(INDIRECT("'0.0.2 Pokémon Learnset (Core)'!$D$"&amp;MATCH($E941,'0.0.2 Pokémon Learnset (Core)'!$A$1:$A951,0)&amp;":$FK$"&amp;MATCH($E941,'0.0.2 Pokémon Learnset (Core)'!$A$1:$A951,0)),'Reverse Search'!$E$21)),IF($C$2=2,COUNTIF(INDIRECT("'0.1.1 Pokémon GO Moves'!$B$"&amp;MATCH($E941,'0.1.1 Pokémon GO Moves'!$A$1:$A951,0)&amp;":$R$"&amp;MATCH($E941,'0.1.1 Pokémon GO Moves'!$A$1:$A951,0)),'Reverse Search'!$E$21),COUNTIF(INDIRECT("'0.1.1 Pokémon GO Moves'!$B$"&amp;MATCH($E941,'0.1.1 Pokémon GO Moves'!$A$1:$A951,0)&amp;":$L$"&amp;MATCH($E941,'0.1.1 Pokémon GO Moves'!$A$1:$A951,0)),'Reverse Search'!$E$21)))))</f>
        <v>1</v>
      </c>
      <c r="AA941" s="0" t="n">
        <f aca="true">IF('Reverse Search'!$C$14="Disable",1,IF('Reverse Search'!$I$16="Disable",1,IF($D$2=3,IF($M941=0,0,COUNTIF(INDIRECT("'0.0.2 Pokémon Learnset (Core)'!$D$"&amp;MATCH($E941,'0.0.2 Pokémon Learnset (Core)'!$A$1:$A951,0)&amp;":$FK$"&amp;MATCH($E941,'0.0.2 Pokémon Learnset (Core)'!$A$1:$A951,0)),'Reverse Search'!$J$21)),IF($D$2=2,COUNTIF(INDIRECT("'0.1.1 Pokémon GO Moves'!$B$"&amp;MATCH($E941,'0.1.1 Pokémon GO Moves'!$A$1:$A951,0)&amp;":$R$"&amp;MATCH($E941,'0.1.1 Pokémon GO Moves'!$A$1:$A951,0)),'Reverse Search'!$J$21),COUNTIF(INDIRECT("'0.1.1 Pokémon GO Moves'!$B$"&amp;MATCH($E941,'0.1.1 Pokémon GO Moves'!$A$1:$A951,0)&amp;":$L$"&amp;MATCH($E941,'0.1.1 Pokémon GO Moves'!$A$1:$A951,0)),'Reverse Search'!$J$21)))))</f>
        <v>0</v>
      </c>
      <c r="AB941" s="490"/>
      <c r="AC941" s="260" t="n">
        <f aca="false">IF((Q941+R941+S941+V941+W941+X941+Y941+IF(Z941&gt;=1,1,0)+IF(AA941&gt;=1,1,0))=9,G941&amp;", ",)</f>
        <v>0</v>
      </c>
    </row>
    <row r="942" customFormat="false" ht="15.75" hidden="false" customHeight="false" outlineLevel="0" collapsed="false">
      <c r="A942" s="260"/>
      <c r="B942" s="358"/>
      <c r="C942" s="260"/>
      <c r="D942" s="358"/>
      <c r="E942" s="260" t="n">
        <v>941</v>
      </c>
      <c r="F942" s="260" t="n">
        <f aca="false" t="array" ref="F942:F942">INDEX('0.0.1 Pokémon Dex Data'!$H$3:$H951,MATCH(E942,'0.0.1 Pokémon Dex Data'!$B$3:$B951,0))</f>
        <v>1</v>
      </c>
      <c r="G942" s="0" t="str">
        <f aca="false" t="array" ref="G942:G942">INDEX('0.0.1 Pokémon Dex Data'!$E$3:$E951,MATCH(E942,'0.0.1 Pokémon Dex Data'!$B$3:$B951,0))</f>
        <v>Necrozma-Dusk-Mane</v>
      </c>
      <c r="H942" s="0" t="str">
        <f aca="false" t="array" ref="H942:H942">INDEX('0.0.1 Pokémon Dex Data'!$Q$3:$Q951,MATCH(E942,'0.0.1 Pokémon Dex Data'!$B$3:$B951,0))</f>
        <v>Psychic</v>
      </c>
      <c r="I942" s="0" t="str">
        <f aca="false" t="array" ref="I942:I942">INDEX('0.0.1 Pokémon Dex Data'!$R$3:$R951,MATCH(E942,'0.0.1 Pokémon Dex Data'!$B$3:$B951,0))</f>
        <v>Steel</v>
      </c>
      <c r="J942" s="260" t="n">
        <f aca="false" t="array" ref="J942:J942">ROUND(INDEX('0.0.1 Pokémon Dex Data'!$S$3:$S951,MATCH($E942,'0.0.1 Pokémon Dex Data'!$B$3:$B951,0))*INDEX('0.0.1 Pokémon Dex Data'!T$3:T951,MATCH($E942,'0.0.1 Pokémon Dex Data'!$B$3:$B951,0)),0)</f>
        <v>276</v>
      </c>
      <c r="K942" s="260" t="n">
        <f aca="false" t="array" ref="K942:K942">ROUND(INDEX('0.0.1 Pokémon Dex Data'!$S$3:$S951,MATCH($E942,'0.0.1 Pokémon Dex Data'!$B$3:$B951,0))*INDEX('0.0.1 Pokémon Dex Data'!U$3:U951,MATCH($E942,'0.0.1 Pokémon Dex Data'!$B$3:$B951,0)),0)</f>
        <v>220</v>
      </c>
      <c r="L942" s="260" t="n">
        <f aca="false" t="array" ref="L942:L942">ROUND(INDEX('0.0.1 Pokémon Dex Data'!$S$3:$S951,MATCH($E942,'0.0.1 Pokémon Dex Data'!$B$3:$B951,0))*INDEX('0.0.1 Pokémon Dex Data'!V$3:V951,MATCH($E942,'0.0.1 Pokémon Dex Data'!$B$3:$B951,0)),0)</f>
        <v>199</v>
      </c>
      <c r="M942" s="260" t="n">
        <f aca="false" t="array" ref="M942:M942">INDEX('0.0.1 Pokémon Dex Data'!$J$3:$J951,MATCH(E942,'0.0.1 Pokémon Dex Data'!$B$3:$B951,0))</f>
        <v>1</v>
      </c>
      <c r="O942" s="490"/>
      <c r="Q942" s="367" t="n">
        <f aca="false">IF('Reverse Search'!$F$4="All (including temporary formes)",1,IF('Reverse Search'!$F$4="Base Pokémon and permanent formes only",IF(F942&lt;=1,1,0),IF(F942=0,1,0)))</f>
        <v>0</v>
      </c>
      <c r="R942" s="0" t="n">
        <f aca="false">IF('Reverse Search'!$C$7="Disable",1,IF('Reverse Search'!$D$9="Disable",1,IF(OR('Reverse Search'!$F$9=H942,'Reverse Search'!$F$9=I942),1,0)))</f>
        <v>1</v>
      </c>
      <c r="S942" s="0" t="n">
        <f aca="false">IF('Reverse Search'!$C$7="Disable",1,IF('Reverse Search'!$D$10="Disable",1,IF(OR('Reverse Search'!$F$10=H942,'Reverse Search'!$F$10=I942),1,0)))</f>
        <v>1</v>
      </c>
      <c r="T942" s="0" t="n">
        <f aca="false">INDEX($B$4:$B$22,MATCH(H942,$A$4:$A$22,0))</f>
        <v>1</v>
      </c>
      <c r="U942" s="0" t="n">
        <f aca="false">IF(ISBLANK(I942),1,INDEX($B$4:$B$22,MATCH(I942,$A$4:$A$22,0)))</f>
        <v>0.714</v>
      </c>
      <c r="V942" s="367" t="n">
        <f aca="false">IF('Reverse Search'!$C$7="Disable",1,IF('Reverse Search'!$D$11="Disable",1,IF('Reverse Search'!$E$11="Neutral to:",IF(ROUND(T942*U942,2)&lt;=1,1,0),IF(ROUND(T942*U942,2)&lt;1,1,0))))</f>
        <v>1</v>
      </c>
      <c r="W942" s="0" t="n">
        <f aca="false">IF('Reverse Search'!$N$7="Disable",1,IF('Reverse Search'!$I$9="Disable",1,IF('Reverse Search'!$K$9="≥",IF(J942&gt;='Reverse Search'!$L$9,1,0),IF('Reverse Search'!$K$9="≤",IF(J942&lt;='Reverse Search'!$L$9,1,0),IF(J942='Reverse Search'!$L$9,1,0)))))</f>
        <v>1</v>
      </c>
      <c r="X942" s="0" t="n">
        <f aca="false">IF('Reverse Search'!$N$7="Disable",1,IF('Reverse Search'!$I$10="Disable",1,IF('Reverse Search'!$K$10="≥",IF(K942&gt;='Reverse Search'!$L$10,1,0),IF('Reverse Search'!$K$10="≤",IF(K942&lt;='Reverse Search'!$L$10,1,0),IF(K942='Reverse Search'!$L$10,1,0)))))</f>
        <v>1</v>
      </c>
      <c r="Y942" s="367" t="n">
        <f aca="false">IF('Reverse Search'!$N$7="Disable",1,IF('Reverse Search'!$I$11="Disable",1,IF('Reverse Search'!$K$11="≥",IF(L942&gt;='Reverse Search'!$L$11,1,0),IF('Reverse Search'!$K$11="≤",IF(L942&lt;='Reverse Search'!$L$11,1,0),IF(L942='Reverse Search'!$L$11,1,0)))))</f>
        <v>1</v>
      </c>
      <c r="Z942" s="0" t="n">
        <f aca="true">IF('Reverse Search'!$C$14="Disable",1,IF('Reverse Search'!$D$16="Disable",1,IF($C$2=3,IF($M942=0,0,COUNTIF(INDIRECT("'0.0.2 Pokémon Learnset (Core)'!$D$"&amp;MATCH($E942,'0.0.2 Pokémon Learnset (Core)'!$A$1:$A951,0)&amp;":$FK$"&amp;MATCH($E942,'0.0.2 Pokémon Learnset (Core)'!$A$1:$A951,0)),'Reverse Search'!$E$21)),IF($C$2=2,COUNTIF(INDIRECT("'0.1.1 Pokémon GO Moves'!$B$"&amp;MATCH($E942,'0.1.1 Pokémon GO Moves'!$A$1:$A951,0)&amp;":$R$"&amp;MATCH($E942,'0.1.1 Pokémon GO Moves'!$A$1:$A951,0)),'Reverse Search'!$E$21),COUNTIF(INDIRECT("'0.1.1 Pokémon GO Moves'!$B$"&amp;MATCH($E942,'0.1.1 Pokémon GO Moves'!$A$1:$A951,0)&amp;":$L$"&amp;MATCH($E942,'0.1.1 Pokémon GO Moves'!$A$1:$A951,0)),'Reverse Search'!$E$21)))))</f>
        <v>1</v>
      </c>
      <c r="AA942" s="0" t="e">
        <f aca="true">IF('Reverse Search'!$C$14="Disable",1,IF('Reverse Search'!$I$16="Disable",1,IF($D$2=3,IF($M942=0,0,COUNTIF(INDIRECT("'0.0.2 Pokémon Learnset (Core)'!$D$"&amp;MATCH($E942,'0.0.2 Pokémon Learnset (Core)'!$A$1:$A951,0)&amp;":$FK$"&amp;MATCH($E942,'0.0.2 Pokémon Learnset (Core)'!$A$1:$A951,0)),'Reverse Search'!$J$21)),IF($D$2=2,COUNTIF(INDIRECT("'0.1.1 Pokémon GO Moves'!$B$"&amp;MATCH($E942,'0.1.1 Pokémon GO Moves'!$A$1:$A951,0)&amp;":$R$"&amp;MATCH($E942,'0.1.1 Pokémon GO Moves'!$A$1:$A951,0)),'Reverse Search'!$J$21),COUNTIF(INDIRECT("'0.1.1 Pokémon GO Moves'!$B$"&amp;MATCH($E942,'0.1.1 Pokémon GO Moves'!$A$1:$A951,0)&amp;":$L$"&amp;MATCH($E942,'0.1.1 Pokémon GO Moves'!$A$1:$A951,0)),'Reverse Search'!$J$21)))))</f>
        <v>#N/A</v>
      </c>
      <c r="AB942" s="490"/>
      <c r="AC942" s="260" t="e">
        <f aca="false">IF((Q942+R942+S942+V942+W942+X942+Y942+IF(Z942&gt;=1,1,0)+IF(AA942&gt;=1,1,0))=9,G942&amp;", ",)</f>
        <v>#N/A</v>
      </c>
    </row>
    <row r="943" customFormat="false" ht="15.75" hidden="false" customHeight="false" outlineLevel="0" collapsed="false">
      <c r="A943" s="260"/>
      <c r="B943" s="358"/>
      <c r="C943" s="260"/>
      <c r="D943" s="358"/>
      <c r="E943" s="260" t="n">
        <v>942</v>
      </c>
      <c r="F943" s="260" t="n">
        <f aca="false" t="array" ref="F943:F943">INDEX('0.0.1 Pokémon Dex Data'!$H$3:$H951,MATCH(E943,'0.0.1 Pokémon Dex Data'!$B$3:$B951,0))</f>
        <v>1</v>
      </c>
      <c r="G943" s="0" t="str">
        <f aca="false" t="array" ref="G943:G943">INDEX('0.0.1 Pokémon Dex Data'!$E$3:$E951,MATCH(E943,'0.0.1 Pokémon Dex Data'!$B$3:$B951,0))</f>
        <v>Necrozma-Dawn-Wings</v>
      </c>
      <c r="H943" s="0" t="str">
        <f aca="false" t="array" ref="H943:H943">INDEX('0.0.1 Pokémon Dex Data'!$Q$3:$Q951,MATCH(E943,'0.0.1 Pokémon Dex Data'!$B$3:$B951,0))</f>
        <v>Psychic</v>
      </c>
      <c r="I943" s="0" t="str">
        <f aca="false" t="array" ref="I943:I943">INDEX('0.0.1 Pokémon Dex Data'!$R$3:$R951,MATCH(E943,'0.0.1 Pokémon Dex Data'!$B$3:$B951,0))</f>
        <v>Ghost</v>
      </c>
      <c r="J943" s="260" t="n">
        <f aca="false" t="array" ref="J943:J943">ROUND(INDEX('0.0.1 Pokémon Dex Data'!$S$3:$S951,MATCH($E943,'0.0.1 Pokémon Dex Data'!$B$3:$B951,0))*INDEX('0.0.1 Pokémon Dex Data'!T$3:T951,MATCH($E943,'0.0.1 Pokémon Dex Data'!$B$3:$B951,0)),0)</f>
        <v>276</v>
      </c>
      <c r="K943" s="260" t="n">
        <f aca="false" t="array" ref="K943:K943">ROUND(INDEX('0.0.1 Pokémon Dex Data'!$S$3:$S951,MATCH($E943,'0.0.1 Pokémon Dex Data'!$B$3:$B951,0))*INDEX('0.0.1 Pokémon Dex Data'!U$3:U951,MATCH($E943,'0.0.1 Pokémon Dex Data'!$B$3:$B951,0)),0)</f>
        <v>220</v>
      </c>
      <c r="L943" s="260" t="n">
        <f aca="false" t="array" ref="L943:L943">ROUND(INDEX('0.0.1 Pokémon Dex Data'!$S$3:$S951,MATCH($E943,'0.0.1 Pokémon Dex Data'!$B$3:$B951,0))*INDEX('0.0.1 Pokémon Dex Data'!V$3:V951,MATCH($E943,'0.0.1 Pokémon Dex Data'!$B$3:$B951,0)),0)</f>
        <v>199</v>
      </c>
      <c r="M943" s="260" t="n">
        <f aca="false" t="array" ref="M943:M943">INDEX('0.0.1 Pokémon Dex Data'!$J$3:$J951,MATCH(E943,'0.0.1 Pokémon Dex Data'!$B$3:$B951,0))</f>
        <v>1</v>
      </c>
      <c r="O943" s="490"/>
      <c r="Q943" s="367" t="n">
        <f aca="false">IF('Reverse Search'!$F$4="All (including temporary formes)",1,IF('Reverse Search'!$F$4="Base Pokémon and permanent formes only",IF(F943&lt;=1,1,0),IF(F943=0,1,0)))</f>
        <v>0</v>
      </c>
      <c r="R943" s="0" t="n">
        <f aca="false">IF('Reverse Search'!$C$7="Disable",1,IF('Reverse Search'!$D$9="Disable",1,IF(OR('Reverse Search'!$F$9=H943,'Reverse Search'!$F$9=I943),1,0)))</f>
        <v>1</v>
      </c>
      <c r="S943" s="0" t="n">
        <f aca="false">IF('Reverse Search'!$C$7="Disable",1,IF('Reverse Search'!$D$10="Disable",1,IF(OR('Reverse Search'!$F$10=H943,'Reverse Search'!$F$10=I943),1,0)))</f>
        <v>1</v>
      </c>
      <c r="T943" s="0" t="n">
        <f aca="false">INDEX($B$4:$B$22,MATCH(H943,$A$4:$A$22,0))</f>
        <v>1</v>
      </c>
      <c r="U943" s="0" t="n">
        <f aca="false">IF(ISBLANK(I943),1,INDEX($B$4:$B$22,MATCH(I943,$A$4:$A$22,0)))</f>
        <v>0.51</v>
      </c>
      <c r="V943" s="367" t="n">
        <f aca="false">IF('Reverse Search'!$C$7="Disable",1,IF('Reverse Search'!$D$11="Disable",1,IF('Reverse Search'!$E$11="Neutral to:",IF(ROUND(T943*U943,2)&lt;=1,1,0),IF(ROUND(T943*U943,2)&lt;1,1,0))))</f>
        <v>1</v>
      </c>
      <c r="W943" s="0" t="n">
        <f aca="false">IF('Reverse Search'!$N$7="Disable",1,IF('Reverse Search'!$I$9="Disable",1,IF('Reverse Search'!$K$9="≥",IF(J943&gt;='Reverse Search'!$L$9,1,0),IF('Reverse Search'!$K$9="≤",IF(J943&lt;='Reverse Search'!$L$9,1,0),IF(J943='Reverse Search'!$L$9,1,0)))))</f>
        <v>1</v>
      </c>
      <c r="X943" s="0" t="n">
        <f aca="false">IF('Reverse Search'!$N$7="Disable",1,IF('Reverse Search'!$I$10="Disable",1,IF('Reverse Search'!$K$10="≥",IF(K943&gt;='Reverse Search'!$L$10,1,0),IF('Reverse Search'!$K$10="≤",IF(K943&lt;='Reverse Search'!$L$10,1,0),IF(K943='Reverse Search'!$L$10,1,0)))))</f>
        <v>1</v>
      </c>
      <c r="Y943" s="367" t="n">
        <f aca="false">IF('Reverse Search'!$N$7="Disable",1,IF('Reverse Search'!$I$11="Disable",1,IF('Reverse Search'!$K$11="≥",IF(L943&gt;='Reverse Search'!$L$11,1,0),IF('Reverse Search'!$K$11="≤",IF(L943&lt;='Reverse Search'!$L$11,1,0),IF(L943='Reverse Search'!$L$11,1,0)))))</f>
        <v>1</v>
      </c>
      <c r="Z943" s="0" t="n">
        <f aca="true">IF('Reverse Search'!$C$14="Disable",1,IF('Reverse Search'!$D$16="Disable",1,IF($C$2=3,IF($M943=0,0,COUNTIF(INDIRECT("'0.0.2 Pokémon Learnset (Core)'!$D$"&amp;MATCH($E943,'0.0.2 Pokémon Learnset (Core)'!$A$1:$A951,0)&amp;":$FK$"&amp;MATCH($E943,'0.0.2 Pokémon Learnset (Core)'!$A$1:$A951,0)),'Reverse Search'!$E$21)),IF($C$2=2,COUNTIF(INDIRECT("'0.1.1 Pokémon GO Moves'!$B$"&amp;MATCH($E943,'0.1.1 Pokémon GO Moves'!$A$1:$A951,0)&amp;":$R$"&amp;MATCH($E943,'0.1.1 Pokémon GO Moves'!$A$1:$A951,0)),'Reverse Search'!$E$21),COUNTIF(INDIRECT("'0.1.1 Pokémon GO Moves'!$B$"&amp;MATCH($E943,'0.1.1 Pokémon GO Moves'!$A$1:$A951,0)&amp;":$L$"&amp;MATCH($E943,'0.1.1 Pokémon GO Moves'!$A$1:$A951,0)),'Reverse Search'!$E$21)))))</f>
        <v>1</v>
      </c>
      <c r="AA943" s="0" t="e">
        <f aca="true">IF('Reverse Search'!$C$14="Disable",1,IF('Reverse Search'!$I$16="Disable",1,IF($D$2=3,IF($M943=0,0,COUNTIF(INDIRECT("'0.0.2 Pokémon Learnset (Core)'!$D$"&amp;MATCH($E943,'0.0.2 Pokémon Learnset (Core)'!$A$1:$A951,0)&amp;":$FK$"&amp;MATCH($E943,'0.0.2 Pokémon Learnset (Core)'!$A$1:$A951,0)),'Reverse Search'!$J$21)),IF($D$2=2,COUNTIF(INDIRECT("'0.1.1 Pokémon GO Moves'!$B$"&amp;MATCH($E943,'0.1.1 Pokémon GO Moves'!$A$1:$A951,0)&amp;":$R$"&amp;MATCH($E943,'0.1.1 Pokémon GO Moves'!$A$1:$A951,0)),'Reverse Search'!$J$21),COUNTIF(INDIRECT("'0.1.1 Pokémon GO Moves'!$B$"&amp;MATCH($E943,'0.1.1 Pokémon GO Moves'!$A$1:$A951,0)&amp;":$L$"&amp;MATCH($E943,'0.1.1 Pokémon GO Moves'!$A$1:$A951,0)),'Reverse Search'!$J$21)))))</f>
        <v>#N/A</v>
      </c>
      <c r="AB943" s="490"/>
      <c r="AC943" s="260" t="e">
        <f aca="false">IF((Q943+R943+S943+V943+W943+X943+Y943+IF(Z943&gt;=1,1,0)+IF(AA943&gt;=1,1,0))=9,G943&amp;", ",)</f>
        <v>#N/A</v>
      </c>
    </row>
    <row r="944" customFormat="false" ht="15.75" hidden="false" customHeight="false" outlineLevel="0" collapsed="false">
      <c r="A944" s="260"/>
      <c r="B944" s="358"/>
      <c r="C944" s="260"/>
      <c r="D944" s="358"/>
      <c r="E944" s="260" t="n">
        <v>943</v>
      </c>
      <c r="F944" s="260" t="n">
        <f aca="false" t="array" ref="F944:F944">INDEX('0.0.1 Pokémon Dex Data'!$H$3:$H951,MATCH(E944,'0.0.1 Pokémon Dex Data'!$B$3:$B951,0))</f>
        <v>2</v>
      </c>
      <c r="G944" s="0" t="str">
        <f aca="false" t="array" ref="G944:G944">INDEX('0.0.1 Pokémon Dex Data'!$E$3:$E951,MATCH(E944,'0.0.1 Pokémon Dex Data'!$B$3:$B951,0))</f>
        <v>Necrozma-Ultra</v>
      </c>
      <c r="H944" s="0" t="str">
        <f aca="false" t="array" ref="H944:H944">INDEX('0.0.1 Pokémon Dex Data'!$Q$3:$Q951,MATCH(E944,'0.0.1 Pokémon Dex Data'!$B$3:$B951,0))</f>
        <v>Psychic</v>
      </c>
      <c r="I944" s="0" t="str">
        <f aca="false" t="array" ref="I944:I944">INDEX('0.0.1 Pokémon Dex Data'!$R$3:$R951,MATCH(E944,'0.0.1 Pokémon Dex Data'!$B$3:$B951,0))</f>
        <v>Dragon</v>
      </c>
      <c r="J944" s="260" t="n">
        <f aca="false" t="array" ref="J944:J944">ROUND(INDEX('0.0.1 Pokémon Dex Data'!$S$3:$S951,MATCH($E944,'0.0.1 Pokémon Dex Data'!$B$3:$B951,0))*INDEX('0.0.1 Pokémon Dex Data'!T$3:T951,MATCH($E944,'0.0.1 Pokémon Dex Data'!$B$3:$B951,0)),0)</f>
        <v>336</v>
      </c>
      <c r="K944" s="260" t="n">
        <f aca="false" t="array" ref="K944:K944">ROUND(INDEX('0.0.1 Pokémon Dex Data'!$S$3:$S951,MATCH($E944,'0.0.1 Pokémon Dex Data'!$B$3:$B951,0))*INDEX('0.0.1 Pokémon Dex Data'!U$3:U951,MATCH($E944,'0.0.1 Pokémon Dex Data'!$B$3:$B951,0)),0)</f>
        <v>195</v>
      </c>
      <c r="L944" s="260" t="n">
        <f aca="false" t="array" ref="L944:L944">ROUND(INDEX('0.0.1 Pokémon Dex Data'!$S$3:$S951,MATCH($E944,'0.0.1 Pokémon Dex Data'!$B$3:$B951,0))*INDEX('0.0.1 Pokémon Dex Data'!V$3:V951,MATCH($E944,'0.0.1 Pokémon Dex Data'!$B$3:$B951,0)),0)</f>
        <v>199</v>
      </c>
      <c r="M944" s="260" t="n">
        <f aca="false" t="array" ref="M944:M944">INDEX('0.0.1 Pokémon Dex Data'!$J$3:$J951,MATCH(E944,'0.0.1 Pokémon Dex Data'!$B$3:$B951,0))</f>
        <v>1</v>
      </c>
      <c r="O944" s="490"/>
      <c r="Q944" s="367" t="n">
        <f aca="false">IF('Reverse Search'!$F$4="All (including temporary formes)",1,IF('Reverse Search'!$F$4="Base Pokémon and permanent formes only",IF(F944&lt;=1,1,0),IF(F944=0,1,0)))</f>
        <v>0</v>
      </c>
      <c r="R944" s="0" t="n">
        <f aca="false">IF('Reverse Search'!$C$7="Disable",1,IF('Reverse Search'!$D$9="Disable",1,IF(OR('Reverse Search'!$F$9=H944,'Reverse Search'!$F$9=I944),1,0)))</f>
        <v>1</v>
      </c>
      <c r="S944" s="0" t="n">
        <f aca="false">IF('Reverse Search'!$C$7="Disable",1,IF('Reverse Search'!$D$10="Disable",1,IF(OR('Reverse Search'!$F$10=H944,'Reverse Search'!$F$10=I944),1,0)))</f>
        <v>1</v>
      </c>
      <c r="T944" s="0" t="n">
        <f aca="false">INDEX($B$4:$B$22,MATCH(H944,$A$4:$A$22,0))</f>
        <v>1</v>
      </c>
      <c r="U944" s="0" t="n">
        <f aca="false">IF(ISBLANK(I944),1,INDEX($B$4:$B$22,MATCH(I944,$A$4:$A$22,0)))</f>
        <v>1</v>
      </c>
      <c r="V944" s="367" t="n">
        <f aca="false">IF('Reverse Search'!$C$7="Disable",1,IF('Reverse Search'!$D$11="Disable",1,IF('Reverse Search'!$E$11="Neutral to:",IF(ROUND(T944*U944,2)&lt;=1,1,0),IF(ROUND(T944*U944,2)&lt;1,1,0))))</f>
        <v>1</v>
      </c>
      <c r="W944" s="0" t="n">
        <f aca="false">IF('Reverse Search'!$N$7="Disable",1,IF('Reverse Search'!$I$9="Disable",1,IF('Reverse Search'!$K$9="≥",IF(J944&gt;='Reverse Search'!$L$9,1,0),IF('Reverse Search'!$K$9="≤",IF(J944&lt;='Reverse Search'!$L$9,1,0),IF(J944='Reverse Search'!$L$9,1,0)))))</f>
        <v>1</v>
      </c>
      <c r="X944" s="0" t="n">
        <f aca="false">IF('Reverse Search'!$N$7="Disable",1,IF('Reverse Search'!$I$10="Disable",1,IF('Reverse Search'!$K$10="≥",IF(K944&gt;='Reverse Search'!$L$10,1,0),IF('Reverse Search'!$K$10="≤",IF(K944&lt;='Reverse Search'!$L$10,1,0),IF(K944='Reverse Search'!$L$10,1,0)))))</f>
        <v>1</v>
      </c>
      <c r="Y944" s="367" t="n">
        <f aca="false">IF('Reverse Search'!$N$7="Disable",1,IF('Reverse Search'!$I$11="Disable",1,IF('Reverse Search'!$K$11="≥",IF(L944&gt;='Reverse Search'!$L$11,1,0),IF('Reverse Search'!$K$11="≤",IF(L944&lt;='Reverse Search'!$L$11,1,0),IF(L944='Reverse Search'!$L$11,1,0)))))</f>
        <v>1</v>
      </c>
      <c r="Z944" s="0" t="n">
        <f aca="true">IF('Reverse Search'!$C$14="Disable",1,IF('Reverse Search'!$D$16="Disable",1,IF($C$2=3,IF($M944=0,0,COUNTIF(INDIRECT("'0.0.2 Pokémon Learnset (Core)'!$D$"&amp;MATCH($E944,'0.0.2 Pokémon Learnset (Core)'!$A$1:$A951,0)&amp;":$FK$"&amp;MATCH($E944,'0.0.2 Pokémon Learnset (Core)'!$A$1:$A951,0)),'Reverse Search'!$E$21)),IF($C$2=2,COUNTIF(INDIRECT("'0.1.1 Pokémon GO Moves'!$B$"&amp;MATCH($E944,'0.1.1 Pokémon GO Moves'!$A$1:$A951,0)&amp;":$R$"&amp;MATCH($E944,'0.1.1 Pokémon GO Moves'!$A$1:$A951,0)),'Reverse Search'!$E$21),COUNTIF(INDIRECT("'0.1.1 Pokémon GO Moves'!$B$"&amp;MATCH($E944,'0.1.1 Pokémon GO Moves'!$A$1:$A951,0)&amp;":$L$"&amp;MATCH($E944,'0.1.1 Pokémon GO Moves'!$A$1:$A951,0)),'Reverse Search'!$E$21)))))</f>
        <v>1</v>
      </c>
      <c r="AA944" s="0" t="e">
        <f aca="true">IF('Reverse Search'!$C$14="Disable",1,IF('Reverse Search'!$I$16="Disable",1,IF($D$2=3,IF($M944=0,0,COUNTIF(INDIRECT("'0.0.2 Pokémon Learnset (Core)'!$D$"&amp;MATCH($E944,'0.0.2 Pokémon Learnset (Core)'!$A$1:$A951,0)&amp;":$FK$"&amp;MATCH($E944,'0.0.2 Pokémon Learnset (Core)'!$A$1:$A951,0)),'Reverse Search'!$J$21)),IF($D$2=2,COUNTIF(INDIRECT("'0.1.1 Pokémon GO Moves'!$B$"&amp;MATCH($E944,'0.1.1 Pokémon GO Moves'!$A$1:$A951,0)&amp;":$R$"&amp;MATCH($E944,'0.1.1 Pokémon GO Moves'!$A$1:$A951,0)),'Reverse Search'!$J$21),COUNTIF(INDIRECT("'0.1.1 Pokémon GO Moves'!$B$"&amp;MATCH($E944,'0.1.1 Pokémon GO Moves'!$A$1:$A951,0)&amp;":$L$"&amp;MATCH($E944,'0.1.1 Pokémon GO Moves'!$A$1:$A951,0)),'Reverse Search'!$J$21)))))</f>
        <v>#N/A</v>
      </c>
      <c r="AB944" s="490"/>
      <c r="AC944" s="260" t="e">
        <f aca="false">IF((Q944+R944+S944+V944+W944+X944+Y944+IF(Z944&gt;=1,1,0)+IF(AA944&gt;=1,1,0))=9,G944&amp;", ",)</f>
        <v>#N/A</v>
      </c>
    </row>
    <row r="945" customFormat="false" ht="15.75" hidden="false" customHeight="false" outlineLevel="0" collapsed="false">
      <c r="A945" s="260"/>
      <c r="B945" s="358"/>
      <c r="C945" s="260"/>
      <c r="D945" s="358"/>
      <c r="E945" s="260" t="n">
        <v>944</v>
      </c>
      <c r="F945" s="260" t="n">
        <f aca="false" t="array" ref="F945:F945">INDEX('0.0.1 Pokémon Dex Data'!$H$3:$H951,MATCH(E945,'0.0.1 Pokémon Dex Data'!$B$3:$B951,0))</f>
        <v>0</v>
      </c>
      <c r="G945" s="0" t="str">
        <f aca="false" t="array" ref="G945:G945">INDEX('0.0.1 Pokémon Dex Data'!$E$3:$E951,MATCH(E945,'0.0.1 Pokémon Dex Data'!$B$3:$B951,0))</f>
        <v>Magearna</v>
      </c>
      <c r="H945" s="0" t="str">
        <f aca="false" t="array" ref="H945:H945">INDEX('0.0.1 Pokémon Dex Data'!$Q$3:$Q951,MATCH(E945,'0.0.1 Pokémon Dex Data'!$B$3:$B951,0))</f>
        <v>Steel</v>
      </c>
      <c r="I945" s="0" t="str">
        <f aca="false" t="array" ref="I945:I945">INDEX('0.0.1 Pokémon Dex Data'!$R$3:$R951,MATCH(E945,'0.0.1 Pokémon Dex Data'!$B$3:$B951,0))</f>
        <v>Fairy</v>
      </c>
      <c r="J945" s="260" t="n">
        <f aca="false" t="array" ref="J945:J945">ROUND(INDEX('0.0.1 Pokémon Dex Data'!$S$3:$S951,MATCH($E945,'0.0.1 Pokémon Dex Data'!$B$3:$B951,0))*INDEX('0.0.1 Pokémon Dex Data'!T$3:T951,MATCH($E945,'0.0.1 Pokémon Dex Data'!$B$3:$B951,0)),0)</f>
        <v>246</v>
      </c>
      <c r="K945" s="260" t="n">
        <f aca="false" t="array" ref="K945:K945">ROUND(INDEX('0.0.1 Pokémon Dex Data'!$S$3:$S951,MATCH($E945,'0.0.1 Pokémon Dex Data'!$B$3:$B951,0))*INDEX('0.0.1 Pokémon Dex Data'!U$3:U951,MATCH($E945,'0.0.1 Pokémon Dex Data'!$B$3:$B951,0)),0)</f>
        <v>225</v>
      </c>
      <c r="L945" s="260" t="n">
        <f aca="false" t="array" ref="L945:L945">ROUND(INDEX('0.0.1 Pokémon Dex Data'!$S$3:$S951,MATCH($E945,'0.0.1 Pokémon Dex Data'!$B$3:$B951,0))*INDEX('0.0.1 Pokémon Dex Data'!V$3:V951,MATCH($E945,'0.0.1 Pokémon Dex Data'!$B$3:$B951,0)),0)</f>
        <v>190</v>
      </c>
      <c r="M945" s="260" t="n">
        <f aca="false" t="array" ref="M945:M945">INDEX('0.0.1 Pokémon Dex Data'!$J$3:$J951,MATCH(E945,'0.0.1 Pokémon Dex Data'!$B$3:$B951,0))</f>
        <v>1</v>
      </c>
      <c r="O945" s="490"/>
      <c r="Q945" s="367" t="n">
        <f aca="false">IF('Reverse Search'!$F$4="All (including temporary formes)",1,IF('Reverse Search'!$F$4="Base Pokémon and permanent formes only",IF(F945&lt;=1,1,0),IF(F945=0,1,0)))</f>
        <v>1</v>
      </c>
      <c r="R945" s="0" t="n">
        <f aca="false">IF('Reverse Search'!$C$7="Disable",1,IF('Reverse Search'!$D$9="Disable",1,IF(OR('Reverse Search'!$F$9=H945,'Reverse Search'!$F$9=I945),1,0)))</f>
        <v>1</v>
      </c>
      <c r="S945" s="0" t="n">
        <f aca="false">IF('Reverse Search'!$C$7="Disable",1,IF('Reverse Search'!$D$10="Disable",1,IF(OR('Reverse Search'!$F$10=H945,'Reverse Search'!$F$10=I945),1,0)))</f>
        <v>1</v>
      </c>
      <c r="T945" s="0" t="n">
        <f aca="false">INDEX($B$4:$B$22,MATCH(H945,$A$4:$A$22,0))</f>
        <v>0.714</v>
      </c>
      <c r="U945" s="0" t="n">
        <f aca="false">IF(ISBLANK(I945),1,INDEX($B$4:$B$22,MATCH(I945,$A$4:$A$22,0)))</f>
        <v>1</v>
      </c>
      <c r="V945" s="367" t="n">
        <f aca="false">IF('Reverse Search'!$C$7="Disable",1,IF('Reverse Search'!$D$11="Disable",1,IF('Reverse Search'!$E$11="Neutral to:",IF(ROUND(T945*U945,2)&lt;=1,1,0),IF(ROUND(T945*U945,2)&lt;1,1,0))))</f>
        <v>1</v>
      </c>
      <c r="W945" s="0" t="n">
        <f aca="false">IF('Reverse Search'!$N$7="Disable",1,IF('Reverse Search'!$I$9="Disable",1,IF('Reverse Search'!$K$9="≥",IF(J945&gt;='Reverse Search'!$L$9,1,0),IF('Reverse Search'!$K$9="≤",IF(J945&lt;='Reverse Search'!$L$9,1,0),IF(J945='Reverse Search'!$L$9,1,0)))))</f>
        <v>1</v>
      </c>
      <c r="X945" s="0" t="n">
        <f aca="false">IF('Reverse Search'!$N$7="Disable",1,IF('Reverse Search'!$I$10="Disable",1,IF('Reverse Search'!$K$10="≥",IF(K945&gt;='Reverse Search'!$L$10,1,0),IF('Reverse Search'!$K$10="≤",IF(K945&lt;='Reverse Search'!$L$10,1,0),IF(K945='Reverse Search'!$L$10,1,0)))))</f>
        <v>1</v>
      </c>
      <c r="Y945" s="367" t="n">
        <f aca="false">IF('Reverse Search'!$N$7="Disable",1,IF('Reverse Search'!$I$11="Disable",1,IF('Reverse Search'!$K$11="≥",IF(L945&gt;='Reverse Search'!$L$11,1,0),IF('Reverse Search'!$K$11="≤",IF(L945&lt;='Reverse Search'!$L$11,1,0),IF(L945='Reverse Search'!$L$11,1,0)))))</f>
        <v>1</v>
      </c>
      <c r="Z945" s="0" t="n">
        <f aca="true">IF('Reverse Search'!$C$14="Disable",1,IF('Reverse Search'!$D$16="Disable",1,IF($C$2=3,IF($M945=0,0,COUNTIF(INDIRECT("'0.0.2 Pokémon Learnset (Core)'!$D$"&amp;MATCH($E945,'0.0.2 Pokémon Learnset (Core)'!$A$1:$A951,0)&amp;":$FK$"&amp;MATCH($E945,'0.0.2 Pokémon Learnset (Core)'!$A$1:$A951,0)),'Reverse Search'!$E$21)),IF($C$2=2,COUNTIF(INDIRECT("'0.1.1 Pokémon GO Moves'!$B$"&amp;MATCH($E945,'0.1.1 Pokémon GO Moves'!$A$1:$A951,0)&amp;":$R$"&amp;MATCH($E945,'0.1.1 Pokémon GO Moves'!$A$1:$A951,0)),'Reverse Search'!$E$21),COUNTIF(INDIRECT("'0.1.1 Pokémon GO Moves'!$B$"&amp;MATCH($E945,'0.1.1 Pokémon GO Moves'!$A$1:$A951,0)&amp;":$L$"&amp;MATCH($E945,'0.1.1 Pokémon GO Moves'!$A$1:$A951,0)),'Reverse Search'!$E$21)))))</f>
        <v>1</v>
      </c>
      <c r="AA945" s="0" t="n">
        <f aca="true">IF('Reverse Search'!$C$14="Disable",1,IF('Reverse Search'!$I$16="Disable",1,IF($D$2=3,IF($M945=0,0,COUNTIF(INDIRECT("'0.0.2 Pokémon Learnset (Core)'!$D$"&amp;MATCH($E945,'0.0.2 Pokémon Learnset (Core)'!$A$1:$A951,0)&amp;":$FK$"&amp;MATCH($E945,'0.0.2 Pokémon Learnset (Core)'!$A$1:$A951,0)),'Reverse Search'!$J$21)),IF($D$2=2,COUNTIF(INDIRECT("'0.1.1 Pokémon GO Moves'!$B$"&amp;MATCH($E945,'0.1.1 Pokémon GO Moves'!$A$1:$A951,0)&amp;":$R$"&amp;MATCH($E945,'0.1.1 Pokémon GO Moves'!$A$1:$A951,0)),'Reverse Search'!$J$21),COUNTIF(INDIRECT("'0.1.1 Pokémon GO Moves'!$B$"&amp;MATCH($E945,'0.1.1 Pokémon GO Moves'!$A$1:$A951,0)&amp;":$L$"&amp;MATCH($E945,'0.1.1 Pokémon GO Moves'!$A$1:$A951,0)),'Reverse Search'!$J$21)))))</f>
        <v>0</v>
      </c>
      <c r="AB945" s="490"/>
      <c r="AC945" s="260" t="n">
        <f aca="false">IF((Q945+R945+S945+V945+W945+X945+Y945+IF(Z945&gt;=1,1,0)+IF(AA945&gt;=1,1,0))=9,G945&amp;", ",)</f>
        <v>0</v>
      </c>
    </row>
    <row r="946" customFormat="false" ht="15.75" hidden="false" customHeight="false" outlineLevel="0" collapsed="false">
      <c r="A946" s="260"/>
      <c r="B946" s="358"/>
      <c r="C946" s="260"/>
      <c r="D946" s="358"/>
      <c r="E946" s="260" t="n">
        <v>945</v>
      </c>
      <c r="F946" s="260" t="n">
        <f aca="false" t="array" ref="F946:F946">INDEX('0.0.1 Pokémon Dex Data'!$H$3:$H951,MATCH(E946,'0.0.1 Pokémon Dex Data'!$B$3:$B951,0))</f>
        <v>0</v>
      </c>
      <c r="G946" s="0" t="str">
        <f aca="false" t="array" ref="G946:G946">INDEX('0.0.1 Pokémon Dex Data'!$E$3:$E951,MATCH(E946,'0.0.1 Pokémon Dex Data'!$B$3:$B951,0))</f>
        <v>Marshadow</v>
      </c>
      <c r="H946" s="0" t="str">
        <f aca="false" t="array" ref="H946:H946">INDEX('0.0.1 Pokémon Dex Data'!$Q$3:$Q951,MATCH(E946,'0.0.1 Pokémon Dex Data'!$B$3:$B951,0))</f>
        <v>Fighting</v>
      </c>
      <c r="I946" s="0" t="str">
        <f aca="false" t="array" ref="I946:I946">INDEX('0.0.1 Pokémon Dex Data'!$R$3:$R951,MATCH(E946,'0.0.1 Pokémon Dex Data'!$B$3:$B951,0))</f>
        <v>Ghost</v>
      </c>
      <c r="J946" s="260" t="n">
        <f aca="false" t="array" ref="J946:J946">ROUND(INDEX('0.0.1 Pokémon Dex Data'!$S$3:$S951,MATCH($E946,'0.0.1 Pokémon Dex Data'!$B$3:$B951,0))*INDEX('0.0.1 Pokémon Dex Data'!T$3:T951,MATCH($E946,'0.0.1 Pokémon Dex Data'!$B$3:$B951,0)),0)</f>
        <v>265</v>
      </c>
      <c r="K946" s="260" t="n">
        <f aca="false" t="array" ref="K946:K946">ROUND(INDEX('0.0.1 Pokémon Dex Data'!$S$3:$S951,MATCH($E946,'0.0.1 Pokémon Dex Data'!$B$3:$B951,0))*INDEX('0.0.1 Pokémon Dex Data'!U$3:U951,MATCH($E946,'0.0.1 Pokémon Dex Data'!$B$3:$B951,0)),0)</f>
        <v>190</v>
      </c>
      <c r="L946" s="260" t="n">
        <f aca="false" t="array" ref="L946:L946">ROUND(INDEX('0.0.1 Pokémon Dex Data'!$S$3:$S951,MATCH($E946,'0.0.1 Pokémon Dex Data'!$B$3:$B951,0))*INDEX('0.0.1 Pokémon Dex Data'!V$3:V951,MATCH($E946,'0.0.1 Pokémon Dex Data'!$B$3:$B951,0)),0)</f>
        <v>207</v>
      </c>
      <c r="M946" s="260" t="n">
        <f aca="false" t="array" ref="M946:M946">INDEX('0.0.1 Pokémon Dex Data'!$J$3:$J951,MATCH(E946,'0.0.1 Pokémon Dex Data'!$B$3:$B951,0))</f>
        <v>1</v>
      </c>
      <c r="O946" s="490"/>
      <c r="Q946" s="367" t="n">
        <f aca="false">IF('Reverse Search'!$F$4="All (including temporary formes)",1,IF('Reverse Search'!$F$4="Base Pokémon and permanent formes only",IF(F946&lt;=1,1,0),IF(F946=0,1,0)))</f>
        <v>1</v>
      </c>
      <c r="R946" s="0" t="n">
        <f aca="false">IF('Reverse Search'!$C$7="Disable",1,IF('Reverse Search'!$D$9="Disable",1,IF(OR('Reverse Search'!$F$9=H946,'Reverse Search'!$F$9=I946),1,0)))</f>
        <v>1</v>
      </c>
      <c r="S946" s="0" t="n">
        <f aca="false">IF('Reverse Search'!$C$7="Disable",1,IF('Reverse Search'!$D$10="Disable",1,IF(OR('Reverse Search'!$F$10=H946,'Reverse Search'!$F$10=I946),1,0)))</f>
        <v>1</v>
      </c>
      <c r="T946" s="0" t="n">
        <f aca="false">INDEX($B$4:$B$22,MATCH(H946,$A$4:$A$22,0))</f>
        <v>1</v>
      </c>
      <c r="U946" s="0" t="n">
        <f aca="false">IF(ISBLANK(I946),1,INDEX($B$4:$B$22,MATCH(I946,$A$4:$A$22,0)))</f>
        <v>0.51</v>
      </c>
      <c r="V946" s="367" t="n">
        <f aca="false">IF('Reverse Search'!$C$7="Disable",1,IF('Reverse Search'!$D$11="Disable",1,IF('Reverse Search'!$E$11="Neutral to:",IF(ROUND(T946*U946,2)&lt;=1,1,0),IF(ROUND(T946*U946,2)&lt;1,1,0))))</f>
        <v>1</v>
      </c>
      <c r="W946" s="0" t="n">
        <f aca="false">IF('Reverse Search'!$N$7="Disable",1,IF('Reverse Search'!$I$9="Disable",1,IF('Reverse Search'!$K$9="≥",IF(J946&gt;='Reverse Search'!$L$9,1,0),IF('Reverse Search'!$K$9="≤",IF(J946&lt;='Reverse Search'!$L$9,1,0),IF(J946='Reverse Search'!$L$9,1,0)))))</f>
        <v>1</v>
      </c>
      <c r="X946" s="0" t="n">
        <f aca="false">IF('Reverse Search'!$N$7="Disable",1,IF('Reverse Search'!$I$10="Disable",1,IF('Reverse Search'!$K$10="≥",IF(K946&gt;='Reverse Search'!$L$10,1,0),IF('Reverse Search'!$K$10="≤",IF(K946&lt;='Reverse Search'!$L$10,1,0),IF(K946='Reverse Search'!$L$10,1,0)))))</f>
        <v>1</v>
      </c>
      <c r="Y946" s="367" t="n">
        <f aca="false">IF('Reverse Search'!$N$7="Disable",1,IF('Reverse Search'!$I$11="Disable",1,IF('Reverse Search'!$K$11="≥",IF(L946&gt;='Reverse Search'!$L$11,1,0),IF('Reverse Search'!$K$11="≤",IF(L946&lt;='Reverse Search'!$L$11,1,0),IF(L946='Reverse Search'!$L$11,1,0)))))</f>
        <v>1</v>
      </c>
      <c r="Z946" s="0" t="n">
        <f aca="true">IF('Reverse Search'!$C$14="Disable",1,IF('Reverse Search'!$D$16="Disable",1,IF($C$2=3,IF($M946=0,0,COUNTIF(INDIRECT("'0.0.2 Pokémon Learnset (Core)'!$D$"&amp;MATCH($E946,'0.0.2 Pokémon Learnset (Core)'!$A$1:$A951,0)&amp;":$FK$"&amp;MATCH($E946,'0.0.2 Pokémon Learnset (Core)'!$A$1:$A951,0)),'Reverse Search'!$E$21)),IF($C$2=2,COUNTIF(INDIRECT("'0.1.1 Pokémon GO Moves'!$B$"&amp;MATCH($E946,'0.1.1 Pokémon GO Moves'!$A$1:$A951,0)&amp;":$R$"&amp;MATCH($E946,'0.1.1 Pokémon GO Moves'!$A$1:$A951,0)),'Reverse Search'!$E$21),COUNTIF(INDIRECT("'0.1.1 Pokémon GO Moves'!$B$"&amp;MATCH($E946,'0.1.1 Pokémon GO Moves'!$A$1:$A951,0)&amp;":$L$"&amp;MATCH($E946,'0.1.1 Pokémon GO Moves'!$A$1:$A951,0)),'Reverse Search'!$E$21)))))</f>
        <v>1</v>
      </c>
      <c r="AA946" s="0" t="n">
        <f aca="true">IF('Reverse Search'!$C$14="Disable",1,IF('Reverse Search'!$I$16="Disable",1,IF($D$2=3,IF($M946=0,0,COUNTIF(INDIRECT("'0.0.2 Pokémon Learnset (Core)'!$D$"&amp;MATCH($E946,'0.0.2 Pokémon Learnset (Core)'!$A$1:$A951,0)&amp;":$FK$"&amp;MATCH($E946,'0.0.2 Pokémon Learnset (Core)'!$A$1:$A951,0)),'Reverse Search'!$J$21)),IF($D$2=2,COUNTIF(INDIRECT("'0.1.1 Pokémon GO Moves'!$B$"&amp;MATCH($E946,'0.1.1 Pokémon GO Moves'!$A$1:$A951,0)&amp;":$R$"&amp;MATCH($E946,'0.1.1 Pokémon GO Moves'!$A$1:$A951,0)),'Reverse Search'!$J$21),COUNTIF(INDIRECT("'0.1.1 Pokémon GO Moves'!$B$"&amp;MATCH($E946,'0.1.1 Pokémon GO Moves'!$A$1:$A951,0)&amp;":$L$"&amp;MATCH($E946,'0.1.1 Pokémon GO Moves'!$A$1:$A951,0)),'Reverse Search'!$J$21)))))</f>
        <v>0</v>
      </c>
      <c r="AB946" s="490"/>
      <c r="AC946" s="260" t="n">
        <f aca="false">IF((Q946+R946+S946+V946+W946+X946+Y946+IF(Z946&gt;=1,1,0)+IF(AA946&gt;=1,1,0))=9,G946&amp;", ",)</f>
        <v>0</v>
      </c>
    </row>
    <row r="947" customFormat="false" ht="15.75" hidden="false" customHeight="false" outlineLevel="0" collapsed="false">
      <c r="A947" s="260"/>
      <c r="B947" s="358"/>
      <c r="C947" s="260"/>
      <c r="D947" s="358"/>
      <c r="E947" s="260" t="n">
        <v>946</v>
      </c>
      <c r="F947" s="260" t="n">
        <f aca="false" t="array" ref="F947:F947">INDEX('0.0.1 Pokémon Dex Data'!$H$3:$H951,MATCH(E947,'0.0.1 Pokémon Dex Data'!$B$3:$B951,0))</f>
        <v>0</v>
      </c>
      <c r="G947" s="0" t="str">
        <f aca="false" t="array" ref="G947:G947">INDEX('0.0.1 Pokémon Dex Data'!$E$3:$E951,MATCH(E947,'0.0.1 Pokémon Dex Data'!$B$3:$B951,0))</f>
        <v>Poipole</v>
      </c>
      <c r="H947" s="0" t="str">
        <f aca="false" t="array" ref="H947:H947">INDEX('0.0.1 Pokémon Dex Data'!$Q$3:$Q951,MATCH(E947,'0.0.1 Pokémon Dex Data'!$B$3:$B951,0))</f>
        <v>Poison</v>
      </c>
      <c r="I947" s="0" t="n">
        <f aca="false">INDEX('0.0.1 Pokémon Dex Data'!$R$3:$R951,MATCH(E947,'0.0.1 Pokémon Dex Data'!$B$3:$B951,0))</f>
        <v>0</v>
      </c>
      <c r="J947" s="260" t="n">
        <f aca="false" t="array" ref="J947:J947">ROUND(INDEX('0.0.1 Pokémon Dex Data'!$S$3:$S951,MATCH($E947,'0.0.1 Pokémon Dex Data'!$B$3:$B951,0))*INDEX('0.0.1 Pokémon Dex Data'!T$3:T951,MATCH($E947,'0.0.1 Pokémon Dex Data'!$B$3:$B951,0)),0)</f>
        <v>145</v>
      </c>
      <c r="K947" s="260" t="n">
        <f aca="false" t="array" ref="K947:K947">ROUND(INDEX('0.0.1 Pokémon Dex Data'!$S$3:$S951,MATCH($E947,'0.0.1 Pokémon Dex Data'!$B$3:$B951,0))*INDEX('0.0.1 Pokémon Dex Data'!U$3:U951,MATCH($E947,'0.0.1 Pokémon Dex Data'!$B$3:$B951,0)),0)</f>
        <v>133</v>
      </c>
      <c r="L947" s="260" t="n">
        <f aca="false" t="array" ref="L947:L947">ROUND(INDEX('0.0.1 Pokémon Dex Data'!$S$3:$S951,MATCH($E947,'0.0.1 Pokémon Dex Data'!$B$3:$B951,0))*INDEX('0.0.1 Pokémon Dex Data'!V$3:V951,MATCH($E947,'0.0.1 Pokémon Dex Data'!$B$3:$B951,0)),0)</f>
        <v>167</v>
      </c>
      <c r="M947" s="260" t="n">
        <f aca="false" t="array" ref="M947:M947">INDEX('0.0.1 Pokémon Dex Data'!$J$3:$J951,MATCH(E947,'0.0.1 Pokémon Dex Data'!$B$3:$B951,0))</f>
        <v>0</v>
      </c>
      <c r="O947" s="490"/>
      <c r="Q947" s="367" t="n">
        <f aca="false">IF('Reverse Search'!$F$4="All (including temporary formes)",1,IF('Reverse Search'!$F$4="Base Pokémon and permanent formes only",IF(F947&lt;=1,1,0),IF(F947=0,1,0)))</f>
        <v>1</v>
      </c>
      <c r="R947" s="0" t="n">
        <f aca="false">IF('Reverse Search'!$C$7="Disable",1,IF('Reverse Search'!$D$9="Disable",1,IF(OR('Reverse Search'!$F$9=H947,'Reverse Search'!$F$9=I947),1,0)))</f>
        <v>1</v>
      </c>
      <c r="S947" s="0" t="n">
        <f aca="false">IF('Reverse Search'!$C$7="Disable",1,IF('Reverse Search'!$D$10="Disable",1,IF(OR('Reverse Search'!$F$10=H947,'Reverse Search'!$F$10=I947),1,0)))</f>
        <v>1</v>
      </c>
      <c r="T947" s="0" t="n">
        <f aca="false">INDEX($B$4:$B$22,MATCH(H947,$A$4:$A$22,0))</f>
        <v>1</v>
      </c>
      <c r="U947" s="0" t="e">
        <f aca="false">IF(ISBLANK(I947),1,INDEX($B$4:$B$22,MATCH(I947,$A$4:$A$22,0)))</f>
        <v>#N/A</v>
      </c>
      <c r="V947" s="367" t="n">
        <f aca="false">IF('Reverse Search'!$C$7="Disable",1,IF('Reverse Search'!$D$11="Disable",1,IF('Reverse Search'!$E$11="Neutral to:",IF(ROUND(T947*U947,2)&lt;=1,1,0),IF(ROUND(T947*U947,2)&lt;1,1,0))))</f>
        <v>1</v>
      </c>
      <c r="W947" s="0" t="n">
        <f aca="false">IF('Reverse Search'!$N$7="Disable",1,IF('Reverse Search'!$I$9="Disable",1,IF('Reverse Search'!$K$9="≥",IF(J947&gt;='Reverse Search'!$L$9,1,0),IF('Reverse Search'!$K$9="≤",IF(J947&lt;='Reverse Search'!$L$9,1,0),IF(J947='Reverse Search'!$L$9,1,0)))))</f>
        <v>1</v>
      </c>
      <c r="X947" s="0" t="n">
        <f aca="false">IF('Reverse Search'!$N$7="Disable",1,IF('Reverse Search'!$I$10="Disable",1,IF('Reverse Search'!$K$10="≥",IF(K947&gt;='Reverse Search'!$L$10,1,0),IF('Reverse Search'!$K$10="≤",IF(K947&lt;='Reverse Search'!$L$10,1,0),IF(K947='Reverse Search'!$L$10,1,0)))))</f>
        <v>1</v>
      </c>
      <c r="Y947" s="367" t="n">
        <f aca="false">IF('Reverse Search'!$N$7="Disable",1,IF('Reverse Search'!$I$11="Disable",1,IF('Reverse Search'!$K$11="≥",IF(L947&gt;='Reverse Search'!$L$11,1,0),IF('Reverse Search'!$K$11="≤",IF(L947&lt;='Reverse Search'!$L$11,1,0),IF(L947='Reverse Search'!$L$11,1,0)))))</f>
        <v>1</v>
      </c>
      <c r="Z947" s="0" t="n">
        <f aca="true">IF('Reverse Search'!$C$14="Disable",1,IF('Reverse Search'!$D$16="Disable",1,IF($C$2=3,IF($M947=0,0,COUNTIF(INDIRECT("'0.0.2 Pokémon Learnset (Core)'!$D$"&amp;MATCH($E947,'0.0.2 Pokémon Learnset (Core)'!$A$1:$A951,0)&amp;":$FK$"&amp;MATCH($E947,'0.0.2 Pokémon Learnset (Core)'!$A$1:$A951,0)),'Reverse Search'!$E$21)),IF($C$2=2,COUNTIF(INDIRECT("'0.1.1 Pokémon GO Moves'!$B$"&amp;MATCH($E947,'0.1.1 Pokémon GO Moves'!$A$1:$A951,0)&amp;":$R$"&amp;MATCH($E947,'0.1.1 Pokémon GO Moves'!$A$1:$A951,0)),'Reverse Search'!$E$21),COUNTIF(INDIRECT("'0.1.1 Pokémon GO Moves'!$B$"&amp;MATCH($E947,'0.1.1 Pokémon GO Moves'!$A$1:$A951,0)&amp;":$L$"&amp;MATCH($E947,'0.1.1 Pokémon GO Moves'!$A$1:$A951,0)),'Reverse Search'!$E$21)))))</f>
        <v>1</v>
      </c>
      <c r="AA947" s="0" t="n">
        <f aca="true">IF('Reverse Search'!$C$14="Disable",1,IF('Reverse Search'!$I$16="Disable",1,IF($D$2=3,IF($M947=0,0,COUNTIF(INDIRECT("'0.0.2 Pokémon Learnset (Core)'!$D$"&amp;MATCH($E947,'0.0.2 Pokémon Learnset (Core)'!$A$1:$A951,0)&amp;":$FK$"&amp;MATCH($E947,'0.0.2 Pokémon Learnset (Core)'!$A$1:$A951,0)),'Reverse Search'!$J$21)),IF($D$2=2,COUNTIF(INDIRECT("'0.1.1 Pokémon GO Moves'!$B$"&amp;MATCH($E947,'0.1.1 Pokémon GO Moves'!$A$1:$A951,0)&amp;":$R$"&amp;MATCH($E947,'0.1.1 Pokémon GO Moves'!$A$1:$A951,0)),'Reverse Search'!$J$21),COUNTIF(INDIRECT("'0.1.1 Pokémon GO Moves'!$B$"&amp;MATCH($E947,'0.1.1 Pokémon GO Moves'!$A$1:$A951,0)&amp;":$L$"&amp;MATCH($E947,'0.1.1 Pokémon GO Moves'!$A$1:$A951,0)),'Reverse Search'!$J$21)))))</f>
        <v>0</v>
      </c>
      <c r="AB947" s="490"/>
      <c r="AC947" s="260" t="n">
        <f aca="false">IF((Q947+R947+S947+V947+W947+X947+Y947+IF(Z947&gt;=1,1,0)+IF(AA947&gt;=1,1,0))=9,G947&amp;", ",)</f>
        <v>0</v>
      </c>
    </row>
    <row r="948" customFormat="false" ht="15.75" hidden="false" customHeight="false" outlineLevel="0" collapsed="false">
      <c r="A948" s="260"/>
      <c r="B948" s="358"/>
      <c r="C948" s="260"/>
      <c r="D948" s="358"/>
      <c r="E948" s="260" t="n">
        <v>947</v>
      </c>
      <c r="F948" s="260" t="n">
        <f aca="false" t="array" ref="F948:F948">INDEX('0.0.1 Pokémon Dex Data'!$H$3:$H951,MATCH(E948,'0.0.1 Pokémon Dex Data'!$B$3:$B951,0))</f>
        <v>0</v>
      </c>
      <c r="G948" s="0" t="str">
        <f aca="false" t="array" ref="G948:G948">INDEX('0.0.1 Pokémon Dex Data'!$E$3:$E951,MATCH(E948,'0.0.1 Pokémon Dex Data'!$B$3:$B951,0))</f>
        <v>Naganadel</v>
      </c>
      <c r="H948" s="0" t="str">
        <f aca="false" t="array" ref="H948:H948">INDEX('0.0.1 Pokémon Dex Data'!$Q$3:$Q951,MATCH(E948,'0.0.1 Pokémon Dex Data'!$B$3:$B951,0))</f>
        <v>Poison</v>
      </c>
      <c r="I948" s="0" t="str">
        <f aca="false" t="array" ref="I948:I948">INDEX('0.0.1 Pokémon Dex Data'!$R$3:$R951,MATCH(E948,'0.0.1 Pokémon Dex Data'!$B$3:$B951,0))</f>
        <v>Dragon</v>
      </c>
      <c r="J948" s="260" t="n">
        <f aca="false" t="array" ref="J948:J948">ROUND(INDEX('0.0.1 Pokémon Dex Data'!$S$3:$S951,MATCH($E948,'0.0.1 Pokémon Dex Data'!$B$3:$B951,0))*INDEX('0.0.1 Pokémon Dex Data'!T$3:T951,MATCH($E948,'0.0.1 Pokémon Dex Data'!$B$3:$B951,0)),0)</f>
        <v>263</v>
      </c>
      <c r="K948" s="260" t="n">
        <f aca="false" t="array" ref="K948:K948">ROUND(INDEX('0.0.1 Pokémon Dex Data'!$S$3:$S951,MATCH($E948,'0.0.1 Pokémon Dex Data'!$B$3:$B951,0))*INDEX('0.0.1 Pokémon Dex Data'!U$3:U951,MATCH($E948,'0.0.1 Pokémon Dex Data'!$B$3:$B951,0)),0)</f>
        <v>159</v>
      </c>
      <c r="L948" s="260" t="n">
        <f aca="false" t="array" ref="L948:L948">ROUND(INDEX('0.0.1 Pokémon Dex Data'!$S$3:$S951,MATCH($E948,'0.0.1 Pokémon Dex Data'!$B$3:$B951,0))*INDEX('0.0.1 Pokémon Dex Data'!V$3:V951,MATCH($E948,'0.0.1 Pokémon Dex Data'!$B$3:$B951,0)),0)</f>
        <v>177</v>
      </c>
      <c r="M948" s="260" t="n">
        <f aca="false" t="array" ref="M948:M948">INDEX('0.0.1 Pokémon Dex Data'!$J$3:$J951,MATCH(E948,'0.0.1 Pokémon Dex Data'!$B$3:$B951,0))</f>
        <v>1</v>
      </c>
      <c r="O948" s="490"/>
      <c r="Q948" s="367" t="n">
        <f aca="false">IF('Reverse Search'!$F$4="All (including temporary formes)",1,IF('Reverse Search'!$F$4="Base Pokémon and permanent formes only",IF(F948&lt;=1,1,0),IF(F948=0,1,0)))</f>
        <v>1</v>
      </c>
      <c r="R948" s="0" t="n">
        <f aca="false">IF('Reverse Search'!$C$7="Disable",1,IF('Reverse Search'!$D$9="Disable",1,IF(OR('Reverse Search'!$F$9=H948,'Reverse Search'!$F$9=I948),1,0)))</f>
        <v>1</v>
      </c>
      <c r="S948" s="0" t="n">
        <f aca="false">IF('Reverse Search'!$C$7="Disable",1,IF('Reverse Search'!$D$10="Disable",1,IF(OR('Reverse Search'!$F$10=H948,'Reverse Search'!$F$10=I948),1,0)))</f>
        <v>1</v>
      </c>
      <c r="T948" s="0" t="n">
        <f aca="false">INDEX($B$4:$B$22,MATCH(H948,$A$4:$A$22,0))</f>
        <v>1</v>
      </c>
      <c r="U948" s="0" t="n">
        <f aca="false">IF(ISBLANK(I948),1,INDEX($B$4:$B$22,MATCH(I948,$A$4:$A$22,0)))</f>
        <v>1</v>
      </c>
      <c r="V948" s="367" t="n">
        <f aca="false">IF('Reverse Search'!$C$7="Disable",1,IF('Reverse Search'!$D$11="Disable",1,IF('Reverse Search'!$E$11="Neutral to:",IF(ROUND(T948*U948,2)&lt;=1,1,0),IF(ROUND(T948*U948,2)&lt;1,1,0))))</f>
        <v>1</v>
      </c>
      <c r="W948" s="0" t="n">
        <f aca="false">IF('Reverse Search'!$N$7="Disable",1,IF('Reverse Search'!$I$9="Disable",1,IF('Reverse Search'!$K$9="≥",IF(J948&gt;='Reverse Search'!$L$9,1,0),IF('Reverse Search'!$K$9="≤",IF(J948&lt;='Reverse Search'!$L$9,1,0),IF(J948='Reverse Search'!$L$9,1,0)))))</f>
        <v>1</v>
      </c>
      <c r="X948" s="0" t="n">
        <f aca="false">IF('Reverse Search'!$N$7="Disable",1,IF('Reverse Search'!$I$10="Disable",1,IF('Reverse Search'!$K$10="≥",IF(K948&gt;='Reverse Search'!$L$10,1,0),IF('Reverse Search'!$K$10="≤",IF(K948&lt;='Reverse Search'!$L$10,1,0),IF(K948='Reverse Search'!$L$10,1,0)))))</f>
        <v>1</v>
      </c>
      <c r="Y948" s="367" t="n">
        <f aca="false">IF('Reverse Search'!$N$7="Disable",1,IF('Reverse Search'!$I$11="Disable",1,IF('Reverse Search'!$K$11="≥",IF(L948&gt;='Reverse Search'!$L$11,1,0),IF('Reverse Search'!$K$11="≤",IF(L948&lt;='Reverse Search'!$L$11,1,0),IF(L948='Reverse Search'!$L$11,1,0)))))</f>
        <v>1</v>
      </c>
      <c r="Z948" s="0" t="n">
        <f aca="true">IF('Reverse Search'!$C$14="Disable",1,IF('Reverse Search'!$D$16="Disable",1,IF($C$2=3,IF($M948=0,0,COUNTIF(INDIRECT("'0.0.2 Pokémon Learnset (Core)'!$D$"&amp;MATCH($E948,'0.0.2 Pokémon Learnset (Core)'!$A$1:$A951,0)&amp;":$FK$"&amp;MATCH($E948,'0.0.2 Pokémon Learnset (Core)'!$A$1:$A951,0)),'Reverse Search'!$E$21)),IF($C$2=2,COUNTIF(INDIRECT("'0.1.1 Pokémon GO Moves'!$B$"&amp;MATCH($E948,'0.1.1 Pokémon GO Moves'!$A$1:$A951,0)&amp;":$R$"&amp;MATCH($E948,'0.1.1 Pokémon GO Moves'!$A$1:$A951,0)),'Reverse Search'!$E$21),COUNTIF(INDIRECT("'0.1.1 Pokémon GO Moves'!$B$"&amp;MATCH($E948,'0.1.1 Pokémon GO Moves'!$A$1:$A951,0)&amp;":$L$"&amp;MATCH($E948,'0.1.1 Pokémon GO Moves'!$A$1:$A951,0)),'Reverse Search'!$E$21)))))</f>
        <v>1</v>
      </c>
      <c r="AA948" s="0" t="n">
        <f aca="true">IF('Reverse Search'!$C$14="Disable",1,IF('Reverse Search'!$I$16="Disable",1,IF($D$2=3,IF($M948=0,0,COUNTIF(INDIRECT("'0.0.2 Pokémon Learnset (Core)'!$D$"&amp;MATCH($E948,'0.0.2 Pokémon Learnset (Core)'!$A$1:$A951,0)&amp;":$FK$"&amp;MATCH($E948,'0.0.2 Pokémon Learnset (Core)'!$A$1:$A951,0)),'Reverse Search'!$J$21)),IF($D$2=2,COUNTIF(INDIRECT("'0.1.1 Pokémon GO Moves'!$B$"&amp;MATCH($E948,'0.1.1 Pokémon GO Moves'!$A$1:$A951,0)&amp;":$R$"&amp;MATCH($E948,'0.1.1 Pokémon GO Moves'!$A$1:$A951,0)),'Reverse Search'!$J$21),COUNTIF(INDIRECT("'0.1.1 Pokémon GO Moves'!$B$"&amp;MATCH($E948,'0.1.1 Pokémon GO Moves'!$A$1:$A951,0)&amp;":$L$"&amp;MATCH($E948,'0.1.1 Pokémon GO Moves'!$A$1:$A951,0)),'Reverse Search'!$J$21)))))</f>
        <v>0</v>
      </c>
      <c r="AB948" s="490"/>
      <c r="AC948" s="260" t="n">
        <f aca="false">IF((Q948+R948+S948+V948+W948+X948+Y948+IF(Z948&gt;=1,1,0)+IF(AA948&gt;=1,1,0))=9,G948&amp;", ",)</f>
        <v>0</v>
      </c>
    </row>
    <row r="949" customFormat="false" ht="15.75" hidden="false" customHeight="false" outlineLevel="0" collapsed="false">
      <c r="A949" s="260"/>
      <c r="B949" s="358"/>
      <c r="C949" s="260"/>
      <c r="D949" s="358"/>
      <c r="E949" s="260" t="n">
        <v>948</v>
      </c>
      <c r="F949" s="260" t="n">
        <f aca="false" t="array" ref="F949:F949">INDEX('0.0.1 Pokémon Dex Data'!$H$3:$H951,MATCH(E949,'0.0.1 Pokémon Dex Data'!$B$3:$B951,0))</f>
        <v>0</v>
      </c>
      <c r="G949" s="0" t="str">
        <f aca="false" t="array" ref="G949:G949">INDEX('0.0.1 Pokémon Dex Data'!$E$3:$E951,MATCH(E949,'0.0.1 Pokémon Dex Data'!$B$3:$B951,0))</f>
        <v>Stakataka</v>
      </c>
      <c r="H949" s="0" t="str">
        <f aca="false" t="array" ref="H949:H949">INDEX('0.0.1 Pokémon Dex Data'!$Q$3:$Q951,MATCH(E949,'0.0.1 Pokémon Dex Data'!$B$3:$B951,0))</f>
        <v>Rock</v>
      </c>
      <c r="I949" s="0" t="str">
        <f aca="false" t="array" ref="I949:I949">INDEX('0.0.1 Pokémon Dex Data'!$R$3:$R951,MATCH(E949,'0.0.1 Pokémon Dex Data'!$B$3:$B951,0))</f>
        <v>Steel</v>
      </c>
      <c r="J949" s="260" t="n">
        <f aca="false" t="array" ref="J949:J949">ROUND(INDEX('0.0.1 Pokémon Dex Data'!$S$3:$S951,MATCH($E949,'0.0.1 Pokémon Dex Data'!$B$3:$B951,0))*INDEX('0.0.1 Pokémon Dex Data'!T$3:T951,MATCH($E949,'0.0.1 Pokémon Dex Data'!$B$3:$B951,0)),0)</f>
        <v>213</v>
      </c>
      <c r="K949" s="260" t="n">
        <f aca="false" t="array" ref="K949:K949">ROUND(INDEX('0.0.1 Pokémon Dex Data'!$S$3:$S951,MATCH($E949,'0.0.1 Pokémon Dex Data'!$B$3:$B951,0))*INDEX('0.0.1 Pokémon Dex Data'!U$3:U951,MATCH($E949,'0.0.1 Pokémon Dex Data'!$B$3:$B951,0)),0)</f>
        <v>298</v>
      </c>
      <c r="L949" s="260" t="n">
        <f aca="false" t="array" ref="L949:L949">ROUND(INDEX('0.0.1 Pokémon Dex Data'!$S$3:$S951,MATCH($E949,'0.0.1 Pokémon Dex Data'!$B$3:$B951,0))*INDEX('0.0.1 Pokémon Dex Data'!V$3:V951,MATCH($E949,'0.0.1 Pokémon Dex Data'!$B$3:$B951,0)),0)</f>
        <v>156</v>
      </c>
      <c r="M949" s="260" t="n">
        <f aca="false" t="array" ref="M949:M949">INDEX('0.0.1 Pokémon Dex Data'!$J$3:$J951,MATCH(E949,'0.0.1 Pokémon Dex Data'!$B$3:$B951,0))</f>
        <v>1</v>
      </c>
      <c r="O949" s="490"/>
      <c r="Q949" s="367" t="n">
        <f aca="false">IF('Reverse Search'!$F$4="All (including temporary formes)",1,IF('Reverse Search'!$F$4="Base Pokémon and permanent formes only",IF(F949&lt;=1,1,0),IF(F949=0,1,0)))</f>
        <v>1</v>
      </c>
      <c r="R949" s="0" t="n">
        <f aca="false">IF('Reverse Search'!$C$7="Disable",1,IF('Reverse Search'!$D$9="Disable",1,IF(OR('Reverse Search'!$F$9=H949,'Reverse Search'!$F$9=I949),1,0)))</f>
        <v>1</v>
      </c>
      <c r="S949" s="0" t="n">
        <f aca="false">IF('Reverse Search'!$C$7="Disable",1,IF('Reverse Search'!$D$10="Disable",1,IF(OR('Reverse Search'!$F$10=H949,'Reverse Search'!$F$10=I949),1,0)))</f>
        <v>1</v>
      </c>
      <c r="T949" s="0" t="n">
        <f aca="false">INDEX($B$4:$B$22,MATCH(H949,$A$4:$A$22,0))</f>
        <v>0.714</v>
      </c>
      <c r="U949" s="0" t="n">
        <f aca="false">IF(ISBLANK(I949),1,INDEX($B$4:$B$22,MATCH(I949,$A$4:$A$22,0)))</f>
        <v>0.714</v>
      </c>
      <c r="V949" s="367" t="n">
        <f aca="false">IF('Reverse Search'!$C$7="Disable",1,IF('Reverse Search'!$D$11="Disable",1,IF('Reverse Search'!$E$11="Neutral to:",IF(ROUND(T949*U949,2)&lt;=1,1,0),IF(ROUND(T949*U949,2)&lt;1,1,0))))</f>
        <v>1</v>
      </c>
      <c r="W949" s="0" t="n">
        <f aca="false">IF('Reverse Search'!$N$7="Disable",1,IF('Reverse Search'!$I$9="Disable",1,IF('Reverse Search'!$K$9="≥",IF(J949&gt;='Reverse Search'!$L$9,1,0),IF('Reverse Search'!$K$9="≤",IF(J949&lt;='Reverse Search'!$L$9,1,0),IF(J949='Reverse Search'!$L$9,1,0)))))</f>
        <v>1</v>
      </c>
      <c r="X949" s="0" t="n">
        <f aca="false">IF('Reverse Search'!$N$7="Disable",1,IF('Reverse Search'!$I$10="Disable",1,IF('Reverse Search'!$K$10="≥",IF(K949&gt;='Reverse Search'!$L$10,1,0),IF('Reverse Search'!$K$10="≤",IF(K949&lt;='Reverse Search'!$L$10,1,0),IF(K949='Reverse Search'!$L$10,1,0)))))</f>
        <v>1</v>
      </c>
      <c r="Y949" s="367" t="n">
        <f aca="false">IF('Reverse Search'!$N$7="Disable",1,IF('Reverse Search'!$I$11="Disable",1,IF('Reverse Search'!$K$11="≥",IF(L949&gt;='Reverse Search'!$L$11,1,0),IF('Reverse Search'!$K$11="≤",IF(L949&lt;='Reverse Search'!$L$11,1,0),IF(L949='Reverse Search'!$L$11,1,0)))))</f>
        <v>1</v>
      </c>
      <c r="Z949" s="0" t="n">
        <f aca="true">IF('Reverse Search'!$C$14="Disable",1,IF('Reverse Search'!$D$16="Disable",1,IF($C$2=3,IF($M949=0,0,COUNTIF(INDIRECT("'0.0.2 Pokémon Learnset (Core)'!$D$"&amp;MATCH($E949,'0.0.2 Pokémon Learnset (Core)'!$A$1:$A951,0)&amp;":$FK$"&amp;MATCH($E949,'0.0.2 Pokémon Learnset (Core)'!$A$1:$A951,0)),'Reverse Search'!$E$21)),IF($C$2=2,COUNTIF(INDIRECT("'0.1.1 Pokémon GO Moves'!$B$"&amp;MATCH($E949,'0.1.1 Pokémon GO Moves'!$A$1:$A951,0)&amp;":$R$"&amp;MATCH($E949,'0.1.1 Pokémon GO Moves'!$A$1:$A951,0)),'Reverse Search'!$E$21),COUNTIF(INDIRECT("'0.1.1 Pokémon GO Moves'!$B$"&amp;MATCH($E949,'0.1.1 Pokémon GO Moves'!$A$1:$A951,0)&amp;":$L$"&amp;MATCH($E949,'0.1.1 Pokémon GO Moves'!$A$1:$A951,0)),'Reverse Search'!$E$21)))))</f>
        <v>1</v>
      </c>
      <c r="AA949" s="0" t="n">
        <f aca="true">IF('Reverse Search'!$C$14="Disable",1,IF('Reverse Search'!$I$16="Disable",1,IF($D$2=3,IF($M949=0,0,COUNTIF(INDIRECT("'0.0.2 Pokémon Learnset (Core)'!$D$"&amp;MATCH($E949,'0.0.2 Pokémon Learnset (Core)'!$A$1:$A951,0)&amp;":$FK$"&amp;MATCH($E949,'0.0.2 Pokémon Learnset (Core)'!$A$1:$A951,0)),'Reverse Search'!$J$21)),IF($D$2=2,COUNTIF(INDIRECT("'0.1.1 Pokémon GO Moves'!$B$"&amp;MATCH($E949,'0.1.1 Pokémon GO Moves'!$A$1:$A951,0)&amp;":$R$"&amp;MATCH($E949,'0.1.1 Pokémon GO Moves'!$A$1:$A951,0)),'Reverse Search'!$J$21),COUNTIF(INDIRECT("'0.1.1 Pokémon GO Moves'!$B$"&amp;MATCH($E949,'0.1.1 Pokémon GO Moves'!$A$1:$A951,0)&amp;":$L$"&amp;MATCH($E949,'0.1.1 Pokémon GO Moves'!$A$1:$A951,0)),'Reverse Search'!$J$21)))))</f>
        <v>0</v>
      </c>
      <c r="AB949" s="490"/>
      <c r="AC949" s="260" t="n">
        <f aca="false">IF((Q949+R949+S949+V949+W949+X949+Y949+IF(Z949&gt;=1,1,0)+IF(AA949&gt;=1,1,0))=9,G949&amp;", ",)</f>
        <v>0</v>
      </c>
    </row>
    <row r="950" customFormat="false" ht="15.75" hidden="false" customHeight="false" outlineLevel="0" collapsed="false">
      <c r="A950" s="260"/>
      <c r="B950" s="358"/>
      <c r="C950" s="260"/>
      <c r="D950" s="358"/>
      <c r="E950" s="260" t="n">
        <v>949</v>
      </c>
      <c r="F950" s="260" t="n">
        <f aca="false" t="array" ref="F950:F950">INDEX('0.0.1 Pokémon Dex Data'!$H$3:$H951,MATCH(E950,'0.0.1 Pokémon Dex Data'!$B$3:$B951,0))</f>
        <v>0</v>
      </c>
      <c r="G950" s="0" t="str">
        <f aca="false" t="array" ref="G950:G950">INDEX('0.0.1 Pokémon Dex Data'!$E$3:$E951,MATCH(E950,'0.0.1 Pokémon Dex Data'!$B$3:$B951,0))</f>
        <v>Blacephalon</v>
      </c>
      <c r="H950" s="0" t="str">
        <f aca="false" t="array" ref="H950:H950">INDEX('0.0.1 Pokémon Dex Data'!$Q$3:$Q951,MATCH(E950,'0.0.1 Pokémon Dex Data'!$B$3:$B951,0))</f>
        <v>Fire</v>
      </c>
      <c r="I950" s="0" t="str">
        <f aca="false" t="array" ref="I950:I950">INDEX('0.0.1 Pokémon Dex Data'!$R$3:$R951,MATCH(E950,'0.0.1 Pokémon Dex Data'!$B$3:$B951,0))</f>
        <v>Ghost</v>
      </c>
      <c r="J950" s="260" t="n">
        <f aca="false" t="array" ref="J950:J950">ROUND(INDEX('0.0.1 Pokémon Dex Data'!$S$3:$S951,MATCH($E950,'0.0.1 Pokémon Dex Data'!$B$3:$B951,0))*INDEX('0.0.1 Pokémon Dex Data'!T$3:T951,MATCH($E950,'0.0.1 Pokémon Dex Data'!$B$3:$B951,0)),0)</f>
        <v>315</v>
      </c>
      <c r="K950" s="260" t="n">
        <f aca="false" t="array" ref="K950:K950">ROUND(INDEX('0.0.1 Pokémon Dex Data'!$S$3:$S951,MATCH($E950,'0.0.1 Pokémon Dex Data'!$B$3:$B951,0))*INDEX('0.0.1 Pokémon Dex Data'!U$3:U951,MATCH($E950,'0.0.1 Pokémon Dex Data'!$B$3:$B951,0)),0)</f>
        <v>148</v>
      </c>
      <c r="L950" s="260" t="n">
        <f aca="false" t="array" ref="L950:L950">ROUND(INDEX('0.0.1 Pokémon Dex Data'!$S$3:$S951,MATCH($E950,'0.0.1 Pokémon Dex Data'!$B$3:$B951,0))*INDEX('0.0.1 Pokémon Dex Data'!V$3:V951,MATCH($E950,'0.0.1 Pokémon Dex Data'!$B$3:$B951,0)),0)</f>
        <v>142</v>
      </c>
      <c r="M950" s="260" t="n">
        <f aca="false" t="array" ref="M950:M950">INDEX('0.0.1 Pokémon Dex Data'!$J$3:$J951,MATCH(E950,'0.0.1 Pokémon Dex Data'!$B$3:$B951,0))</f>
        <v>1</v>
      </c>
      <c r="O950" s="490"/>
      <c r="Q950" s="367" t="n">
        <f aca="false">IF('Reverse Search'!$F$4="All (including temporary formes)",1,IF('Reverse Search'!$F$4="Base Pokémon and permanent formes only",IF(F950&lt;=1,1,0),IF(F950=0,1,0)))</f>
        <v>1</v>
      </c>
      <c r="R950" s="0" t="n">
        <f aca="false">IF('Reverse Search'!$C$7="Disable",1,IF('Reverse Search'!$D$9="Disable",1,IF(OR('Reverse Search'!$F$9=H950,'Reverse Search'!$F$9=I950),1,0)))</f>
        <v>1</v>
      </c>
      <c r="S950" s="0" t="n">
        <f aca="false">IF('Reverse Search'!$C$7="Disable",1,IF('Reverse Search'!$D$10="Disable",1,IF(OR('Reverse Search'!$F$10=H950,'Reverse Search'!$F$10=I950),1,0)))</f>
        <v>1</v>
      </c>
      <c r="T950" s="0" t="n">
        <f aca="false">INDEX($B$4:$B$22,MATCH(H950,$A$4:$A$22,0))</f>
        <v>1</v>
      </c>
      <c r="U950" s="0" t="n">
        <f aca="false">IF(ISBLANK(I950),1,INDEX($B$4:$B$22,MATCH(I950,$A$4:$A$22,0)))</f>
        <v>0.51</v>
      </c>
      <c r="V950" s="367" t="n">
        <f aca="false">IF('Reverse Search'!$C$7="Disable",1,IF('Reverse Search'!$D$11="Disable",1,IF('Reverse Search'!$E$11="Neutral to:",IF(ROUND(T950*U950,2)&lt;=1,1,0),IF(ROUND(T950*U950,2)&lt;1,1,0))))</f>
        <v>1</v>
      </c>
      <c r="W950" s="0" t="n">
        <f aca="false">IF('Reverse Search'!$N$7="Disable",1,IF('Reverse Search'!$I$9="Disable",1,IF('Reverse Search'!$K$9="≥",IF(J950&gt;='Reverse Search'!$L$9,1,0),IF('Reverse Search'!$K$9="≤",IF(J950&lt;='Reverse Search'!$L$9,1,0),IF(J950='Reverse Search'!$L$9,1,0)))))</f>
        <v>1</v>
      </c>
      <c r="X950" s="0" t="n">
        <f aca="false">IF('Reverse Search'!$N$7="Disable",1,IF('Reverse Search'!$I$10="Disable",1,IF('Reverse Search'!$K$10="≥",IF(K950&gt;='Reverse Search'!$L$10,1,0),IF('Reverse Search'!$K$10="≤",IF(K950&lt;='Reverse Search'!$L$10,1,0),IF(K950='Reverse Search'!$L$10,1,0)))))</f>
        <v>1</v>
      </c>
      <c r="Y950" s="367" t="n">
        <f aca="false">IF('Reverse Search'!$N$7="Disable",1,IF('Reverse Search'!$I$11="Disable",1,IF('Reverse Search'!$K$11="≥",IF(L950&gt;='Reverse Search'!$L$11,1,0),IF('Reverse Search'!$K$11="≤",IF(L950&lt;='Reverse Search'!$L$11,1,0),IF(L950='Reverse Search'!$L$11,1,0)))))</f>
        <v>1</v>
      </c>
      <c r="Z950" s="0" t="n">
        <f aca="true">IF('Reverse Search'!$C$14="Disable",1,IF('Reverse Search'!$D$16="Disable",1,IF($C$2=3,IF($M950=0,0,COUNTIF(INDIRECT("'0.0.2 Pokémon Learnset (Core)'!$D$"&amp;MATCH($E950,'0.0.2 Pokémon Learnset (Core)'!$A$1:$A951,0)&amp;":$FK$"&amp;MATCH($E950,'0.0.2 Pokémon Learnset (Core)'!$A$1:$A951,0)),'Reverse Search'!$E$21)),IF($C$2=2,COUNTIF(INDIRECT("'0.1.1 Pokémon GO Moves'!$B$"&amp;MATCH($E950,'0.1.1 Pokémon GO Moves'!$A$1:$A951,0)&amp;":$R$"&amp;MATCH($E950,'0.1.1 Pokémon GO Moves'!$A$1:$A951,0)),'Reverse Search'!$E$21),COUNTIF(INDIRECT("'0.1.1 Pokémon GO Moves'!$B$"&amp;MATCH($E950,'0.1.1 Pokémon GO Moves'!$A$1:$A951,0)&amp;":$L$"&amp;MATCH($E950,'0.1.1 Pokémon GO Moves'!$A$1:$A951,0)),'Reverse Search'!$E$21)))))</f>
        <v>1</v>
      </c>
      <c r="AA950" s="0" t="n">
        <f aca="true">IF('Reverse Search'!$C$14="Disable",1,IF('Reverse Search'!$I$16="Disable",1,IF($D$2=3,IF($M950=0,0,COUNTIF(INDIRECT("'0.0.2 Pokémon Learnset (Core)'!$D$"&amp;MATCH($E950,'0.0.2 Pokémon Learnset (Core)'!$A$1:$A951,0)&amp;":$FK$"&amp;MATCH($E950,'0.0.2 Pokémon Learnset (Core)'!$A$1:$A951,0)),'Reverse Search'!$J$21)),IF($D$2=2,COUNTIF(INDIRECT("'0.1.1 Pokémon GO Moves'!$B$"&amp;MATCH($E950,'0.1.1 Pokémon GO Moves'!$A$1:$A951,0)&amp;":$R$"&amp;MATCH($E950,'0.1.1 Pokémon GO Moves'!$A$1:$A951,0)),'Reverse Search'!$J$21),COUNTIF(INDIRECT("'0.1.1 Pokémon GO Moves'!$B$"&amp;MATCH($E950,'0.1.1 Pokémon GO Moves'!$A$1:$A951,0)&amp;":$L$"&amp;MATCH($E950,'0.1.1 Pokémon GO Moves'!$A$1:$A951,0)),'Reverse Search'!$J$21)))))</f>
        <v>0</v>
      </c>
      <c r="AB950" s="490"/>
      <c r="AC950" s="260" t="n">
        <f aca="false">IF((Q950+R950+S950+V950+W950+X950+Y950+IF(Z950&gt;=1,1,0)+IF(AA950&gt;=1,1,0))=9,G950&amp;", ",)</f>
        <v>0</v>
      </c>
    </row>
    <row r="951" customFormat="false" ht="15.75" hidden="false" customHeight="false" outlineLevel="0" collapsed="false">
      <c r="A951" s="260"/>
      <c r="B951" s="358"/>
      <c r="C951" s="260"/>
      <c r="D951" s="358"/>
      <c r="E951" s="260" t="n">
        <v>950</v>
      </c>
      <c r="F951" s="260" t="e">
        <f aca="false" t="array" ref="F951:F951">INDEX('0.0.1 Pokémon Dex Data'!$H$3:$H951,MATCH(E951,'0.0.1 Pokémon Dex Data'!$B$3:$B951,0))</f>
        <v>#N/A</v>
      </c>
      <c r="G951" s="0" t="e">
        <f aca="false" t="array" ref="G951:G951">INDEX('0.0.1 Pokémon Dex Data'!$E$3:$E951,MATCH(E951,'0.0.1 Pokémon Dex Data'!$B$3:$B951,0))</f>
        <v>#N/A</v>
      </c>
      <c r="H951" s="0" t="e">
        <f aca="false" t="array" ref="H951:H951">INDEX('0.0.1 Pokémon Dex Data'!$Q$3:$Q951,MATCH(E951,'0.0.1 Pokémon Dex Data'!$B$3:$B951,0))</f>
        <v>#N/A</v>
      </c>
      <c r="I951" s="0" t="e">
        <f aca="false" t="array" ref="I951:I951">INDEX('0.0.1 Pokémon Dex Data'!$R$3:$R951,MATCH(E951,'0.0.1 Pokémon Dex Data'!$B$3:$B951,0))</f>
        <v>#N/A</v>
      </c>
      <c r="J951" s="260" t="e">
        <f aca="false" t="array" ref="J951:J951">ROUND(INDEX('0.0.1 Pokémon Dex Data'!$S$3:$S951,MATCH($E951,'0.0.1 Pokémon Dex Data'!$B$3:$B951,0))*INDEX('0.0.1 Pokémon Dex Data'!T$3:T951,MATCH($E951,'0.0.1 Pokémon Dex Data'!$B$3:$B951,0)),0)</f>
        <v>#N/A</v>
      </c>
      <c r="K951" s="260" t="e">
        <f aca="false" t="array" ref="K951:K951">ROUND(INDEX('0.0.1 Pokémon Dex Data'!$S$3:$S951,MATCH($E951,'0.0.1 Pokémon Dex Data'!$B$3:$B951,0))*INDEX('0.0.1 Pokémon Dex Data'!U$3:U951,MATCH($E951,'0.0.1 Pokémon Dex Data'!$B$3:$B951,0)),0)</f>
        <v>#N/A</v>
      </c>
      <c r="L951" s="260" t="e">
        <f aca="false" t="array" ref="L951:L951">ROUND(INDEX('0.0.1 Pokémon Dex Data'!$S$3:$S951,MATCH($E951,'0.0.1 Pokémon Dex Data'!$B$3:$B951,0))*INDEX('0.0.1 Pokémon Dex Data'!V$3:V951,MATCH($E951,'0.0.1 Pokémon Dex Data'!$B$3:$B951,0)),0)</f>
        <v>#N/A</v>
      </c>
      <c r="M951" s="260" t="e">
        <f aca="false" t="array" ref="M951:M951">INDEX('0.0.1 Pokémon Dex Data'!$J$3:$J951,MATCH(E951,'0.0.1 Pokémon Dex Data'!$B$3:$B951,0))</f>
        <v>#N/A</v>
      </c>
      <c r="O951" s="490"/>
      <c r="Q951" s="367" t="n">
        <f aca="false">IF('Reverse Search'!$F$4="All (including temporary formes)",1,IF('Reverse Search'!$F$4="Base Pokémon and permanent formes only",IF(F951&lt;=1,1,0),IF(F951=0,1,0)))</f>
        <v>1</v>
      </c>
      <c r="R951" s="0" t="n">
        <f aca="false">IF('Reverse Search'!$C$7="Disable",1,IF('Reverse Search'!$D$9="Disable",1,IF(OR('Reverse Search'!$F$9=H951,'Reverse Search'!$F$9=I951),1,0)))</f>
        <v>1</v>
      </c>
      <c r="S951" s="0" t="n">
        <f aca="false">IF('Reverse Search'!$C$7="Disable",1,IF('Reverse Search'!$D$10="Disable",1,IF(OR('Reverse Search'!$F$10=H951,'Reverse Search'!$F$10=I951),1,0)))</f>
        <v>1</v>
      </c>
      <c r="T951" s="0" t="e">
        <f aca="false">INDEX($B$4:$B$22,MATCH(H951,$A$4:$A$22,0))</f>
        <v>#N/A</v>
      </c>
      <c r="U951" s="0" t="e">
        <f aca="false">IF(ISBLANK(I951),1,INDEX($B$4:$B$22,MATCH(I951,$A$4:$A$22,0)))</f>
        <v>#N/A</v>
      </c>
      <c r="V951" s="367" t="n">
        <f aca="false">IF('Reverse Search'!$C$7="Disable",1,IF('Reverse Search'!$D$11="Disable",1,IF('Reverse Search'!$E$11="Neutral to:",IF(ROUND(T951*U951,2)&lt;=1,1,0),IF(ROUND(T951*U951,2)&lt;1,1,0))))</f>
        <v>1</v>
      </c>
      <c r="W951" s="0" t="n">
        <f aca="false">IF('Reverse Search'!$N$7="Disable",1,IF('Reverse Search'!$I$9="Disable",1,IF('Reverse Search'!$K$9="≥",IF(J951&gt;='Reverse Search'!$L$9,1,0),IF('Reverse Search'!$K$9="≤",IF(J951&lt;='Reverse Search'!$L$9,1,0),IF(J951='Reverse Search'!$L$9,1,0)))))</f>
        <v>1</v>
      </c>
      <c r="X951" s="0" t="n">
        <f aca="false">IF('Reverse Search'!$N$7="Disable",1,IF('Reverse Search'!$I$10="Disable",1,IF('Reverse Search'!$K$10="≥",IF(K951&gt;='Reverse Search'!$L$10,1,0),IF('Reverse Search'!$K$10="≤",IF(K951&lt;='Reverse Search'!$L$10,1,0),IF(K951='Reverse Search'!$L$10,1,0)))))</f>
        <v>1</v>
      </c>
      <c r="Y951" s="367" t="n">
        <f aca="false">IF('Reverse Search'!$N$7="Disable",1,IF('Reverse Search'!$I$11="Disable",1,IF('Reverse Search'!$K$11="≥",IF(L951&gt;='Reverse Search'!$L$11,1,0),IF('Reverse Search'!$K$11="≤",IF(L951&lt;='Reverse Search'!$L$11,1,0),IF(L951='Reverse Search'!$L$11,1,0)))))</f>
        <v>1</v>
      </c>
      <c r="Z951" s="0" t="n">
        <f aca="true">IF('Reverse Search'!$C$14="Disable",1,IF('Reverse Search'!$D$16="Disable",1,IF($C$2=3,IF($M951=0,0,COUNTIF(INDIRECT("'0.0.2 Pokémon Learnset (Core)'!$D$"&amp;MATCH($E951,'0.0.2 Pokémon Learnset (Core)'!$A$1:$A951,0)&amp;":$FK$"&amp;MATCH($E951,'0.0.2 Pokémon Learnset (Core)'!$A$1:$A951,0)),'Reverse Search'!$E$21)),IF($C$2=2,COUNTIF(INDIRECT("'0.1.1 Pokémon GO Moves'!$B$"&amp;MATCH($E951,'0.1.1 Pokémon GO Moves'!$A$1:$A951,0)&amp;":$R$"&amp;MATCH($E951,'0.1.1 Pokémon GO Moves'!$A$1:$A951,0)),'Reverse Search'!$E$21),COUNTIF(INDIRECT("'0.1.1 Pokémon GO Moves'!$B$"&amp;MATCH($E951,'0.1.1 Pokémon GO Moves'!$A$1:$A951,0)&amp;":$L$"&amp;MATCH($E951,'0.1.1 Pokémon GO Moves'!$A$1:$A951,0)),'Reverse Search'!$E$21)))))</f>
        <v>1</v>
      </c>
      <c r="AA951" s="0" t="n">
        <f aca="true">IF('Reverse Search'!$C$14="Disable",1,IF('Reverse Search'!$I$16="Disable",1,IF($D$2=3,IF($M951=0,0,COUNTIF(INDIRECT("'0.0.2 Pokémon Learnset (Core)'!$D$"&amp;MATCH($E951,'0.0.2 Pokémon Learnset (Core)'!$A$1:$A951,0)&amp;":$FK$"&amp;MATCH($E951,'0.0.2 Pokémon Learnset (Core)'!$A$1:$A951,0)),'Reverse Search'!$J$21)),IF($D$2=2,COUNTIF(INDIRECT("'0.1.1 Pokémon GO Moves'!$B$"&amp;MATCH($E951,'0.1.1 Pokémon GO Moves'!$A$1:$A951,0)&amp;":$R$"&amp;MATCH($E951,'0.1.1 Pokémon GO Moves'!$A$1:$A951,0)),'Reverse Search'!$J$21),COUNTIF(INDIRECT("'0.1.1 Pokémon GO Moves'!$B$"&amp;MATCH($E951,'0.1.1 Pokémon GO Moves'!$A$1:$A951,0)&amp;":$L$"&amp;MATCH($E951,'0.1.1 Pokémon GO Moves'!$A$1:$A951,0)),'Reverse Search'!$J$21)))))</f>
        <v>0</v>
      </c>
      <c r="AB951" s="490"/>
      <c r="AC951" s="260" t="n">
        <f aca="false">IF((Q951+R951+S951+V951+W951+X951+Y951+IF(Z951&gt;=1,1,0)+IF(AA951&gt;=1,1,0))=9,G951&amp;", ",)</f>
        <v>0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2019-03-19T11:51:53Z</dcterms:modified>
  <cp:revision>6</cp:revision>
  <dc:subject/>
  <dc:title/>
</cp:coreProperties>
</file>